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1" autoFilterDateGrouping="1"/>
  </bookViews>
  <sheets>
    <sheet name="1" sheetId="1" state="visible" r:id="rId1"/>
    <sheet name="2" sheetId="2" state="visible" r:id="rId2"/>
  </sheets>
  <externalReferences>
    <externalReference r:id="rId3"/>
  </externalReference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pivotButton="0" quotePrefix="0" xfId="0"/>
    <xf numFmtId="14" fontId="0" fillId="0" borderId="0" applyAlignment="1" pivotButton="0" quotePrefix="0" xfId="0">
      <alignment horizontal="center"/>
    </xf>
    <xf numFmtId="2" fontId="0" fillId="0" borderId="0" applyAlignment="1" pivotButton="0" quotePrefix="0" xfId="0">
      <alignment horizontal="center"/>
    </xf>
    <xf numFmtId="2" fontId="0" fillId="0" borderId="0" applyAlignment="1" pivotButton="0" quotePrefix="0" xfId="0">
      <alignment horizontal="right"/>
    </xf>
    <xf numFmtId="1" fontId="0" fillId="0" borderId="0" pivotButton="0" quotePrefix="0" xfId="0"/>
    <xf numFmtId="14" fontId="0" fillId="0" borderId="0" pivotButton="0" quotePrefix="0" xfId="0"/>
    <xf numFmtId="2" fontId="0" fillId="0" borderId="0" pivotButton="0" quotePrefix="0" xfId="0"/>
    <xf numFmtId="2" fontId="0" fillId="2" borderId="0" pivotButton="0" quotePrefix="0" xfId="0"/>
    <xf numFmtId="2" fontId="0" fillId="2" borderId="0" applyAlignment="1" pivotButton="0" quotePrefix="0" xfId="0">
      <alignment horizontal="right"/>
    </xf>
    <xf numFmtId="2" fontId="0" fillId="2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14" fontId="0" fillId="2" borderId="0" pivotButton="0" quotePrefix="0" xfId="0"/>
    <xf numFmtId="1" fontId="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center"/>
    </xf>
    <xf numFmtId="1" fontId="0" fillId="0" borderId="0" applyAlignment="1" pivotButton="0" quotePrefix="0" xfId="0">
      <alignment horizontal="center"/>
    </xf>
    <xf numFmtId="1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1">
    <cellStyle name="Normal" xfId="0" builtinId="0"/>
  </cellStyles>
  <dxfs count="246">
    <dxf>
      <numFmt numFmtId="2" formatCode="0.00"/>
      <fill>
        <patternFill patternType="solid">
          <fgColor indexed="64"/>
          <bgColor theme="2" tint="-0.09997863704336681"/>
        </patternFill>
      </fill>
    </dxf>
    <dxf>
      <numFmt numFmtId="2" formatCode="0.00"/>
      <fill>
        <patternFill patternType="solid">
          <fgColor indexed="64"/>
          <bgColor theme="2" tint="-0.09997863704336681"/>
        </patternFill>
      </fill>
      <alignment horizontal="center" vertical="bottom"/>
    </dxf>
    <dxf>
      <numFmt numFmtId="2" formatCode="0.00"/>
      <fill>
        <patternFill patternType="solid">
          <fgColor indexed="64"/>
          <bgColor theme="2" tint="-0.09997863704336681"/>
        </patternFill>
      </fill>
      <alignment horizontal="right" vertical="bottom"/>
    </dxf>
    <dxf>
      <numFmt numFmtId="2" formatCode="0.00"/>
      <fill>
        <patternFill patternType="solid">
          <fgColor indexed="64"/>
          <bgColor theme="2" tint="-0.09997863704336681"/>
        </patternFill>
      </fill>
      <alignment horizontal="right" vertical="bottom"/>
    </dxf>
    <dxf>
      <numFmt numFmtId="2" formatCode="0.00"/>
      <fill>
        <patternFill patternType="solid">
          <fgColor indexed="64"/>
          <bgColor theme="2" tint="-0.09997863704336681"/>
        </patternFill>
      </fill>
    </dxf>
    <dxf>
      <numFmt numFmtId="2" formatCode="0.00"/>
      <fill>
        <patternFill patternType="solid">
          <fgColor indexed="64"/>
          <bgColor theme="2" tint="-0.09997863704336681"/>
        </patternFill>
      </fill>
    </dxf>
    <dxf>
      <numFmt numFmtId="2" formatCode="0.00"/>
      <fill>
        <patternFill patternType="solid">
          <fgColor indexed="64"/>
          <bgColor theme="2" tint="-0.09997863704336681"/>
        </patternFill>
      </fill>
    </dxf>
    <dxf>
      <numFmt numFmtId="2" formatCode="0.00"/>
      <fill>
        <patternFill patternType="solid">
          <fgColor indexed="64"/>
          <bgColor theme="2" tint="-0.09997863704336681"/>
        </patternFill>
      </fill>
    </dxf>
    <dxf>
      <numFmt numFmtId="2" formatCode="0.00"/>
      <fill>
        <patternFill patternType="solid">
          <fgColor indexed="64"/>
          <bgColor theme="2" tint="-0.09997863704336681"/>
        </patternFill>
      </fill>
    </dxf>
    <dxf>
      <numFmt numFmtId="2" formatCode="0.00"/>
      <fill>
        <patternFill patternType="solid">
          <fgColor indexed="64"/>
          <bgColor theme="2" tint="-0.09997863704336681"/>
        </patternFill>
      </fill>
    </dxf>
    <dxf>
      <numFmt numFmtId="2" formatCode="0.00"/>
      <fill>
        <patternFill patternType="solid">
          <fgColor indexed="64"/>
          <bgColor theme="2" tint="-0.09997863704336681"/>
        </patternFill>
      </fill>
    </dxf>
    <dxf>
      <numFmt numFmtId="2" formatCode="0.00"/>
      <fill>
        <patternFill patternType="solid">
          <fgColor indexed="64"/>
          <bgColor theme="2" tint="-0.09997863704336681"/>
        </patternFill>
      </fill>
    </dxf>
    <dxf>
      <numFmt numFmtId="2" formatCode="0.00"/>
      <fill>
        <patternFill patternType="solid">
          <fgColor indexed="64"/>
          <bgColor theme="2" tint="-0.09997863704336681"/>
        </patternFill>
      </fill>
    </dxf>
    <dxf>
      <numFmt numFmtId="2" formatCode="0.00"/>
      <fill>
        <patternFill patternType="solid">
          <fgColor indexed="64"/>
          <bgColor theme="2" tint="-0.0999786370433668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d/m/yyyy"/>
      <fill>
        <patternFill patternType="solid">
          <fgColor indexed="64"/>
          <bgColor theme="2" tint="-0.09997863704336681"/>
        </patternFill>
      </fill>
    </dxf>
    <dxf>
      <numFmt numFmtId="2" formatCode="0.00"/>
      <fill>
        <patternFill patternType="solid">
          <fgColor indexed="64"/>
          <bgColor theme="2" tint="-0.09997863704336681"/>
        </patternFill>
      </fill>
    </dxf>
    <dxf>
      <numFmt numFmtId="2" formatCode="0.00"/>
      <fill>
        <patternFill patternType="solid">
          <fgColor indexed="64"/>
          <bgColor theme="2" tint="-0.0999786370433668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center" vertical="bottom"/>
    </dxf>
    <dxf>
      <alignment horizontal="center" vertical="bottom"/>
    </dxf>
    <dxf>
      <numFmt numFmtId="0" formatCode="General"/>
      <fill>
        <patternFill patternType="solid">
          <fgColor indexed="64"/>
          <bgColor theme="2" tint="-0.09997863704336681"/>
        </patternFill>
      </fill>
      <alignment horizontal="center" vertical="bottom"/>
    </dxf>
    <dxf>
      <numFmt numFmtId="0" formatCode="General"/>
      <fill>
        <patternFill patternType="solid">
          <fgColor indexed="64"/>
          <bgColor theme="2" tint="-0.09997863704336681"/>
        </patternFill>
      </fill>
      <alignment horizontal="center" vertical="bottom"/>
    </dxf>
    <dxf>
      <alignment horizontal="center" vertical="bottom"/>
    </dxf>
    <dxf>
      <alignment horizontal="center" vertical="bottom"/>
    </dxf>
    <dxf>
      <alignment horizontal="center" vertical="bottom"/>
    </dxf>
    <dxf>
      <alignment horizontal="center" vertical="bottom"/>
    </dxf>
    <dxf>
      <numFmt numFmtId="165" formatCode="d/m/yyyy"/>
    </dxf>
    <dxf>
      <numFmt numFmtId="165" formatCode="d/m/yyyy"/>
    </dxf>
    <dxf>
      <numFmt numFmtId="1" formatCode="0"/>
    </dxf>
    <dxf>
      <numFmt numFmtId="1" formatCode="0"/>
    </dxf>
    <dxf>
      <numFmt numFmtId="2" formatCode="0.00"/>
      <alignment horizontal="center" vertical="bottom"/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sekoia%202022%2015-6.xlsm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MATRIZ FONDOS Y CARTERA"/>
      <sheetName val="MATRIZ CLIENTES"/>
      <sheetName val="SALDOS"/>
      <sheetName val="POSICIONES"/>
      <sheetName val="MAPA"/>
      <sheetName val="Hoja10"/>
      <sheetName val="MATRIZ FECHAS INICIO"/>
      <sheetName val="MATRIZ VALORIZADA"/>
      <sheetName val="MATRIZ MONTO INICIO"/>
      <sheetName val="EXPORTADOR DE SALDOS"/>
      <sheetName val="TASA"/>
      <sheetName val="CTE X ESP"/>
      <sheetName val="ESP X CTE"/>
      <sheetName val="CONTROL"/>
      <sheetName val="MOVIMIENTO DE SALDOS"/>
      <sheetName val="EXPORTADOR SALDOS BOLETOS"/>
      <sheetName val="MOVIMIENTOS DE FONDOS"/>
      <sheetName val="MATRIZ ESPECIES"/>
      <sheetName val="OPERACIONES"/>
      <sheetName val="Tablas Dinámicas"/>
      <sheetName val="DESARME"/>
      <sheetName val="BOTONES"/>
      <sheetName val="DASHBOARD 3"/>
      <sheetName val="DASHBOARD 2"/>
      <sheetName val="DASHBOARD"/>
      <sheetName val="Hoja3"/>
      <sheetName val="Redactar Email"/>
      <sheetName val="Hoja2"/>
      <sheetName val="Hoja1"/>
      <sheetName val="HISTORIA"/>
      <sheetName val="MATRIZ REC R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ables/table1.xml><?xml version="1.0" encoding="utf-8"?>
<table xmlns="http://schemas.openxmlformats.org/spreadsheetml/2006/main" id="1" name="OPERAC" displayName="OPERAC" ref="A1:S6328" headerRowCount="1" totalsRowCount="1" headerRowDxfId="37">
  <autoFilter ref="A1:S6327"/>
  <sortState ref="A2:S6327">
    <sortCondition descending="1" ref="H1:H6327"/>
  </sortState>
  <tableColumns count="19">
    <tableColumn id="1" name="COMITENTE" dataDxfId="36" totalsRowDxfId="35"/>
    <tableColumn id="2" name="fecha" dataDxfId="34" totalsRowDxfId="33"/>
    <tableColumn id="3" name="tipo mov" dataDxfId="32" totalsRowDxfId="31"/>
    <tableColumn id="6" name="COD CART" dataDxfId="30" totalsRowDxfId="29"/>
    <tableColumn id="5" name="TIPO DE CARTERA" totalsRowLabel="TOTAL" dataDxfId="28" totalsRowDxfId="27">
      <calculatedColumnFormula>IF(D2&gt;0,VLOOKUP(OPERAC[[#This Row],[COD CART]],[1]!MatrizCortoLargoCyl[#All],3,0),"")</calculatedColumnFormula>
    </tableColumn>
    <tableColumn id="4" name="especie" dataDxfId="26" totalsRowDxfId="25"/>
    <tableColumn id="7" name="cantidad" dataDxfId="24" totalsRowDxfId="23"/>
    <tableColumn id="8" name="importe" dataDxfId="22" totalsRowDxfId="21"/>
    <tableColumn id="9" name="pcio compra" dataDxfId="20" totalsRowDxfId="19">
      <calculatedColumnFormula>-H2/G2</calculatedColumnFormula>
    </tableColumn>
    <tableColumn id="19" name="FECHA VTA" totalsRowDxfId="18"/>
    <tableColumn id="10" name="cantidad venta" dataDxfId="17" totalsRowDxfId="16"/>
    <tableColumn id="11" name="importe venta" dataDxfId="15" totalsRowDxfId="14"/>
    <tableColumn id="12" name="UTILIDAD" totalsRowFunction="sum" dataDxfId="13" totalsRowDxfId="12">
      <calculatedColumnFormula>IF(N2=0,+L2+H2,0)</calculatedColumnFormula>
    </tableColumn>
    <tableColumn id="13" name="saldo custodia" totalsRowFunction="sum" dataDxfId="11" totalsRowDxfId="10">
      <calculatedColumnFormula>IF((+G2-K2)=0,0,+G2-K2)</calculatedColumnFormula>
    </tableColumn>
    <tableColumn id="14" name="costo " dataDxfId="9" totalsRowDxfId="8">
      <calculatedColumnFormula>IF(N2=0,0,(L2+H2)/-N2)</calculatedColumnFormula>
    </tableColumn>
    <tableColumn id="15" name="cierre" totalsRowFunction="sum" dataDxfId="7" totalsRowDxfId="6">
      <calculatedColumnFormula>VLOOKUP(OPERAC[[#This Row],[especie]],[1]!ESPECIES[#All],6,0)</calculatedColumnFormula>
    </tableColumn>
    <tableColumn id="16" name="valorizada" totalsRowFunction="sum" dataDxfId="5" totalsRowDxfId="4">
      <calculatedColumnFormula>IF(N2&lt;&gt;0,P2*N2,0)</calculatedColumnFormula>
    </tableColumn>
    <tableColumn id="17" name="utilidad parcial" totalsRowFunction="sum" dataDxfId="3" totalsRowDxfId="2">
      <calculatedColumnFormula>IF(Q2&lt;&gt;0,Q2+H2+L2,0)</calculatedColumnFormula>
    </tableColumn>
    <tableColumn id="18" name="CLASIF" dataDxfId="1" totalsRowDxfId="0">
      <calculatedColumnFormula>VLOOKUP(OPERAC[[#This Row],[especie]],[1]!ESPECIES[#Data],9,FALSE)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6328"/>
  <sheetViews>
    <sheetView topLeftCell="A5599" workbookViewId="0">
      <selection activeCell="K5620" sqref="K5620"/>
    </sheetView>
  </sheetViews>
  <sheetFormatPr baseColWidth="10" defaultColWidth="9.140625" defaultRowHeight="15"/>
  <cols>
    <col width="15.140625" customWidth="1" min="1" max="1"/>
    <col width="23.5703125" customWidth="1" min="2" max="2"/>
    <col width="15.7109375" customWidth="1" min="3" max="3"/>
    <col width="17.5703125" customWidth="1" min="4" max="4"/>
    <col width="23.85546875" customWidth="1" min="5" max="5"/>
    <col width="16" customWidth="1" min="6" max="6"/>
    <col width="15.5703125" customWidth="1" min="7" max="7"/>
    <col width="13.42578125" customWidth="1" min="8" max="8"/>
    <col width="24.42578125" customWidth="1" min="9" max="9"/>
    <col width="15.28515625" bestFit="1" customWidth="1" min="10" max="10"/>
  </cols>
  <sheetData>
    <row r="1">
      <c r="A1" s="14" t="inlineStr">
        <is>
          <t>COMITENTE</t>
        </is>
      </c>
      <c r="B1" s="1" t="inlineStr">
        <is>
          <t>fecha</t>
        </is>
      </c>
      <c r="C1" s="13" t="inlineStr">
        <is>
          <t>tipo mov</t>
        </is>
      </c>
      <c r="D1" s="13" t="inlineStr">
        <is>
          <t>COD CART</t>
        </is>
      </c>
      <c r="E1" s="13" t="inlineStr">
        <is>
          <t>TIPO DE CARTERA</t>
        </is>
      </c>
      <c r="F1" s="13" t="inlineStr">
        <is>
          <t>especie</t>
        </is>
      </c>
      <c r="G1" s="2" t="inlineStr">
        <is>
          <t>cantidad</t>
        </is>
      </c>
      <c r="H1" s="2" t="inlineStr">
        <is>
          <t>importe</t>
        </is>
      </c>
      <c r="I1" s="2" t="inlineStr">
        <is>
          <t>pcio compra</t>
        </is>
      </c>
      <c r="J1" s="1" t="inlineStr">
        <is>
          <t>FECHA VTA</t>
        </is>
      </c>
      <c r="K1" s="2" t="inlineStr">
        <is>
          <t>cantidad venta</t>
        </is>
      </c>
      <c r="L1" s="2" t="inlineStr">
        <is>
          <t>importe venta</t>
        </is>
      </c>
      <c r="M1" s="2" t="inlineStr">
        <is>
          <t>UTILIDAD</t>
        </is>
      </c>
      <c r="N1" s="2" t="inlineStr">
        <is>
          <t>saldo custodia</t>
        </is>
      </c>
      <c r="O1" s="2" t="inlineStr">
        <is>
          <t xml:space="preserve">costo </t>
        </is>
      </c>
      <c r="P1" s="2" t="inlineStr">
        <is>
          <t>cierre</t>
        </is>
      </c>
      <c r="Q1" s="2" t="inlineStr">
        <is>
          <t>valorizada</t>
        </is>
      </c>
      <c r="R1" s="3" t="inlineStr">
        <is>
          <t>utilidad parcial</t>
        </is>
      </c>
      <c r="S1" s="2" t="inlineStr">
        <is>
          <t>CLASIF</t>
        </is>
      </c>
    </row>
    <row r="2">
      <c r="A2" s="4" t="n">
        <v>3728</v>
      </c>
      <c r="B2" s="5" t="n">
        <v>44581</v>
      </c>
      <c r="C2" s="13" t="inlineStr">
        <is>
          <t>CPR</t>
        </is>
      </c>
      <c r="D2" s="13" t="n">
        <v>39</v>
      </c>
      <c r="E2" s="10">
        <f>IF(D2&gt;0,VLOOKUP(OPERAC[[#This Row],[COD CART]],[1]!MatrizCortoLargoCyl[#All],3,0),"")</f>
        <v/>
      </c>
      <c r="F2" s="13" t="inlineStr">
        <is>
          <t>ACB/V/6,00/18-02-22</t>
        </is>
      </c>
      <c r="G2" s="6" t="n">
        <v>-21000</v>
      </c>
      <c r="H2" s="6" t="n">
        <v>25580.625</v>
      </c>
      <c r="I2" s="7">
        <f>-H2/G2</f>
        <v/>
      </c>
      <c r="J2" s="11" t="n">
        <v>44601</v>
      </c>
      <c r="K2" s="6" t="n">
        <v>-21000</v>
      </c>
      <c r="L2" s="6">
        <f>1.21*OPERAC[[#This Row],[cantidad venta]]</f>
        <v/>
      </c>
      <c r="M2" s="7">
        <f>IF(N2=0,+L2+H2,0)</f>
        <v/>
      </c>
      <c r="N2" s="7">
        <f>IF((+G2-K2)=0,0,+G2-K2)</f>
        <v/>
      </c>
      <c r="O2" s="7">
        <f>IF(N2=0,0,(L2+H2)/-N2)</f>
        <v/>
      </c>
      <c r="P2" s="7">
        <f>VLOOKUP(OPERAC[[#This Row],[especie]],[1]!ESPECIES[#All],6,0)</f>
        <v/>
      </c>
      <c r="Q2" s="7">
        <f>IF(N2&lt;&gt;0,P2*N2,0)</f>
        <v/>
      </c>
      <c r="R2" s="8">
        <f>IF(Q2&lt;&gt;0,Q2+H2+L2,0)</f>
        <v/>
      </c>
      <c r="S2" s="9">
        <f>VLOOKUP(OPERAC[[#This Row],[especie]],[1]!ESPECIES[#Data],9,FALSE)</f>
        <v/>
      </c>
    </row>
    <row r="3">
      <c r="A3" s="4" t="n">
        <v>3728</v>
      </c>
      <c r="B3" s="5" t="n">
        <v>44614</v>
      </c>
      <c r="C3" s="13" t="inlineStr">
        <is>
          <t>CPR</t>
        </is>
      </c>
      <c r="D3" s="13" t="n">
        <v>39</v>
      </c>
      <c r="E3" s="10">
        <f>IF(D3&gt;0,VLOOKUP(OPERAC[[#This Row],[COD CART]],[1]!MatrizCortoLargoCyl[#All],3,0),"")</f>
        <v/>
      </c>
      <c r="F3" s="13" t="inlineStr">
        <is>
          <t>TSLA/V/790,00/25-02-22</t>
        </is>
      </c>
      <c r="G3" s="6" t="n">
        <v>-1000</v>
      </c>
      <c r="H3" s="6" t="n">
        <v>20484.29</v>
      </c>
      <c r="I3" s="7">
        <f>-H3/G3</f>
        <v/>
      </c>
      <c r="J3" s="11" t="n">
        <v>44614</v>
      </c>
      <c r="K3" s="6" t="n">
        <v>-1000</v>
      </c>
      <c r="L3" s="6" t="n">
        <v>-18625.49</v>
      </c>
      <c r="M3" s="7">
        <f>IF(N3=0,+L3+H3,0)</f>
        <v/>
      </c>
      <c r="N3" s="7">
        <f>IF((+G3-K3)=0,0,+G3-K3)</f>
        <v/>
      </c>
      <c r="O3" s="7">
        <f>IF(N3=0,0,(L3+H3)/-N3)</f>
        <v/>
      </c>
      <c r="P3" s="7">
        <f>VLOOKUP(OPERAC[[#This Row],[especie]],[1]!ESPECIES[#All],6,0)</f>
        <v/>
      </c>
      <c r="Q3" s="7">
        <f>IF(N3&lt;&gt;0,P3*N3,0)</f>
        <v/>
      </c>
      <c r="R3" s="8">
        <f>IF(Q3&lt;&gt;0,Q3+H3+L3,0)</f>
        <v/>
      </c>
      <c r="S3" s="9">
        <f>VLOOKUP(OPERAC[[#This Row],[especie]],[1]!ESPECIES[#Data],9,FALSE)</f>
        <v/>
      </c>
    </row>
    <row r="4">
      <c r="A4" s="4" t="n">
        <v>3728</v>
      </c>
      <c r="B4" s="5" t="n">
        <v>44601</v>
      </c>
      <c r="C4" s="13" t="inlineStr">
        <is>
          <t>VTA</t>
        </is>
      </c>
      <c r="D4" s="13" t="n">
        <v>39</v>
      </c>
      <c r="E4" s="10">
        <f>IF(D4&gt;0,VLOOKUP(OPERAC[[#This Row],[COD CART]],[1]!MatrizCortoLargoCyl[#All],3,0),"")</f>
        <v/>
      </c>
      <c r="F4" s="13" t="inlineStr">
        <is>
          <t>ACB/V/6,00/17-06-22</t>
        </is>
      </c>
      <c r="G4" s="6" t="n">
        <v>-10000</v>
      </c>
      <c r="H4" s="6" t="n">
        <v>19180.29</v>
      </c>
      <c r="I4" s="7">
        <f>-H4/G4</f>
        <v/>
      </c>
      <c r="J4" s="11" t="n">
        <v>44614</v>
      </c>
      <c r="K4" s="6" t="n">
        <v>-10000</v>
      </c>
      <c r="L4" s="6" t="n">
        <v>-23050</v>
      </c>
      <c r="M4" s="7">
        <f>IF(N4=0,+L4+H4,0)</f>
        <v/>
      </c>
      <c r="N4" s="7">
        <f>IF((+G4-K4)=0,0,+G4-K4)</f>
        <v/>
      </c>
      <c r="O4" s="7">
        <f>IF(N4=0,0,(L4+H4)/-N4)</f>
        <v/>
      </c>
      <c r="P4" s="7">
        <f>VLOOKUP(OPERAC[[#This Row],[especie]],[1]!ESPECIES[#All],6,0)</f>
        <v/>
      </c>
      <c r="Q4" s="7">
        <f>IF(N4&lt;&gt;0,P4*N4,0)</f>
        <v/>
      </c>
      <c r="R4" s="8">
        <f>IF(Q4&lt;&gt;0,Q4+H4+L4,0)</f>
        <v/>
      </c>
      <c r="S4" s="9">
        <f>VLOOKUP(OPERAC[[#This Row],[especie]],[1]!ESPECIES[#Data],9,FALSE)</f>
        <v/>
      </c>
    </row>
    <row r="5">
      <c r="A5" s="4" t="n">
        <v>2218</v>
      </c>
      <c r="B5" s="5" t="n">
        <v>44305</v>
      </c>
      <c r="C5" s="13" t="inlineStr">
        <is>
          <t>VTA</t>
        </is>
      </c>
      <c r="D5" s="13" t="n">
        <v>39</v>
      </c>
      <c r="E5" s="10">
        <f>IF(D5&gt;0,VLOOKUP(OPERAC[[#This Row],[COD CART]],[1]!MatrizCortoLargoCyl[#All],3,0),"")</f>
        <v/>
      </c>
      <c r="F5" s="13" t="inlineStr">
        <is>
          <t>ACB/V/15,00/20-01-23</t>
        </is>
      </c>
      <c r="G5" s="6" t="n">
        <v>-2000</v>
      </c>
      <c r="H5" s="6">
        <f>-9.23*OPERAC[[#This Row],[cantidad]]</f>
        <v/>
      </c>
      <c r="I5" s="7">
        <f>-H5/G5</f>
        <v/>
      </c>
      <c r="J5" s="11" t="n">
        <v>44614</v>
      </c>
      <c r="K5" s="6" t="n">
        <v>-2000</v>
      </c>
      <c r="L5" s="6" t="n">
        <v>-18460</v>
      </c>
      <c r="M5" s="7">
        <f>IF(N5=0,+L5+H5,0)</f>
        <v/>
      </c>
      <c r="N5" s="7">
        <f>IF((+G5-K5)=0,0,+G5-K5)</f>
        <v/>
      </c>
      <c r="O5" s="7">
        <f>IF(N5=0,0,(L5+H5)/-N5)</f>
        <v/>
      </c>
      <c r="P5" s="7">
        <f>VLOOKUP(OPERAC[[#This Row],[especie]],[1]!ESPECIES[#All],6,0)</f>
        <v/>
      </c>
      <c r="Q5" s="7">
        <f>IF(N5&lt;&gt;0,P5*N5,0)</f>
        <v/>
      </c>
      <c r="R5" s="8">
        <f>IF(Q5&lt;&gt;0,Q5+H5+L5,0)</f>
        <v/>
      </c>
      <c r="S5" s="9">
        <f>VLOOKUP(OPERAC[[#This Row],[especie]],[1]!ESPECIES[#Data],9,FALSE)</f>
        <v/>
      </c>
    </row>
    <row r="6">
      <c r="A6" s="4" t="n">
        <v>3728</v>
      </c>
      <c r="B6" s="5" t="n">
        <v>44480</v>
      </c>
      <c r="C6" s="13" t="inlineStr">
        <is>
          <t>VTA</t>
        </is>
      </c>
      <c r="D6" s="13" t="n">
        <v>39</v>
      </c>
      <c r="E6" s="10">
        <f>IF(D6&gt;0,VLOOKUP(OPERAC[[#This Row],[COD CART]],[1]!MatrizCortoLargoCyl[#All],3,0),"")</f>
        <v/>
      </c>
      <c r="F6" s="13" t="inlineStr">
        <is>
          <t>EDU/V/3,00/20-01-23</t>
        </is>
      </c>
      <c r="G6" s="6" t="n">
        <v>-10000</v>
      </c>
      <c r="H6" s="6" t="n">
        <v>14470.5</v>
      </c>
      <c r="I6" s="7">
        <f>-H6/G6</f>
        <v/>
      </c>
      <c r="J6" s="11" t="n">
        <v>44614</v>
      </c>
      <c r="K6" s="6" t="n">
        <v>-10000</v>
      </c>
      <c r="L6" s="6" t="n">
        <v>-18045.91</v>
      </c>
      <c r="M6" s="7">
        <f>IF(N6=0,+L6+H6,0)</f>
        <v/>
      </c>
      <c r="N6" s="7">
        <f>IF((+G6-K6)=0,0,+G6-K6)</f>
        <v/>
      </c>
      <c r="O6" s="7">
        <f>IF(N6=0,0,(L6+H6)/-N6)</f>
        <v/>
      </c>
      <c r="P6" s="7">
        <f>VLOOKUP(OPERAC[[#This Row],[especie]],[1]!ESPECIES[#All],6,0)</f>
        <v/>
      </c>
      <c r="Q6" s="7">
        <f>IF(N6&lt;&gt;0,P6*N6,0)</f>
        <v/>
      </c>
      <c r="R6" s="8">
        <f>IF(Q6&lt;&gt;0,Q6+H6+L6,0)</f>
        <v/>
      </c>
      <c r="S6" s="9">
        <f>VLOOKUP(OPERAC[[#This Row],[especie]],[1]!ESPECIES[#Data],9,FALSE)</f>
        <v/>
      </c>
    </row>
    <row r="7">
      <c r="A7" s="4" t="n">
        <v>3728</v>
      </c>
      <c r="B7" s="5" t="n">
        <v>44614</v>
      </c>
      <c r="C7" s="13" t="inlineStr">
        <is>
          <t>VTA</t>
        </is>
      </c>
      <c r="D7" s="13" t="n">
        <v>39</v>
      </c>
      <c r="E7" s="10">
        <f>IF(D7&gt;0,VLOOKUP(OPERAC[[#This Row],[COD CART]],[1]!MatrizCortoLargoCyl[#All],3,0),"")</f>
        <v/>
      </c>
      <c r="F7" s="13" t="inlineStr">
        <is>
          <t>TSLA/V/760,00/25-02-22</t>
        </is>
      </c>
      <c r="G7" s="6" t="n">
        <v>-2000</v>
      </c>
      <c r="H7" s="6" t="n">
        <v>13776.4</v>
      </c>
      <c r="I7" s="7">
        <f>-H7/G7</f>
        <v/>
      </c>
      <c r="J7" s="11" t="n">
        <v>44615</v>
      </c>
      <c r="K7" s="6" t="n">
        <v>-2000</v>
      </c>
      <c r="L7" s="6" t="n">
        <v>-20033.36</v>
      </c>
      <c r="M7" s="7">
        <f>IF(N7=0,+L7+H7,0)</f>
        <v/>
      </c>
      <c r="N7" s="7">
        <f>IF((+G7-K7)=0,0,+G7-K7)</f>
        <v/>
      </c>
      <c r="O7" s="7">
        <f>IF(N7=0,0,(L7+H7)/-N7)</f>
        <v/>
      </c>
      <c r="P7" s="7">
        <f>VLOOKUP(OPERAC[[#This Row],[especie]],[1]!ESPECIES[#All],6,0)</f>
        <v/>
      </c>
      <c r="Q7" s="7">
        <f>IF(N7&lt;&gt;0,P7*N7,0)</f>
        <v/>
      </c>
      <c r="R7" s="8">
        <f>IF(Q7&lt;&gt;0,Q7+H7+L7,0)</f>
        <v/>
      </c>
      <c r="S7" s="9">
        <f>VLOOKUP(OPERAC[[#This Row],[especie]],[1]!ESPECIES[#Data],9,FALSE)</f>
        <v/>
      </c>
    </row>
    <row r="8">
      <c r="A8" s="4" t="n">
        <v>2218</v>
      </c>
      <c r="B8" s="5" t="n">
        <v>44677</v>
      </c>
      <c r="C8" s="13" t="inlineStr">
        <is>
          <t>VTA</t>
        </is>
      </c>
      <c r="D8" s="13" t="n">
        <v>39</v>
      </c>
      <c r="E8" s="10">
        <f>IF(D8&gt;0,VLOOKUP(OPERAC[[#This Row],[COD CART]],[1]!MatrizCortoLargoCyl[#All],3,0),"")</f>
        <v/>
      </c>
      <c r="F8" s="13" t="inlineStr">
        <is>
          <t>TSLA/V/790,00/06-05-22</t>
        </is>
      </c>
      <c r="G8" s="6" t="n">
        <v>-1000</v>
      </c>
      <c r="H8" s="6" t="n">
        <v>12587.4</v>
      </c>
      <c r="I8" s="7">
        <f>-H8/G8</f>
        <v/>
      </c>
      <c r="J8" s="11" t="n">
        <v>44687</v>
      </c>
      <c r="K8" s="6" t="n">
        <v>-1000</v>
      </c>
      <c r="L8" s="6" t="n">
        <v>0</v>
      </c>
      <c r="M8" s="7">
        <f>IF(N8=0,+L8+H8,0)</f>
        <v/>
      </c>
      <c r="N8" s="7">
        <f>IF((+G8-K8)=0,0,+G8-K8)</f>
        <v/>
      </c>
      <c r="O8" s="7">
        <f>IF(N8=0,0,(L8+H8)/-N8)</f>
        <v/>
      </c>
      <c r="P8" s="7">
        <f>VLOOKUP(OPERAC[[#This Row],[especie]],[1]!ESPECIES[#All],6,0)</f>
        <v/>
      </c>
      <c r="Q8" s="7">
        <f>IF(N8&lt;&gt;0,P8*N8,0)</f>
        <v/>
      </c>
      <c r="R8" s="8">
        <f>IF(Q8&lt;&gt;0,Q8+H8+L8,0)</f>
        <v/>
      </c>
      <c r="S8" s="9">
        <f>VLOOKUP(OPERAC[[#This Row],[especie]],[1]!ESPECIES[#Data],9,FALSE)</f>
        <v/>
      </c>
    </row>
    <row r="9">
      <c r="A9" s="4" t="n">
        <v>2218</v>
      </c>
      <c r="B9" s="5" t="n">
        <v>44686</v>
      </c>
      <c r="C9" s="13" t="inlineStr">
        <is>
          <t>VTA</t>
        </is>
      </c>
      <c r="D9" s="13" t="n">
        <v>39</v>
      </c>
      <c r="E9" s="10">
        <f>IF(D9&gt;0,VLOOKUP(OPERAC[[#This Row],[COD CART]],[1]!MatrizCortoLargoCyl[#All],3,0),"")</f>
        <v/>
      </c>
      <c r="F9" s="13" t="inlineStr">
        <is>
          <t>TSLA/V/725,00/20-05-22</t>
        </is>
      </c>
      <c r="G9" s="6" t="n">
        <v>-1000</v>
      </c>
      <c r="H9" s="6" t="n">
        <v>12487.5</v>
      </c>
      <c r="I9" s="7">
        <f>-H9/G9</f>
        <v/>
      </c>
      <c r="J9" s="11" t="n">
        <v>44693</v>
      </c>
      <c r="K9" s="6" t="n">
        <v>-1000</v>
      </c>
      <c r="L9" s="6" t="n">
        <v>-53053</v>
      </c>
      <c r="M9" s="7">
        <f>IF(N9=0,+L9+H9,0)</f>
        <v/>
      </c>
      <c r="N9" s="7">
        <f>IF((+G9-K9)=0,0,+G9-K9)</f>
        <v/>
      </c>
      <c r="O9" s="7">
        <f>IF(N9=0,0,(L9+H9)/-N9)</f>
        <v/>
      </c>
      <c r="P9" s="7">
        <f>VLOOKUP(OPERAC[[#This Row],[especie]],[1]!ESPECIES[#All],6,0)</f>
        <v/>
      </c>
      <c r="Q9" s="7">
        <f>IF(N9&lt;&gt;0,P9*N9,0)</f>
        <v/>
      </c>
      <c r="R9" s="8">
        <f>IF(Q9&lt;&gt;0,Q9+H9+L9,0)</f>
        <v/>
      </c>
      <c r="S9" s="9">
        <f>VLOOKUP(OPERAC[[#This Row],[especie]],[1]!ESPECIES[#Data],9,FALSE)</f>
        <v/>
      </c>
    </row>
    <row r="10">
      <c r="A10" s="4" t="n">
        <v>3728</v>
      </c>
      <c r="B10" s="5" t="n">
        <v>44686</v>
      </c>
      <c r="C10" s="13" t="inlineStr">
        <is>
          <t>VTA</t>
        </is>
      </c>
      <c r="D10" s="13" t="n">
        <v>39</v>
      </c>
      <c r="E10" s="10">
        <f>IF(D10&gt;0,VLOOKUP(OPERAC[[#This Row],[COD CART]],[1]!MatrizCortoLargoCyl[#All],3,0),"")</f>
        <v/>
      </c>
      <c r="F10" s="13" t="inlineStr">
        <is>
          <t>TSLA/V/770,00/13-05-22</t>
        </is>
      </c>
      <c r="G10" s="6" t="n">
        <v>-1000</v>
      </c>
      <c r="H10" s="6" t="n">
        <v>11888.1</v>
      </c>
      <c r="I10" s="7">
        <f>-H10/G10</f>
        <v/>
      </c>
      <c r="J10" s="11" t="n">
        <v>44690</v>
      </c>
      <c r="K10" s="6" t="n">
        <v>-1000</v>
      </c>
      <c r="L10" s="6" t="n">
        <v>-20970.95</v>
      </c>
      <c r="M10" s="7">
        <f>IF(N10=0,+L10+H10,0)</f>
        <v/>
      </c>
      <c r="N10" s="7">
        <f>IF((+G10-K10)=0,0,+G10-K10)</f>
        <v/>
      </c>
      <c r="O10" s="7">
        <f>IF(N10=0,0,(L10+H10)/-N10)</f>
        <v/>
      </c>
      <c r="P10" s="7">
        <f>VLOOKUP(OPERAC[[#This Row],[especie]],[1]!ESPECIES[#All],6,0)</f>
        <v/>
      </c>
      <c r="Q10" s="7">
        <f>IF(N10&lt;&gt;0,P10*N10,0)</f>
        <v/>
      </c>
      <c r="R10" s="8">
        <f>IF(Q10&lt;&gt;0,Q10+H10+L10,0)</f>
        <v/>
      </c>
      <c r="S10" s="9">
        <f>VLOOKUP(OPERAC[[#This Row],[especie]],[1]!ESPECIES[#Data],9,FALSE)</f>
        <v/>
      </c>
    </row>
    <row r="11">
      <c r="A11" s="4" t="n">
        <v>10079</v>
      </c>
      <c r="B11" s="5" t="n">
        <v>44582</v>
      </c>
      <c r="C11" s="13" t="inlineStr">
        <is>
          <t>VTA</t>
        </is>
      </c>
      <c r="D11" s="13" t="n">
        <v>39</v>
      </c>
      <c r="E11" s="10">
        <f>IF(D11&gt;0,VLOOKUP(OPERAC[[#This Row],[COD CART]],[1]!MatrizCortoLargoCyl[#All],3,0),"")</f>
        <v/>
      </c>
      <c r="F11" s="13" t="inlineStr">
        <is>
          <t>ROKU/V/160,00/28-01-22</t>
        </is>
      </c>
      <c r="G11" s="6" t="n">
        <v>-1100</v>
      </c>
      <c r="H11" s="6" t="n">
        <v>11620.1668</v>
      </c>
      <c r="I11" s="7">
        <f>-H11/G11</f>
        <v/>
      </c>
      <c r="J11" s="11" t="n">
        <v>44587</v>
      </c>
      <c r="K11" s="6">
        <f>+OPERAC[[#This Row],[cantidad]]</f>
        <v/>
      </c>
      <c r="L11" s="6">
        <f>-OPERAC[[#This Row],[importe]]</f>
        <v/>
      </c>
      <c r="M11" s="7">
        <f>IF(N11=0,+L11+H11,0)</f>
        <v/>
      </c>
      <c r="N11" s="7">
        <f>IF((+G11-K11)=0,0,+G11-K11)</f>
        <v/>
      </c>
      <c r="O11" s="7">
        <f>IF(N11=0,0,(L11+H11)/-N11)</f>
        <v/>
      </c>
      <c r="P11" s="7">
        <f>VLOOKUP(OPERAC[[#This Row],[especie]],[1]!ESPECIES[#All],6,0)</f>
        <v/>
      </c>
      <c r="Q11" s="7">
        <f>IF(N11&lt;&gt;0,P11*N11,0)</f>
        <v/>
      </c>
      <c r="R11" s="8">
        <f>IF(Q11&lt;&gt;0,Q11+H11+L11,0)</f>
        <v/>
      </c>
      <c r="S11" s="9">
        <f>VLOOKUP(OPERAC[[#This Row],[especie]],[1]!ESPECIES[#Data],9,FALSE)</f>
        <v/>
      </c>
    </row>
    <row r="12">
      <c r="A12" s="4" t="n">
        <v>18651</v>
      </c>
      <c r="B12" s="5" t="n">
        <v>44567</v>
      </c>
      <c r="C12" s="13" t="inlineStr">
        <is>
          <t>VTA</t>
        </is>
      </c>
      <c r="D12" s="13" t="n">
        <v>39</v>
      </c>
      <c r="E12" s="10">
        <f>IF(D12&gt;0,VLOOKUP(OPERAC[[#This Row],[COD CART]],[1]!MatrizCortoLargoCyl[#All],3,0),"")</f>
        <v/>
      </c>
      <c r="F12" s="13" t="inlineStr">
        <is>
          <t>TSLA/V/880,00/14-01-22</t>
        </is>
      </c>
      <c r="G12" s="6" t="n">
        <v>-1800</v>
      </c>
      <c r="H12" s="6" t="n">
        <v>10708.8066</v>
      </c>
      <c r="I12" s="7">
        <f>-H12/G12</f>
        <v/>
      </c>
      <c r="J12" s="11" t="n">
        <v>44571</v>
      </c>
      <c r="K12" s="6" t="n">
        <v>-1800</v>
      </c>
      <c r="L12" s="6" t="n">
        <v>-6054.3954</v>
      </c>
      <c r="M12" s="7">
        <f>IF(N12=0,+L12+H12,0)</f>
        <v/>
      </c>
      <c r="N12" s="7">
        <f>IF((+G12-K12)=0,0,+G12-K12)</f>
        <v/>
      </c>
      <c r="O12" s="7">
        <f>IF(N12=0,0,(L12+H12)/-N12)</f>
        <v/>
      </c>
      <c r="P12" s="7">
        <f>VLOOKUP(OPERAC[[#This Row],[especie]],[1]!ESPECIES[#All],6,0)</f>
        <v/>
      </c>
      <c r="Q12" s="7">
        <f>IF(N12&lt;&gt;0,P12*N12,0)</f>
        <v/>
      </c>
      <c r="R12" s="8">
        <f>IF(Q12&lt;&gt;0,Q12+H12+L12,0)</f>
        <v/>
      </c>
      <c r="S12" s="9">
        <f>VLOOKUP(OPERAC[[#This Row],[especie]],[1]!ESPECIES[#Data],9,FALSE)</f>
        <v/>
      </c>
    </row>
    <row r="13">
      <c r="A13" s="4" t="n">
        <v>16780</v>
      </c>
      <c r="B13" s="5" t="n">
        <v>44705</v>
      </c>
      <c r="C13" s="13" t="inlineStr">
        <is>
          <t>VTA</t>
        </is>
      </c>
      <c r="D13" s="13" t="n">
        <v>39</v>
      </c>
      <c r="E13" s="10">
        <f>IF(D13&gt;0,VLOOKUP(OPERAC[[#This Row],[COD CART]],[1]!MatrizCortoLargoCyl[#All],3,0),"")</f>
        <v/>
      </c>
      <c r="F13" s="13" t="inlineStr">
        <is>
          <t>TSLA/P/585,00/27-05-22</t>
        </is>
      </c>
      <c r="G13" s="6" t="n">
        <v>-1000</v>
      </c>
      <c r="H13" s="6" t="n">
        <v>10708.2</v>
      </c>
      <c r="I13" s="7">
        <f>-H13/G13</f>
        <v/>
      </c>
      <c r="J13" s="5" t="n">
        <v>44706</v>
      </c>
      <c r="K13" s="6">
        <f>+OPERAC[[#This Row],[cantidad]]</f>
        <v/>
      </c>
      <c r="L13" s="6" t="n">
        <v>-1512.75</v>
      </c>
      <c r="M13" s="7">
        <f>IF(N13=0,+L13+H13,0)</f>
        <v/>
      </c>
      <c r="N13" s="7">
        <f>IF((+G13-K13)=0,0,+G13-K13)</f>
        <v/>
      </c>
      <c r="O13" s="7">
        <f>IF(N13=0,0,(L13+H13)/-N13)</f>
        <v/>
      </c>
      <c r="P13" s="7">
        <f>VLOOKUP(OPERAC[[#This Row],[especie]],[1]!ESPECIES[#All],6,0)</f>
        <v/>
      </c>
      <c r="Q13" s="7">
        <f>IF(N13&lt;&gt;0,P13*N13,0)</f>
        <v/>
      </c>
      <c r="R13" s="8">
        <f>IF(Q13&lt;&gt;0,Q13+H13+L13,0)</f>
        <v/>
      </c>
      <c r="S13" s="9">
        <f>VLOOKUP(OPERAC[[#This Row],[especie]],[1]!ESPECIES[#Data],9,FALSE)</f>
        <v/>
      </c>
    </row>
    <row r="14">
      <c r="A14" s="4" t="n">
        <v>16780</v>
      </c>
      <c r="B14" s="5" t="n">
        <v>44725</v>
      </c>
      <c r="C14" s="13" t="inlineStr">
        <is>
          <t>VTA</t>
        </is>
      </c>
      <c r="D14" s="13" t="n">
        <v>39</v>
      </c>
      <c r="E14" s="10">
        <f>IF(D14&gt;0,VLOOKUP(OPERAC[[#This Row],[COD CART]],[1]!MatrizCortoLargoCyl[#All],3,0),"")</f>
        <v/>
      </c>
      <c r="F14" s="13" t="inlineStr">
        <is>
          <t>TSLA/P/560,00/24-06-22</t>
        </is>
      </c>
      <c r="G14" s="6" t="n">
        <v>-1000</v>
      </c>
      <c r="H14" s="6" t="n">
        <v>10609.05</v>
      </c>
      <c r="I14" s="7">
        <f>-H14/G14</f>
        <v/>
      </c>
      <c r="J14" s="5" t="n"/>
      <c r="K14" s="6" t="n"/>
      <c r="L14" s="6" t="n"/>
      <c r="M14" s="7">
        <f>IF(N14=0,+L14+H14,0)</f>
        <v/>
      </c>
      <c r="N14" s="7">
        <f>IF((+G14-K14)=0,0,+G14-K14)</f>
        <v/>
      </c>
      <c r="O14" s="7">
        <f>IF(N14=0,0,(L14+H14)/-N14)</f>
        <v/>
      </c>
      <c r="P14" s="7">
        <f>VLOOKUP(OPERAC[[#This Row],[especie]],[1]!ESPECIES[#All],6,0)</f>
        <v/>
      </c>
      <c r="Q14" s="7">
        <f>IF(N14&lt;&gt;0,P14*N14,0)</f>
        <v/>
      </c>
      <c r="R14" s="8">
        <f>IF(Q14&lt;&gt;0,Q14+H14+L14,0)</f>
        <v/>
      </c>
      <c r="S14" s="9">
        <f>VLOOKUP(OPERAC[[#This Row],[especie]],[1]!ESPECIES[#Data],9,FALSE)</f>
        <v/>
      </c>
    </row>
    <row r="15">
      <c r="A15" s="4" t="n">
        <v>16780</v>
      </c>
      <c r="B15" s="5" t="n">
        <v>44707</v>
      </c>
      <c r="C15" s="13" t="inlineStr">
        <is>
          <t>VTA</t>
        </is>
      </c>
      <c r="D15" s="13" t="n">
        <v>32</v>
      </c>
      <c r="E15" s="10">
        <f>IF(D15&gt;0,VLOOKUP(OPERAC[[#This Row],[COD CART]],[1]!MatrizCortoLargoCyl[#All],3,0),"")</f>
        <v/>
      </c>
      <c r="F15" s="13" t="inlineStr">
        <is>
          <t>TSLA/P/600,00/17-06-22</t>
        </is>
      </c>
      <c r="G15" s="6" t="n">
        <v>-1000</v>
      </c>
      <c r="H15" s="6" t="n">
        <v>10364.15</v>
      </c>
      <c r="I15" s="7">
        <f>-H15/G15</f>
        <v/>
      </c>
      <c r="J15" s="5" t="n">
        <v>44726</v>
      </c>
      <c r="K15" s="6" t="n">
        <v>-1000</v>
      </c>
      <c r="L15" s="6" t="n">
        <v>-6706.525</v>
      </c>
      <c r="M15" s="7">
        <f>IF(N15=0,+L15+H15,0)</f>
        <v/>
      </c>
      <c r="N15" s="7">
        <f>IF((+G15-K15)=0,0,+G15-K15)</f>
        <v/>
      </c>
      <c r="O15" s="7">
        <f>IF(N15=0,0,(L15+H15)/-N15)</f>
        <v/>
      </c>
      <c r="P15" s="7">
        <f>VLOOKUP(OPERAC[[#This Row],[especie]],[1]!ESPECIES[#All],6,0)</f>
        <v/>
      </c>
      <c r="Q15" s="7">
        <f>IF(N15&lt;&gt;0,P15*N15,0)</f>
        <v/>
      </c>
      <c r="R15" s="8">
        <f>IF(Q15&lt;&gt;0,Q15+H15+L15,0)</f>
        <v/>
      </c>
      <c r="S15" s="9">
        <f>VLOOKUP(OPERAC[[#This Row],[especie]],[1]!ESPECIES[#Data],9,FALSE)</f>
        <v/>
      </c>
    </row>
    <row r="16">
      <c r="A16" s="4" t="n">
        <v>1760</v>
      </c>
      <c r="B16" s="5" t="n">
        <v>44595</v>
      </c>
      <c r="C16" s="13" t="inlineStr">
        <is>
          <t>VTA</t>
        </is>
      </c>
      <c r="D16" s="13" t="n">
        <v>39</v>
      </c>
      <c r="E16" s="10">
        <f>IF(D16&gt;0,VLOOKUP(OPERAC[[#This Row],[COD CART]],[1]!MatrizCortoLargoCyl[#All],3,0),"")</f>
        <v/>
      </c>
      <c r="F16" s="13" t="inlineStr">
        <is>
          <t>ROKU/V/150,00/11-02-22</t>
        </is>
      </c>
      <c r="G16" s="6" t="n">
        <v>-1000</v>
      </c>
      <c r="H16" s="6" t="n">
        <v>9023.120000000001</v>
      </c>
      <c r="I16" s="7">
        <f>-H16/G16</f>
        <v/>
      </c>
      <c r="J16" s="11" t="n">
        <v>44601</v>
      </c>
      <c r="K16" s="6" t="n">
        <v>-1000</v>
      </c>
      <c r="L16" s="6" t="n">
        <v>-600</v>
      </c>
      <c r="M16" s="7">
        <f>IF(N16=0,+L16+H16,0)</f>
        <v/>
      </c>
      <c r="N16" s="7">
        <f>IF((+G16-K16)=0,0,+G16-K16)</f>
        <v/>
      </c>
      <c r="O16" s="7">
        <f>IF(N16=0,0,(L16+H16)/-N16)</f>
        <v/>
      </c>
      <c r="P16" s="7">
        <f>VLOOKUP(OPERAC[[#This Row],[especie]],[1]!ESPECIES[#All],6,0)</f>
        <v/>
      </c>
      <c r="Q16" s="7">
        <f>IF(N16&lt;&gt;0,P16*N16,0)</f>
        <v/>
      </c>
      <c r="R16" s="8">
        <f>IF(Q16&lt;&gt;0,Q16+H16+L16,0)</f>
        <v/>
      </c>
      <c r="S16" s="9">
        <f>VLOOKUP(OPERAC[[#This Row],[especie]],[1]!ESPECIES[#Data],9,FALSE)</f>
        <v/>
      </c>
    </row>
    <row r="17">
      <c r="A17" s="4" t="n">
        <v>25070</v>
      </c>
      <c r="B17" s="5" t="n">
        <v>44567</v>
      </c>
      <c r="C17" s="13" t="inlineStr">
        <is>
          <t>VTA</t>
        </is>
      </c>
      <c r="D17" s="13" t="n">
        <v>39</v>
      </c>
      <c r="E17" s="10">
        <f>IF(D17&gt;0,VLOOKUP(OPERAC[[#This Row],[COD CART]],[1]!MatrizCortoLargoCyl[#All],3,0),"")</f>
        <v/>
      </c>
      <c r="F17" s="13" t="inlineStr">
        <is>
          <t>TSLA/V/880,00/14-01-22</t>
        </is>
      </c>
      <c r="G17" s="6" t="n">
        <v>-1500</v>
      </c>
      <c r="H17" s="6" t="n">
        <v>8924.005499999999</v>
      </c>
      <c r="I17" s="7">
        <f>-H17/G17</f>
        <v/>
      </c>
      <c r="J17" s="11" t="n">
        <v>44571</v>
      </c>
      <c r="K17" s="6" t="n">
        <v>-1500</v>
      </c>
      <c r="L17" s="6" t="n">
        <v>-5045.3295</v>
      </c>
      <c r="M17" s="7">
        <f>IF(N17=0,+L17+H17,0)</f>
        <v/>
      </c>
      <c r="N17" s="7">
        <f>IF((+G17-K17)=0,0,+G17-K17)</f>
        <v/>
      </c>
      <c r="O17" s="7">
        <f>IF(N17=0,0,(L17+H17)/-N17)</f>
        <v/>
      </c>
      <c r="P17" s="7">
        <f>VLOOKUP(OPERAC[[#This Row],[especie]],[1]!ESPECIES[#All],6,0)</f>
        <v/>
      </c>
      <c r="Q17" s="7">
        <f>IF(N17&lt;&gt;0,P17*N17,0)</f>
        <v/>
      </c>
      <c r="R17" s="8">
        <f>IF(Q17&lt;&gt;0,Q17+H17+L17,0)</f>
        <v/>
      </c>
      <c r="S17" s="9">
        <f>VLOOKUP(OPERAC[[#This Row],[especie]],[1]!ESPECIES[#Data],9,FALSE)</f>
        <v/>
      </c>
    </row>
    <row r="18">
      <c r="A18" s="4" t="n">
        <v>3728</v>
      </c>
      <c r="B18" s="5" t="n">
        <v>44686</v>
      </c>
      <c r="C18" s="13" t="inlineStr">
        <is>
          <t>VTA</t>
        </is>
      </c>
      <c r="D18" s="13" t="n">
        <v>39</v>
      </c>
      <c r="E18" s="10">
        <f>IF(D18&gt;0,VLOOKUP(OPERAC[[#This Row],[COD CART]],[1]!MatrizCortoLargoCyl[#All],3,0),"")</f>
        <v/>
      </c>
      <c r="F18" s="13" t="inlineStr">
        <is>
          <t>TSLA/V/760,00/13-05-22</t>
        </is>
      </c>
      <c r="G18" s="6" t="n">
        <v>-1000</v>
      </c>
      <c r="H18" s="6" t="n">
        <v>8561.43</v>
      </c>
      <c r="I18" s="7">
        <f>-H18/G18</f>
        <v/>
      </c>
      <c r="J18" s="11" t="n">
        <v>44690</v>
      </c>
      <c r="K18" s="6">
        <f>-500-500</f>
        <v/>
      </c>
      <c r="L18" s="6">
        <f>-8733-7507.5</f>
        <v/>
      </c>
      <c r="M18" s="7">
        <f>IF(N18=0,+L18+H18,0)</f>
        <v/>
      </c>
      <c r="N18" s="7">
        <f>IF((+G18-K18)=0,0,+G18-K18)</f>
        <v/>
      </c>
      <c r="O18" s="7">
        <f>IF(N18=0,0,(L18+H18)/-N18)</f>
        <v/>
      </c>
      <c r="P18" s="7">
        <f>VLOOKUP(OPERAC[[#This Row],[especie]],[1]!ESPECIES[#All],6,0)</f>
        <v/>
      </c>
      <c r="Q18" s="7">
        <f>IF(N18&lt;&gt;0,P18*N18,0)</f>
        <v/>
      </c>
      <c r="R18" s="8">
        <f>IF(Q18&lt;&gt;0,Q18+H18+L18,0)</f>
        <v/>
      </c>
      <c r="S18" s="9">
        <f>VLOOKUP(OPERAC[[#This Row],[especie]],[1]!ESPECIES[#Data],9,FALSE)</f>
        <v/>
      </c>
    </row>
    <row r="19">
      <c r="A19" s="4" t="n">
        <v>3728</v>
      </c>
      <c r="B19" s="5" t="n">
        <v>44692</v>
      </c>
      <c r="C19" s="13" t="inlineStr">
        <is>
          <t>VTA</t>
        </is>
      </c>
      <c r="D19" s="13" t="n">
        <v>39</v>
      </c>
      <c r="E19" s="10">
        <f>IF(D19&gt;0,VLOOKUP(OPERAC[[#This Row],[COD CART]],[1]!MatrizCortoLargoCyl[#All],3,0),"")</f>
        <v/>
      </c>
      <c r="F19" s="13" t="inlineStr">
        <is>
          <t>TSLA/V/715,00/13-05-22</t>
        </is>
      </c>
      <c r="G19" s="6" t="n">
        <v>-1000</v>
      </c>
      <c r="H19" s="6" t="n">
        <v>8491.5</v>
      </c>
      <c r="I19" s="7">
        <f>-H19/G19</f>
        <v/>
      </c>
      <c r="J19" s="11" t="n">
        <v>44692</v>
      </c>
      <c r="K19" s="6" t="n">
        <v>-1000</v>
      </c>
      <c r="L19" s="6" t="n">
        <v>-13103.09</v>
      </c>
      <c r="M19" s="7">
        <f>IF(N19=0,+L19+H19,0)</f>
        <v/>
      </c>
      <c r="N19" s="7">
        <f>IF((+G19-K19)=0,0,+G19-K19)</f>
        <v/>
      </c>
      <c r="O19" s="7">
        <f>IF(N19=0,0,(L19+H19)/-N19)</f>
        <v/>
      </c>
      <c r="P19" s="7">
        <f>VLOOKUP(OPERAC[[#This Row],[especie]],[1]!ESPECIES[#All],6,0)</f>
        <v/>
      </c>
      <c r="Q19" s="7">
        <f>IF(N19&lt;&gt;0,P19*N19,0)</f>
        <v/>
      </c>
      <c r="R19" s="8">
        <f>IF(Q19&lt;&gt;0,Q19+H19+L19,0)</f>
        <v/>
      </c>
      <c r="S19" s="9">
        <f>VLOOKUP(OPERAC[[#This Row],[especie]],[1]!ESPECIES[#Data],9,FALSE)</f>
        <v/>
      </c>
    </row>
    <row r="20">
      <c r="A20" s="4" t="n">
        <v>2218</v>
      </c>
      <c r="B20" s="5" t="n">
        <v>44307</v>
      </c>
      <c r="C20" s="13" t="inlineStr">
        <is>
          <t>VTA</t>
        </is>
      </c>
      <c r="D20" s="13" t="n">
        <v>39</v>
      </c>
      <c r="E20" s="10">
        <f>IF(D20&gt;0,VLOOKUP(OPERAC[[#This Row],[COD CART]],[1]!MatrizCortoLargoCyl[#All],3,0),"")</f>
        <v/>
      </c>
      <c r="F20" s="13" t="inlineStr">
        <is>
          <t>ACB/V/15,00/20-01-23</t>
        </is>
      </c>
      <c r="G20" s="6" t="n">
        <v>-900</v>
      </c>
      <c r="H20" s="6" t="n">
        <v>8447.540000000001</v>
      </c>
      <c r="I20" s="7">
        <f>-H20/G20</f>
        <v/>
      </c>
      <c r="J20" s="11" t="n">
        <v>44614</v>
      </c>
      <c r="K20" s="6" t="n">
        <v>-900</v>
      </c>
      <c r="L20" s="6" t="n">
        <v>-8447</v>
      </c>
      <c r="M20" s="7">
        <f>IF(N20=0,+L20+H20,0)</f>
        <v/>
      </c>
      <c r="N20" s="7">
        <f>IF((+G20-K20)=0,0,+G20-K20)</f>
        <v/>
      </c>
      <c r="O20" s="7">
        <f>IF(N20=0,0,(L20+H20)/-N20)</f>
        <v/>
      </c>
      <c r="P20" s="7">
        <f>VLOOKUP(OPERAC[[#This Row],[especie]],[1]!ESPECIES[#All],6,0)</f>
        <v/>
      </c>
      <c r="Q20" s="7">
        <f>IF(N20&lt;&gt;0,P20*N20,0)</f>
        <v/>
      </c>
      <c r="R20" s="8">
        <f>IF(Q20&lt;&gt;0,Q20+H20+L20,0)</f>
        <v/>
      </c>
      <c r="S20" s="9">
        <f>VLOOKUP(OPERAC[[#This Row],[especie]],[1]!ESPECIES[#Data],9,FALSE)</f>
        <v/>
      </c>
    </row>
    <row r="21">
      <c r="A21" s="4" t="n">
        <v>13246</v>
      </c>
      <c r="B21" s="5" t="n">
        <v>44538</v>
      </c>
      <c r="C21" s="13" t="inlineStr">
        <is>
          <t>VTA</t>
        </is>
      </c>
      <c r="D21" s="13" t="n">
        <v>39</v>
      </c>
      <c r="E21" s="10">
        <f>IF(D21&gt;0,VLOOKUP(OPERAC[[#This Row],[COD CART]],[1]!MatrizCortoLargoCyl[#All],3,0),"")</f>
        <v/>
      </c>
      <c r="F21" s="13" t="inlineStr">
        <is>
          <t>MELI/V/880,00/21-01-22</t>
        </is>
      </c>
      <c r="G21" s="6" t="n">
        <v>-800</v>
      </c>
      <c r="H21" s="6" t="n">
        <v>8094.719999999999</v>
      </c>
      <c r="I21" s="7">
        <f>-H21/G21</f>
        <v/>
      </c>
      <c r="J21" s="11" t="n">
        <v>44582</v>
      </c>
      <c r="K21" s="6">
        <f>+OPERAC[[#This Row],[cantidad]]</f>
        <v/>
      </c>
      <c r="L21" s="6" t="n">
        <v>0</v>
      </c>
      <c r="M21" s="7">
        <f>IF(N21=0,+L21+H21,0)</f>
        <v/>
      </c>
      <c r="N21" s="7">
        <f>IF((+G21-K21)=0,0,+G21-K21)</f>
        <v/>
      </c>
      <c r="O21" s="7">
        <f>IF(N21=0,0,(L21+H21)/-N21)</f>
        <v/>
      </c>
      <c r="P21" s="7">
        <f>VLOOKUP(OPERAC[[#This Row],[especie]],[1]!ESPECIES[#All],6,0)</f>
        <v/>
      </c>
      <c r="Q21" s="7">
        <f>IF(N21&lt;&gt;0,P21*N21,0)</f>
        <v/>
      </c>
      <c r="R21" s="8">
        <f>IF(Q21&lt;&gt;0,Q21+H21+L21,0)</f>
        <v/>
      </c>
      <c r="S21" s="9">
        <f>VLOOKUP(OPERAC[[#This Row],[especie]],[1]!ESPECIES[#Data],9,FALSE)</f>
        <v/>
      </c>
    </row>
    <row r="22">
      <c r="A22" s="4" t="n">
        <v>10079</v>
      </c>
      <c r="B22" s="5" t="n">
        <v>44574</v>
      </c>
      <c r="C22" s="13" t="inlineStr">
        <is>
          <t>VTA</t>
        </is>
      </c>
      <c r="D22" s="13" t="n">
        <v>39</v>
      </c>
      <c r="E22" s="10">
        <f>IF(D22&gt;0,VLOOKUP(OPERAC[[#This Row],[COD CART]],[1]!MatrizCortoLargoCyl[#All],3,0),"")</f>
        <v/>
      </c>
      <c r="F22" s="13" t="inlineStr">
        <is>
          <t>TSLA/V/900,00/21-01-22</t>
        </is>
      </c>
      <c r="G22" s="6" t="n">
        <v>-3000</v>
      </c>
      <c r="H22" s="6" t="n">
        <v>8027.256</v>
      </c>
      <c r="I22" s="7">
        <f>-H22/G22</f>
        <v/>
      </c>
      <c r="J22" s="11" t="n">
        <v>44582</v>
      </c>
      <c r="K22" s="6">
        <f>+OPERAC[[#This Row],[cantidad]]</f>
        <v/>
      </c>
      <c r="L22" s="6" t="n">
        <v>0</v>
      </c>
      <c r="M22" s="7">
        <f>IF(N22=0,+L22+H22,0)</f>
        <v/>
      </c>
      <c r="N22" s="7">
        <f>IF((+G22-K22)=0,0,+G22-K22)</f>
        <v/>
      </c>
      <c r="O22" s="7">
        <f>IF(N22=0,0,(L22+H22)/-N22)</f>
        <v/>
      </c>
      <c r="P22" s="7">
        <f>VLOOKUP(OPERAC[[#This Row],[especie]],[1]!ESPECIES[#All],6,0)</f>
        <v/>
      </c>
      <c r="Q22" s="7">
        <f>IF(N22&lt;&gt;0,P22*N22,0)</f>
        <v/>
      </c>
      <c r="R22" s="8">
        <f>IF(Q22&lt;&gt;0,Q22+H22+L22,0)</f>
        <v/>
      </c>
      <c r="S22" s="9">
        <f>VLOOKUP(OPERAC[[#This Row],[especie]],[1]!ESPECIES[#Data],9,FALSE)</f>
        <v/>
      </c>
    </row>
    <row r="23">
      <c r="A23" s="4" t="n">
        <v>1760</v>
      </c>
      <c r="B23" s="5" t="n">
        <v>44587</v>
      </c>
      <c r="C23" s="13" t="inlineStr">
        <is>
          <t>VTA</t>
        </is>
      </c>
      <c r="D23" s="13" t="n">
        <v>39</v>
      </c>
      <c r="E23" s="10">
        <f>IF(D23&gt;0,VLOOKUP(OPERAC[[#This Row],[COD CART]],[1]!MatrizCortoLargoCyl[#All],3,0),"")</f>
        <v/>
      </c>
      <c r="F23" s="13" t="inlineStr">
        <is>
          <t>ROKU/V/155,00/04-02-22</t>
        </is>
      </c>
      <c r="G23" s="6" t="n">
        <v>-1000</v>
      </c>
      <c r="H23" s="6" t="n">
        <v>7939.959999999999</v>
      </c>
      <c r="I23" s="7">
        <f>-H23/G23</f>
        <v/>
      </c>
      <c r="J23" s="11" t="n">
        <v>44595</v>
      </c>
      <c r="K23" s="6" t="n">
        <v>-1000</v>
      </c>
      <c r="L23" s="6" t="n">
        <v>-8958.4</v>
      </c>
      <c r="M23" s="7">
        <f>IF(N23=0,+L23+H23,0)</f>
        <v/>
      </c>
      <c r="N23" s="7">
        <f>IF((+G23-K23)=0,0,+G23-K23)</f>
        <v/>
      </c>
      <c r="O23" s="7">
        <f>IF(N23=0,0,(L23+H23)/-N23)</f>
        <v/>
      </c>
      <c r="P23" s="7">
        <f>VLOOKUP(OPERAC[[#This Row],[especie]],[1]!ESPECIES[#All],6,0)</f>
        <v/>
      </c>
      <c r="Q23" s="7">
        <f>IF(N23&lt;&gt;0,P23*N23,0)</f>
        <v/>
      </c>
      <c r="R23" s="8">
        <f>IF(Q23&lt;&gt;0,Q23+H23+L23,0)</f>
        <v/>
      </c>
      <c r="S23" s="9">
        <f>VLOOKUP(OPERAC[[#This Row],[especie]],[1]!ESPECIES[#Data],9,FALSE)</f>
        <v/>
      </c>
    </row>
    <row r="24">
      <c r="A24" s="4" t="n">
        <v>1760</v>
      </c>
      <c r="B24" s="5" t="n">
        <v>44582</v>
      </c>
      <c r="C24" s="13" t="inlineStr">
        <is>
          <t>VTA</t>
        </is>
      </c>
      <c r="D24" s="13" t="n">
        <v>39</v>
      </c>
      <c r="E24" s="10">
        <f>IF(D24&gt;0,VLOOKUP(OPERAC[[#This Row],[COD CART]],[1]!MatrizCortoLargoCyl[#All],3,0),"")</f>
        <v/>
      </c>
      <c r="F24" s="13" t="inlineStr">
        <is>
          <t>MELI/V/880,00/28-01-22</t>
        </is>
      </c>
      <c r="G24" s="6" t="n">
        <v>-2000</v>
      </c>
      <c r="H24" s="6" t="n">
        <v>7936</v>
      </c>
      <c r="I24" s="7">
        <f>-H24/G24</f>
        <v/>
      </c>
      <c r="J24" s="11" t="n">
        <v>44589</v>
      </c>
      <c r="K24" s="6" t="n">
        <v>-2000</v>
      </c>
      <c r="L24" s="6" t="n">
        <v>0</v>
      </c>
      <c r="M24" s="7">
        <f>IF(N24=0,+L24+H24,0)</f>
        <v/>
      </c>
      <c r="N24" s="7">
        <f>IF((+G24-K24)=0,0,+G24-K24)</f>
        <v/>
      </c>
      <c r="O24" s="7">
        <f>IF(N24=0,0,(L24+H24)/-N24)</f>
        <v/>
      </c>
      <c r="P24" s="7">
        <f>VLOOKUP(OPERAC[[#This Row],[especie]],[1]!ESPECIES[#All],6,0)</f>
        <v/>
      </c>
      <c r="Q24" s="7">
        <f>IF(N24&lt;&gt;0,P24*N24,0)</f>
        <v/>
      </c>
      <c r="R24" s="8">
        <f>IF(Q24&lt;&gt;0,Q24+H24+L24,0)</f>
        <v/>
      </c>
      <c r="S24" s="9">
        <f>VLOOKUP(OPERAC[[#This Row],[especie]],[1]!ESPECIES[#Data],9,FALSE)</f>
        <v/>
      </c>
    </row>
    <row r="25">
      <c r="A25" s="4" t="n">
        <v>16795</v>
      </c>
      <c r="B25" s="5" t="n">
        <v>44698</v>
      </c>
      <c r="C25" s="13" t="inlineStr">
        <is>
          <t>VTA</t>
        </is>
      </c>
      <c r="D25" s="13" t="n">
        <v>39</v>
      </c>
      <c r="E25" s="10">
        <f>IF(D25&gt;0,VLOOKUP(OPERAC[[#This Row],[COD CART]],[1]!MatrizCortoLargoCyl[#All],3,0),"")</f>
        <v/>
      </c>
      <c r="F25" s="13" t="inlineStr">
        <is>
          <t>TSLA/P/635,00/27-05-22</t>
        </is>
      </c>
      <c r="G25" s="6" t="n">
        <v>-1000</v>
      </c>
      <c r="H25" s="6" t="n">
        <v>7932</v>
      </c>
      <c r="I25" s="7">
        <f>-H25/G25</f>
        <v/>
      </c>
      <c r="J25" s="11" t="n">
        <v>44701</v>
      </c>
      <c r="K25" s="6" t="n">
        <v>-1000</v>
      </c>
      <c r="L25" s="6" t="n">
        <v>-32776.25</v>
      </c>
      <c r="M25" s="7">
        <f>IF(N25=0,+L25+H25,0)</f>
        <v/>
      </c>
      <c r="N25" s="7">
        <f>IF((+G25-K25)=0,0,+G25-K25)</f>
        <v/>
      </c>
      <c r="O25" s="7">
        <f>IF(N25=0,0,(L25+H25)/-N25)</f>
        <v/>
      </c>
      <c r="P25" s="7">
        <f>VLOOKUP(OPERAC[[#This Row],[especie]],[1]!ESPECIES[#All],6,0)</f>
        <v/>
      </c>
      <c r="Q25" s="7">
        <f>IF(N25&lt;&gt;0,P25*N25,0)</f>
        <v/>
      </c>
      <c r="R25" s="8">
        <f>IF(Q25&lt;&gt;0,Q25+H25+L25,0)</f>
        <v/>
      </c>
      <c r="S25" s="9">
        <f>VLOOKUP(OPERAC[[#This Row],[especie]],[1]!ESPECIES[#Data],9,FALSE)</f>
        <v/>
      </c>
    </row>
    <row r="26">
      <c r="A26" s="4" t="n">
        <v>19888</v>
      </c>
      <c r="B26" s="5" t="n">
        <v>44586</v>
      </c>
      <c r="C26" s="13" t="inlineStr">
        <is>
          <t>VTA</t>
        </is>
      </c>
      <c r="D26" s="13" t="n">
        <v>39</v>
      </c>
      <c r="E26" s="10">
        <f>IF(D26&gt;0,VLOOKUP(OPERAC[[#This Row],[COD CART]],[1]!MatrizCortoLargoCyl[#All],3,0),"")</f>
        <v/>
      </c>
      <c r="F26" s="13" t="inlineStr">
        <is>
          <t>MELI/V/750,00/04-02-22</t>
        </is>
      </c>
      <c r="G26" s="6" t="n">
        <v>-1600</v>
      </c>
      <c r="H26" s="6" t="n">
        <v>7396.352</v>
      </c>
      <c r="I26" s="7">
        <f>-H26/G26</f>
        <v/>
      </c>
      <c r="J26" s="11" t="n">
        <v>44592</v>
      </c>
      <c r="K26" s="6">
        <f>-700-900</f>
        <v/>
      </c>
      <c r="L26" s="6">
        <f>-70.56-45.73</f>
        <v/>
      </c>
      <c r="M26" s="7">
        <f>IF(N26=0,+L26+H26,0)</f>
        <v/>
      </c>
      <c r="N26" s="7">
        <f>IF((+G26-K26)=0,0,+G26-K26)</f>
        <v/>
      </c>
      <c r="O26" s="7">
        <f>IF(N26=0,0,(L26+H26)/-N26)</f>
        <v/>
      </c>
      <c r="P26" s="7">
        <f>VLOOKUP(OPERAC[[#This Row],[especie]],[1]!ESPECIES[#All],6,0)</f>
        <v/>
      </c>
      <c r="Q26" s="7">
        <f>IF(N26&lt;&gt;0,P26*N26,0)</f>
        <v/>
      </c>
      <c r="R26" s="8">
        <f>IF(Q26&lt;&gt;0,Q26+H26+L26,0)</f>
        <v/>
      </c>
      <c r="S26" s="9">
        <f>VLOOKUP(OPERAC[[#This Row],[especie]],[1]!ESPECIES[#Data],9,FALSE)</f>
        <v/>
      </c>
    </row>
    <row r="27">
      <c r="A27" s="4" t="n">
        <v>13180</v>
      </c>
      <c r="B27" s="5" t="n">
        <v>44712</v>
      </c>
      <c r="C27" s="13" t="inlineStr">
        <is>
          <t>VTA</t>
        </is>
      </c>
      <c r="D27" s="13" t="n">
        <v>39</v>
      </c>
      <c r="E27" s="10">
        <f>IF(D27&gt;0,VLOOKUP(OPERAC[[#This Row],[COD CART]],[1]!MatrizCortoLargoCyl[#All],3,0),"")</f>
        <v/>
      </c>
      <c r="F27" s="13" t="inlineStr">
        <is>
          <t>TSLA/V/685,00/03-06-22</t>
        </is>
      </c>
      <c r="G27" s="6" t="n">
        <v>-2000</v>
      </c>
      <c r="H27" s="6" t="n">
        <v>6999.99</v>
      </c>
      <c r="I27" s="7">
        <f>-H27/G27</f>
        <v/>
      </c>
      <c r="J27" s="5" t="n">
        <v>44713</v>
      </c>
      <c r="K27" s="6" t="n">
        <v>-2000</v>
      </c>
      <c r="L27" s="6" t="n">
        <v>-5025</v>
      </c>
      <c r="M27" s="7">
        <f>IF(N27=0,+L27+H27,0)</f>
        <v/>
      </c>
      <c r="N27" s="7">
        <f>IF((+G27-K27)=0,0,+G27-K27)</f>
        <v/>
      </c>
      <c r="O27" s="7">
        <f>IF(N27=0,0,(L27+H27)/-N27)</f>
        <v/>
      </c>
      <c r="P27" s="7">
        <f>VLOOKUP(OPERAC[[#This Row],[especie]],[1]!ESPECIES[#All],6,0)</f>
        <v/>
      </c>
      <c r="Q27" s="7">
        <f>IF(N27&lt;&gt;0,P27*N27,0)</f>
        <v/>
      </c>
      <c r="R27" s="8">
        <f>IF(Q27&lt;&gt;0,Q27+H27+L27,0)</f>
        <v/>
      </c>
      <c r="S27" s="9">
        <f>VLOOKUP(OPERAC[[#This Row],[especie]],[1]!ESPECIES[#Data],9,FALSE)</f>
        <v/>
      </c>
    </row>
    <row r="28">
      <c r="A28" s="4" t="n">
        <v>2194</v>
      </c>
      <c r="B28" s="5" t="n">
        <v>44580</v>
      </c>
      <c r="C28" s="13" t="inlineStr">
        <is>
          <t>VTA</t>
        </is>
      </c>
      <c r="D28" s="13" t="n">
        <v>39</v>
      </c>
      <c r="E28" s="10">
        <f>IF(D28&gt;0,VLOOKUP(OPERAC[[#This Row],[COD CART]],[1]!MatrizCortoLargoCyl[#All],3,0),"")</f>
        <v/>
      </c>
      <c r="F28" s="13" t="inlineStr">
        <is>
          <t>INO/V/7,00/18-02-22</t>
        </is>
      </c>
      <c r="G28" s="6" t="n">
        <v>-2500</v>
      </c>
      <c r="H28" s="6" t="n">
        <v>6926.625</v>
      </c>
      <c r="I28" s="7">
        <f>-H28/G28</f>
        <v/>
      </c>
      <c r="J28" s="11" t="n">
        <v>44600</v>
      </c>
      <c r="K28" s="6" t="n">
        <v>-2500</v>
      </c>
      <c r="L28" s="6" t="n">
        <v>-6926</v>
      </c>
      <c r="M28" s="7">
        <f>IF(N28=0,+L28+H28,0)</f>
        <v/>
      </c>
      <c r="N28" s="7">
        <f>IF((+G28-K28)=0,0,+G28-K28)</f>
        <v/>
      </c>
      <c r="O28" s="7">
        <f>IF(N28=0,0,(L28+H28)/-N28)</f>
        <v/>
      </c>
      <c r="P28" s="7">
        <f>VLOOKUP(OPERAC[[#This Row],[especie]],[1]!ESPECIES[#All],6,0)</f>
        <v/>
      </c>
      <c r="Q28" s="7">
        <f>IF(N28&lt;&gt;0,P28*N28,0)</f>
        <v/>
      </c>
      <c r="R28" s="8">
        <f>IF(Q28&lt;&gt;0,Q28+H28+L28,0)</f>
        <v/>
      </c>
      <c r="S28" s="9">
        <f>VLOOKUP(OPERAC[[#This Row],[especie]],[1]!ESPECIES[#Data],9,FALSE)</f>
        <v/>
      </c>
    </row>
    <row r="29">
      <c r="A29" s="4" t="n">
        <v>10079</v>
      </c>
      <c r="B29" s="5" t="n">
        <v>44592</v>
      </c>
      <c r="C29" s="13" t="inlineStr">
        <is>
          <t>VTA</t>
        </is>
      </c>
      <c r="D29" s="13" t="n">
        <v>39</v>
      </c>
      <c r="E29" s="10">
        <f>IF(D29&gt;0,VLOOKUP(OPERAC[[#This Row],[COD CART]],[1]!MatrizCortoLargoCyl[#All],3,0),"")</f>
        <v/>
      </c>
      <c r="F29" s="13" t="inlineStr">
        <is>
          <t>ROKU/V/150,00/11-02-22</t>
        </is>
      </c>
      <c r="G29" s="6" t="n">
        <v>-1400</v>
      </c>
      <c r="H29" s="6" t="n">
        <v>6660.696</v>
      </c>
      <c r="I29" s="7">
        <f>-H29/G29</f>
        <v/>
      </c>
      <c r="J29" s="11" t="n">
        <v>44601</v>
      </c>
      <c r="K29" s="6">
        <f>+OPERAC[[#This Row],[cantidad]]</f>
        <v/>
      </c>
      <c r="L29" s="6">
        <f>0.67*OPERAC[[#This Row],[cantidad venta]]</f>
        <v/>
      </c>
      <c r="M29" s="7">
        <f>IF(N29=0,+L29+H29,0)</f>
        <v/>
      </c>
      <c r="N29" s="7">
        <f>IF((+G29-K29)=0,0,+G29-K29)</f>
        <v/>
      </c>
      <c r="O29" s="7">
        <f>IF(N29=0,0,(L29+H29)/-N29)</f>
        <v/>
      </c>
      <c r="P29" s="7">
        <f>VLOOKUP(OPERAC[[#This Row],[especie]],[1]!ESPECIES[#All],6,0)</f>
        <v/>
      </c>
      <c r="Q29" s="7">
        <f>IF(N29&lt;&gt;0,P29*N29,0)</f>
        <v/>
      </c>
      <c r="R29" s="8">
        <f>IF(Q29&lt;&gt;0,Q29+H29+L29,0)</f>
        <v/>
      </c>
      <c r="S29" s="9">
        <f>VLOOKUP(OPERAC[[#This Row],[especie]],[1]!ESPECIES[#Data],9,FALSE)</f>
        <v/>
      </c>
    </row>
    <row r="30">
      <c r="A30" s="4" t="n">
        <v>2218</v>
      </c>
      <c r="B30" s="5" t="n">
        <v>44431</v>
      </c>
      <c r="C30" s="13" t="inlineStr">
        <is>
          <t>VTA</t>
        </is>
      </c>
      <c r="D30" s="13" t="n">
        <v>39</v>
      </c>
      <c r="E30" s="10">
        <f>IF(D30&gt;0,VLOOKUP(OPERAC[[#This Row],[COD CART]],[1]!MatrizCortoLargoCyl[#All],3,0),"")</f>
        <v/>
      </c>
      <c r="F30" s="13" t="inlineStr">
        <is>
          <t>INO/V/8,00/20-01-23</t>
        </is>
      </c>
      <c r="G30" s="6" t="n">
        <v>-2000</v>
      </c>
      <c r="H30" s="6" t="n">
        <v>6638.27</v>
      </c>
      <c r="I30" s="7">
        <f>-H30/G30</f>
        <v/>
      </c>
      <c r="J30" s="11" t="n">
        <v>44614</v>
      </c>
      <c r="K30" s="6" t="n">
        <v>-2000</v>
      </c>
      <c r="L30" s="6">
        <f>+OPERAC[[#This Row],[cantidad venta]]*5.312</f>
        <v/>
      </c>
      <c r="M30" s="7">
        <f>IF(N30=0,+L30+H30,0)</f>
        <v/>
      </c>
      <c r="N30" s="7">
        <f>IF((+G30-K30)=0,0,+G30-K30)</f>
        <v/>
      </c>
      <c r="O30" s="7">
        <f>IF(N30=0,0,(L30+H30)/-N30)</f>
        <v/>
      </c>
      <c r="P30" s="7">
        <f>VLOOKUP(OPERAC[[#This Row],[especie]],[1]!ESPECIES[#All],6,0)</f>
        <v/>
      </c>
      <c r="Q30" s="7">
        <f>IF(N30&lt;&gt;0,P30*N30,0)</f>
        <v/>
      </c>
      <c r="R30" s="8">
        <f>IF(Q30&lt;&gt;0,Q30+H30+L30,0)</f>
        <v/>
      </c>
      <c r="S30" s="9">
        <f>VLOOKUP(OPERAC[[#This Row],[especie]],[1]!ESPECIES[#Data],9,FALSE)</f>
        <v/>
      </c>
    </row>
    <row r="31">
      <c r="A31" s="4" t="n">
        <v>16780</v>
      </c>
      <c r="B31" s="5" t="n">
        <v>44705</v>
      </c>
      <c r="C31" s="13" t="inlineStr">
        <is>
          <t>VTA</t>
        </is>
      </c>
      <c r="D31" s="13" t="n">
        <v>39</v>
      </c>
      <c r="E31" s="10">
        <f>IF(D31&gt;0,VLOOKUP(OPERAC[[#This Row],[COD CART]],[1]!MatrizCortoLargoCyl[#All],3,0),"")</f>
        <v/>
      </c>
      <c r="F31" s="13" t="inlineStr">
        <is>
          <t>TSLA/P/550,00/27-05-22</t>
        </is>
      </c>
      <c r="G31" s="6" t="n">
        <v>-2000</v>
      </c>
      <c r="H31" s="6" t="n">
        <v>6543.9</v>
      </c>
      <c r="I31" s="7">
        <f>-H31/G31</f>
        <v/>
      </c>
      <c r="J31" s="5" t="n">
        <v>44706</v>
      </c>
      <c r="K31" s="6">
        <f>+OPERAC[[#This Row],[cantidad]]</f>
        <v/>
      </c>
      <c r="L31" s="6" t="n">
        <v>-907.65</v>
      </c>
      <c r="M31" s="7">
        <f>IF(N31=0,+L31+H31,0)</f>
        <v/>
      </c>
      <c r="N31" s="7">
        <f>IF((+G31-K31)=0,0,+G31-K31)</f>
        <v/>
      </c>
      <c r="O31" s="7">
        <f>IF(N31=0,0,(L31+H31)/-N31)</f>
        <v/>
      </c>
      <c r="P31" s="7">
        <f>VLOOKUP(OPERAC[[#This Row],[especie]],[1]!ESPECIES[#All],6,0)</f>
        <v/>
      </c>
      <c r="Q31" s="7">
        <f>IF(N31&lt;&gt;0,P31*N31,0)</f>
        <v/>
      </c>
      <c r="R31" s="8">
        <f>IF(Q31&lt;&gt;0,Q31+H31+L31,0)</f>
        <v/>
      </c>
      <c r="S31" s="9">
        <f>VLOOKUP(OPERAC[[#This Row],[especie]],[1]!ESPECIES[#Data],9,FALSE)</f>
        <v/>
      </c>
    </row>
    <row r="32">
      <c r="A32" s="4" t="n">
        <v>18690</v>
      </c>
      <c r="B32" s="5" t="n">
        <v>44690</v>
      </c>
      <c r="C32" s="13" t="inlineStr">
        <is>
          <t>VTA</t>
        </is>
      </c>
      <c r="D32" s="13" t="n">
        <v>39</v>
      </c>
      <c r="E32" s="10">
        <f>IF(D32&gt;0,VLOOKUP(OPERAC[[#This Row],[COD CART]],[1]!MatrizCortoLargoCyl[#All],3,0),"")</f>
        <v/>
      </c>
      <c r="F32" s="13" t="inlineStr">
        <is>
          <t>TSLA/V/700,00/20-05-22</t>
        </is>
      </c>
      <c r="G32" s="6" t="n">
        <v>-500</v>
      </c>
      <c r="H32" s="6" t="n">
        <v>6469.5375</v>
      </c>
      <c r="I32" s="7">
        <f>-H32/G32</f>
        <v/>
      </c>
      <c r="J32" s="11" t="n">
        <v>44698</v>
      </c>
      <c r="K32" s="6" t="n">
        <v>-500</v>
      </c>
      <c r="L32" s="6" t="n">
        <v>-5504.393</v>
      </c>
      <c r="M32" s="7">
        <f>IF(N32=0,+L32+H32,0)</f>
        <v/>
      </c>
      <c r="N32" s="7">
        <f>IF((+G32-K32)=0,0,+G32-K32)</f>
        <v/>
      </c>
      <c r="O32" s="7">
        <f>IF(N32=0,0,(L32+H32)/-N32)</f>
        <v/>
      </c>
      <c r="P32" s="7">
        <f>VLOOKUP(OPERAC[[#This Row],[especie]],[1]!ESPECIES[#All],6,0)</f>
        <v/>
      </c>
      <c r="Q32" s="7">
        <f>IF(N32&lt;&gt;0,P32*N32,0)</f>
        <v/>
      </c>
      <c r="R32" s="8">
        <f>IF(Q32&lt;&gt;0,Q32+H32+L32,0)</f>
        <v/>
      </c>
      <c r="S32" s="9">
        <f>VLOOKUP(OPERAC[[#This Row],[especie]],[1]!ESPECIES[#Data],9,FALSE)</f>
        <v/>
      </c>
    </row>
    <row r="33">
      <c r="A33" s="4" t="n">
        <v>12672</v>
      </c>
      <c r="B33" s="5" t="n">
        <v>44606</v>
      </c>
      <c r="C33" s="13" t="inlineStr">
        <is>
          <t>VTA</t>
        </is>
      </c>
      <c r="D33" s="13" t="n">
        <v>39</v>
      </c>
      <c r="E33" s="10">
        <f>IF(D33&gt;0,VLOOKUP(OPERAC[[#This Row],[COD CART]],[1]!MatrizCortoLargoCyl[#All],3,0),"")</f>
        <v/>
      </c>
      <c r="F33" s="13" t="inlineStr">
        <is>
          <t>TSLA/V/805/18-02-22</t>
        </is>
      </c>
      <c r="G33" s="6" t="n">
        <v>-1600</v>
      </c>
      <c r="H33" s="6" t="n">
        <v>6324.744</v>
      </c>
      <c r="I33" s="7">
        <f>-H33/G33</f>
        <v/>
      </c>
      <c r="J33" s="11" t="n">
        <v>44607</v>
      </c>
      <c r="K33" s="6" t="n">
        <v>-1600</v>
      </c>
      <c r="L33" s="6" t="n">
        <v>-1703.988</v>
      </c>
      <c r="M33" s="7">
        <f>IF(N33=0,+L33+H33,0)</f>
        <v/>
      </c>
      <c r="N33" s="7">
        <f>IF((+G33-K33)=0,0,+G33-K33)</f>
        <v/>
      </c>
      <c r="O33" s="7">
        <f>IF(N33=0,0,(L33+H33)/-N33)</f>
        <v/>
      </c>
      <c r="P33" s="7">
        <f>VLOOKUP(OPERAC[[#This Row],[especie]],[1]!ESPECIES[#All],6,0)</f>
        <v/>
      </c>
      <c r="Q33" s="7">
        <f>IF(N33&lt;&gt;0,P33*N33,0)</f>
        <v/>
      </c>
      <c r="R33" s="8">
        <f>IF(Q33&lt;&gt;0,Q33+H33+L33,0)</f>
        <v/>
      </c>
      <c r="S33" s="9">
        <f>VLOOKUP(OPERAC[[#This Row],[especie]],[1]!ESPECIES[#Data],9,FALSE)</f>
        <v/>
      </c>
    </row>
    <row r="34">
      <c r="A34" s="4" t="n">
        <v>9195</v>
      </c>
      <c r="B34" s="5" t="n">
        <v>44608</v>
      </c>
      <c r="C34" s="13" t="inlineStr">
        <is>
          <t>VTA</t>
        </is>
      </c>
      <c r="D34" s="13" t="n">
        <v>39</v>
      </c>
      <c r="E34" s="10">
        <f>IF(D34&gt;0,VLOOKUP(OPERAC[[#This Row],[COD CART]],[1]!MatrizCortoLargoCyl[#All],3,0),"")</f>
        <v/>
      </c>
      <c r="F34" s="13" t="inlineStr">
        <is>
          <t>TSLA/V/795,00/25-02-22</t>
        </is>
      </c>
      <c r="G34" s="6" t="n">
        <v>-1500</v>
      </c>
      <c r="H34" s="6" t="n">
        <v>6214.675</v>
      </c>
      <c r="I34" s="7">
        <f>-H34/G34</f>
        <v/>
      </c>
      <c r="J34" s="11" t="n">
        <v>44614</v>
      </c>
      <c r="K34" s="6" t="n">
        <v>-1500</v>
      </c>
      <c r="L34" s="6" t="n">
        <v>-27865.035</v>
      </c>
      <c r="M34" s="7">
        <f>IF(N34=0,+L34+H34,0)</f>
        <v/>
      </c>
      <c r="N34" s="7">
        <f>IF((+G34-K34)=0,0,+G34-K34)</f>
        <v/>
      </c>
      <c r="O34" s="7">
        <f>IF(N34=0,0,(L34+H34)/-N34)</f>
        <v/>
      </c>
      <c r="P34" s="7">
        <f>VLOOKUP(OPERAC[[#This Row],[especie]],[1]!ESPECIES[#All],6,0)</f>
        <v/>
      </c>
      <c r="Q34" s="7">
        <f>IF(N34&lt;&gt;0,P34*N34,0)</f>
        <v/>
      </c>
      <c r="R34" s="8">
        <f>IF(Q34&lt;&gt;0,Q34+H34+L34,0)</f>
        <v/>
      </c>
      <c r="S34" s="9">
        <f>VLOOKUP(OPERAC[[#This Row],[especie]],[1]!ESPECIES[#Data],9,FALSE)</f>
        <v/>
      </c>
    </row>
    <row r="35">
      <c r="A35" s="4" t="n">
        <v>3728</v>
      </c>
      <c r="B35" s="5" t="n">
        <v>44608</v>
      </c>
      <c r="C35" s="13" t="inlineStr">
        <is>
          <t>VTA</t>
        </is>
      </c>
      <c r="D35" s="13" t="n">
        <v>39</v>
      </c>
      <c r="E35" s="10">
        <f>IF(D35&gt;0,VLOOKUP(OPERAC[[#This Row],[COD CART]],[1]!MatrizCortoLargoCyl[#All],3,0),"")</f>
        <v/>
      </c>
      <c r="F35" s="13" t="inlineStr">
        <is>
          <t>TSLA/V/795,00/25-02-22</t>
        </is>
      </c>
      <c r="G35" s="6" t="n">
        <v>-1500</v>
      </c>
      <c r="H35" s="6" t="n">
        <v>6196.000000000001</v>
      </c>
      <c r="I35" s="7">
        <f>-H35/G35</f>
        <v/>
      </c>
      <c r="J35" s="11" t="n">
        <v>44614</v>
      </c>
      <c r="K35" s="6" t="n">
        <v>-1500</v>
      </c>
      <c r="L35" s="6" t="n">
        <v>-27781.785</v>
      </c>
      <c r="M35" s="7">
        <f>IF(N35=0,+L35+H35,0)</f>
        <v/>
      </c>
      <c r="N35" s="7">
        <f>IF((+G35-K35)=0,0,+G35-K35)</f>
        <v/>
      </c>
      <c r="O35" s="7">
        <f>IF(N35=0,0,(L35+H35)/-N35)</f>
        <v/>
      </c>
      <c r="P35" s="7">
        <f>VLOOKUP(OPERAC[[#This Row],[especie]],[1]!ESPECIES[#All],6,0)</f>
        <v/>
      </c>
      <c r="Q35" s="7">
        <f>IF(N35&lt;&gt;0,P35*N35,0)</f>
        <v/>
      </c>
      <c r="R35" s="8">
        <f>IF(Q35&lt;&gt;0,Q35+H35+L35,0)</f>
        <v/>
      </c>
      <c r="S35" s="9">
        <f>VLOOKUP(OPERAC[[#This Row],[especie]],[1]!ESPECIES[#Data],9,FALSE)</f>
        <v/>
      </c>
    </row>
    <row r="36">
      <c r="A36" s="4" t="n">
        <v>12627</v>
      </c>
      <c r="B36" s="5" t="n">
        <v>44538</v>
      </c>
      <c r="C36" s="13" t="inlineStr">
        <is>
          <t>VTA</t>
        </is>
      </c>
      <c r="D36" s="13" t="n">
        <v>39</v>
      </c>
      <c r="E36" s="10">
        <f>IF(D36&gt;0,VLOOKUP(OPERAC[[#This Row],[COD CART]],[1]!MatrizCortoLargoCyl[#All],3,0),"")</f>
        <v/>
      </c>
      <c r="F36" s="13" t="inlineStr">
        <is>
          <t>MELI/V/880,00/21-01-22</t>
        </is>
      </c>
      <c r="G36" s="6" t="n">
        <v>-600</v>
      </c>
      <c r="H36" s="6" t="n">
        <v>6071.04</v>
      </c>
      <c r="I36" s="7">
        <f>-H36/G36</f>
        <v/>
      </c>
      <c r="J36" s="11" t="n">
        <v>44582</v>
      </c>
      <c r="K36" s="6">
        <f>+OPERAC[[#This Row],[cantidad]]</f>
        <v/>
      </c>
      <c r="L36" s="6" t="n">
        <v>0</v>
      </c>
      <c r="M36" s="7">
        <f>IF(N36=0,+L36+H36,0)</f>
        <v/>
      </c>
      <c r="N36" s="7">
        <f>IF((+G36-K36)=0,0,+G36-K36)</f>
        <v/>
      </c>
      <c r="O36" s="7">
        <f>IF(N36=0,0,(L36+H36)/-N36)</f>
        <v/>
      </c>
      <c r="P36" s="7">
        <f>VLOOKUP(OPERAC[[#This Row],[especie]],[1]!ESPECIES[#All],6,0)</f>
        <v/>
      </c>
      <c r="Q36" s="7">
        <f>IF(N36&lt;&gt;0,P36*N36,0)</f>
        <v/>
      </c>
      <c r="R36" s="8">
        <f>IF(Q36&lt;&gt;0,Q36+H36+L36,0)</f>
        <v/>
      </c>
      <c r="S36" s="9">
        <f>VLOOKUP(OPERAC[[#This Row],[especie]],[1]!ESPECIES[#Data],9,FALSE)</f>
        <v/>
      </c>
    </row>
    <row r="37">
      <c r="A37" s="4" t="n">
        <v>3728</v>
      </c>
      <c r="B37" s="5" t="n">
        <v>44301</v>
      </c>
      <c r="C37" s="13" t="inlineStr">
        <is>
          <t>VTA</t>
        </is>
      </c>
      <c r="D37" s="13" t="n">
        <v>39</v>
      </c>
      <c r="E37" s="10">
        <f>IF(D37&gt;0,VLOOKUP(OPERAC[[#This Row],[COD CART]],[1]!MatrizCortoLargoCyl[#All],3,0),"")</f>
        <v/>
      </c>
      <c r="F37" s="13" t="inlineStr">
        <is>
          <t>INO/V/8,00/21-01-22</t>
        </is>
      </c>
      <c r="G37" s="6" t="n">
        <v>-2000</v>
      </c>
      <c r="H37" s="6" t="n">
        <v>5985</v>
      </c>
      <c r="I37" s="7">
        <f>-H37/G37</f>
        <v/>
      </c>
      <c r="J37" s="11" t="n">
        <v>44572</v>
      </c>
      <c r="K37" s="6" t="n">
        <v>-2000</v>
      </c>
      <c r="L37" s="6" t="n">
        <v>-6311.73</v>
      </c>
      <c r="M37" s="7">
        <f>IF(N37=0,+L37+H37,0)</f>
        <v/>
      </c>
      <c r="N37" s="7">
        <f>IF((+G37-K37)=0,0,+G37-K37)</f>
        <v/>
      </c>
      <c r="O37" s="7">
        <f>IF(N37=0,0,(L37+H37)/-N37)</f>
        <v/>
      </c>
      <c r="P37" s="7">
        <f>VLOOKUP(OPERAC[[#This Row],[especie]],[1]!ESPECIES[#All],6,0)</f>
        <v/>
      </c>
      <c r="Q37" s="7">
        <f>IF(N37&lt;&gt;0,P37*N37,0)</f>
        <v/>
      </c>
      <c r="R37" s="8">
        <f>IF(Q37&lt;&gt;0,Q37+H37+L37,0)</f>
        <v/>
      </c>
      <c r="S37" s="9">
        <f>VLOOKUP(OPERAC[[#This Row],[especie]],[1]!ESPECIES[#Data],9,FALSE)</f>
        <v/>
      </c>
    </row>
    <row r="38">
      <c r="A38" s="4" t="n">
        <v>12627</v>
      </c>
      <c r="B38" s="5" t="n">
        <v>44567</v>
      </c>
      <c r="C38" s="13" t="inlineStr">
        <is>
          <t>VTA</t>
        </is>
      </c>
      <c r="D38" s="13" t="n">
        <v>39</v>
      </c>
      <c r="E38" s="10">
        <f>IF(D38&gt;0,VLOOKUP(OPERAC[[#This Row],[COD CART]],[1]!MatrizCortoLargoCyl[#All],3,0),"")</f>
        <v/>
      </c>
      <c r="F38" s="13" t="inlineStr">
        <is>
          <t>TSLA/V/880,00/14-01-22</t>
        </is>
      </c>
      <c r="G38" s="6" t="n">
        <v>-1000</v>
      </c>
      <c r="H38" s="6" t="n">
        <v>5949.337</v>
      </c>
      <c r="I38" s="7">
        <f>-H38/G38</f>
        <v/>
      </c>
      <c r="J38" s="11" t="n">
        <v>44571</v>
      </c>
      <c r="K38" s="6" t="n">
        <v>-1000</v>
      </c>
      <c r="L38" s="6" t="n">
        <v>-3363.553</v>
      </c>
      <c r="M38" s="7">
        <f>IF(N38=0,+L38+H38,0)</f>
        <v/>
      </c>
      <c r="N38" s="7">
        <f>IF((+G38-K38)=0,0,+G38-K38)</f>
        <v/>
      </c>
      <c r="O38" s="7">
        <f>IF(N38=0,0,(L38+H38)/-N38)</f>
        <v/>
      </c>
      <c r="P38" s="7">
        <f>VLOOKUP(OPERAC[[#This Row],[especie]],[1]!ESPECIES[#All],6,0)</f>
        <v/>
      </c>
      <c r="Q38" s="7">
        <f>IF(N38&lt;&gt;0,P38*N38,0)</f>
        <v/>
      </c>
      <c r="R38" s="8">
        <f>IF(Q38&lt;&gt;0,Q38+H38+L38,0)</f>
        <v/>
      </c>
      <c r="S38" s="9">
        <f>VLOOKUP(OPERAC[[#This Row],[especie]],[1]!ESPECIES[#Data],9,FALSE)</f>
        <v/>
      </c>
    </row>
    <row r="39">
      <c r="A39" s="4" t="n">
        <v>25070</v>
      </c>
      <c r="B39" s="5" t="n">
        <v>44557</v>
      </c>
      <c r="C39" s="13" t="inlineStr">
        <is>
          <t>VTA</t>
        </is>
      </c>
      <c r="D39" s="13" t="n">
        <v>39</v>
      </c>
      <c r="E39" s="10">
        <f>IF(D39&gt;0,VLOOKUP(OPERAC[[#This Row],[COD CART]],[1]!MatrizCortoLargoCyl[#All],3,0),"")</f>
        <v/>
      </c>
      <c r="F39" s="13" t="inlineStr">
        <is>
          <t>TSLA/V/850,00/07-01-22</t>
        </is>
      </c>
      <c r="G39" s="6" t="n">
        <v>-4000</v>
      </c>
      <c r="H39" s="6" t="n">
        <v>5788.88</v>
      </c>
      <c r="I39" s="7">
        <f>-H39/G39</f>
        <v/>
      </c>
      <c r="J39" s="11" t="n">
        <v>44564</v>
      </c>
      <c r="K39" s="6" t="n">
        <v>-4000</v>
      </c>
      <c r="L39" s="6" t="n">
        <v>-1129.504</v>
      </c>
      <c r="M39" s="7">
        <f>IF(N39=0,+L39+H39,0)</f>
        <v/>
      </c>
      <c r="N39" s="7">
        <f>IF((+G39-K39)=0,0,+G39-K39)</f>
        <v/>
      </c>
      <c r="O39" s="7">
        <f>IF(N39=0,0,(L39+H39)/-N39)</f>
        <v/>
      </c>
      <c r="P39" s="7">
        <f>VLOOKUP(OPERAC[[#This Row],[especie]],[1]!ESPECIES[#All],6,0)</f>
        <v/>
      </c>
      <c r="Q39" s="7">
        <f>IF(N39&lt;&gt;0,P39*N39,0)</f>
        <v/>
      </c>
      <c r="R39" s="8">
        <f>IF(Q39&lt;&gt;0,Q39+H39+L39,0)</f>
        <v/>
      </c>
      <c r="S39" s="9">
        <f>VLOOKUP(OPERAC[[#This Row],[especie]],[1]!ESPECIES[#Data],9,FALSE)</f>
        <v/>
      </c>
    </row>
    <row r="40">
      <c r="A40" s="4" t="n">
        <v>7914</v>
      </c>
      <c r="B40" s="5" t="n">
        <v>44571</v>
      </c>
      <c r="C40" s="13" t="inlineStr">
        <is>
          <t>VTA</t>
        </is>
      </c>
      <c r="D40" s="13" t="n">
        <v>39</v>
      </c>
      <c r="E40" s="10">
        <f>IF(D40&gt;0,VLOOKUP(OPERAC[[#This Row],[COD CART]],[1]!MatrizCortoLargoCyl[#All],3,0),"")</f>
        <v/>
      </c>
      <c r="F40" s="13" t="inlineStr">
        <is>
          <t>TSLA/V/870,00/21-01-22</t>
        </is>
      </c>
      <c r="G40" s="6" t="n">
        <v>-1000</v>
      </c>
      <c r="H40" s="6" t="n">
        <v>5750.937000000001</v>
      </c>
      <c r="I40" s="7">
        <f>-H40/G40</f>
        <v/>
      </c>
      <c r="J40" s="11" t="n">
        <v>44574</v>
      </c>
      <c r="K40" s="6" t="n">
        <v>-1000</v>
      </c>
      <c r="L40" s="6" t="n">
        <v>-1665.813</v>
      </c>
      <c r="M40" s="7">
        <f>IF(N40=0,+L40+H40,0)</f>
        <v/>
      </c>
      <c r="N40" s="7">
        <f>IF((+G40-K40)=0,0,+G40-K40)</f>
        <v/>
      </c>
      <c r="O40" s="7">
        <f>IF(N40=0,0,(L40+H40)/-N40)</f>
        <v/>
      </c>
      <c r="P40" s="7">
        <f>VLOOKUP(OPERAC[[#This Row],[especie]],[1]!ESPECIES[#All],6,0)</f>
        <v/>
      </c>
      <c r="Q40" s="7">
        <f>IF(N40&lt;&gt;0,P40*N40,0)</f>
        <v/>
      </c>
      <c r="R40" s="8">
        <f>IF(Q40&lt;&gt;0,Q40+H40+L40,0)</f>
        <v/>
      </c>
      <c r="S40" s="9">
        <f>VLOOKUP(OPERAC[[#This Row],[especie]],[1]!ESPECIES[#Data],9,FALSE)</f>
        <v/>
      </c>
    </row>
    <row r="41">
      <c r="A41" s="4" t="n">
        <v>16780</v>
      </c>
      <c r="B41" s="5" t="n">
        <v>44677</v>
      </c>
      <c r="C41" s="13" t="inlineStr">
        <is>
          <t>VTA</t>
        </is>
      </c>
      <c r="D41" s="13" t="n">
        <v>39</v>
      </c>
      <c r="E41" s="10">
        <f>IF(D41&gt;0,VLOOKUP(OPERAC[[#This Row],[COD CART]],[1]!MatrizCortoLargoCyl[#All],3,0),"")</f>
        <v/>
      </c>
      <c r="F41" s="13" t="inlineStr">
        <is>
          <t>TSLA/V/750,00/29-04-22</t>
        </is>
      </c>
      <c r="G41" s="6" t="n">
        <v>-2000</v>
      </c>
      <c r="H41" s="6" t="n">
        <v>5587.103</v>
      </c>
      <c r="I41" s="7">
        <f>-H41/G41</f>
        <v/>
      </c>
      <c r="J41" s="11" t="n">
        <v>44678</v>
      </c>
      <c r="K41" s="6" t="n">
        <v>-2000</v>
      </c>
      <c r="L41" s="6" t="n">
        <v>-1411.9</v>
      </c>
      <c r="M41" s="7">
        <f>IF(N41=0,+L41+H41,0)</f>
        <v/>
      </c>
      <c r="N41" s="7">
        <f>IF((+G41-K41)=0,0,+G41-K41)</f>
        <v/>
      </c>
      <c r="O41" s="7">
        <f>IF(N41=0,0,(L41+H41)/-N41)</f>
        <v/>
      </c>
      <c r="P41" s="7">
        <f>VLOOKUP(OPERAC[[#This Row],[especie]],[1]!ESPECIES[#All],6,0)</f>
        <v/>
      </c>
      <c r="Q41" s="7">
        <f>IF(N41&lt;&gt;0,P41*N41,0)</f>
        <v/>
      </c>
      <c r="R41" s="8">
        <f>IF(Q41&lt;&gt;0,Q41+H41+L41,0)</f>
        <v/>
      </c>
      <c r="S41" s="9">
        <f>VLOOKUP(OPERAC[[#This Row],[especie]],[1]!ESPECIES[#Data],9,FALSE)</f>
        <v/>
      </c>
    </row>
    <row r="42">
      <c r="A42" s="4" t="n">
        <v>2218</v>
      </c>
      <c r="B42" s="5" t="n">
        <v>44572</v>
      </c>
      <c r="C42" s="13" t="inlineStr">
        <is>
          <t>VTA</t>
        </is>
      </c>
      <c r="D42" s="13" t="n">
        <v>39</v>
      </c>
      <c r="E42" s="10">
        <f>IF(D42&gt;0,VLOOKUP(OPERAC[[#This Row],[COD CART]],[1]!MatrizCortoLargoCyl[#All],3,0),"")</f>
        <v/>
      </c>
      <c r="F42" s="13" t="inlineStr">
        <is>
          <t>TLRY/V/9,00/17-06-22</t>
        </is>
      </c>
      <c r="G42" s="6" t="n">
        <v>-2000</v>
      </c>
      <c r="H42" s="6" t="n">
        <v>5540.44</v>
      </c>
      <c r="I42" s="7">
        <f>-H42/G42</f>
        <v/>
      </c>
      <c r="J42" s="11" t="n">
        <v>44627</v>
      </c>
      <c r="K42" s="6" t="n">
        <v>-2000</v>
      </c>
      <c r="L42" s="6" t="n">
        <v>-8408.360000000001</v>
      </c>
      <c r="M42" s="7">
        <f>IF(N42=0,+L42+H42,0)</f>
        <v/>
      </c>
      <c r="N42" s="7">
        <f>IF((+G42-K42)=0,0,+G42-K42)</f>
        <v/>
      </c>
      <c r="O42" s="7">
        <f>IF(N42=0,0,(L42+H42)/-N42)</f>
        <v/>
      </c>
      <c r="P42" s="7">
        <f>VLOOKUP(OPERAC[[#This Row],[especie]],[1]!ESPECIES[#All],6,0)</f>
        <v/>
      </c>
      <c r="Q42" s="7">
        <f>IF(N42&lt;&gt;0,P42*N42,0)</f>
        <v/>
      </c>
      <c r="R42" s="8">
        <f>IF(Q42&lt;&gt;0,Q42+H42+L42,0)</f>
        <v/>
      </c>
      <c r="S42" s="9">
        <f>VLOOKUP(OPERAC[[#This Row],[especie]],[1]!ESPECIES[#Data],9,FALSE)</f>
        <v/>
      </c>
    </row>
    <row r="43">
      <c r="A43" s="4" t="n">
        <v>16824</v>
      </c>
      <c r="B43" s="5" t="n">
        <v>44677</v>
      </c>
      <c r="C43" s="13" t="inlineStr">
        <is>
          <t>VTA</t>
        </is>
      </c>
      <c r="D43" s="13" t="n">
        <v>39</v>
      </c>
      <c r="E43" s="10">
        <f>IF(D43&gt;0,VLOOKUP(OPERAC[[#This Row],[COD CART]],[1]!MatrizCortoLargoCyl[#All],3,0),"")</f>
        <v/>
      </c>
      <c r="F43" s="13" t="inlineStr">
        <is>
          <t>TSLA/V/830,00/29-04-22</t>
        </is>
      </c>
      <c r="G43" s="6" t="n">
        <v>-1000</v>
      </c>
      <c r="H43" s="6" t="n">
        <v>5473.08</v>
      </c>
      <c r="I43" s="7">
        <f>-H43/G43</f>
        <v/>
      </c>
      <c r="J43" s="11" t="n">
        <v>44679</v>
      </c>
      <c r="K43" s="6" t="n">
        <v>-1000</v>
      </c>
      <c r="L43" s="6" t="n">
        <v>-14189.59</v>
      </c>
      <c r="M43" s="7">
        <f>IF(N43=0,+L43+H43,0)</f>
        <v/>
      </c>
      <c r="N43" s="7">
        <f>IF((+G43-K43)=0,0,+G43-K43)</f>
        <v/>
      </c>
      <c r="O43" s="7">
        <f>IF(N43=0,0,(L43+H43)/-N43)</f>
        <v/>
      </c>
      <c r="P43" s="7">
        <f>VLOOKUP(OPERAC[[#This Row],[especie]],[1]!ESPECIES[#All],6,0)</f>
        <v/>
      </c>
      <c r="Q43" s="7">
        <f>IF(N43&lt;&gt;0,P43*N43,0)</f>
        <v/>
      </c>
      <c r="R43" s="8">
        <f>IF(Q43&lt;&gt;0,Q43+H43+L43,0)</f>
        <v/>
      </c>
      <c r="S43" s="9">
        <f>VLOOKUP(OPERAC[[#This Row],[especie]],[1]!ESPECIES[#Data],9,FALSE)</f>
        <v/>
      </c>
    </row>
    <row r="44">
      <c r="A44" s="4" t="n">
        <v>12627</v>
      </c>
      <c r="B44" s="5" t="n">
        <v>44581</v>
      </c>
      <c r="C44" s="13" t="inlineStr">
        <is>
          <t>VTA</t>
        </is>
      </c>
      <c r="D44" s="13" t="n">
        <v>39</v>
      </c>
      <c r="E44" s="10">
        <f>IF(D44&gt;0,VLOOKUP(OPERAC[[#This Row],[COD CART]],[1]!MatrizCortoLargoCyl[#All],3,0),"")</f>
        <v/>
      </c>
      <c r="F44" s="13" t="inlineStr">
        <is>
          <t>ACB/V/6,00/18-02-22</t>
        </is>
      </c>
      <c r="G44" s="6" t="n">
        <v>-4500</v>
      </c>
      <c r="H44" s="6" t="n">
        <v>5442.8175</v>
      </c>
      <c r="I44" s="7">
        <f>-H44/G44</f>
        <v/>
      </c>
      <c r="J44" s="11" t="n">
        <v>44601</v>
      </c>
      <c r="K44" s="6" t="n">
        <v>-4500</v>
      </c>
      <c r="L44" s="6">
        <f>1.21*OPERAC[[#This Row],[cantidad venta]]</f>
        <v/>
      </c>
      <c r="M44" s="7">
        <f>IF(N44=0,+L44+H44,0)</f>
        <v/>
      </c>
      <c r="N44" s="7">
        <f>IF((+G44-K44)=0,0,+G44-K44)</f>
        <v/>
      </c>
      <c r="O44" s="7">
        <f>IF(N44=0,0,(L44+H44)/-N44)</f>
        <v/>
      </c>
      <c r="P44" s="7">
        <f>VLOOKUP(OPERAC[[#This Row],[especie]],[1]!ESPECIES[#All],6,0)</f>
        <v/>
      </c>
      <c r="Q44" s="7">
        <f>IF(N44&lt;&gt;0,P44*N44,0)</f>
        <v/>
      </c>
      <c r="R44" s="8">
        <f>IF(Q44&lt;&gt;0,Q44+H44+L44,0)</f>
        <v/>
      </c>
      <c r="S44" s="9">
        <f>VLOOKUP(OPERAC[[#This Row],[especie]],[1]!ESPECIES[#Data],9,FALSE)</f>
        <v/>
      </c>
    </row>
    <row r="45">
      <c r="A45" s="4" t="n">
        <v>12611</v>
      </c>
      <c r="B45" s="5" t="n">
        <v>44585</v>
      </c>
      <c r="C45" s="13" t="inlineStr">
        <is>
          <t>VTA</t>
        </is>
      </c>
      <c r="D45" s="13" t="n">
        <v>39</v>
      </c>
      <c r="E45" s="10">
        <f>IF(D45&gt;0,VLOOKUP(OPERAC[[#This Row],[COD CART]],[1]!MatrizCortoLargoCyl[#All],3,0),"")</f>
        <v/>
      </c>
      <c r="F45" s="13" t="inlineStr">
        <is>
          <t>MELI/V/800,00/28-01-22</t>
        </is>
      </c>
      <c r="G45" s="6" t="n">
        <v>-600</v>
      </c>
      <c r="H45" s="6" t="n">
        <v>5416.32</v>
      </c>
      <c r="I45" s="7">
        <f>-H45/G45</f>
        <v/>
      </c>
      <c r="J45" s="11" t="n">
        <v>44589</v>
      </c>
      <c r="K45" s="6" t="n">
        <v>-600</v>
      </c>
      <c r="L45" s="6" t="n">
        <v>-30.24</v>
      </c>
      <c r="M45" s="7">
        <f>IF(N45=0,+L45+H45,0)</f>
        <v/>
      </c>
      <c r="N45" s="7">
        <f>IF((+G45-K45)=0,0,+G45-K45)</f>
        <v/>
      </c>
      <c r="O45" s="7">
        <f>IF(N45=0,0,(L45+H45)/-N45)</f>
        <v/>
      </c>
      <c r="P45" s="7">
        <f>VLOOKUP(OPERAC[[#This Row],[especie]],[1]!ESPECIES[#All],6,0)</f>
        <v/>
      </c>
      <c r="Q45" s="7">
        <f>IF(N45&lt;&gt;0,P45*N45,0)</f>
        <v/>
      </c>
      <c r="R45" s="8">
        <f>IF(Q45&lt;&gt;0,Q45+H45+L45,0)</f>
        <v/>
      </c>
      <c r="S45" s="9">
        <f>VLOOKUP(OPERAC[[#This Row],[especie]],[1]!ESPECIES[#Data],9,FALSE)</f>
        <v/>
      </c>
    </row>
    <row r="46">
      <c r="A46" s="4" t="n">
        <v>3728</v>
      </c>
      <c r="B46" s="5" t="n">
        <v>44482</v>
      </c>
      <c r="C46" s="13" t="inlineStr">
        <is>
          <t>VTA</t>
        </is>
      </c>
      <c r="D46" s="13" t="n">
        <v>39</v>
      </c>
      <c r="E46" s="10">
        <f>IF(D46&gt;0,VLOOKUP(OPERAC[[#This Row],[COD CART]],[1]!MatrizCortoLargoCyl[#All],3,0),"")</f>
        <v/>
      </c>
      <c r="F46" s="13" t="inlineStr">
        <is>
          <t>SESN/V/2,00/18-02-22</t>
        </is>
      </c>
      <c r="G46" s="6" t="n">
        <v>-5000</v>
      </c>
      <c r="H46" s="6" t="n">
        <v>5244.75</v>
      </c>
      <c r="I46" s="7">
        <f>-H46/G46</f>
        <v/>
      </c>
      <c r="J46" s="11" t="n">
        <v>44600</v>
      </c>
      <c r="K46" s="6" t="n">
        <v>-5000</v>
      </c>
      <c r="L46" s="6">
        <f>-1.35*5000</f>
        <v/>
      </c>
      <c r="M46" s="7">
        <f>IF(N46=0,+L46+H46,0)</f>
        <v/>
      </c>
      <c r="N46" s="7">
        <f>IF((+G46-K46)=0,0,+G46-K46)</f>
        <v/>
      </c>
      <c r="O46" s="7">
        <f>IF(N46=0,0,(L46+H46)/-N46)</f>
        <v/>
      </c>
      <c r="P46" s="7">
        <f>VLOOKUP(OPERAC[[#This Row],[especie]],[1]!ESPECIES[#All],6,0)</f>
        <v/>
      </c>
      <c r="Q46" s="7">
        <f>IF(N46&lt;&gt;0,P46*N46,0)</f>
        <v/>
      </c>
      <c r="R46" s="8">
        <f>IF(Q46&lt;&gt;0,Q46+H46+L46,0)</f>
        <v/>
      </c>
      <c r="S46" s="9">
        <f>VLOOKUP(OPERAC[[#This Row],[especie]],[1]!ESPECIES[#Data],9,FALSE)</f>
        <v/>
      </c>
    </row>
    <row r="47">
      <c r="A47" s="4" t="n">
        <v>16786</v>
      </c>
      <c r="B47" s="5" t="n">
        <v>44690</v>
      </c>
      <c r="C47" s="13" t="inlineStr">
        <is>
          <t>VTA</t>
        </is>
      </c>
      <c r="D47" s="13" t="n">
        <v>39</v>
      </c>
      <c r="E47" s="10">
        <f>IF(D47&gt;0,VLOOKUP(OPERAC[[#This Row],[COD CART]],[1]!MatrizCortoLargoCyl[#All],3,0),"")</f>
        <v/>
      </c>
      <c r="F47" s="13" t="inlineStr">
        <is>
          <t>TSLA/V/700,00/20-05-22</t>
        </is>
      </c>
      <c r="G47" s="6" t="n">
        <v>-400</v>
      </c>
      <c r="H47" s="6" t="n">
        <v>5175.63</v>
      </c>
      <c r="I47" s="7">
        <f>-H47/G47</f>
        <v/>
      </c>
      <c r="J47" s="11" t="n">
        <v>44698</v>
      </c>
      <c r="K47" s="6" t="n">
        <v>-400</v>
      </c>
      <c r="L47" s="6" t="n">
        <v>-4403.514</v>
      </c>
      <c r="M47" s="7">
        <f>IF(N47=0,+L47+H47,0)</f>
        <v/>
      </c>
      <c r="N47" s="7">
        <f>IF((+G47-K47)=0,0,+G47-K47)</f>
        <v/>
      </c>
      <c r="O47" s="7">
        <f>IF(N47=0,0,(L47+H47)/-N47)</f>
        <v/>
      </c>
      <c r="P47" s="7">
        <f>VLOOKUP(OPERAC[[#This Row],[especie]],[1]!ESPECIES[#All],6,0)</f>
        <v/>
      </c>
      <c r="Q47" s="7">
        <f>IF(N47&lt;&gt;0,P47*N47,0)</f>
        <v/>
      </c>
      <c r="R47" s="8">
        <f>IF(Q47&lt;&gt;0,Q47+H47+L47,0)</f>
        <v/>
      </c>
      <c r="S47" s="9">
        <f>VLOOKUP(OPERAC[[#This Row],[especie]],[1]!ESPECIES[#Data],9,FALSE)</f>
        <v/>
      </c>
    </row>
    <row r="48">
      <c r="A48" s="4" t="n">
        <v>2257</v>
      </c>
      <c r="B48" s="5" t="n">
        <v>44718</v>
      </c>
      <c r="C48" s="13" t="inlineStr">
        <is>
          <t>VTA</t>
        </is>
      </c>
      <c r="D48" s="13" t="n">
        <v>39</v>
      </c>
      <c r="E48" s="10">
        <f>IF(D48&gt;0,VLOOKUP(OPERAC[[#This Row],[COD CART]],[1]!MatrizCortoLargoCyl[#All],3,0),"")</f>
        <v/>
      </c>
      <c r="F48" s="13" t="inlineStr">
        <is>
          <t>TSLA/C/800,00/10-06-22</t>
        </is>
      </c>
      <c r="G48" s="6" t="n">
        <v>-2000</v>
      </c>
      <c r="H48" s="6" t="n">
        <v>5175.63</v>
      </c>
      <c r="I48" s="7">
        <f>-H48/G48</f>
        <v/>
      </c>
      <c r="J48" s="5" t="n">
        <v>44718</v>
      </c>
      <c r="K48" s="6" t="n">
        <v>-2000</v>
      </c>
      <c r="L48" s="6" t="n">
        <v>-4699.61</v>
      </c>
      <c r="M48" s="7">
        <f>IF(N48=0,+L48+H48,0)</f>
        <v/>
      </c>
      <c r="N48" s="7">
        <f>IF((+G48-K48)=0,0,+G48-K48)</f>
        <v/>
      </c>
      <c r="O48" s="7">
        <f>IF(N48=0,0,(L48+H48)/-N48)</f>
        <v/>
      </c>
      <c r="P48" s="7">
        <f>VLOOKUP(OPERAC[[#This Row],[especie]],[1]!ESPECIES[#All],6,0)</f>
        <v/>
      </c>
      <c r="Q48" s="7">
        <f>IF(N48&lt;&gt;0,P48*N48,0)</f>
        <v/>
      </c>
      <c r="R48" s="8">
        <f>IF(Q48&lt;&gt;0,Q48+H48+L48,0)</f>
        <v/>
      </c>
      <c r="S48" s="9">
        <f>VLOOKUP(OPERAC[[#This Row],[especie]],[1]!ESPECIES[#Data],9,FALSE)</f>
        <v/>
      </c>
    </row>
    <row r="49">
      <c r="A49" s="4" t="n">
        <v>7895</v>
      </c>
      <c r="B49" s="5" t="n">
        <v>44706</v>
      </c>
      <c r="C49" s="13" t="inlineStr">
        <is>
          <t>VTA</t>
        </is>
      </c>
      <c r="D49" s="13" t="n">
        <v>39</v>
      </c>
      <c r="E49" s="10">
        <f>IF(D49&gt;0,VLOOKUP(OPERAC[[#This Row],[COD CART]],[1]!MatrizCortoLargoCyl[#All],3,0),"")</f>
        <v/>
      </c>
      <c r="F49" s="13" t="inlineStr">
        <is>
          <t>BABA/P/60,00/20-01-23</t>
        </is>
      </c>
      <c r="G49" s="6" t="n">
        <v>-900</v>
      </c>
      <c r="H49" s="6" t="n">
        <v>5131.013</v>
      </c>
      <c r="I49" s="7">
        <f>-H49/G49</f>
        <v/>
      </c>
      <c r="J49" s="5" t="n"/>
      <c r="K49" s="6" t="n"/>
      <c r="L49" s="6" t="n"/>
      <c r="M49" s="7">
        <f>IF(N49=0,+L49+H49,0)</f>
        <v/>
      </c>
      <c r="N49" s="7">
        <f>IF((+G49-K49)=0,0,+G49-K49)</f>
        <v/>
      </c>
      <c r="O49" s="7">
        <f>IF(N49=0,0,(L49+H49)/-N49)</f>
        <v/>
      </c>
      <c r="P49" s="7">
        <f>VLOOKUP(OPERAC[[#This Row],[especie]],[1]!ESPECIES[#All],6,0)</f>
        <v/>
      </c>
      <c r="Q49" s="7">
        <f>IF(N49&lt;&gt;0,P49*N49,0)</f>
        <v/>
      </c>
      <c r="R49" s="8">
        <f>IF(Q49&lt;&gt;0,Q49+H49+L49,0)</f>
        <v/>
      </c>
      <c r="S49" s="9">
        <f>VLOOKUP(OPERAC[[#This Row],[especie]],[1]!ESPECIES[#Data],9,FALSE)</f>
        <v/>
      </c>
    </row>
    <row r="50">
      <c r="A50" s="12" t="n">
        <v>10079</v>
      </c>
      <c r="B50" s="5" t="n">
        <v>44676</v>
      </c>
      <c r="C50" s="13" t="inlineStr">
        <is>
          <t>VTA</t>
        </is>
      </c>
      <c r="D50" s="13" t="n">
        <v>39</v>
      </c>
      <c r="E50" s="10">
        <f>IF(D50&gt;0,VLOOKUP(OPERAC[[#This Row],[COD CART]],[1]!MatrizCortoLargoCyl[#All],3,0),"")</f>
        <v/>
      </c>
      <c r="F50" s="13" t="inlineStr">
        <is>
          <t>UPST/V/67,00/06-05-22</t>
        </is>
      </c>
      <c r="G50" s="6" t="n">
        <v>-2300</v>
      </c>
      <c r="H50" s="6" t="n">
        <v>5131.0125</v>
      </c>
      <c r="I50" s="7">
        <f>-H50/G50</f>
        <v/>
      </c>
      <c r="J50" s="11" t="n">
        <v>44687</v>
      </c>
      <c r="K50" s="6">
        <f>OPERAC[[#This Row],[cantidad]]</f>
        <v/>
      </c>
      <c r="L50" s="6" t="n">
        <v>0</v>
      </c>
      <c r="M50" s="7">
        <f>IF(N50=0,+L50+H50,0)</f>
        <v/>
      </c>
      <c r="N50" s="7">
        <f>IF((+G50-K50)=0,0,+G50-K50)</f>
        <v/>
      </c>
      <c r="O50" s="7">
        <f>IF(N50=0,0,(L50+H50)/-N50)</f>
        <v/>
      </c>
      <c r="P50" s="7">
        <f>VLOOKUP(OPERAC[[#This Row],[especie]],[1]!ESPECIES[#All],6,0)</f>
        <v/>
      </c>
      <c r="Q50" s="7">
        <f>IF(N50&lt;&gt;0,P50*N50,0)</f>
        <v/>
      </c>
      <c r="R50" s="8">
        <f>IF(Q50&lt;&gt;0,Q50+H50+L50,0)</f>
        <v/>
      </c>
      <c r="S50" s="9">
        <f>VLOOKUP(OPERAC[[#This Row],[especie]],[1]!ESPECIES[#Data],9,FALSE)</f>
        <v/>
      </c>
    </row>
    <row r="51">
      <c r="A51" s="4" t="n">
        <v>15189</v>
      </c>
      <c r="B51" s="5" t="n">
        <v>44693</v>
      </c>
      <c r="C51" s="13" t="inlineStr">
        <is>
          <t>VTA</t>
        </is>
      </c>
      <c r="D51" s="13" t="n">
        <v>39</v>
      </c>
      <c r="E51" s="10">
        <f>IF(D51&gt;0,VLOOKUP(OPERAC[[#This Row],[COD CART]],[1]!MatrizCortoLargoCyl[#All],3,0),"")</f>
        <v/>
      </c>
      <c r="F51" s="13" t="inlineStr">
        <is>
          <t>TSLA/V/690,00/13-05-22</t>
        </is>
      </c>
      <c r="G51" s="6" t="n">
        <v>-1000</v>
      </c>
      <c r="H51" s="6" t="n">
        <v>5029.8</v>
      </c>
      <c r="I51" s="7">
        <f>-H51/G51</f>
        <v/>
      </c>
      <c r="J51" s="11" t="n">
        <v>44694</v>
      </c>
      <c r="K51" s="6" t="n">
        <v>-1000</v>
      </c>
      <c r="L51" s="6" t="n">
        <v>0</v>
      </c>
      <c r="M51" s="7">
        <f>IF(N51=0,+L51+H51,0)</f>
        <v/>
      </c>
      <c r="N51" s="7">
        <f>IF((+G51-K51)=0,0,+G51-K51)</f>
        <v/>
      </c>
      <c r="O51" s="7">
        <f>IF(N51=0,0,(L51+H51)/-N51)</f>
        <v/>
      </c>
      <c r="P51" s="7">
        <f>VLOOKUP(OPERAC[[#This Row],[especie]],[1]!ESPECIES[#All],6,0)</f>
        <v/>
      </c>
      <c r="Q51" s="7">
        <f>IF(N51&lt;&gt;0,P51*N51,0)</f>
        <v/>
      </c>
      <c r="R51" s="8">
        <f>IF(Q51&lt;&gt;0,Q51+H51+L51,0)</f>
        <v/>
      </c>
      <c r="S51" s="9">
        <f>VLOOKUP(OPERAC[[#This Row],[especie]],[1]!ESPECIES[#Data],9,FALSE)</f>
        <v/>
      </c>
    </row>
    <row r="52">
      <c r="A52" s="4" t="n">
        <v>19878</v>
      </c>
      <c r="B52" s="5" t="n">
        <v>44609</v>
      </c>
      <c r="C52" s="13" t="inlineStr">
        <is>
          <t>VTA</t>
        </is>
      </c>
      <c r="D52" s="13" t="n">
        <v>39</v>
      </c>
      <c r="E52" s="10">
        <f>IF(D52&gt;0,VLOOKUP(OPERAC[[#This Row],[COD CART]],[1]!MatrizCortoLargoCyl[#All],3,0),"")</f>
        <v/>
      </c>
      <c r="F52" s="13" t="inlineStr">
        <is>
          <t>MELI/V/850,00/25-02-22</t>
        </is>
      </c>
      <c r="G52" s="6" t="n">
        <v>-900</v>
      </c>
      <c r="H52" s="6" t="n">
        <v>4999.68</v>
      </c>
      <c r="I52" s="7">
        <f>-H52/G52</f>
        <v/>
      </c>
      <c r="J52" s="11" t="n">
        <v>44610</v>
      </c>
      <c r="K52" s="6" t="n">
        <v>-900</v>
      </c>
      <c r="L52" s="6" t="n">
        <v>-21779.091</v>
      </c>
      <c r="M52" s="7">
        <f>IF(N52=0,+L52+H52,0)</f>
        <v/>
      </c>
      <c r="N52" s="7">
        <f>IF((+G52-K52)=0,0,+G52-K52)</f>
        <v/>
      </c>
      <c r="O52" s="7">
        <f>IF(N52=0,0,(L52+H52)/-N52)</f>
        <v/>
      </c>
      <c r="P52" s="7">
        <f>VLOOKUP(OPERAC[[#This Row],[especie]],[1]!ESPECIES[#All],6,0)</f>
        <v/>
      </c>
      <c r="Q52" s="7">
        <f>IF(N52&lt;&gt;0,P52*N52,0)</f>
        <v/>
      </c>
      <c r="R52" s="8">
        <f>IF(Q52&lt;&gt;0,Q52+H52+L52,0)</f>
        <v/>
      </c>
      <c r="S52" s="9">
        <f>VLOOKUP(OPERAC[[#This Row],[especie]],[1]!ESPECIES[#Data],9,FALSE)</f>
        <v/>
      </c>
    </row>
    <row r="53">
      <c r="A53" s="4" t="n">
        <v>3728</v>
      </c>
      <c r="B53" s="5" t="n">
        <v>44691</v>
      </c>
      <c r="C53" s="13" t="inlineStr">
        <is>
          <t>VTA</t>
        </is>
      </c>
      <c r="D53" s="13" t="n">
        <v>39</v>
      </c>
      <c r="E53" s="10">
        <f>IF(D53&gt;0,VLOOKUP(OPERAC[[#This Row],[COD CART]],[1]!MatrizCortoLargoCyl[#All],3,0),"")</f>
        <v/>
      </c>
      <c r="F53" s="13" t="inlineStr">
        <is>
          <t>TSLA/V/650,00/20-05-22</t>
        </is>
      </c>
      <c r="G53" s="6" t="n">
        <v>-1000</v>
      </c>
      <c r="H53" s="6" t="n">
        <v>4995</v>
      </c>
      <c r="I53" s="7">
        <f>-H53/G53</f>
        <v/>
      </c>
      <c r="J53" s="11" t="n">
        <v>44700</v>
      </c>
      <c r="K53" s="6" t="n">
        <v>-1000</v>
      </c>
      <c r="L53" s="6" t="n">
        <v>-1101.1</v>
      </c>
      <c r="M53" s="7">
        <f>IF(N53=0,+L53+H53,0)</f>
        <v/>
      </c>
      <c r="N53" s="7">
        <f>IF((+G53-K53)=0,0,+G53-K53)</f>
        <v/>
      </c>
      <c r="O53" s="7">
        <f>IF(N53=0,0,(L53+H53)/-N53)</f>
        <v/>
      </c>
      <c r="P53" s="7">
        <f>VLOOKUP(OPERAC[[#This Row],[especie]],[1]!ESPECIES[#All],6,0)</f>
        <v/>
      </c>
      <c r="Q53" s="7">
        <f>IF(N53&lt;&gt;0,P53*N53,0)</f>
        <v/>
      </c>
      <c r="R53" s="8">
        <f>IF(Q53&lt;&gt;0,Q53+H53+L53,0)</f>
        <v/>
      </c>
      <c r="S53" s="9">
        <f>VLOOKUP(OPERAC[[#This Row],[especie]],[1]!ESPECIES[#Data],9,FALSE)</f>
        <v/>
      </c>
    </row>
    <row r="54">
      <c r="A54" s="4" t="n">
        <v>7916</v>
      </c>
      <c r="B54" s="5" t="n">
        <v>44580</v>
      </c>
      <c r="C54" s="13" t="inlineStr">
        <is>
          <t>VTA</t>
        </is>
      </c>
      <c r="D54" s="13" t="n">
        <v>39</v>
      </c>
      <c r="E54" s="10">
        <f>IF(D54&gt;0,VLOOKUP(OPERAC[[#This Row],[COD CART]],[1]!MatrizCortoLargoCyl[#All],3,0),"")</f>
        <v/>
      </c>
      <c r="F54" s="13" t="inlineStr">
        <is>
          <t>INO/V/7,00/18-02-22</t>
        </is>
      </c>
      <c r="G54" s="6" t="n">
        <v>-1800</v>
      </c>
      <c r="H54" s="6" t="n">
        <v>4987.17</v>
      </c>
      <c r="I54" s="7">
        <f>-H54/G54</f>
        <v/>
      </c>
      <c r="J54" s="11" t="n">
        <v>44600</v>
      </c>
      <c r="K54" s="6" t="n">
        <v>-1800</v>
      </c>
      <c r="L54" s="6" t="n">
        <v>-4987</v>
      </c>
      <c r="M54" s="7">
        <f>IF(N54=0,+L54+H54,0)</f>
        <v/>
      </c>
      <c r="N54" s="7">
        <f>IF((+G54-K54)=0,0,+G54-K54)</f>
        <v/>
      </c>
      <c r="O54" s="7">
        <f>IF(N54=0,0,(L54+H54)/-N54)</f>
        <v/>
      </c>
      <c r="P54" s="7">
        <f>VLOOKUP(OPERAC[[#This Row],[especie]],[1]!ESPECIES[#All],6,0)</f>
        <v/>
      </c>
      <c r="Q54" s="7">
        <f>IF(N54&lt;&gt;0,P54*N54,0)</f>
        <v/>
      </c>
      <c r="R54" s="8">
        <f>IF(Q54&lt;&gt;0,Q54+H54+L54,0)</f>
        <v/>
      </c>
      <c r="S54" s="9">
        <f>VLOOKUP(OPERAC[[#This Row],[especie]],[1]!ESPECIES[#Data],9,FALSE)</f>
        <v/>
      </c>
    </row>
    <row r="55">
      <c r="A55" s="4" t="n">
        <v>2255</v>
      </c>
      <c r="B55" s="5" t="n">
        <v>44713</v>
      </c>
      <c r="C55" s="13" t="inlineStr">
        <is>
          <t>VTA</t>
        </is>
      </c>
      <c r="D55" s="13" t="n">
        <v>39</v>
      </c>
      <c r="E55" s="10">
        <f>IF(D55&gt;0,VLOOKUP(OPERAC[[#This Row],[COD CART]],[1]!MatrizCortoLargoCyl[#All],3,0),"")</f>
        <v/>
      </c>
      <c r="F55" s="13" t="inlineStr">
        <is>
          <t>TSLA/V/680,00/03-06-22</t>
        </is>
      </c>
      <c r="G55" s="6" t="n">
        <v>-2000</v>
      </c>
      <c r="H55" s="6" t="n">
        <v>4977.5</v>
      </c>
      <c r="I55" s="7">
        <f>-H55/G55</f>
        <v/>
      </c>
      <c r="J55" s="5" t="n">
        <v>44713</v>
      </c>
      <c r="K55" s="6" t="n">
        <v>-2000</v>
      </c>
      <c r="L55" s="6" t="n">
        <v>-167.75</v>
      </c>
      <c r="M55" s="7">
        <f>IF(N55=0,+L55+H55,0)</f>
        <v/>
      </c>
      <c r="N55" s="7">
        <f>IF((+G55-K55)=0,0,+G55-K55)</f>
        <v/>
      </c>
      <c r="O55" s="7">
        <f>IF(N55=0,0,(L55+H55)/-N55)</f>
        <v/>
      </c>
      <c r="P55" s="7">
        <f>VLOOKUP(OPERAC[[#This Row],[especie]],[1]!ESPECIES[#All],6,0)</f>
        <v/>
      </c>
      <c r="Q55" s="7">
        <f>IF(N55&lt;&gt;0,P55*N55,0)</f>
        <v/>
      </c>
      <c r="R55" s="8">
        <f>IF(Q55&lt;&gt;0,Q55+H55+L55,0)</f>
        <v/>
      </c>
      <c r="S55" s="9">
        <f>VLOOKUP(OPERAC[[#This Row],[especie]],[1]!ESPECIES[#Data],9,FALSE)</f>
        <v/>
      </c>
    </row>
    <row r="56">
      <c r="A56" s="4" t="n">
        <v>18651</v>
      </c>
      <c r="B56" s="5" t="n">
        <v>44721</v>
      </c>
      <c r="C56" s="13" t="inlineStr">
        <is>
          <t>VTA</t>
        </is>
      </c>
      <c r="D56" s="13" t="n">
        <v>39</v>
      </c>
      <c r="E56" s="10">
        <f>IF(D56&gt;0,VLOOKUP(OPERAC[[#This Row],[COD CART]],[1]!MatrizCortoLargoCyl[#All],3,0),"")</f>
        <v/>
      </c>
      <c r="F56" s="13" t="inlineStr">
        <is>
          <t>TSLA/P/600,00/17-06-22</t>
        </is>
      </c>
      <c r="G56" s="6" t="n">
        <v>-1500</v>
      </c>
      <c r="H56" s="6" t="n">
        <v>4907.925</v>
      </c>
      <c r="I56" s="7">
        <f>-H56/G56</f>
        <v/>
      </c>
      <c r="J56" s="5" t="n">
        <v>44726</v>
      </c>
      <c r="K56" s="6" t="n">
        <v>-1500</v>
      </c>
      <c r="L56" s="6" t="n">
        <v>-10301.828</v>
      </c>
      <c r="M56" s="7">
        <f>IF(N56=0,+L56+H56,0)</f>
        <v/>
      </c>
      <c r="N56" s="7">
        <f>IF((+G56-K56)=0,0,+G56-K56)</f>
        <v/>
      </c>
      <c r="O56" s="7">
        <f>IF(N56=0,0,(L56+H56)/-N56)</f>
        <v/>
      </c>
      <c r="P56" s="7">
        <f>VLOOKUP(OPERAC[[#This Row],[especie]],[1]!ESPECIES[#All],6,0)</f>
        <v/>
      </c>
      <c r="Q56" s="7">
        <f>IF(N56&lt;&gt;0,P56*N56,0)</f>
        <v/>
      </c>
      <c r="R56" s="8">
        <f>IF(Q56&lt;&gt;0,Q56+H56+L56,0)</f>
        <v/>
      </c>
      <c r="S56" s="9">
        <f>VLOOKUP(OPERAC[[#This Row],[especie]],[1]!ESPECIES[#Data],9,FALSE)</f>
        <v/>
      </c>
    </row>
    <row r="57">
      <c r="A57" s="4" t="n">
        <v>16795</v>
      </c>
      <c r="B57" s="5" t="n">
        <v>44599</v>
      </c>
      <c r="C57" s="13" t="inlineStr">
        <is>
          <t>VTA</t>
        </is>
      </c>
      <c r="D57" s="13" t="n">
        <v>39</v>
      </c>
      <c r="E57" s="10">
        <f>IF(D57&gt;0,VLOOKUP(OPERAC[[#This Row],[COD CART]],[1]!MatrizCortoLargoCyl[#All],3,0),"")</f>
        <v/>
      </c>
      <c r="F57" s="13" t="inlineStr">
        <is>
          <t>MELI/V/850,00/18-02/22</t>
        </is>
      </c>
      <c r="G57" s="6" t="n">
        <v>-700</v>
      </c>
      <c r="H57" s="6" t="n">
        <v>4860</v>
      </c>
      <c r="I57" s="7">
        <f>-H57/G57</f>
        <v/>
      </c>
      <c r="J57" s="11" t="n">
        <v>44610</v>
      </c>
      <c r="K57" s="6" t="n">
        <v>-700</v>
      </c>
      <c r="L57" s="6" t="n">
        <v>0</v>
      </c>
      <c r="M57" s="7">
        <f>IF(N57=0,+L57+H57,0)</f>
        <v/>
      </c>
      <c r="N57" s="7">
        <f>IF((+G57-K57)=0,0,+G57-K57)</f>
        <v/>
      </c>
      <c r="O57" s="7">
        <f>IF(N57=0,0,(L57+H57)/-N57)</f>
        <v/>
      </c>
      <c r="P57" s="7">
        <f>VLOOKUP(OPERAC[[#This Row],[especie]],[1]!ESPECIES[#All],6,0)</f>
        <v/>
      </c>
      <c r="Q57" s="7">
        <f>IF(N57&lt;&gt;0,P57*N57,0)</f>
        <v/>
      </c>
      <c r="R57" s="8">
        <f>IF(Q57&lt;&gt;0,Q57+H57+L57,0)</f>
        <v/>
      </c>
      <c r="S57" s="9">
        <f>VLOOKUP(OPERAC[[#This Row],[especie]],[1]!ESPECIES[#Data],9,FALSE)</f>
        <v/>
      </c>
    </row>
    <row r="58">
      <c r="A58" s="4" t="n">
        <v>10079</v>
      </c>
      <c r="B58" s="5" t="n">
        <v>44587</v>
      </c>
      <c r="C58" s="13" t="inlineStr">
        <is>
          <t>VTA</t>
        </is>
      </c>
      <c r="D58" s="13" t="n">
        <v>39</v>
      </c>
      <c r="E58" s="10">
        <f>IF(D58&gt;0,VLOOKUP(OPERAC[[#This Row],[COD CART]],[1]!MatrizCortoLargoCyl[#All],3,0),"")</f>
        <v/>
      </c>
      <c r="F58" s="13" t="inlineStr">
        <is>
          <t>ROKU/V/155,00/04-02-22</t>
        </is>
      </c>
      <c r="G58" s="6" t="n">
        <v>-600</v>
      </c>
      <c r="H58" s="6" t="n">
        <v>4763.976</v>
      </c>
      <c r="I58" s="7">
        <f>-H58/G58</f>
        <v/>
      </c>
      <c r="J58" s="11" t="n">
        <v>44592</v>
      </c>
      <c r="K58" s="6">
        <f>+OPERAC[[#This Row],[cantidad]]</f>
        <v/>
      </c>
      <c r="L58" s="6" t="n">
        <v>-2149.3884</v>
      </c>
      <c r="M58" s="7">
        <f>IF(N58=0,+L58+H58,0)</f>
        <v/>
      </c>
      <c r="N58" s="7">
        <f>IF((+G58-K58)=0,0,+G58-K58)</f>
        <v/>
      </c>
      <c r="O58" s="7">
        <f>IF(N58=0,0,(L58+H58)/-N58)</f>
        <v/>
      </c>
      <c r="P58" s="7">
        <f>VLOOKUP(OPERAC[[#This Row],[especie]],[1]!ESPECIES[#All],6,0)</f>
        <v/>
      </c>
      <c r="Q58" s="7">
        <f>IF(N58&lt;&gt;0,P58*N58,0)</f>
        <v/>
      </c>
      <c r="R58" s="8">
        <f>IF(Q58&lt;&gt;0,Q58+H58+L58,0)</f>
        <v/>
      </c>
      <c r="S58" s="9">
        <f>VLOOKUP(OPERAC[[#This Row],[especie]],[1]!ESPECIES[#Data],9,FALSE)</f>
        <v/>
      </c>
    </row>
    <row r="59">
      <c r="A59" s="4" t="n">
        <v>13240</v>
      </c>
      <c r="B59" s="5" t="n">
        <v>44567</v>
      </c>
      <c r="C59" s="13" t="inlineStr">
        <is>
          <t>VTA</t>
        </is>
      </c>
      <c r="D59" s="13" t="n">
        <v>39</v>
      </c>
      <c r="E59" s="10">
        <f>IF(D59&gt;0,VLOOKUP(OPERAC[[#This Row],[COD CART]],[1]!MatrizCortoLargoCyl[#All],3,0),"")</f>
        <v/>
      </c>
      <c r="F59" s="13" t="inlineStr">
        <is>
          <t>TSLA/V/880,00/14-01-22</t>
        </is>
      </c>
      <c r="G59" s="6" t="n">
        <v>-800</v>
      </c>
      <c r="H59" s="6" t="n">
        <v>4759.4696</v>
      </c>
      <c r="I59" s="7">
        <f>-H59/G59</f>
        <v/>
      </c>
      <c r="J59" s="11" t="n">
        <v>44571</v>
      </c>
      <c r="K59" s="6" t="n">
        <v>-800</v>
      </c>
      <c r="L59" s="6" t="n">
        <v>-2690.8424</v>
      </c>
      <c r="M59" s="7">
        <f>IF(N59=0,+L59+H59,0)</f>
        <v/>
      </c>
      <c r="N59" s="7">
        <f>IF((+G59-K59)=0,0,+G59-K59)</f>
        <v/>
      </c>
      <c r="O59" s="7">
        <f>IF(N59=0,0,(L59+H59)/-N59)</f>
        <v/>
      </c>
      <c r="P59" s="7">
        <f>VLOOKUP(OPERAC[[#This Row],[especie]],[1]!ESPECIES[#All],6,0)</f>
        <v/>
      </c>
      <c r="Q59" s="7">
        <f>IF(N59&lt;&gt;0,P59*N59,0)</f>
        <v/>
      </c>
      <c r="R59" s="8">
        <f>IF(Q59&lt;&gt;0,Q59+H59+L59,0)</f>
        <v/>
      </c>
      <c r="S59" s="9">
        <f>VLOOKUP(OPERAC[[#This Row],[especie]],[1]!ESPECIES[#Data],9,FALSE)</f>
        <v/>
      </c>
    </row>
    <row r="60">
      <c r="A60" s="4" t="n">
        <v>7914</v>
      </c>
      <c r="B60" s="5" t="n">
        <v>44588</v>
      </c>
      <c r="C60" s="13" t="inlineStr">
        <is>
          <t>VTA</t>
        </is>
      </c>
      <c r="D60" s="13" t="n">
        <v>39</v>
      </c>
      <c r="E60" s="10">
        <f>IF(D60&gt;0,VLOOKUP(OPERAC[[#This Row],[COD CART]],[1]!MatrizCortoLargoCyl[#All],3,0),"")</f>
        <v/>
      </c>
      <c r="F60" s="13" t="inlineStr">
        <is>
          <t>ROKU/V/150,00/04-02-22</t>
        </is>
      </c>
      <c r="G60" s="6" t="n">
        <v>-500</v>
      </c>
      <c r="H60" s="6" t="n">
        <v>4749.6875</v>
      </c>
      <c r="I60" s="7">
        <f>-H60/G60</f>
        <v/>
      </c>
      <c r="J60" s="11" t="n">
        <v>44595</v>
      </c>
      <c r="K60" s="6" t="n">
        <v>-500</v>
      </c>
      <c r="L60" s="6" t="n">
        <v>-2925.205</v>
      </c>
      <c r="M60" s="7">
        <f>IF(N60=0,+L60+H60,0)</f>
        <v/>
      </c>
      <c r="N60" s="7">
        <f>IF((+G60-K60)=0,0,+G60-K60)</f>
        <v/>
      </c>
      <c r="O60" s="7">
        <f>IF(N60=0,0,(L60+H60)/-N60)</f>
        <v/>
      </c>
      <c r="P60" s="7">
        <f>VLOOKUP(OPERAC[[#This Row],[especie]],[1]!ESPECIES[#All],6,0)</f>
        <v/>
      </c>
      <c r="Q60" s="7">
        <f>IF(N60&lt;&gt;0,P60*N60,0)</f>
        <v/>
      </c>
      <c r="R60" s="8">
        <f>IF(Q60&lt;&gt;0,Q60+H60+L60,0)</f>
        <v/>
      </c>
      <c r="S60" s="9">
        <f>VLOOKUP(OPERAC[[#This Row],[especie]],[1]!ESPECIES[#Data],9,FALSE)</f>
        <v/>
      </c>
    </row>
    <row r="61">
      <c r="A61" s="4" t="n">
        <v>2203</v>
      </c>
      <c r="B61" s="5" t="n">
        <v>44588</v>
      </c>
      <c r="C61" s="13" t="inlineStr">
        <is>
          <t>VTA</t>
        </is>
      </c>
      <c r="D61" s="13" t="n">
        <v>39</v>
      </c>
      <c r="E61" s="10">
        <f>IF(D61&gt;0,VLOOKUP(OPERAC[[#This Row],[COD CART]],[1]!MatrizCortoLargoCyl[#All],3,0),"")</f>
        <v/>
      </c>
      <c r="F61" s="13" t="inlineStr">
        <is>
          <t>ROKU/V/150,00/04-02-22</t>
        </is>
      </c>
      <c r="G61" s="6" t="n">
        <v>-500</v>
      </c>
      <c r="H61" s="6" t="n">
        <v>4749.6875</v>
      </c>
      <c r="I61" s="7">
        <f>-H61/G61</f>
        <v/>
      </c>
      <c r="J61" s="11" t="n">
        <v>44595</v>
      </c>
      <c r="K61" s="6" t="n">
        <v>-500</v>
      </c>
      <c r="L61" s="6" t="n">
        <v>-2925.205</v>
      </c>
      <c r="M61" s="7">
        <f>IF(N61=0,+L61+H61,0)</f>
        <v/>
      </c>
      <c r="N61" s="7">
        <f>IF((+G61-K61)=0,0,+G61-K61)</f>
        <v/>
      </c>
      <c r="O61" s="7">
        <f>IF(N61=0,0,(L61+H61)/-N61)</f>
        <v/>
      </c>
      <c r="P61" s="7">
        <f>VLOOKUP(OPERAC[[#This Row],[especie]],[1]!ESPECIES[#All],6,0)</f>
        <v/>
      </c>
      <c r="Q61" s="7">
        <f>IF(N61&lt;&gt;0,P61*N61,0)</f>
        <v/>
      </c>
      <c r="R61" s="8">
        <f>IF(Q61&lt;&gt;0,Q61+H61+L61,0)</f>
        <v/>
      </c>
      <c r="S61" s="9">
        <f>VLOOKUP(OPERAC[[#This Row],[especie]],[1]!ESPECIES[#Data],9,FALSE)</f>
        <v/>
      </c>
    </row>
    <row r="62">
      <c r="A62" s="4" t="n">
        <v>1760</v>
      </c>
      <c r="B62" s="5" t="n">
        <v>44655</v>
      </c>
      <c r="C62" s="13" t="inlineStr">
        <is>
          <t>VTA</t>
        </is>
      </c>
      <c r="D62" s="13" t="n">
        <v>39</v>
      </c>
      <c r="E62" s="10">
        <f>IF(D62&gt;0,VLOOKUP(OPERAC[[#This Row],[COD CART]],[1]!MatrizCortoLargoCyl[#All],3,0),"")</f>
        <v/>
      </c>
      <c r="F62" s="13" t="inlineStr">
        <is>
          <t>TSLA/C/1300,00/08-04-22</t>
        </is>
      </c>
      <c r="G62" s="6">
        <f>-2000-1000</f>
        <v/>
      </c>
      <c r="H62" s="6">
        <f>3061.36+1683.68</f>
        <v/>
      </c>
      <c r="I62" s="7">
        <f>-H62/G62</f>
        <v/>
      </c>
      <c r="J62" s="11" t="n">
        <v>44659</v>
      </c>
      <c r="K62" s="6">
        <f>+OPERAC[[#This Row],[cantidad]]</f>
        <v/>
      </c>
      <c r="L62" s="6" t="n">
        <v>0</v>
      </c>
      <c r="M62" s="7">
        <f>IF(N62=0,+L62+H62,0)</f>
        <v/>
      </c>
      <c r="N62" s="7">
        <f>IF((+G62-K62)=0,0,+G62-K62)</f>
        <v/>
      </c>
      <c r="O62" s="7">
        <f>IF(N62=0,0,(L62+H62)/-N62)</f>
        <v/>
      </c>
      <c r="P62" s="7">
        <f>VLOOKUP(OPERAC[[#This Row],[especie]],[1]!ESPECIES[#All],6,0)</f>
        <v/>
      </c>
      <c r="Q62" s="7">
        <f>IF(N62&lt;&gt;0,P62*N62,0)</f>
        <v/>
      </c>
      <c r="R62" s="8">
        <f>IF(Q62&lt;&gt;0,Q62+H62+L62,0)</f>
        <v/>
      </c>
      <c r="S62" s="9">
        <f>VLOOKUP(OPERAC[[#This Row],[especie]],[1]!ESPECIES[#Data],9,FALSE)</f>
        <v/>
      </c>
    </row>
    <row r="63">
      <c r="A63" s="4" t="n">
        <v>3728</v>
      </c>
      <c r="B63" s="5" t="n">
        <v>44553</v>
      </c>
      <c r="C63" s="13" t="inlineStr">
        <is>
          <t>VTA</t>
        </is>
      </c>
      <c r="D63" s="13" t="n">
        <v>39</v>
      </c>
      <c r="E63" s="10">
        <f>IF(D63&gt;0,VLOOKUP(OPERAC[[#This Row],[COD CART]],[1]!MatrizCortoLargoCyl[#All],3,0),"")</f>
        <v/>
      </c>
      <c r="F63" s="13" t="inlineStr">
        <is>
          <t>ACB/V/6,00/21-01-22</t>
        </is>
      </c>
      <c r="G63" s="6" t="n">
        <v>-10000</v>
      </c>
      <c r="H63" s="6" t="n">
        <v>4742.8</v>
      </c>
      <c r="I63" s="7">
        <f>-H63/G63</f>
        <v/>
      </c>
      <c r="J63" s="11" t="n">
        <v>44581</v>
      </c>
      <c r="K63" s="6">
        <f>+OPERAC[[#This Row],[cantidad]]</f>
        <v/>
      </c>
      <c r="L63" s="6">
        <f>-OPERAC[[#This Row],[importe]]</f>
        <v/>
      </c>
      <c r="M63" s="7">
        <f>IF(N63=0,+L63+H63,0)</f>
        <v/>
      </c>
      <c r="N63" s="7">
        <f>IF((+G63-K63)=0,0,+G63-K63)</f>
        <v/>
      </c>
      <c r="O63" s="7">
        <f>IF(N63=0,0,(L63+H63)/-N63)</f>
        <v/>
      </c>
      <c r="P63" s="7">
        <f>VLOOKUP(OPERAC[[#This Row],[especie]],[1]!ESPECIES[#All],6,0)</f>
        <v/>
      </c>
      <c r="Q63" s="7">
        <f>IF(N63&lt;&gt;0,P63*N63,0)</f>
        <v/>
      </c>
      <c r="R63" s="8">
        <f>IF(Q63&lt;&gt;0,Q63+H63+L63,0)</f>
        <v/>
      </c>
      <c r="S63" s="9">
        <f>VLOOKUP(OPERAC[[#This Row],[especie]],[1]!ESPECIES[#Data],9,FALSE)</f>
        <v/>
      </c>
    </row>
    <row r="64">
      <c r="A64" s="4" t="n">
        <v>3728</v>
      </c>
      <c r="B64" s="5" t="n">
        <v>44607</v>
      </c>
      <c r="C64" s="13" t="inlineStr">
        <is>
          <t>VTA</t>
        </is>
      </c>
      <c r="D64" s="13" t="n">
        <v>39</v>
      </c>
      <c r="E64" s="10">
        <f>IF(D64&gt;0,VLOOKUP(OPERAC[[#This Row],[COD CART]],[1]!MatrizCortoLargoCyl[#All],3,0),"")</f>
        <v/>
      </c>
      <c r="F64" s="13" t="inlineStr">
        <is>
          <t>TSLA/C/965,00/18-02-22</t>
        </is>
      </c>
      <c r="G64" s="6" t="n">
        <v>-1000</v>
      </c>
      <c r="H64" s="6" t="n">
        <v>4742.51</v>
      </c>
      <c r="I64" s="7">
        <f>-H64/G64</f>
        <v/>
      </c>
      <c r="J64" s="11" t="n">
        <v>44607</v>
      </c>
      <c r="K64" s="6" t="n">
        <v>-1000</v>
      </c>
      <c r="L64" s="6" t="n">
        <v>-3606.29</v>
      </c>
      <c r="M64" s="7">
        <f>IF(N64=0,+L64+H64,0)</f>
        <v/>
      </c>
      <c r="N64" s="7">
        <f>IF((+G64-K64)=0,0,+G64-K64)</f>
        <v/>
      </c>
      <c r="O64" s="7">
        <f>IF(N64=0,0,(L64+H64)/-N64)</f>
        <v/>
      </c>
      <c r="P64" s="7">
        <f>VLOOKUP(OPERAC[[#This Row],[especie]],[1]!ESPECIES[#All],6,0)</f>
        <v/>
      </c>
      <c r="Q64" s="7">
        <f>IF(N64&lt;&gt;0,P64*N64,0)</f>
        <v/>
      </c>
      <c r="R64" s="8">
        <f>IF(Q64&lt;&gt;0,Q64+H64+L64,0)</f>
        <v/>
      </c>
      <c r="S64" s="9">
        <f>VLOOKUP(OPERAC[[#This Row],[especie]],[1]!ESPECIES[#Data],9,FALSE)</f>
        <v/>
      </c>
    </row>
    <row r="65">
      <c r="A65" s="4" t="n">
        <v>9195</v>
      </c>
      <c r="B65" s="5" t="n">
        <v>44607</v>
      </c>
      <c r="C65" s="13" t="inlineStr">
        <is>
          <t>VTA</t>
        </is>
      </c>
      <c r="D65" s="13" t="n">
        <v>39</v>
      </c>
      <c r="E65" s="10">
        <f>IF(D65&gt;0,VLOOKUP(OPERAC[[#This Row],[COD CART]],[1]!MatrizCortoLargoCyl[#All],3,0),"")</f>
        <v/>
      </c>
      <c r="F65" s="13" t="inlineStr">
        <is>
          <t>TSLA/C/965,00/18-02-22</t>
        </is>
      </c>
      <c r="G65" s="6" t="n">
        <v>-1000</v>
      </c>
      <c r="H65" s="6" t="n">
        <v>4728.26</v>
      </c>
      <c r="I65" s="7">
        <f>-H65/G65</f>
        <v/>
      </c>
      <c r="J65" s="11" t="n">
        <v>44607</v>
      </c>
      <c r="K65" s="6" t="n">
        <v>-1000</v>
      </c>
      <c r="L65" s="6" t="n">
        <v>-3617.09</v>
      </c>
      <c r="M65" s="7">
        <f>IF(N65=0,+L65+H65,0)</f>
        <v/>
      </c>
      <c r="N65" s="7">
        <f>IF((+G65-K65)=0,0,+G65-K65)</f>
        <v/>
      </c>
      <c r="O65" s="7">
        <f>IF(N65=0,0,(L65+H65)/-N65)</f>
        <v/>
      </c>
      <c r="P65" s="7">
        <f>VLOOKUP(OPERAC[[#This Row],[especie]],[1]!ESPECIES[#All],6,0)</f>
        <v/>
      </c>
      <c r="Q65" s="7">
        <f>IF(N65&lt;&gt;0,P65*N65,0)</f>
        <v/>
      </c>
      <c r="R65" s="8">
        <f>IF(Q65&lt;&gt;0,Q65+H65+L65,0)</f>
        <v/>
      </c>
      <c r="S65" s="9">
        <f>VLOOKUP(OPERAC[[#This Row],[especie]],[1]!ESPECIES[#Data],9,FALSE)</f>
        <v/>
      </c>
    </row>
    <row r="66">
      <c r="A66" s="4" t="n">
        <v>15189</v>
      </c>
      <c r="B66" s="5" t="n">
        <v>44307</v>
      </c>
      <c r="C66" s="13" t="inlineStr">
        <is>
          <t>VTA</t>
        </is>
      </c>
      <c r="D66" s="13" t="n">
        <v>39</v>
      </c>
      <c r="E66" s="10">
        <f>IF(D66&gt;0,VLOOKUP(OPERAC[[#This Row],[COD CART]],[1]!MatrizCortoLargoCyl[#All],3,0),"")</f>
        <v/>
      </c>
      <c r="F66" s="13" t="inlineStr">
        <is>
          <t>ACB/V/12,00/20-01-23</t>
        </is>
      </c>
      <c r="G66" s="6" t="n">
        <v>-700</v>
      </c>
      <c r="H66" s="6" t="n">
        <v>4707.69</v>
      </c>
      <c r="I66" s="7">
        <f>-H66/G66</f>
        <v/>
      </c>
      <c r="J66" s="11" t="n">
        <v>44614</v>
      </c>
      <c r="K66" s="6" t="n">
        <v>-700</v>
      </c>
      <c r="L66" s="6" t="n">
        <v>-4707</v>
      </c>
      <c r="M66" s="7">
        <f>IF(N66=0,+L66+H66,0)</f>
        <v/>
      </c>
      <c r="N66" s="7">
        <f>IF((+G66-K66)=0,0,+G66-K66)</f>
        <v/>
      </c>
      <c r="O66" s="7">
        <f>IF(N66=0,0,(L66+H66)/-N66)</f>
        <v/>
      </c>
      <c r="P66" s="7">
        <f>VLOOKUP(OPERAC[[#This Row],[especie]],[1]!ESPECIES[#All],6,0)</f>
        <v/>
      </c>
      <c r="Q66" s="7">
        <f>IF(N66&lt;&gt;0,P66*N66,0)</f>
        <v/>
      </c>
      <c r="R66" s="8">
        <f>IF(Q66&lt;&gt;0,Q66+H66+L66,0)</f>
        <v/>
      </c>
      <c r="S66" s="9">
        <f>VLOOKUP(OPERAC[[#This Row],[especie]],[1]!ESPECIES[#Data],9,FALSE)</f>
        <v/>
      </c>
    </row>
    <row r="67">
      <c r="A67" s="4" t="n">
        <v>15195</v>
      </c>
      <c r="B67" s="5" t="n">
        <v>44277</v>
      </c>
      <c r="C67" s="13" t="inlineStr">
        <is>
          <t>VTA</t>
        </is>
      </c>
      <c r="D67" s="13" t="n">
        <v>39</v>
      </c>
      <c r="E67" s="10">
        <f>IF(D67&gt;0,VLOOKUP(OPERAC[[#This Row],[COD CART]],[1]!MatrizCortoLargoCyl[#All],3,0),"")</f>
        <v/>
      </c>
      <c r="F67" s="13" t="inlineStr">
        <is>
          <t>ACB/V/15,00/20-01-23</t>
        </is>
      </c>
      <c r="G67" s="6" t="n">
        <v>-500</v>
      </c>
      <c r="H67" s="6" t="n">
        <v>4500</v>
      </c>
      <c r="I67" s="7">
        <f>-H67/G67</f>
        <v/>
      </c>
      <c r="J67" s="11" t="n">
        <v>44614</v>
      </c>
      <c r="K67" s="6" t="n">
        <v>-500</v>
      </c>
      <c r="L67" s="6" t="n">
        <v>-4500</v>
      </c>
      <c r="M67" s="7">
        <f>IF(N67=0,+L67+H67,0)</f>
        <v/>
      </c>
      <c r="N67" s="7">
        <f>IF((+G67-K67)=0,0,+G67-K67)</f>
        <v/>
      </c>
      <c r="O67" s="7">
        <f>IF(N67=0,0,(L67+H67)/-N67)</f>
        <v/>
      </c>
      <c r="P67" s="7">
        <f>VLOOKUP(OPERAC[[#This Row],[especie]],[1]!ESPECIES[#All],6,0)</f>
        <v/>
      </c>
      <c r="Q67" s="7">
        <f>IF(N67&lt;&gt;0,P67*N67,0)</f>
        <v/>
      </c>
      <c r="R67" s="8">
        <f>IF(Q67&lt;&gt;0,Q67+H67+L67,0)</f>
        <v/>
      </c>
      <c r="S67" s="9">
        <f>VLOOKUP(OPERAC[[#This Row],[especie]],[1]!ESPECIES[#Data],9,FALSE)</f>
        <v/>
      </c>
    </row>
    <row r="68">
      <c r="A68" s="4" t="n">
        <v>19878</v>
      </c>
      <c r="B68" s="5" t="n">
        <v>44581</v>
      </c>
      <c r="C68" s="13" t="inlineStr">
        <is>
          <t>VTA</t>
        </is>
      </c>
      <c r="D68" s="13" t="n">
        <v>39</v>
      </c>
      <c r="E68" s="10">
        <f>IF(D68&gt;0,VLOOKUP(OPERAC[[#This Row],[COD CART]],[1]!MatrizCortoLargoCyl[#All],3,0),"")</f>
        <v/>
      </c>
      <c r="F68" s="13" t="inlineStr">
        <is>
          <t>DIS/V/155,00/18-02-22</t>
        </is>
      </c>
      <c r="G68" s="6" t="n">
        <v>-600</v>
      </c>
      <c r="H68" s="6" t="n">
        <v>4462.338</v>
      </c>
      <c r="I68" s="7">
        <f>-H68/G68</f>
        <v/>
      </c>
      <c r="J68" s="11" t="n">
        <v>44607</v>
      </c>
      <c r="K68" s="6" t="n">
        <v>-600</v>
      </c>
      <c r="L68" s="6" t="n">
        <v>-1304.52</v>
      </c>
      <c r="M68" s="7">
        <f>IF(N68=0,+L68+H68,0)</f>
        <v/>
      </c>
      <c r="N68" s="7">
        <f>IF((+G68-K68)=0,0,+G68-K68)</f>
        <v/>
      </c>
      <c r="O68" s="7">
        <f>IF(N68=0,0,(L68+H68)/-N68)</f>
        <v/>
      </c>
      <c r="P68" s="7">
        <f>VLOOKUP(OPERAC[[#This Row],[especie]],[1]!ESPECIES[#All],6,0)</f>
        <v/>
      </c>
      <c r="Q68" s="7">
        <f>IF(N68&lt;&gt;0,P68*N68,0)</f>
        <v/>
      </c>
      <c r="R68" s="8">
        <f>IF(Q68&lt;&gt;0,Q68+H68+L68,0)</f>
        <v/>
      </c>
      <c r="S68" s="9">
        <f>VLOOKUP(OPERAC[[#This Row],[especie]],[1]!ESPECIES[#Data],9,FALSE)</f>
        <v/>
      </c>
    </row>
    <row r="69">
      <c r="A69" s="4" t="n">
        <v>3787</v>
      </c>
      <c r="B69" s="5" t="n">
        <v>44607</v>
      </c>
      <c r="C69" s="13" t="inlineStr">
        <is>
          <t>VTA</t>
        </is>
      </c>
      <c r="D69" s="13" t="n">
        <v>39</v>
      </c>
      <c r="E69" s="10">
        <f>IF(D69&gt;0,VLOOKUP(OPERAC[[#This Row],[COD CART]],[1]!MatrizCortoLargoCyl[#All],3,0),"")</f>
        <v/>
      </c>
      <c r="F69" s="13" t="inlineStr">
        <is>
          <t>TSLA/V/830,00/18-02-22</t>
        </is>
      </c>
      <c r="G69" s="6" t="n">
        <v>-2300</v>
      </c>
      <c r="H69" s="6" t="n">
        <v>4433.198249999999</v>
      </c>
      <c r="I69" s="7">
        <f>-H69/G69</f>
        <v/>
      </c>
      <c r="J69" s="11" t="n">
        <v>44609</v>
      </c>
      <c r="K69" s="6">
        <f>-1300-1000</f>
        <v/>
      </c>
      <c r="L69" s="6">
        <f>-2498.717-4291.16</f>
        <v/>
      </c>
      <c r="M69" s="7">
        <f>IF(N69=0,+L69+H69,0)</f>
        <v/>
      </c>
      <c r="N69" s="7">
        <f>IF((+G69-K69)=0,0,+G69-K69)</f>
        <v/>
      </c>
      <c r="O69" s="7">
        <f>IF(N69=0,0,(L69+H69)/-N69)</f>
        <v/>
      </c>
      <c r="P69" s="7">
        <f>VLOOKUP(OPERAC[[#This Row],[especie]],[1]!ESPECIES[#All],6,0)</f>
        <v/>
      </c>
      <c r="Q69" s="7">
        <f>IF(N69&lt;&gt;0,P69*N69,0)</f>
        <v/>
      </c>
      <c r="R69" s="8">
        <f>IF(Q69&lt;&gt;0,Q69+H69+L69,0)</f>
        <v/>
      </c>
      <c r="S69" s="9">
        <f>VLOOKUP(OPERAC[[#This Row],[especie]],[1]!ESPECIES[#Data],9,FALSE)</f>
        <v/>
      </c>
    </row>
    <row r="70">
      <c r="A70" s="4" t="n">
        <v>12672</v>
      </c>
      <c r="B70" s="5" t="n">
        <v>44601</v>
      </c>
      <c r="C70" s="13" t="inlineStr">
        <is>
          <t>VTA</t>
        </is>
      </c>
      <c r="D70" s="13" t="n">
        <v>39</v>
      </c>
      <c r="E70" s="10">
        <f>IF(D70&gt;0,VLOOKUP(OPERAC[[#This Row],[COD CART]],[1]!MatrizCortoLargoCyl[#All],3,0),"")</f>
        <v/>
      </c>
      <c r="F70" s="13" t="inlineStr">
        <is>
          <t>TSLA/V/825/18-02-22</t>
        </is>
      </c>
      <c r="G70" s="6" t="n">
        <v>-1000</v>
      </c>
      <c r="H70" s="6" t="n">
        <v>4350</v>
      </c>
      <c r="I70" s="7">
        <f>-H70/G70</f>
        <v/>
      </c>
      <c r="J70" s="11" t="n">
        <v>44606</v>
      </c>
      <c r="K70" s="6" t="n">
        <v>-1000</v>
      </c>
      <c r="L70" s="6" t="n">
        <v>-6541.69</v>
      </c>
      <c r="M70" s="7">
        <f>IF(N70=0,+L70+H70,0)</f>
        <v/>
      </c>
      <c r="N70" s="7">
        <f>IF((+G70-K70)=0,0,+G70-K70)</f>
        <v/>
      </c>
      <c r="O70" s="7">
        <f>IF(N70=0,0,(L70+H70)/-N70)</f>
        <v/>
      </c>
      <c r="P70" s="7">
        <f>VLOOKUP(OPERAC[[#This Row],[especie]],[1]!ESPECIES[#All],6,0)</f>
        <v/>
      </c>
      <c r="Q70" s="7">
        <f>IF(N70&lt;&gt;0,P70*N70,0)</f>
        <v/>
      </c>
      <c r="R70" s="8">
        <f>IF(Q70&lt;&gt;0,Q70+H70+L70,0)</f>
        <v/>
      </c>
      <c r="S70" s="9">
        <f>VLOOKUP(OPERAC[[#This Row],[especie]],[1]!ESPECIES[#Data],9,FALSE)</f>
        <v/>
      </c>
    </row>
    <row r="71">
      <c r="A71" s="4" t="n">
        <v>12672</v>
      </c>
      <c r="B71" s="5" t="n">
        <v>44714</v>
      </c>
      <c r="C71" s="13" t="inlineStr">
        <is>
          <t>VTA</t>
        </is>
      </c>
      <c r="D71" s="13" t="n">
        <v>39</v>
      </c>
      <c r="E71" s="10">
        <f>IF(D71&gt;0,VLOOKUP(OPERAC[[#This Row],[COD CART]],[1]!MatrizCortoLargoCyl[#All],3,0),"")</f>
        <v/>
      </c>
      <c r="F71" s="13" t="inlineStr">
        <is>
          <t>TSLA/V/685,00/03-06-22</t>
        </is>
      </c>
      <c r="G71" s="6" t="n">
        <v>-1400</v>
      </c>
      <c r="H71" s="6" t="n">
        <v>4303.11</v>
      </c>
      <c r="I71" s="7">
        <f>-H71/G71</f>
        <v/>
      </c>
      <c r="J71" s="5" t="n">
        <v>44715</v>
      </c>
      <c r="K71" s="6">
        <f>+OPERAC[[#This Row],[cantidad]]</f>
        <v/>
      </c>
      <c r="L71" s="6" t="n">
        <v>0</v>
      </c>
      <c r="M71" s="7">
        <f>IF(N71=0,+L71+H71,0)</f>
        <v/>
      </c>
      <c r="N71" s="7">
        <f>IF((+G71-K71)=0,0,+G71-K71)</f>
        <v/>
      </c>
      <c r="O71" s="7">
        <f>IF(N71=0,0,(L71+H71)/-N71)</f>
        <v/>
      </c>
      <c r="P71" s="7">
        <f>VLOOKUP(OPERAC[[#This Row],[especie]],[1]!ESPECIES[#All],6,0)</f>
        <v/>
      </c>
      <c r="Q71" s="7">
        <f>IF(N71&lt;&gt;0,P71*N71,0)</f>
        <v/>
      </c>
      <c r="R71" s="8">
        <f>IF(Q71&lt;&gt;0,Q71+H71+L71,0)</f>
        <v/>
      </c>
      <c r="S71" s="9">
        <f>VLOOKUP(OPERAC[[#This Row],[especie]],[1]!ESPECIES[#Data],9,FALSE)</f>
        <v/>
      </c>
    </row>
    <row r="72">
      <c r="A72" s="4" t="n">
        <v>13246</v>
      </c>
      <c r="B72" s="5" t="n">
        <v>44582</v>
      </c>
      <c r="C72" s="13" t="inlineStr">
        <is>
          <t>VTA</t>
        </is>
      </c>
      <c r="D72" s="13" t="n">
        <v>39</v>
      </c>
      <c r="E72" s="10">
        <f>IF(D72&gt;0,VLOOKUP(OPERAC[[#This Row],[COD CART]],[1]!MatrizCortoLargoCyl[#All],3,0),"")</f>
        <v/>
      </c>
      <c r="F72" s="13" t="inlineStr">
        <is>
          <t>ROKU/V/160,00/28-01-22</t>
        </is>
      </c>
      <c r="G72" s="6" t="n">
        <v>-400</v>
      </c>
      <c r="H72" s="6" t="n">
        <v>4225.5152</v>
      </c>
      <c r="I72" s="7">
        <f>-H72/G72</f>
        <v/>
      </c>
      <c r="J72" s="11" t="n">
        <v>44587</v>
      </c>
      <c r="K72" s="6">
        <f>+OPERAC[[#This Row],[cantidad]]</f>
        <v/>
      </c>
      <c r="L72" s="6">
        <f>-OPERAC[[#This Row],[importe]]</f>
        <v/>
      </c>
      <c r="M72" s="7">
        <f>IF(N72=0,+L72+H72,0)</f>
        <v/>
      </c>
      <c r="N72" s="7">
        <f>IF((+G72-K72)=0,0,+G72-K72)</f>
        <v/>
      </c>
      <c r="O72" s="7">
        <f>IF(N72=0,0,(L72+H72)/-N72)</f>
        <v/>
      </c>
      <c r="P72" s="7">
        <f>VLOOKUP(OPERAC[[#This Row],[especie]],[1]!ESPECIES[#All],6,0)</f>
        <v/>
      </c>
      <c r="Q72" s="7">
        <f>IF(N72&lt;&gt;0,P72*N72,0)</f>
        <v/>
      </c>
      <c r="R72" s="8">
        <f>IF(Q72&lt;&gt;0,Q72+H72+L72,0)</f>
        <v/>
      </c>
      <c r="S72" s="9">
        <f>VLOOKUP(OPERAC[[#This Row],[especie]],[1]!ESPECIES[#Data],9,FALSE)</f>
        <v/>
      </c>
    </row>
    <row r="73">
      <c r="A73" s="4" t="n">
        <v>13246</v>
      </c>
      <c r="B73" s="5" t="n">
        <v>44579</v>
      </c>
      <c r="C73" s="13" t="inlineStr">
        <is>
          <t>VTA</t>
        </is>
      </c>
      <c r="D73" s="13" t="n">
        <v>39</v>
      </c>
      <c r="E73" s="10">
        <f>IF(D73&gt;0,VLOOKUP(OPERAC[[#This Row],[COD CART]],[1]!MatrizCortoLargoCyl[#All],3,0),"")</f>
        <v/>
      </c>
      <c r="F73" s="13" t="inlineStr">
        <is>
          <t>SOLO/V/3,50/25-02-22</t>
        </is>
      </c>
      <c r="G73" s="6" t="n">
        <v>-3000</v>
      </c>
      <c r="H73" s="6" t="n">
        <v>4145.5722</v>
      </c>
      <c r="I73" s="7">
        <f>-H73/G73</f>
        <v/>
      </c>
      <c r="J73" s="11" t="n">
        <v>44608</v>
      </c>
      <c r="K73" s="6">
        <f>+OPERAC[[#This Row],[cantidad]]</f>
        <v/>
      </c>
      <c r="L73" s="6" t="n">
        <v>-4185.12</v>
      </c>
      <c r="M73" s="7">
        <f>IF(N73=0,+L73+H73,0)</f>
        <v/>
      </c>
      <c r="N73" s="7">
        <f>IF((+G73-K73)=0,0,+G73-K73)</f>
        <v/>
      </c>
      <c r="O73" s="7">
        <f>IF(N73=0,0,(L73+H73)/-N73)</f>
        <v/>
      </c>
      <c r="P73" s="7">
        <f>VLOOKUP(OPERAC[[#This Row],[especie]],[1]!ESPECIES[#All],6,0)</f>
        <v/>
      </c>
      <c r="Q73" s="7">
        <f>IF(N73&lt;&gt;0,P73*N73,0)</f>
        <v/>
      </c>
      <c r="R73" s="8">
        <f>IF(Q73&lt;&gt;0,Q73+H73+L73,0)</f>
        <v/>
      </c>
      <c r="S73" s="9">
        <f>VLOOKUP(OPERAC[[#This Row],[especie]],[1]!ESPECIES[#Data],9,FALSE)</f>
        <v/>
      </c>
    </row>
    <row r="74">
      <c r="A74" s="4" t="n">
        <v>3728</v>
      </c>
      <c r="B74" s="5" t="n">
        <v>44571</v>
      </c>
      <c r="C74" s="13" t="inlineStr">
        <is>
          <t>VTA</t>
        </is>
      </c>
      <c r="D74" s="13" t="n">
        <v>39</v>
      </c>
      <c r="E74" s="10">
        <f>IF(D74&gt;0,VLOOKUP(OPERAC[[#This Row],[COD CART]],[1]!MatrizCortoLargoCyl[#All],3,0),"")</f>
        <v/>
      </c>
      <c r="F74" s="13" t="inlineStr">
        <is>
          <t>TSLA/V/870,00/21-01-22</t>
        </is>
      </c>
      <c r="G74" s="6" t="n">
        <v>-700</v>
      </c>
      <c r="H74" s="6" t="n">
        <v>4054.0759</v>
      </c>
      <c r="I74" s="7">
        <f>-H74/G74</f>
        <v/>
      </c>
      <c r="J74" s="11" t="n">
        <v>44574</v>
      </c>
      <c r="K74" s="6" t="n">
        <v>-700</v>
      </c>
      <c r="L74" s="6" t="n">
        <v>-1157.9841</v>
      </c>
      <c r="M74" s="7">
        <f>IF(N74=0,+L74+H74,0)</f>
        <v/>
      </c>
      <c r="N74" s="7">
        <f>IF((+G74-K74)=0,0,+G74-K74)</f>
        <v/>
      </c>
      <c r="O74" s="7">
        <f>IF(N74=0,0,(L74+H74)/-N74)</f>
        <v/>
      </c>
      <c r="P74" s="7">
        <f>VLOOKUP(OPERAC[[#This Row],[especie]],[1]!ESPECIES[#All],6,0)</f>
        <v/>
      </c>
      <c r="Q74" s="7">
        <f>IF(N74&lt;&gt;0,P74*N74,0)</f>
        <v/>
      </c>
      <c r="R74" s="8">
        <f>IF(Q74&lt;&gt;0,Q74+H74+L74,0)</f>
        <v/>
      </c>
      <c r="S74" s="9">
        <f>VLOOKUP(OPERAC[[#This Row],[especie]],[1]!ESPECIES[#Data],9,FALSE)</f>
        <v/>
      </c>
    </row>
    <row r="75">
      <c r="A75" s="4" t="n">
        <v>2255</v>
      </c>
      <c r="B75" s="5" t="n">
        <v>44718</v>
      </c>
      <c r="C75" s="13" t="inlineStr">
        <is>
          <t>VTA</t>
        </is>
      </c>
      <c r="D75" s="13" t="n">
        <v>39</v>
      </c>
      <c r="E75" s="10">
        <f>IF(D75&gt;0,VLOOKUP(OPERAC[[#This Row],[COD CART]],[1]!MatrizCortoLargoCyl[#All],3,0),"")</f>
        <v/>
      </c>
      <c r="F75" s="13" t="inlineStr">
        <is>
          <t>TSLA/V/600,00/10-06-22</t>
        </is>
      </c>
      <c r="G75" s="6" t="n">
        <v>-1600</v>
      </c>
      <c r="H75" s="6" t="n">
        <v>4050.49</v>
      </c>
      <c r="I75" s="7">
        <f>-H75/G75</f>
        <v/>
      </c>
      <c r="J75" s="5" t="n">
        <v>44718</v>
      </c>
      <c r="K75" s="6" t="n">
        <v>-1600</v>
      </c>
      <c r="L75" s="6" t="n">
        <v>-2803.22</v>
      </c>
      <c r="M75" s="7">
        <f>IF(N75=0,+L75+H75,0)</f>
        <v/>
      </c>
      <c r="N75" s="7">
        <f>IF((+G75-K75)=0,0,+G75-K75)</f>
        <v/>
      </c>
      <c r="O75" s="7">
        <f>IF(N75=0,0,(L75+H75)/-N75)</f>
        <v/>
      </c>
      <c r="P75" s="7">
        <f>VLOOKUP(OPERAC[[#This Row],[especie]],[1]!ESPECIES[#All],6,0)</f>
        <v/>
      </c>
      <c r="Q75" s="7">
        <f>IF(N75&lt;&gt;0,P75*N75,0)</f>
        <v/>
      </c>
      <c r="R75" s="8">
        <f>IF(Q75&lt;&gt;0,Q75+H75+L75,0)</f>
        <v/>
      </c>
      <c r="S75" s="9">
        <f>VLOOKUP(OPERAC[[#This Row],[especie]],[1]!ESPECIES[#Data],9,FALSE)</f>
        <v/>
      </c>
    </row>
    <row r="76">
      <c r="A76" s="4" t="n">
        <v>18651</v>
      </c>
      <c r="B76" s="5" t="n">
        <v>44571</v>
      </c>
      <c r="C76" s="13" t="inlineStr">
        <is>
          <t>VTA</t>
        </is>
      </c>
      <c r="D76" s="13" t="n">
        <v>39</v>
      </c>
      <c r="E76" s="10">
        <f>IF(D76&gt;0,VLOOKUP(OPERAC[[#This Row],[COD CART]],[1]!MatrizCortoLargoCyl[#All],3,0),"")</f>
        <v/>
      </c>
      <c r="F76" s="13" t="inlineStr">
        <is>
          <t>TSLA/V/870,00/21-01-22</t>
        </is>
      </c>
      <c r="G76" s="6" t="n">
        <v>-700</v>
      </c>
      <c r="H76" s="6" t="n">
        <v>4025.6559</v>
      </c>
      <c r="I76" s="7">
        <f>-H76/G76</f>
        <v/>
      </c>
      <c r="J76" s="11" t="n">
        <v>44574</v>
      </c>
      <c r="K76" s="6" t="n">
        <v>-700</v>
      </c>
      <c r="L76" s="6" t="n">
        <v>-1166.0691</v>
      </c>
      <c r="M76" s="7">
        <f>IF(N76=0,+L76+H76,0)</f>
        <v/>
      </c>
      <c r="N76" s="7">
        <f>IF((+G76-K76)=0,0,+G76-K76)</f>
        <v/>
      </c>
      <c r="O76" s="7">
        <f>IF(N76=0,0,(L76+H76)/-N76)</f>
        <v/>
      </c>
      <c r="P76" s="7">
        <f>VLOOKUP(OPERAC[[#This Row],[especie]],[1]!ESPECIES[#All],6,0)</f>
        <v/>
      </c>
      <c r="Q76" s="7">
        <f>IF(N76&lt;&gt;0,P76*N76,0)</f>
        <v/>
      </c>
      <c r="R76" s="8">
        <f>IF(Q76&lt;&gt;0,Q76+H76+L76,0)</f>
        <v/>
      </c>
      <c r="S76" s="9">
        <f>VLOOKUP(OPERAC[[#This Row],[especie]],[1]!ESPECIES[#Data],9,FALSE)</f>
        <v/>
      </c>
    </row>
    <row r="77">
      <c r="A77" s="4" t="n">
        <v>10079</v>
      </c>
      <c r="B77" s="5" t="n">
        <v>44571</v>
      </c>
      <c r="C77" s="13" t="inlineStr">
        <is>
          <t>VTA</t>
        </is>
      </c>
      <c r="D77" s="13" t="n">
        <v>39</v>
      </c>
      <c r="E77" s="10">
        <f>IF(D77&gt;0,VLOOKUP(OPERAC[[#This Row],[COD CART]],[1]!MatrizCortoLargoCyl[#All],3,0),"")</f>
        <v/>
      </c>
      <c r="F77" s="13" t="inlineStr">
        <is>
          <t>TSLA/V/870,00/21-01-22</t>
        </is>
      </c>
      <c r="G77" s="6" t="n">
        <v>-700</v>
      </c>
      <c r="H77" s="6" t="n">
        <v>4025.6559</v>
      </c>
      <c r="I77" s="7">
        <f>-H77/G77</f>
        <v/>
      </c>
      <c r="J77" s="11" t="n">
        <v>44574</v>
      </c>
      <c r="K77" s="6" t="n">
        <v>-700</v>
      </c>
      <c r="L77" s="6" t="n">
        <v>-1166.0691</v>
      </c>
      <c r="M77" s="7">
        <f>IF(N77=0,+L77+H77,0)</f>
        <v/>
      </c>
      <c r="N77" s="7">
        <f>IF((+G77-K77)=0,0,+G77-K77)</f>
        <v/>
      </c>
      <c r="O77" s="7">
        <f>IF(N77=0,0,(L77+H77)/-N77)</f>
        <v/>
      </c>
      <c r="P77" s="7">
        <f>VLOOKUP(OPERAC[[#This Row],[especie]],[1]!ESPECIES[#All],6,0)</f>
        <v/>
      </c>
      <c r="Q77" s="7">
        <f>IF(N77&lt;&gt;0,P77*N77,0)</f>
        <v/>
      </c>
      <c r="R77" s="8">
        <f>IF(Q77&lt;&gt;0,Q77+H77+L77,0)</f>
        <v/>
      </c>
      <c r="S77" s="9">
        <f>VLOOKUP(OPERAC[[#This Row],[especie]],[1]!ESPECIES[#Data],9,FALSE)</f>
        <v/>
      </c>
    </row>
    <row r="78">
      <c r="A78" s="4" t="n">
        <v>3728</v>
      </c>
      <c r="B78" s="5" t="n">
        <v>44697</v>
      </c>
      <c r="C78" s="13" t="inlineStr">
        <is>
          <t>VTA</t>
        </is>
      </c>
      <c r="D78" s="13" t="n">
        <v>39</v>
      </c>
      <c r="E78" s="10">
        <f>IF(D78&gt;0,VLOOKUP(OPERAC[[#This Row],[COD CART]],[1]!MatrizCortoLargoCyl[#All],3,0),"")</f>
        <v/>
      </c>
      <c r="F78" s="13" t="inlineStr">
        <is>
          <t>NTLA/V/50,00/20-05-22</t>
        </is>
      </c>
      <c r="G78" s="6" t="n">
        <v>-1000</v>
      </c>
      <c r="H78" s="6" t="n">
        <v>3996</v>
      </c>
      <c r="I78" s="7">
        <f>-H78/G78</f>
        <v/>
      </c>
      <c r="J78" s="11" t="n">
        <v>44701</v>
      </c>
      <c r="K78" s="6" t="n">
        <v>-1000</v>
      </c>
      <c r="L78" s="6" t="n">
        <v>-2502.5</v>
      </c>
      <c r="M78" s="7">
        <f>IF(N78=0,+L78+H78,0)</f>
        <v/>
      </c>
      <c r="N78" s="7">
        <f>IF((+G78-K78)=0,0,+G78-K78)</f>
        <v/>
      </c>
      <c r="O78" s="7">
        <f>IF(N78=0,0,(L78+H78)/-N78)</f>
        <v/>
      </c>
      <c r="P78" s="7">
        <f>VLOOKUP(OPERAC[[#This Row],[especie]],[1]!ESPECIES[#All],6,0)</f>
        <v/>
      </c>
      <c r="Q78" s="7">
        <f>IF(N78&lt;&gt;0,P78*N78,0)</f>
        <v/>
      </c>
      <c r="R78" s="8">
        <f>IF(Q78&lt;&gt;0,Q78+H78+L78,0)</f>
        <v/>
      </c>
      <c r="S78" s="9">
        <f>VLOOKUP(OPERAC[[#This Row],[especie]],[1]!ESPECIES[#Data],9,FALSE)</f>
        <v/>
      </c>
    </row>
    <row r="79">
      <c r="A79" s="4" t="n">
        <v>18690</v>
      </c>
      <c r="B79" s="5" t="n">
        <v>44698</v>
      </c>
      <c r="C79" s="13" t="inlineStr">
        <is>
          <t>VTA</t>
        </is>
      </c>
      <c r="D79" s="13" t="n">
        <v>39</v>
      </c>
      <c r="E79" s="10">
        <f>IF(D79&gt;0,VLOOKUP(OPERAC[[#This Row],[COD CART]],[1]!MatrizCortoLargoCyl[#All],3,0),"")</f>
        <v/>
      </c>
      <c r="F79" s="13" t="inlineStr">
        <is>
          <t>TSLA/P/635,00/27-05-22</t>
        </is>
      </c>
      <c r="G79" s="6" t="n">
        <v>-500</v>
      </c>
      <c r="H79" s="6" t="n">
        <v>3966</v>
      </c>
      <c r="I79" s="7">
        <f>-H79/G79</f>
        <v/>
      </c>
      <c r="J79" s="11" t="n">
        <v>44701</v>
      </c>
      <c r="K79" s="6" t="n">
        <v>-500</v>
      </c>
      <c r="L79" s="6" t="n">
        <v>-16388.125</v>
      </c>
      <c r="M79" s="7">
        <f>IF(N79=0,+L79+H79,0)</f>
        <v/>
      </c>
      <c r="N79" s="7">
        <f>IF((+G79-K79)=0,0,+G79-K79)</f>
        <v/>
      </c>
      <c r="O79" s="7">
        <f>IF(N79=0,0,(L79+H79)/-N79)</f>
        <v/>
      </c>
      <c r="P79" s="7">
        <f>VLOOKUP(OPERAC[[#This Row],[especie]],[1]!ESPECIES[#All],6,0)</f>
        <v/>
      </c>
      <c r="Q79" s="7">
        <f>IF(N79&lt;&gt;0,P79*N79,0)</f>
        <v/>
      </c>
      <c r="R79" s="8">
        <f>IF(Q79&lt;&gt;0,Q79+H79+L79,0)</f>
        <v/>
      </c>
      <c r="S79" s="9">
        <f>VLOOKUP(OPERAC[[#This Row],[especie]],[1]!ESPECIES[#Data],9,FALSE)</f>
        <v/>
      </c>
    </row>
    <row r="80">
      <c r="A80" s="4" t="n">
        <v>26140</v>
      </c>
      <c r="B80" s="5" t="n">
        <v>44634</v>
      </c>
      <c r="C80" s="13" t="inlineStr">
        <is>
          <t>VTA</t>
        </is>
      </c>
      <c r="D80" s="13" t="n">
        <v>39</v>
      </c>
      <c r="E80" s="10">
        <f>IF(D80&gt;0,VLOOKUP(OPERAC[[#This Row],[COD CART]],[1]!MatrizCortoLargoCyl[#All],3,0),"")</f>
        <v/>
      </c>
      <c r="F80" s="13" t="inlineStr">
        <is>
          <t>TSLA/V/655,00/18-03-22</t>
        </is>
      </c>
      <c r="G80" s="6" t="n">
        <v>-2000</v>
      </c>
      <c r="H80" s="6" t="n">
        <v>3962.55</v>
      </c>
      <c r="I80" s="7">
        <f>-H80/G80</f>
        <v/>
      </c>
      <c r="J80" s="11" t="n">
        <v>44635</v>
      </c>
      <c r="K80" s="6" t="n">
        <v>-2000</v>
      </c>
      <c r="L80" s="6" t="n">
        <v>-1929.18</v>
      </c>
      <c r="M80" s="7">
        <f>IF(N80=0,+L80+H80,0)</f>
        <v/>
      </c>
      <c r="N80" s="7">
        <f>IF((+G80-K80)=0,0,+G80-K80)</f>
        <v/>
      </c>
      <c r="O80" s="7">
        <f>IF(N80=0,0,(L80+H80)/-N80)</f>
        <v/>
      </c>
      <c r="P80" s="7">
        <f>VLOOKUP(OPERAC[[#This Row],[especie]],[1]!ESPECIES[#All],6,0)</f>
        <v/>
      </c>
      <c r="Q80" s="7">
        <f>IF(N80&lt;&gt;0,P80*N80,0)</f>
        <v/>
      </c>
      <c r="R80" s="8">
        <f>IF(Q80&lt;&gt;0,Q80+H80+L80,0)</f>
        <v/>
      </c>
      <c r="S80" s="9">
        <f>VLOOKUP(OPERAC[[#This Row],[especie]],[1]!ESPECIES[#Data],9,FALSE)</f>
        <v/>
      </c>
    </row>
    <row r="81">
      <c r="A81" s="4" t="n">
        <v>12684</v>
      </c>
      <c r="B81" s="5" t="n">
        <v>44634</v>
      </c>
      <c r="C81" s="13" t="inlineStr">
        <is>
          <t>VTA</t>
        </is>
      </c>
      <c r="D81" s="13" t="n">
        <v>39</v>
      </c>
      <c r="E81" s="10">
        <f>IF(D81&gt;0,VLOOKUP(OPERAC[[#This Row],[COD CART]],[1]!MatrizCortoLargoCyl[#All],3,0),"")</f>
        <v/>
      </c>
      <c r="F81" s="13" t="inlineStr">
        <is>
          <t>TSLA/V/670,00/18-03-22</t>
        </is>
      </c>
      <c r="G81" s="6" t="n">
        <v>-2000</v>
      </c>
      <c r="H81" s="6" t="n">
        <v>3962.55</v>
      </c>
      <c r="I81" s="7">
        <f>-H81/G81</f>
        <v/>
      </c>
      <c r="J81" s="11" t="n">
        <v>44635</v>
      </c>
      <c r="K81" s="6" t="n">
        <v>-2000</v>
      </c>
      <c r="L81" s="6" t="n">
        <v>-1625.06</v>
      </c>
      <c r="M81" s="7">
        <f>IF(N81=0,+L81+H81,0)</f>
        <v/>
      </c>
      <c r="N81" s="7">
        <f>IF((+G81-K81)=0,0,+G81-K81)</f>
        <v/>
      </c>
      <c r="O81" s="7">
        <f>IF(N81=0,0,(L81+H81)/-N81)</f>
        <v/>
      </c>
      <c r="P81" s="7">
        <f>VLOOKUP(OPERAC[[#This Row],[especie]],[1]!ESPECIES[#All],6,0)</f>
        <v/>
      </c>
      <c r="Q81" s="7">
        <f>IF(N81&lt;&gt;0,P81*N81,0)</f>
        <v/>
      </c>
      <c r="R81" s="8">
        <f>IF(Q81&lt;&gt;0,Q81+H81+L81,0)</f>
        <v/>
      </c>
      <c r="S81" s="9">
        <f>VLOOKUP(OPERAC[[#This Row],[especie]],[1]!ESPECIES[#Data],9,FALSE)</f>
        <v/>
      </c>
    </row>
    <row r="82">
      <c r="A82" s="4" t="n">
        <v>10079</v>
      </c>
      <c r="B82" s="5" t="n">
        <v>44579</v>
      </c>
      <c r="C82" s="13" t="inlineStr">
        <is>
          <t>VTA</t>
        </is>
      </c>
      <c r="D82" s="13" t="n">
        <v>39</v>
      </c>
      <c r="E82" s="10">
        <f>IF(D82&gt;0,VLOOKUP(OPERAC[[#This Row],[COD CART]],[1]!MatrizCortoLargoCyl[#All],3,0),"")</f>
        <v/>
      </c>
      <c r="F82" s="13" t="inlineStr">
        <is>
          <t>ROKU/V/160,00/21-01-22</t>
        </is>
      </c>
      <c r="G82" s="6" t="n">
        <v>-2000</v>
      </c>
      <c r="H82" s="6" t="n">
        <v>3959.32</v>
      </c>
      <c r="I82" s="7">
        <f>-H82/G82</f>
        <v/>
      </c>
      <c r="J82" s="11" t="n">
        <v>44582</v>
      </c>
      <c r="K82" s="6" t="n">
        <v>-2000</v>
      </c>
      <c r="L82" s="6">
        <f>-OPERAC[[#This Row],[importe]]</f>
        <v/>
      </c>
      <c r="M82" s="7">
        <f>IF(N82=0,+L82+H82,0)</f>
        <v/>
      </c>
      <c r="N82" s="7">
        <f>IF((+G82-K82)=0,0,+G82-K82)</f>
        <v/>
      </c>
      <c r="O82" s="7">
        <f>IF(N82=0,0,(L82+H82)/-N82)</f>
        <v/>
      </c>
      <c r="P82" s="7">
        <f>VLOOKUP(OPERAC[[#This Row],[especie]],[1]!ESPECIES[#All],6,0)</f>
        <v/>
      </c>
      <c r="Q82" s="7">
        <f>IF(N82&lt;&gt;0,P82*N82,0)</f>
        <v/>
      </c>
      <c r="R82" s="8">
        <f>IF(Q82&lt;&gt;0,Q82+H82+L82,0)</f>
        <v/>
      </c>
      <c r="S82" s="9">
        <f>VLOOKUP(OPERAC[[#This Row],[especie]],[1]!ESPECIES[#Data],9,FALSE)</f>
        <v/>
      </c>
    </row>
    <row r="83">
      <c r="A83" s="4" t="n">
        <v>26140</v>
      </c>
      <c r="B83" s="5" t="n">
        <v>44580</v>
      </c>
      <c r="C83" s="13" t="inlineStr">
        <is>
          <t>VTA</t>
        </is>
      </c>
      <c r="D83" s="13" t="n">
        <v>39</v>
      </c>
      <c r="E83" s="10">
        <f>IF(D83&gt;0,VLOOKUP(OPERAC[[#This Row],[COD CART]],[1]!MatrizCortoLargoCyl[#All],3,0),"")</f>
        <v/>
      </c>
      <c r="F83" s="13" t="inlineStr">
        <is>
          <t>INO/V/7,00/18-02-22</t>
        </is>
      </c>
      <c r="G83" s="6" t="n">
        <v>-1400</v>
      </c>
      <c r="H83" s="6" t="n">
        <v>3878.909999999999</v>
      </c>
      <c r="I83" s="7">
        <f>-H83/G83</f>
        <v/>
      </c>
      <c r="J83" s="11" t="n">
        <v>44600</v>
      </c>
      <c r="K83" s="6" t="n">
        <v>-1400</v>
      </c>
      <c r="L83" s="6" t="n">
        <v>-3878</v>
      </c>
      <c r="M83" s="7">
        <f>IF(N83=0,+L83+H83,0)</f>
        <v/>
      </c>
      <c r="N83" s="7">
        <f>IF((+G83-K83)=0,0,+G83-K83)</f>
        <v/>
      </c>
      <c r="O83" s="7">
        <f>IF(N83=0,0,(L83+H83)/-N83)</f>
        <v/>
      </c>
      <c r="P83" s="7">
        <f>VLOOKUP(OPERAC[[#This Row],[especie]],[1]!ESPECIES[#All],6,0)</f>
        <v/>
      </c>
      <c r="Q83" s="7">
        <f>IF(N83&lt;&gt;0,P83*N83,0)</f>
        <v/>
      </c>
      <c r="R83" s="8">
        <f>IF(Q83&lt;&gt;0,Q83+H83+L83,0)</f>
        <v/>
      </c>
      <c r="S83" s="9">
        <f>VLOOKUP(OPERAC[[#This Row],[especie]],[1]!ESPECIES[#Data],9,FALSE)</f>
        <v/>
      </c>
    </row>
    <row r="84">
      <c r="A84" s="4" t="n">
        <v>3787</v>
      </c>
      <c r="B84" s="5" t="n">
        <v>44704</v>
      </c>
      <c r="C84" s="13" t="inlineStr">
        <is>
          <t>VTA</t>
        </is>
      </c>
      <c r="D84" s="13" t="n">
        <v>39</v>
      </c>
      <c r="E84" s="10">
        <f>IF(D84&gt;0,VLOOKUP(OPERAC[[#This Row],[COD CART]],[1]!MatrizCortoLargoCyl[#All],3,0),"")</f>
        <v/>
      </c>
      <c r="F84" s="13" t="inlineStr">
        <is>
          <t>TSLA/P/585,00/27-05-22</t>
        </is>
      </c>
      <c r="G84" s="6" t="n">
        <v>-1000</v>
      </c>
      <c r="H84" s="6" t="n">
        <v>3866.85</v>
      </c>
      <c r="I84" s="7">
        <f>-H84/G84</f>
        <v/>
      </c>
      <c r="J84" s="5" t="n">
        <v>44706</v>
      </c>
      <c r="K84" s="6">
        <f>+OPERAC[[#This Row],[cantidad]]</f>
        <v/>
      </c>
      <c r="L84" s="6" t="n">
        <v>-1512.75</v>
      </c>
      <c r="M84" s="7">
        <f>IF(N84=0,+L84+H84,0)</f>
        <v/>
      </c>
      <c r="N84" s="7">
        <f>IF((+G84-K84)=0,0,+G84-K84)</f>
        <v/>
      </c>
      <c r="O84" s="7">
        <f>IF(N84=0,0,(L84+H84)/-N84)</f>
        <v/>
      </c>
      <c r="P84" s="7">
        <f>VLOOKUP(OPERAC[[#This Row],[especie]],[1]!ESPECIES[#All],6,0)</f>
        <v/>
      </c>
      <c r="Q84" s="7">
        <f>IF(N84&lt;&gt;0,P84*N84,0)</f>
        <v/>
      </c>
      <c r="R84" s="8">
        <f>IF(Q84&lt;&gt;0,Q84+H84+L84,0)</f>
        <v/>
      </c>
      <c r="S84" s="9">
        <f>VLOOKUP(OPERAC[[#This Row],[especie]],[1]!ESPECIES[#Data],9,FALSE)</f>
        <v/>
      </c>
    </row>
    <row r="85">
      <c r="A85" s="4" t="n">
        <v>2218</v>
      </c>
      <c r="B85" s="5" t="n">
        <v>44340</v>
      </c>
      <c r="C85" s="13" t="inlineStr">
        <is>
          <t>VTA</t>
        </is>
      </c>
      <c r="D85" s="13" t="n">
        <v>39</v>
      </c>
      <c r="E85" s="10">
        <f>IF(D85&gt;0,VLOOKUP(OPERAC[[#This Row],[COD CART]],[1]!MatrizCortoLargoCyl[#All],3,0),"")</f>
        <v/>
      </c>
      <c r="F85" s="13" t="inlineStr">
        <is>
          <t>INO/V/8,00/20-01-23</t>
        </is>
      </c>
      <c r="G85" s="6" t="n">
        <v>-1000</v>
      </c>
      <c r="H85" s="6" t="n">
        <v>3842.915</v>
      </c>
      <c r="I85" s="7">
        <f>-H85/G85</f>
        <v/>
      </c>
      <c r="J85" s="11" t="n">
        <v>44614</v>
      </c>
      <c r="K85" s="6" t="n">
        <v>-1000</v>
      </c>
      <c r="L85" s="6">
        <f>+OPERAC[[#This Row],[cantidad venta]]*5.312</f>
        <v/>
      </c>
      <c r="M85" s="7">
        <f>IF(N85=0,+L85+H85,0)</f>
        <v/>
      </c>
      <c r="N85" s="7">
        <f>IF((+G85-K85)=0,0,+G85-K85)</f>
        <v/>
      </c>
      <c r="O85" s="7">
        <f>IF(N85=0,0,(L85+H85)/-N85)</f>
        <v/>
      </c>
      <c r="P85" s="7">
        <f>VLOOKUP(OPERAC[[#This Row],[especie]],[1]!ESPECIES[#All],6,0)</f>
        <v/>
      </c>
      <c r="Q85" s="7">
        <f>IF(N85&lt;&gt;0,P85*N85,0)</f>
        <v/>
      </c>
      <c r="R85" s="8">
        <f>IF(Q85&lt;&gt;0,Q85+H85+L85,0)</f>
        <v/>
      </c>
      <c r="S85" s="9">
        <f>VLOOKUP(OPERAC[[#This Row],[especie]],[1]!ESPECIES[#Data],9,FALSE)</f>
        <v/>
      </c>
    </row>
    <row r="86">
      <c r="A86" s="4" t="n">
        <v>3728</v>
      </c>
      <c r="B86" s="5" t="n">
        <v>44340</v>
      </c>
      <c r="C86" s="13" t="inlineStr">
        <is>
          <t>VTA</t>
        </is>
      </c>
      <c r="D86" s="13" t="n">
        <v>39</v>
      </c>
      <c r="E86" s="10">
        <f>IF(D86&gt;0,VLOOKUP(OPERAC[[#This Row],[COD CART]],[1]!MatrizCortoLargoCyl[#All],3,0),"")</f>
        <v/>
      </c>
      <c r="F86" s="13" t="inlineStr">
        <is>
          <t>INO/V/8,00/20-01-23</t>
        </is>
      </c>
      <c r="G86" s="6" t="n">
        <v>-1000</v>
      </c>
      <c r="H86" s="6" t="n">
        <v>3842.915</v>
      </c>
      <c r="I86" s="7">
        <f>-H86/G86</f>
        <v/>
      </c>
      <c r="J86" s="11" t="n">
        <v>44614</v>
      </c>
      <c r="K86" s="6" t="n">
        <v>-1000</v>
      </c>
      <c r="L86" s="6" t="n">
        <v>-5312.292</v>
      </c>
      <c r="M86" s="7">
        <f>IF(N86=0,+L86+H86,0)</f>
        <v/>
      </c>
      <c r="N86" s="7">
        <f>IF((+G86-K86)=0,0,+G86-K86)</f>
        <v/>
      </c>
      <c r="O86" s="7">
        <f>IF(N86=0,0,(L86+H86)/-N86)</f>
        <v/>
      </c>
      <c r="P86" s="7">
        <f>VLOOKUP(OPERAC[[#This Row],[especie]],[1]!ESPECIES[#All],6,0)</f>
        <v/>
      </c>
      <c r="Q86" s="7">
        <f>IF(N86&lt;&gt;0,P86*N86,0)</f>
        <v/>
      </c>
      <c r="R86" s="8">
        <f>IF(Q86&lt;&gt;0,Q86+H86+L86,0)</f>
        <v/>
      </c>
      <c r="S86" s="9">
        <f>VLOOKUP(OPERAC[[#This Row],[especie]],[1]!ESPECIES[#Data],9,FALSE)</f>
        <v/>
      </c>
    </row>
    <row r="87">
      <c r="A87" s="4" t="n">
        <v>18713</v>
      </c>
      <c r="B87" s="5" t="n">
        <v>44697</v>
      </c>
      <c r="C87" s="13" t="inlineStr">
        <is>
          <t>VTA</t>
        </is>
      </c>
      <c r="D87" s="13" t="n">
        <v>39</v>
      </c>
      <c r="E87" s="10">
        <f>IF(D87&gt;0,VLOOKUP(OPERAC[[#This Row],[COD CART]],[1]!MatrizCortoLargoCyl[#All],3,0),"")</f>
        <v/>
      </c>
      <c r="F87" s="13" t="inlineStr">
        <is>
          <t>TSLA/V/625,00/20-05-22</t>
        </is>
      </c>
      <c r="G87" s="6" t="n">
        <v>-1000</v>
      </c>
      <c r="H87" s="6" t="n">
        <v>3817.275</v>
      </c>
      <c r="I87" s="7">
        <f>-H87/G87</f>
        <v/>
      </c>
      <c r="J87" s="11" t="n">
        <v>44698</v>
      </c>
      <c r="K87" s="6" t="n">
        <v>-1000</v>
      </c>
      <c r="L87" s="6" t="n">
        <v>-1247.01</v>
      </c>
      <c r="M87" s="7">
        <f>IF(N87=0,+L87+H87,0)</f>
        <v/>
      </c>
      <c r="N87" s="7">
        <f>IF((+G87-K87)=0,0,+G87-K87)</f>
        <v/>
      </c>
      <c r="O87" s="7">
        <f>IF(N87=0,0,(L87+H87)/-N87)</f>
        <v/>
      </c>
      <c r="P87" s="7">
        <f>VLOOKUP(OPERAC[[#This Row],[especie]],[1]!ESPECIES[#All],6,0)</f>
        <v/>
      </c>
      <c r="Q87" s="7">
        <f>IF(N87&lt;&gt;0,P87*N87,0)</f>
        <v/>
      </c>
      <c r="R87" s="8">
        <f>IF(Q87&lt;&gt;0,Q87+H87+L87,0)</f>
        <v/>
      </c>
      <c r="S87" s="9">
        <f>VLOOKUP(OPERAC[[#This Row],[especie]],[1]!ESPECIES[#Data],9,FALSE)</f>
        <v/>
      </c>
    </row>
    <row r="88">
      <c r="A88" s="4" t="n">
        <v>6628</v>
      </c>
      <c r="B88" s="5" t="n">
        <v>44697</v>
      </c>
      <c r="C88" s="13" t="inlineStr">
        <is>
          <t>VTA</t>
        </is>
      </c>
      <c r="D88" s="13" t="n">
        <v>39</v>
      </c>
      <c r="E88" s="10">
        <f>IF(D88&gt;0,VLOOKUP(OPERAC[[#This Row],[COD CART]],[1]!MatrizCortoLargoCyl[#All],3,0),"")</f>
        <v/>
      </c>
      <c r="F88" s="13" t="inlineStr">
        <is>
          <t>TSLA/V/625,00/20-05-22</t>
        </is>
      </c>
      <c r="G88" s="6" t="n">
        <v>-1000</v>
      </c>
      <c r="H88" s="6" t="n">
        <v>3817.275</v>
      </c>
      <c r="I88" s="7">
        <f>-H88/G88</f>
        <v/>
      </c>
      <c r="J88" s="11" t="n">
        <v>44698</v>
      </c>
      <c r="K88" s="6" t="n">
        <v>-1000</v>
      </c>
      <c r="L88" s="6" t="n">
        <v>-1247.01</v>
      </c>
      <c r="M88" s="7">
        <f>IF(N88=0,+L88+H88,0)</f>
        <v/>
      </c>
      <c r="N88" s="7">
        <f>IF((+G88-K88)=0,0,+G88-K88)</f>
        <v/>
      </c>
      <c r="O88" s="7">
        <f>IF(N88=0,0,(L88+H88)/-N88)</f>
        <v/>
      </c>
      <c r="P88" s="7">
        <f>VLOOKUP(OPERAC[[#This Row],[especie]],[1]!ESPECIES[#All],6,0)</f>
        <v/>
      </c>
      <c r="Q88" s="7">
        <f>IF(N88&lt;&gt;0,P88*N88,0)</f>
        <v/>
      </c>
      <c r="R88" s="8">
        <f>IF(Q88&lt;&gt;0,Q88+H88+L88,0)</f>
        <v/>
      </c>
      <c r="S88" s="9">
        <f>VLOOKUP(OPERAC[[#This Row],[especie]],[1]!ESPECIES[#Data],9,FALSE)</f>
        <v/>
      </c>
    </row>
    <row r="89">
      <c r="A89" s="4" t="n">
        <v>12619</v>
      </c>
      <c r="B89" s="5" t="n">
        <v>44588</v>
      </c>
      <c r="C89" s="13" t="inlineStr">
        <is>
          <t>VTA</t>
        </is>
      </c>
      <c r="D89" s="13" t="n">
        <v>39</v>
      </c>
      <c r="E89" s="10">
        <f>IF(D89&gt;0,VLOOKUP(OPERAC[[#This Row],[COD CART]],[1]!MatrizCortoLargoCyl[#All],3,0),"")</f>
        <v/>
      </c>
      <c r="F89" s="13" t="inlineStr">
        <is>
          <t>ROKU/V/150,00/04-02-22</t>
        </is>
      </c>
      <c r="G89" s="6" t="n">
        <v>-400</v>
      </c>
      <c r="H89" s="6" t="n">
        <v>3799.75</v>
      </c>
      <c r="I89" s="7">
        <f>-H89/G89</f>
        <v/>
      </c>
      <c r="J89" s="11" t="n">
        <v>44595</v>
      </c>
      <c r="K89" s="6" t="n">
        <v>-400</v>
      </c>
      <c r="L89" s="6" t="n">
        <v>-2340.164</v>
      </c>
      <c r="M89" s="7">
        <f>IF(N89=0,+L89+H89,0)</f>
        <v/>
      </c>
      <c r="N89" s="7">
        <f>IF((+G89-K89)=0,0,+G89-K89)</f>
        <v/>
      </c>
      <c r="O89" s="7">
        <f>IF(N89=0,0,(L89+H89)/-N89)</f>
        <v/>
      </c>
      <c r="P89" s="7">
        <f>VLOOKUP(OPERAC[[#This Row],[especie]],[1]!ESPECIES[#All],6,0)</f>
        <v/>
      </c>
      <c r="Q89" s="7">
        <f>IF(N89&lt;&gt;0,P89*N89,0)</f>
        <v/>
      </c>
      <c r="R89" s="8">
        <f>IF(Q89&lt;&gt;0,Q89+H89+L89,0)</f>
        <v/>
      </c>
      <c r="S89" s="9">
        <f>VLOOKUP(OPERAC[[#This Row],[especie]],[1]!ESPECIES[#Data],9,FALSE)</f>
        <v/>
      </c>
    </row>
    <row r="90">
      <c r="A90" s="4" t="n">
        <v>19867</v>
      </c>
      <c r="B90" s="5" t="n">
        <v>44588</v>
      </c>
      <c r="C90" s="13" t="inlineStr">
        <is>
          <t>VTA</t>
        </is>
      </c>
      <c r="D90" s="13" t="n">
        <v>39</v>
      </c>
      <c r="E90" s="10">
        <f>IF(D90&gt;0,VLOOKUP(OPERAC[[#This Row],[COD CART]],[1]!MatrizCortoLargoCyl[#All],3,0),"")</f>
        <v/>
      </c>
      <c r="F90" s="13" t="inlineStr">
        <is>
          <t>ROKU/V/150,00/04-02-22</t>
        </is>
      </c>
      <c r="G90" s="6" t="n">
        <v>-400</v>
      </c>
      <c r="H90" s="6" t="n">
        <v>3799.75</v>
      </c>
      <c r="I90" s="7">
        <f>-H90/G90</f>
        <v/>
      </c>
      <c r="J90" s="11" t="n">
        <v>44595</v>
      </c>
      <c r="K90" s="6" t="n">
        <v>-400</v>
      </c>
      <c r="L90" s="6" t="n">
        <v>-2340.164</v>
      </c>
      <c r="M90" s="7">
        <f>IF(N90=0,+L90+H90,0)</f>
        <v/>
      </c>
      <c r="N90" s="7">
        <f>IF((+G90-K90)=0,0,+G90-K90)</f>
        <v/>
      </c>
      <c r="O90" s="7">
        <f>IF(N90=0,0,(L90+H90)/-N90)</f>
        <v/>
      </c>
      <c r="P90" s="7">
        <f>VLOOKUP(OPERAC[[#This Row],[especie]],[1]!ESPECIES[#All],6,0)</f>
        <v/>
      </c>
      <c r="Q90" s="7">
        <f>IF(N90&lt;&gt;0,P90*N90,0)</f>
        <v/>
      </c>
      <c r="R90" s="8">
        <f>IF(Q90&lt;&gt;0,Q90+H90+L90,0)</f>
        <v/>
      </c>
      <c r="S90" s="9">
        <f>VLOOKUP(OPERAC[[#This Row],[especie]],[1]!ESPECIES[#Data],9,FALSE)</f>
        <v/>
      </c>
    </row>
    <row r="91">
      <c r="A91" s="4" t="n">
        <v>13180</v>
      </c>
      <c r="B91" s="5" t="n">
        <v>44571</v>
      </c>
      <c r="C91" s="13" t="inlineStr">
        <is>
          <t>VTA</t>
        </is>
      </c>
      <c r="D91" s="13" t="n">
        <v>39</v>
      </c>
      <c r="E91" s="10">
        <f>IF(D91&gt;0,VLOOKUP(OPERAC[[#This Row],[COD CART]],[1]!MatrizCortoLargoCyl[#All],3,0),"")</f>
        <v/>
      </c>
      <c r="F91" s="13" t="inlineStr">
        <is>
          <t>COIN/V/205,00/14-01-22</t>
        </is>
      </c>
      <c r="G91" s="6" t="n">
        <v>-1000</v>
      </c>
      <c r="H91" s="6" t="n">
        <v>3769.6</v>
      </c>
      <c r="I91" s="7">
        <f>-H91/G91</f>
        <v/>
      </c>
      <c r="J91" s="11" t="n">
        <v>44575</v>
      </c>
      <c r="K91" s="6" t="n">
        <v>-1000</v>
      </c>
      <c r="L91" s="6" t="n">
        <v>0</v>
      </c>
      <c r="M91" s="7">
        <f>IF(N91=0,+L91+H91,0)</f>
        <v/>
      </c>
      <c r="N91" s="7">
        <f>IF((+G91-K91)=0,0,+G91-K91)</f>
        <v/>
      </c>
      <c r="O91" s="7">
        <f>IF(N91=0,0,(L91+H91)/-N91)</f>
        <v/>
      </c>
      <c r="P91" s="7">
        <f>VLOOKUP(OPERAC[[#This Row],[especie]],[1]!ESPECIES[#All],6,0)</f>
        <v/>
      </c>
      <c r="Q91" s="7">
        <f>IF(N91&lt;&gt;0,P91*N91,0)</f>
        <v/>
      </c>
      <c r="R91" s="8">
        <f>IF(Q91&lt;&gt;0,Q91+H91+L91,0)</f>
        <v/>
      </c>
      <c r="S91" s="9">
        <f>VLOOKUP(OPERAC[[#This Row],[especie]],[1]!ESPECIES[#Data],9,FALSE)</f>
        <v/>
      </c>
    </row>
    <row r="92">
      <c r="A92" s="4" t="n">
        <v>3728</v>
      </c>
      <c r="B92" s="5" t="n">
        <v>44427</v>
      </c>
      <c r="C92" s="13" t="inlineStr">
        <is>
          <t>VTA</t>
        </is>
      </c>
      <c r="D92" s="13" t="n">
        <v>39</v>
      </c>
      <c r="E92" s="10">
        <f>IF(D92&gt;0,VLOOKUP(OPERAC[[#This Row],[COD CART]],[1]!MatrizCortoLargoCyl[#All],3,0),"")</f>
        <v/>
      </c>
      <c r="F92" s="13" t="inlineStr">
        <is>
          <t>INO/V/5,00/20-01-23</t>
        </is>
      </c>
      <c r="G92" s="6" t="n">
        <v>-2500</v>
      </c>
      <c r="H92" s="6" t="n">
        <v>3739.11</v>
      </c>
      <c r="I92" s="7">
        <f>-H92/G92</f>
        <v/>
      </c>
      <c r="J92" s="11" t="n">
        <v>44614</v>
      </c>
      <c r="K92" s="6" t="n">
        <v>-2500</v>
      </c>
      <c r="L92" s="6" t="n">
        <v>-6528.48</v>
      </c>
      <c r="M92" s="7">
        <f>IF(N92=0,+L92+H92,0)</f>
        <v/>
      </c>
      <c r="N92" s="7">
        <f>IF((+G92-K92)=0,0,+G92-K92)</f>
        <v/>
      </c>
      <c r="O92" s="7">
        <f>IF(N92=0,0,(L92+H92)/-N92)</f>
        <v/>
      </c>
      <c r="P92" s="7">
        <f>VLOOKUP(OPERAC[[#This Row],[especie]],[1]!ESPECIES[#All],6,0)</f>
        <v/>
      </c>
      <c r="Q92" s="7">
        <f>IF(N92&lt;&gt;0,P92*N92,0)</f>
        <v/>
      </c>
      <c r="R92" s="8">
        <f>IF(Q92&lt;&gt;0,Q92+H92+L92,0)</f>
        <v/>
      </c>
      <c r="S92" s="9">
        <f>VLOOKUP(OPERAC[[#This Row],[especie]],[1]!ESPECIES[#Data],9,FALSE)</f>
        <v/>
      </c>
    </row>
    <row r="93">
      <c r="A93" s="4" t="n">
        <v>26140</v>
      </c>
      <c r="B93" s="5" t="n">
        <v>44585</v>
      </c>
      <c r="C93" s="13" t="inlineStr">
        <is>
          <t>VTA</t>
        </is>
      </c>
      <c r="D93" s="13" t="n">
        <v>39</v>
      </c>
      <c r="E93" s="10">
        <f>IF(D93&gt;0,VLOOKUP(OPERAC[[#This Row],[COD CART]],[1]!MatrizCortoLargoCyl[#All],3,0),"")</f>
        <v/>
      </c>
      <c r="F93" s="13" t="inlineStr">
        <is>
          <t>MELI/V/700,00/28-01-22</t>
        </is>
      </c>
      <c r="G93" s="6" t="n">
        <v>-1000</v>
      </c>
      <c r="H93" s="6" t="n">
        <v>3683.29</v>
      </c>
      <c r="I93" s="7">
        <f>-H93/G93</f>
        <v/>
      </c>
      <c r="J93" s="11" t="n">
        <v>44586</v>
      </c>
      <c r="K93" s="6" t="n">
        <v>-1000</v>
      </c>
      <c r="L93" s="6" t="n">
        <v>-572.196</v>
      </c>
      <c r="M93" s="7">
        <f>IF(N93=0,+L93+H93,0)</f>
        <v/>
      </c>
      <c r="N93" s="7">
        <f>IF((+G93-K93)=0,0,+G93-K93)</f>
        <v/>
      </c>
      <c r="O93" s="7">
        <f>IF(N93=0,0,(L93+H93)/-N93)</f>
        <v/>
      </c>
      <c r="P93" s="7">
        <f>VLOOKUP(OPERAC[[#This Row],[especie]],[1]!ESPECIES[#All],6,0)</f>
        <v/>
      </c>
      <c r="Q93" s="7">
        <f>IF(N93&lt;&gt;0,P93*N93,0)</f>
        <v/>
      </c>
      <c r="R93" s="8">
        <f>IF(Q93&lt;&gt;0,Q93+H93+L93,0)</f>
        <v/>
      </c>
      <c r="S93" s="9">
        <f>VLOOKUP(OPERAC[[#This Row],[especie]],[1]!ESPECIES[#Data],9,FALSE)</f>
        <v/>
      </c>
    </row>
    <row r="94">
      <c r="A94" s="4" t="n">
        <v>15189</v>
      </c>
      <c r="B94" s="5" t="n">
        <v>44588</v>
      </c>
      <c r="C94" s="13" t="inlineStr">
        <is>
          <t>VTA</t>
        </is>
      </c>
      <c r="D94" s="13" t="n">
        <v>39</v>
      </c>
      <c r="E94" s="10">
        <f>IF(D94&gt;0,VLOOKUP(OPERAC[[#This Row],[COD CART]],[1]!MatrizCortoLargoCyl[#All],3,0),"")</f>
        <v/>
      </c>
      <c r="F94" s="13" t="inlineStr">
        <is>
          <t>SMH/V/255,00/04-02-22</t>
        </is>
      </c>
      <c r="G94" s="6" t="n">
        <v>-500</v>
      </c>
      <c r="H94" s="6" t="n">
        <v>3666.7225</v>
      </c>
      <c r="I94" s="7">
        <f>-H94/G94</f>
        <v/>
      </c>
      <c r="J94" s="11" t="n">
        <v>44596</v>
      </c>
      <c r="K94" s="6" t="n">
        <v>-500</v>
      </c>
      <c r="L94" s="6" t="n">
        <v>-9.614999999999998</v>
      </c>
      <c r="M94" s="7">
        <f>IF(N94=0,+L94+H94,0)</f>
        <v/>
      </c>
      <c r="N94" s="7">
        <f>IF((+G94-K94)=0,0,+G94-K94)</f>
        <v/>
      </c>
      <c r="O94" s="7">
        <f>IF(N94=0,0,(L94+H94)/-N94)</f>
        <v/>
      </c>
      <c r="P94" s="7">
        <f>VLOOKUP(OPERAC[[#This Row],[especie]],[1]!ESPECIES[#All],6,0)</f>
        <v/>
      </c>
      <c r="Q94" s="7">
        <f>IF(N94&lt;&gt;0,P94*N94,0)</f>
        <v/>
      </c>
      <c r="R94" s="8">
        <f>IF(Q94&lt;&gt;0,Q94+H94+L94,0)</f>
        <v/>
      </c>
      <c r="S94" s="9">
        <f>VLOOKUP(OPERAC[[#This Row],[especie]],[1]!ESPECIES[#Data],9,FALSE)</f>
        <v/>
      </c>
    </row>
    <row r="95">
      <c r="A95" s="4" t="n">
        <v>7914</v>
      </c>
      <c r="B95" s="5" t="n">
        <v>44582</v>
      </c>
      <c r="C95" s="13" t="inlineStr">
        <is>
          <t>VTA</t>
        </is>
      </c>
      <c r="D95" s="13" t="n">
        <v>39</v>
      </c>
      <c r="E95" s="10">
        <f>IF(D95&gt;0,VLOOKUP(OPERAC[[#This Row],[COD CART]],[1]!MatrizCortoLargoCyl[#All],3,0),"")</f>
        <v/>
      </c>
      <c r="F95" s="13" t="inlineStr">
        <is>
          <t>ROKU/V/150,00/28-01-22</t>
        </is>
      </c>
      <c r="G95" s="6" t="n">
        <v>-1000</v>
      </c>
      <c r="H95" s="6" t="n">
        <v>3666.445</v>
      </c>
      <c r="I95" s="7">
        <f>-H95/G95</f>
        <v/>
      </c>
      <c r="J95" s="11" t="n">
        <v>44588</v>
      </c>
      <c r="K95" s="6" t="n">
        <v>-1000</v>
      </c>
      <c r="L95" s="6">
        <f>-OPERAC[[#This Row],[importe]]</f>
        <v/>
      </c>
      <c r="M95" s="7">
        <f>IF(N95=0,+L95+H95,0)</f>
        <v/>
      </c>
      <c r="N95" s="7">
        <f>IF((+G95-K95)=0,0,+G95-K95)</f>
        <v/>
      </c>
      <c r="O95" s="7">
        <f>IF(N95=0,0,(L95+H95)/-N95)</f>
        <v/>
      </c>
      <c r="P95" s="7">
        <f>VLOOKUP(OPERAC[[#This Row],[especie]],[1]!ESPECIES[#All],6,0)</f>
        <v/>
      </c>
      <c r="Q95" s="7">
        <f>IF(N95&lt;&gt;0,P95*N95,0)</f>
        <v/>
      </c>
      <c r="R95" s="8">
        <f>IF(Q95&lt;&gt;0,Q95+H95+L95,0)</f>
        <v/>
      </c>
      <c r="S95" s="9">
        <f>VLOOKUP(OPERAC[[#This Row],[especie]],[1]!ESPECIES[#Data],9,FALSE)</f>
        <v/>
      </c>
    </row>
    <row r="96">
      <c r="A96" s="4" t="n">
        <v>6579</v>
      </c>
      <c r="B96" s="5" t="n">
        <v>44585</v>
      </c>
      <c r="C96" s="13" t="inlineStr">
        <is>
          <t>VTA</t>
        </is>
      </c>
      <c r="D96" s="13" t="n">
        <v>39</v>
      </c>
      <c r="E96" s="10">
        <f>IF(D96&gt;0,VLOOKUP(OPERAC[[#This Row],[COD CART]],[1]!MatrizCortoLargoCyl[#All],3,0),"")</f>
        <v/>
      </c>
      <c r="F96" s="13" t="inlineStr">
        <is>
          <t>MELI/V/800,00/28-01-22</t>
        </is>
      </c>
      <c r="G96" s="6" t="n">
        <v>-400</v>
      </c>
      <c r="H96" s="6" t="n">
        <v>3610.88</v>
      </c>
      <c r="I96" s="7">
        <f>-H96/G96</f>
        <v/>
      </c>
      <c r="J96" s="11" t="n">
        <v>44589</v>
      </c>
      <c r="K96" s="6" t="n">
        <v>-400</v>
      </c>
      <c r="L96" s="6" t="n">
        <v>-20.16</v>
      </c>
      <c r="M96" s="7">
        <f>IF(N96=0,+L96+H96,0)</f>
        <v/>
      </c>
      <c r="N96" s="7">
        <f>IF((+G96-K96)=0,0,+G96-K96)</f>
        <v/>
      </c>
      <c r="O96" s="7">
        <f>IF(N96=0,0,(L96+H96)/-N96)</f>
        <v/>
      </c>
      <c r="P96" s="7">
        <f>VLOOKUP(OPERAC[[#This Row],[especie]],[1]!ESPECIES[#All],6,0)</f>
        <v/>
      </c>
      <c r="Q96" s="7">
        <f>IF(N96&lt;&gt;0,P96*N96,0)</f>
        <v/>
      </c>
      <c r="R96" s="8">
        <f>IF(Q96&lt;&gt;0,Q96+H96+L96,0)</f>
        <v/>
      </c>
      <c r="S96" s="9">
        <f>VLOOKUP(OPERAC[[#This Row],[especie]],[1]!ESPECIES[#Data],9,FALSE)</f>
        <v/>
      </c>
    </row>
    <row r="97">
      <c r="A97" s="4" t="n">
        <v>2255</v>
      </c>
      <c r="B97" s="5" t="n">
        <v>44431</v>
      </c>
      <c r="C97" s="13" t="inlineStr">
        <is>
          <t>VTA</t>
        </is>
      </c>
      <c r="D97" s="13" t="n">
        <v>39</v>
      </c>
      <c r="E97" s="10">
        <f>IF(D97&gt;0,VLOOKUP(OPERAC[[#This Row],[COD CART]],[1]!MatrizCortoLargoCyl[#All],3,0),"")</f>
        <v/>
      </c>
      <c r="F97" s="13" t="inlineStr">
        <is>
          <t>ACB/V/10,00/20-01-23</t>
        </is>
      </c>
      <c r="G97" s="6" t="n">
        <v>-700</v>
      </c>
      <c r="H97" s="6" t="n">
        <v>3480.938</v>
      </c>
      <c r="I97" s="7">
        <f>-H97/G97</f>
        <v/>
      </c>
      <c r="J97" s="11" t="n">
        <v>44614</v>
      </c>
      <c r="K97" s="6" t="n">
        <v>-700</v>
      </c>
      <c r="L97" s="6" t="n">
        <v>-3480</v>
      </c>
      <c r="M97" s="7">
        <f>IF(N97=0,+L97+H97,0)</f>
        <v/>
      </c>
      <c r="N97" s="7">
        <f>IF((+G97-K97)=0,0,+G97-K97)</f>
        <v/>
      </c>
      <c r="O97" s="7">
        <f>IF(N97=0,0,(L97+H97)/-N97)</f>
        <v/>
      </c>
      <c r="P97" s="7">
        <f>VLOOKUP(OPERAC[[#This Row],[especie]],[1]!ESPECIES[#All],6,0)</f>
        <v/>
      </c>
      <c r="Q97" s="7">
        <f>IF(N97&lt;&gt;0,P97*N97,0)</f>
        <v/>
      </c>
      <c r="R97" s="8">
        <f>IF(Q97&lt;&gt;0,Q97+H97+L97,0)</f>
        <v/>
      </c>
      <c r="S97" s="9">
        <f>VLOOKUP(OPERAC[[#This Row],[especie]],[1]!ESPECIES[#Data],9,FALSE)</f>
        <v/>
      </c>
    </row>
    <row r="98">
      <c r="A98" s="4" t="n">
        <v>18690</v>
      </c>
      <c r="B98" s="5" t="n">
        <v>44599</v>
      </c>
      <c r="C98" s="13" t="inlineStr">
        <is>
          <t>VTA</t>
        </is>
      </c>
      <c r="D98" s="13" t="n">
        <v>39</v>
      </c>
      <c r="E98" s="10">
        <f>IF(D98&gt;0,VLOOKUP(OPERAC[[#This Row],[COD CART]],[1]!MatrizCortoLargoCyl[#All],3,0),"")</f>
        <v/>
      </c>
      <c r="F98" s="13" t="inlineStr">
        <is>
          <t>MELI/V/850,00/18-02/22</t>
        </is>
      </c>
      <c r="G98" s="6" t="n">
        <v>-500</v>
      </c>
      <c r="H98" s="6" t="n">
        <v>3472</v>
      </c>
      <c r="I98" s="7">
        <f>-H98/G98</f>
        <v/>
      </c>
      <c r="J98" s="11" t="n">
        <v>44610</v>
      </c>
      <c r="K98" s="6" t="n">
        <v>-500</v>
      </c>
      <c r="L98" s="6" t="n">
        <v>0</v>
      </c>
      <c r="M98" s="7">
        <f>IF(N98=0,+L98+H98,0)</f>
        <v/>
      </c>
      <c r="N98" s="7">
        <f>IF((+G98-K98)=0,0,+G98-K98)</f>
        <v/>
      </c>
      <c r="O98" s="7">
        <f>IF(N98=0,0,(L98+H98)/-N98)</f>
        <v/>
      </c>
      <c r="P98" s="7">
        <f>VLOOKUP(OPERAC[[#This Row],[especie]],[1]!ESPECIES[#All],6,0)</f>
        <v/>
      </c>
      <c r="Q98" s="7">
        <f>IF(N98&lt;&gt;0,P98*N98,0)</f>
        <v/>
      </c>
      <c r="R98" s="8">
        <f>IF(Q98&lt;&gt;0,Q98+H98+L98,0)</f>
        <v/>
      </c>
      <c r="S98" s="9">
        <f>VLOOKUP(OPERAC[[#This Row],[especie]],[1]!ESPECIES[#Data],9,FALSE)</f>
        <v/>
      </c>
    </row>
    <row r="99">
      <c r="A99" s="4" t="n">
        <v>16795</v>
      </c>
      <c r="B99" s="5" t="n">
        <v>44547</v>
      </c>
      <c r="C99" s="13" t="inlineStr">
        <is>
          <t>VTA</t>
        </is>
      </c>
      <c r="D99" s="13" t="n">
        <v>39</v>
      </c>
      <c r="E99" s="10">
        <f>IF(D99&gt;0,VLOOKUP(OPERAC[[#This Row],[COD CART]],[1]!MatrizCortoLargoCyl[#All],3,0),"")</f>
        <v/>
      </c>
      <c r="F99" s="13" t="inlineStr">
        <is>
          <t>TLRY/V/8,00/18-02-22</t>
        </is>
      </c>
      <c r="G99" s="6" t="n">
        <v>-2500</v>
      </c>
      <c r="H99" s="6" t="n">
        <v>3459.4775</v>
      </c>
      <c r="I99" s="7">
        <f>-H99/G99</f>
        <v/>
      </c>
      <c r="J99" s="11" t="n">
        <v>44601</v>
      </c>
      <c r="K99" s="6" t="n">
        <v>-2500</v>
      </c>
      <c r="L99" s="6">
        <f>1.38*OPERAC[[#This Row],[cantidad venta]]</f>
        <v/>
      </c>
      <c r="M99" s="7">
        <f>IF(N99=0,+L99+H99,0)</f>
        <v/>
      </c>
      <c r="N99" s="7">
        <f>IF((+G99-K99)=0,0,+G99-K99)</f>
        <v/>
      </c>
      <c r="O99" s="7">
        <f>IF(N99=0,0,(L99+H99)/-N99)</f>
        <v/>
      </c>
      <c r="P99" s="7">
        <f>VLOOKUP(OPERAC[[#This Row],[especie]],[1]!ESPECIES[#All],6,0)</f>
        <v/>
      </c>
      <c r="Q99" s="7">
        <f>IF(N99&lt;&gt;0,P99*N99,0)</f>
        <v/>
      </c>
      <c r="R99" s="8">
        <f>IF(Q99&lt;&gt;0,Q99+H99+L99,0)</f>
        <v/>
      </c>
      <c r="S99" s="9">
        <f>VLOOKUP(OPERAC[[#This Row],[especie]],[1]!ESPECIES[#Data],9,FALSE)</f>
        <v/>
      </c>
    </row>
    <row r="100">
      <c r="A100" s="4" t="n">
        <v>25070</v>
      </c>
      <c r="B100" s="5" t="n">
        <v>44571</v>
      </c>
      <c r="C100" s="13" t="inlineStr">
        <is>
          <t>VTA</t>
        </is>
      </c>
      <c r="D100" s="13" t="n">
        <v>39</v>
      </c>
      <c r="E100" s="10">
        <f>IF(D100&gt;0,VLOOKUP(OPERAC[[#This Row],[COD CART]],[1]!MatrizCortoLargoCyl[#All],3,0),"")</f>
        <v/>
      </c>
      <c r="F100" s="13" t="inlineStr">
        <is>
          <t>TSLA/V/870,00/21-01-22</t>
        </is>
      </c>
      <c r="G100" s="6" t="n">
        <v>-600</v>
      </c>
      <c r="H100" s="6" t="n">
        <v>3450.5622</v>
      </c>
      <c r="I100" s="7">
        <f>-H100/G100</f>
        <v/>
      </c>
      <c r="J100" s="11" t="n">
        <v>44574</v>
      </c>
      <c r="K100" s="6" t="n">
        <v>-600</v>
      </c>
      <c r="L100" s="6" t="n">
        <v>-999.4878</v>
      </c>
      <c r="M100" s="7">
        <f>IF(N100=0,+L100+H100,0)</f>
        <v/>
      </c>
      <c r="N100" s="7">
        <f>IF((+G100-K100)=0,0,+G100-K100)</f>
        <v/>
      </c>
      <c r="O100" s="7">
        <f>IF(N100=0,0,(L100+H100)/-N100)</f>
        <v/>
      </c>
      <c r="P100" s="7">
        <f>VLOOKUP(OPERAC[[#This Row],[especie]],[1]!ESPECIES[#All],6,0)</f>
        <v/>
      </c>
      <c r="Q100" s="7">
        <f>IF(N100&lt;&gt;0,P100*N100,0)</f>
        <v/>
      </c>
      <c r="R100" s="8">
        <f>IF(Q100&lt;&gt;0,Q100+H100+L100,0)</f>
        <v/>
      </c>
      <c r="S100" s="9">
        <f>VLOOKUP(OPERAC[[#This Row],[especie]],[1]!ESPECIES[#Data],9,FALSE)</f>
        <v/>
      </c>
    </row>
    <row r="101">
      <c r="A101" s="4" t="n">
        <v>3787</v>
      </c>
      <c r="B101" s="5" t="n">
        <v>44641</v>
      </c>
      <c r="C101" s="13" t="inlineStr">
        <is>
          <t>VTA</t>
        </is>
      </c>
      <c r="D101" s="13" t="n">
        <v>39</v>
      </c>
      <c r="E101" s="10">
        <f>IF(D101&gt;0,VLOOKUP(OPERAC[[#This Row],[COD CART]],[1]!MatrizCortoLargoCyl[#All],3,0),"")</f>
        <v/>
      </c>
      <c r="F101" s="13" t="inlineStr">
        <is>
          <t>TSLA/C/1100,00/25-03-22</t>
        </is>
      </c>
      <c r="G101" s="6">
        <f>-2000-1000</f>
        <v/>
      </c>
      <c r="H101" s="6">
        <f>1184.97+2229.28</f>
        <v/>
      </c>
      <c r="I101" s="7">
        <f>-H101/G101</f>
        <v/>
      </c>
      <c r="J101" s="11" t="n">
        <v>44642</v>
      </c>
      <c r="K101" s="6" t="n">
        <v>-3000</v>
      </c>
      <c r="L101" s="6" t="n">
        <v>-9697.469999999999</v>
      </c>
      <c r="M101" s="7">
        <f>IF(N101=0,+L101+H101,0)</f>
        <v/>
      </c>
      <c r="N101" s="7">
        <f>IF((+G101-K101)=0,0,+G101-K101)</f>
        <v/>
      </c>
      <c r="O101" s="7">
        <f>IF(N101=0,0,(L101+H101)/-N101)</f>
        <v/>
      </c>
      <c r="P101" s="7">
        <f>VLOOKUP(OPERAC[[#This Row],[especie]],[1]!ESPECIES[#All],6,0)</f>
        <v/>
      </c>
      <c r="Q101" s="7">
        <f>IF(N101&lt;&gt;0,P101*N101,0)</f>
        <v/>
      </c>
      <c r="R101" s="8">
        <f>IF(Q101&lt;&gt;0,Q101+H101+L101,0)</f>
        <v/>
      </c>
      <c r="S101" s="9">
        <f>VLOOKUP(OPERAC[[#This Row],[especie]],[1]!ESPECIES[#Data],9,FALSE)</f>
        <v/>
      </c>
    </row>
    <row r="102">
      <c r="A102" s="4" t="n">
        <v>19920</v>
      </c>
      <c r="B102" s="5" t="n">
        <v>44669</v>
      </c>
      <c r="C102" s="13" t="inlineStr">
        <is>
          <t>VTA</t>
        </is>
      </c>
      <c r="D102" s="13" t="n">
        <v>39</v>
      </c>
      <c r="E102" s="10">
        <f>IF(D102&gt;0,VLOOKUP(OPERAC[[#This Row],[COD CART]],[1]!MatrizCortoLargoCyl[#All],3,0),"")</f>
        <v/>
      </c>
      <c r="F102" s="13" t="inlineStr">
        <is>
          <t>UPST/V/80,00/22-04-22</t>
        </is>
      </c>
      <c r="G102" s="6" t="n">
        <v>-800</v>
      </c>
      <c r="H102" s="6" t="n">
        <v>3410.76</v>
      </c>
      <c r="I102" s="7">
        <f>-H102/G102</f>
        <v/>
      </c>
      <c r="J102" s="11" t="n">
        <v>44673</v>
      </c>
      <c r="K102" s="6" t="n">
        <v>-800</v>
      </c>
      <c r="L102" s="6" t="n">
        <v>-3146.52</v>
      </c>
      <c r="M102" s="7">
        <f>IF(N102=0,+L102+H102,0)</f>
        <v/>
      </c>
      <c r="N102" s="7">
        <f>IF((+G102-K102)=0,0,+G102-K102)</f>
        <v/>
      </c>
      <c r="O102" s="7">
        <f>IF(N102=0,0,(L102+H102)/-N102)</f>
        <v/>
      </c>
      <c r="P102" s="7">
        <f>VLOOKUP(OPERAC[[#This Row],[especie]],[1]!ESPECIES[#All],6,0)</f>
        <v/>
      </c>
      <c r="Q102" s="7">
        <f>IF(N102&lt;&gt;0,P102*N102,0)</f>
        <v/>
      </c>
      <c r="R102" s="8">
        <f>IF(Q102&lt;&gt;0,Q102+H102+L102,0)</f>
        <v/>
      </c>
      <c r="S102" s="9">
        <f>VLOOKUP(OPERAC[[#This Row],[especie]],[1]!ESPECIES[#Data],9,FALSE)</f>
        <v/>
      </c>
    </row>
    <row r="103">
      <c r="A103" s="4" t="n">
        <v>10079</v>
      </c>
      <c r="B103" s="5" t="n">
        <v>44438</v>
      </c>
      <c r="C103" s="13" t="inlineStr">
        <is>
          <t>VTA</t>
        </is>
      </c>
      <c r="D103" s="13" t="n">
        <v>39</v>
      </c>
      <c r="E103" s="10">
        <f>IF(D103&gt;0,VLOOKUP(OPERAC[[#This Row],[COD CART]],[1]!MatrizCortoLargoCyl[#All],3,0),"")</f>
        <v/>
      </c>
      <c r="F103" s="13" t="inlineStr">
        <is>
          <t>EDU/V/25,00/20-01-23</t>
        </is>
      </c>
      <c r="G103" s="6" t="n">
        <v>-3000</v>
      </c>
      <c r="H103" s="6" t="n">
        <v>3407.4</v>
      </c>
      <c r="I103" s="7">
        <f>-H103/G103</f>
        <v/>
      </c>
      <c r="J103" s="11" t="n">
        <v>44614</v>
      </c>
      <c r="K103" s="6" t="n">
        <v>-3000</v>
      </c>
      <c r="L103" s="6" t="n">
        <v>-3951.87</v>
      </c>
      <c r="M103" s="7">
        <f>IF(N103=0,+L103+H103,0)</f>
        <v/>
      </c>
      <c r="N103" s="7">
        <f>IF((+G103-K103)=0,0,+G103-K103)</f>
        <v/>
      </c>
      <c r="O103" s="7">
        <f>IF(N103=0,0,(L103+H103)/-N103)</f>
        <v/>
      </c>
      <c r="P103" s="7">
        <f>VLOOKUP(OPERAC[[#This Row],[especie]],[1]!ESPECIES[#All],6,0)</f>
        <v/>
      </c>
      <c r="Q103" s="7">
        <f>IF(N103&lt;&gt;0,P103*N103,0)</f>
        <v/>
      </c>
      <c r="R103" s="8">
        <f>IF(Q103&lt;&gt;0,Q103+H103+L103,0)</f>
        <v/>
      </c>
      <c r="S103" s="9">
        <f>VLOOKUP(OPERAC[[#This Row],[especie]],[1]!ESPECIES[#Data],9,FALSE)</f>
        <v/>
      </c>
    </row>
    <row r="104">
      <c r="A104" s="4" t="n">
        <v>16780</v>
      </c>
      <c r="B104" s="5" t="n">
        <v>44700</v>
      </c>
      <c r="C104" s="13" t="inlineStr">
        <is>
          <t>VTA</t>
        </is>
      </c>
      <c r="D104" s="13" t="n">
        <v>39</v>
      </c>
      <c r="E104" s="10">
        <f>IF(D104&gt;0,VLOOKUP(OPERAC[[#This Row],[COD CART]],[1]!MatrizCortoLargoCyl[#All],3,0),"")</f>
        <v/>
      </c>
      <c r="F104" s="13" t="inlineStr">
        <is>
          <t>TSLA/P/625,00/20-05-22</t>
        </is>
      </c>
      <c r="G104" s="6" t="n">
        <v>-2000</v>
      </c>
      <c r="H104" s="6" t="n">
        <v>3366</v>
      </c>
      <c r="I104" s="7">
        <f>-H104/G104</f>
        <v/>
      </c>
      <c r="J104" s="11" t="n">
        <v>44701</v>
      </c>
      <c r="K104" s="6" t="n">
        <v>-2000</v>
      </c>
      <c r="L104" s="6" t="n">
        <v>0</v>
      </c>
      <c r="M104" s="7">
        <f>IF(N104=0,+L104+H104,0)</f>
        <v/>
      </c>
      <c r="N104" s="7">
        <f>IF((+G104-K104)=0,0,+G104-K104)</f>
        <v/>
      </c>
      <c r="O104" s="7">
        <f>IF(N104=0,0,(L104+H104)/-N104)</f>
        <v/>
      </c>
      <c r="P104" s="7">
        <f>VLOOKUP(OPERAC[[#This Row],[especie]],[1]!ESPECIES[#All],6,0)</f>
        <v/>
      </c>
      <c r="Q104" s="7">
        <f>IF(N104&lt;&gt;0,P104*N104,0)</f>
        <v/>
      </c>
      <c r="R104" s="8">
        <f>IF(Q104&lt;&gt;0,Q104+H104+L104,0)</f>
        <v/>
      </c>
      <c r="S104" s="9">
        <f>VLOOKUP(OPERAC[[#This Row],[especie]],[1]!ESPECIES[#Data],9,FALSE)</f>
        <v/>
      </c>
    </row>
    <row r="105">
      <c r="A105" s="4" t="n">
        <v>7914</v>
      </c>
      <c r="B105" s="5" t="n">
        <v>44579</v>
      </c>
      <c r="C105" s="13" t="inlineStr">
        <is>
          <t>VTA</t>
        </is>
      </c>
      <c r="D105" s="13" t="n">
        <v>39</v>
      </c>
      <c r="E105" s="10">
        <f>IF(D105&gt;0,VLOOKUP(OPERAC[[#This Row],[COD CART]],[1]!MatrizCortoLargoCyl[#All],3,0),"")</f>
        <v/>
      </c>
      <c r="F105" s="13" t="inlineStr">
        <is>
          <t>ROKU/V/150,00/21-01-22</t>
        </is>
      </c>
      <c r="G105" s="6" t="n">
        <v>-2000</v>
      </c>
      <c r="H105" s="6" t="n">
        <v>3364.91</v>
      </c>
      <c r="I105" s="7">
        <f>-H105/G105</f>
        <v/>
      </c>
      <c r="J105" s="11" t="n">
        <v>44582</v>
      </c>
      <c r="K105" s="6" t="n">
        <v>-2000</v>
      </c>
      <c r="L105" s="6" t="n">
        <v>-841.23</v>
      </c>
      <c r="M105" s="7">
        <f>IF(N105=0,+L105+H105,0)</f>
        <v/>
      </c>
      <c r="N105" s="7">
        <f>IF((+G105-K105)=0,0,+G105-K105)</f>
        <v/>
      </c>
      <c r="O105" s="7">
        <f>IF(N105=0,0,(L105+H105)/-N105)</f>
        <v/>
      </c>
      <c r="P105" s="7">
        <f>VLOOKUP(OPERAC[[#This Row],[especie]],[1]!ESPECIES[#All],6,0)</f>
        <v/>
      </c>
      <c r="Q105" s="7">
        <f>IF(N105&lt;&gt;0,P105*N105,0)</f>
        <v/>
      </c>
      <c r="R105" s="8">
        <f>IF(Q105&lt;&gt;0,Q105+H105+L105,0)</f>
        <v/>
      </c>
      <c r="S105" s="9">
        <f>VLOOKUP(OPERAC[[#This Row],[especie]],[1]!ESPECIES[#Data],9,FALSE)</f>
        <v/>
      </c>
    </row>
    <row r="106">
      <c r="A106" s="4" t="n">
        <v>13246</v>
      </c>
      <c r="B106" s="5" t="n">
        <v>44340</v>
      </c>
      <c r="C106" s="13" t="inlineStr">
        <is>
          <t>VTA</t>
        </is>
      </c>
      <c r="D106" s="13" t="n">
        <v>39</v>
      </c>
      <c r="E106" s="10">
        <f>IF(D106&gt;0,VLOOKUP(OPERAC[[#This Row],[COD CART]],[1]!MatrizCortoLargoCyl[#All],3,0),"")</f>
        <v/>
      </c>
      <c r="F106" s="13" t="inlineStr">
        <is>
          <t>SOLO/V/3,50/21-01-22</t>
        </is>
      </c>
      <c r="G106" s="6" t="n">
        <v>-3000</v>
      </c>
      <c r="H106" s="6" t="n">
        <v>3356.88</v>
      </c>
      <c r="I106" s="7">
        <f>-H106/G106</f>
        <v/>
      </c>
      <c r="J106" s="11" t="n">
        <v>44579</v>
      </c>
      <c r="K106" s="6">
        <f>+OPERAC[[#This Row],[cantidad]]</f>
        <v/>
      </c>
      <c r="L106" s="6">
        <f>-OPERAC[[#This Row],[importe]]</f>
        <v/>
      </c>
      <c r="M106" s="7">
        <f>IF(N106=0,+L106+H106,0)</f>
        <v/>
      </c>
      <c r="N106" s="7">
        <f>IF((+G106-K106)=0,0,+G106-K106)</f>
        <v/>
      </c>
      <c r="O106" s="7">
        <f>IF(N106=0,0,(L106+H106)/-N106)</f>
        <v/>
      </c>
      <c r="P106" s="7">
        <f>VLOOKUP(OPERAC[[#This Row],[especie]],[1]!ESPECIES[#All],6,0)</f>
        <v/>
      </c>
      <c r="Q106" s="7">
        <f>IF(N106&lt;&gt;0,P106*N106,0)</f>
        <v/>
      </c>
      <c r="R106" s="8">
        <f>IF(Q106&lt;&gt;0,Q106+H106+L106,0)</f>
        <v/>
      </c>
      <c r="S106" s="9">
        <f>VLOOKUP(OPERAC[[#This Row],[especie]],[1]!ESPECIES[#Data],9,FALSE)</f>
        <v/>
      </c>
    </row>
    <row r="107">
      <c r="A107" s="4" t="n">
        <v>13246</v>
      </c>
      <c r="B107" s="5" t="n">
        <v>44630</v>
      </c>
      <c r="C107" s="13" t="inlineStr">
        <is>
          <t>VTA</t>
        </is>
      </c>
      <c r="D107" s="13" t="n">
        <v>39</v>
      </c>
      <c r="E107" s="10">
        <f>IF(D107&gt;0,VLOOKUP(OPERAC[[#This Row],[COD CART]],[1]!MatrizCortoLargoCyl[#All],3,0),"")</f>
        <v/>
      </c>
      <c r="F107" s="13" t="inlineStr">
        <is>
          <t>SOLO/V/2,50/20-01-23</t>
        </is>
      </c>
      <c r="G107" s="6" t="n">
        <v>-3000</v>
      </c>
      <c r="H107" s="6" t="n">
        <v>3321.06</v>
      </c>
      <c r="I107" s="7">
        <f>-H107/G107</f>
        <v/>
      </c>
      <c r="J107" s="11" t="n"/>
      <c r="K107" s="6" t="n"/>
      <c r="L107" s="6" t="n"/>
      <c r="M107" s="7">
        <f>IF(N107=0,+L107+H107,0)</f>
        <v/>
      </c>
      <c r="N107" s="7">
        <f>IF((+G107-K107)=0,0,+G107-K107)</f>
        <v/>
      </c>
      <c r="O107" s="7">
        <f>IF(N107=0,0,(L107+H107)/-N107)</f>
        <v/>
      </c>
      <c r="P107" s="7">
        <f>VLOOKUP(OPERAC[[#This Row],[especie]],[1]!ESPECIES[#All],6,0)</f>
        <v/>
      </c>
      <c r="Q107" s="7">
        <f>IF(N107&lt;&gt;0,P107*N107,0)</f>
        <v/>
      </c>
      <c r="R107" s="8">
        <f>IF(Q107&lt;&gt;0,Q107+H107+L107,0)</f>
        <v/>
      </c>
      <c r="S107" s="9">
        <f>VLOOKUP(OPERAC[[#This Row],[especie]],[1]!ESPECIES[#Data],9,FALSE)</f>
        <v/>
      </c>
    </row>
    <row r="108">
      <c r="A108" s="4" t="n">
        <v>3835</v>
      </c>
      <c r="B108" s="5" t="n">
        <v>44707</v>
      </c>
      <c r="C108" s="13" t="inlineStr">
        <is>
          <t>VTA</t>
        </is>
      </c>
      <c r="D108" s="13" t="n">
        <v>39</v>
      </c>
      <c r="E108" s="10">
        <f>IF(D108&gt;0,VLOOKUP(OPERAC[[#This Row],[COD CART]],[1]!MatrizCortoLargoCyl[#All],3,0),"")</f>
        <v/>
      </c>
      <c r="F108" s="13" t="inlineStr">
        <is>
          <t>TSLA/P/615,00/27-05-22</t>
        </is>
      </c>
      <c r="G108" s="6" t="n">
        <v>-1000</v>
      </c>
      <c r="H108" s="6" t="n">
        <v>3296.7</v>
      </c>
      <c r="I108" s="7">
        <f>-H108/G108</f>
        <v/>
      </c>
      <c r="J108" s="5" t="n">
        <v>44708</v>
      </c>
      <c r="K108" s="6" t="n">
        <v>-1000</v>
      </c>
      <c r="L108" s="6" t="n">
        <v>0</v>
      </c>
      <c r="M108" s="7">
        <f>IF(N108=0,+L108+H108,0)</f>
        <v/>
      </c>
      <c r="N108" s="7">
        <f>IF((+G108-K108)=0,0,+G108-K108)</f>
        <v/>
      </c>
      <c r="O108" s="7">
        <f>IF(N108=0,0,(L108+H108)/-N108)</f>
        <v/>
      </c>
      <c r="P108" s="7">
        <f>VLOOKUP(OPERAC[[#This Row],[especie]],[1]!ESPECIES[#All],6,0)</f>
        <v/>
      </c>
      <c r="Q108" s="7">
        <f>IF(N108&lt;&gt;0,P108*N108,0)</f>
        <v/>
      </c>
      <c r="R108" s="8">
        <f>IF(Q108&lt;&gt;0,Q108+H108+L108,0)</f>
        <v/>
      </c>
      <c r="S108" s="9">
        <f>VLOOKUP(OPERAC[[#This Row],[especie]],[1]!ESPECIES[#Data],9,FALSE)</f>
        <v/>
      </c>
    </row>
    <row r="109">
      <c r="A109" s="4" t="n">
        <v>10079</v>
      </c>
      <c r="B109" s="5" t="n">
        <v>44596</v>
      </c>
      <c r="C109" s="13" t="inlineStr">
        <is>
          <t>VTA</t>
        </is>
      </c>
      <c r="D109" s="13" t="n">
        <v>39</v>
      </c>
      <c r="E109" s="10">
        <f>IF(D109&gt;0,VLOOKUP(OPERAC[[#This Row],[COD CART]],[1]!MatrizCortoLargoCyl[#All],3,0),"")</f>
        <v/>
      </c>
      <c r="F109" s="13" t="inlineStr">
        <is>
          <t>TSLA/V/760,00/11-02-22</t>
        </is>
      </c>
      <c r="G109" s="6" t="n">
        <v>-1700</v>
      </c>
      <c r="H109" s="6" t="n">
        <v>3283.99</v>
      </c>
      <c r="I109" s="7">
        <f>-H109/G109</f>
        <v/>
      </c>
      <c r="J109" s="11" t="n">
        <v>44601</v>
      </c>
      <c r="K109" s="6" t="n">
        <v>-1700</v>
      </c>
      <c r="L109" s="6">
        <f>0.1*OPERAC[[#This Row],[cantidad venta]]</f>
        <v/>
      </c>
      <c r="M109" s="7">
        <f>IF(N109=0,+L109+H109,0)</f>
        <v/>
      </c>
      <c r="N109" s="7">
        <f>IF((+G109-K109)=0,0,+G109-K109)</f>
        <v/>
      </c>
      <c r="O109" s="7">
        <f>IF(N109=0,0,(L109+H109)/-N109)</f>
        <v/>
      </c>
      <c r="P109" s="7">
        <f>VLOOKUP(OPERAC[[#This Row],[especie]],[1]!ESPECIES[#All],6,0)</f>
        <v/>
      </c>
      <c r="Q109" s="7">
        <f>IF(N109&lt;&gt;0,P109*N109,0)</f>
        <v/>
      </c>
      <c r="R109" s="8">
        <f>IF(Q109&lt;&gt;0,Q109+H109+L109,0)</f>
        <v/>
      </c>
      <c r="S109" s="9">
        <f>VLOOKUP(OPERAC[[#This Row],[especie]],[1]!ESPECIES[#Data],9,FALSE)</f>
        <v/>
      </c>
    </row>
    <row r="110">
      <c r="A110" s="4" t="n">
        <v>3787</v>
      </c>
      <c r="B110" s="5" t="n">
        <v>44641</v>
      </c>
      <c r="C110" s="13" t="inlineStr">
        <is>
          <t>VTA</t>
        </is>
      </c>
      <c r="D110" s="13" t="n">
        <v>39</v>
      </c>
      <c r="E110" s="10">
        <f>IF(D110&gt;0,VLOOKUP(OPERAC[[#This Row],[COD CART]],[1]!MatrizCortoLargoCyl[#All],3,0),"")</f>
        <v/>
      </c>
      <c r="F110" s="13" t="inlineStr">
        <is>
          <t>TSLA/V/800,00/25-03-22</t>
        </is>
      </c>
      <c r="G110" s="6" t="n">
        <v>-2000</v>
      </c>
      <c r="H110" s="6" t="n">
        <v>3279.4</v>
      </c>
      <c r="I110" s="7">
        <f>-H110/G110</f>
        <v/>
      </c>
      <c r="J110" s="11" t="n">
        <v>44645</v>
      </c>
      <c r="K110" s="6" t="n">
        <v>-2000</v>
      </c>
      <c r="L110" s="6" t="n">
        <v>0</v>
      </c>
      <c r="M110" s="7">
        <f>IF(N110=0,+L110+H110,0)</f>
        <v/>
      </c>
      <c r="N110" s="7">
        <f>IF((+G110-K110)=0,0,+G110-K110)</f>
        <v/>
      </c>
      <c r="O110" s="7">
        <f>IF(N110=0,0,(L110+H110)/-N110)</f>
        <v/>
      </c>
      <c r="P110" s="7">
        <f>VLOOKUP(OPERAC[[#This Row],[especie]],[1]!ESPECIES[#All],6,0)</f>
        <v/>
      </c>
      <c r="Q110" s="7">
        <f>IF(N110&lt;&gt;0,P110*N110,0)</f>
        <v/>
      </c>
      <c r="R110" s="8">
        <f>IF(Q110&lt;&gt;0,Q110+H110+L110,0)</f>
        <v/>
      </c>
      <c r="S110" s="9">
        <f>VLOOKUP(OPERAC[[#This Row],[especie]],[1]!ESPECIES[#Data],9,FALSE)</f>
        <v/>
      </c>
    </row>
    <row r="111">
      <c r="A111" s="4" t="n">
        <v>3728</v>
      </c>
      <c r="B111" s="5" t="n">
        <v>44636</v>
      </c>
      <c r="C111" s="13" t="inlineStr">
        <is>
          <t>VTA</t>
        </is>
      </c>
      <c r="D111" s="13" t="n">
        <v>39</v>
      </c>
      <c r="E111" s="10">
        <f>IF(D111&gt;0,VLOOKUP(OPERAC[[#This Row],[COD CART]],[1]!MatrizCortoLargoCyl[#All],3,0),"")</f>
        <v/>
      </c>
      <c r="F111" s="13" t="inlineStr">
        <is>
          <t>TSLA/V/745,00/18-03-22</t>
        </is>
      </c>
      <c r="G111" s="6" t="n">
        <v>-2000</v>
      </c>
      <c r="H111" s="6" t="n">
        <v>3251.3</v>
      </c>
      <c r="I111" s="7">
        <f>-H111/G111</f>
        <v/>
      </c>
      <c r="J111" s="11" t="n">
        <v>44638</v>
      </c>
      <c r="K111" s="6" t="n">
        <v>-2000</v>
      </c>
      <c r="L111" s="6" t="n">
        <v>-171.14</v>
      </c>
      <c r="M111" s="7">
        <f>IF(N111=0,+L111+H111,0)</f>
        <v/>
      </c>
      <c r="N111" s="7">
        <f>IF((+G111-K111)=0,0,+G111-K111)</f>
        <v/>
      </c>
      <c r="O111" s="7">
        <f>IF(N111=0,0,(L111+H111)/-N111)</f>
        <v/>
      </c>
      <c r="P111" s="7">
        <f>VLOOKUP(OPERAC[[#This Row],[especie]],[1]!ESPECIES[#All],6,0)</f>
        <v/>
      </c>
      <c r="Q111" s="7">
        <f>IF(N111&lt;&gt;0,P111*N111,0)</f>
        <v/>
      </c>
      <c r="R111" s="8">
        <f>IF(Q111&lt;&gt;0,Q111+H111+L111,0)</f>
        <v/>
      </c>
      <c r="S111" s="9">
        <f>VLOOKUP(OPERAC[[#This Row],[especie]],[1]!ESPECIES[#Data],9,FALSE)</f>
        <v/>
      </c>
    </row>
    <row r="112">
      <c r="A112" s="4" t="n">
        <v>15194</v>
      </c>
      <c r="B112" s="5" t="n">
        <v>44441</v>
      </c>
      <c r="C112" s="13" t="inlineStr">
        <is>
          <t>VTA</t>
        </is>
      </c>
      <c r="D112" s="13" t="n">
        <v>39</v>
      </c>
      <c r="E112" s="10">
        <f>IF(D112&gt;0,VLOOKUP(OPERAC[[#This Row],[COD CART]],[1]!MatrizCortoLargoCyl[#All],3,0),"")</f>
        <v/>
      </c>
      <c r="F112" s="13" t="inlineStr">
        <is>
          <t>EDIT/V/35,00/20-01-23</t>
        </is>
      </c>
      <c r="G112" s="6" t="n">
        <v>-500</v>
      </c>
      <c r="H112" s="6" t="n">
        <v>3224</v>
      </c>
      <c r="I112" s="7">
        <f>-H112/G112</f>
        <v/>
      </c>
      <c r="J112" s="11" t="n">
        <v>44614</v>
      </c>
      <c r="K112" s="6" t="n">
        <v>-500</v>
      </c>
      <c r="L112" s="6" t="n">
        <v>-10684.8</v>
      </c>
      <c r="M112" s="7">
        <f>IF(N112=0,+L112+H112,0)</f>
        <v/>
      </c>
      <c r="N112" s="7">
        <f>IF((+G112-K112)=0,0,+G112-K112)</f>
        <v/>
      </c>
      <c r="O112" s="7">
        <f>IF(N112=0,0,(L112+H112)/-N112)</f>
        <v/>
      </c>
      <c r="P112" s="7">
        <f>VLOOKUP(OPERAC[[#This Row],[especie]],[1]!ESPECIES[#All],6,0)</f>
        <v/>
      </c>
      <c r="Q112" s="7">
        <f>IF(N112&lt;&gt;0,P112*N112,0)</f>
        <v/>
      </c>
      <c r="R112" s="8">
        <f>IF(Q112&lt;&gt;0,Q112+H112+L112,0)</f>
        <v/>
      </c>
      <c r="S112" s="9">
        <f>VLOOKUP(OPERAC[[#This Row],[especie]],[1]!ESPECIES[#Data],9,FALSE)</f>
        <v/>
      </c>
    </row>
    <row r="113">
      <c r="A113" s="4" t="n">
        <v>16783</v>
      </c>
      <c r="B113" s="5" t="n">
        <v>44441</v>
      </c>
      <c r="C113" s="13" t="inlineStr">
        <is>
          <t>VTA</t>
        </is>
      </c>
      <c r="D113" s="13" t="n">
        <v>39</v>
      </c>
      <c r="E113" s="10">
        <f>IF(D113&gt;0,VLOOKUP(OPERAC[[#This Row],[COD CART]],[1]!MatrizCortoLargoCyl[#All],3,0),"")</f>
        <v/>
      </c>
      <c r="F113" s="13" t="inlineStr">
        <is>
          <t>EDIT/V/35,00/20-01-23</t>
        </is>
      </c>
      <c r="G113" s="6" t="n">
        <v>-500</v>
      </c>
      <c r="H113" s="6" t="n">
        <v>3224</v>
      </c>
      <c r="I113" s="7">
        <f>-H113/G113</f>
        <v/>
      </c>
      <c r="J113" s="11" t="n">
        <v>44614</v>
      </c>
      <c r="K113" s="6" t="n">
        <v>-500</v>
      </c>
      <c r="L113" s="6" t="n">
        <v>-10642.4</v>
      </c>
      <c r="M113" s="7">
        <f>IF(N113=0,+L113+H113,0)</f>
        <v/>
      </c>
      <c r="N113" s="7">
        <f>IF((+G113-K113)=0,0,+G113-K113)</f>
        <v/>
      </c>
      <c r="O113" s="7">
        <f>IF(N113=0,0,(L113+H113)/-N113)</f>
        <v/>
      </c>
      <c r="P113" s="7">
        <f>VLOOKUP(OPERAC[[#This Row],[especie]],[1]!ESPECIES[#All],6,0)</f>
        <v/>
      </c>
      <c r="Q113" s="7">
        <f>IF(N113&lt;&gt;0,P113*N113,0)</f>
        <v/>
      </c>
      <c r="R113" s="8">
        <f>IF(Q113&lt;&gt;0,Q113+H113+L113,0)</f>
        <v/>
      </c>
      <c r="S113" s="9">
        <f>VLOOKUP(OPERAC[[#This Row],[especie]],[1]!ESPECIES[#Data],9,FALSE)</f>
        <v/>
      </c>
    </row>
    <row r="114">
      <c r="A114" s="4" t="n">
        <v>11168</v>
      </c>
      <c r="B114" s="5" t="n">
        <v>44706</v>
      </c>
      <c r="C114" s="13" t="inlineStr">
        <is>
          <t>VTA</t>
        </is>
      </c>
      <c r="D114" s="13" t="n">
        <v>39</v>
      </c>
      <c r="E114" s="10">
        <f>IF(D114&gt;0,VLOOKUP(OPERAC[[#This Row],[COD CART]],[1]!MatrizCortoLargoCyl[#All],3,0),"")</f>
        <v/>
      </c>
      <c r="F114" s="13" t="inlineStr">
        <is>
          <t>TSLA/P/615,00/27-05-22</t>
        </is>
      </c>
      <c r="G114" s="6" t="n">
        <v>-1000</v>
      </c>
      <c r="H114" s="6" t="n">
        <v>3222.375</v>
      </c>
      <c r="I114" s="7">
        <f>-H114/G114</f>
        <v/>
      </c>
      <c r="J114" s="5" t="n">
        <v>44707</v>
      </c>
      <c r="K114" s="6" t="n">
        <v>-1000</v>
      </c>
      <c r="L114" s="6" t="n">
        <v>-443.74</v>
      </c>
      <c r="M114" s="7">
        <f>IF(N114=0,+L114+H114,0)</f>
        <v/>
      </c>
      <c r="N114" s="7">
        <f>IF((+G114-K114)=0,0,+G114-K114)</f>
        <v/>
      </c>
      <c r="O114" s="7">
        <f>IF(N114=0,0,(L114+H114)/-N114)</f>
        <v/>
      </c>
      <c r="P114" s="7">
        <f>VLOOKUP(OPERAC[[#This Row],[especie]],[1]!ESPECIES[#All],6,0)</f>
        <v/>
      </c>
      <c r="Q114" s="7">
        <f>IF(N114&lt;&gt;0,P114*N114,0)</f>
        <v/>
      </c>
      <c r="R114" s="8">
        <f>IF(Q114&lt;&gt;0,Q114+H114+L114,0)</f>
        <v/>
      </c>
      <c r="S114" s="9">
        <f>VLOOKUP(OPERAC[[#This Row],[especie]],[1]!ESPECIES[#Data],9,FALSE)</f>
        <v/>
      </c>
    </row>
    <row r="115">
      <c r="A115" s="4" t="n">
        <v>7493</v>
      </c>
      <c r="B115" s="5" t="n">
        <v>44706</v>
      </c>
      <c r="C115" s="13" t="inlineStr">
        <is>
          <t>VTA</t>
        </is>
      </c>
      <c r="D115" s="13" t="n">
        <v>39</v>
      </c>
      <c r="E115" s="10">
        <f>IF(D115&gt;0,VLOOKUP(OPERAC[[#This Row],[COD CART]],[1]!MatrizCortoLargoCyl[#All],3,0),"")</f>
        <v/>
      </c>
      <c r="F115" s="13" t="inlineStr">
        <is>
          <t>TSLA/P/615,00/27-05-22</t>
        </is>
      </c>
      <c r="G115" s="6" t="n">
        <v>-1000</v>
      </c>
      <c r="H115" s="6" t="n">
        <v>3222.375</v>
      </c>
      <c r="I115" s="7">
        <f>-H115/G115</f>
        <v/>
      </c>
      <c r="J115" s="5" t="n">
        <v>44707</v>
      </c>
      <c r="K115" s="6" t="n">
        <v>-1000</v>
      </c>
      <c r="L115" s="6" t="n">
        <v>-443.74</v>
      </c>
      <c r="M115" s="7">
        <f>IF(N115=0,+L115+H115,0)</f>
        <v/>
      </c>
      <c r="N115" s="7">
        <f>IF((+G115-K115)=0,0,+G115-K115)</f>
        <v/>
      </c>
      <c r="O115" s="7">
        <f>IF(N115=0,0,(L115+H115)/-N115)</f>
        <v/>
      </c>
      <c r="P115" s="7">
        <f>VLOOKUP(OPERAC[[#This Row],[especie]],[1]!ESPECIES[#All],6,0)</f>
        <v/>
      </c>
      <c r="Q115" s="7">
        <f>IF(N115&lt;&gt;0,P115*N115,0)</f>
        <v/>
      </c>
      <c r="R115" s="8">
        <f>IF(Q115&lt;&gt;0,Q115+H115+L115,0)</f>
        <v/>
      </c>
      <c r="S115" s="9">
        <f>VLOOKUP(OPERAC[[#This Row],[especie]],[1]!ESPECIES[#Data],9,FALSE)</f>
        <v/>
      </c>
    </row>
    <row r="116">
      <c r="A116" s="4" t="n">
        <v>18677</v>
      </c>
      <c r="B116" s="5" t="n">
        <v>44693</v>
      </c>
      <c r="C116" s="13" t="inlineStr">
        <is>
          <t>VTA</t>
        </is>
      </c>
      <c r="D116" s="13" t="n">
        <v>39</v>
      </c>
      <c r="E116" s="10">
        <f>IF(D116&gt;0,VLOOKUP(OPERAC[[#This Row],[COD CART]],[1]!MatrizCortoLargoCyl[#All],3,0),"")</f>
        <v/>
      </c>
      <c r="F116" s="13" t="inlineStr">
        <is>
          <t>TSLA/V/550,00/20-05-22</t>
        </is>
      </c>
      <c r="G116" s="6" t="n">
        <v>-700</v>
      </c>
      <c r="H116" s="6" t="n">
        <v>3207.119999999999</v>
      </c>
      <c r="I116" s="7">
        <f>-H116/G116</f>
        <v/>
      </c>
      <c r="J116" s="11" t="n">
        <v>44700</v>
      </c>
      <c r="K116" s="6" t="n">
        <v>-700</v>
      </c>
      <c r="L116" s="6" t="n">
        <v>-134.13</v>
      </c>
      <c r="M116" s="7">
        <f>IF(N116=0,+L116+H116,0)</f>
        <v/>
      </c>
      <c r="N116" s="7">
        <f>IF((+G116-K116)=0,0,+G116-K116)</f>
        <v/>
      </c>
      <c r="O116" s="7">
        <f>IF(N116=0,0,(L116+H116)/-N116)</f>
        <v/>
      </c>
      <c r="P116" s="7">
        <f>VLOOKUP(OPERAC[[#This Row],[especie]],[1]!ESPECIES[#All],6,0)</f>
        <v/>
      </c>
      <c r="Q116" s="7">
        <f>IF(N116&lt;&gt;0,P116*N116,0)</f>
        <v/>
      </c>
      <c r="R116" s="8">
        <f>IF(Q116&lt;&gt;0,Q116+H116+L116,0)</f>
        <v/>
      </c>
      <c r="S116" s="9">
        <f>VLOOKUP(OPERAC[[#This Row],[especie]],[1]!ESPECIES[#Data],9,FALSE)</f>
        <v/>
      </c>
    </row>
    <row r="117">
      <c r="A117" s="4" t="n">
        <v>3728</v>
      </c>
      <c r="B117" s="5" t="n">
        <v>44587</v>
      </c>
      <c r="C117" s="13" t="inlineStr">
        <is>
          <t>VTA</t>
        </is>
      </c>
      <c r="D117" s="13" t="n">
        <v>39</v>
      </c>
      <c r="E117" s="10">
        <f>IF(D117&gt;0,VLOOKUP(OPERAC[[#This Row],[COD CART]],[1]!MatrizCortoLargoCyl[#All],3,0),"")</f>
        <v/>
      </c>
      <c r="F117" s="13" t="inlineStr">
        <is>
          <t>ROKU/V/155,00/04-02-22</t>
        </is>
      </c>
      <c r="G117" s="6" t="n">
        <v>-400</v>
      </c>
      <c r="H117" s="6" t="n">
        <v>3198.4064</v>
      </c>
      <c r="I117" s="7">
        <f>-H117/G117</f>
        <v/>
      </c>
      <c r="J117" s="11" t="n">
        <v>44592</v>
      </c>
      <c r="K117" s="6">
        <f>+OPERAC[[#This Row],[cantidad]]</f>
        <v/>
      </c>
      <c r="L117" s="6" t="n">
        <v>-1422.9856</v>
      </c>
      <c r="M117" s="7">
        <f>IF(N117=0,+L117+H117,0)</f>
        <v/>
      </c>
      <c r="N117" s="7">
        <f>IF((+G117-K117)=0,0,+G117-K117)</f>
        <v/>
      </c>
      <c r="O117" s="7">
        <f>IF(N117=0,0,(L117+H117)/-N117)</f>
        <v/>
      </c>
      <c r="P117" s="7">
        <f>VLOOKUP(OPERAC[[#This Row],[especie]],[1]!ESPECIES[#All],6,0)</f>
        <v/>
      </c>
      <c r="Q117" s="7">
        <f>IF(N117&lt;&gt;0,P117*N117,0)</f>
        <v/>
      </c>
      <c r="R117" s="8">
        <f>IF(Q117&lt;&gt;0,Q117+H117+L117,0)</f>
        <v/>
      </c>
      <c r="S117" s="9">
        <f>VLOOKUP(OPERAC[[#This Row],[especie]],[1]!ESPECIES[#Data],9,FALSE)</f>
        <v/>
      </c>
    </row>
    <row r="118">
      <c r="A118" s="4" t="n">
        <v>16818</v>
      </c>
      <c r="B118" s="5" t="n">
        <v>44582</v>
      </c>
      <c r="C118" s="13" t="inlineStr">
        <is>
          <t>VTA</t>
        </is>
      </c>
      <c r="D118" s="13" t="n">
        <v>39</v>
      </c>
      <c r="E118" s="10">
        <f>IF(D118&gt;0,VLOOKUP(OPERAC[[#This Row],[COD CART]],[1]!MatrizCortoLargoCyl[#All],3,0),"")</f>
        <v/>
      </c>
      <c r="F118" s="13" t="inlineStr">
        <is>
          <t>ROKU/V/160,00/28-01-22</t>
        </is>
      </c>
      <c r="G118" s="6" t="n">
        <v>-300</v>
      </c>
      <c r="H118" s="6" t="n">
        <v>3181.92</v>
      </c>
      <c r="I118" s="7">
        <f>-H118/G118</f>
        <v/>
      </c>
      <c r="J118" s="11" t="n">
        <v>44587</v>
      </c>
      <c r="K118" s="6">
        <f>+OPERAC[[#This Row],[cantidad]]</f>
        <v/>
      </c>
      <c r="L118" s="6">
        <f>-OPERAC[[#This Row],[importe]]</f>
        <v/>
      </c>
      <c r="M118" s="7">
        <f>IF(N118=0,+L118+H118,0)</f>
        <v/>
      </c>
      <c r="N118" s="7">
        <f>IF((+G118-K118)=0,0,+G118-K118)</f>
        <v/>
      </c>
      <c r="O118" s="7">
        <f>IF(N118=0,0,(L118+H118)/-N118)</f>
        <v/>
      </c>
      <c r="P118" s="7">
        <f>VLOOKUP(OPERAC[[#This Row],[especie]],[1]!ESPECIES[#All],6,0)</f>
        <v/>
      </c>
      <c r="Q118" s="7">
        <f>IF(N118&lt;&gt;0,P118*N118,0)</f>
        <v/>
      </c>
      <c r="R118" s="8">
        <f>IF(Q118&lt;&gt;0,Q118+H118+L118,0)</f>
        <v/>
      </c>
      <c r="S118" s="9">
        <f>VLOOKUP(OPERAC[[#This Row],[especie]],[1]!ESPECIES[#Data],9,FALSE)</f>
        <v/>
      </c>
    </row>
    <row r="119">
      <c r="A119" s="4" t="n">
        <v>1800</v>
      </c>
      <c r="B119" s="5" t="n">
        <v>44587</v>
      </c>
      <c r="C119" s="13" t="inlineStr">
        <is>
          <t>VTA</t>
        </is>
      </c>
      <c r="D119" s="13" t="n">
        <v>39</v>
      </c>
      <c r="E119" s="10">
        <f>IF(D119&gt;0,VLOOKUP(OPERAC[[#This Row],[COD CART]],[1]!MatrizCortoLargoCyl[#All],3,0),"")</f>
        <v/>
      </c>
      <c r="F119" s="13" t="inlineStr">
        <is>
          <t>ROKU/V/155,00/04-02-22</t>
        </is>
      </c>
      <c r="G119" s="6" t="n">
        <v>-400</v>
      </c>
      <c r="H119" s="6" t="n">
        <v>3175.984</v>
      </c>
      <c r="I119" s="7">
        <f>-H119/G119</f>
        <v/>
      </c>
      <c r="J119" s="11" t="n">
        <v>44592</v>
      </c>
      <c r="K119" s="6">
        <f>+OPERAC[[#This Row],[cantidad]]</f>
        <v/>
      </c>
      <c r="L119" s="6" t="n">
        <v>-1432.926</v>
      </c>
      <c r="M119" s="7">
        <f>IF(N119=0,+L119+H119,0)</f>
        <v/>
      </c>
      <c r="N119" s="7">
        <f>IF((+G119-K119)=0,0,+G119-K119)</f>
        <v/>
      </c>
      <c r="O119" s="7">
        <f>IF(N119=0,0,(L119+H119)/-N119)</f>
        <v/>
      </c>
      <c r="P119" s="7">
        <f>VLOOKUP(OPERAC[[#This Row],[especie]],[1]!ESPECIES[#All],6,0)</f>
        <v/>
      </c>
      <c r="Q119" s="7">
        <f>IF(N119&lt;&gt;0,P119*N119,0)</f>
        <v/>
      </c>
      <c r="R119" s="8">
        <f>IF(Q119&lt;&gt;0,Q119+H119+L119,0)</f>
        <v/>
      </c>
      <c r="S119" s="9">
        <f>VLOOKUP(OPERAC[[#This Row],[especie]],[1]!ESPECIES[#Data],9,FALSE)</f>
        <v/>
      </c>
    </row>
    <row r="120">
      <c r="A120" s="4" t="n">
        <v>15194</v>
      </c>
      <c r="B120" s="5" t="n">
        <v>44587</v>
      </c>
      <c r="C120" s="13" t="inlineStr">
        <is>
          <t>VTA</t>
        </is>
      </c>
      <c r="D120" s="13" t="n">
        <v>39</v>
      </c>
      <c r="E120" s="10">
        <f>IF(D120&gt;0,VLOOKUP(OPERAC[[#This Row],[COD CART]],[1]!MatrizCortoLargoCyl[#All],3,0),"")</f>
        <v/>
      </c>
      <c r="F120" s="13" t="inlineStr">
        <is>
          <t>ROKU/V/155,00/04-02-22</t>
        </is>
      </c>
      <c r="G120" s="6" t="n">
        <v>-400</v>
      </c>
      <c r="H120" s="6" t="n">
        <v>3175.984</v>
      </c>
      <c r="I120" s="7">
        <f>-H120/G120</f>
        <v/>
      </c>
      <c r="J120" s="11" t="n">
        <v>44592</v>
      </c>
      <c r="K120" s="6">
        <f>+OPERAC[[#This Row],[cantidad]]</f>
        <v/>
      </c>
      <c r="L120" s="6" t="n">
        <v>-1432.9256</v>
      </c>
      <c r="M120" s="7">
        <f>IF(N120=0,+L120+H120,0)</f>
        <v/>
      </c>
      <c r="N120" s="7">
        <f>IF((+G120-K120)=0,0,+G120-K120)</f>
        <v/>
      </c>
      <c r="O120" s="7">
        <f>IF(N120=0,0,(L120+H120)/-N120)</f>
        <v/>
      </c>
      <c r="P120" s="7">
        <f>VLOOKUP(OPERAC[[#This Row],[especie]],[1]!ESPECIES[#All],6,0)</f>
        <v/>
      </c>
      <c r="Q120" s="7">
        <f>IF(N120&lt;&gt;0,P120*N120,0)</f>
        <v/>
      </c>
      <c r="R120" s="8">
        <f>IF(Q120&lt;&gt;0,Q120+H120+L120,0)</f>
        <v/>
      </c>
      <c r="S120" s="9">
        <f>VLOOKUP(OPERAC[[#This Row],[especie]],[1]!ESPECIES[#Data],9,FALSE)</f>
        <v/>
      </c>
    </row>
    <row r="121">
      <c r="A121" s="4" t="n">
        <v>13246</v>
      </c>
      <c r="B121" s="5" t="n">
        <v>44587</v>
      </c>
      <c r="C121" s="13" t="inlineStr">
        <is>
          <t>VTA</t>
        </is>
      </c>
      <c r="D121" s="13" t="n">
        <v>39</v>
      </c>
      <c r="E121" s="10">
        <f>IF(D121&gt;0,VLOOKUP(OPERAC[[#This Row],[COD CART]],[1]!MatrizCortoLargoCyl[#All],3,0),"")</f>
        <v/>
      </c>
      <c r="F121" s="13" t="inlineStr">
        <is>
          <t>ROKU/V/155,00/04-02-22</t>
        </is>
      </c>
      <c r="G121" s="6" t="n">
        <v>-400</v>
      </c>
      <c r="H121" s="6" t="n">
        <v>3175.984</v>
      </c>
      <c r="I121" s="7">
        <f>-H121/G121</f>
        <v/>
      </c>
      <c r="J121" s="11" t="n">
        <v>44592</v>
      </c>
      <c r="K121" s="6">
        <f>+OPERAC[[#This Row],[cantidad]]</f>
        <v/>
      </c>
      <c r="L121" s="6" t="n">
        <v>-1432.9256</v>
      </c>
      <c r="M121" s="7">
        <f>IF(N121=0,+L121+H121,0)</f>
        <v/>
      </c>
      <c r="N121" s="7">
        <f>IF((+G121-K121)=0,0,+G121-K121)</f>
        <v/>
      </c>
      <c r="O121" s="7">
        <f>IF(N121=0,0,(L121+H121)/-N121)</f>
        <v/>
      </c>
      <c r="P121" s="7">
        <f>VLOOKUP(OPERAC[[#This Row],[especie]],[1]!ESPECIES[#All],6,0)</f>
        <v/>
      </c>
      <c r="Q121" s="7">
        <f>IF(N121&lt;&gt;0,P121*N121,0)</f>
        <v/>
      </c>
      <c r="R121" s="8">
        <f>IF(Q121&lt;&gt;0,Q121+H121+L121,0)</f>
        <v/>
      </c>
      <c r="S121" s="9">
        <f>VLOOKUP(OPERAC[[#This Row],[especie]],[1]!ESPECIES[#Data],9,FALSE)</f>
        <v/>
      </c>
    </row>
    <row r="122">
      <c r="A122" s="4" t="n">
        <v>16786</v>
      </c>
      <c r="B122" s="5" t="n">
        <v>44698</v>
      </c>
      <c r="C122" s="13" t="inlineStr">
        <is>
          <t>VTA</t>
        </is>
      </c>
      <c r="D122" s="13" t="n">
        <v>39</v>
      </c>
      <c r="E122" s="10">
        <f>IF(D122&gt;0,VLOOKUP(OPERAC[[#This Row],[COD CART]],[1]!MatrizCortoLargoCyl[#All],3,0),"")</f>
        <v/>
      </c>
      <c r="F122" s="13" t="inlineStr">
        <is>
          <t>TSLA/P/635,00/27-05-22</t>
        </is>
      </c>
      <c r="G122" s="6" t="n">
        <v>-400</v>
      </c>
      <c r="H122" s="6" t="n">
        <v>3172.8</v>
      </c>
      <c r="I122" s="7">
        <f>-H122/G122</f>
        <v/>
      </c>
      <c r="J122" s="11" t="n">
        <v>44701</v>
      </c>
      <c r="K122" s="6" t="n">
        <v>-400</v>
      </c>
      <c r="L122" s="6" t="n">
        <v>-13179.078</v>
      </c>
      <c r="M122" s="7">
        <f>IF(N122=0,+L122+H122,0)</f>
        <v/>
      </c>
      <c r="N122" s="7">
        <f>IF((+G122-K122)=0,0,+G122-K122)</f>
        <v/>
      </c>
      <c r="O122" s="7">
        <f>IF(N122=0,0,(L122+H122)/-N122)</f>
        <v/>
      </c>
      <c r="P122" s="7">
        <f>VLOOKUP(OPERAC[[#This Row],[especie]],[1]!ESPECIES[#All],6,0)</f>
        <v/>
      </c>
      <c r="Q122" s="7">
        <f>IF(N122&lt;&gt;0,P122*N122,0)</f>
        <v/>
      </c>
      <c r="R122" s="8">
        <f>IF(Q122&lt;&gt;0,Q122+H122+L122,0)</f>
        <v/>
      </c>
      <c r="S122" s="9">
        <f>VLOOKUP(OPERAC[[#This Row],[especie]],[1]!ESPECIES[#Data],9,FALSE)</f>
        <v/>
      </c>
    </row>
    <row r="123">
      <c r="A123" s="4" t="n">
        <v>13240</v>
      </c>
      <c r="B123" s="5" t="n">
        <v>44582</v>
      </c>
      <c r="C123" s="13" t="inlineStr">
        <is>
          <t>VTA</t>
        </is>
      </c>
      <c r="D123" s="13" t="n">
        <v>39</v>
      </c>
      <c r="E123" s="10">
        <f>IF(D123&gt;0,VLOOKUP(OPERAC[[#This Row],[COD CART]],[1]!MatrizCortoLargoCyl[#All],3,0),"")</f>
        <v/>
      </c>
      <c r="F123" s="13" t="inlineStr">
        <is>
          <t>ROKU/V/160,00/28-01-22</t>
        </is>
      </c>
      <c r="G123" s="6" t="n">
        <v>-300</v>
      </c>
      <c r="H123" s="6" t="n">
        <v>3169.1364</v>
      </c>
      <c r="I123" s="7">
        <f>-H123/G123</f>
        <v/>
      </c>
      <c r="J123" s="11" t="n">
        <v>44587</v>
      </c>
      <c r="K123" s="6">
        <f>+OPERAC[[#This Row],[cantidad]]</f>
        <v/>
      </c>
      <c r="L123" s="6">
        <f>-OPERAC[[#This Row],[importe]]</f>
        <v/>
      </c>
      <c r="M123" s="7">
        <f>IF(N123=0,+L123+H123,0)</f>
        <v/>
      </c>
      <c r="N123" s="7">
        <f>IF((+G123-K123)=0,0,+G123-K123)</f>
        <v/>
      </c>
      <c r="O123" s="7">
        <f>IF(N123=0,0,(L123+H123)/-N123)</f>
        <v/>
      </c>
      <c r="P123" s="7">
        <f>VLOOKUP(OPERAC[[#This Row],[especie]],[1]!ESPECIES[#All],6,0)</f>
        <v/>
      </c>
      <c r="Q123" s="7">
        <f>IF(N123&lt;&gt;0,P123*N123,0)</f>
        <v/>
      </c>
      <c r="R123" s="8">
        <f>IF(Q123&lt;&gt;0,Q123+H123+L123,0)</f>
        <v/>
      </c>
      <c r="S123" s="9">
        <f>VLOOKUP(OPERAC[[#This Row],[especie]],[1]!ESPECIES[#Data],9,FALSE)</f>
        <v/>
      </c>
    </row>
    <row r="124">
      <c r="A124" s="4" t="n">
        <v>6578</v>
      </c>
      <c r="B124" s="5" t="n">
        <v>44582</v>
      </c>
      <c r="C124" s="13" t="inlineStr">
        <is>
          <t>VTA</t>
        </is>
      </c>
      <c r="D124" s="13" t="n">
        <v>39</v>
      </c>
      <c r="E124" s="10">
        <f>IF(D124&gt;0,VLOOKUP(OPERAC[[#This Row],[COD CART]],[1]!MatrizCortoLargoCyl[#All],3,0),"")</f>
        <v/>
      </c>
      <c r="F124" s="13" t="inlineStr">
        <is>
          <t>ROKU/V/160,00/28-01-22</t>
        </is>
      </c>
      <c r="G124" s="6" t="n">
        <v>-300</v>
      </c>
      <c r="H124" s="6" t="n">
        <v>3169.1364</v>
      </c>
      <c r="I124" s="7">
        <f>-H124/G124</f>
        <v/>
      </c>
      <c r="J124" s="11" t="n">
        <v>44587</v>
      </c>
      <c r="K124" s="6">
        <f>+OPERAC[[#This Row],[cantidad]]</f>
        <v/>
      </c>
      <c r="L124" s="6">
        <f>-OPERAC[[#This Row],[importe]]</f>
        <v/>
      </c>
      <c r="M124" s="7">
        <f>IF(N124=0,+L124+H124,0)</f>
        <v/>
      </c>
      <c r="N124" s="7">
        <f>IF((+G124-K124)=0,0,+G124-K124)</f>
        <v/>
      </c>
      <c r="O124" s="7">
        <f>IF(N124=0,0,(L124+H124)/-N124)</f>
        <v/>
      </c>
      <c r="P124" s="7">
        <f>VLOOKUP(OPERAC[[#This Row],[especie]],[1]!ESPECIES[#All],6,0)</f>
        <v/>
      </c>
      <c r="Q124" s="7">
        <f>IF(N124&lt;&gt;0,P124*N124,0)</f>
        <v/>
      </c>
      <c r="R124" s="8">
        <f>IF(Q124&lt;&gt;0,Q124+H124+L124,0)</f>
        <v/>
      </c>
      <c r="S124" s="9">
        <f>VLOOKUP(OPERAC[[#This Row],[especie]],[1]!ESPECIES[#Data],9,FALSE)</f>
        <v/>
      </c>
    </row>
    <row r="125">
      <c r="A125" s="4" t="n">
        <v>12674</v>
      </c>
      <c r="B125" s="5" t="n">
        <v>44582</v>
      </c>
      <c r="C125" s="13" t="inlineStr">
        <is>
          <t>VTA</t>
        </is>
      </c>
      <c r="D125" s="13" t="n">
        <v>39</v>
      </c>
      <c r="E125" s="10">
        <f>IF(D125&gt;0,VLOOKUP(OPERAC[[#This Row],[COD CART]],[1]!MatrizCortoLargoCyl[#All],3,0),"")</f>
        <v/>
      </c>
      <c r="F125" s="13" t="inlineStr">
        <is>
          <t>ROKU/V/160,00/28-01-22</t>
        </is>
      </c>
      <c r="G125" s="6" t="n">
        <v>-300</v>
      </c>
      <c r="H125" s="6" t="n">
        <v>3169.1364</v>
      </c>
      <c r="I125" s="7">
        <f>-H125/G125</f>
        <v/>
      </c>
      <c r="J125" s="11" t="n">
        <v>44587</v>
      </c>
      <c r="K125" s="6">
        <f>+OPERAC[[#This Row],[cantidad]]</f>
        <v/>
      </c>
      <c r="L125" s="6">
        <f>-OPERAC[[#This Row],[importe]]</f>
        <v/>
      </c>
      <c r="M125" s="7">
        <f>IF(N125=0,+L125+H125,0)</f>
        <v/>
      </c>
      <c r="N125" s="7">
        <f>IF((+G125-K125)=0,0,+G125-K125)</f>
        <v/>
      </c>
      <c r="O125" s="7">
        <f>IF(N125=0,0,(L125+H125)/-N125)</f>
        <v/>
      </c>
      <c r="P125" s="7">
        <f>VLOOKUP(OPERAC[[#This Row],[especie]],[1]!ESPECIES[#All],6,0)</f>
        <v/>
      </c>
      <c r="Q125" s="7">
        <f>IF(N125&lt;&gt;0,P125*N125,0)</f>
        <v/>
      </c>
      <c r="R125" s="8">
        <f>IF(Q125&lt;&gt;0,Q125+H125+L125,0)</f>
        <v/>
      </c>
      <c r="S125" s="9">
        <f>VLOOKUP(OPERAC[[#This Row],[especie]],[1]!ESPECIES[#Data],9,FALSE)</f>
        <v/>
      </c>
    </row>
    <row r="126">
      <c r="A126" s="4" t="n">
        <v>18713</v>
      </c>
      <c r="B126" s="5" t="n">
        <v>44581</v>
      </c>
      <c r="C126" s="13" t="inlineStr">
        <is>
          <t>VTA</t>
        </is>
      </c>
      <c r="D126" s="13" t="n">
        <v>39</v>
      </c>
      <c r="E126" s="10">
        <f>IF(D126&gt;0,VLOOKUP(OPERAC[[#This Row],[COD CART]],[1]!MatrizCortoLargoCyl[#All],3,0),"")</f>
        <v/>
      </c>
      <c r="F126" s="13" t="inlineStr">
        <is>
          <t>ACB/V/6,00/18-02-22</t>
        </is>
      </c>
      <c r="G126" s="6" t="n">
        <v>-2600</v>
      </c>
      <c r="H126" s="6" t="n">
        <v>3144.739</v>
      </c>
      <c r="I126" s="7">
        <f>-H126/G126</f>
        <v/>
      </c>
      <c r="J126" s="11" t="n">
        <v>44601</v>
      </c>
      <c r="K126" s="6" t="n">
        <v>-2600</v>
      </c>
      <c r="L126" s="6">
        <f>1.21*OPERAC[[#This Row],[cantidad venta]]</f>
        <v/>
      </c>
      <c r="M126" s="7">
        <f>IF(N126=0,+L126+H126,0)</f>
        <v/>
      </c>
      <c r="N126" s="7">
        <f>IF((+G126-K126)=0,0,+G126-K126)</f>
        <v/>
      </c>
      <c r="O126" s="7">
        <f>IF(N126=0,0,(L126+H126)/-N126)</f>
        <v/>
      </c>
      <c r="P126" s="7">
        <f>VLOOKUP(OPERAC[[#This Row],[especie]],[1]!ESPECIES[#All],6,0)</f>
        <v/>
      </c>
      <c r="Q126" s="7">
        <f>IF(N126&lt;&gt;0,P126*N126,0)</f>
        <v/>
      </c>
      <c r="R126" s="8">
        <f>IF(Q126&lt;&gt;0,Q126+H126+L126,0)</f>
        <v/>
      </c>
      <c r="S126" s="9">
        <f>VLOOKUP(OPERAC[[#This Row],[especie]],[1]!ESPECIES[#Data],9,FALSE)</f>
        <v/>
      </c>
    </row>
    <row r="127">
      <c r="A127" s="4" t="n">
        <v>3728</v>
      </c>
      <c r="B127" s="5" t="n">
        <v>44636</v>
      </c>
      <c r="C127" s="13" t="inlineStr">
        <is>
          <t>VTA</t>
        </is>
      </c>
      <c r="D127" s="13" t="n">
        <v>39</v>
      </c>
      <c r="E127" s="10">
        <f>IF(D127&gt;0,VLOOKUP(OPERAC[[#This Row],[COD CART]],[1]!MatrizCortoLargoCyl[#All],3,0),"")</f>
        <v/>
      </c>
      <c r="F127" s="13" t="inlineStr">
        <is>
          <t>TSLA/V/715,00/25-03-22</t>
        </is>
      </c>
      <c r="G127" s="6" t="n">
        <v>-1000</v>
      </c>
      <c r="H127" s="6" t="n">
        <v>3094.17</v>
      </c>
      <c r="I127" s="7">
        <f>-H127/G127</f>
        <v/>
      </c>
      <c r="J127" s="11" t="n">
        <v>44641</v>
      </c>
      <c r="K127" s="6" t="n">
        <v>-1000</v>
      </c>
      <c r="L127" s="6" t="n">
        <v>-357.34</v>
      </c>
      <c r="M127" s="7">
        <f>IF(N127=0,+L127+H127,0)</f>
        <v/>
      </c>
      <c r="N127" s="7">
        <f>IF((+G127-K127)=0,0,+G127-K127)</f>
        <v/>
      </c>
      <c r="O127" s="7">
        <f>IF(N127=0,0,(L127+H127)/-N127)</f>
        <v/>
      </c>
      <c r="P127" s="7">
        <f>VLOOKUP(OPERAC[[#This Row],[especie]],[1]!ESPECIES[#All],6,0)</f>
        <v/>
      </c>
      <c r="Q127" s="7">
        <f>IF(N127&lt;&gt;0,P127*N127,0)</f>
        <v/>
      </c>
      <c r="R127" s="8">
        <f>IF(Q127&lt;&gt;0,Q127+H127+L127,0)</f>
        <v/>
      </c>
      <c r="S127" s="9">
        <f>VLOOKUP(OPERAC[[#This Row],[especie]],[1]!ESPECIES[#Data],9,FALSE)</f>
        <v/>
      </c>
    </row>
    <row r="128">
      <c r="A128" s="4" t="n">
        <v>3728</v>
      </c>
      <c r="B128" s="5" t="n">
        <v>44607</v>
      </c>
      <c r="C128" s="13" t="inlineStr">
        <is>
          <t>VTA</t>
        </is>
      </c>
      <c r="D128" s="13" t="n">
        <v>39</v>
      </c>
      <c r="E128" s="10">
        <f>IF(D128&gt;0,VLOOKUP(OPERAC[[#This Row],[COD CART]],[1]!MatrizCortoLargoCyl[#All],3,0),"")</f>
        <v/>
      </c>
      <c r="F128" s="13" t="inlineStr">
        <is>
          <t>TSLA/V/845,00/18-02-22</t>
        </is>
      </c>
      <c r="G128" s="6" t="n">
        <v>-1000</v>
      </c>
      <c r="H128" s="6" t="n">
        <v>3090.485</v>
      </c>
      <c r="I128" s="7">
        <f>-H128/G128</f>
        <v/>
      </c>
      <c r="J128" s="11" t="n">
        <v>44608</v>
      </c>
      <c r="K128" s="6" t="n">
        <v>-1000</v>
      </c>
      <c r="L128" s="6" t="n">
        <v>-2555.24</v>
      </c>
      <c r="M128" s="7">
        <f>IF(N128=0,+L128+H128,0)</f>
        <v/>
      </c>
      <c r="N128" s="7">
        <f>IF((+G128-K128)=0,0,+G128-K128)</f>
        <v/>
      </c>
      <c r="O128" s="7">
        <f>IF(N128=0,0,(L128+H128)/-N128)</f>
        <v/>
      </c>
      <c r="P128" s="7">
        <f>VLOOKUP(OPERAC[[#This Row],[especie]],[1]!ESPECIES[#All],6,0)</f>
        <v/>
      </c>
      <c r="Q128" s="7">
        <f>IF(N128&lt;&gt;0,P128*N128,0)</f>
        <v/>
      </c>
      <c r="R128" s="8">
        <f>IF(Q128&lt;&gt;0,Q128+H128+L128,0)</f>
        <v/>
      </c>
      <c r="S128" s="9">
        <f>VLOOKUP(OPERAC[[#This Row],[especie]],[1]!ESPECIES[#Data],9,FALSE)</f>
        <v/>
      </c>
    </row>
    <row r="129">
      <c r="A129" s="4" t="n">
        <v>9195</v>
      </c>
      <c r="B129" s="5" t="n">
        <v>44607</v>
      </c>
      <c r="C129" s="13" t="inlineStr">
        <is>
          <t>VTA</t>
        </is>
      </c>
      <c r="D129" s="13" t="n">
        <v>39</v>
      </c>
      <c r="E129" s="10">
        <f>IF(D129&gt;0,VLOOKUP(OPERAC[[#This Row],[COD CART]],[1]!MatrizCortoLargoCyl[#All],3,0),"")</f>
        <v/>
      </c>
      <c r="F129" s="13" t="inlineStr">
        <is>
          <t>TSLA/V/845,00/18-02-22</t>
        </is>
      </c>
      <c r="G129" s="6" t="n">
        <v>-1000</v>
      </c>
      <c r="H129" s="6" t="n">
        <v>3081.185</v>
      </c>
      <c r="I129" s="7">
        <f>-H129/G129</f>
        <v/>
      </c>
      <c r="J129" s="11" t="n">
        <v>44608</v>
      </c>
      <c r="K129" s="6" t="n">
        <v>-1000</v>
      </c>
      <c r="L129" s="6" t="n">
        <v>-2562.89</v>
      </c>
      <c r="M129" s="7">
        <f>IF(N129=0,+L129+H129,0)</f>
        <v/>
      </c>
      <c r="N129" s="7">
        <f>IF((+G129-K129)=0,0,+G129-K129)</f>
        <v/>
      </c>
      <c r="O129" s="7">
        <f>IF(N129=0,0,(L129+H129)/-N129)</f>
        <v/>
      </c>
      <c r="P129" s="7">
        <f>VLOOKUP(OPERAC[[#This Row],[especie]],[1]!ESPECIES[#All],6,0)</f>
        <v/>
      </c>
      <c r="Q129" s="7">
        <f>IF(N129&lt;&gt;0,P129*N129,0)</f>
        <v/>
      </c>
      <c r="R129" s="8">
        <f>IF(Q129&lt;&gt;0,Q129+H129+L129,0)</f>
        <v/>
      </c>
      <c r="S129" s="9">
        <f>VLOOKUP(OPERAC[[#This Row],[especie]],[1]!ESPECIES[#Data],9,FALSE)</f>
        <v/>
      </c>
    </row>
    <row r="130">
      <c r="A130" s="4" t="n">
        <v>16780</v>
      </c>
      <c r="B130" s="5" t="n">
        <v>44651</v>
      </c>
      <c r="C130" s="13" t="inlineStr">
        <is>
          <t>VTA</t>
        </is>
      </c>
      <c r="D130" s="13" t="n">
        <v>39</v>
      </c>
      <c r="E130" s="10">
        <f>IF(D130&gt;0,VLOOKUP(OPERAC[[#This Row],[COD CART]],[1]!MatrizCortoLargoCyl[#All],3,0),"")</f>
        <v/>
      </c>
      <c r="F130" s="13" t="inlineStr">
        <is>
          <t>TSLA/V/885,00/08-04-22</t>
        </is>
      </c>
      <c r="G130" s="6" t="n">
        <v>-2000</v>
      </c>
      <c r="H130" s="6" t="n">
        <v>3069.76</v>
      </c>
      <c r="I130" s="7">
        <f>-H130/G130</f>
        <v/>
      </c>
      <c r="J130" s="11" t="n">
        <v>44658</v>
      </c>
      <c r="K130" s="6" t="n">
        <v>-2000</v>
      </c>
      <c r="L130" s="6" t="n">
        <v>-307.78</v>
      </c>
      <c r="M130" s="7">
        <f>IF(N130=0,+L130+H130,0)</f>
        <v/>
      </c>
      <c r="N130" s="7">
        <f>IF((+G130-K130)=0,0,+G130-K130)</f>
        <v/>
      </c>
      <c r="O130" s="7">
        <f>IF(N130=0,0,(L130+H130)/-N130)</f>
        <v/>
      </c>
      <c r="P130" s="7">
        <f>VLOOKUP(OPERAC[[#This Row],[especie]],[1]!ESPECIES[#All],6,0)</f>
        <v/>
      </c>
      <c r="Q130" s="7">
        <f>IF(N130&lt;&gt;0,P130*N130,0)</f>
        <v/>
      </c>
      <c r="R130" s="8">
        <f>IF(Q130&lt;&gt;0,Q130+H130+L130,0)</f>
        <v/>
      </c>
      <c r="S130" s="9">
        <f>VLOOKUP(OPERAC[[#This Row],[especie]],[1]!ESPECIES[#Data],9,FALSE)</f>
        <v/>
      </c>
    </row>
    <row r="131">
      <c r="A131" s="4" t="n">
        <v>16795</v>
      </c>
      <c r="B131" s="5" t="n">
        <v>44580</v>
      </c>
      <c r="C131" s="13" t="inlineStr">
        <is>
          <t>VTA</t>
        </is>
      </c>
      <c r="D131" s="13" t="n">
        <v>39</v>
      </c>
      <c r="E131" s="10">
        <f>IF(D131&gt;0,VLOOKUP(OPERAC[[#This Row],[COD CART]],[1]!MatrizCortoLargoCyl[#All],3,0),"")</f>
        <v/>
      </c>
      <c r="F131" s="13" t="inlineStr">
        <is>
          <t>INO/V/7,00/18-02-22</t>
        </is>
      </c>
      <c r="G131" s="6" t="n">
        <v>-1100</v>
      </c>
      <c r="H131" s="6" t="n">
        <v>3047.715</v>
      </c>
      <c r="I131" s="7">
        <f>-H131/G131</f>
        <v/>
      </c>
      <c r="J131" s="11" t="n">
        <v>44600</v>
      </c>
      <c r="K131" s="6" t="n">
        <v>-1100</v>
      </c>
      <c r="L131" s="6" t="n">
        <v>-3047</v>
      </c>
      <c r="M131" s="7">
        <f>IF(N131=0,+L131+H131,0)</f>
        <v/>
      </c>
      <c r="N131" s="7">
        <f>IF((+G131-K131)=0,0,+G131-K131)</f>
        <v/>
      </c>
      <c r="O131" s="7">
        <f>IF(N131=0,0,(L131+H131)/-N131)</f>
        <v/>
      </c>
      <c r="P131" s="7">
        <f>VLOOKUP(OPERAC[[#This Row],[especie]],[1]!ESPECIES[#All],6,0)</f>
        <v/>
      </c>
      <c r="Q131" s="7">
        <f>IF(N131&lt;&gt;0,P131*N131,0)</f>
        <v/>
      </c>
      <c r="R131" s="8">
        <f>IF(Q131&lt;&gt;0,Q131+H131+L131,0)</f>
        <v/>
      </c>
      <c r="S131" s="9">
        <f>VLOOKUP(OPERAC[[#This Row],[especie]],[1]!ESPECIES[#Data],9,FALSE)</f>
        <v/>
      </c>
    </row>
    <row r="132">
      <c r="A132" s="4" t="n">
        <v>12684</v>
      </c>
      <c r="B132" s="5" t="n">
        <v>44580</v>
      </c>
      <c r="C132" s="13" t="inlineStr">
        <is>
          <t>VTA</t>
        </is>
      </c>
      <c r="D132" s="13" t="n">
        <v>39</v>
      </c>
      <c r="E132" s="10">
        <f>IF(D132&gt;0,VLOOKUP(OPERAC[[#This Row],[COD CART]],[1]!MatrizCortoLargoCyl[#All],3,0),"")</f>
        <v/>
      </c>
      <c r="F132" s="13" t="inlineStr">
        <is>
          <t>INO/V/7,00/18-02-22</t>
        </is>
      </c>
      <c r="G132" s="6" t="n">
        <v>-1100</v>
      </c>
      <c r="H132" s="6" t="n">
        <v>3047.715</v>
      </c>
      <c r="I132" s="7">
        <f>-H132/G132</f>
        <v/>
      </c>
      <c r="J132" s="11" t="n">
        <v>44600</v>
      </c>
      <c r="K132" s="6" t="n">
        <v>-1100</v>
      </c>
      <c r="L132" s="6" t="n">
        <v>-3047</v>
      </c>
      <c r="M132" s="7">
        <f>IF(N132=0,+L132+H132,0)</f>
        <v/>
      </c>
      <c r="N132" s="7">
        <f>IF((+G132-K132)=0,0,+G132-K132)</f>
        <v/>
      </c>
      <c r="O132" s="7">
        <f>IF(N132=0,0,(L132+H132)/-N132)</f>
        <v/>
      </c>
      <c r="P132" s="7">
        <f>VLOOKUP(OPERAC[[#This Row],[especie]],[1]!ESPECIES[#All],6,0)</f>
        <v/>
      </c>
      <c r="Q132" s="7">
        <f>IF(N132&lt;&gt;0,P132*N132,0)</f>
        <v/>
      </c>
      <c r="R132" s="8">
        <f>IF(Q132&lt;&gt;0,Q132+H132+L132,0)</f>
        <v/>
      </c>
      <c r="S132" s="9">
        <f>VLOOKUP(OPERAC[[#This Row],[especie]],[1]!ESPECIES[#Data],9,FALSE)</f>
        <v/>
      </c>
    </row>
    <row r="133">
      <c r="A133" s="4" t="n">
        <v>16795</v>
      </c>
      <c r="B133" s="5" t="n">
        <v>44698</v>
      </c>
      <c r="C133" s="13" t="inlineStr">
        <is>
          <t>VTA</t>
        </is>
      </c>
      <c r="D133" s="13" t="n">
        <v>39</v>
      </c>
      <c r="E133" s="10">
        <f>IF(D133&gt;0,VLOOKUP(OPERAC[[#This Row],[COD CART]],[1]!MatrizCortoLargoCyl[#All],3,0),"")</f>
        <v/>
      </c>
      <c r="F133" s="13" t="inlineStr">
        <is>
          <t>TSLA/P/655,00/20-05-22</t>
        </is>
      </c>
      <c r="G133" s="6" t="n">
        <v>-1000</v>
      </c>
      <c r="H133" s="6" t="n">
        <v>3024.075</v>
      </c>
      <c r="I133" s="7">
        <f>-H133/G133</f>
        <v/>
      </c>
      <c r="J133" s="11" t="n">
        <v>44700</v>
      </c>
      <c r="K133" s="6" t="n">
        <v>-1000</v>
      </c>
      <c r="L133" s="6" t="n">
        <v>-1301.974</v>
      </c>
      <c r="M133" s="7">
        <f>IF(N133=0,+L133+H133,0)</f>
        <v/>
      </c>
      <c r="N133" s="7">
        <f>IF((+G133-K133)=0,0,+G133-K133)</f>
        <v/>
      </c>
      <c r="O133" s="7">
        <f>IF(N133=0,0,(L133+H133)/-N133)</f>
        <v/>
      </c>
      <c r="P133" s="7">
        <f>VLOOKUP(OPERAC[[#This Row],[especie]],[1]!ESPECIES[#All],6,0)</f>
        <v/>
      </c>
      <c r="Q133" s="7">
        <f>IF(N133&lt;&gt;0,P133*N133,0)</f>
        <v/>
      </c>
      <c r="R133" s="8">
        <f>IF(Q133&lt;&gt;0,Q133+H133+L133,0)</f>
        <v/>
      </c>
      <c r="S133" s="9">
        <f>VLOOKUP(OPERAC[[#This Row],[especie]],[1]!ESPECIES[#Data],9,FALSE)</f>
        <v/>
      </c>
    </row>
    <row r="134">
      <c r="A134" s="4" t="n">
        <v>12672</v>
      </c>
      <c r="B134" s="5" t="n">
        <v>44581</v>
      </c>
      <c r="C134" s="13" t="inlineStr">
        <is>
          <t>VTA</t>
        </is>
      </c>
      <c r="D134" s="13" t="n">
        <v>39</v>
      </c>
      <c r="E134" s="10">
        <f>IF(D134&gt;0,VLOOKUP(OPERAC[[#This Row],[COD CART]],[1]!MatrizCortoLargoCyl[#All],3,0),"")</f>
        <v/>
      </c>
      <c r="F134" s="13" t="inlineStr">
        <is>
          <t>ACB/V/6,00/18-02-22</t>
        </is>
      </c>
      <c r="G134" s="6" t="n">
        <v>-2500</v>
      </c>
      <c r="H134" s="6" t="n">
        <v>3023.7875</v>
      </c>
      <c r="I134" s="7">
        <f>-H134/G134</f>
        <v/>
      </c>
      <c r="J134" s="11" t="n">
        <v>44601</v>
      </c>
      <c r="K134" s="6" t="n">
        <v>-2500</v>
      </c>
      <c r="L134" s="6">
        <f>1.21*OPERAC[[#This Row],[cantidad venta]]</f>
        <v/>
      </c>
      <c r="M134" s="7">
        <f>IF(N134=0,+L134+H134,0)</f>
        <v/>
      </c>
      <c r="N134" s="7">
        <f>IF((+G134-K134)=0,0,+G134-K134)</f>
        <v/>
      </c>
      <c r="O134" s="7">
        <f>IF(N134=0,0,(L134+H134)/-N134)</f>
        <v/>
      </c>
      <c r="P134" s="7">
        <f>VLOOKUP(OPERAC[[#This Row],[especie]],[1]!ESPECIES[#All],6,0)</f>
        <v/>
      </c>
      <c r="Q134" s="7">
        <f>IF(N134&lt;&gt;0,P134*N134,0)</f>
        <v/>
      </c>
      <c r="R134" s="8">
        <f>IF(Q134&lt;&gt;0,Q134+H134+L134,0)</f>
        <v/>
      </c>
      <c r="S134" s="9">
        <f>VLOOKUP(OPERAC[[#This Row],[especie]],[1]!ESPECIES[#Data],9,FALSE)</f>
        <v/>
      </c>
    </row>
    <row r="135">
      <c r="A135" s="4" t="n">
        <v>13188</v>
      </c>
      <c r="B135" s="5" t="n">
        <v>44581</v>
      </c>
      <c r="C135" s="13" t="inlineStr">
        <is>
          <t>VTA</t>
        </is>
      </c>
      <c r="D135" s="13" t="n">
        <v>39</v>
      </c>
      <c r="E135" s="10">
        <f>IF(D135&gt;0,VLOOKUP(OPERAC[[#This Row],[COD CART]],[1]!MatrizCortoLargoCyl[#All],3,0),"")</f>
        <v/>
      </c>
      <c r="F135" s="13" t="inlineStr">
        <is>
          <t>ACB/V/6,00/18-02-22</t>
        </is>
      </c>
      <c r="G135" s="6" t="n">
        <v>-2500</v>
      </c>
      <c r="H135" s="6" t="n">
        <v>3023.7875</v>
      </c>
      <c r="I135" s="7">
        <f>-H135/G135</f>
        <v/>
      </c>
      <c r="J135" s="11" t="n">
        <v>44601</v>
      </c>
      <c r="K135" s="6" t="n">
        <v>-2500</v>
      </c>
      <c r="L135" s="6">
        <f>1.21*OPERAC[[#This Row],[cantidad venta]]</f>
        <v/>
      </c>
      <c r="M135" s="7">
        <f>IF(N135=0,+L135+H135,0)</f>
        <v/>
      </c>
      <c r="N135" s="7">
        <f>IF((+G135-K135)=0,0,+G135-K135)</f>
        <v/>
      </c>
      <c r="O135" s="7">
        <f>IF(N135=0,0,(L135+H135)/-N135)</f>
        <v/>
      </c>
      <c r="P135" s="7">
        <f>VLOOKUP(OPERAC[[#This Row],[especie]],[1]!ESPECIES[#All],6,0)</f>
        <v/>
      </c>
      <c r="Q135" s="7">
        <f>IF(N135&lt;&gt;0,P135*N135,0)</f>
        <v/>
      </c>
      <c r="R135" s="8">
        <f>IF(Q135&lt;&gt;0,Q135+H135+L135,0)</f>
        <v/>
      </c>
      <c r="S135" s="9">
        <f>VLOOKUP(OPERAC[[#This Row],[especie]],[1]!ESPECIES[#Data],9,FALSE)</f>
        <v/>
      </c>
    </row>
    <row r="136">
      <c r="A136" s="4" t="n">
        <v>13180</v>
      </c>
      <c r="B136" s="5" t="n">
        <v>44433</v>
      </c>
      <c r="C136" s="13" t="inlineStr">
        <is>
          <t>VTA</t>
        </is>
      </c>
      <c r="D136" s="13" t="n">
        <v>39</v>
      </c>
      <c r="E136" s="10">
        <f>IF(D136&gt;0,VLOOKUP(OPERAC[[#This Row],[COD CART]],[1]!MatrizCortoLargoCyl[#All],3,0),"")</f>
        <v/>
      </c>
      <c r="F136" s="13" t="inlineStr">
        <is>
          <t>INO/V/8,00/20-01-23</t>
        </is>
      </c>
      <c r="G136" s="6" t="n">
        <v>-1000</v>
      </c>
      <c r="H136" s="6" t="n">
        <v>3022.73</v>
      </c>
      <c r="I136" s="7">
        <f>-H136/G136</f>
        <v/>
      </c>
      <c r="J136" s="11" t="n">
        <v>44614</v>
      </c>
      <c r="K136" s="6" t="n">
        <v>-1000</v>
      </c>
      <c r="L136" s="6" t="n">
        <v>-5349.392</v>
      </c>
      <c r="M136" s="7">
        <f>IF(N136=0,+L136+H136,0)</f>
        <v/>
      </c>
      <c r="N136" s="7">
        <f>IF((+G136-K136)=0,0,+G136-K136)</f>
        <v/>
      </c>
      <c r="O136" s="7">
        <f>IF(N136=0,0,(L136+H136)/-N136)</f>
        <v/>
      </c>
      <c r="P136" s="7">
        <f>VLOOKUP(OPERAC[[#This Row],[especie]],[1]!ESPECIES[#All],6,0)</f>
        <v/>
      </c>
      <c r="Q136" s="7">
        <f>IF(N136&lt;&gt;0,P136*N136,0)</f>
        <v/>
      </c>
      <c r="R136" s="8">
        <f>IF(Q136&lt;&gt;0,Q136+H136+L136,0)</f>
        <v/>
      </c>
      <c r="S136" s="9">
        <f>VLOOKUP(OPERAC[[#This Row],[especie]],[1]!ESPECIES[#Data],9,FALSE)</f>
        <v/>
      </c>
    </row>
    <row r="137">
      <c r="A137" s="4" t="n">
        <v>13269</v>
      </c>
      <c r="B137" s="5" t="n">
        <v>44439</v>
      </c>
      <c r="C137" s="13" t="inlineStr">
        <is>
          <t>VTA</t>
        </is>
      </c>
      <c r="D137" s="13" t="n">
        <v>39</v>
      </c>
      <c r="E137" s="10">
        <f>IF(D137&gt;0,VLOOKUP(OPERAC[[#This Row],[COD CART]],[1]!MatrizCortoLargoCyl[#All],3,0),"")</f>
        <v/>
      </c>
      <c r="F137" s="13" t="inlineStr">
        <is>
          <t>SKLZ/P/7,50/20-01-23</t>
        </is>
      </c>
      <c r="G137" s="6" t="n">
        <v>-1500</v>
      </c>
      <c r="H137" s="6" t="n">
        <v>2976</v>
      </c>
      <c r="I137" s="7">
        <f>-H137/G137</f>
        <v/>
      </c>
      <c r="J137" s="11" t="n">
        <v>44614</v>
      </c>
      <c r="K137" s="6">
        <f>+OPERAC[[#This Row],[cantidad]]</f>
        <v/>
      </c>
      <c r="L137" s="6">
        <f>+OPERAC[[#This Row],[cantidad venta]]*4.488</f>
        <v/>
      </c>
      <c r="M137" s="7">
        <f>IF(N137=0,+L137+H137,0)</f>
        <v/>
      </c>
      <c r="N137" s="7">
        <f>IF((+G137-K137)=0,0,+G137-K137)</f>
        <v/>
      </c>
      <c r="O137" s="7">
        <f>IF(N137=0,0,(L137+H137)/-N137)</f>
        <v/>
      </c>
      <c r="P137" s="7">
        <f>VLOOKUP(OPERAC[[#This Row],[especie]],[1]!ESPECIES[#All],6,0)</f>
        <v/>
      </c>
      <c r="Q137" s="7">
        <f>IF(N137&lt;&gt;0,P137*N137,0)</f>
        <v/>
      </c>
      <c r="R137" s="8">
        <f>IF(Q137&lt;&gt;0,Q137+H137+L137,0)</f>
        <v/>
      </c>
      <c r="S137" s="9">
        <f>VLOOKUP(OPERAC[[#This Row],[especie]],[1]!ESPECIES[#Data],9,FALSE)</f>
        <v/>
      </c>
    </row>
    <row r="138">
      <c r="A138" s="4" t="n">
        <v>12611</v>
      </c>
      <c r="B138" s="5" t="n">
        <v>44567</v>
      </c>
      <c r="C138" s="13" t="inlineStr">
        <is>
          <t>VTA</t>
        </is>
      </c>
      <c r="D138" s="13" t="n">
        <v>39</v>
      </c>
      <c r="E138" s="10">
        <f>IF(D138&gt;0,VLOOKUP(OPERAC[[#This Row],[COD CART]],[1]!MatrizCortoLargoCyl[#All],3,0),"")</f>
        <v/>
      </c>
      <c r="F138" s="13" t="inlineStr">
        <is>
          <t>TSLA/V/880,00/14-01-22</t>
        </is>
      </c>
      <c r="G138" s="6" t="n">
        <v>-500</v>
      </c>
      <c r="H138" s="6" t="n">
        <v>2974.6685</v>
      </c>
      <c r="I138" s="7">
        <f>-H138/G138</f>
        <v/>
      </c>
      <c r="J138" s="11" t="n">
        <v>44571</v>
      </c>
      <c r="K138" s="6" t="n">
        <v>-500</v>
      </c>
      <c r="L138" s="6" t="n">
        <v>-1681.7765</v>
      </c>
      <c r="M138" s="7">
        <f>IF(N138=0,+L138+H138,0)</f>
        <v/>
      </c>
      <c r="N138" s="7">
        <f>IF((+G138-K138)=0,0,+G138-K138)</f>
        <v/>
      </c>
      <c r="O138" s="7">
        <f>IF(N138=0,0,(L138+H138)/-N138)</f>
        <v/>
      </c>
      <c r="P138" s="7">
        <f>VLOOKUP(OPERAC[[#This Row],[especie]],[1]!ESPECIES[#All],6,0)</f>
        <v/>
      </c>
      <c r="Q138" s="7">
        <f>IF(N138&lt;&gt;0,P138*N138,0)</f>
        <v/>
      </c>
      <c r="R138" s="8">
        <f>IF(Q138&lt;&gt;0,Q138+H138+L138,0)</f>
        <v/>
      </c>
      <c r="S138" s="9">
        <f>VLOOKUP(OPERAC[[#This Row],[especie]],[1]!ESPECIES[#Data],9,FALSE)</f>
        <v/>
      </c>
    </row>
    <row r="139">
      <c r="A139" s="4" t="n">
        <v>7914</v>
      </c>
      <c r="B139" s="5" t="n">
        <v>44595</v>
      </c>
      <c r="C139" s="13" t="inlineStr">
        <is>
          <t>VTA</t>
        </is>
      </c>
      <c r="D139" s="13" t="n">
        <v>39</v>
      </c>
      <c r="E139" s="10">
        <f>IF(D139&gt;0,VLOOKUP(OPERAC[[#This Row],[COD CART]],[1]!MatrizCortoLargoCyl[#All],3,0),"")</f>
        <v/>
      </c>
      <c r="F139" s="13" t="inlineStr">
        <is>
          <t>ROKU/V/145,00/11-02-22</t>
        </is>
      </c>
      <c r="G139" s="6" t="n">
        <v>-400</v>
      </c>
      <c r="H139" s="6" t="n">
        <v>2974.372</v>
      </c>
      <c r="I139" s="7">
        <f>-H139/G139</f>
        <v/>
      </c>
      <c r="J139" s="11" t="n">
        <v>44596</v>
      </c>
      <c r="K139" s="6" t="n">
        <v>-400</v>
      </c>
      <c r="L139" s="6" t="n">
        <v>-1775.68</v>
      </c>
      <c r="M139" s="7">
        <f>IF(N139=0,+L139+H139,0)</f>
        <v/>
      </c>
      <c r="N139" s="7">
        <f>IF((+G139-K139)=0,0,+G139-K139)</f>
        <v/>
      </c>
      <c r="O139" s="7">
        <f>IF(N139=0,0,(L139+H139)/-N139)</f>
        <v/>
      </c>
      <c r="P139" s="7">
        <f>VLOOKUP(OPERAC[[#This Row],[especie]],[1]!ESPECIES[#All],6,0)</f>
        <v/>
      </c>
      <c r="Q139" s="7">
        <f>IF(N139&lt;&gt;0,P139*N139,0)</f>
        <v/>
      </c>
      <c r="R139" s="8">
        <f>IF(Q139&lt;&gt;0,Q139+H139+L139,0)</f>
        <v/>
      </c>
      <c r="S139" s="9">
        <f>VLOOKUP(OPERAC[[#This Row],[especie]],[1]!ESPECIES[#Data],9,FALSE)</f>
        <v/>
      </c>
    </row>
    <row r="140">
      <c r="A140" s="4" t="n">
        <v>2203</v>
      </c>
      <c r="B140" s="5" t="n">
        <v>44595</v>
      </c>
      <c r="C140" s="13" t="inlineStr">
        <is>
          <t>VTA</t>
        </is>
      </c>
      <c r="D140" s="13" t="n">
        <v>39</v>
      </c>
      <c r="E140" s="10">
        <f>IF(D140&gt;0,VLOOKUP(OPERAC[[#This Row],[COD CART]],[1]!MatrizCortoLargoCyl[#All],3,0),"")</f>
        <v/>
      </c>
      <c r="F140" s="13" t="inlineStr">
        <is>
          <t>ROKU/V/145,00/11-02-22</t>
        </is>
      </c>
      <c r="G140" s="6" t="n">
        <v>-400</v>
      </c>
      <c r="H140" s="6" t="n">
        <v>2974.372</v>
      </c>
      <c r="I140" s="7">
        <f>-H140/G140</f>
        <v/>
      </c>
      <c r="J140" s="11" t="n">
        <v>44603</v>
      </c>
      <c r="K140" s="6" t="n">
        <v>-400</v>
      </c>
      <c r="L140" s="6" t="n">
        <v>0</v>
      </c>
      <c r="M140" s="7">
        <f>IF(N140=0,+L140+H140,0)</f>
        <v/>
      </c>
      <c r="N140" s="7">
        <f>IF((+G140-K140)=0,0,+G140-K140)</f>
        <v/>
      </c>
      <c r="O140" s="7">
        <f>IF(N140=0,0,(L140+H140)/-N140)</f>
        <v/>
      </c>
      <c r="P140" s="7">
        <f>VLOOKUP(OPERAC[[#This Row],[especie]],[1]!ESPECIES[#All],6,0)</f>
        <v/>
      </c>
      <c r="Q140" s="7">
        <f>IF(N140&lt;&gt;0,P140*N140,0)</f>
        <v/>
      </c>
      <c r="R140" s="8">
        <f>IF(Q140&lt;&gt;0,Q140+H140+L140,0)</f>
        <v/>
      </c>
      <c r="S140" s="9">
        <f>VLOOKUP(OPERAC[[#This Row],[especie]],[1]!ESPECIES[#Data],9,FALSE)</f>
        <v/>
      </c>
    </row>
    <row r="141">
      <c r="A141" s="4" t="n">
        <v>16783</v>
      </c>
      <c r="B141" s="5" t="n">
        <v>44669</v>
      </c>
      <c r="C141" s="13" t="inlineStr">
        <is>
          <t>VTA</t>
        </is>
      </c>
      <c r="D141" s="13" t="n">
        <v>39</v>
      </c>
      <c r="E141" s="10">
        <f>IF(D141&gt;0,VLOOKUP(OPERAC[[#This Row],[COD CART]],[1]!MatrizCortoLargoCyl[#All],3,0),"")</f>
        <v/>
      </c>
      <c r="F141" s="13" t="inlineStr">
        <is>
          <t>UPST/V/80,00/22-04-22</t>
        </is>
      </c>
      <c r="G141" s="6" t="n">
        <v>-800</v>
      </c>
      <c r="H141" s="6" t="n">
        <v>2946.68</v>
      </c>
      <c r="I141" s="7">
        <f>-H141/G141</f>
        <v/>
      </c>
      <c r="J141" s="11" t="n">
        <v>44673</v>
      </c>
      <c r="K141" s="6" t="n">
        <v>-800</v>
      </c>
      <c r="L141" s="6" t="n">
        <v>-3134.04</v>
      </c>
      <c r="M141" s="7">
        <f>IF(N141=0,+L141+H141,0)</f>
        <v/>
      </c>
      <c r="N141" s="7">
        <f>IF((+G141-K141)=0,0,+G141-K141)</f>
        <v/>
      </c>
      <c r="O141" s="7">
        <f>IF(N141=0,0,(L141+H141)/-N141)</f>
        <v/>
      </c>
      <c r="P141" s="7">
        <f>VLOOKUP(OPERAC[[#This Row],[especie]],[1]!ESPECIES[#All],6,0)</f>
        <v/>
      </c>
      <c r="Q141" s="7">
        <f>IF(N141&lt;&gt;0,P141*N141,0)</f>
        <v/>
      </c>
      <c r="R141" s="8">
        <f>IF(Q141&lt;&gt;0,Q141+H141+L141,0)</f>
        <v/>
      </c>
      <c r="S141" s="9">
        <f>VLOOKUP(OPERAC[[#This Row],[especie]],[1]!ESPECIES[#Data],9,FALSE)</f>
        <v/>
      </c>
    </row>
    <row r="142">
      <c r="A142" s="4" t="n">
        <v>16783</v>
      </c>
      <c r="B142" s="5" t="n">
        <v>44579</v>
      </c>
      <c r="C142" s="13" t="inlineStr">
        <is>
          <t>VTA</t>
        </is>
      </c>
      <c r="D142" s="13" t="n">
        <v>39</v>
      </c>
      <c r="E142" s="10">
        <f>IF(D142&gt;0,VLOOKUP(OPERAC[[#This Row],[COD CART]],[1]!MatrizCortoLargoCyl[#All],3,0),"")</f>
        <v/>
      </c>
      <c r="F142" s="13" t="inlineStr">
        <is>
          <t>SOLO/V/3,50/25-02-22</t>
        </is>
      </c>
      <c r="G142" s="6" t="n">
        <v>-2100</v>
      </c>
      <c r="H142" s="6" t="n">
        <v>2913.66054</v>
      </c>
      <c r="I142" s="7">
        <f>-H142/G142</f>
        <v/>
      </c>
      <c r="J142" s="11" t="n">
        <v>44608</v>
      </c>
      <c r="K142" s="6">
        <f>+OPERAC[[#This Row],[cantidad]]</f>
        <v/>
      </c>
      <c r="L142" s="6" t="n">
        <v>-2917.992</v>
      </c>
      <c r="M142" s="7">
        <f>IF(N142=0,+L142+H142,0)</f>
        <v/>
      </c>
      <c r="N142" s="7">
        <f>IF((+G142-K142)=0,0,+G142-K142)</f>
        <v/>
      </c>
      <c r="O142" s="7">
        <f>IF(N142=0,0,(L142+H142)/-N142)</f>
        <v/>
      </c>
      <c r="P142" s="7">
        <f>VLOOKUP(OPERAC[[#This Row],[especie]],[1]!ESPECIES[#All],6,0)</f>
        <v/>
      </c>
      <c r="Q142" s="7">
        <f>IF(N142&lt;&gt;0,P142*N142,0)</f>
        <v/>
      </c>
      <c r="R142" s="8">
        <f>IF(Q142&lt;&gt;0,Q142+H142+L142,0)</f>
        <v/>
      </c>
      <c r="S142" s="9">
        <f>VLOOKUP(OPERAC[[#This Row],[especie]],[1]!ESPECIES[#Data],9,FALSE)</f>
        <v/>
      </c>
    </row>
    <row r="143">
      <c r="A143" s="4" t="n">
        <v>18713</v>
      </c>
      <c r="B143" s="5" t="n">
        <v>44720</v>
      </c>
      <c r="C143" s="13" t="inlineStr">
        <is>
          <t>VTA</t>
        </is>
      </c>
      <c r="D143" s="13" t="n">
        <v>39</v>
      </c>
      <c r="E143" s="10">
        <f>IF(D143&gt;0,VLOOKUP(OPERAC[[#This Row],[COD CART]],[1]!MatrizCortoLargoCyl[#All],3,0),"")</f>
        <v/>
      </c>
      <c r="F143" s="14" t="inlineStr">
        <is>
          <t>TSLA/P/660,00/10-06-22</t>
        </is>
      </c>
      <c r="G143" s="6" t="n">
        <v>-2500</v>
      </c>
      <c r="H143" s="6" t="n">
        <v>2850.563</v>
      </c>
      <c r="I143" s="7">
        <f>-H143/G143</f>
        <v/>
      </c>
      <c r="J143" s="5" t="n">
        <v>44722</v>
      </c>
      <c r="K143" s="6">
        <f>+OPERAC[[#This Row],[cantidad]]</f>
        <v/>
      </c>
      <c r="L143" s="6" t="n">
        <v>0</v>
      </c>
      <c r="M143" s="7">
        <f>IF(N143=0,+L143+H143,0)</f>
        <v/>
      </c>
      <c r="N143" s="7">
        <f>IF((+G143-K143)=0,0,+G143-K143)</f>
        <v/>
      </c>
      <c r="O143" s="7">
        <f>IF(N143=0,0,(L143+H143)/-N143)</f>
        <v/>
      </c>
      <c r="P143" s="7">
        <f>VLOOKUP(OPERAC[[#This Row],[especie]],[1]!ESPECIES[#All],6,0)</f>
        <v/>
      </c>
      <c r="Q143" s="7">
        <f>IF(N143&lt;&gt;0,P143*N143,0)</f>
        <v/>
      </c>
      <c r="R143" s="8">
        <f>IF(Q143&lt;&gt;0,Q143+H143+L143,0)</f>
        <v/>
      </c>
      <c r="S143" s="9">
        <f>VLOOKUP(OPERAC[[#This Row],[especie]],[1]!ESPECIES[#Data],9,FALSE)</f>
        <v/>
      </c>
    </row>
    <row r="144">
      <c r="A144" s="4" t="n">
        <v>13185</v>
      </c>
      <c r="B144" s="5" t="n">
        <v>44434</v>
      </c>
      <c r="C144" s="13" t="inlineStr">
        <is>
          <t>VTA</t>
        </is>
      </c>
      <c r="D144" s="13" t="n">
        <v>39</v>
      </c>
      <c r="E144" s="10">
        <f>IF(D144&gt;0,VLOOKUP(OPERAC[[#This Row],[COD CART]],[1]!MatrizCortoLargoCyl[#All],3,0),"")</f>
        <v/>
      </c>
      <c r="F144" s="13" t="inlineStr">
        <is>
          <t>TLRY/V/12,00/20-01-23</t>
        </is>
      </c>
      <c r="G144" s="6" t="n">
        <v>-700</v>
      </c>
      <c r="H144" s="6" t="n">
        <v>2845.03</v>
      </c>
      <c r="I144" s="7">
        <f>-H144/G144</f>
        <v/>
      </c>
      <c r="J144" s="11" t="n">
        <v>44615</v>
      </c>
      <c r="K144" s="6" t="n">
        <v>-100</v>
      </c>
      <c r="L144" s="6" t="n">
        <v>-696.15</v>
      </c>
      <c r="M144" s="7">
        <f>IF(N144=0,+L144+H144,0)</f>
        <v/>
      </c>
      <c r="N144" s="7">
        <f>IF((+G144-K144)=0,0,+G144-K144)</f>
        <v/>
      </c>
      <c r="O144" s="7">
        <f>IF(N144=0,0,(L144+H144)/-N144)</f>
        <v/>
      </c>
      <c r="P144" s="7">
        <f>VLOOKUP(OPERAC[[#This Row],[especie]],[1]!ESPECIES[#All],6,0)</f>
        <v/>
      </c>
      <c r="Q144" s="7">
        <f>IF(N144&lt;&gt;0,P144*N144,0)</f>
        <v/>
      </c>
      <c r="R144" s="8">
        <f>IF(Q144&lt;&gt;0,Q144+H144+L144,0)</f>
        <v/>
      </c>
      <c r="S144" s="9">
        <f>VLOOKUP(OPERAC[[#This Row],[especie]],[1]!ESPECIES[#Data],9,FALSE)</f>
        <v/>
      </c>
    </row>
    <row r="145">
      <c r="A145" s="4" t="n">
        <v>3728</v>
      </c>
      <c r="B145" s="5" t="n">
        <v>44679</v>
      </c>
      <c r="C145" s="13" t="inlineStr">
        <is>
          <t>VTA</t>
        </is>
      </c>
      <c r="D145" s="13" t="n">
        <v>39</v>
      </c>
      <c r="E145" s="10">
        <f>IF(D145&gt;0,VLOOKUP(OPERAC[[#This Row],[COD CART]],[1]!MatrizCortoLargoCyl[#All],3,0),"")</f>
        <v/>
      </c>
      <c r="F145" s="13" t="inlineStr">
        <is>
          <t>TSLA/V/775,00/29-04-22</t>
        </is>
      </c>
      <c r="G145" s="6" t="n">
        <v>-1000</v>
      </c>
      <c r="H145" s="6" t="n">
        <v>2827.17</v>
      </c>
      <c r="I145" s="7">
        <f>-H145/G145</f>
        <v/>
      </c>
      <c r="J145" s="11" t="n">
        <v>44680</v>
      </c>
      <c r="K145" s="6">
        <f>+OPERAC[[#This Row],[cantidad]]</f>
        <v/>
      </c>
      <c r="L145" s="6" t="n">
        <v>0</v>
      </c>
      <c r="M145" s="7">
        <f>IF(N145=0,+L145+H145,0)</f>
        <v/>
      </c>
      <c r="N145" s="7">
        <f>IF((+G145-K145)=0,0,+G145-K145)</f>
        <v/>
      </c>
      <c r="O145" s="7">
        <f>IF(N145=0,0,(L145+H145)/-N145)</f>
        <v/>
      </c>
      <c r="P145" s="7">
        <f>VLOOKUP(OPERAC[[#This Row],[especie]],[1]!ESPECIES[#All],6,0)</f>
        <v/>
      </c>
      <c r="Q145" s="7">
        <f>IF(N145&lt;&gt;0,P145*N145,0)</f>
        <v/>
      </c>
      <c r="R145" s="8">
        <f>IF(Q145&lt;&gt;0,Q145+H145+L145,0)</f>
        <v/>
      </c>
      <c r="S145" s="9">
        <f>VLOOKUP(OPERAC[[#This Row],[especie]],[1]!ESPECIES[#Data],9,FALSE)</f>
        <v/>
      </c>
    </row>
    <row r="146">
      <c r="A146" s="4" t="n">
        <v>3728</v>
      </c>
      <c r="B146" s="5" t="n">
        <v>44580</v>
      </c>
      <c r="C146" s="13" t="inlineStr">
        <is>
          <t>VTA</t>
        </is>
      </c>
      <c r="D146" s="13" t="n">
        <v>39</v>
      </c>
      <c r="E146" s="10">
        <f>IF(D146&gt;0,VLOOKUP(OPERAC[[#This Row],[COD CART]],[1]!MatrizCortoLargoCyl[#All],3,0),"")</f>
        <v/>
      </c>
      <c r="F146" s="13" t="inlineStr">
        <is>
          <t>INO/V/5,00/18-02-22</t>
        </is>
      </c>
      <c r="G146" s="6" t="n">
        <v>-3000</v>
      </c>
      <c r="H146" s="6" t="n">
        <v>2826.33</v>
      </c>
      <c r="I146" s="7">
        <f>-H146/G146</f>
        <v/>
      </c>
      <c r="J146" s="11" t="n">
        <v>44600</v>
      </c>
      <c r="K146" s="6" t="n">
        <v>-3000</v>
      </c>
      <c r="L146" s="6" t="n">
        <v>-2826</v>
      </c>
      <c r="M146" s="7">
        <f>IF(N146=0,+L146+H146,0)</f>
        <v/>
      </c>
      <c r="N146" s="7">
        <f>IF((+G146-K146)=0,0,+G146-K146)</f>
        <v/>
      </c>
      <c r="O146" s="7">
        <f>IF(N146=0,0,(L146+H146)/-N146)</f>
        <v/>
      </c>
      <c r="P146" s="7">
        <f>VLOOKUP(OPERAC[[#This Row],[especie]],[1]!ESPECIES[#All],6,0)</f>
        <v/>
      </c>
      <c r="Q146" s="7">
        <f>IF(N146&lt;&gt;0,P146*N146,0)</f>
        <v/>
      </c>
      <c r="R146" s="8">
        <f>IF(Q146&lt;&gt;0,Q146+H146+L146,0)</f>
        <v/>
      </c>
      <c r="S146" s="9">
        <f>VLOOKUP(OPERAC[[#This Row],[especie]],[1]!ESPECIES[#Data],9,FALSE)</f>
        <v/>
      </c>
    </row>
    <row r="147">
      <c r="A147" s="4" t="n">
        <v>19878</v>
      </c>
      <c r="B147" s="5" t="n">
        <v>44571</v>
      </c>
      <c r="C147" s="13" t="inlineStr">
        <is>
          <t>VTA</t>
        </is>
      </c>
      <c r="D147" s="13" t="n">
        <v>39</v>
      </c>
      <c r="E147" s="10">
        <f>IF(D147&gt;0,VLOOKUP(OPERAC[[#This Row],[COD CART]],[1]!MatrizCortoLargoCyl[#All],3,0),"")</f>
        <v/>
      </c>
      <c r="F147" s="13" t="inlineStr">
        <is>
          <t>DIS/V/155,00/21-01-22</t>
        </is>
      </c>
      <c r="G147" s="6" t="n">
        <v>-1000</v>
      </c>
      <c r="H147" s="6" t="n">
        <v>2823.25</v>
      </c>
      <c r="I147" s="7">
        <f>-H147/G147</f>
        <v/>
      </c>
      <c r="J147" s="11" t="n">
        <v>44581</v>
      </c>
      <c r="K147" s="6" t="n">
        <v>-1000</v>
      </c>
      <c r="L147" s="6">
        <f>-OPERAC[[#This Row],[importe]]</f>
        <v/>
      </c>
      <c r="M147" s="7">
        <f>IF(N147=0,+L147+H147,0)</f>
        <v/>
      </c>
      <c r="N147" s="7">
        <f>IF((+G147-K147)=0,0,+G147-K147)</f>
        <v/>
      </c>
      <c r="O147" s="7">
        <f>IF(N147=0,0,(L147+H147)/-N147)</f>
        <v/>
      </c>
      <c r="P147" s="7">
        <f>VLOOKUP(OPERAC[[#This Row],[especie]],[1]!ESPECIES[#All],6,0)</f>
        <v/>
      </c>
      <c r="Q147" s="7">
        <f>IF(N147&lt;&gt;0,P147*N147,0)</f>
        <v/>
      </c>
      <c r="R147" s="8">
        <f>IF(Q147&lt;&gt;0,Q147+H147+L147,0)</f>
        <v/>
      </c>
      <c r="S147" s="9">
        <f>VLOOKUP(OPERAC[[#This Row],[especie]],[1]!ESPECIES[#Data],9,FALSE)</f>
        <v/>
      </c>
    </row>
    <row r="148">
      <c r="A148" s="4" t="n">
        <v>16780</v>
      </c>
      <c r="B148" s="5" t="n">
        <v>44679</v>
      </c>
      <c r="C148" s="13" t="inlineStr">
        <is>
          <t>VTA</t>
        </is>
      </c>
      <c r="D148" s="13" t="n">
        <v>39</v>
      </c>
      <c r="E148" s="10">
        <f>IF(D148&gt;0,VLOOKUP(OPERAC[[#This Row],[COD CART]],[1]!MatrizCortoLargoCyl[#All],3,0),"")</f>
        <v/>
      </c>
      <c r="F148" s="13" t="inlineStr">
        <is>
          <t>TSLA/V/775,00/29-04-22</t>
        </is>
      </c>
      <c r="G148" s="6" t="n">
        <v>-1000</v>
      </c>
      <c r="H148" s="6" t="n">
        <v>2805.945</v>
      </c>
      <c r="I148" s="7">
        <f>-H148/G148</f>
        <v/>
      </c>
      <c r="J148" s="11" t="n">
        <v>44680</v>
      </c>
      <c r="K148" s="6">
        <f>+OPERAC[[#This Row],[cantidad]]</f>
        <v/>
      </c>
      <c r="L148" s="6" t="n">
        <v>0</v>
      </c>
      <c r="M148" s="7">
        <f>IF(N148=0,+L148+H148,0)</f>
        <v/>
      </c>
      <c r="N148" s="7">
        <f>IF((+G148-K148)=0,0,+G148-K148)</f>
        <v/>
      </c>
      <c r="O148" s="7">
        <f>IF(N148=0,0,(L148+H148)/-N148)</f>
        <v/>
      </c>
      <c r="P148" s="7">
        <f>VLOOKUP(OPERAC[[#This Row],[especie]],[1]!ESPECIES[#All],6,0)</f>
        <v/>
      </c>
      <c r="Q148" s="7">
        <f>IF(N148&lt;&gt;0,P148*N148,0)</f>
        <v/>
      </c>
      <c r="R148" s="8">
        <f>IF(Q148&lt;&gt;0,Q148+H148+L148,0)</f>
        <v/>
      </c>
      <c r="S148" s="9">
        <f>VLOOKUP(OPERAC[[#This Row],[especie]],[1]!ESPECIES[#Data],9,FALSE)</f>
        <v/>
      </c>
    </row>
    <row r="149">
      <c r="A149" s="4" t="n">
        <v>10079</v>
      </c>
      <c r="B149" s="5" t="n">
        <v>44609</v>
      </c>
      <c r="C149" s="13" t="inlineStr">
        <is>
          <t>VTA</t>
        </is>
      </c>
      <c r="D149" s="13" t="n">
        <v>39</v>
      </c>
      <c r="E149" s="10">
        <f>IF(D149&gt;0,VLOOKUP(OPERAC[[#This Row],[COD CART]],[1]!MatrizCortoLargoCyl[#All],3,0),"")</f>
        <v/>
      </c>
      <c r="F149" s="13" t="inlineStr">
        <is>
          <t>MELI/V/850,00/25-02-22</t>
        </is>
      </c>
      <c r="G149" s="6" t="n">
        <v>-500</v>
      </c>
      <c r="H149" s="6" t="n">
        <v>2777.6</v>
      </c>
      <c r="I149" s="7">
        <f>-H149/G149</f>
        <v/>
      </c>
      <c r="J149" s="11" t="n">
        <v>44610</v>
      </c>
      <c r="K149" s="6" t="n">
        <v>-500</v>
      </c>
      <c r="L149" s="6" t="n">
        <v>-12099.495</v>
      </c>
      <c r="M149" s="7">
        <f>IF(N149=0,+L149+H149,0)</f>
        <v/>
      </c>
      <c r="N149" s="7">
        <f>IF((+G149-K149)=0,0,+G149-K149)</f>
        <v/>
      </c>
      <c r="O149" s="7">
        <f>IF(N149=0,0,(L149+H149)/-N149)</f>
        <v/>
      </c>
      <c r="P149" s="7">
        <f>VLOOKUP(OPERAC[[#This Row],[especie]],[1]!ESPECIES[#All],6,0)</f>
        <v/>
      </c>
      <c r="Q149" s="7">
        <f>IF(N149&lt;&gt;0,P149*N149,0)</f>
        <v/>
      </c>
      <c r="R149" s="8">
        <f>IF(Q149&lt;&gt;0,Q149+H149+L149,0)</f>
        <v/>
      </c>
      <c r="S149" s="9">
        <f>VLOOKUP(OPERAC[[#This Row],[especie]],[1]!ESPECIES[#Data],9,FALSE)</f>
        <v/>
      </c>
    </row>
    <row r="150">
      <c r="A150" s="4" t="n">
        <v>2194</v>
      </c>
      <c r="B150" s="5" t="n">
        <v>44572</v>
      </c>
      <c r="C150" s="13" t="inlineStr">
        <is>
          <t>VTA</t>
        </is>
      </c>
      <c r="D150" s="13" t="n">
        <v>39</v>
      </c>
      <c r="E150" s="10">
        <f>IF(D150&gt;0,VLOOKUP(OPERAC[[#This Row],[COD CART]],[1]!MatrizCortoLargoCyl[#All],3,0),"")</f>
        <v/>
      </c>
      <c r="F150" s="13" t="inlineStr">
        <is>
          <t>TLRY/V/9,00/17-06-22</t>
        </is>
      </c>
      <c r="G150" s="6" t="n">
        <v>-1000</v>
      </c>
      <c r="H150" s="6" t="n">
        <v>2750.76</v>
      </c>
      <c r="I150" s="7">
        <f>-H150/G150</f>
        <v/>
      </c>
      <c r="J150" s="11" t="n">
        <v>44614</v>
      </c>
      <c r="K150" s="6" t="n">
        <v>-1000</v>
      </c>
      <c r="L150" s="6" t="n">
        <v>-3429.99</v>
      </c>
      <c r="M150" s="7">
        <f>IF(N150=0,+L150+H150,0)</f>
        <v/>
      </c>
      <c r="N150" s="7">
        <f>IF((+G150-K150)=0,0,+G150-K150)</f>
        <v/>
      </c>
      <c r="O150" s="7">
        <f>IF(N150=0,0,(L150+H150)/-N150)</f>
        <v/>
      </c>
      <c r="P150" s="7">
        <f>VLOOKUP(OPERAC[[#This Row],[especie]],[1]!ESPECIES[#All],6,0)</f>
        <v/>
      </c>
      <c r="Q150" s="7">
        <f>IF(N150&lt;&gt;0,P150*N150,0)</f>
        <v/>
      </c>
      <c r="R150" s="8">
        <f>IF(Q150&lt;&gt;0,Q150+H150+L150,0)</f>
        <v/>
      </c>
      <c r="S150" s="9">
        <f>VLOOKUP(OPERAC[[#This Row],[especie]],[1]!ESPECIES[#Data],9,FALSE)</f>
        <v/>
      </c>
    </row>
    <row r="151">
      <c r="A151" s="4" t="n">
        <v>16786</v>
      </c>
      <c r="B151" s="5" t="n">
        <v>44572</v>
      </c>
      <c r="C151" s="13" t="inlineStr">
        <is>
          <t>VTA</t>
        </is>
      </c>
      <c r="D151" s="13" t="n">
        <v>39</v>
      </c>
      <c r="E151" s="10">
        <f>IF(D151&gt;0,VLOOKUP(OPERAC[[#This Row],[COD CART]],[1]!MatrizCortoLargoCyl[#All],3,0),"")</f>
        <v/>
      </c>
      <c r="F151" s="13" t="inlineStr">
        <is>
          <t>TLRY/V/9,00/17-06-22</t>
        </is>
      </c>
      <c r="G151" s="6" t="n">
        <v>-1000</v>
      </c>
      <c r="H151" s="6" t="n">
        <v>2750.76</v>
      </c>
      <c r="I151" s="7">
        <f>-H151/G151</f>
        <v/>
      </c>
      <c r="J151" s="11" t="n">
        <v>44690</v>
      </c>
      <c r="K151" s="6" t="n">
        <v>-1000</v>
      </c>
      <c r="L151" s="6" t="n">
        <v>-4659.27</v>
      </c>
      <c r="M151" s="7">
        <f>IF(N151=0,+L151+H151,0)</f>
        <v/>
      </c>
      <c r="N151" s="7">
        <f>IF((+G151-K151)=0,0,+G151-K151)</f>
        <v/>
      </c>
      <c r="O151" s="7">
        <f>IF(N151=0,0,(L151+H151)/-N151)</f>
        <v/>
      </c>
      <c r="P151" s="7">
        <f>VLOOKUP(OPERAC[[#This Row],[especie]],[1]!ESPECIES[#All],6,0)</f>
        <v/>
      </c>
      <c r="Q151" s="7">
        <f>IF(N151&lt;&gt;0,P151*N151,0)</f>
        <v/>
      </c>
      <c r="R151" s="8">
        <f>IF(Q151&lt;&gt;0,Q151+H151+L151,0)</f>
        <v/>
      </c>
      <c r="S151" s="9">
        <f>VLOOKUP(OPERAC[[#This Row],[especie]],[1]!ESPECIES[#Data],9,FALSE)</f>
        <v/>
      </c>
    </row>
    <row r="152">
      <c r="A152" s="4" t="n">
        <v>18690</v>
      </c>
      <c r="B152" s="5" t="n">
        <v>44581</v>
      </c>
      <c r="C152" s="13" t="inlineStr">
        <is>
          <t>VTA</t>
        </is>
      </c>
      <c r="D152" s="13" t="n">
        <v>39</v>
      </c>
      <c r="E152" s="10">
        <f>IF(D152&gt;0,VLOOKUP(OPERAC[[#This Row],[COD CART]],[1]!MatrizCortoLargoCyl[#All],3,0),"")</f>
        <v/>
      </c>
      <c r="F152" s="13" t="inlineStr">
        <is>
          <t>ACB/V/6,00/18-02-22</t>
        </is>
      </c>
      <c r="G152" s="6" t="n">
        <v>-2200</v>
      </c>
      <c r="H152" s="6" t="n">
        <v>2660.933</v>
      </c>
      <c r="I152" s="7">
        <f>-H152/G152</f>
        <v/>
      </c>
      <c r="J152" s="11" t="n">
        <v>44601</v>
      </c>
      <c r="K152" s="6" t="n">
        <v>-2200</v>
      </c>
      <c r="L152" s="6">
        <f>1.21*OPERAC[[#This Row],[cantidad venta]]</f>
        <v/>
      </c>
      <c r="M152" s="7">
        <f>IF(N152=0,+L152+H152,0)</f>
        <v/>
      </c>
      <c r="N152" s="7">
        <f>IF((+G152-K152)=0,0,+G152-K152)</f>
        <v/>
      </c>
      <c r="O152" s="7">
        <f>IF(N152=0,0,(L152+H152)/-N152)</f>
        <v/>
      </c>
      <c r="P152" s="7">
        <f>VLOOKUP(OPERAC[[#This Row],[especie]],[1]!ESPECIES[#All],6,0)</f>
        <v/>
      </c>
      <c r="Q152" s="7">
        <f>IF(N152&lt;&gt;0,P152*N152,0)</f>
        <v/>
      </c>
      <c r="R152" s="8">
        <f>IF(Q152&lt;&gt;0,Q152+H152+L152,0)</f>
        <v/>
      </c>
      <c r="S152" s="9">
        <f>VLOOKUP(OPERAC[[#This Row],[especie]],[1]!ESPECIES[#Data],9,FALSE)</f>
        <v/>
      </c>
    </row>
    <row r="153">
      <c r="A153" s="4" t="n">
        <v>3787</v>
      </c>
      <c r="B153" s="5" t="n">
        <v>44431</v>
      </c>
      <c r="C153" s="13" t="inlineStr">
        <is>
          <t>VTA</t>
        </is>
      </c>
      <c r="D153" s="13" t="n">
        <v>39</v>
      </c>
      <c r="E153" s="10">
        <f>IF(D153&gt;0,VLOOKUP(OPERAC[[#This Row],[COD CART]],[1]!MatrizCortoLargoCyl[#All],3,0),"")</f>
        <v/>
      </c>
      <c r="F153" s="13" t="inlineStr">
        <is>
          <t>ACB/V/7,00/20-01-23</t>
        </is>
      </c>
      <c r="G153" s="6" t="n">
        <v>-1000</v>
      </c>
      <c r="H153" s="6" t="n">
        <v>2651.5</v>
      </c>
      <c r="I153" s="7">
        <f>-H153/G153</f>
        <v/>
      </c>
      <c r="J153" s="11" t="n">
        <v>44607</v>
      </c>
      <c r="K153" s="6" t="n">
        <v>-1000</v>
      </c>
      <c r="L153" s="6" t="n">
        <v>-3430</v>
      </c>
      <c r="M153" s="7">
        <f>IF(N153=0,+L153+H153,0)</f>
        <v/>
      </c>
      <c r="N153" s="7">
        <f>IF((+G153-K153)=0,0,+G153-K153)</f>
        <v/>
      </c>
      <c r="O153" s="7">
        <f>IF(N153=0,0,(L153+H153)/-N153)</f>
        <v/>
      </c>
      <c r="P153" s="7">
        <f>VLOOKUP(OPERAC[[#This Row],[especie]],[1]!ESPECIES[#All],6,0)</f>
        <v/>
      </c>
      <c r="Q153" s="7">
        <f>IF(N153&lt;&gt;0,P153*N153,0)</f>
        <v/>
      </c>
      <c r="R153" s="8">
        <f>IF(Q153&lt;&gt;0,Q153+H153+L153,0)</f>
        <v/>
      </c>
      <c r="S153" s="9">
        <f>VLOOKUP(OPERAC[[#This Row],[especie]],[1]!ESPECIES[#Data],9,FALSE)</f>
        <v/>
      </c>
    </row>
    <row r="154">
      <c r="A154" s="4" t="n">
        <v>1760</v>
      </c>
      <c r="B154" s="5" t="n">
        <v>44581</v>
      </c>
      <c r="C154" s="13" t="inlineStr">
        <is>
          <t>VTA</t>
        </is>
      </c>
      <c r="D154" s="13" t="n">
        <v>39</v>
      </c>
      <c r="E154" s="10">
        <f>IF(D154&gt;0,VLOOKUP(OPERAC[[#This Row],[COD CART]],[1]!MatrizCortoLargoCyl[#All],3,0),"")</f>
        <v/>
      </c>
      <c r="F154" s="13" t="inlineStr">
        <is>
          <t>ROKU/V/170,00/28-01-22</t>
        </is>
      </c>
      <c r="G154" s="6" t="n">
        <v>-500</v>
      </c>
      <c r="H154" s="6" t="n">
        <v>2626.82</v>
      </c>
      <c r="I154" s="7">
        <f>-H154/G154</f>
        <v/>
      </c>
      <c r="J154" s="11" t="n">
        <v>44587</v>
      </c>
      <c r="K154" s="6">
        <f>+OPERAC[[#This Row],[cantidad]]</f>
        <v/>
      </c>
      <c r="L154" s="6">
        <f>-OPERAC[[#This Row],[importe]]</f>
        <v/>
      </c>
      <c r="M154" s="7">
        <f>IF(N154=0,+L154+H154,0)</f>
        <v/>
      </c>
      <c r="N154" s="7">
        <f>IF((+G154-K154)=0,0,+G154-K154)</f>
        <v/>
      </c>
      <c r="O154" s="7">
        <f>IF(N154=0,0,(L154+H154)/-N154)</f>
        <v/>
      </c>
      <c r="P154" s="7">
        <f>VLOOKUP(OPERAC[[#This Row],[especie]],[1]!ESPECIES[#All],6,0)</f>
        <v/>
      </c>
      <c r="Q154" s="7">
        <f>IF(N154&lt;&gt;0,P154*N154,0)</f>
        <v/>
      </c>
      <c r="R154" s="8">
        <f>IF(Q154&lt;&gt;0,Q154+H154+L154,0)</f>
        <v/>
      </c>
      <c r="S154" s="9">
        <f>VLOOKUP(OPERAC[[#This Row],[especie]],[1]!ESPECIES[#Data],9,FALSE)</f>
        <v/>
      </c>
    </row>
    <row r="155">
      <c r="A155" s="4" t="n">
        <v>12619</v>
      </c>
      <c r="B155" s="5" t="n">
        <v>44582</v>
      </c>
      <c r="C155" s="13" t="inlineStr">
        <is>
          <t>VTA</t>
        </is>
      </c>
      <c r="D155" s="13" t="n">
        <v>39</v>
      </c>
      <c r="E155" s="10">
        <f>IF(D155&gt;0,VLOOKUP(OPERAC[[#This Row],[COD CART]],[1]!MatrizCortoLargoCyl[#All],3,0),"")</f>
        <v/>
      </c>
      <c r="F155" s="13" t="inlineStr">
        <is>
          <t>ROKU/V/150,00/28-01-22</t>
        </is>
      </c>
      <c r="G155" s="6" t="n">
        <v>-700</v>
      </c>
      <c r="H155" s="6" t="n">
        <v>2566.512</v>
      </c>
      <c r="I155" s="7">
        <f>-H155/G155</f>
        <v/>
      </c>
      <c r="J155" s="11" t="n">
        <v>44588</v>
      </c>
      <c r="K155" s="6" t="n">
        <v>-700</v>
      </c>
      <c r="L155" s="6">
        <f>-OPERAC[[#This Row],[importe]]</f>
        <v/>
      </c>
      <c r="M155" s="7">
        <f>IF(N155=0,+L155+H155,0)</f>
        <v/>
      </c>
      <c r="N155" s="7">
        <f>IF((+G155-K155)=0,0,+G155-K155)</f>
        <v/>
      </c>
      <c r="O155" s="7">
        <f>IF(N155=0,0,(L155+H155)/-N155)</f>
        <v/>
      </c>
      <c r="P155" s="7">
        <f>VLOOKUP(OPERAC[[#This Row],[especie]],[1]!ESPECIES[#All],6,0)</f>
        <v/>
      </c>
      <c r="Q155" s="7">
        <f>IF(N155&lt;&gt;0,P155*N155,0)</f>
        <v/>
      </c>
      <c r="R155" s="8">
        <f>IF(Q155&lt;&gt;0,Q155+H155+L155,0)</f>
        <v/>
      </c>
      <c r="S155" s="9">
        <f>VLOOKUP(OPERAC[[#This Row],[especie]],[1]!ESPECIES[#Data],9,FALSE)</f>
        <v/>
      </c>
    </row>
    <row r="156">
      <c r="A156" s="4" t="n">
        <v>13246</v>
      </c>
      <c r="B156" s="5" t="n">
        <v>44608</v>
      </c>
      <c r="C156" s="13" t="inlineStr">
        <is>
          <t>VTA</t>
        </is>
      </c>
      <c r="D156" s="13" t="n">
        <v>39</v>
      </c>
      <c r="E156" s="10">
        <f>IF(D156&gt;0,VLOOKUP(OPERAC[[#This Row],[COD CART]],[1]!MatrizCortoLargoCyl[#All],3,0),"")</f>
        <v/>
      </c>
      <c r="F156" s="13" t="inlineStr">
        <is>
          <t>SOLO/V/3,00/18-03-22</t>
        </is>
      </c>
      <c r="G156" s="6" t="n">
        <v>-3000</v>
      </c>
      <c r="H156" s="6" t="n">
        <v>2565.12</v>
      </c>
      <c r="I156" s="7">
        <f>-H156/G156</f>
        <v/>
      </c>
      <c r="J156" s="11" t="n">
        <v>44630</v>
      </c>
      <c r="K156" s="6" t="n">
        <v>-3000</v>
      </c>
      <c r="L156" s="6" t="n">
        <v>-3338.37</v>
      </c>
      <c r="M156" s="7">
        <f>IF(N156=0,+L156+H156,0)</f>
        <v/>
      </c>
      <c r="N156" s="7">
        <f>IF((+G156-K156)=0,0,+G156-K156)</f>
        <v/>
      </c>
      <c r="O156" s="7">
        <f>IF(N156=0,0,(L156+H156)/-N156)</f>
        <v/>
      </c>
      <c r="P156" s="7">
        <f>VLOOKUP(OPERAC[[#This Row],[especie]],[1]!ESPECIES[#All],6,0)</f>
        <v/>
      </c>
      <c r="Q156" s="7">
        <f>IF(N156&lt;&gt;0,P156*N156,0)</f>
        <v/>
      </c>
      <c r="R156" s="8">
        <f>IF(Q156&lt;&gt;0,Q156+H156+L156,0)</f>
        <v/>
      </c>
      <c r="S156" s="9">
        <f>VLOOKUP(OPERAC[[#This Row],[especie]],[1]!ESPECIES[#Data],9,FALSE)</f>
        <v/>
      </c>
    </row>
    <row r="157">
      <c r="A157" s="4" t="n">
        <v>13180</v>
      </c>
      <c r="B157" s="5" t="n">
        <v>44718</v>
      </c>
      <c r="C157" s="13" t="inlineStr">
        <is>
          <t>VTA</t>
        </is>
      </c>
      <c r="D157" s="13" t="n">
        <v>39</v>
      </c>
      <c r="E157" s="10">
        <f>IF(D157&gt;0,VLOOKUP(OPERAC[[#This Row],[COD CART]],[1]!MatrizCortoLargoCyl[#All],3,0),"")</f>
        <v/>
      </c>
      <c r="F157" s="13" t="inlineStr">
        <is>
          <t>TSLA/V/600,00/10-06-22</t>
        </is>
      </c>
      <c r="G157" s="6" t="n">
        <v>-1000</v>
      </c>
      <c r="H157" s="6" t="n">
        <v>2521.385</v>
      </c>
      <c r="I157" s="7">
        <f>-H157/G157</f>
        <v/>
      </c>
      <c r="J157" s="5" t="n">
        <v>44718</v>
      </c>
      <c r="K157" s="6" t="n">
        <v>-1000</v>
      </c>
      <c r="L157" s="6" t="n">
        <v>-1752.01</v>
      </c>
      <c r="M157" s="7">
        <f>IF(N157=0,+L157+H157,0)</f>
        <v/>
      </c>
      <c r="N157" s="7">
        <f>IF((+G157-K157)=0,0,+G157-K157)</f>
        <v/>
      </c>
      <c r="O157" s="7">
        <f>IF(N157=0,0,(L157+H157)/-N157)</f>
        <v/>
      </c>
      <c r="P157" s="7">
        <f>VLOOKUP(OPERAC[[#This Row],[especie]],[1]!ESPECIES[#All],6,0)</f>
        <v/>
      </c>
      <c r="Q157" s="7">
        <f>IF(N157&lt;&gt;0,P157*N157,0)</f>
        <v/>
      </c>
      <c r="R157" s="8">
        <f>IF(Q157&lt;&gt;0,Q157+H157+L157,0)</f>
        <v/>
      </c>
      <c r="S157" s="9">
        <f>VLOOKUP(OPERAC[[#This Row],[especie]],[1]!ESPECIES[#Data],9,FALSE)</f>
        <v/>
      </c>
    </row>
    <row r="158">
      <c r="A158" s="4" t="n">
        <v>3728</v>
      </c>
      <c r="B158" s="5" t="n">
        <v>44678</v>
      </c>
      <c r="C158" s="13" t="inlineStr">
        <is>
          <t>VTA</t>
        </is>
      </c>
      <c r="D158" s="13" t="n">
        <v>39</v>
      </c>
      <c r="E158" s="10">
        <f>IF(D158&gt;0,VLOOKUP(OPERAC[[#This Row],[COD CART]],[1]!MatrizCortoLargoCyl[#All],3,0),"")</f>
        <v/>
      </c>
      <c r="F158" s="13" t="inlineStr">
        <is>
          <t>TSLA/V/800,00/29-04-22</t>
        </is>
      </c>
      <c r="G158" s="6" t="n">
        <v>-1000</v>
      </c>
      <c r="H158" s="6" t="n">
        <v>2500.497</v>
      </c>
      <c r="I158" s="7">
        <f>-H158/G158</f>
        <v/>
      </c>
      <c r="J158" s="11" t="n">
        <v>44680</v>
      </c>
      <c r="K158" s="6" t="n">
        <v>-1000</v>
      </c>
      <c r="L158" s="6" t="n">
        <v>0</v>
      </c>
      <c r="M158" s="7">
        <f>IF(N158=0,+L158+H158,0)</f>
        <v/>
      </c>
      <c r="N158" s="7">
        <f>IF((+G158-K158)=0,0,+G158-K158)</f>
        <v/>
      </c>
      <c r="O158" s="7">
        <f>IF(N158=0,0,(L158+H158)/-N158)</f>
        <v/>
      </c>
      <c r="P158" s="7">
        <f>VLOOKUP(OPERAC[[#This Row],[especie]],[1]!ESPECIES[#All],6,0)</f>
        <v/>
      </c>
      <c r="Q158" s="7">
        <f>IF(N158&lt;&gt;0,P158*N158,0)</f>
        <v/>
      </c>
      <c r="R158" s="8">
        <f>IF(Q158&lt;&gt;0,Q158+H158+L158,0)</f>
        <v/>
      </c>
      <c r="S158" s="9">
        <f>VLOOKUP(OPERAC[[#This Row],[especie]],[1]!ESPECIES[#Data],9,FALSE)</f>
        <v/>
      </c>
    </row>
    <row r="159">
      <c r="A159" s="4" t="n">
        <v>2218</v>
      </c>
      <c r="B159" s="5" t="n">
        <v>44678</v>
      </c>
      <c r="C159" s="13" t="inlineStr">
        <is>
          <t>VTA</t>
        </is>
      </c>
      <c r="D159" s="13" t="n">
        <v>39</v>
      </c>
      <c r="E159" s="10">
        <f>IF(D159&gt;0,VLOOKUP(OPERAC[[#This Row],[COD CART]],[1]!MatrizCortoLargoCyl[#All],3,0),"")</f>
        <v/>
      </c>
      <c r="F159" s="13" t="inlineStr">
        <is>
          <t>TSLA/V/800,00/29-04-22</t>
        </is>
      </c>
      <c r="G159" s="6" t="n">
        <v>-1000</v>
      </c>
      <c r="H159" s="6" t="n">
        <v>2500.497</v>
      </c>
      <c r="I159" s="7">
        <f>-H159/G159</f>
        <v/>
      </c>
      <c r="J159" s="11" t="n">
        <v>44680</v>
      </c>
      <c r="K159" s="6">
        <f>+OPERAC[[#This Row],[cantidad]]</f>
        <v/>
      </c>
      <c r="L159" s="6" t="n">
        <v>0</v>
      </c>
      <c r="M159" s="7">
        <f>IF(N159=0,+L159+H159,0)</f>
        <v/>
      </c>
      <c r="N159" s="7">
        <f>IF((+G159-K159)=0,0,+G159-K159)</f>
        <v/>
      </c>
      <c r="O159" s="7">
        <f>IF(N159=0,0,(L159+H159)/-N159)</f>
        <v/>
      </c>
      <c r="P159" s="7">
        <f>VLOOKUP(OPERAC[[#This Row],[especie]],[1]!ESPECIES[#All],6,0)</f>
        <v/>
      </c>
      <c r="Q159" s="7">
        <f>IF(N159&lt;&gt;0,P159*N159,0)</f>
        <v/>
      </c>
      <c r="R159" s="8">
        <f>IF(Q159&lt;&gt;0,Q159+H159+L159,0)</f>
        <v/>
      </c>
      <c r="S159" s="9">
        <f>VLOOKUP(OPERAC[[#This Row],[especie]],[1]!ESPECIES[#Data],9,FALSE)</f>
        <v/>
      </c>
    </row>
    <row r="160">
      <c r="A160" s="4" t="n">
        <v>3728</v>
      </c>
      <c r="B160" s="5" t="n">
        <v>44686</v>
      </c>
      <c r="C160" s="13" t="inlineStr">
        <is>
          <t>VTA</t>
        </is>
      </c>
      <c r="D160" s="13" t="n">
        <v>39</v>
      </c>
      <c r="E160" s="10">
        <f>IF(D160&gt;0,VLOOKUP(OPERAC[[#This Row],[COD CART]],[1]!MatrizCortoLargoCyl[#All],3,0),"")</f>
        <v/>
      </c>
      <c r="F160" s="13" t="inlineStr">
        <is>
          <t>NTLA/V/50,00/20-05-22</t>
        </is>
      </c>
      <c r="G160" s="6" t="n">
        <v>-1000</v>
      </c>
      <c r="H160" s="6" t="n">
        <v>2497.5</v>
      </c>
      <c r="I160" s="7">
        <f>-H160/G160</f>
        <v/>
      </c>
      <c r="J160" s="11" t="n">
        <v>44701</v>
      </c>
      <c r="K160" s="6" t="n">
        <v>-1000</v>
      </c>
      <c r="L160" s="6" t="n">
        <v>-2502.5</v>
      </c>
      <c r="M160" s="7">
        <f>IF(N160=0,+L160+H160,0)</f>
        <v/>
      </c>
      <c r="N160" s="7">
        <f>IF((+G160-K160)=0,0,+G160-K160)</f>
        <v/>
      </c>
      <c r="O160" s="7">
        <f>IF(N160=0,0,(L160+H160)/-N160)</f>
        <v/>
      </c>
      <c r="P160" s="7">
        <f>VLOOKUP(OPERAC[[#This Row],[especie]],[1]!ESPECIES[#All],6,0)</f>
        <v/>
      </c>
      <c r="Q160" s="7">
        <f>IF(N160&lt;&gt;0,P160*N160,0)</f>
        <v/>
      </c>
      <c r="R160" s="8">
        <f>IF(Q160&lt;&gt;0,Q160+H160+L160,0)</f>
        <v/>
      </c>
      <c r="S160" s="9">
        <f>VLOOKUP(OPERAC[[#This Row],[especie]],[1]!ESPECIES[#Data],9,FALSE)</f>
        <v/>
      </c>
    </row>
    <row r="161">
      <c r="A161" s="4" t="n">
        <v>3728</v>
      </c>
      <c r="B161" s="5" t="n">
        <v>44691</v>
      </c>
      <c r="C161" s="13" t="inlineStr">
        <is>
          <t>VTA</t>
        </is>
      </c>
      <c r="D161" s="13" t="n">
        <v>39</v>
      </c>
      <c r="E161" s="10">
        <f>IF(D161&gt;0,VLOOKUP(OPERAC[[#This Row],[COD CART]],[1]!MatrizCortoLargoCyl[#All],3,0),"")</f>
        <v/>
      </c>
      <c r="F161" s="13" t="inlineStr">
        <is>
          <t>TSLA/V/700,00/13-05-22</t>
        </is>
      </c>
      <c r="G161" s="6" t="n">
        <v>-1000</v>
      </c>
      <c r="H161" s="6" t="n">
        <v>2497.5</v>
      </c>
      <c r="I161" s="7">
        <f>-H161/G161</f>
        <v/>
      </c>
      <c r="J161" s="11" t="n">
        <v>44693</v>
      </c>
      <c r="K161" s="6" t="n">
        <v>-1000</v>
      </c>
      <c r="L161" s="6" t="n">
        <v>-32032</v>
      </c>
      <c r="M161" s="7">
        <f>IF(N161=0,+L161+H161,0)</f>
        <v/>
      </c>
      <c r="N161" s="7">
        <f>IF((+G161-K161)=0,0,+G161-K161)</f>
        <v/>
      </c>
      <c r="O161" s="7">
        <f>IF(N161=0,0,(L161+H161)/-N161)</f>
        <v/>
      </c>
      <c r="P161" s="7">
        <f>VLOOKUP(OPERAC[[#This Row],[especie]],[1]!ESPECIES[#All],6,0)</f>
        <v/>
      </c>
      <c r="Q161" s="7">
        <f>IF(N161&lt;&gt;0,P161*N161,0)</f>
        <v/>
      </c>
      <c r="R161" s="8">
        <f>IF(Q161&lt;&gt;0,Q161+H161+L161,0)</f>
        <v/>
      </c>
      <c r="S161" s="9">
        <f>VLOOKUP(OPERAC[[#This Row],[especie]],[1]!ESPECIES[#Data],9,FALSE)</f>
        <v/>
      </c>
    </row>
    <row r="162">
      <c r="A162" s="4" t="n">
        <v>19888</v>
      </c>
      <c r="B162" s="5" t="n">
        <v>44651</v>
      </c>
      <c r="C162" s="13" t="inlineStr">
        <is>
          <t>VTA</t>
        </is>
      </c>
      <c r="D162" s="13" t="n">
        <v>39</v>
      </c>
      <c r="E162" s="10">
        <f>IF(D162&gt;0,VLOOKUP(OPERAC[[#This Row],[COD CART]],[1]!MatrizCortoLargoCyl[#All],3,0),"")</f>
        <v/>
      </c>
      <c r="F162" s="13" t="inlineStr">
        <is>
          <t>TSLA/C/1400,00/08-04-22</t>
        </is>
      </c>
      <c r="G162" s="6" t="n">
        <v>-2000</v>
      </c>
      <c r="H162" s="6" t="n">
        <v>2494.4</v>
      </c>
      <c r="I162" s="7">
        <f>-H162/G162</f>
        <v/>
      </c>
      <c r="J162" s="11" t="n">
        <v>44659</v>
      </c>
      <c r="K162" s="6">
        <f>+OPERAC[[#This Row],[cantidad]]</f>
        <v/>
      </c>
      <c r="L162" s="6" t="n">
        <v>0</v>
      </c>
      <c r="M162" s="7">
        <f>IF(N162=0,+L162+H162,0)</f>
        <v/>
      </c>
      <c r="N162" s="7">
        <f>IF((+G162-K162)=0,0,+G162-K162)</f>
        <v/>
      </c>
      <c r="O162" s="7">
        <f>IF(N162=0,0,(L162+H162)/-N162)</f>
        <v/>
      </c>
      <c r="P162" s="7">
        <f>VLOOKUP(OPERAC[[#This Row],[especie]],[1]!ESPECIES[#All],6,0)</f>
        <v/>
      </c>
      <c r="Q162" s="7">
        <f>IF(N162&lt;&gt;0,P162*N162,0)</f>
        <v/>
      </c>
      <c r="R162" s="8">
        <f>IF(Q162&lt;&gt;0,Q162+H162+L162,0)</f>
        <v/>
      </c>
      <c r="S162" s="9">
        <f>VLOOKUP(OPERAC[[#This Row],[especie]],[1]!ESPECIES[#Data],9,FALSE)</f>
        <v/>
      </c>
    </row>
    <row r="163">
      <c r="A163" s="4" t="n">
        <v>13185</v>
      </c>
      <c r="B163" s="5" t="n">
        <v>44643</v>
      </c>
      <c r="C163" s="13" t="inlineStr">
        <is>
          <t>VTA</t>
        </is>
      </c>
      <c r="D163" s="13" t="n">
        <v>39</v>
      </c>
      <c r="E163" s="10">
        <f>IF(D163&gt;0,VLOOKUP(OPERAC[[#This Row],[COD CART]],[1]!MatrizCortoLargoCyl[#All],3,0),"")</f>
        <v/>
      </c>
      <c r="F163" s="13" t="inlineStr">
        <is>
          <t>TSLA/C/1150,00/25-03-22</t>
        </is>
      </c>
      <c r="G163" s="6" t="n">
        <v>-2000</v>
      </c>
      <c r="H163" s="6" t="n">
        <v>2474.56</v>
      </c>
      <c r="I163" s="7">
        <f>-H163/G163</f>
        <v/>
      </c>
      <c r="J163" s="11" t="n">
        <v>44645</v>
      </c>
      <c r="K163" s="6" t="n">
        <v>-2000</v>
      </c>
      <c r="L163" s="6" t="n">
        <v>0</v>
      </c>
      <c r="M163" s="7">
        <f>IF(N163=0,+L163+H163,0)</f>
        <v/>
      </c>
      <c r="N163" s="7">
        <f>IF((+G163-K163)=0,0,+G163-K163)</f>
        <v/>
      </c>
      <c r="O163" s="7">
        <f>IF(N163=0,0,(L163+H163)/-N163)</f>
        <v/>
      </c>
      <c r="P163" s="7">
        <f>VLOOKUP(OPERAC[[#This Row],[especie]],[1]!ESPECIES[#All],6,0)</f>
        <v/>
      </c>
      <c r="Q163" s="7">
        <f>IF(N163&lt;&gt;0,P163*N163,0)</f>
        <v/>
      </c>
      <c r="R163" s="8">
        <f>IF(Q163&lt;&gt;0,Q163+H163+L163,0)</f>
        <v/>
      </c>
      <c r="S163" s="9">
        <f>VLOOKUP(OPERAC[[#This Row],[especie]],[1]!ESPECIES[#Data],9,FALSE)</f>
        <v/>
      </c>
    </row>
    <row r="164">
      <c r="A164" s="4" t="n">
        <v>3728</v>
      </c>
      <c r="B164" s="5" t="n">
        <v>44607</v>
      </c>
      <c r="C164" s="13" t="inlineStr">
        <is>
          <t>VTA</t>
        </is>
      </c>
      <c r="D164" s="13" t="n">
        <v>39</v>
      </c>
      <c r="E164" s="10">
        <f>IF(D164&gt;0,VLOOKUP(OPERAC[[#This Row],[COD CART]],[1]!MatrizCortoLargoCyl[#All],3,0),"")</f>
        <v/>
      </c>
      <c r="F164" s="13" t="inlineStr">
        <is>
          <t>TSLA/V/840,00/18-02-22</t>
        </is>
      </c>
      <c r="G164" s="6" t="n">
        <v>-1500</v>
      </c>
      <c r="H164" s="6" t="n">
        <v>2461.995</v>
      </c>
      <c r="I164" s="7">
        <f>-H164/G164</f>
        <v/>
      </c>
      <c r="J164" s="11" t="n">
        <v>44608</v>
      </c>
      <c r="K164" s="6" t="n">
        <v>-1500</v>
      </c>
      <c r="L164" s="6" t="n">
        <v>-3042.03</v>
      </c>
      <c r="M164" s="7">
        <f>IF(N164=0,+L164+H164,0)</f>
        <v/>
      </c>
      <c r="N164" s="7">
        <f>IF((+G164-K164)=0,0,+G164-K164)</f>
        <v/>
      </c>
      <c r="O164" s="7">
        <f>IF(N164=0,0,(L164+H164)/-N164)</f>
        <v/>
      </c>
      <c r="P164" s="7">
        <f>VLOOKUP(OPERAC[[#This Row],[especie]],[1]!ESPECIES[#All],6,0)</f>
        <v/>
      </c>
      <c r="Q164" s="7">
        <f>IF(N164&lt;&gt;0,P164*N164,0)</f>
        <v/>
      </c>
      <c r="R164" s="8">
        <f>IF(Q164&lt;&gt;0,Q164+H164+L164,0)</f>
        <v/>
      </c>
      <c r="S164" s="9">
        <f>VLOOKUP(OPERAC[[#This Row],[especie]],[1]!ESPECIES[#Data],9,FALSE)</f>
        <v/>
      </c>
    </row>
    <row r="165">
      <c r="A165" s="4" t="n">
        <v>9195</v>
      </c>
      <c r="B165" s="5" t="n">
        <v>44607</v>
      </c>
      <c r="C165" s="13" t="inlineStr">
        <is>
          <t>VTA</t>
        </is>
      </c>
      <c r="D165" s="13" t="n">
        <v>39</v>
      </c>
      <c r="E165" s="10">
        <f>IF(D165&gt;0,VLOOKUP(OPERAC[[#This Row],[COD CART]],[1]!MatrizCortoLargoCyl[#All],3,0),"")</f>
        <v/>
      </c>
      <c r="F165" s="13" t="inlineStr">
        <is>
          <t>TSLA/V/840,00/18-02-22</t>
        </is>
      </c>
      <c r="G165" s="6" t="n">
        <v>-1500</v>
      </c>
      <c r="H165" s="6" t="n">
        <v>2454.57</v>
      </c>
      <c r="I165" s="7">
        <f>-H165/G165</f>
        <v/>
      </c>
      <c r="J165" s="11" t="n">
        <v>44608</v>
      </c>
      <c r="K165" s="6" t="n">
        <v>-1500</v>
      </c>
      <c r="L165" s="6" t="n">
        <v>-3051.12</v>
      </c>
      <c r="M165" s="7">
        <f>IF(N165=0,+L165+H165,0)</f>
        <v/>
      </c>
      <c r="N165" s="7">
        <f>IF((+G165-K165)=0,0,+G165-K165)</f>
        <v/>
      </c>
      <c r="O165" s="7">
        <f>IF(N165=0,0,(L165+H165)/-N165)</f>
        <v/>
      </c>
      <c r="P165" s="7">
        <f>VLOOKUP(OPERAC[[#This Row],[especie]],[1]!ESPECIES[#All],6,0)</f>
        <v/>
      </c>
      <c r="Q165" s="7">
        <f>IF(N165&lt;&gt;0,P165*N165,0)</f>
        <v/>
      </c>
      <c r="R165" s="8">
        <f>IF(Q165&lt;&gt;0,Q165+H165+L165,0)</f>
        <v/>
      </c>
      <c r="S165" s="9">
        <f>VLOOKUP(OPERAC[[#This Row],[especie]],[1]!ESPECIES[#Data],9,FALSE)</f>
        <v/>
      </c>
    </row>
    <row r="166">
      <c r="A166" s="4" t="n">
        <v>18713</v>
      </c>
      <c r="B166" s="5" t="n">
        <v>44720</v>
      </c>
      <c r="C166" s="13" t="inlineStr">
        <is>
          <t>VTA</t>
        </is>
      </c>
      <c r="D166" s="13" t="n">
        <v>39</v>
      </c>
      <c r="E166" s="10">
        <f>IF(D166&gt;0,VLOOKUP(OPERAC[[#This Row],[COD CART]],[1]!MatrizCortoLargoCyl[#All],3,0),"")</f>
        <v/>
      </c>
      <c r="F166" s="14" t="inlineStr">
        <is>
          <t>TSLA/C/790,00/10-06-22</t>
        </is>
      </c>
      <c r="G166" s="6" t="n">
        <v>-700</v>
      </c>
      <c r="H166" s="6" t="n">
        <v>2429.175</v>
      </c>
      <c r="I166" s="7">
        <f>-H166/G166</f>
        <v/>
      </c>
      <c r="J166" s="5" t="n">
        <v>44722</v>
      </c>
      <c r="K166" s="6">
        <f>+OPERAC[[#This Row],[cantidad]]</f>
        <v/>
      </c>
      <c r="L166" s="6" t="n">
        <v>0</v>
      </c>
      <c r="M166" s="7">
        <f>IF(N166=0,+L166+H166,0)</f>
        <v/>
      </c>
      <c r="N166" s="7">
        <f>IF((+G166-K166)=0,0,+G166-K166)</f>
        <v/>
      </c>
      <c r="O166" s="7">
        <f>IF(N166=0,0,(L166+H166)/-N166)</f>
        <v/>
      </c>
      <c r="P166" s="7">
        <f>VLOOKUP(OPERAC[[#This Row],[especie]],[1]!ESPECIES[#All],6,0)</f>
        <v/>
      </c>
      <c r="Q166" s="7">
        <f>IF(N166&lt;&gt;0,P166*N166,0)</f>
        <v/>
      </c>
      <c r="R166" s="8">
        <f>IF(Q166&lt;&gt;0,Q166+H166+L166,0)</f>
        <v/>
      </c>
      <c r="S166" s="9">
        <f>VLOOKUP(OPERAC[[#This Row],[especie]],[1]!ESPECIES[#Data],9,FALSE)</f>
        <v/>
      </c>
    </row>
    <row r="167">
      <c r="A167" s="4" t="n">
        <v>19888</v>
      </c>
      <c r="B167" s="5" t="n">
        <v>44138</v>
      </c>
      <c r="C167" s="13" t="inlineStr">
        <is>
          <t>VTA</t>
        </is>
      </c>
      <c r="D167" s="13" t="n">
        <v>39</v>
      </c>
      <c r="E167" s="10">
        <f>IF(D167&gt;0,VLOOKUP(OPERAC[[#This Row],[COD CART]],[1]!MatrizCortoLargoCyl[#All],3,0),"")</f>
        <v/>
      </c>
      <c r="F167" s="13" t="inlineStr">
        <is>
          <t>YPF/V/5,00/20-01-23</t>
        </is>
      </c>
      <c r="G167" s="6" t="n">
        <v>-1000</v>
      </c>
      <c r="H167" s="6" t="n">
        <v>2425</v>
      </c>
      <c r="I167" s="7">
        <f>-H167/G167</f>
        <v/>
      </c>
      <c r="J167" s="11" t="n"/>
      <c r="K167" s="6" t="n"/>
      <c r="L167" s="6" t="n"/>
      <c r="M167" s="7">
        <f>IF(N167=0,+L167+H167,0)</f>
        <v/>
      </c>
      <c r="N167" s="7">
        <f>IF((+G167-K167)=0,0,+G167-K167)</f>
        <v/>
      </c>
      <c r="O167" s="7">
        <f>IF(N167=0,0,(L167+H167)/-N167)</f>
        <v/>
      </c>
      <c r="P167" s="7">
        <f>VLOOKUP(OPERAC[[#This Row],[especie]],[1]!ESPECIES[#All],6,0)</f>
        <v/>
      </c>
      <c r="Q167" s="7">
        <f>IF(N167&lt;&gt;0,P167*N167,0)</f>
        <v/>
      </c>
      <c r="R167" s="8">
        <f>IF(Q167&lt;&gt;0,Q167+H167+L167,0)</f>
        <v/>
      </c>
      <c r="S167" s="9">
        <f>VLOOKUP(OPERAC[[#This Row],[especie]],[1]!ESPECIES[#Data],9,FALSE)</f>
        <v/>
      </c>
    </row>
    <row r="168">
      <c r="A168" s="4" t="n">
        <v>16818</v>
      </c>
      <c r="B168" s="5" t="n">
        <v>44587</v>
      </c>
      <c r="C168" s="13" t="inlineStr">
        <is>
          <t>VTA</t>
        </is>
      </c>
      <c r="D168" s="13" t="n">
        <v>39</v>
      </c>
      <c r="E168" s="10">
        <f>IF(D168&gt;0,VLOOKUP(OPERAC[[#This Row],[COD CART]],[1]!MatrizCortoLargoCyl[#All],3,0),"")</f>
        <v/>
      </c>
      <c r="F168" s="13" t="inlineStr">
        <is>
          <t>ROKU/V/155,00/04-02-22</t>
        </is>
      </c>
      <c r="G168" s="6" t="n">
        <v>-300</v>
      </c>
      <c r="H168" s="6" t="n">
        <v>2391.5976</v>
      </c>
      <c r="I168" s="7">
        <f>-H168/G168</f>
        <v/>
      </c>
      <c r="J168" s="11" t="n">
        <v>44592</v>
      </c>
      <c r="K168" s="6">
        <f>+OPERAC[[#This Row],[cantidad]]</f>
        <v/>
      </c>
      <c r="L168" s="6" t="n">
        <v>-1070.4342</v>
      </c>
      <c r="M168" s="7">
        <f>IF(N168=0,+L168+H168,0)</f>
        <v/>
      </c>
      <c r="N168" s="7">
        <f>IF((+G168-K168)=0,0,+G168-K168)</f>
        <v/>
      </c>
      <c r="O168" s="7">
        <f>IF(N168=0,0,(L168+H168)/-N168)</f>
        <v/>
      </c>
      <c r="P168" s="7">
        <f>VLOOKUP(OPERAC[[#This Row],[especie]],[1]!ESPECIES[#All],6,0)</f>
        <v/>
      </c>
      <c r="Q168" s="7">
        <f>IF(N168&lt;&gt;0,P168*N168,0)</f>
        <v/>
      </c>
      <c r="R168" s="8">
        <f>IF(Q168&lt;&gt;0,Q168+H168+L168,0)</f>
        <v/>
      </c>
      <c r="S168" s="9">
        <f>VLOOKUP(OPERAC[[#This Row],[especie]],[1]!ESPECIES[#Data],9,FALSE)</f>
        <v/>
      </c>
    </row>
    <row r="169">
      <c r="A169" s="4" t="n">
        <v>3728</v>
      </c>
      <c r="B169" s="5" t="n">
        <v>44635</v>
      </c>
      <c r="C169" s="13" t="inlineStr">
        <is>
          <t>VTA</t>
        </is>
      </c>
      <c r="D169" s="13" t="n">
        <v>39</v>
      </c>
      <c r="E169" s="10">
        <f>IF(D169&gt;0,VLOOKUP(OPERAC[[#This Row],[COD CART]],[1]!MatrizCortoLargoCyl[#All],3,0),"")</f>
        <v/>
      </c>
      <c r="F169" s="13" t="inlineStr">
        <is>
          <t>ROKU/V/95,00/18-03-22</t>
        </is>
      </c>
      <c r="G169" s="6" t="n">
        <v>-2000</v>
      </c>
      <c r="H169" s="6" t="n">
        <v>2389.56</v>
      </c>
      <c r="I169" s="7">
        <f>-H169/G169</f>
        <v/>
      </c>
      <c r="J169" s="11" t="n">
        <v>44638</v>
      </c>
      <c r="K169" s="6" t="n">
        <v>-2000</v>
      </c>
      <c r="L169" s="6" t="n">
        <v>0</v>
      </c>
      <c r="M169" s="7">
        <f>IF(N169=0,+L169+H169,0)</f>
        <v/>
      </c>
      <c r="N169" s="7">
        <f>IF((+G169-K169)=0,0,+G169-K169)</f>
        <v/>
      </c>
      <c r="O169" s="7">
        <f>IF(N169=0,0,(L169+H169)/-N169)</f>
        <v/>
      </c>
      <c r="P169" s="7">
        <f>VLOOKUP(OPERAC[[#This Row],[especie]],[1]!ESPECIES[#All],6,0)</f>
        <v/>
      </c>
      <c r="Q169" s="7">
        <f>IF(N169&lt;&gt;0,P169*N169,0)</f>
        <v/>
      </c>
      <c r="R169" s="8">
        <f>IF(Q169&lt;&gt;0,Q169+H169+L169,0)</f>
        <v/>
      </c>
      <c r="S169" s="9">
        <f>VLOOKUP(OPERAC[[#This Row],[especie]],[1]!ESPECIES[#Data],9,FALSE)</f>
        <v/>
      </c>
    </row>
    <row r="170">
      <c r="A170" s="4" t="n">
        <v>13240</v>
      </c>
      <c r="B170" s="5" t="n">
        <v>44587</v>
      </c>
      <c r="C170" s="13" t="inlineStr">
        <is>
          <t>VTA</t>
        </is>
      </c>
      <c r="D170" s="13" t="n">
        <v>39</v>
      </c>
      <c r="E170" s="10">
        <f>IF(D170&gt;0,VLOOKUP(OPERAC[[#This Row],[COD CART]],[1]!MatrizCortoLargoCyl[#All],3,0),"")</f>
        <v/>
      </c>
      <c r="F170" s="13" t="inlineStr">
        <is>
          <t>ROKU/V/155,00/04-02-22</t>
        </is>
      </c>
      <c r="G170" s="6" t="n">
        <v>-300</v>
      </c>
      <c r="H170" s="6" t="n">
        <v>2381.988</v>
      </c>
      <c r="I170" s="7">
        <f>-H170/G170</f>
        <v/>
      </c>
      <c r="J170" s="11" t="n">
        <v>44592</v>
      </c>
      <c r="K170" s="6">
        <f>+OPERAC[[#This Row],[cantidad]]</f>
        <v/>
      </c>
      <c r="L170" s="6" t="n">
        <v>-1074.6942</v>
      </c>
      <c r="M170" s="7">
        <f>IF(N170=0,+L170+H170,0)</f>
        <v/>
      </c>
      <c r="N170" s="7">
        <f>IF((+G170-K170)=0,0,+G170-K170)</f>
        <v/>
      </c>
      <c r="O170" s="7">
        <f>IF(N170=0,0,(L170+H170)/-N170)</f>
        <v/>
      </c>
      <c r="P170" s="7">
        <f>VLOOKUP(OPERAC[[#This Row],[especie]],[1]!ESPECIES[#All],6,0)</f>
        <v/>
      </c>
      <c r="Q170" s="7">
        <f>IF(N170&lt;&gt;0,P170*N170,0)</f>
        <v/>
      </c>
      <c r="R170" s="8">
        <f>IF(Q170&lt;&gt;0,Q170+H170+L170,0)</f>
        <v/>
      </c>
      <c r="S170" s="9">
        <f>VLOOKUP(OPERAC[[#This Row],[especie]],[1]!ESPECIES[#Data],9,FALSE)</f>
        <v/>
      </c>
    </row>
    <row r="171">
      <c r="A171" s="4" t="n">
        <v>6578</v>
      </c>
      <c r="B171" s="5" t="n">
        <v>44587</v>
      </c>
      <c r="C171" s="13" t="inlineStr">
        <is>
          <t>VTA</t>
        </is>
      </c>
      <c r="D171" s="13" t="n">
        <v>39</v>
      </c>
      <c r="E171" s="10">
        <f>IF(D171&gt;0,VLOOKUP(OPERAC[[#This Row],[COD CART]],[1]!MatrizCortoLargoCyl[#All],3,0),"")</f>
        <v/>
      </c>
      <c r="F171" s="13" t="inlineStr">
        <is>
          <t>ROKU/V/155,00/04-02-22</t>
        </is>
      </c>
      <c r="G171" s="6" t="n">
        <v>-300</v>
      </c>
      <c r="H171" s="6" t="n">
        <v>2381.988</v>
      </c>
      <c r="I171" s="7">
        <f>-H171/G171</f>
        <v/>
      </c>
      <c r="J171" s="11" t="n">
        <v>44592</v>
      </c>
      <c r="K171" s="6">
        <f>+OPERAC[[#This Row],[cantidad]]</f>
        <v/>
      </c>
      <c r="L171" s="6" t="n">
        <v>-1074.6942</v>
      </c>
      <c r="M171" s="7">
        <f>IF(N171=0,+L171+H171,0)</f>
        <v/>
      </c>
      <c r="N171" s="7">
        <f>IF((+G171-K171)=0,0,+G171-K171)</f>
        <v/>
      </c>
      <c r="O171" s="7">
        <f>IF(N171=0,0,(L171+H171)/-N171)</f>
        <v/>
      </c>
      <c r="P171" s="7">
        <f>VLOOKUP(OPERAC[[#This Row],[especie]],[1]!ESPECIES[#All],6,0)</f>
        <v/>
      </c>
      <c r="Q171" s="7">
        <f>IF(N171&lt;&gt;0,P171*N171,0)</f>
        <v/>
      </c>
      <c r="R171" s="8">
        <f>IF(Q171&lt;&gt;0,Q171+H171+L171,0)</f>
        <v/>
      </c>
      <c r="S171" s="9">
        <f>VLOOKUP(OPERAC[[#This Row],[especie]],[1]!ESPECIES[#Data],9,FALSE)</f>
        <v/>
      </c>
    </row>
    <row r="172">
      <c r="A172" s="4" t="n">
        <v>12674</v>
      </c>
      <c r="B172" s="5" t="n">
        <v>44587</v>
      </c>
      <c r="C172" s="13" t="inlineStr">
        <is>
          <t>VTA</t>
        </is>
      </c>
      <c r="D172" s="13" t="n">
        <v>39</v>
      </c>
      <c r="E172" s="10">
        <f>IF(D172&gt;0,VLOOKUP(OPERAC[[#This Row],[COD CART]],[1]!MatrizCortoLargoCyl[#All],3,0),"")</f>
        <v/>
      </c>
      <c r="F172" s="13" t="inlineStr">
        <is>
          <t>ROKU/V/155,00/04-02-22</t>
        </is>
      </c>
      <c r="G172" s="6" t="n">
        <v>-300</v>
      </c>
      <c r="H172" s="6" t="n">
        <v>2381.988</v>
      </c>
      <c r="I172" s="7">
        <f>-H172/G172</f>
        <v/>
      </c>
      <c r="J172" s="11" t="n">
        <v>44592</v>
      </c>
      <c r="K172" s="6">
        <f>+OPERAC[[#This Row],[cantidad]]</f>
        <v/>
      </c>
      <c r="L172" s="6" t="n">
        <v>-1074.6942</v>
      </c>
      <c r="M172" s="7">
        <f>IF(N172=0,+L172+H172,0)</f>
        <v/>
      </c>
      <c r="N172" s="7">
        <f>IF((+G172-K172)=0,0,+G172-K172)</f>
        <v/>
      </c>
      <c r="O172" s="7">
        <f>IF(N172=0,0,(L172+H172)/-N172)</f>
        <v/>
      </c>
      <c r="P172" s="7">
        <f>VLOOKUP(OPERAC[[#This Row],[especie]],[1]!ESPECIES[#All],6,0)</f>
        <v/>
      </c>
      <c r="Q172" s="7">
        <f>IF(N172&lt;&gt;0,P172*N172,0)</f>
        <v/>
      </c>
      <c r="R172" s="8">
        <f>IF(Q172&lt;&gt;0,Q172+H172+L172,0)</f>
        <v/>
      </c>
      <c r="S172" s="9">
        <f>VLOOKUP(OPERAC[[#This Row],[especie]],[1]!ESPECIES[#Data],9,FALSE)</f>
        <v/>
      </c>
    </row>
    <row r="173">
      <c r="A173" s="4" t="n">
        <v>19888</v>
      </c>
      <c r="B173" s="5" t="n">
        <v>44651</v>
      </c>
      <c r="C173" s="13" t="inlineStr">
        <is>
          <t>VTA</t>
        </is>
      </c>
      <c r="D173" s="13" t="n">
        <v>39</v>
      </c>
      <c r="E173" s="10">
        <f>IF(D173&gt;0,VLOOKUP(OPERAC[[#This Row],[COD CART]],[1]!MatrizCortoLargoCyl[#All],3,0),"")</f>
        <v/>
      </c>
      <c r="F173" s="13" t="inlineStr">
        <is>
          <t>TSLA/V/875,00/08-04-22</t>
        </is>
      </c>
      <c r="G173" s="6" t="n">
        <v>-2000</v>
      </c>
      <c r="H173" s="6" t="n">
        <v>2375.36</v>
      </c>
      <c r="I173" s="7">
        <f>-H173/G173</f>
        <v/>
      </c>
      <c r="J173" s="11" t="n">
        <v>44655</v>
      </c>
      <c r="K173" s="6" t="n">
        <v>-2000</v>
      </c>
      <c r="L173" s="6" t="n">
        <v>-448.9</v>
      </c>
      <c r="M173" s="7">
        <f>IF(N173=0,+L173+H173,0)</f>
        <v/>
      </c>
      <c r="N173" s="7">
        <f>IF((+G173-K173)=0,0,+G173-K173)</f>
        <v/>
      </c>
      <c r="O173" s="7">
        <f>IF(N173=0,0,(L173+H173)/-N173)</f>
        <v/>
      </c>
      <c r="P173" s="7">
        <f>VLOOKUP(OPERAC[[#This Row],[especie]],[1]!ESPECIES[#All],6,0)</f>
        <v/>
      </c>
      <c r="Q173" s="7">
        <f>IF(N173&lt;&gt;0,P173*N173,0)</f>
        <v/>
      </c>
      <c r="R173" s="8">
        <f>IF(Q173&lt;&gt;0,Q173+H173+L173,0)</f>
        <v/>
      </c>
      <c r="S173" s="9">
        <f>VLOOKUP(OPERAC[[#This Row],[especie]],[1]!ESPECIES[#Data],9,FALSE)</f>
        <v/>
      </c>
    </row>
    <row r="174">
      <c r="A174" s="4" t="n">
        <v>16783</v>
      </c>
      <c r="B174" s="5" t="n">
        <v>44340</v>
      </c>
      <c r="C174" s="13" t="inlineStr">
        <is>
          <t>VTA</t>
        </is>
      </c>
      <c r="D174" s="13" t="n">
        <v>39</v>
      </c>
      <c r="E174" s="10">
        <f>IF(D174&gt;0,VLOOKUP(OPERAC[[#This Row],[COD CART]],[1]!MatrizCortoLargoCyl[#All],3,0),"")</f>
        <v/>
      </c>
      <c r="F174" s="13" t="inlineStr">
        <is>
          <t>SOLO/V/3,50/21-01-22</t>
        </is>
      </c>
      <c r="G174" s="6" t="n">
        <v>-2100</v>
      </c>
      <c r="H174" s="6" t="n">
        <v>2303.7955</v>
      </c>
      <c r="I174" s="7">
        <f>-H174/G174</f>
        <v/>
      </c>
      <c r="J174" s="11" t="n">
        <v>44579</v>
      </c>
      <c r="K174" s="6">
        <f>+OPERAC[[#This Row],[cantidad]]</f>
        <v/>
      </c>
      <c r="L174" s="6">
        <f>-OPERAC[[#This Row],[importe]]</f>
        <v/>
      </c>
      <c r="M174" s="7">
        <f>IF(N174=0,+L174+H174,0)</f>
        <v/>
      </c>
      <c r="N174" s="7">
        <f>IF((+G174-K174)=0,0,+G174-K174)</f>
        <v/>
      </c>
      <c r="O174" s="7">
        <f>IF(N174=0,0,(L174+H174)/-N174)</f>
        <v/>
      </c>
      <c r="P174" s="7">
        <f>VLOOKUP(OPERAC[[#This Row],[especie]],[1]!ESPECIES[#All],6,0)</f>
        <v/>
      </c>
      <c r="Q174" s="7">
        <f>IF(N174&lt;&gt;0,P174*N174,0)</f>
        <v/>
      </c>
      <c r="R174" s="8">
        <f>IF(Q174&lt;&gt;0,Q174+H174+L174,0)</f>
        <v/>
      </c>
      <c r="S174" s="9">
        <f>VLOOKUP(OPERAC[[#This Row],[especie]],[1]!ESPECIES[#Data],9,FALSE)</f>
        <v/>
      </c>
    </row>
    <row r="175">
      <c r="A175" s="4" t="n">
        <v>12627</v>
      </c>
      <c r="B175" s="5" t="n">
        <v>44571</v>
      </c>
      <c r="C175" s="13" t="inlineStr">
        <is>
          <t>VTA</t>
        </is>
      </c>
      <c r="D175" s="13" t="n">
        <v>39</v>
      </c>
      <c r="E175" s="10">
        <f>IF(D175&gt;0,VLOOKUP(OPERAC[[#This Row],[COD CART]],[1]!MatrizCortoLargoCyl[#All],3,0),"")</f>
        <v/>
      </c>
      <c r="F175" s="13" t="inlineStr">
        <is>
          <t>TSLA/V/870,00/21-01-22</t>
        </is>
      </c>
      <c r="G175" s="6" t="n">
        <v>-400</v>
      </c>
      <c r="H175" s="6" t="n">
        <v>2300.3748</v>
      </c>
      <c r="I175" s="7">
        <f>-H175/G175</f>
        <v/>
      </c>
      <c r="J175" s="11" t="n">
        <v>44574</v>
      </c>
      <c r="K175" s="6" t="n">
        <v>-400</v>
      </c>
      <c r="L175" s="6" t="n">
        <v>-666.3252</v>
      </c>
      <c r="M175" s="7">
        <f>IF(N175=0,+L175+H175,0)</f>
        <v/>
      </c>
      <c r="N175" s="7">
        <f>IF((+G175-K175)=0,0,+G175-K175)</f>
        <v/>
      </c>
      <c r="O175" s="7">
        <f>IF(N175=0,0,(L175+H175)/-N175)</f>
        <v/>
      </c>
      <c r="P175" s="7">
        <f>VLOOKUP(OPERAC[[#This Row],[especie]],[1]!ESPECIES[#All],6,0)</f>
        <v/>
      </c>
      <c r="Q175" s="7">
        <f>IF(N175&lt;&gt;0,P175*N175,0)</f>
        <v/>
      </c>
      <c r="R175" s="8">
        <f>IF(Q175&lt;&gt;0,Q175+H175+L175,0)</f>
        <v/>
      </c>
      <c r="S175" s="9">
        <f>VLOOKUP(OPERAC[[#This Row],[especie]],[1]!ESPECIES[#Data],9,FALSE)</f>
        <v/>
      </c>
    </row>
    <row r="176">
      <c r="A176" s="4" t="n">
        <v>2218</v>
      </c>
      <c r="B176" s="5" t="n">
        <v>44452</v>
      </c>
      <c r="C176" s="13" t="inlineStr">
        <is>
          <t>VTA</t>
        </is>
      </c>
      <c r="D176" s="13" t="n">
        <v>39</v>
      </c>
      <c r="E176" s="10">
        <f>IF(D176&gt;0,VLOOKUP(OPERAC[[#This Row],[COD CART]],[1]!MatrizCortoLargoCyl[#All],3,0),"")</f>
        <v/>
      </c>
      <c r="F176" s="13" t="inlineStr">
        <is>
          <t>TLRY/V/10,00/21-01-22</t>
        </is>
      </c>
      <c r="G176" s="6" t="n">
        <v>-2000</v>
      </c>
      <c r="H176" s="6" t="n">
        <v>2292.01</v>
      </c>
      <c r="I176" s="7">
        <f>-H176/G176</f>
        <v/>
      </c>
      <c r="J176" s="11" t="n">
        <v>44572</v>
      </c>
      <c r="K176" s="6" t="n">
        <v>-2000</v>
      </c>
      <c r="L176" s="6" t="n">
        <v>-2292.01</v>
      </c>
      <c r="M176" s="7">
        <f>IF(N176=0,+L176+H176,0)</f>
        <v/>
      </c>
      <c r="N176" s="7">
        <f>IF((+G176-K176)=0,0,+G176-K176)</f>
        <v/>
      </c>
      <c r="O176" s="7">
        <f>IF(N176=0,0,(L176+H176)/-N176)</f>
        <v/>
      </c>
      <c r="P176" s="7">
        <f>VLOOKUP(OPERAC[[#This Row],[especie]],[1]!ESPECIES[#All],6,0)</f>
        <v/>
      </c>
      <c r="Q176" s="7">
        <f>IF(N176&lt;&gt;0,P176*N176,0)</f>
        <v/>
      </c>
      <c r="R176" s="8">
        <f>IF(Q176&lt;&gt;0,Q176+H176+L176,0)</f>
        <v/>
      </c>
      <c r="S176" s="9">
        <f>VLOOKUP(OPERAC[[#This Row],[especie]],[1]!ESPECIES[#Data],9,FALSE)</f>
        <v/>
      </c>
    </row>
    <row r="177">
      <c r="A177" s="4" t="n">
        <v>12674</v>
      </c>
      <c r="B177" s="5" t="n">
        <v>44662</v>
      </c>
      <c r="C177" s="13" t="inlineStr">
        <is>
          <t>VTA</t>
        </is>
      </c>
      <c r="D177" s="13" t="n">
        <v>39</v>
      </c>
      <c r="E177" s="10">
        <f>IF(D177&gt;0,VLOOKUP(OPERAC[[#This Row],[COD CART]],[1]!MatrizCortoLargoCyl[#All],3,0),"")</f>
        <v/>
      </c>
      <c r="F177" s="13" t="inlineStr">
        <is>
          <t>TSLA/V/880,00/14-04-22</t>
        </is>
      </c>
      <c r="G177" s="6" t="n">
        <v>-1000</v>
      </c>
      <c r="H177" s="6" t="n">
        <v>2278.87</v>
      </c>
      <c r="I177" s="7">
        <f>-H177/G177</f>
        <v/>
      </c>
      <c r="J177" s="11" t="n">
        <v>44665</v>
      </c>
      <c r="K177" s="6" t="n">
        <v>-1000</v>
      </c>
      <c r="L177" s="6" t="n">
        <v>0</v>
      </c>
      <c r="M177" s="7">
        <f>IF(N177=0,+L177+H177,0)</f>
        <v/>
      </c>
      <c r="N177" s="7">
        <f>IF((+G177-K177)=0,0,+G177-K177)</f>
        <v/>
      </c>
      <c r="O177" s="7">
        <f>IF(N177=0,0,(L177+H177)/-N177)</f>
        <v/>
      </c>
      <c r="P177" s="7">
        <f>VLOOKUP(OPERAC[[#This Row],[especie]],[1]!ESPECIES[#All],6,0)</f>
        <v/>
      </c>
      <c r="Q177" s="7">
        <f>IF(N177&lt;&gt;0,P177*N177,0)</f>
        <v/>
      </c>
      <c r="R177" s="8">
        <f>IF(Q177&lt;&gt;0,Q177+H177+L177,0)</f>
        <v/>
      </c>
      <c r="S177" s="9">
        <f>VLOOKUP(OPERAC[[#This Row],[especie]],[1]!ESPECIES[#Data],9,FALSE)</f>
        <v/>
      </c>
    </row>
    <row r="178">
      <c r="A178" s="4" t="n">
        <v>2194</v>
      </c>
      <c r="B178" s="5" t="n">
        <v>44547</v>
      </c>
      <c r="C178" s="13" t="inlineStr">
        <is>
          <t>VTA</t>
        </is>
      </c>
      <c r="D178" s="13" t="n">
        <v>39</v>
      </c>
      <c r="E178" s="10">
        <f>IF(D178&gt;0,VLOOKUP(OPERAC[[#This Row],[COD CART]],[1]!MatrizCortoLargoCyl[#All],3,0),"")</f>
        <v/>
      </c>
      <c r="F178" s="13" t="inlineStr">
        <is>
          <t>INO/V/7,00/21-01-22</t>
        </is>
      </c>
      <c r="G178" s="6" t="n">
        <v>-2500</v>
      </c>
      <c r="H178" s="6" t="n">
        <v>2276.1</v>
      </c>
      <c r="I178" s="7">
        <f>-H178/G178</f>
        <v/>
      </c>
      <c r="J178" s="11" t="n">
        <v>44580</v>
      </c>
      <c r="K178" s="6">
        <f>+OPERAC[[#This Row],[cantidad]]</f>
        <v/>
      </c>
      <c r="L178" s="6">
        <f>-OPERAC[[#This Row],[importe]]</f>
        <v/>
      </c>
      <c r="M178" s="7">
        <f>IF(N178=0,+L178+H178,0)</f>
        <v/>
      </c>
      <c r="N178" s="7">
        <f>IF((+G178-K178)=0,0,+G178-K178)</f>
        <v/>
      </c>
      <c r="O178" s="7">
        <f>IF(N178=0,0,(L178+H178)/-N178)</f>
        <v/>
      </c>
      <c r="P178" s="7">
        <f>VLOOKUP(OPERAC[[#This Row],[especie]],[1]!ESPECIES[#All],6,0)</f>
        <v/>
      </c>
      <c r="Q178" s="7">
        <f>IF(N178&lt;&gt;0,P178*N178,0)</f>
        <v/>
      </c>
      <c r="R178" s="8">
        <f>IF(Q178&lt;&gt;0,Q178+H178+L178,0)</f>
        <v/>
      </c>
      <c r="S178" s="9">
        <f>VLOOKUP(OPERAC[[#This Row],[especie]],[1]!ESPECIES[#Data],9,FALSE)</f>
        <v/>
      </c>
    </row>
    <row r="179">
      <c r="A179" s="4" t="n">
        <v>13185</v>
      </c>
      <c r="B179" s="5" t="n">
        <v>44575</v>
      </c>
      <c r="C179" s="13" t="inlineStr">
        <is>
          <t>VTA</t>
        </is>
      </c>
      <c r="D179" s="13" t="n">
        <v>39</v>
      </c>
      <c r="E179" s="10">
        <f>IF(D179&gt;0,VLOOKUP(OPERAC[[#This Row],[COD CART]],[1]!MatrizCortoLargoCyl[#All],3,0),"")</f>
        <v/>
      </c>
      <c r="F179" s="13" t="inlineStr">
        <is>
          <t>TSLA/V/830,00/21-01-22</t>
        </is>
      </c>
      <c r="G179" s="6" t="n">
        <v>-2000</v>
      </c>
      <c r="H179" s="6" t="n">
        <v>2256.48</v>
      </c>
      <c r="I179" s="7">
        <f>-H179/G179</f>
        <v/>
      </c>
      <c r="J179" s="11" t="n">
        <v>44582</v>
      </c>
      <c r="K179" s="6" t="n">
        <v>-2000</v>
      </c>
      <c r="L179" s="6" t="n">
        <v>0</v>
      </c>
      <c r="M179" s="7">
        <f>IF(N179=0,+L179+H179,0)</f>
        <v/>
      </c>
      <c r="N179" s="7">
        <f>IF((+G179-K179)=0,0,+G179-K179)</f>
        <v/>
      </c>
      <c r="O179" s="7">
        <f>IF(N179=0,0,(L179+H179)/-N179)</f>
        <v/>
      </c>
      <c r="P179" s="7">
        <f>VLOOKUP(OPERAC[[#This Row],[especie]],[1]!ESPECIES[#All],6,0)</f>
        <v/>
      </c>
      <c r="Q179" s="7">
        <f>IF(N179&lt;&gt;0,P179*N179,0)</f>
        <v/>
      </c>
      <c r="R179" s="8">
        <f>IF(Q179&lt;&gt;0,Q179+H179+L179,0)</f>
        <v/>
      </c>
      <c r="S179" s="9">
        <f>VLOOKUP(OPERAC[[#This Row],[especie]],[1]!ESPECIES[#Data],9,FALSE)</f>
        <v/>
      </c>
    </row>
    <row r="180">
      <c r="A180" s="4" t="n">
        <v>2218</v>
      </c>
      <c r="B180" s="5" t="n">
        <v>44571</v>
      </c>
      <c r="C180" s="13" t="inlineStr">
        <is>
          <t>VTA</t>
        </is>
      </c>
      <c r="D180" s="13" t="n">
        <v>39</v>
      </c>
      <c r="E180" s="10">
        <f>IF(D180&gt;0,VLOOKUP(OPERAC[[#This Row],[COD CART]],[1]!MatrizCortoLargoCyl[#All],3,0),"")</f>
        <v/>
      </c>
      <c r="F180" s="13" t="inlineStr">
        <is>
          <t>MELI/V/850,00/14-01-22</t>
        </is>
      </c>
      <c r="G180" s="6" t="n">
        <v>-500</v>
      </c>
      <c r="H180" s="6" t="n">
        <v>2247.75</v>
      </c>
      <c r="I180" s="7">
        <f>-H180/G180</f>
        <v/>
      </c>
      <c r="J180" s="11" t="n">
        <v>44575</v>
      </c>
      <c r="K180" s="6" t="n">
        <v>-500</v>
      </c>
      <c r="L180" s="6" t="n">
        <v>0</v>
      </c>
      <c r="M180" s="7">
        <f>IF(N180=0,+L180+H180,0)</f>
        <v/>
      </c>
      <c r="N180" s="7">
        <f>IF((+G180-K180)=0,0,+G180-K180)</f>
        <v/>
      </c>
      <c r="O180" s="7">
        <f>IF(N180=0,0,(L180+H180)/-N180)</f>
        <v/>
      </c>
      <c r="P180" s="7">
        <f>VLOOKUP(OPERAC[[#This Row],[especie]],[1]!ESPECIES[#All],6,0)</f>
        <v/>
      </c>
      <c r="Q180" s="7">
        <f>IF(N180&lt;&gt;0,P180*N180,0)</f>
        <v/>
      </c>
      <c r="R180" s="8">
        <f>IF(Q180&lt;&gt;0,Q180+H180+L180,0)</f>
        <v/>
      </c>
      <c r="S180" s="9">
        <f>VLOOKUP(OPERAC[[#This Row],[especie]],[1]!ESPECIES[#Data],9,FALSE)</f>
        <v/>
      </c>
    </row>
    <row r="181">
      <c r="A181" s="4" t="n">
        <v>3728</v>
      </c>
      <c r="B181" s="5" t="n">
        <v>44606</v>
      </c>
      <c r="C181" s="13" t="inlineStr">
        <is>
          <t>VTA</t>
        </is>
      </c>
      <c r="D181" s="13" t="n">
        <v>39</v>
      </c>
      <c r="E181" s="10">
        <f>IF(D181&gt;0,VLOOKUP(OPERAC[[#This Row],[COD CART]],[1]!MatrizCortoLargoCyl[#All],3,0),"")</f>
        <v/>
      </c>
      <c r="F181" s="13" t="inlineStr">
        <is>
          <t>TSLA/C/950,00/18-02-22</t>
        </is>
      </c>
      <c r="G181" s="6" t="n">
        <v>-1000</v>
      </c>
      <c r="H181" s="6" t="n">
        <v>2245.025</v>
      </c>
      <c r="I181" s="7">
        <f>-H181/G181</f>
        <v/>
      </c>
      <c r="J181" s="11" t="n">
        <v>44607</v>
      </c>
      <c r="K181" s="6" t="n">
        <v>-1000</v>
      </c>
      <c r="L181" s="6" t="n">
        <v>-408.025</v>
      </c>
      <c r="M181" s="7">
        <f>IF(N181=0,+L181+H181,0)</f>
        <v/>
      </c>
      <c r="N181" s="7">
        <f>IF((+G181-K181)=0,0,+G181-K181)</f>
        <v/>
      </c>
      <c r="O181" s="7">
        <f>IF(N181=0,0,(L181+H181)/-N181)</f>
        <v/>
      </c>
      <c r="P181" s="7">
        <f>VLOOKUP(OPERAC[[#This Row],[especie]],[1]!ESPECIES[#All],6,0)</f>
        <v/>
      </c>
      <c r="Q181" s="7">
        <f>IF(N181&lt;&gt;0,P181*N181,0)</f>
        <v/>
      </c>
      <c r="R181" s="8">
        <f>IF(Q181&lt;&gt;0,Q181+H181+L181,0)</f>
        <v/>
      </c>
      <c r="S181" s="9">
        <f>VLOOKUP(OPERAC[[#This Row],[especie]],[1]!ESPECIES[#Data],9,FALSE)</f>
        <v/>
      </c>
    </row>
    <row r="182">
      <c r="A182" s="4" t="n">
        <v>9195</v>
      </c>
      <c r="B182" s="5" t="n">
        <v>44606</v>
      </c>
      <c r="C182" s="13" t="inlineStr">
        <is>
          <t>VTA</t>
        </is>
      </c>
      <c r="D182" s="13" t="n">
        <v>39</v>
      </c>
      <c r="E182" s="10">
        <f>IF(D182&gt;0,VLOOKUP(OPERAC[[#This Row],[COD CART]],[1]!MatrizCortoLargoCyl[#All],3,0),"")</f>
        <v/>
      </c>
      <c r="F182" s="13" t="inlineStr">
        <is>
          <t>TSLA/C/950,00/18-02-22</t>
        </is>
      </c>
      <c r="G182" s="6" t="n">
        <v>-1000</v>
      </c>
      <c r="H182" s="6" t="n">
        <v>2238.275</v>
      </c>
      <c r="I182" s="7">
        <f>-H182/G182</f>
        <v/>
      </c>
      <c r="J182" s="11" t="n">
        <v>44607</v>
      </c>
      <c r="K182" s="6" t="n">
        <v>-1000</v>
      </c>
      <c r="L182" s="6" t="n">
        <v>-7747.83</v>
      </c>
      <c r="M182" s="7">
        <f>IF(N182=0,+L182+H182,0)</f>
        <v/>
      </c>
      <c r="N182" s="7">
        <f>IF((+G182-K182)=0,0,+G182-K182)</f>
        <v/>
      </c>
      <c r="O182" s="7">
        <f>IF(N182=0,0,(L182+H182)/-N182)</f>
        <v/>
      </c>
      <c r="P182" s="7">
        <f>VLOOKUP(OPERAC[[#This Row],[especie]],[1]!ESPECIES[#All],6,0)</f>
        <v/>
      </c>
      <c r="Q182" s="7">
        <f>IF(N182&lt;&gt;0,P182*N182,0)</f>
        <v/>
      </c>
      <c r="R182" s="8">
        <f>IF(Q182&lt;&gt;0,Q182+H182+L182,0)</f>
        <v/>
      </c>
      <c r="S182" s="9">
        <f>VLOOKUP(OPERAC[[#This Row],[especie]],[1]!ESPECIES[#Data],9,FALSE)</f>
        <v/>
      </c>
    </row>
    <row r="183">
      <c r="A183" s="4" t="n">
        <v>1760</v>
      </c>
      <c r="B183" s="5" t="n">
        <v>44609</v>
      </c>
      <c r="C183" s="13" t="inlineStr">
        <is>
          <t>VTA</t>
        </is>
      </c>
      <c r="D183" s="13" t="n">
        <v>39</v>
      </c>
      <c r="E183" s="10">
        <f>IF(D183&gt;0,VLOOKUP(OPERAC[[#This Row],[COD CART]],[1]!MatrizCortoLargoCyl[#All],3,0),"")</f>
        <v/>
      </c>
      <c r="F183" s="13" t="inlineStr">
        <is>
          <t>SMH/V/245,00/25-02-22</t>
        </is>
      </c>
      <c r="G183" s="6" t="n">
        <v>-2000</v>
      </c>
      <c r="H183" s="6" t="n">
        <v>2235.28</v>
      </c>
      <c r="I183" s="7">
        <f>-H183/G183</f>
        <v/>
      </c>
      <c r="J183" s="11" t="n">
        <v>44615</v>
      </c>
      <c r="K183" s="6" t="n">
        <v>-2000</v>
      </c>
      <c r="L183" s="6" t="n">
        <v>-1651.924</v>
      </c>
      <c r="M183" s="7">
        <f>IF(N183=0,+L183+H183,0)</f>
        <v/>
      </c>
      <c r="N183" s="7">
        <f>IF((+G183-K183)=0,0,+G183-K183)</f>
        <v/>
      </c>
      <c r="O183" s="7">
        <f>IF(N183=0,0,(L183+H183)/-N183)</f>
        <v/>
      </c>
      <c r="P183" s="7">
        <f>VLOOKUP(OPERAC[[#This Row],[especie]],[1]!ESPECIES[#All],6,0)</f>
        <v/>
      </c>
      <c r="Q183" s="7">
        <f>IF(N183&lt;&gt;0,P183*N183,0)</f>
        <v/>
      </c>
      <c r="R183" s="8">
        <f>IF(Q183&lt;&gt;0,Q183+H183+L183,0)</f>
        <v/>
      </c>
      <c r="S183" s="9">
        <f>VLOOKUP(OPERAC[[#This Row],[especie]],[1]!ESPECIES[#Data],9,FALSE)</f>
        <v/>
      </c>
    </row>
    <row r="184">
      <c r="A184" s="4" t="n">
        <v>13246</v>
      </c>
      <c r="B184" s="5" t="n">
        <v>44581</v>
      </c>
      <c r="C184" s="13" t="inlineStr">
        <is>
          <t>VTA</t>
        </is>
      </c>
      <c r="D184" s="13" t="n">
        <v>39</v>
      </c>
      <c r="E184" s="10">
        <f>IF(D184&gt;0,VLOOKUP(OPERAC[[#This Row],[COD CART]],[1]!MatrizCortoLargoCyl[#All],3,0),"")</f>
        <v/>
      </c>
      <c r="F184" s="13" t="inlineStr">
        <is>
          <t>DIS/V/155,00/18-02-22</t>
        </is>
      </c>
      <c r="G184" s="6" t="n">
        <v>-300</v>
      </c>
      <c r="H184" s="6" t="n">
        <v>2231.169</v>
      </c>
      <c r="I184" s="7">
        <f>-H184/G184</f>
        <v/>
      </c>
      <c r="J184" s="11" t="n">
        <v>44607</v>
      </c>
      <c r="K184" s="6" t="n">
        <v>-300</v>
      </c>
      <c r="L184" s="6" t="n">
        <v>-652.26</v>
      </c>
      <c r="M184" s="7">
        <f>IF(N184=0,+L184+H184,0)</f>
        <v/>
      </c>
      <c r="N184" s="7">
        <f>IF((+G184-K184)=0,0,+G184-K184)</f>
        <v/>
      </c>
      <c r="O184" s="7">
        <f>IF(N184=0,0,(L184+H184)/-N184)</f>
        <v/>
      </c>
      <c r="P184" s="7">
        <f>VLOOKUP(OPERAC[[#This Row],[especie]],[1]!ESPECIES[#All],6,0)</f>
        <v/>
      </c>
      <c r="Q184" s="7">
        <f>IF(N184&lt;&gt;0,P184*N184,0)</f>
        <v/>
      </c>
      <c r="R184" s="8">
        <f>IF(Q184&lt;&gt;0,Q184+H184+L184,0)</f>
        <v/>
      </c>
      <c r="S184" s="9">
        <f>VLOOKUP(OPERAC[[#This Row],[especie]],[1]!ESPECIES[#Data],9,FALSE)</f>
        <v/>
      </c>
    </row>
    <row r="185">
      <c r="A185" s="4" t="n">
        <v>12619</v>
      </c>
      <c r="B185" s="5" t="n">
        <v>44595</v>
      </c>
      <c r="C185" s="13" t="inlineStr">
        <is>
          <t>VTA</t>
        </is>
      </c>
      <c r="D185" s="13" t="n">
        <v>39</v>
      </c>
      <c r="E185" s="10">
        <f>IF(D185&gt;0,VLOOKUP(OPERAC[[#This Row],[COD CART]],[1]!MatrizCortoLargoCyl[#All],3,0),"")</f>
        <v/>
      </c>
      <c r="F185" s="13" t="inlineStr">
        <is>
          <t>ROKU/V/145,00/11-02-22</t>
        </is>
      </c>
      <c r="G185" s="6" t="n">
        <v>-300</v>
      </c>
      <c r="H185" s="6" t="n">
        <v>2230.779</v>
      </c>
      <c r="I185" s="7">
        <f>-H185/G185</f>
        <v/>
      </c>
      <c r="J185" s="11" t="n">
        <v>44603</v>
      </c>
      <c r="K185" s="6" t="n">
        <v>-300</v>
      </c>
      <c r="L185" s="6" t="n">
        <v>0</v>
      </c>
      <c r="M185" s="7">
        <f>IF(N185=0,+L185+H185,0)</f>
        <v/>
      </c>
      <c r="N185" s="7">
        <f>IF((+G185-K185)=0,0,+G185-K185)</f>
        <v/>
      </c>
      <c r="O185" s="7">
        <f>IF(N185=0,0,(L185+H185)/-N185)</f>
        <v/>
      </c>
      <c r="P185" s="7">
        <f>VLOOKUP(OPERAC[[#This Row],[especie]],[1]!ESPECIES[#All],6,0)</f>
        <v/>
      </c>
      <c r="Q185" s="7">
        <f>IF(N185&lt;&gt;0,P185*N185,0)</f>
        <v/>
      </c>
      <c r="R185" s="8">
        <f>IF(Q185&lt;&gt;0,Q185+H185+L185,0)</f>
        <v/>
      </c>
      <c r="S185" s="9">
        <f>VLOOKUP(OPERAC[[#This Row],[especie]],[1]!ESPECIES[#Data],9,FALSE)</f>
        <v/>
      </c>
    </row>
    <row r="186">
      <c r="A186" s="4" t="n">
        <v>19867</v>
      </c>
      <c r="B186" s="5" t="n">
        <v>44595</v>
      </c>
      <c r="C186" s="13" t="inlineStr">
        <is>
          <t>VTA</t>
        </is>
      </c>
      <c r="D186" s="13" t="n">
        <v>39</v>
      </c>
      <c r="E186" s="10">
        <f>IF(D186&gt;0,VLOOKUP(OPERAC[[#This Row],[COD CART]],[1]!MatrizCortoLargoCyl[#All],3,0),"")</f>
        <v/>
      </c>
      <c r="F186" s="13" t="inlineStr">
        <is>
          <t>ROKU/V/145,00/11-02-22</t>
        </is>
      </c>
      <c r="G186" s="6" t="n">
        <v>-300</v>
      </c>
      <c r="H186" s="6" t="n">
        <v>2230.779</v>
      </c>
      <c r="I186" s="7">
        <f>-H186/G186</f>
        <v/>
      </c>
      <c r="J186" s="11" t="n">
        <v>44603</v>
      </c>
      <c r="K186" s="6" t="n">
        <v>-300</v>
      </c>
      <c r="L186" s="6" t="n">
        <v>0</v>
      </c>
      <c r="M186" s="7">
        <f>IF(N186=0,+L186+H186,0)</f>
        <v/>
      </c>
      <c r="N186" s="7">
        <f>IF((+G186-K186)=0,0,+G186-K186)</f>
        <v/>
      </c>
      <c r="O186" s="7">
        <f>IF(N186=0,0,(L186+H186)/-N186)</f>
        <v/>
      </c>
      <c r="P186" s="7">
        <f>VLOOKUP(OPERAC[[#This Row],[especie]],[1]!ESPECIES[#All],6,0)</f>
        <v/>
      </c>
      <c r="Q186" s="7">
        <f>IF(N186&lt;&gt;0,P186*N186,0)</f>
        <v/>
      </c>
      <c r="R186" s="8">
        <f>IF(Q186&lt;&gt;0,Q186+H186+L186,0)</f>
        <v/>
      </c>
      <c r="S186" s="9">
        <f>VLOOKUP(OPERAC[[#This Row],[especie]],[1]!ESPECIES[#Data],9,FALSE)</f>
        <v/>
      </c>
    </row>
    <row r="187">
      <c r="A187" s="4" t="n">
        <v>13246</v>
      </c>
      <c r="B187" s="5" t="n">
        <v>44609</v>
      </c>
      <c r="C187" s="13" t="inlineStr">
        <is>
          <t>VTA</t>
        </is>
      </c>
      <c r="D187" s="13" t="n">
        <v>39</v>
      </c>
      <c r="E187" s="10">
        <f>IF(D187&gt;0,VLOOKUP(OPERAC[[#This Row],[COD CART]],[1]!MatrizCortoLargoCyl[#All],3,0),"")</f>
        <v/>
      </c>
      <c r="F187" s="13" t="inlineStr">
        <is>
          <t>MELI/V/850,00/25-02-22</t>
        </is>
      </c>
      <c r="G187" s="6" t="n">
        <v>-400</v>
      </c>
      <c r="H187" s="6" t="n">
        <v>2222.08</v>
      </c>
      <c r="I187" s="7">
        <f>-H187/G187</f>
        <v/>
      </c>
      <c r="J187" s="11" t="n">
        <v>44610</v>
      </c>
      <c r="K187" s="6" t="n">
        <v>-400</v>
      </c>
      <c r="L187" s="6" t="n">
        <v>-9679.596</v>
      </c>
      <c r="M187" s="7">
        <f>IF(N187=0,+L187+H187,0)</f>
        <v/>
      </c>
      <c r="N187" s="7">
        <f>IF((+G187-K187)=0,0,+G187-K187)</f>
        <v/>
      </c>
      <c r="O187" s="7">
        <f>IF(N187=0,0,(L187+H187)/-N187)</f>
        <v/>
      </c>
      <c r="P187" s="7">
        <f>VLOOKUP(OPERAC[[#This Row],[especie]],[1]!ESPECIES[#All],6,0)</f>
        <v/>
      </c>
      <c r="Q187" s="7">
        <f>IF(N187&lt;&gt;0,P187*N187,0)</f>
        <v/>
      </c>
      <c r="R187" s="8">
        <f>IF(Q187&lt;&gt;0,Q187+H187+L187,0)</f>
        <v/>
      </c>
      <c r="S187" s="9">
        <f>VLOOKUP(OPERAC[[#This Row],[especie]],[1]!ESPECIES[#Data],9,FALSE)</f>
        <v/>
      </c>
    </row>
    <row r="188">
      <c r="A188" s="4" t="n">
        <v>16786</v>
      </c>
      <c r="B188" s="5" t="n">
        <v>44690</v>
      </c>
      <c r="C188" s="13" t="inlineStr">
        <is>
          <t>VTA</t>
        </is>
      </c>
      <c r="D188" s="13" t="n">
        <v>39</v>
      </c>
      <c r="E188" s="10">
        <f>IF(D188&gt;0,VLOOKUP(OPERAC[[#This Row],[COD CART]],[1]!MatrizCortoLargoCyl[#All],3,0),"")</f>
        <v/>
      </c>
      <c r="F188" s="13" t="inlineStr">
        <is>
          <t>TSLA/V/700,00/13-05-22</t>
        </is>
      </c>
      <c r="G188" s="6" t="n">
        <v>-700</v>
      </c>
      <c r="H188" s="6" t="n">
        <v>2214.0195</v>
      </c>
      <c r="I188" s="7">
        <f>-H188/G188</f>
        <v/>
      </c>
      <c r="J188" s="11" t="n">
        <v>44693</v>
      </c>
      <c r="K188" s="6" t="n">
        <v>-700</v>
      </c>
      <c r="L188" s="6" t="n">
        <v>-22489.6</v>
      </c>
      <c r="M188" s="7">
        <f>IF(N188=0,+L188+H188,0)</f>
        <v/>
      </c>
      <c r="N188" s="7">
        <f>IF((+G188-K188)=0,0,+G188-K188)</f>
        <v/>
      </c>
      <c r="O188" s="7">
        <f>IF(N188=0,0,(L188+H188)/-N188)</f>
        <v/>
      </c>
      <c r="P188" s="7">
        <f>VLOOKUP(OPERAC[[#This Row],[especie]],[1]!ESPECIES[#All],6,0)</f>
        <v/>
      </c>
      <c r="Q188" s="7">
        <f>IF(N188&lt;&gt;0,P188*N188,0)</f>
        <v/>
      </c>
      <c r="R188" s="8">
        <f>IF(Q188&lt;&gt;0,Q188+H188+L188,0)</f>
        <v/>
      </c>
      <c r="S188" s="9">
        <f>VLOOKUP(OPERAC[[#This Row],[especie]],[1]!ESPECIES[#Data],9,FALSE)</f>
        <v/>
      </c>
    </row>
    <row r="189">
      <c r="A189" s="4" t="n">
        <v>18651</v>
      </c>
      <c r="B189" s="5" t="n">
        <v>44579</v>
      </c>
      <c r="C189" s="13" t="inlineStr">
        <is>
          <t>VTA</t>
        </is>
      </c>
      <c r="D189" s="13" t="n">
        <v>39</v>
      </c>
      <c r="E189" s="10">
        <f>IF(D189&gt;0,VLOOKUP(OPERAC[[#This Row],[COD CART]],[1]!MatrizCortoLargoCyl[#All],3,0),"")</f>
        <v/>
      </c>
      <c r="F189" s="13" t="inlineStr">
        <is>
          <t>SOLO/V/3,50/25-02-22</t>
        </is>
      </c>
      <c r="G189" s="6" t="n">
        <v>-1600</v>
      </c>
      <c r="H189" s="6" t="n">
        <v>2210.97184</v>
      </c>
      <c r="I189" s="7">
        <f>-H189/G189</f>
        <v/>
      </c>
      <c r="J189" s="11" t="n">
        <v>44608</v>
      </c>
      <c r="K189" s="6">
        <f>+OPERAC[[#This Row],[cantidad]]</f>
        <v/>
      </c>
      <c r="L189" s="6" t="n">
        <v>-2232.064</v>
      </c>
      <c r="M189" s="7">
        <f>IF(N189=0,+L189+H189,0)</f>
        <v/>
      </c>
      <c r="N189" s="7">
        <f>IF((+G189-K189)=0,0,+G189-K189)</f>
        <v/>
      </c>
      <c r="O189" s="7">
        <f>IF(N189=0,0,(L189+H189)/-N189)</f>
        <v/>
      </c>
      <c r="P189" s="7">
        <f>VLOOKUP(OPERAC[[#This Row],[especie]],[1]!ESPECIES[#All],6,0)</f>
        <v/>
      </c>
      <c r="Q189" s="7">
        <f>IF(N189&lt;&gt;0,P189*N189,0)</f>
        <v/>
      </c>
      <c r="R189" s="8">
        <f>IF(Q189&lt;&gt;0,Q189+H189+L189,0)</f>
        <v/>
      </c>
      <c r="S189" s="9">
        <f>VLOOKUP(OPERAC[[#This Row],[especie]],[1]!ESPECIES[#Data],9,FALSE)</f>
        <v/>
      </c>
    </row>
    <row r="190">
      <c r="A190" s="4" t="n">
        <v>19920</v>
      </c>
      <c r="B190" s="5" t="n">
        <v>44579</v>
      </c>
      <c r="C190" s="13" t="inlineStr">
        <is>
          <t>VTA</t>
        </is>
      </c>
      <c r="D190" s="13" t="n">
        <v>39</v>
      </c>
      <c r="E190" s="10">
        <f>IF(D190&gt;0,VLOOKUP(OPERAC[[#This Row],[COD CART]],[1]!MatrizCortoLargoCyl[#All],3,0),"")</f>
        <v/>
      </c>
      <c r="F190" s="13" t="inlineStr">
        <is>
          <t>SOLO/V/3,50/25-02-22</t>
        </is>
      </c>
      <c r="G190" s="6" t="n">
        <v>-1600</v>
      </c>
      <c r="H190" s="6" t="n">
        <v>2210.97184</v>
      </c>
      <c r="I190" s="7">
        <f>-H190/G190</f>
        <v/>
      </c>
      <c r="J190" s="11" t="n">
        <v>44608</v>
      </c>
      <c r="K190" s="6">
        <f>+OPERAC[[#This Row],[cantidad]]</f>
        <v/>
      </c>
      <c r="L190" s="6" t="n">
        <v>-2232.064</v>
      </c>
      <c r="M190" s="7">
        <f>IF(N190=0,+L190+H190,0)</f>
        <v/>
      </c>
      <c r="N190" s="7">
        <f>IF((+G190-K190)=0,0,+G190-K190)</f>
        <v/>
      </c>
      <c r="O190" s="7">
        <f>IF(N190=0,0,(L190+H190)/-N190)</f>
        <v/>
      </c>
      <c r="P190" s="7">
        <f>VLOOKUP(OPERAC[[#This Row],[especie]],[1]!ESPECIES[#All],6,0)</f>
        <v/>
      </c>
      <c r="Q190" s="7">
        <f>IF(N190&lt;&gt;0,P190*N190,0)</f>
        <v/>
      </c>
      <c r="R190" s="8">
        <f>IF(Q190&lt;&gt;0,Q190+H190+L190,0)</f>
        <v/>
      </c>
      <c r="S190" s="9">
        <f>VLOOKUP(OPERAC[[#This Row],[especie]],[1]!ESPECIES[#Data],9,FALSE)</f>
        <v/>
      </c>
    </row>
    <row r="191">
      <c r="A191" s="4" t="n">
        <v>1792</v>
      </c>
      <c r="B191" s="5" t="n">
        <v>44588</v>
      </c>
      <c r="C191" s="13" t="inlineStr">
        <is>
          <t>VTA</t>
        </is>
      </c>
      <c r="D191" s="13" t="n">
        <v>39</v>
      </c>
      <c r="E191" s="10">
        <f>IF(D191&gt;0,VLOOKUP(OPERAC[[#This Row],[COD CART]],[1]!MatrizCortoLargoCyl[#All],3,0),"")</f>
        <v/>
      </c>
      <c r="F191" s="13" t="inlineStr">
        <is>
          <t>SMH/V/255,00/04-02-22</t>
        </is>
      </c>
      <c r="G191" s="6" t="n">
        <v>-300</v>
      </c>
      <c r="H191" s="6" t="n">
        <v>2200.0335</v>
      </c>
      <c r="I191" s="7">
        <f>-H191/G191</f>
        <v/>
      </c>
      <c r="J191" s="11" t="n">
        <v>44596</v>
      </c>
      <c r="K191" s="6" t="n">
        <v>-300</v>
      </c>
      <c r="L191" s="6" t="n">
        <v>-15.663</v>
      </c>
      <c r="M191" s="7">
        <f>IF(N191=0,+L191+H191,0)</f>
        <v/>
      </c>
      <c r="N191" s="7">
        <f>IF((+G191-K191)=0,0,+G191-K191)</f>
        <v/>
      </c>
      <c r="O191" s="7">
        <f>IF(N191=0,0,(L191+H191)/-N191)</f>
        <v/>
      </c>
      <c r="P191" s="7">
        <f>VLOOKUP(OPERAC[[#This Row],[especie]],[1]!ESPECIES[#All],6,0)</f>
        <v/>
      </c>
      <c r="Q191" s="7">
        <f>IF(N191&lt;&gt;0,P191*N191,0)</f>
        <v/>
      </c>
      <c r="R191" s="8">
        <f>IF(Q191&lt;&gt;0,Q191+H191+L191,0)</f>
        <v/>
      </c>
      <c r="S191" s="9">
        <f>VLOOKUP(OPERAC[[#This Row],[especie]],[1]!ESPECIES[#Data],9,FALSE)</f>
        <v/>
      </c>
    </row>
    <row r="192">
      <c r="A192" s="4" t="n">
        <v>7879</v>
      </c>
      <c r="B192" s="5" t="n">
        <v>44588</v>
      </c>
      <c r="C192" s="13" t="inlineStr">
        <is>
          <t>VTA</t>
        </is>
      </c>
      <c r="D192" s="13" t="n">
        <v>39</v>
      </c>
      <c r="E192" s="10">
        <f>IF(D192&gt;0,VLOOKUP(OPERAC[[#This Row],[COD CART]],[1]!MatrizCortoLargoCyl[#All],3,0),"")</f>
        <v/>
      </c>
      <c r="F192" s="13" t="inlineStr">
        <is>
          <t>SMH/V/255,00/04-02-22</t>
        </is>
      </c>
      <c r="G192" s="6" t="n">
        <v>-300</v>
      </c>
      <c r="H192" s="6" t="n">
        <v>2200.0335</v>
      </c>
      <c r="I192" s="7">
        <f>-H192/G192</f>
        <v/>
      </c>
      <c r="J192" s="11" t="n">
        <v>44596</v>
      </c>
      <c r="K192" s="6" t="n">
        <v>-300</v>
      </c>
      <c r="L192" s="6" t="n">
        <v>-9.614999999999998</v>
      </c>
      <c r="M192" s="7">
        <f>IF(N192=0,+L192+H192,0)</f>
        <v/>
      </c>
      <c r="N192" s="7">
        <f>IF((+G192-K192)=0,0,+G192-K192)</f>
        <v/>
      </c>
      <c r="O192" s="7">
        <f>IF(N192=0,0,(L192+H192)/-N192)</f>
        <v/>
      </c>
      <c r="P192" s="7">
        <f>VLOOKUP(OPERAC[[#This Row],[especie]],[1]!ESPECIES[#All],6,0)</f>
        <v/>
      </c>
      <c r="Q192" s="7">
        <f>IF(N192&lt;&gt;0,P192*N192,0)</f>
        <v/>
      </c>
      <c r="R192" s="8">
        <f>IF(Q192&lt;&gt;0,Q192+H192+L192,0)</f>
        <v/>
      </c>
      <c r="S192" s="9">
        <f>VLOOKUP(OPERAC[[#This Row],[especie]],[1]!ESPECIES[#Data],9,FALSE)</f>
        <v/>
      </c>
    </row>
    <row r="193">
      <c r="A193" s="4" t="n">
        <v>11168</v>
      </c>
      <c r="B193" s="5" t="n">
        <v>44588</v>
      </c>
      <c r="C193" s="13" t="inlineStr">
        <is>
          <t>VTA</t>
        </is>
      </c>
      <c r="D193" s="13" t="n">
        <v>39</v>
      </c>
      <c r="E193" s="10">
        <f>IF(D193&gt;0,VLOOKUP(OPERAC[[#This Row],[COD CART]],[1]!MatrizCortoLargoCyl[#All],3,0),"")</f>
        <v/>
      </c>
      <c r="F193" s="13" t="inlineStr">
        <is>
          <t>SMH/V/255,00/04-02-22</t>
        </is>
      </c>
      <c r="G193" s="6" t="n">
        <v>-300</v>
      </c>
      <c r="H193" s="6" t="n">
        <v>2200.0335</v>
      </c>
      <c r="I193" s="7">
        <f>-H193/G193</f>
        <v/>
      </c>
      <c r="J193" s="11" t="n">
        <v>44596</v>
      </c>
      <c r="K193" s="6" t="n">
        <v>-300</v>
      </c>
      <c r="L193" s="6" t="n">
        <v>-9.614999999999998</v>
      </c>
      <c r="M193" s="7">
        <f>IF(N193=0,+L193+H193,0)</f>
        <v/>
      </c>
      <c r="N193" s="7">
        <f>IF((+G193-K193)=0,0,+G193-K193)</f>
        <v/>
      </c>
      <c r="O193" s="7">
        <f>IF(N193=0,0,(L193+H193)/-N193)</f>
        <v/>
      </c>
      <c r="P193" s="7">
        <f>VLOOKUP(OPERAC[[#This Row],[especie]],[1]!ESPECIES[#All],6,0)</f>
        <v/>
      </c>
      <c r="Q193" s="7">
        <f>IF(N193&lt;&gt;0,P193*N193,0)</f>
        <v/>
      </c>
      <c r="R193" s="8">
        <f>IF(Q193&lt;&gt;0,Q193+H193+L193,0)</f>
        <v/>
      </c>
      <c r="S193" s="9">
        <f>VLOOKUP(OPERAC[[#This Row],[especie]],[1]!ESPECIES[#Data],9,FALSE)</f>
        <v/>
      </c>
    </row>
    <row r="194">
      <c r="A194" s="4" t="n">
        <v>16786</v>
      </c>
      <c r="B194" s="5" t="n">
        <v>44588</v>
      </c>
      <c r="C194" s="13" t="inlineStr">
        <is>
          <t>VTA</t>
        </is>
      </c>
      <c r="D194" s="13" t="n">
        <v>39</v>
      </c>
      <c r="E194" s="10">
        <f>IF(D194&gt;0,VLOOKUP(OPERAC[[#This Row],[COD CART]],[1]!MatrizCortoLargoCyl[#All],3,0),"")</f>
        <v/>
      </c>
      <c r="F194" s="13" t="inlineStr">
        <is>
          <t>SMH/V/255,00/04-02-22</t>
        </is>
      </c>
      <c r="G194" s="6" t="n">
        <v>-300</v>
      </c>
      <c r="H194" s="6" t="n">
        <v>2200.0335</v>
      </c>
      <c r="I194" s="7">
        <f>-H194/G194</f>
        <v/>
      </c>
      <c r="J194" s="11" t="n">
        <v>44596</v>
      </c>
      <c r="K194" s="6" t="n">
        <v>-300</v>
      </c>
      <c r="L194" s="6" t="n">
        <v>-16.025</v>
      </c>
      <c r="M194" s="7">
        <f>IF(N194=0,+L194+H194,0)</f>
        <v/>
      </c>
      <c r="N194" s="7">
        <f>IF((+G194-K194)=0,0,+G194-K194)</f>
        <v/>
      </c>
      <c r="O194" s="7">
        <f>IF(N194=0,0,(L194+H194)/-N194)</f>
        <v/>
      </c>
      <c r="P194" s="7">
        <f>VLOOKUP(OPERAC[[#This Row],[especie]],[1]!ESPECIES[#All],6,0)</f>
        <v/>
      </c>
      <c r="Q194" s="7">
        <f>IF(N194&lt;&gt;0,P194*N194,0)</f>
        <v/>
      </c>
      <c r="R194" s="8">
        <f>IF(Q194&lt;&gt;0,Q194+H194+L194,0)</f>
        <v/>
      </c>
      <c r="S194" s="9">
        <f>VLOOKUP(OPERAC[[#This Row],[especie]],[1]!ESPECIES[#Data],9,FALSE)</f>
        <v/>
      </c>
    </row>
    <row r="195">
      <c r="A195" s="4" t="n">
        <v>16833</v>
      </c>
      <c r="B195" s="5" t="n">
        <v>44588</v>
      </c>
      <c r="C195" s="13" t="inlineStr">
        <is>
          <t>VTA</t>
        </is>
      </c>
      <c r="D195" s="13" t="n">
        <v>39</v>
      </c>
      <c r="E195" s="10">
        <f>IF(D195&gt;0,VLOOKUP(OPERAC[[#This Row],[COD CART]],[1]!MatrizCortoLargoCyl[#All],3,0),"")</f>
        <v/>
      </c>
      <c r="F195" s="13" t="inlineStr">
        <is>
          <t>SMH/V/255,00/04-02-22</t>
        </is>
      </c>
      <c r="G195" s="6" t="n">
        <v>-300</v>
      </c>
      <c r="H195" s="6" t="n">
        <v>2200.0335</v>
      </c>
      <c r="I195" s="7">
        <f>-H195/G195</f>
        <v/>
      </c>
      <c r="J195" s="11" t="n">
        <v>44596</v>
      </c>
      <c r="K195" s="6" t="n">
        <v>-300</v>
      </c>
      <c r="L195" s="6" t="n">
        <v>-9.614999999999998</v>
      </c>
      <c r="M195" s="7">
        <f>IF(N195=0,+L195+H195,0)</f>
        <v/>
      </c>
      <c r="N195" s="7">
        <f>IF((+G195-K195)=0,0,+G195-K195)</f>
        <v/>
      </c>
      <c r="O195" s="7">
        <f>IF(N195=0,0,(L195+H195)/-N195)</f>
        <v/>
      </c>
      <c r="P195" s="7">
        <f>VLOOKUP(OPERAC[[#This Row],[especie]],[1]!ESPECIES[#All],6,0)</f>
        <v/>
      </c>
      <c r="Q195" s="7">
        <f>IF(N195&lt;&gt;0,P195*N195,0)</f>
        <v/>
      </c>
      <c r="R195" s="8">
        <f>IF(Q195&lt;&gt;0,Q195+H195+L195,0)</f>
        <v/>
      </c>
      <c r="S195" s="9">
        <f>VLOOKUP(OPERAC[[#This Row],[especie]],[1]!ESPECIES[#Data],9,FALSE)</f>
        <v/>
      </c>
    </row>
    <row r="196">
      <c r="A196" s="4" t="n">
        <v>13180</v>
      </c>
      <c r="B196" s="5" t="n">
        <v>44340</v>
      </c>
      <c r="C196" s="13" t="inlineStr">
        <is>
          <t>VTA</t>
        </is>
      </c>
      <c r="D196" s="13" t="n">
        <v>39</v>
      </c>
      <c r="E196" s="10">
        <f>IF(D196&gt;0,VLOOKUP(OPERAC[[#This Row],[COD CART]],[1]!MatrizCortoLargoCyl[#All],3,0),"")</f>
        <v/>
      </c>
      <c r="F196" s="13" t="inlineStr">
        <is>
          <t>GLD/V/130,00/20-01-23</t>
        </is>
      </c>
      <c r="G196" s="6" t="n">
        <v>-1000</v>
      </c>
      <c r="H196" s="6" t="n">
        <v>2196.8</v>
      </c>
      <c r="I196" s="7">
        <f>-H196/G196</f>
        <v/>
      </c>
      <c r="J196" s="11" t="n"/>
      <c r="K196" s="6" t="n"/>
      <c r="L196" s="6" t="n"/>
      <c r="M196" s="7">
        <f>IF(N196=0,+L196+H196,0)</f>
        <v/>
      </c>
      <c r="N196" s="7">
        <f>IF((+G196-K196)=0,0,+G196-K196)</f>
        <v/>
      </c>
      <c r="O196" s="7">
        <f>IF(N196=0,0,(L196+H196)/-N196)</f>
        <v/>
      </c>
      <c r="P196" s="7">
        <f>VLOOKUP(OPERAC[[#This Row],[especie]],[1]!ESPECIES[#All],6,0)</f>
        <v/>
      </c>
      <c r="Q196" s="7">
        <f>IF(N196&lt;&gt;0,P196*N196,0)</f>
        <v/>
      </c>
      <c r="R196" s="8">
        <f>IF(Q196&lt;&gt;0,Q196+H196+L196,0)</f>
        <v/>
      </c>
      <c r="S196" s="9">
        <f>VLOOKUP(OPERAC[[#This Row],[especie]],[1]!ESPECIES[#Data],9,FALSE)</f>
        <v/>
      </c>
    </row>
    <row r="197">
      <c r="A197" s="4" t="n">
        <v>3728</v>
      </c>
      <c r="B197" s="5" t="n">
        <v>44635</v>
      </c>
      <c r="C197" s="13" t="inlineStr">
        <is>
          <t>VTA</t>
        </is>
      </c>
      <c r="D197" s="13" t="n">
        <v>39</v>
      </c>
      <c r="E197" s="10">
        <f>IF(D197&gt;0,VLOOKUP(OPERAC[[#This Row],[COD CART]],[1]!MatrizCortoLargoCyl[#All],3,0),"")</f>
        <v/>
      </c>
      <c r="F197" s="13" t="inlineStr">
        <is>
          <t>TSLA/V/650,00/18-03-22</t>
        </is>
      </c>
      <c r="G197" s="6" t="n">
        <v>-2000</v>
      </c>
      <c r="H197" s="6" t="n">
        <v>2195.08</v>
      </c>
      <c r="I197" s="7">
        <f>-H197/G197</f>
        <v/>
      </c>
      <c r="J197" s="11" t="n">
        <v>44636</v>
      </c>
      <c r="K197" s="6" t="n">
        <v>-2000</v>
      </c>
      <c r="L197" s="6" t="n">
        <v>-264.13</v>
      </c>
      <c r="M197" s="7">
        <f>IF(N197=0,+L197+H197,0)</f>
        <v/>
      </c>
      <c r="N197" s="7">
        <f>IF((+G197-K197)=0,0,+G197-K197)</f>
        <v/>
      </c>
      <c r="O197" s="7">
        <f>IF(N197=0,0,(L197+H197)/-N197)</f>
        <v/>
      </c>
      <c r="P197" s="7">
        <f>VLOOKUP(OPERAC[[#This Row],[especie]],[1]!ESPECIES[#All],6,0)</f>
        <v/>
      </c>
      <c r="Q197" s="7">
        <f>IF(N197&lt;&gt;0,P197*N197,0)</f>
        <v/>
      </c>
      <c r="R197" s="8">
        <f>IF(Q197&lt;&gt;0,Q197+H197+L197,0)</f>
        <v/>
      </c>
      <c r="S197" s="9">
        <f>VLOOKUP(OPERAC[[#This Row],[especie]],[1]!ESPECIES[#Data],9,FALSE)</f>
        <v/>
      </c>
    </row>
    <row r="198">
      <c r="A198" s="4" t="n">
        <v>3728</v>
      </c>
      <c r="B198" s="5" t="n">
        <v>44635</v>
      </c>
      <c r="C198" s="13" t="inlineStr">
        <is>
          <t>VTA</t>
        </is>
      </c>
      <c r="D198" s="13" t="n">
        <v>39</v>
      </c>
      <c r="E198" s="10">
        <f>IF(D198&gt;0,VLOOKUP(OPERAC[[#This Row],[COD CART]],[1]!MatrizCortoLargoCyl[#All],3,0),"")</f>
        <v/>
      </c>
      <c r="F198" s="13" t="inlineStr">
        <is>
          <t>TSLA/C/875,00/18-03-22</t>
        </is>
      </c>
      <c r="G198" s="6" t="n">
        <v>-2000</v>
      </c>
      <c r="H198" s="6" t="n">
        <v>2195.08</v>
      </c>
      <c r="I198" s="7">
        <f>-H198/G198</f>
        <v/>
      </c>
      <c r="J198" s="11" t="n">
        <v>44636</v>
      </c>
      <c r="K198" s="6" t="n">
        <v>-2000</v>
      </c>
      <c r="L198" s="6" t="n">
        <v>-3608.98</v>
      </c>
      <c r="M198" s="7">
        <f>IF(N198=0,+L198+H198,0)</f>
        <v/>
      </c>
      <c r="N198" s="7">
        <f>IF((+G198-K198)=0,0,+G198-K198)</f>
        <v/>
      </c>
      <c r="O198" s="7">
        <f>IF(N198=0,0,(L198+H198)/-N198)</f>
        <v/>
      </c>
      <c r="P198" s="7">
        <f>VLOOKUP(OPERAC[[#This Row],[especie]],[1]!ESPECIES[#All],6,0)</f>
        <v/>
      </c>
      <c r="Q198" s="7">
        <f>IF(N198&lt;&gt;0,P198*N198,0)</f>
        <v/>
      </c>
      <c r="R198" s="8">
        <f>IF(Q198&lt;&gt;0,Q198+H198+L198,0)</f>
        <v/>
      </c>
      <c r="S198" s="9">
        <f>VLOOKUP(OPERAC[[#This Row],[especie]],[1]!ESPECIES[#Data],9,FALSE)</f>
        <v/>
      </c>
    </row>
    <row r="199">
      <c r="A199" s="4" t="n">
        <v>2255</v>
      </c>
      <c r="B199" s="5" t="n">
        <v>44713</v>
      </c>
      <c r="C199" s="13" t="inlineStr">
        <is>
          <t>VTA</t>
        </is>
      </c>
      <c r="D199" s="13" t="n">
        <v>39</v>
      </c>
      <c r="E199" s="10">
        <f>IF(D199&gt;0,VLOOKUP(OPERAC[[#This Row],[COD CART]],[1]!MatrizCortoLargoCyl[#All],3,0),"")</f>
        <v/>
      </c>
      <c r="F199" s="13" t="inlineStr">
        <is>
          <t>TSLA/V/655,00/03-06-22</t>
        </is>
      </c>
      <c r="G199" s="6" t="n">
        <v>-2000</v>
      </c>
      <c r="H199" s="6" t="n">
        <v>2190.1</v>
      </c>
      <c r="I199" s="7">
        <f>-H199/G199</f>
        <v/>
      </c>
      <c r="J199" s="5" t="n">
        <v>44715</v>
      </c>
      <c r="K199" s="6" t="n">
        <v>-2000</v>
      </c>
      <c r="L199" s="6" t="n">
        <v>-180.81</v>
      </c>
      <c r="M199" s="7">
        <f>IF(N199=0,+L199+H199,0)</f>
        <v/>
      </c>
      <c r="N199" s="7">
        <f>IF((+G199-K199)=0,0,+G199-K199)</f>
        <v/>
      </c>
      <c r="O199" s="7">
        <f>IF(N199=0,0,(L199+H199)/-N199)</f>
        <v/>
      </c>
      <c r="P199" s="7">
        <f>VLOOKUP(OPERAC[[#This Row],[especie]],[1]!ESPECIES[#All],6,0)</f>
        <v/>
      </c>
      <c r="Q199" s="7">
        <f>IF(N199&lt;&gt;0,P199*N199,0)</f>
        <v/>
      </c>
      <c r="R199" s="8">
        <f>IF(Q199&lt;&gt;0,Q199+H199+L199,0)</f>
        <v/>
      </c>
      <c r="S199" s="9">
        <f>VLOOKUP(OPERAC[[#This Row],[especie]],[1]!ESPECIES[#Data],9,FALSE)</f>
        <v/>
      </c>
    </row>
    <row r="200">
      <c r="A200" s="4" t="n">
        <v>16786</v>
      </c>
      <c r="B200" s="5" t="n">
        <v>44664</v>
      </c>
      <c r="C200" s="13" t="inlineStr">
        <is>
          <t>VTA</t>
        </is>
      </c>
      <c r="D200" s="13" t="n">
        <v>39</v>
      </c>
      <c r="E200" s="10">
        <f>IF(D200&gt;0,VLOOKUP(OPERAC[[#This Row],[COD CART]],[1]!MatrizCortoLargoCyl[#All],3,0),"")</f>
        <v/>
      </c>
      <c r="F200" s="13" t="inlineStr">
        <is>
          <t>UPST/V/80,00/22-04-22</t>
        </is>
      </c>
      <c r="G200" s="6" t="n">
        <v>-700</v>
      </c>
      <c r="H200" s="6" t="n">
        <v>2186.258</v>
      </c>
      <c r="I200" s="7">
        <f>-H200/G200</f>
        <v/>
      </c>
      <c r="J200" s="11" t="n">
        <v>44673</v>
      </c>
      <c r="K200" s="6" t="n">
        <v>-700</v>
      </c>
      <c r="L200" s="6" t="n">
        <v>-2753.205</v>
      </c>
      <c r="M200" s="7">
        <f>IF(N200=0,+L200+H200,0)</f>
        <v/>
      </c>
      <c r="N200" s="7">
        <f>IF((+G200-K200)=0,0,+G200-K200)</f>
        <v/>
      </c>
      <c r="O200" s="7">
        <f>IF(N200=0,0,(L200+H200)/-N200)</f>
        <v/>
      </c>
      <c r="P200" s="7">
        <f>VLOOKUP(OPERAC[[#This Row],[especie]],[1]!ESPECIES[#All],6,0)</f>
        <v/>
      </c>
      <c r="Q200" s="7">
        <f>IF(N200&lt;&gt;0,P200*N200,0)</f>
        <v/>
      </c>
      <c r="R200" s="8">
        <f>IF(Q200&lt;&gt;0,Q200+H200+L200,0)</f>
        <v/>
      </c>
      <c r="S200" s="9">
        <f>VLOOKUP(OPERAC[[#This Row],[especie]],[1]!ESPECIES[#Data],9,FALSE)</f>
        <v/>
      </c>
    </row>
    <row r="201">
      <c r="A201" s="4" t="n">
        <v>16780</v>
      </c>
      <c r="B201" s="5" t="n">
        <v>44678</v>
      </c>
      <c r="C201" s="13" t="inlineStr">
        <is>
          <t>VTA</t>
        </is>
      </c>
      <c r="D201" s="13" t="n">
        <v>39</v>
      </c>
      <c r="E201" s="10">
        <f>IF(D201&gt;0,VLOOKUP(OPERAC[[#This Row],[COD CART]],[1]!MatrizCortoLargoCyl[#All],3,0),"")</f>
        <v/>
      </c>
      <c r="F201" s="13" t="inlineStr">
        <is>
          <t>TSLA/V/775,00/29-04-22</t>
        </is>
      </c>
      <c r="G201" s="6" t="n">
        <v>-2000</v>
      </c>
      <c r="H201" s="6" t="n">
        <v>2181.3</v>
      </c>
      <c r="I201" s="7">
        <f>-H201/G201</f>
        <v/>
      </c>
      <c r="J201" s="11" t="n">
        <v>44680</v>
      </c>
      <c r="K201" s="6" t="n">
        <v>-2000</v>
      </c>
      <c r="L201" s="6" t="n">
        <v>0</v>
      </c>
      <c r="M201" s="7">
        <f>IF(N201=0,+L201+H201,0)</f>
        <v/>
      </c>
      <c r="N201" s="7">
        <f>IF((+G201-K201)=0,0,+G201-K201)</f>
        <v/>
      </c>
      <c r="O201" s="7">
        <f>IF(N201=0,0,(L201+H201)/-N201)</f>
        <v/>
      </c>
      <c r="P201" s="7">
        <f>VLOOKUP(OPERAC[[#This Row],[especie]],[1]!ESPECIES[#All],6,0)</f>
        <v/>
      </c>
      <c r="Q201" s="7">
        <f>IF(N201&lt;&gt;0,P201*N201,0)</f>
        <v/>
      </c>
      <c r="R201" s="8">
        <f>IF(Q201&lt;&gt;0,Q201+H201+L201,0)</f>
        <v/>
      </c>
      <c r="S201" s="9">
        <f>VLOOKUP(OPERAC[[#This Row],[especie]],[1]!ESPECIES[#Data],9,FALSE)</f>
        <v/>
      </c>
    </row>
    <row r="202">
      <c r="A202" s="4" t="n">
        <v>15195</v>
      </c>
      <c r="B202" s="5" t="n">
        <v>44571</v>
      </c>
      <c r="C202" s="13" t="inlineStr">
        <is>
          <t>VTA</t>
        </is>
      </c>
      <c r="D202" s="13" t="n">
        <v>39</v>
      </c>
      <c r="E202" s="10">
        <f>IF(D202&gt;0,VLOOKUP(OPERAC[[#This Row],[COD CART]],[1]!MatrizCortoLargoCyl[#All],3,0),"")</f>
        <v/>
      </c>
      <c r="F202" s="13" t="inlineStr">
        <is>
          <t>BYND/V/65,00/14-01-22</t>
        </is>
      </c>
      <c r="G202" s="6" t="n">
        <v>-1000</v>
      </c>
      <c r="H202" s="6" t="n">
        <v>2128.86</v>
      </c>
      <c r="I202" s="7">
        <f>-H202/G202</f>
        <v/>
      </c>
      <c r="J202" s="11" t="n">
        <v>44575</v>
      </c>
      <c r="K202" s="6" t="n">
        <v>-1000</v>
      </c>
      <c r="L202" s="6" t="n">
        <v>-279.07</v>
      </c>
      <c r="M202" s="7">
        <f>IF(N202=0,+L202+H202,0)</f>
        <v/>
      </c>
      <c r="N202" s="7">
        <f>IF((+G202-K202)=0,0,+G202-K202)</f>
        <v/>
      </c>
      <c r="O202" s="7">
        <f>IF(N202=0,0,(L202+H202)/-N202)</f>
        <v/>
      </c>
      <c r="P202" s="7">
        <f>VLOOKUP(OPERAC[[#This Row],[especie]],[1]!ESPECIES[#All],6,0)</f>
        <v/>
      </c>
      <c r="Q202" s="7">
        <f>IF(N202&lt;&gt;0,P202*N202,0)</f>
        <v/>
      </c>
      <c r="R202" s="8">
        <f>IF(Q202&lt;&gt;0,Q202+H202+L202,0)</f>
        <v/>
      </c>
      <c r="S202" s="9">
        <f>VLOOKUP(OPERAC[[#This Row],[especie]],[1]!ESPECIES[#Data],9,FALSE)</f>
        <v/>
      </c>
    </row>
    <row r="203">
      <c r="A203" s="4" t="n">
        <v>16786</v>
      </c>
      <c r="B203" s="5" t="n">
        <v>44662</v>
      </c>
      <c r="C203" s="13" t="inlineStr">
        <is>
          <t>VTA</t>
        </is>
      </c>
      <c r="D203" s="13" t="n">
        <v>39</v>
      </c>
      <c r="E203" s="10">
        <f>IF(D203&gt;0,VLOOKUP(OPERAC[[#This Row],[COD CART]],[1]!MatrizCortoLargoCyl[#All],3,0),"")</f>
        <v/>
      </c>
      <c r="F203" s="13" t="inlineStr">
        <is>
          <t>UPST/V/85,00/14-04-22</t>
        </is>
      </c>
      <c r="G203" s="6" t="n">
        <v>-1000</v>
      </c>
      <c r="H203" s="6" t="n">
        <v>2128.78</v>
      </c>
      <c r="I203" s="7">
        <f>-H203/G203</f>
        <v/>
      </c>
      <c r="J203" s="11" t="n">
        <v>44664</v>
      </c>
      <c r="K203" s="6" t="n">
        <v>-1000</v>
      </c>
      <c r="L203" s="6" t="n">
        <v>-2470.825</v>
      </c>
      <c r="M203" s="7">
        <f>IF(N203=0,+L203+H203,0)</f>
        <v/>
      </c>
      <c r="N203" s="7">
        <f>IF((+G203-K203)=0,0,+G203-K203)</f>
        <v/>
      </c>
      <c r="O203" s="7">
        <f>IF(N203=0,0,(L203+H203)/-N203)</f>
        <v/>
      </c>
      <c r="P203" s="7">
        <f>VLOOKUP(OPERAC[[#This Row],[especie]],[1]!ESPECIES[#All],6,0)</f>
        <v/>
      </c>
      <c r="Q203" s="7">
        <f>IF(N203&lt;&gt;0,P203*N203,0)</f>
        <v/>
      </c>
      <c r="R203" s="8">
        <f>IF(Q203&lt;&gt;0,Q203+H203+L203,0)</f>
        <v/>
      </c>
      <c r="S203" s="9">
        <f>VLOOKUP(OPERAC[[#This Row],[especie]],[1]!ESPECIES[#Data],9,FALSE)</f>
        <v/>
      </c>
    </row>
    <row r="204">
      <c r="A204" s="4" t="n">
        <v>3820</v>
      </c>
      <c r="B204" s="5" t="n">
        <v>44582</v>
      </c>
      <c r="C204" s="13" t="inlineStr">
        <is>
          <t>VTA</t>
        </is>
      </c>
      <c r="D204" s="13" t="n">
        <v>39</v>
      </c>
      <c r="E204" s="10">
        <f>IF(D204&gt;0,VLOOKUP(OPERAC[[#This Row],[COD CART]],[1]!MatrizCortoLargoCyl[#All],3,0),"")</f>
        <v/>
      </c>
      <c r="F204" s="13" t="inlineStr">
        <is>
          <t>ROKU/V/160,00/28-01-22</t>
        </is>
      </c>
      <c r="G204" s="6" t="n">
        <v>-200</v>
      </c>
      <c r="H204" s="6" t="n">
        <v>2112.7576</v>
      </c>
      <c r="I204" s="7">
        <f>-H204/G204</f>
        <v/>
      </c>
      <c r="J204" s="11" t="n">
        <v>44587</v>
      </c>
      <c r="K204" s="6">
        <f>+OPERAC[[#This Row],[cantidad]]</f>
        <v/>
      </c>
      <c r="L204" s="6">
        <f>-OPERAC[[#This Row],[importe]]</f>
        <v/>
      </c>
      <c r="M204" s="7">
        <f>IF(N204=0,+L204+H204,0)</f>
        <v/>
      </c>
      <c r="N204" s="7">
        <f>IF((+G204-K204)=0,0,+G204-K204)</f>
        <v/>
      </c>
      <c r="O204" s="7">
        <f>IF(N204=0,0,(L204+H204)/-N204)</f>
        <v/>
      </c>
      <c r="P204" s="7">
        <f>VLOOKUP(OPERAC[[#This Row],[especie]],[1]!ESPECIES[#All],6,0)</f>
        <v/>
      </c>
      <c r="Q204" s="7">
        <f>IF(N204&lt;&gt;0,P204*N204,0)</f>
        <v/>
      </c>
      <c r="R204" s="8">
        <f>IF(Q204&lt;&gt;0,Q204+H204+L204,0)</f>
        <v/>
      </c>
      <c r="S204" s="9">
        <f>VLOOKUP(OPERAC[[#This Row],[especie]],[1]!ESPECIES[#Data],9,FALSE)</f>
        <v/>
      </c>
    </row>
    <row r="205">
      <c r="A205" s="4" t="n">
        <v>4543</v>
      </c>
      <c r="B205" s="5" t="n">
        <v>44582</v>
      </c>
      <c r="C205" s="13" t="inlineStr">
        <is>
          <t>VTA</t>
        </is>
      </c>
      <c r="D205" s="13" t="n">
        <v>39</v>
      </c>
      <c r="E205" s="10">
        <f>IF(D205&gt;0,VLOOKUP(OPERAC[[#This Row],[COD CART]],[1]!MatrizCortoLargoCyl[#All],3,0),"")</f>
        <v/>
      </c>
      <c r="F205" s="13" t="inlineStr">
        <is>
          <t>ROKU/V/160,00/28-01-22</t>
        </is>
      </c>
      <c r="G205" s="6" t="n">
        <v>-200</v>
      </c>
      <c r="H205" s="6" t="n">
        <v>2112.7576</v>
      </c>
      <c r="I205" s="7">
        <f>-H205/G205</f>
        <v/>
      </c>
      <c r="J205" s="11" t="n">
        <v>44587</v>
      </c>
      <c r="K205" s="6">
        <f>+OPERAC[[#This Row],[cantidad]]</f>
        <v/>
      </c>
      <c r="L205" s="6">
        <f>-OPERAC[[#This Row],[importe]]</f>
        <v/>
      </c>
      <c r="M205" s="7">
        <f>IF(N205=0,+L205+H205,0)</f>
        <v/>
      </c>
      <c r="N205" s="7">
        <f>IF((+G205-K205)=0,0,+G205-K205)</f>
        <v/>
      </c>
      <c r="O205" s="7">
        <f>IF(N205=0,0,(L205+H205)/-N205)</f>
        <v/>
      </c>
      <c r="P205" s="7">
        <f>VLOOKUP(OPERAC[[#This Row],[especie]],[1]!ESPECIES[#All],6,0)</f>
        <v/>
      </c>
      <c r="Q205" s="7">
        <f>IF(N205&lt;&gt;0,P205*N205,0)</f>
        <v/>
      </c>
      <c r="R205" s="8">
        <f>IF(Q205&lt;&gt;0,Q205+H205+L205,0)</f>
        <v/>
      </c>
      <c r="S205" s="9">
        <f>VLOOKUP(OPERAC[[#This Row],[especie]],[1]!ESPECIES[#Data],9,FALSE)</f>
        <v/>
      </c>
    </row>
    <row r="206">
      <c r="A206" s="4" t="n">
        <v>7895</v>
      </c>
      <c r="B206" s="5" t="n">
        <v>44582</v>
      </c>
      <c r="C206" s="13" t="inlineStr">
        <is>
          <t>VTA</t>
        </is>
      </c>
      <c r="D206" s="13" t="n">
        <v>39</v>
      </c>
      <c r="E206" s="10">
        <f>IF(D206&gt;0,VLOOKUP(OPERAC[[#This Row],[COD CART]],[1]!MatrizCortoLargoCyl[#All],3,0),"")</f>
        <v/>
      </c>
      <c r="F206" s="13" t="inlineStr">
        <is>
          <t>ROKU/V/160,00/28-01-22</t>
        </is>
      </c>
      <c r="G206" s="6" t="n">
        <v>-200</v>
      </c>
      <c r="H206" s="6" t="n">
        <v>2112.7576</v>
      </c>
      <c r="I206" s="7">
        <f>-H206/G206</f>
        <v/>
      </c>
      <c r="J206" s="11" t="n">
        <v>44587</v>
      </c>
      <c r="K206" s="6">
        <f>+OPERAC[[#This Row],[cantidad]]</f>
        <v/>
      </c>
      <c r="L206" s="6">
        <f>-OPERAC[[#This Row],[importe]]</f>
        <v/>
      </c>
      <c r="M206" s="7">
        <f>IF(N206=0,+L206+H206,0)</f>
        <v/>
      </c>
      <c r="N206" s="7">
        <f>IF((+G206-K206)=0,0,+G206-K206)</f>
        <v/>
      </c>
      <c r="O206" s="7">
        <f>IF(N206=0,0,(L206+H206)/-N206)</f>
        <v/>
      </c>
      <c r="P206" s="7">
        <f>VLOOKUP(OPERAC[[#This Row],[especie]],[1]!ESPECIES[#All],6,0)</f>
        <v/>
      </c>
      <c r="Q206" s="7">
        <f>IF(N206&lt;&gt;0,P206*N206,0)</f>
        <v/>
      </c>
      <c r="R206" s="8">
        <f>IF(Q206&lt;&gt;0,Q206+H206+L206,0)</f>
        <v/>
      </c>
      <c r="S206" s="9">
        <f>VLOOKUP(OPERAC[[#This Row],[especie]],[1]!ESPECIES[#Data],9,FALSE)</f>
        <v/>
      </c>
    </row>
    <row r="207">
      <c r="A207" s="4" t="n">
        <v>20312</v>
      </c>
      <c r="B207" s="5" t="n">
        <v>44582</v>
      </c>
      <c r="C207" s="13" t="inlineStr">
        <is>
          <t>VTA</t>
        </is>
      </c>
      <c r="D207" s="13" t="n">
        <v>39</v>
      </c>
      <c r="E207" s="10">
        <f>IF(D207&gt;0,VLOOKUP(OPERAC[[#This Row],[COD CART]],[1]!MatrizCortoLargoCyl[#All],3,0),"")</f>
        <v/>
      </c>
      <c r="F207" s="13" t="inlineStr">
        <is>
          <t>ROKU/V/160,00/28-01-22</t>
        </is>
      </c>
      <c r="G207" s="6" t="n">
        <v>-200</v>
      </c>
      <c r="H207" s="6" t="n">
        <v>2112.7576</v>
      </c>
      <c r="I207" s="7">
        <f>-H207/G207</f>
        <v/>
      </c>
      <c r="J207" s="11" t="n">
        <v>44587</v>
      </c>
      <c r="K207" s="6">
        <f>+OPERAC[[#This Row],[cantidad]]</f>
        <v/>
      </c>
      <c r="L207" s="6">
        <f>-OPERAC[[#This Row],[importe]]</f>
        <v/>
      </c>
      <c r="M207" s="7">
        <f>IF(N207=0,+L207+H207,0)</f>
        <v/>
      </c>
      <c r="N207" s="7">
        <f>IF((+G207-K207)=0,0,+G207-K207)</f>
        <v/>
      </c>
      <c r="O207" s="7">
        <f>IF(N207=0,0,(L207+H207)/-N207)</f>
        <v/>
      </c>
      <c r="P207" s="7">
        <f>VLOOKUP(OPERAC[[#This Row],[especie]],[1]!ESPECIES[#All],6,0)</f>
        <v/>
      </c>
      <c r="Q207" s="7">
        <f>IF(N207&lt;&gt;0,P207*N207,0)</f>
        <v/>
      </c>
      <c r="R207" s="8">
        <f>IF(Q207&lt;&gt;0,Q207+H207+L207,0)</f>
        <v/>
      </c>
      <c r="S207" s="9">
        <f>VLOOKUP(OPERAC[[#This Row],[especie]],[1]!ESPECIES[#Data],9,FALSE)</f>
        <v/>
      </c>
    </row>
    <row r="208">
      <c r="A208" s="4" t="n">
        <v>7914</v>
      </c>
      <c r="B208" s="5" t="n">
        <v>44593</v>
      </c>
      <c r="C208" s="13" t="inlineStr">
        <is>
          <t>VTA</t>
        </is>
      </c>
      <c r="D208" s="13" t="n">
        <v>39</v>
      </c>
      <c r="E208" s="10">
        <f>IF(D208&gt;0,VLOOKUP(OPERAC[[#This Row],[COD CART]],[1]!MatrizCortoLargoCyl[#All],3,0),"")</f>
        <v/>
      </c>
      <c r="F208" s="13" t="inlineStr">
        <is>
          <t>ADBE/V/500,00/04-02-22</t>
        </is>
      </c>
      <c r="G208" s="6" t="n">
        <v>-2000</v>
      </c>
      <c r="H208" s="6" t="n">
        <v>2095.16</v>
      </c>
      <c r="I208" s="7">
        <f>-H208/G208</f>
        <v/>
      </c>
      <c r="J208" s="11" t="n">
        <v>44596</v>
      </c>
      <c r="K208" s="6" t="n">
        <v>-2000</v>
      </c>
      <c r="L208" s="6" t="n">
        <v>0</v>
      </c>
      <c r="M208" s="7">
        <f>IF(N208=0,+L208+H208,0)</f>
        <v/>
      </c>
      <c r="N208" s="7">
        <f>IF((+G208-K208)=0,0,+G208-K208)</f>
        <v/>
      </c>
      <c r="O208" s="7">
        <f>IF(N208=0,0,(L208+H208)/-N208)</f>
        <v/>
      </c>
      <c r="P208" s="7">
        <f>VLOOKUP(OPERAC[[#This Row],[especie]],[1]!ESPECIES[#All],6,0)</f>
        <v/>
      </c>
      <c r="Q208" s="7">
        <f>IF(N208&lt;&gt;0,P208*N208,0)</f>
        <v/>
      </c>
      <c r="R208" s="8">
        <f>IF(Q208&lt;&gt;0,Q208+H208+L208,0)</f>
        <v/>
      </c>
      <c r="S208" s="9">
        <f>VLOOKUP(OPERAC[[#This Row],[especie]],[1]!ESPECIES[#Data],9,FALSE)</f>
        <v/>
      </c>
    </row>
    <row r="209">
      <c r="A209" s="4" t="n">
        <v>13190</v>
      </c>
      <c r="B209" s="5" t="n">
        <v>44643</v>
      </c>
      <c r="C209" s="13" t="inlineStr">
        <is>
          <t>VTA</t>
        </is>
      </c>
      <c r="D209" s="13" t="n">
        <v>39</v>
      </c>
      <c r="E209" s="10">
        <f>IF(D209&gt;0,VLOOKUP(OPERAC[[#This Row],[COD CART]],[1]!MatrizCortoLargoCyl[#All],3,0),"")</f>
        <v/>
      </c>
      <c r="F209" s="13" t="inlineStr">
        <is>
          <t>TSLA/C/1200,00/25-03-22</t>
        </is>
      </c>
      <c r="G209" s="6" t="n">
        <v>-2000</v>
      </c>
      <c r="H209" s="6" t="n">
        <v>2089</v>
      </c>
      <c r="I209" s="7">
        <f>-H209/G209</f>
        <v/>
      </c>
      <c r="J209" s="11" t="n">
        <v>44645</v>
      </c>
      <c r="K209" s="6" t="n">
        <v>-2000</v>
      </c>
      <c r="L209" s="6" t="n">
        <v>0</v>
      </c>
      <c r="M209" s="7">
        <f>IF(N209=0,+L209+H209,0)</f>
        <v/>
      </c>
      <c r="N209" s="7">
        <f>IF((+G209-K209)=0,0,+G209-K209)</f>
        <v/>
      </c>
      <c r="O209" s="7">
        <f>IF(N209=0,0,(L209+H209)/-N209)</f>
        <v/>
      </c>
      <c r="P209" s="7">
        <f>VLOOKUP(OPERAC[[#This Row],[especie]],[1]!ESPECIES[#All],6,0)</f>
        <v/>
      </c>
      <c r="Q209" s="7">
        <f>IF(N209&lt;&gt;0,P209*N209,0)</f>
        <v/>
      </c>
      <c r="R209" s="8">
        <f>IF(Q209&lt;&gt;0,Q209+H209+L209,0)</f>
        <v/>
      </c>
      <c r="S209" s="9">
        <f>VLOOKUP(OPERAC[[#This Row],[especie]],[1]!ESPECIES[#Data],9,FALSE)</f>
        <v/>
      </c>
    </row>
    <row r="210">
      <c r="A210" s="4" t="n">
        <v>1760</v>
      </c>
      <c r="B210" s="5" t="n">
        <v>44669</v>
      </c>
      <c r="C210" s="13" t="inlineStr">
        <is>
          <t>VTA</t>
        </is>
      </c>
      <c r="D210" s="13" t="n">
        <v>39</v>
      </c>
      <c r="E210" s="10">
        <f>IF(D210&gt;0,VLOOKUP(OPERAC[[#This Row],[COD CART]],[1]!MatrizCortoLargoCyl[#All],3,0),"")</f>
        <v/>
      </c>
      <c r="F210" s="13" t="inlineStr">
        <is>
          <t>UPST/V/80,00/22-04-22</t>
        </is>
      </c>
      <c r="G210" s="6" t="n">
        <v>-500</v>
      </c>
      <c r="H210" s="6" t="n">
        <v>2082.15</v>
      </c>
      <c r="I210" s="7">
        <f>-H210/G210</f>
        <v/>
      </c>
      <c r="J210" s="11" t="n">
        <v>44673</v>
      </c>
      <c r="K210" s="6" t="n">
        <v>-500</v>
      </c>
      <c r="L210" s="6" t="n">
        <v>-1966.575</v>
      </c>
      <c r="M210" s="7">
        <f>IF(N210=0,+L210+H210,0)</f>
        <v/>
      </c>
      <c r="N210" s="7">
        <f>IF((+G210-K210)=0,0,+G210-K210)</f>
        <v/>
      </c>
      <c r="O210" s="7">
        <f>IF(N210=0,0,(L210+H210)/-N210)</f>
        <v/>
      </c>
      <c r="P210" s="7">
        <f>VLOOKUP(OPERAC[[#This Row],[especie]],[1]!ESPECIES[#All],6,0)</f>
        <v/>
      </c>
      <c r="Q210" s="7">
        <f>IF(N210&lt;&gt;0,P210*N210,0)</f>
        <v/>
      </c>
      <c r="R210" s="8">
        <f>IF(Q210&lt;&gt;0,Q210+H210+L210,0)</f>
        <v/>
      </c>
      <c r="S210" s="9">
        <f>VLOOKUP(OPERAC[[#This Row],[especie]],[1]!ESPECIES[#Data],9,FALSE)</f>
        <v/>
      </c>
    </row>
    <row r="211">
      <c r="A211" s="4" t="n">
        <v>12627</v>
      </c>
      <c r="B211" s="5" t="n">
        <v>44508</v>
      </c>
      <c r="C211" s="13" t="inlineStr">
        <is>
          <t>VTA</t>
        </is>
      </c>
      <c r="D211" s="13" t="n">
        <v>39</v>
      </c>
      <c r="E211" s="10">
        <f>IF(D211&gt;0,VLOOKUP(OPERAC[[#This Row],[COD CART]],[1]!MatrizCortoLargoCyl[#All],3,0),"")</f>
        <v/>
      </c>
      <c r="F211" s="13" t="inlineStr">
        <is>
          <t>ACB/V/6,00/21-01-22</t>
        </is>
      </c>
      <c r="G211" s="6" t="n">
        <v>-5000</v>
      </c>
      <c r="H211" s="6">
        <f>2131.55-0.5*OPERAC[[#This Row],[cantidad]]+0.51*OPERAC[[#This Row],[cantidad]]</f>
        <v/>
      </c>
      <c r="I211" s="7">
        <f>-H211/G211</f>
        <v/>
      </c>
      <c r="J211" s="11" t="n">
        <v>44581</v>
      </c>
      <c r="K211" s="6">
        <f>+OPERAC[[#This Row],[cantidad]]</f>
        <v/>
      </c>
      <c r="L211" s="6">
        <f>-OPERAC[[#This Row],[importe]]</f>
        <v/>
      </c>
      <c r="M211" s="7">
        <f>IF(N211=0,+L211+H211,0)</f>
        <v/>
      </c>
      <c r="N211" s="7">
        <f>IF((+G211-K211)=0,0,+G211-K211)</f>
        <v/>
      </c>
      <c r="O211" s="7">
        <f>IF(N211=0,0,(L211+H211)/-N211)</f>
        <v/>
      </c>
      <c r="P211" s="7">
        <f>VLOOKUP(OPERAC[[#This Row],[especie]],[1]!ESPECIES[#All],6,0)</f>
        <v/>
      </c>
      <c r="Q211" s="7">
        <f>IF(N211&lt;&gt;0,P211*N211,0)</f>
        <v/>
      </c>
      <c r="R211" s="8">
        <f>IF(Q211&lt;&gt;0,Q211+H211+L211,0)</f>
        <v/>
      </c>
      <c r="S211" s="9">
        <f>VLOOKUP(OPERAC[[#This Row],[especie]],[1]!ESPECIES[#Data],9,FALSE)</f>
        <v/>
      </c>
    </row>
    <row r="212">
      <c r="A212" s="4" t="n">
        <v>13185</v>
      </c>
      <c r="B212" s="5" t="n">
        <v>44575</v>
      </c>
      <c r="C212" s="13" t="inlineStr">
        <is>
          <t>VTA</t>
        </is>
      </c>
      <c r="D212" s="13" t="n">
        <v>39</v>
      </c>
      <c r="E212" s="10">
        <f>IF(D212&gt;0,VLOOKUP(OPERAC[[#This Row],[COD CART]],[1]!MatrizCortoLargoCyl[#All],3,0),"")</f>
        <v/>
      </c>
      <c r="F212" s="13" t="inlineStr">
        <is>
          <t>TSLA/C/1275,00/21-01-22</t>
        </is>
      </c>
      <c r="G212" s="6" t="n">
        <v>-2000</v>
      </c>
      <c r="H212" s="6" t="n">
        <v>2077.92</v>
      </c>
      <c r="I212" s="7">
        <f>-H212/G212</f>
        <v/>
      </c>
      <c r="J212" s="11" t="n">
        <v>44582</v>
      </c>
      <c r="K212" s="6" t="n">
        <v>-2000</v>
      </c>
      <c r="L212" s="6" t="n">
        <v>0</v>
      </c>
      <c r="M212" s="7">
        <f>IF(N212=0,+L212+H212,0)</f>
        <v/>
      </c>
      <c r="N212" s="7">
        <f>IF((+G212-K212)=0,0,+G212-K212)</f>
        <v/>
      </c>
      <c r="O212" s="7">
        <f>IF(N212=0,0,(L212+H212)/-N212)</f>
        <v/>
      </c>
      <c r="P212" s="7">
        <f>VLOOKUP(OPERAC[[#This Row],[especie]],[1]!ESPECIES[#All],6,0)</f>
        <v/>
      </c>
      <c r="Q212" s="7">
        <f>IF(N212&lt;&gt;0,P212*N212,0)</f>
        <v/>
      </c>
      <c r="R212" s="8">
        <f>IF(Q212&lt;&gt;0,Q212+H212+L212,0)</f>
        <v/>
      </c>
      <c r="S212" s="9">
        <f>VLOOKUP(OPERAC[[#This Row],[especie]],[1]!ESPECIES[#Data],9,FALSE)</f>
        <v/>
      </c>
    </row>
    <row r="213">
      <c r="A213" s="4" t="n">
        <v>3787</v>
      </c>
      <c r="B213" s="5" t="n">
        <v>44635</v>
      </c>
      <c r="C213" s="13" t="inlineStr">
        <is>
          <t>VTA</t>
        </is>
      </c>
      <c r="D213" s="13" t="n">
        <v>39</v>
      </c>
      <c r="E213" s="10">
        <f>IF(D213&gt;0,VLOOKUP(OPERAC[[#This Row],[COD CART]],[1]!MatrizCortoLargoCyl[#All],3,0),"")</f>
        <v/>
      </c>
      <c r="F213" s="13" t="inlineStr">
        <is>
          <t>TSLA/C/890,00/18-03-22</t>
        </is>
      </c>
      <c r="G213" s="6" t="n">
        <v>-2000</v>
      </c>
      <c r="H213" s="6" t="n">
        <v>2077.76</v>
      </c>
      <c r="I213" s="7">
        <f>-H213/G213</f>
        <v/>
      </c>
      <c r="J213" s="11" t="n">
        <v>44636</v>
      </c>
      <c r="K213" s="6" t="n">
        <v>-2000</v>
      </c>
      <c r="L213" s="6" t="n">
        <v>-3936.58</v>
      </c>
      <c r="M213" s="7">
        <f>IF(N213=0,+L213+H213,0)</f>
        <v/>
      </c>
      <c r="N213" s="7">
        <f>IF((+G213-K213)=0,0,+G213-K213)</f>
        <v/>
      </c>
      <c r="O213" s="7">
        <f>IF(N213=0,0,(L213+H213)/-N213)</f>
        <v/>
      </c>
      <c r="P213" s="7">
        <f>VLOOKUP(OPERAC[[#This Row],[especie]],[1]!ESPECIES[#All],6,0)</f>
        <v/>
      </c>
      <c r="Q213" s="7">
        <f>IF(N213&lt;&gt;0,P213*N213,0)</f>
        <v/>
      </c>
      <c r="R213" s="8">
        <f>IF(Q213&lt;&gt;0,Q213+H213+L213,0)</f>
        <v/>
      </c>
      <c r="S213" s="9">
        <f>VLOOKUP(OPERAC[[#This Row],[especie]],[1]!ESPECIES[#Data],9,FALSE)</f>
        <v/>
      </c>
    </row>
    <row r="214">
      <c r="A214" s="4" t="n">
        <v>12684</v>
      </c>
      <c r="B214" s="5" t="n">
        <v>44635</v>
      </c>
      <c r="C214" s="13" t="inlineStr">
        <is>
          <t>VTA</t>
        </is>
      </c>
      <c r="D214" s="13" t="n">
        <v>39</v>
      </c>
      <c r="E214" s="10">
        <f>IF(D214&gt;0,VLOOKUP(OPERAC[[#This Row],[COD CART]],[1]!MatrizCortoLargoCyl[#All],3,0),"")</f>
        <v/>
      </c>
      <c r="F214" s="13" t="inlineStr">
        <is>
          <t>TSLA/V/680,00/18-03-22</t>
        </is>
      </c>
      <c r="G214" s="6" t="n">
        <v>-2000</v>
      </c>
      <c r="H214" s="6" t="n">
        <v>2077.76</v>
      </c>
      <c r="I214" s="7">
        <f>-H214/G214</f>
        <v/>
      </c>
      <c r="J214" s="11" t="n">
        <v>44636</v>
      </c>
      <c r="K214" s="6" t="n">
        <v>-2000</v>
      </c>
      <c r="L214" s="6" t="n">
        <v>-590.02</v>
      </c>
      <c r="M214" s="7">
        <f>IF(N214=0,+L214+H214,0)</f>
        <v/>
      </c>
      <c r="N214" s="7">
        <f>IF((+G214-K214)=0,0,+G214-K214)</f>
        <v/>
      </c>
      <c r="O214" s="7">
        <f>IF(N214=0,0,(L214+H214)/-N214)</f>
        <v/>
      </c>
      <c r="P214" s="7">
        <f>VLOOKUP(OPERAC[[#This Row],[especie]],[1]!ESPECIES[#All],6,0)</f>
        <v/>
      </c>
      <c r="Q214" s="7">
        <f>IF(N214&lt;&gt;0,P214*N214,0)</f>
        <v/>
      </c>
      <c r="R214" s="8">
        <f>IF(Q214&lt;&gt;0,Q214+H214+L214,0)</f>
        <v/>
      </c>
      <c r="S214" s="9">
        <f>VLOOKUP(OPERAC[[#This Row],[especie]],[1]!ESPECIES[#Data],9,FALSE)</f>
        <v/>
      </c>
    </row>
    <row r="215">
      <c r="A215" s="4" t="n">
        <v>7914</v>
      </c>
      <c r="B215" s="5" t="n">
        <v>44573</v>
      </c>
      <c r="C215" s="13" t="inlineStr">
        <is>
          <t>VTA</t>
        </is>
      </c>
      <c r="D215" s="13" t="n">
        <v>39</v>
      </c>
      <c r="E215" s="10">
        <f>IF(D215&gt;0,VLOOKUP(OPERAC[[#This Row],[COD CART]],[1]!MatrizCortoLargoCyl[#All],3,0),"")</f>
        <v/>
      </c>
      <c r="F215" s="13" t="inlineStr">
        <is>
          <t>TSLA/C/1200,00/14-01-22</t>
        </is>
      </c>
      <c r="G215" s="6" t="n">
        <v>-2000</v>
      </c>
      <c r="H215" s="6" t="n">
        <v>2067.248</v>
      </c>
      <c r="I215" s="7">
        <f>-H215/G215</f>
        <v/>
      </c>
      <c r="J215" s="11" t="n">
        <v>44575</v>
      </c>
      <c r="K215" s="6" t="n">
        <v>-2000</v>
      </c>
      <c r="L215" s="6" t="n">
        <v>0</v>
      </c>
      <c r="M215" s="7">
        <f>IF(N215=0,+L215+H215,0)</f>
        <v/>
      </c>
      <c r="N215" s="7">
        <f>IF((+G215-K215)=0,0,+G215-K215)</f>
        <v/>
      </c>
      <c r="O215" s="7">
        <f>IF(N215=0,0,(L215+H215)/-N215)</f>
        <v/>
      </c>
      <c r="P215" s="7">
        <f>VLOOKUP(OPERAC[[#This Row],[especie]],[1]!ESPECIES[#All],6,0)</f>
        <v/>
      </c>
      <c r="Q215" s="7">
        <f>IF(N215&lt;&gt;0,P215*N215,0)</f>
        <v/>
      </c>
      <c r="R215" s="8">
        <f>IF(Q215&lt;&gt;0,Q215+H215+L215,0)</f>
        <v/>
      </c>
      <c r="S215" s="9">
        <f>VLOOKUP(OPERAC[[#This Row],[especie]],[1]!ESPECIES[#Data],9,FALSE)</f>
        <v/>
      </c>
    </row>
    <row r="216">
      <c r="A216" s="4" t="n">
        <v>13240</v>
      </c>
      <c r="B216" s="5" t="n">
        <v>44581</v>
      </c>
      <c r="C216" s="13" t="inlineStr">
        <is>
          <t>VTA</t>
        </is>
      </c>
      <c r="D216" s="13" t="n">
        <v>39</v>
      </c>
      <c r="E216" s="10">
        <f>IF(D216&gt;0,VLOOKUP(OPERAC[[#This Row],[COD CART]],[1]!MatrizCortoLargoCyl[#All],3,0),"")</f>
        <v/>
      </c>
      <c r="F216" s="13" t="inlineStr">
        <is>
          <t>ACB/V/5,50/25-02-22</t>
        </is>
      </c>
      <c r="G216" s="6" t="n">
        <v>-2500</v>
      </c>
      <c r="H216" s="6" t="n">
        <v>2051.55125</v>
      </c>
      <c r="I216" s="7">
        <f>-H216/G216</f>
        <v/>
      </c>
      <c r="J216" s="11" t="n">
        <v>44614</v>
      </c>
      <c r="K216" s="6" t="n">
        <v>-2500</v>
      </c>
      <c r="L216" s="6" t="n">
        <v>-2051</v>
      </c>
      <c r="M216" s="7">
        <f>IF(N216=0,+L216+H216,0)</f>
        <v/>
      </c>
      <c r="N216" s="7">
        <f>IF((+G216-K216)=0,0,+G216-K216)</f>
        <v/>
      </c>
      <c r="O216" s="7">
        <f>IF(N216=0,0,(L216+H216)/-N216)</f>
        <v/>
      </c>
      <c r="P216" s="7">
        <f>VLOOKUP(OPERAC[[#This Row],[especie]],[1]!ESPECIES[#All],6,0)</f>
        <v/>
      </c>
      <c r="Q216" s="7">
        <f>IF(N216&lt;&gt;0,P216*N216,0)</f>
        <v/>
      </c>
      <c r="R216" s="8">
        <f>IF(Q216&lt;&gt;0,Q216+H216+L216,0)</f>
        <v/>
      </c>
      <c r="S216" s="9">
        <f>VLOOKUP(OPERAC[[#This Row],[especie]],[1]!ESPECIES[#Data],9,FALSE)</f>
        <v/>
      </c>
    </row>
    <row r="217">
      <c r="A217" s="4" t="n">
        <v>3728</v>
      </c>
      <c r="B217" s="5" t="n">
        <v>44606</v>
      </c>
      <c r="C217" s="13" t="inlineStr">
        <is>
          <t>VTA</t>
        </is>
      </c>
      <c r="D217" s="13" t="n">
        <v>39</v>
      </c>
      <c r="E217" s="10">
        <f>IF(D217&gt;0,VLOOKUP(OPERAC[[#This Row],[COD CART]],[1]!MatrizCortoLargoCyl[#All],3,0),"")</f>
        <v/>
      </c>
      <c r="F217" s="13" t="inlineStr">
        <is>
          <t>TSLA/V/765,00/18-02-22</t>
        </is>
      </c>
      <c r="G217" s="6" t="n">
        <v>-1000</v>
      </c>
      <c r="H217" s="6" t="n">
        <v>2049.916</v>
      </c>
      <c r="I217" s="7">
        <f>-H217/G217</f>
        <v/>
      </c>
      <c r="J217" s="11" t="n">
        <v>44607</v>
      </c>
      <c r="K217" s="6" t="n">
        <v>-1000</v>
      </c>
      <c r="L217" s="6" t="n">
        <v>-406.825</v>
      </c>
      <c r="M217" s="7">
        <f>IF(N217=0,+L217+H217,0)</f>
        <v/>
      </c>
      <c r="N217" s="7">
        <f>IF((+G217-K217)=0,0,+G217-K217)</f>
        <v/>
      </c>
      <c r="O217" s="7">
        <f>IF(N217=0,0,(L217+H217)/-N217)</f>
        <v/>
      </c>
      <c r="P217" s="7">
        <f>VLOOKUP(OPERAC[[#This Row],[especie]],[1]!ESPECIES[#All],6,0)</f>
        <v/>
      </c>
      <c r="Q217" s="7">
        <f>IF(N217&lt;&gt;0,P217*N217,0)</f>
        <v/>
      </c>
      <c r="R217" s="8">
        <f>IF(Q217&lt;&gt;0,Q217+H217+L217,0)</f>
        <v/>
      </c>
      <c r="S217" s="9">
        <f>VLOOKUP(OPERAC[[#This Row],[especie]],[1]!ESPECIES[#Data],9,FALSE)</f>
        <v/>
      </c>
    </row>
    <row r="218">
      <c r="A218" s="4" t="n">
        <v>9195</v>
      </c>
      <c r="B218" s="5" t="n">
        <v>44606</v>
      </c>
      <c r="C218" s="13" t="inlineStr">
        <is>
          <t>VTA</t>
        </is>
      </c>
      <c r="D218" s="13" t="n">
        <v>39</v>
      </c>
      <c r="E218" s="10">
        <f>IF(D218&gt;0,VLOOKUP(OPERAC[[#This Row],[COD CART]],[1]!MatrizCortoLargoCyl[#All],3,0),"")</f>
        <v/>
      </c>
      <c r="F218" s="13" t="inlineStr">
        <is>
          <t>TSLA/V/765,00/18-02-22</t>
        </is>
      </c>
      <c r="G218" s="6" t="n">
        <v>-1000</v>
      </c>
      <c r="H218" s="6" t="n">
        <v>2043.739</v>
      </c>
      <c r="I218" s="7">
        <f>-H218/G218</f>
        <v/>
      </c>
      <c r="J218" s="11" t="n">
        <v>44607</v>
      </c>
      <c r="K218" s="6" t="n">
        <v>-1000</v>
      </c>
      <c r="L218" s="6" t="n">
        <v>-7724.7</v>
      </c>
      <c r="M218" s="7">
        <f>IF(N218=0,+L218+H218,0)</f>
        <v/>
      </c>
      <c r="N218" s="7">
        <f>IF((+G218-K218)=0,0,+G218-K218)</f>
        <v/>
      </c>
      <c r="O218" s="7">
        <f>IF(N218=0,0,(L218+H218)/-N218)</f>
        <v/>
      </c>
      <c r="P218" s="7">
        <f>VLOOKUP(OPERAC[[#This Row],[especie]],[1]!ESPECIES[#All],6,0)</f>
        <v/>
      </c>
      <c r="Q218" s="7">
        <f>IF(N218&lt;&gt;0,P218*N218,0)</f>
        <v/>
      </c>
      <c r="R218" s="8">
        <f>IF(Q218&lt;&gt;0,Q218+H218+L218,0)</f>
        <v/>
      </c>
      <c r="S218" s="9">
        <f>VLOOKUP(OPERAC[[#This Row],[especie]],[1]!ESPECIES[#Data],9,FALSE)</f>
        <v/>
      </c>
    </row>
    <row r="219">
      <c r="A219" s="4" t="n">
        <v>3787</v>
      </c>
      <c r="B219" s="5" t="n">
        <v>44538</v>
      </c>
      <c r="C219" s="13" t="inlineStr">
        <is>
          <t>VTA</t>
        </is>
      </c>
      <c r="D219" s="13" t="n">
        <v>39</v>
      </c>
      <c r="E219" s="10">
        <f>IF(D219&gt;0,VLOOKUP(OPERAC[[#This Row],[COD CART]],[1]!MatrizCortoLargoCyl[#All],3,0),"")</f>
        <v/>
      </c>
      <c r="F219" s="13" t="inlineStr">
        <is>
          <t>MELI/V/880,00/21-01-22</t>
        </is>
      </c>
      <c r="G219" s="6" t="n">
        <v>-200</v>
      </c>
      <c r="H219" s="6" t="n">
        <v>2023.68</v>
      </c>
      <c r="I219" s="7">
        <f>-H219/G219</f>
        <v/>
      </c>
      <c r="J219" s="11" t="n">
        <v>44582</v>
      </c>
      <c r="K219" s="6">
        <f>+OPERAC[[#This Row],[cantidad]]</f>
        <v/>
      </c>
      <c r="L219" s="6" t="n">
        <v>0</v>
      </c>
      <c r="M219" s="7">
        <f>IF(N219=0,+L219+H219,0)</f>
        <v/>
      </c>
      <c r="N219" s="7">
        <f>IF((+G219-K219)=0,0,+G219-K219)</f>
        <v/>
      </c>
      <c r="O219" s="7">
        <f>IF(N219=0,0,(L219+H219)/-N219)</f>
        <v/>
      </c>
      <c r="P219" s="7">
        <f>VLOOKUP(OPERAC[[#This Row],[especie]],[1]!ESPECIES[#All],6,0)</f>
        <v/>
      </c>
      <c r="Q219" s="7">
        <f>IF(N219&lt;&gt;0,P219*N219,0)</f>
        <v/>
      </c>
      <c r="R219" s="8">
        <f>IF(Q219&lt;&gt;0,Q219+H219+L219,0)</f>
        <v/>
      </c>
      <c r="S219" s="9">
        <f>VLOOKUP(OPERAC[[#This Row],[especie]],[1]!ESPECIES[#Data],9,FALSE)</f>
        <v/>
      </c>
    </row>
    <row r="220">
      <c r="A220" s="4" t="n">
        <v>3728</v>
      </c>
      <c r="B220" s="5" t="n">
        <v>44558</v>
      </c>
      <c r="C220" s="13" t="inlineStr">
        <is>
          <t>VTA</t>
        </is>
      </c>
      <c r="D220" s="13" t="n">
        <v>39</v>
      </c>
      <c r="E220" s="10">
        <f>IF(D220&gt;0,VLOOKUP(OPERAC[[#This Row],[COD CART]],[1]!MatrizCortoLargoCyl[#All],3,0),"")</f>
        <v/>
      </c>
      <c r="F220" s="13" t="inlineStr">
        <is>
          <t>YPF/V/5,00/20-01-23</t>
        </is>
      </c>
      <c r="G220" s="6" t="n">
        <v>-2000</v>
      </c>
      <c r="H220" s="6" t="n">
        <v>2000</v>
      </c>
      <c r="I220" s="7">
        <f>-H220/G220</f>
        <v/>
      </c>
      <c r="J220" s="11" t="n"/>
      <c r="K220" s="6" t="n"/>
      <c r="L220" s="6" t="n"/>
      <c r="M220" s="7">
        <f>IF(N220=0,+L220+H220,0)</f>
        <v/>
      </c>
      <c r="N220" s="7">
        <f>IF((+G220-K220)=0,0,+G220-K220)</f>
        <v/>
      </c>
      <c r="O220" s="7">
        <f>IF(N220=0,0,(L220+H220)/-N220)</f>
        <v/>
      </c>
      <c r="P220" s="7">
        <f>VLOOKUP(OPERAC[[#This Row],[especie]],[1]!ESPECIES[#All],6,0)</f>
        <v/>
      </c>
      <c r="Q220" s="7">
        <f>IF(N220&lt;&gt;0,P220*N220,0)</f>
        <v/>
      </c>
      <c r="R220" s="8">
        <f>IF(Q220&lt;&gt;0,Q220+H220+L220,0)</f>
        <v/>
      </c>
      <c r="S220" s="9">
        <f>VLOOKUP(OPERAC[[#This Row],[especie]],[1]!ESPECIES[#Data],9,FALSE)</f>
        <v/>
      </c>
    </row>
    <row r="221">
      <c r="A221" s="4" t="n">
        <v>3728</v>
      </c>
      <c r="B221" s="5" t="n">
        <v>44167</v>
      </c>
      <c r="C221" s="13" t="inlineStr">
        <is>
          <t>VTA</t>
        </is>
      </c>
      <c r="D221" s="13" t="n">
        <v>39</v>
      </c>
      <c r="E221" s="10">
        <f>IF(D221&gt;0,VLOOKUP(OPERAC[[#This Row],[COD CART]],[1]!MatrizCortoLargoCyl[#All],3,0),"")</f>
        <v/>
      </c>
      <c r="F221" s="13" t="inlineStr">
        <is>
          <t>PBR/V/8,00/21-01-22</t>
        </is>
      </c>
      <c r="G221" s="6" t="n">
        <v>-2000</v>
      </c>
      <c r="H221" s="6" t="n">
        <v>1991.24</v>
      </c>
      <c r="I221" s="7">
        <f>-H221/G221</f>
        <v/>
      </c>
      <c r="J221" s="11" t="n">
        <v>44582</v>
      </c>
      <c r="K221" s="6" t="n">
        <v>-2000</v>
      </c>
      <c r="L221" s="6" t="n">
        <v>0</v>
      </c>
      <c r="M221" s="7">
        <f>IF(N221=0,+L221+H221,0)</f>
        <v/>
      </c>
      <c r="N221" s="7">
        <f>IF((+G221-K221)=0,0,+G221-K221)</f>
        <v/>
      </c>
      <c r="O221" s="7">
        <f>IF(N221=0,0,(L221+H221)/-N221)</f>
        <v/>
      </c>
      <c r="P221" s="7">
        <f>VLOOKUP(OPERAC[[#This Row],[especie]],[1]!ESPECIES[#All],6,0)</f>
        <v/>
      </c>
      <c r="Q221" s="7">
        <f>IF(N221&lt;&gt;0,P221*N221,0)</f>
        <v/>
      </c>
      <c r="R221" s="8">
        <f>IF(Q221&lt;&gt;0,Q221+H221+L221,0)</f>
        <v/>
      </c>
      <c r="S221" s="9">
        <f>VLOOKUP(OPERAC[[#This Row],[especie]],[1]!ESPECIES[#Data],9,FALSE)</f>
        <v/>
      </c>
    </row>
    <row r="222">
      <c r="A222" s="4" t="n">
        <v>16824</v>
      </c>
      <c r="B222" s="5" t="n">
        <v>44307</v>
      </c>
      <c r="C222" s="13" t="inlineStr">
        <is>
          <t>VTA</t>
        </is>
      </c>
      <c r="D222" s="13" t="n">
        <v>39</v>
      </c>
      <c r="E222" s="10">
        <f>IF(D222&gt;0,VLOOKUP(OPERAC[[#This Row],[COD CART]],[1]!MatrizCortoLargoCyl[#All],3,0),"")</f>
        <v/>
      </c>
      <c r="F222" s="13" t="inlineStr">
        <is>
          <t>ACB/V/12,00/20-01-23</t>
        </is>
      </c>
      <c r="G222" s="6" t="n">
        <v>-300</v>
      </c>
      <c r="H222" s="6" t="n">
        <v>1989.01</v>
      </c>
      <c r="I222" s="7">
        <f>-H222/G222</f>
        <v/>
      </c>
      <c r="J222" s="11" t="n">
        <v>44614</v>
      </c>
      <c r="K222" s="6" t="n">
        <v>-300</v>
      </c>
      <c r="L222" s="6" t="n">
        <v>-1989</v>
      </c>
      <c r="M222" s="7">
        <f>IF(N222=0,+L222+H222,0)</f>
        <v/>
      </c>
      <c r="N222" s="7">
        <f>IF((+G222-K222)=0,0,+G222-K222)</f>
        <v/>
      </c>
      <c r="O222" s="7">
        <f>IF(N222=0,0,(L222+H222)/-N222)</f>
        <v/>
      </c>
      <c r="P222" s="7">
        <f>VLOOKUP(OPERAC[[#This Row],[especie]],[1]!ESPECIES[#All],6,0)</f>
        <v/>
      </c>
      <c r="Q222" s="7">
        <f>IF(N222&lt;&gt;0,P222*N222,0)</f>
        <v/>
      </c>
      <c r="R222" s="8">
        <f>IF(Q222&lt;&gt;0,Q222+H222+L222,0)</f>
        <v/>
      </c>
      <c r="S222" s="9">
        <f>VLOOKUP(OPERAC[[#This Row],[especie]],[1]!ESPECIES[#Data],9,FALSE)</f>
        <v/>
      </c>
    </row>
    <row r="223">
      <c r="A223" s="4" t="n">
        <v>19920</v>
      </c>
      <c r="B223" s="5" t="n">
        <v>44439</v>
      </c>
      <c r="C223" s="13" t="inlineStr">
        <is>
          <t>VTA</t>
        </is>
      </c>
      <c r="D223" s="13" t="n">
        <v>39</v>
      </c>
      <c r="E223" s="10">
        <f>IF(D223&gt;0,VLOOKUP(OPERAC[[#This Row],[COD CART]],[1]!MatrizCortoLargoCyl[#All],3,0),"")</f>
        <v/>
      </c>
      <c r="F223" s="13" t="inlineStr">
        <is>
          <t>SKLZ/P/7,50/20-01-23</t>
        </is>
      </c>
      <c r="G223" s="6" t="n">
        <v>-1000</v>
      </c>
      <c r="H223" s="6" t="n">
        <v>1984</v>
      </c>
      <c r="I223" s="7">
        <f>-H223/G223</f>
        <v/>
      </c>
      <c r="J223" s="11" t="n">
        <v>44614</v>
      </c>
      <c r="K223" s="6">
        <f>+OPERAC[[#This Row],[cantidad]]</f>
        <v/>
      </c>
      <c r="L223" s="6">
        <f>+OPERAC[[#This Row],[cantidad venta]]*4.488</f>
        <v/>
      </c>
      <c r="M223" s="7">
        <f>IF(N223=0,+L223+H223,0)</f>
        <v/>
      </c>
      <c r="N223" s="7">
        <f>IF((+G223-K223)=0,0,+G223-K223)</f>
        <v/>
      </c>
      <c r="O223" s="7">
        <f>IF(N223=0,0,(L223+H223)/-N223)</f>
        <v/>
      </c>
      <c r="P223" s="7">
        <f>VLOOKUP(OPERAC[[#This Row],[especie]],[1]!ESPECIES[#All],6,0)</f>
        <v/>
      </c>
      <c r="Q223" s="7">
        <f>IF(N223&lt;&gt;0,P223*N223,0)</f>
        <v/>
      </c>
      <c r="R223" s="8">
        <f>IF(Q223&lt;&gt;0,Q223+H223+L223,0)</f>
        <v/>
      </c>
      <c r="S223" s="9">
        <f>VLOOKUP(OPERAC[[#This Row],[especie]],[1]!ESPECIES[#Data],9,FALSE)</f>
        <v/>
      </c>
    </row>
    <row r="224">
      <c r="A224" s="4" t="n">
        <v>19878</v>
      </c>
      <c r="B224" s="5" t="n">
        <v>44439</v>
      </c>
      <c r="C224" s="13" t="inlineStr">
        <is>
          <t>VTA</t>
        </is>
      </c>
      <c r="D224" s="13" t="n">
        <v>39</v>
      </c>
      <c r="E224" s="10">
        <f>IF(D224&gt;0,VLOOKUP(OPERAC[[#This Row],[COD CART]],[1]!MatrizCortoLargoCyl[#All],3,0),"")</f>
        <v/>
      </c>
      <c r="F224" s="13" t="inlineStr">
        <is>
          <t>SKLZ/P/7,50/20-01-23</t>
        </is>
      </c>
      <c r="G224" s="6" t="n">
        <v>-1000</v>
      </c>
      <c r="H224" s="6" t="n">
        <v>1984</v>
      </c>
      <c r="I224" s="7">
        <f>-H224/G224</f>
        <v/>
      </c>
      <c r="J224" s="11" t="n">
        <v>44614</v>
      </c>
      <c r="K224" s="6">
        <f>+OPERAC[[#This Row],[cantidad]]</f>
        <v/>
      </c>
      <c r="L224" s="6">
        <f>+OPERAC[[#This Row],[cantidad venta]]*4.488</f>
        <v/>
      </c>
      <c r="M224" s="7">
        <f>IF(N224=0,+L224+H224,0)</f>
        <v/>
      </c>
      <c r="N224" s="7">
        <f>IF((+G224-K224)=0,0,+G224-K224)</f>
        <v/>
      </c>
      <c r="O224" s="7">
        <f>IF(N224=0,0,(L224+H224)/-N224)</f>
        <v/>
      </c>
      <c r="P224" s="7">
        <f>VLOOKUP(OPERAC[[#This Row],[especie]],[1]!ESPECIES[#All],6,0)</f>
        <v/>
      </c>
      <c r="Q224" s="7">
        <f>IF(N224&lt;&gt;0,P224*N224,0)</f>
        <v/>
      </c>
      <c r="R224" s="8">
        <f>IF(Q224&lt;&gt;0,Q224+H224+L224,0)</f>
        <v/>
      </c>
      <c r="S224" s="9">
        <f>VLOOKUP(OPERAC[[#This Row],[especie]],[1]!ESPECIES[#Data],9,FALSE)</f>
        <v/>
      </c>
    </row>
    <row r="225">
      <c r="A225" s="4" t="n">
        <v>3728</v>
      </c>
      <c r="B225" s="5" t="n">
        <v>44635</v>
      </c>
      <c r="C225" s="13" t="inlineStr">
        <is>
          <t>VTA</t>
        </is>
      </c>
      <c r="D225" s="13" t="n">
        <v>39</v>
      </c>
      <c r="E225" s="10">
        <f>IF(D225&gt;0,VLOOKUP(OPERAC[[#This Row],[COD CART]],[1]!MatrizCortoLargoCyl[#All],3,0),"")</f>
        <v/>
      </c>
      <c r="F225" s="13" t="inlineStr">
        <is>
          <t>ROKU/C/108,00/18-03-22</t>
        </is>
      </c>
      <c r="G225" s="6" t="n">
        <v>-2000</v>
      </c>
      <c r="H225" s="6" t="n">
        <v>1983.96</v>
      </c>
      <c r="I225" s="7">
        <f>-H225/G225</f>
        <v/>
      </c>
      <c r="J225" s="11" t="n">
        <v>44636</v>
      </c>
      <c r="K225" s="6" t="n">
        <v>-2000</v>
      </c>
      <c r="L225" s="6" t="n">
        <v>-6514.48</v>
      </c>
      <c r="M225" s="7">
        <f>IF(N225=0,+L225+H225,0)</f>
        <v/>
      </c>
      <c r="N225" s="7">
        <f>IF((+G225-K225)=0,0,+G225-K225)</f>
        <v/>
      </c>
      <c r="O225" s="7">
        <f>IF(N225=0,0,(L225+H225)/-N225)</f>
        <v/>
      </c>
      <c r="P225" s="7">
        <f>VLOOKUP(OPERAC[[#This Row],[especie]],[1]!ESPECIES[#All],6,0)</f>
        <v/>
      </c>
      <c r="Q225" s="7">
        <f>IF(N225&lt;&gt;0,P225*N225,0)</f>
        <v/>
      </c>
      <c r="R225" s="8">
        <f>IF(Q225&lt;&gt;0,Q225+H225+L225,0)</f>
        <v/>
      </c>
      <c r="S225" s="9">
        <f>VLOOKUP(OPERAC[[#This Row],[especie]],[1]!ESPECIES[#Data],9,FALSE)</f>
        <v/>
      </c>
    </row>
    <row r="226">
      <c r="A226" s="4" t="n">
        <v>12688</v>
      </c>
      <c r="B226" s="5" t="n">
        <v>44673</v>
      </c>
      <c r="C226" s="13" t="inlineStr">
        <is>
          <t>VTA</t>
        </is>
      </c>
      <c r="D226" s="13" t="n">
        <v>39</v>
      </c>
      <c r="E226" s="10">
        <f>IF(D226&gt;0,VLOOKUP(OPERAC[[#This Row],[COD CART]],[1]!MatrizCortoLargoCyl[#All],3,0),"")</f>
        <v/>
      </c>
      <c r="F226" s="13" t="inlineStr">
        <is>
          <t>UPST/V/68,00/29-04-22</t>
        </is>
      </c>
      <c r="G226" s="6" t="n">
        <v>-1000</v>
      </c>
      <c r="H226" s="6" t="n">
        <v>1983</v>
      </c>
      <c r="I226" s="7">
        <f>-H226/G226</f>
        <v/>
      </c>
      <c r="J226" s="11" t="n">
        <v>44679</v>
      </c>
      <c r="K226" s="6">
        <f>+OPERAC[[#This Row],[cantidad]]</f>
        <v/>
      </c>
      <c r="L226" s="6" t="n">
        <v>-504.25</v>
      </c>
      <c r="M226" s="7">
        <f>IF(N226=0,+L226+H226,0)</f>
        <v/>
      </c>
      <c r="N226" s="7">
        <f>IF((+G226-K226)=0,0,+G226-K226)</f>
        <v/>
      </c>
      <c r="O226" s="7">
        <f>IF(N226=0,0,(L226+H226)/-N226)</f>
        <v/>
      </c>
      <c r="P226" s="7">
        <f>VLOOKUP(OPERAC[[#This Row],[especie]],[1]!ESPECIES[#All],6,0)</f>
        <v/>
      </c>
      <c r="Q226" s="7">
        <f>IF(N226&lt;&gt;0,P226*N226,0)</f>
        <v/>
      </c>
      <c r="R226" s="8">
        <f>IF(Q226&lt;&gt;0,Q226+H226+L226,0)</f>
        <v/>
      </c>
      <c r="S226" s="9">
        <f>VLOOKUP(OPERAC[[#This Row],[especie]],[1]!ESPECIES[#Data],9,FALSE)</f>
        <v/>
      </c>
    </row>
    <row r="227">
      <c r="A227" s="4" t="n">
        <v>16780</v>
      </c>
      <c r="B227" s="5" t="n">
        <v>44676</v>
      </c>
      <c r="C227" s="13" t="inlineStr">
        <is>
          <t>VTA</t>
        </is>
      </c>
      <c r="D227" s="13" t="n">
        <v>39</v>
      </c>
      <c r="E227" s="10">
        <f>IF(D227&gt;0,VLOOKUP(OPERAC[[#This Row],[COD CART]],[1]!MatrizCortoLargoCyl[#All],3,0),"")</f>
        <v/>
      </c>
      <c r="F227" s="13" t="inlineStr">
        <is>
          <t>TSLA/V/810,00/29-04-22</t>
        </is>
      </c>
      <c r="G227" s="6" t="n">
        <v>-2000</v>
      </c>
      <c r="H227" s="6" t="n">
        <v>1983</v>
      </c>
      <c r="I227" s="7">
        <f>-H227/G227</f>
        <v/>
      </c>
      <c r="J227" s="11" t="n">
        <v>44679</v>
      </c>
      <c r="K227" s="6" t="n">
        <v>-2000</v>
      </c>
      <c r="L227" s="6" t="n">
        <v>-31969.45</v>
      </c>
      <c r="M227" s="7">
        <f>IF(N227=0,+L227+H227,0)</f>
        <v/>
      </c>
      <c r="N227" s="7">
        <f>IF((+G227-K227)=0,0,+G227-K227)</f>
        <v/>
      </c>
      <c r="O227" s="7">
        <f>IF(N227=0,0,(L227+H227)/-N227)</f>
        <v/>
      </c>
      <c r="P227" s="7">
        <f>VLOOKUP(OPERAC[[#This Row],[especie]],[1]!ESPECIES[#All],6,0)</f>
        <v/>
      </c>
      <c r="Q227" s="7">
        <f>IF(N227&lt;&gt;0,P227*N227,0)</f>
        <v/>
      </c>
      <c r="R227" s="8">
        <f>IF(Q227&lt;&gt;0,Q227+H227+L227,0)</f>
        <v/>
      </c>
      <c r="S227" s="9">
        <f>VLOOKUP(OPERAC[[#This Row],[especie]],[1]!ESPECIES[#Data],9,FALSE)</f>
        <v/>
      </c>
    </row>
    <row r="228">
      <c r="A228" s="4" t="n">
        <v>16780</v>
      </c>
      <c r="B228" s="5" t="n">
        <v>44700</v>
      </c>
      <c r="C228" s="13" t="inlineStr">
        <is>
          <t>VTA</t>
        </is>
      </c>
      <c r="D228" s="13" t="n">
        <v>39</v>
      </c>
      <c r="E228" s="10">
        <f>IF(D228&gt;0,VLOOKUP(OPERAC[[#This Row],[COD CART]],[1]!MatrizCortoLargoCyl[#All],3,0),"")</f>
        <v/>
      </c>
      <c r="F228" s="13" t="inlineStr">
        <is>
          <t>TSLA/P/605,00/20-05-22</t>
        </is>
      </c>
      <c r="G228" s="6" t="n">
        <v>-2000</v>
      </c>
      <c r="H228" s="6" t="n">
        <v>1980</v>
      </c>
      <c r="I228" s="7">
        <f>-H228/G228</f>
        <v/>
      </c>
      <c r="J228" s="11" t="n">
        <v>44701</v>
      </c>
      <c r="K228" s="6" t="n">
        <v>-2000</v>
      </c>
      <c r="L228" s="6" t="n">
        <v>0</v>
      </c>
      <c r="M228" s="7">
        <f>IF(N228=0,+L228+H228,0)</f>
        <v/>
      </c>
      <c r="N228" s="7">
        <f>IF((+G228-K228)=0,0,+G228-K228)</f>
        <v/>
      </c>
      <c r="O228" s="7">
        <f>IF(N228=0,0,(L228+H228)/-N228)</f>
        <v/>
      </c>
      <c r="P228" s="7">
        <f>VLOOKUP(OPERAC[[#This Row],[especie]],[1]!ESPECIES[#All],6,0)</f>
        <v/>
      </c>
      <c r="Q228" s="7">
        <f>IF(N228&lt;&gt;0,P228*N228,0)</f>
        <v/>
      </c>
      <c r="R228" s="8">
        <f>IF(Q228&lt;&gt;0,Q228+H228+L228,0)</f>
        <v/>
      </c>
      <c r="S228" s="9">
        <f>VLOOKUP(OPERAC[[#This Row],[especie]],[1]!ESPECIES[#Data],9,FALSE)</f>
        <v/>
      </c>
    </row>
    <row r="229">
      <c r="A229" s="4" t="n">
        <v>16780</v>
      </c>
      <c r="B229" s="5" t="n">
        <v>44700</v>
      </c>
      <c r="C229" s="13" t="inlineStr">
        <is>
          <t>VTA</t>
        </is>
      </c>
      <c r="D229" s="13" t="n">
        <v>39</v>
      </c>
      <c r="E229" s="10">
        <f>IF(D229&gt;0,VLOOKUP(OPERAC[[#This Row],[COD CART]],[1]!MatrizCortoLargoCyl[#All],3,0),"")</f>
        <v/>
      </c>
      <c r="F229" s="13" t="inlineStr">
        <is>
          <t>TSLA/C/770,00/20-05-22</t>
        </is>
      </c>
      <c r="G229" s="6" t="n">
        <v>-1000</v>
      </c>
      <c r="H229" s="6" t="n">
        <v>1980</v>
      </c>
      <c r="I229" s="7">
        <f>-H229/G229</f>
        <v/>
      </c>
      <c r="J229" s="11" t="n">
        <v>44701</v>
      </c>
      <c r="K229" s="6" t="n">
        <v>-1000</v>
      </c>
      <c r="L229" s="6" t="n">
        <v>0</v>
      </c>
      <c r="M229" s="7">
        <f>IF(N229=0,+L229+H229,0)</f>
        <v/>
      </c>
      <c r="N229" s="7">
        <f>IF((+G229-K229)=0,0,+G229-K229)</f>
        <v/>
      </c>
      <c r="O229" s="7">
        <f>IF(N229=0,0,(L229+H229)/-N229)</f>
        <v/>
      </c>
      <c r="P229" s="7">
        <f>VLOOKUP(OPERAC[[#This Row],[especie]],[1]!ESPECIES[#All],6,0)</f>
        <v/>
      </c>
      <c r="Q229" s="7">
        <f>IF(N229&lt;&gt;0,P229*N229,0)</f>
        <v/>
      </c>
      <c r="R229" s="8">
        <f>IF(Q229&lt;&gt;0,Q229+H229+L229,0)</f>
        <v/>
      </c>
      <c r="S229" s="9">
        <f>VLOOKUP(OPERAC[[#This Row],[especie]],[1]!ESPECIES[#Data],9,FALSE)</f>
        <v/>
      </c>
    </row>
    <row r="230">
      <c r="A230" s="4" t="n">
        <v>3787</v>
      </c>
      <c r="B230" s="5" t="n">
        <v>44643</v>
      </c>
      <c r="C230" s="13" t="inlineStr">
        <is>
          <t>VTA</t>
        </is>
      </c>
      <c r="D230" s="13" t="n">
        <v>39</v>
      </c>
      <c r="E230" s="10">
        <f>IF(D230&gt;0,VLOOKUP(OPERAC[[#This Row],[COD CART]],[1]!MatrizCortoLargoCyl[#All],3,0),"")</f>
        <v/>
      </c>
      <c r="F230" s="13" t="inlineStr">
        <is>
          <t>TSLA/V/875,00/25-03-22</t>
        </is>
      </c>
      <c r="G230" s="6" t="n">
        <v>-2000</v>
      </c>
      <c r="H230" s="6" t="n">
        <v>1970.16</v>
      </c>
      <c r="I230" s="7">
        <f>-H230/G230</f>
        <v/>
      </c>
      <c r="J230" s="11" t="n">
        <v>44645</v>
      </c>
      <c r="K230" s="6" t="n">
        <v>-2000</v>
      </c>
      <c r="L230" s="6" t="n">
        <v>0</v>
      </c>
      <c r="M230" s="7">
        <f>IF(N230=0,+L230+H230,0)</f>
        <v/>
      </c>
      <c r="N230" s="7">
        <f>IF((+G230-K230)=0,0,+G230-K230)</f>
        <v/>
      </c>
      <c r="O230" s="7">
        <f>IF(N230=0,0,(L230+H230)/-N230)</f>
        <v/>
      </c>
      <c r="P230" s="7">
        <f>VLOOKUP(OPERAC[[#This Row],[especie]],[1]!ESPECIES[#All],6,0)</f>
        <v/>
      </c>
      <c r="Q230" s="7">
        <f>IF(N230&lt;&gt;0,P230*N230,0)</f>
        <v/>
      </c>
      <c r="R230" s="8">
        <f>IF(Q230&lt;&gt;0,Q230+H230+L230,0)</f>
        <v/>
      </c>
      <c r="S230" s="9">
        <f>VLOOKUP(OPERAC[[#This Row],[especie]],[1]!ESPECIES[#Data],9,FALSE)</f>
        <v/>
      </c>
    </row>
    <row r="231">
      <c r="A231" s="4" t="n">
        <v>3728</v>
      </c>
      <c r="B231" s="5" t="n">
        <v>44167</v>
      </c>
      <c r="C231" s="13" t="inlineStr">
        <is>
          <t>VTA</t>
        </is>
      </c>
      <c r="D231" s="13" t="n">
        <v>39</v>
      </c>
      <c r="E231" s="10">
        <f>IF(D231&gt;0,VLOOKUP(OPERAC[[#This Row],[COD CART]],[1]!MatrizCortoLargoCyl[#All],3,0),"")</f>
        <v/>
      </c>
      <c r="F231" s="13" t="inlineStr">
        <is>
          <t>PBR/V/10,00/21-01-22</t>
        </is>
      </c>
      <c r="G231" s="6" t="n">
        <v>-1000</v>
      </c>
      <c r="H231" s="6" t="n">
        <v>1942.6</v>
      </c>
      <c r="I231" s="7">
        <f>-H231/G231</f>
        <v/>
      </c>
      <c r="J231" s="11" t="n">
        <v>44582</v>
      </c>
      <c r="K231" s="6" t="n">
        <v>-1000</v>
      </c>
      <c r="L231" s="6" t="n">
        <v>0</v>
      </c>
      <c r="M231" s="7">
        <f>IF(N231=0,+L231+H231,0)</f>
        <v/>
      </c>
      <c r="N231" s="7">
        <f>IF((+G231-K231)=0,0,+G231-K231)</f>
        <v/>
      </c>
      <c r="O231" s="7">
        <f>IF(N231=0,0,(L231+H231)/-N231)</f>
        <v/>
      </c>
      <c r="P231" s="7">
        <f>VLOOKUP(OPERAC[[#This Row],[especie]],[1]!ESPECIES[#All],6,0)</f>
        <v/>
      </c>
      <c r="Q231" s="7">
        <f>IF(N231&lt;&gt;0,P231*N231,0)</f>
        <v/>
      </c>
      <c r="R231" s="8">
        <f>IF(Q231&lt;&gt;0,Q231+H231+L231,0)</f>
        <v/>
      </c>
      <c r="S231" s="9">
        <f>VLOOKUP(OPERAC[[#This Row],[especie]],[1]!ESPECIES[#Data],9,FALSE)</f>
        <v/>
      </c>
    </row>
    <row r="232">
      <c r="A232" s="4" t="n">
        <v>3728</v>
      </c>
      <c r="B232" s="5" t="n">
        <v>44676</v>
      </c>
      <c r="C232" s="13" t="inlineStr">
        <is>
          <t>VTA</t>
        </is>
      </c>
      <c r="D232" s="13" t="n">
        <v>39</v>
      </c>
      <c r="E232" s="10">
        <f>IF(D232&gt;0,VLOOKUP(OPERAC[[#This Row],[COD CART]],[1]!MatrizCortoLargoCyl[#All],3,0),"")</f>
        <v/>
      </c>
      <c r="F232" s="13" t="inlineStr">
        <is>
          <t>TSLA/V/850,00/29-04-22</t>
        </is>
      </c>
      <c r="G232" s="6" t="n">
        <v>-1000</v>
      </c>
      <c r="H232" s="6">
        <f>-1.93*OPERAC[[#This Row],[cantidad]]</f>
        <v/>
      </c>
      <c r="I232" s="7">
        <f>-H232/G232</f>
        <v/>
      </c>
      <c r="J232" s="11" t="n">
        <v>44677</v>
      </c>
      <c r="K232" s="6">
        <f>-500-500</f>
        <v/>
      </c>
      <c r="L232" s="6">
        <f>-8743.735-5530.525</f>
        <v/>
      </c>
      <c r="M232" s="7">
        <f>IF(N232=0,+L232+H232,0)</f>
        <v/>
      </c>
      <c r="N232" s="7">
        <f>IF((+G232-K232)=0,0,+G232-K232)</f>
        <v/>
      </c>
      <c r="O232" s="7">
        <f>IF(N232=0,0,(L232+H232)/-N232)</f>
        <v/>
      </c>
      <c r="P232" s="7">
        <f>VLOOKUP(OPERAC[[#This Row],[especie]],[1]!ESPECIES[#All],6,0)</f>
        <v/>
      </c>
      <c r="Q232" s="7">
        <f>IF(N232&lt;&gt;0,P232*N232,0)</f>
        <v/>
      </c>
      <c r="R232" s="8">
        <f>IF(Q232&lt;&gt;0,Q232+H232+L232,0)</f>
        <v/>
      </c>
      <c r="S232" s="9">
        <f>VLOOKUP(OPERAC[[#This Row],[especie]],[1]!ESPECIES[#Data],9,FALSE)</f>
        <v/>
      </c>
    </row>
    <row r="233">
      <c r="A233" s="4" t="n">
        <v>2218</v>
      </c>
      <c r="B233" s="5" t="n">
        <v>44676</v>
      </c>
      <c r="C233" s="13" t="inlineStr">
        <is>
          <t>VTA</t>
        </is>
      </c>
      <c r="D233" s="13" t="n">
        <v>39</v>
      </c>
      <c r="E233" s="10">
        <f>IF(D233&gt;0,VLOOKUP(OPERAC[[#This Row],[COD CART]],[1]!MatrizCortoLargoCyl[#All],3,0),"")</f>
        <v/>
      </c>
      <c r="F233" s="13" t="inlineStr">
        <is>
          <t>TSLA/V/850,00/29-04-22</t>
        </is>
      </c>
      <c r="G233" s="6" t="n">
        <v>-1000</v>
      </c>
      <c r="H233" s="6">
        <f>-1.93*OPERAC[[#This Row],[cantidad]]</f>
        <v/>
      </c>
      <c r="I233" s="7">
        <f>-H233/G233</f>
        <v/>
      </c>
      <c r="J233" s="11" t="n">
        <v>44677</v>
      </c>
      <c r="K233" s="6">
        <f>-500-500</f>
        <v/>
      </c>
      <c r="L233" s="6">
        <f>-8743.735-5530.525</f>
        <v/>
      </c>
      <c r="M233" s="7">
        <f>IF(N233=0,+L233+H233,0)</f>
        <v/>
      </c>
      <c r="N233" s="7">
        <f>IF((+G233-K233)=0,0,+G233-K233)</f>
        <v/>
      </c>
      <c r="O233" s="7">
        <f>IF(N233=0,0,(L233+H233)/-N233)</f>
        <v/>
      </c>
      <c r="P233" s="7">
        <f>VLOOKUP(OPERAC[[#This Row],[especie]],[1]!ESPECIES[#All],6,0)</f>
        <v/>
      </c>
      <c r="Q233" s="7">
        <f>IF(N233&lt;&gt;0,P233*N233,0)</f>
        <v/>
      </c>
      <c r="R233" s="8">
        <f>IF(Q233&lt;&gt;0,Q233+H233+L233,0)</f>
        <v/>
      </c>
      <c r="S233" s="9">
        <f>VLOOKUP(OPERAC[[#This Row],[especie]],[1]!ESPECIES[#Data],9,FALSE)</f>
        <v/>
      </c>
    </row>
    <row r="234">
      <c r="A234" s="4" t="n">
        <v>3818</v>
      </c>
      <c r="B234" s="5" t="n">
        <v>44588</v>
      </c>
      <c r="C234" s="13" t="inlineStr">
        <is>
          <t>VTA</t>
        </is>
      </c>
      <c r="D234" s="13" t="n">
        <v>39</v>
      </c>
      <c r="E234" s="10">
        <f>IF(D234&gt;0,VLOOKUP(OPERAC[[#This Row],[COD CART]],[1]!MatrizCortoLargoCyl[#All],3,0),"")</f>
        <v/>
      </c>
      <c r="F234" s="13" t="inlineStr">
        <is>
          <t>ROKU/V/150,00/04-02-22</t>
        </is>
      </c>
      <c r="G234" s="6" t="n">
        <v>-200</v>
      </c>
      <c r="H234" s="6" t="n">
        <v>1899.875</v>
      </c>
      <c r="I234" s="7">
        <f>-H234/G234</f>
        <v/>
      </c>
      <c r="J234" s="11" t="n">
        <v>44595</v>
      </c>
      <c r="K234" s="6" t="n">
        <v>-200</v>
      </c>
      <c r="L234" s="6" t="n">
        <v>-1170.08</v>
      </c>
      <c r="M234" s="7">
        <f>IF(N234=0,+L234+H234,0)</f>
        <v/>
      </c>
      <c r="N234" s="7">
        <f>IF((+G234-K234)=0,0,+G234-K234)</f>
        <v/>
      </c>
      <c r="O234" s="7">
        <f>IF(N234=0,0,(L234+H234)/-N234)</f>
        <v/>
      </c>
      <c r="P234" s="7">
        <f>VLOOKUP(OPERAC[[#This Row],[especie]],[1]!ESPECIES[#All],6,0)</f>
        <v/>
      </c>
      <c r="Q234" s="7">
        <f>IF(N234&lt;&gt;0,P234*N234,0)</f>
        <v/>
      </c>
      <c r="R234" s="8">
        <f>IF(Q234&lt;&gt;0,Q234+H234+L234,0)</f>
        <v/>
      </c>
      <c r="S234" s="9">
        <f>VLOOKUP(OPERAC[[#This Row],[especie]],[1]!ESPECIES[#Data],9,FALSE)</f>
        <v/>
      </c>
    </row>
    <row r="235">
      <c r="A235" s="4" t="n">
        <v>3728</v>
      </c>
      <c r="B235" s="5" t="n">
        <v>44664</v>
      </c>
      <c r="C235" s="13" t="inlineStr">
        <is>
          <t>VTA</t>
        </is>
      </c>
      <c r="D235" s="13" t="n">
        <v>39</v>
      </c>
      <c r="E235" s="10">
        <f>IF(D235&gt;0,VLOOKUP(OPERAC[[#This Row],[COD CART]],[1]!MatrizCortoLargoCyl[#All],3,0),"")</f>
        <v/>
      </c>
      <c r="F235" s="13" t="inlineStr">
        <is>
          <t>UPST/V/85,00/14-04-22</t>
        </is>
      </c>
      <c r="G235" s="6" t="n">
        <v>-1000</v>
      </c>
      <c r="H235" s="6" t="n">
        <v>1898.1</v>
      </c>
      <c r="I235" s="7">
        <f>-H235/G235</f>
        <v/>
      </c>
      <c r="J235" s="11" t="n">
        <v>44665</v>
      </c>
      <c r="K235" s="6" t="n">
        <v>-1000</v>
      </c>
      <c r="L235" s="6" t="n">
        <v>-3403.4</v>
      </c>
      <c r="M235" s="7">
        <f>IF(N235=0,+L235+H235,0)</f>
        <v/>
      </c>
      <c r="N235" s="7">
        <f>IF((+G235-K235)=0,0,+G235-K235)</f>
        <v/>
      </c>
      <c r="O235" s="7">
        <f>IF(N235=0,0,(L235+H235)/-N235)</f>
        <v/>
      </c>
      <c r="P235" s="7">
        <f>VLOOKUP(OPERAC[[#This Row],[especie]],[1]!ESPECIES[#All],6,0)</f>
        <v/>
      </c>
      <c r="Q235" s="7">
        <f>IF(N235&lt;&gt;0,P235*N235,0)</f>
        <v/>
      </c>
      <c r="R235" s="8">
        <f>IF(Q235&lt;&gt;0,Q235+H235+L235,0)</f>
        <v/>
      </c>
      <c r="S235" s="9">
        <f>VLOOKUP(OPERAC[[#This Row],[especie]],[1]!ESPECIES[#Data],9,FALSE)</f>
        <v/>
      </c>
    </row>
    <row r="236">
      <c r="A236" s="4" t="n">
        <v>3728</v>
      </c>
      <c r="B236" s="5" t="n">
        <v>44672</v>
      </c>
      <c r="C236" s="13" t="inlineStr">
        <is>
          <t>VTA</t>
        </is>
      </c>
      <c r="D236" s="13" t="n">
        <v>39</v>
      </c>
      <c r="E236" s="10">
        <f>IF(D236&gt;0,VLOOKUP(OPERAC[[#This Row],[COD CART]],[1]!MatrizCortoLargoCyl[#All],3,0),"")</f>
        <v/>
      </c>
      <c r="F236" s="13" t="inlineStr">
        <is>
          <t>UPST/V/75,00/22-04-22</t>
        </is>
      </c>
      <c r="G236" s="6" t="n">
        <v>-900</v>
      </c>
      <c r="H236" s="6" t="n">
        <v>1888.11</v>
      </c>
      <c r="I236" s="7">
        <f>-H236/G236</f>
        <v/>
      </c>
      <c r="J236" s="11" t="n">
        <v>44673</v>
      </c>
      <c r="K236" s="6" t="n">
        <v>-900</v>
      </c>
      <c r="L236" s="6" t="n">
        <v>-1891.89</v>
      </c>
      <c r="M236" s="7">
        <f>IF(N236=0,+L236+H236,0)</f>
        <v/>
      </c>
      <c r="N236" s="7">
        <f>IF((+G236-K236)=0,0,+G236-K236)</f>
        <v/>
      </c>
      <c r="O236" s="7">
        <f>IF(N236=0,0,(L236+H236)/-N236)</f>
        <v/>
      </c>
      <c r="P236" s="7">
        <f>VLOOKUP(OPERAC[[#This Row],[especie]],[1]!ESPECIES[#All],6,0)</f>
        <v/>
      </c>
      <c r="Q236" s="7">
        <f>IF(N236&lt;&gt;0,P236*N236,0)</f>
        <v/>
      </c>
      <c r="R236" s="8">
        <f>IF(Q236&lt;&gt;0,Q236+H236+L236,0)</f>
        <v/>
      </c>
      <c r="S236" s="9">
        <f>VLOOKUP(OPERAC[[#This Row],[especie]],[1]!ESPECIES[#Data],9,FALSE)</f>
        <v/>
      </c>
    </row>
    <row r="237">
      <c r="A237" s="4" t="n">
        <v>18711</v>
      </c>
      <c r="B237" s="5" t="n">
        <v>44698</v>
      </c>
      <c r="C237" s="13" t="inlineStr">
        <is>
          <t>VTA</t>
        </is>
      </c>
      <c r="D237" s="13" t="n">
        <v>39</v>
      </c>
      <c r="E237" s="10">
        <f>IF(D237&gt;0,VLOOKUP(OPERAC[[#This Row],[COD CART]],[1]!MatrizCortoLargoCyl[#All],3,0),"")</f>
        <v/>
      </c>
      <c r="F237" s="13" t="inlineStr">
        <is>
          <t>TSLA/V/550,00/27-05-22</t>
        </is>
      </c>
      <c r="G237" s="6" t="n">
        <v>-800</v>
      </c>
      <c r="H237" s="6" t="n">
        <v>1864.02</v>
      </c>
      <c r="I237" s="7">
        <f>-H237/G237</f>
        <v/>
      </c>
      <c r="J237" s="11" t="n">
        <v>44706</v>
      </c>
      <c r="K237" s="6">
        <f>+OPERAC[[#This Row],[cantidad]]</f>
        <v/>
      </c>
      <c r="L237" s="6" t="n">
        <v>-363.06</v>
      </c>
      <c r="M237" s="7">
        <f>IF(N237=0,+L237+H237,0)</f>
        <v/>
      </c>
      <c r="N237" s="7">
        <f>IF((+G237-K237)=0,0,+G237-K237)</f>
        <v/>
      </c>
      <c r="O237" s="7">
        <f>IF(N237=0,0,(L237+H237)/-N237)</f>
        <v/>
      </c>
      <c r="P237" s="7">
        <f>VLOOKUP(OPERAC[[#This Row],[especie]],[1]!ESPECIES[#All],6,0)</f>
        <v/>
      </c>
      <c r="Q237" s="7">
        <f>IF(N237&lt;&gt;0,P237*N237,0)</f>
        <v/>
      </c>
      <c r="R237" s="8">
        <f>IF(Q237&lt;&gt;0,Q237+H237+L237,0)</f>
        <v/>
      </c>
      <c r="S237" s="9">
        <f>VLOOKUP(OPERAC[[#This Row],[especie]],[1]!ESPECIES[#Data],9,FALSE)</f>
        <v/>
      </c>
    </row>
    <row r="238">
      <c r="A238" s="4" t="n">
        <v>6578</v>
      </c>
      <c r="B238" s="5" t="n">
        <v>44587</v>
      </c>
      <c r="C238" s="13" t="inlineStr">
        <is>
          <t>VTA</t>
        </is>
      </c>
      <c r="D238" s="13" t="n">
        <v>39</v>
      </c>
      <c r="E238" s="10">
        <f>IF(D238&gt;0,VLOOKUP(OPERAC[[#This Row],[COD CART]],[1]!MatrizCortoLargoCyl[#All],3,0),"")</f>
        <v/>
      </c>
      <c r="F238" s="13" t="inlineStr">
        <is>
          <t>TSLA/V/710,00/28-01-22</t>
        </is>
      </c>
      <c r="G238" s="6" t="n">
        <v>-2000</v>
      </c>
      <c r="H238" s="6" t="n">
        <v>1859.68</v>
      </c>
      <c r="I238" s="7">
        <f>-H238/G238</f>
        <v/>
      </c>
      <c r="J238" s="11" t="n">
        <v>44589</v>
      </c>
      <c r="K238" s="6" t="n">
        <v>-2000</v>
      </c>
      <c r="L238" s="6" t="n">
        <v>-60.48</v>
      </c>
      <c r="M238" s="7">
        <f>IF(N238=0,+L238+H238,0)</f>
        <v/>
      </c>
      <c r="N238" s="7">
        <f>IF((+G238-K238)=0,0,+G238-K238)</f>
        <v/>
      </c>
      <c r="O238" s="7">
        <f>IF(N238=0,0,(L238+H238)/-N238)</f>
        <v/>
      </c>
      <c r="P238" s="7">
        <f>VLOOKUP(OPERAC[[#This Row],[especie]],[1]!ESPECIES[#All],6,0)</f>
        <v/>
      </c>
      <c r="Q238" s="7">
        <f>IF(N238&lt;&gt;0,P238*N238,0)</f>
        <v/>
      </c>
      <c r="R238" s="8">
        <f>IF(Q238&lt;&gt;0,Q238+H238+L238,0)</f>
        <v/>
      </c>
      <c r="S238" s="9">
        <f>VLOOKUP(OPERAC[[#This Row],[especie]],[1]!ESPECIES[#Data],9,FALSE)</f>
        <v/>
      </c>
    </row>
    <row r="239">
      <c r="A239" s="4" t="n">
        <v>15189</v>
      </c>
      <c r="B239" s="5" t="n">
        <v>44441</v>
      </c>
      <c r="C239" s="13" t="inlineStr">
        <is>
          <t>VTA</t>
        </is>
      </c>
      <c r="D239" s="13" t="n">
        <v>39</v>
      </c>
      <c r="E239" s="10">
        <f>IF(D239&gt;0,VLOOKUP(OPERAC[[#This Row],[COD CART]],[1]!MatrizCortoLargoCyl[#All],3,0),"")</f>
        <v/>
      </c>
      <c r="F239" s="13" t="inlineStr">
        <is>
          <t>EDIT/V/35,00/20-01-23</t>
        </is>
      </c>
      <c r="G239" s="6" t="n">
        <v>-300</v>
      </c>
      <c r="H239" s="6" t="n">
        <v>1850</v>
      </c>
      <c r="I239" s="7">
        <f>-H239/G239</f>
        <v/>
      </c>
      <c r="J239" s="11" t="n">
        <v>44614</v>
      </c>
      <c r="K239" s="6" t="n">
        <v>-300</v>
      </c>
      <c r="L239" s="6" t="n">
        <v>-6410.8</v>
      </c>
      <c r="M239" s="7">
        <f>IF(N239=0,+L239+H239,0)</f>
        <v/>
      </c>
      <c r="N239" s="7">
        <f>IF((+G239-K239)=0,0,+G239-K239)</f>
        <v/>
      </c>
      <c r="O239" s="7">
        <f>IF(N239=0,0,(L239+H239)/-N239)</f>
        <v/>
      </c>
      <c r="P239" s="7">
        <f>VLOOKUP(OPERAC[[#This Row],[especie]],[1]!ESPECIES[#All],6,0)</f>
        <v/>
      </c>
      <c r="Q239" s="7">
        <f>IF(N239&lt;&gt;0,P239*N239,0)</f>
        <v/>
      </c>
      <c r="R239" s="8">
        <f>IF(Q239&lt;&gt;0,Q239+H239+L239,0)</f>
        <v/>
      </c>
      <c r="S239" s="9">
        <f>VLOOKUP(OPERAC[[#This Row],[especie]],[1]!ESPECIES[#Data],9,FALSE)</f>
        <v/>
      </c>
    </row>
    <row r="240">
      <c r="A240" s="4" t="n">
        <v>19867</v>
      </c>
      <c r="B240" s="5" t="n">
        <v>44586</v>
      </c>
      <c r="C240" s="13" t="inlineStr">
        <is>
          <t>VTA</t>
        </is>
      </c>
      <c r="D240" s="13" t="n">
        <v>39</v>
      </c>
      <c r="E240" s="10">
        <f>IF(D240&gt;0,VLOOKUP(OPERAC[[#This Row],[COD CART]],[1]!MatrizCortoLargoCyl[#All],3,0),"")</f>
        <v/>
      </c>
      <c r="F240" s="13" t="inlineStr">
        <is>
          <t>MELI/V/750,00/04-02-22</t>
        </is>
      </c>
      <c r="G240" s="6" t="n">
        <v>-400</v>
      </c>
      <c r="H240" s="6" t="n">
        <v>1849.088</v>
      </c>
      <c r="I240" s="7">
        <f>-H240/G240</f>
        <v/>
      </c>
      <c r="J240" s="11" t="n">
        <v>44592</v>
      </c>
      <c r="K240" s="6" t="n">
        <v>-400</v>
      </c>
      <c r="L240" s="6" t="n">
        <v>-40.32</v>
      </c>
      <c r="M240" s="7">
        <f>IF(N240=0,+L240+H240,0)</f>
        <v/>
      </c>
      <c r="N240" s="7">
        <f>IF((+G240-K240)=0,0,+G240-K240)</f>
        <v/>
      </c>
      <c r="O240" s="7">
        <f>IF(N240=0,0,(L240+H240)/-N240)</f>
        <v/>
      </c>
      <c r="P240" s="7">
        <f>VLOOKUP(OPERAC[[#This Row],[especie]],[1]!ESPECIES[#All],6,0)</f>
        <v/>
      </c>
      <c r="Q240" s="7">
        <f>IF(N240&lt;&gt;0,P240*N240,0)</f>
        <v/>
      </c>
      <c r="R240" s="8">
        <f>IF(Q240&lt;&gt;0,Q240+H240+L240,0)</f>
        <v/>
      </c>
      <c r="S240" s="9">
        <f>VLOOKUP(OPERAC[[#This Row],[especie]],[1]!ESPECIES[#Data],9,FALSE)</f>
        <v/>
      </c>
    </row>
    <row r="241">
      <c r="A241" s="4" t="n">
        <v>18713</v>
      </c>
      <c r="B241" s="5" t="n">
        <v>44567</v>
      </c>
      <c r="C241" s="13" t="inlineStr">
        <is>
          <t>VTA</t>
        </is>
      </c>
      <c r="D241" s="13" t="n">
        <v>39</v>
      </c>
      <c r="E241" s="10">
        <f>IF(D241&gt;0,VLOOKUP(OPERAC[[#This Row],[COD CART]],[1]!MatrizCortoLargoCyl[#All],3,0),"")</f>
        <v/>
      </c>
      <c r="F241" s="13" t="inlineStr">
        <is>
          <t>ACB/V/6,00/14-01-22</t>
        </is>
      </c>
      <c r="G241" s="6" t="n">
        <v>-2900</v>
      </c>
      <c r="H241" s="6" t="n">
        <v>1844.4319</v>
      </c>
      <c r="I241" s="7">
        <f>-H241/G241</f>
        <v/>
      </c>
      <c r="J241" s="11" t="n">
        <v>44574</v>
      </c>
      <c r="K241" s="6">
        <f>+OPERAC[[#This Row],[cantidad]]</f>
        <v/>
      </c>
      <c r="L241" s="6" t="n">
        <v>-1341.305</v>
      </c>
      <c r="M241" s="7">
        <f>IF(N241=0,+L241+H241,0)</f>
        <v/>
      </c>
      <c r="N241" s="7">
        <f>IF((+G241-K241)=0,0,+G241-K241)</f>
        <v/>
      </c>
      <c r="O241" s="7">
        <f>IF(N241=0,0,(L241+H241)/-N241)</f>
        <v/>
      </c>
      <c r="P241" s="7">
        <f>VLOOKUP(OPERAC[[#This Row],[especie]],[1]!ESPECIES[#All],6,0)</f>
        <v/>
      </c>
      <c r="Q241" s="7">
        <f>IF(N241&lt;&gt;0,P241*N241,0)</f>
        <v/>
      </c>
      <c r="R241" s="8">
        <f>IF(Q241&lt;&gt;0,Q241+H241+L241,0)</f>
        <v/>
      </c>
      <c r="S241" s="9">
        <f>VLOOKUP(OPERAC[[#This Row],[especie]],[1]!ESPECIES[#Data],9,FALSE)</f>
        <v/>
      </c>
    </row>
    <row r="242">
      <c r="A242" s="4" t="n">
        <v>7916</v>
      </c>
      <c r="B242" s="5" t="n">
        <v>44714</v>
      </c>
      <c r="C242" s="13" t="inlineStr">
        <is>
          <t>VTA</t>
        </is>
      </c>
      <c r="D242" s="13" t="n">
        <v>39</v>
      </c>
      <c r="E242" s="10">
        <f>IF(D242&gt;0,VLOOKUP(OPERAC[[#This Row],[COD CART]],[1]!MatrizCortoLargoCyl[#All],3,0),"")</f>
        <v/>
      </c>
      <c r="F242" s="13" t="inlineStr">
        <is>
          <t>TSLA/V/685,00/03-06-22</t>
        </is>
      </c>
      <c r="G242" s="6" t="n">
        <v>-600</v>
      </c>
      <c r="H242" s="6" t="n">
        <v>1844.19</v>
      </c>
      <c r="I242" s="7">
        <f>-H242/G242</f>
        <v/>
      </c>
      <c r="J242" s="5" t="n">
        <v>44715</v>
      </c>
      <c r="K242" s="6">
        <f>+OPERAC[[#This Row],[cantidad]]</f>
        <v/>
      </c>
      <c r="L242" s="6" t="n">
        <v>0</v>
      </c>
      <c r="M242" s="7">
        <f>IF(N242=0,+L242+H242,0)</f>
        <v/>
      </c>
      <c r="N242" s="7">
        <f>IF((+G242-K242)=0,0,+G242-K242)</f>
        <v/>
      </c>
      <c r="O242" s="7">
        <f>IF(N242=0,0,(L242+H242)/-N242)</f>
        <v/>
      </c>
      <c r="P242" s="7">
        <f>VLOOKUP(OPERAC[[#This Row],[especie]],[1]!ESPECIES[#All],6,0)</f>
        <v/>
      </c>
      <c r="Q242" s="7">
        <f>IF(N242&lt;&gt;0,P242*N242,0)</f>
        <v/>
      </c>
      <c r="R242" s="8">
        <f>IF(Q242&lt;&gt;0,Q242+H242+L242,0)</f>
        <v/>
      </c>
      <c r="S242" s="9">
        <f>VLOOKUP(OPERAC[[#This Row],[especie]],[1]!ESPECIES[#Data],9,FALSE)</f>
        <v/>
      </c>
    </row>
    <row r="243">
      <c r="A243" s="4" t="n">
        <v>7914</v>
      </c>
      <c r="B243" s="5" t="n">
        <v>44441</v>
      </c>
      <c r="C243" s="13" t="inlineStr">
        <is>
          <t>VTA</t>
        </is>
      </c>
      <c r="D243" s="13" t="n">
        <v>39</v>
      </c>
      <c r="E243" s="10">
        <f>IF(D243&gt;0,VLOOKUP(OPERAC[[#This Row],[COD CART]],[1]!MatrizCortoLargoCyl[#All],3,0),"")</f>
        <v/>
      </c>
      <c r="F243" s="13" t="inlineStr">
        <is>
          <t>DDD/V/15,00/20-01-23</t>
        </is>
      </c>
      <c r="G243" s="6" t="n">
        <v>-1000</v>
      </c>
      <c r="H243" s="6" t="n">
        <v>1839.647</v>
      </c>
      <c r="I243" s="7">
        <f>-H243/G243</f>
        <v/>
      </c>
      <c r="J243" s="11" t="n">
        <v>44573</v>
      </c>
      <c r="K243" s="6" t="n">
        <v>-1000</v>
      </c>
      <c r="L243" s="6" t="n">
        <v>-2442.07</v>
      </c>
      <c r="M243" s="7">
        <f>IF(N243=0,+L243+H243,0)</f>
        <v/>
      </c>
      <c r="N243" s="7">
        <f>IF((+G243-K243)=0,0,+G243-K243)</f>
        <v/>
      </c>
      <c r="O243" s="7">
        <f>IF(N243=0,0,(L243+H243)/-N243)</f>
        <v/>
      </c>
      <c r="P243" s="7">
        <f>VLOOKUP(OPERAC[[#This Row],[especie]],[1]!ESPECIES[#All],6,0)</f>
        <v/>
      </c>
      <c r="Q243" s="7">
        <f>IF(N243&lt;&gt;0,P243*N243,0)</f>
        <v/>
      </c>
      <c r="R243" s="8">
        <f>IF(Q243&lt;&gt;0,Q243+H243+L243,0)</f>
        <v/>
      </c>
      <c r="S243" s="9">
        <f>VLOOKUP(OPERAC[[#This Row],[especie]],[1]!ESPECIES[#Data],9,FALSE)</f>
        <v/>
      </c>
    </row>
    <row r="244">
      <c r="A244" s="4" t="n">
        <v>3728</v>
      </c>
      <c r="B244" s="5" t="n">
        <v>44678</v>
      </c>
      <c r="C244" s="13" t="inlineStr">
        <is>
          <t>VTA</t>
        </is>
      </c>
      <c r="D244" s="13" t="n">
        <v>39</v>
      </c>
      <c r="E244" s="10">
        <f>IF(D244&gt;0,VLOOKUP(OPERAC[[#This Row],[COD CART]],[1]!MatrizCortoLargoCyl[#All],3,0),"")</f>
        <v/>
      </c>
      <c r="F244" s="13" t="inlineStr">
        <is>
          <t>TSLA/V/700,00/06-05-22</t>
        </is>
      </c>
      <c r="G244" s="6" t="n">
        <v>-500</v>
      </c>
      <c r="H244" s="6" t="n">
        <v>1828.17</v>
      </c>
      <c r="I244" s="7">
        <f>-H244/G244</f>
        <v/>
      </c>
      <c r="J244" s="11" t="n">
        <v>44680</v>
      </c>
      <c r="K244" s="6" t="n">
        <v>-500</v>
      </c>
      <c r="L244" s="6" t="n">
        <v>-450.45</v>
      </c>
      <c r="M244" s="7">
        <f>IF(N244=0,+L244+H244,0)</f>
        <v/>
      </c>
      <c r="N244" s="7">
        <f>IF((+G244-K244)=0,0,+G244-K244)</f>
        <v/>
      </c>
      <c r="O244" s="7">
        <f>IF(N244=0,0,(L244+H244)/-N244)</f>
        <v/>
      </c>
      <c r="P244" s="7">
        <f>VLOOKUP(OPERAC[[#This Row],[especie]],[1]!ESPECIES[#All],6,0)</f>
        <v/>
      </c>
      <c r="Q244" s="7">
        <f>IF(N244&lt;&gt;0,P244*N244,0)</f>
        <v/>
      </c>
      <c r="R244" s="8">
        <f>IF(Q244&lt;&gt;0,Q244+H244+L244,0)</f>
        <v/>
      </c>
      <c r="S244" s="9">
        <f>VLOOKUP(OPERAC[[#This Row],[especie]],[1]!ESPECIES[#Data],9,FALSE)</f>
        <v/>
      </c>
    </row>
    <row r="245">
      <c r="A245" s="4" t="n">
        <v>2218</v>
      </c>
      <c r="B245" s="5" t="n">
        <v>44678</v>
      </c>
      <c r="C245" s="13" t="inlineStr">
        <is>
          <t>VTA</t>
        </is>
      </c>
      <c r="D245" s="13" t="n">
        <v>39</v>
      </c>
      <c r="E245" s="10">
        <f>IF(D245&gt;0,VLOOKUP(OPERAC[[#This Row],[COD CART]],[1]!MatrizCortoLargoCyl[#All],3,0),"")</f>
        <v/>
      </c>
      <c r="F245" s="13" t="inlineStr">
        <is>
          <t>TSLA/V/700,00/06-05-22</t>
        </is>
      </c>
      <c r="G245" s="6" t="n">
        <v>-500</v>
      </c>
      <c r="H245" s="6" t="n">
        <v>1828.17</v>
      </c>
      <c r="I245" s="7">
        <f>-H245/G245</f>
        <v/>
      </c>
      <c r="J245" s="11" t="n">
        <v>44680</v>
      </c>
      <c r="K245" s="6" t="n">
        <v>-500</v>
      </c>
      <c r="L245" s="6" t="n">
        <v>-450.45</v>
      </c>
      <c r="M245" s="7">
        <f>IF(N245=0,+L245+H245,0)</f>
        <v/>
      </c>
      <c r="N245" s="7">
        <f>IF((+G245-K245)=0,0,+G245-K245)</f>
        <v/>
      </c>
      <c r="O245" s="7">
        <f>IF(N245=0,0,(L245+H245)/-N245)</f>
        <v/>
      </c>
      <c r="P245" s="7">
        <f>VLOOKUP(OPERAC[[#This Row],[especie]],[1]!ESPECIES[#All],6,0)</f>
        <v/>
      </c>
      <c r="Q245" s="7">
        <f>IF(N245&lt;&gt;0,P245*N245,0)</f>
        <v/>
      </c>
      <c r="R245" s="8">
        <f>IF(Q245&lt;&gt;0,Q245+H245+L245,0)</f>
        <v/>
      </c>
      <c r="S245" s="9">
        <f>VLOOKUP(OPERAC[[#This Row],[especie]],[1]!ESPECIES[#Data],9,FALSE)</f>
        <v/>
      </c>
    </row>
    <row r="246">
      <c r="A246" s="4" t="n">
        <v>12627</v>
      </c>
      <c r="B246" s="5" t="n">
        <v>44596</v>
      </c>
      <c r="C246" s="13" t="inlineStr">
        <is>
          <t>VTA</t>
        </is>
      </c>
      <c r="D246" s="13" t="n">
        <v>39</v>
      </c>
      <c r="E246" s="10">
        <f>IF(D246&gt;0,VLOOKUP(OPERAC[[#This Row],[COD CART]],[1]!MatrizCortoLargoCyl[#All],3,0),"")</f>
        <v/>
      </c>
      <c r="F246" s="13" t="inlineStr">
        <is>
          <t>SMH/V/260,00/11-02-22</t>
        </is>
      </c>
      <c r="G246" s="6" t="n">
        <v>-600</v>
      </c>
      <c r="H246" s="6" t="n">
        <v>1805.178</v>
      </c>
      <c r="I246" s="7">
        <f>-H246/G246</f>
        <v/>
      </c>
      <c r="J246" s="11" t="n">
        <v>44603</v>
      </c>
      <c r="K246" s="6" t="n">
        <v>-600</v>
      </c>
      <c r="L246" s="6" t="n">
        <v>-60</v>
      </c>
      <c r="M246" s="7">
        <f>IF(N246=0,+L246+H246,0)</f>
        <v/>
      </c>
      <c r="N246" s="7">
        <f>IF((+G246-K246)=0,0,+G246-K246)</f>
        <v/>
      </c>
      <c r="O246" s="7">
        <f>IF(N246=0,0,(L246+H246)/-N246)</f>
        <v/>
      </c>
      <c r="P246" s="7">
        <f>VLOOKUP(OPERAC[[#This Row],[especie]],[1]!ESPECIES[#All],6,0)</f>
        <v/>
      </c>
      <c r="Q246" s="7">
        <f>IF(N246&lt;&gt;0,P246*N246,0)</f>
        <v/>
      </c>
      <c r="R246" s="8">
        <f>IF(Q246&lt;&gt;0,Q246+H246+L246,0)</f>
        <v/>
      </c>
      <c r="S246" s="9">
        <f>VLOOKUP(OPERAC[[#This Row],[especie]],[1]!ESPECIES[#Data],9,FALSE)</f>
        <v/>
      </c>
    </row>
    <row r="247">
      <c r="A247" s="4" t="n">
        <v>3728</v>
      </c>
      <c r="B247" s="5" t="n">
        <v>44673</v>
      </c>
      <c r="C247" s="13" t="inlineStr">
        <is>
          <t>VTA</t>
        </is>
      </c>
      <c r="D247" s="13" t="n">
        <v>39</v>
      </c>
      <c r="E247" s="10">
        <f>IF(D247&gt;0,VLOOKUP(OPERAC[[#This Row],[COD CART]],[1]!MatrizCortoLargoCyl[#All],3,0),"")</f>
        <v/>
      </c>
      <c r="F247" s="13" t="inlineStr">
        <is>
          <t>UPST/V/68,00/29-04-22</t>
        </is>
      </c>
      <c r="G247" s="6" t="n">
        <v>-900</v>
      </c>
      <c r="H247" s="6" t="n">
        <v>1798.2</v>
      </c>
      <c r="I247" s="7">
        <f>-H247/G247</f>
        <v/>
      </c>
      <c r="J247" s="11" t="n">
        <v>44679</v>
      </c>
      <c r="K247" s="6">
        <f>+OPERAC[[#This Row],[cantidad]]</f>
        <v/>
      </c>
      <c r="L247" s="6" t="n">
        <v>-450.45</v>
      </c>
      <c r="M247" s="7">
        <f>IF(N247=0,+L247+H247,0)</f>
        <v/>
      </c>
      <c r="N247" s="7">
        <f>IF((+G247-K247)=0,0,+G247-K247)</f>
        <v/>
      </c>
      <c r="O247" s="7">
        <f>IF(N247=0,0,(L247+H247)/-N247)</f>
        <v/>
      </c>
      <c r="P247" s="7">
        <f>VLOOKUP(OPERAC[[#This Row],[especie]],[1]!ESPECIES[#All],6,0)</f>
        <v/>
      </c>
      <c r="Q247" s="7">
        <f>IF(N247&lt;&gt;0,P247*N247,0)</f>
        <v/>
      </c>
      <c r="R247" s="8">
        <f>IF(Q247&lt;&gt;0,Q247+H247+L247,0)</f>
        <v/>
      </c>
      <c r="S247" s="9">
        <f>VLOOKUP(OPERAC[[#This Row],[especie]],[1]!ESPECIES[#Data],9,FALSE)</f>
        <v/>
      </c>
    </row>
    <row r="248">
      <c r="A248" s="4" t="n">
        <v>15195</v>
      </c>
      <c r="B248" s="5" t="n">
        <v>44365</v>
      </c>
      <c r="C248" s="13" t="inlineStr">
        <is>
          <t>VTA</t>
        </is>
      </c>
      <c r="D248" s="13" t="n">
        <v>39</v>
      </c>
      <c r="E248" s="10">
        <f>IF(D248&gt;0,VLOOKUP(OPERAC[[#This Row],[COD CART]],[1]!MatrizCortoLargoCyl[#All],3,0),"")</f>
        <v/>
      </c>
      <c r="F248" s="13" t="inlineStr">
        <is>
          <t>INO/V/8,00/20-01-23</t>
        </is>
      </c>
      <c r="G248" s="6" t="n">
        <v>-500</v>
      </c>
      <c r="H248" s="6" t="n">
        <v>1796.44</v>
      </c>
      <c r="I248" s="7">
        <f>-H248/G248</f>
        <v/>
      </c>
      <c r="J248" s="11" t="n">
        <v>44614</v>
      </c>
      <c r="K248" s="6" t="n">
        <v>-500</v>
      </c>
      <c r="L248" s="6" t="n">
        <v>-2674.696</v>
      </c>
      <c r="M248" s="7">
        <f>IF(N248=0,+L248+H248,0)</f>
        <v/>
      </c>
      <c r="N248" s="7">
        <f>IF((+G248-K248)=0,0,+G248-K248)</f>
        <v/>
      </c>
      <c r="O248" s="7">
        <f>IF(N248=0,0,(L248+H248)/-N248)</f>
        <v/>
      </c>
      <c r="P248" s="7">
        <f>VLOOKUP(OPERAC[[#This Row],[especie]],[1]!ESPECIES[#All],6,0)</f>
        <v/>
      </c>
      <c r="Q248" s="7">
        <f>IF(N248&lt;&gt;0,P248*N248,0)</f>
        <v/>
      </c>
      <c r="R248" s="8">
        <f>IF(Q248&lt;&gt;0,Q248+H248+L248,0)</f>
        <v/>
      </c>
      <c r="S248" s="9">
        <f>VLOOKUP(OPERAC[[#This Row],[especie]],[1]!ESPECIES[#Data],9,FALSE)</f>
        <v/>
      </c>
    </row>
    <row r="249">
      <c r="A249" s="4" t="n">
        <v>16783</v>
      </c>
      <c r="B249" s="5" t="n">
        <v>44608</v>
      </c>
      <c r="C249" s="13" t="inlineStr">
        <is>
          <t>VTA</t>
        </is>
      </c>
      <c r="D249" s="13" t="n">
        <v>39</v>
      </c>
      <c r="E249" s="10">
        <f>IF(D249&gt;0,VLOOKUP(OPERAC[[#This Row],[COD CART]],[1]!MatrizCortoLargoCyl[#All],3,0),"")</f>
        <v/>
      </c>
      <c r="F249" s="13" t="inlineStr">
        <is>
          <t>SOLO/V/3,00/18-03-22</t>
        </is>
      </c>
      <c r="G249" s="6" t="n">
        <v>-2100</v>
      </c>
      <c r="H249" s="6" t="n">
        <v>1795.584</v>
      </c>
      <c r="I249" s="7">
        <f>-H249/G249</f>
        <v/>
      </c>
      <c r="J249" s="11" t="n">
        <v>44614</v>
      </c>
      <c r="K249" s="6">
        <f>+OPERAC[[#This Row],[cantidad]]</f>
        <v/>
      </c>
      <c r="L249" s="6">
        <f>+OPERAC[[#This Row],[cantidad venta]]*1.113</f>
        <v/>
      </c>
      <c r="M249" s="7">
        <f>IF(N249=0,+L249+H249,0)</f>
        <v/>
      </c>
      <c r="N249" s="7">
        <f>IF((+G249-K249)=0,0,+G249-K249)</f>
        <v/>
      </c>
      <c r="O249" s="7">
        <f>IF(N249=0,0,(L249+H249)/-N249)</f>
        <v/>
      </c>
      <c r="P249" s="7">
        <f>VLOOKUP(OPERAC[[#This Row],[especie]],[1]!ESPECIES[#All],6,0)</f>
        <v/>
      </c>
      <c r="Q249" s="7">
        <f>IF(N249&lt;&gt;0,P249*N249,0)</f>
        <v/>
      </c>
      <c r="R249" s="8">
        <f>IF(Q249&lt;&gt;0,Q249+H249+L249,0)</f>
        <v/>
      </c>
      <c r="S249" s="9">
        <f>VLOOKUP(OPERAC[[#This Row],[especie]],[1]!ESPECIES[#Data],9,FALSE)</f>
        <v/>
      </c>
    </row>
    <row r="250">
      <c r="A250" s="4" t="n">
        <v>3728</v>
      </c>
      <c r="B250" s="5" t="n">
        <v>44607</v>
      </c>
      <c r="C250" s="13" t="inlineStr">
        <is>
          <t>VTA</t>
        </is>
      </c>
      <c r="D250" s="13" t="n">
        <v>39</v>
      </c>
      <c r="E250" s="10">
        <f>IF(D250&gt;0,VLOOKUP(OPERAC[[#This Row],[COD CART]],[1]!MatrizCortoLargoCyl[#All],3,0),"")</f>
        <v/>
      </c>
      <c r="F250" s="13" t="inlineStr">
        <is>
          <t>TSLA/C/990,00/18-02-22</t>
        </is>
      </c>
      <c r="G250" s="6" t="n">
        <v>-1500</v>
      </c>
      <c r="H250" s="6" t="n">
        <v>1794.12</v>
      </c>
      <c r="I250" s="7">
        <f>-H250/G250</f>
        <v/>
      </c>
      <c r="J250" s="11" t="n">
        <v>44608</v>
      </c>
      <c r="K250" s="6" t="n">
        <v>-1500</v>
      </c>
      <c r="L250" s="6" t="n">
        <v>-694.72</v>
      </c>
      <c r="M250" s="7">
        <f>IF(N250=0,+L250+H250,0)</f>
        <v/>
      </c>
      <c r="N250" s="7">
        <f>IF((+G250-K250)=0,0,+G250-K250)</f>
        <v/>
      </c>
      <c r="O250" s="7">
        <f>IF(N250=0,0,(L250+H250)/-N250)</f>
        <v/>
      </c>
      <c r="P250" s="7">
        <f>VLOOKUP(OPERAC[[#This Row],[especie]],[1]!ESPECIES[#All],6,0)</f>
        <v/>
      </c>
      <c r="Q250" s="7">
        <f>IF(N250&lt;&gt;0,P250*N250,0)</f>
        <v/>
      </c>
      <c r="R250" s="8">
        <f>IF(Q250&lt;&gt;0,Q250+H250+L250,0)</f>
        <v/>
      </c>
      <c r="S250" s="9">
        <f>VLOOKUP(OPERAC[[#This Row],[especie]],[1]!ESPECIES[#Data],9,FALSE)</f>
        <v/>
      </c>
    </row>
    <row r="251">
      <c r="A251" s="4" t="n">
        <v>9195</v>
      </c>
      <c r="B251" s="5" t="n">
        <v>44607</v>
      </c>
      <c r="C251" s="13" t="inlineStr">
        <is>
          <t>VTA</t>
        </is>
      </c>
      <c r="D251" s="13" t="n">
        <v>39</v>
      </c>
      <c r="E251" s="10">
        <f>IF(D251&gt;0,VLOOKUP(OPERAC[[#This Row],[COD CART]],[1]!MatrizCortoLargoCyl[#All],3,0),"")</f>
        <v/>
      </c>
      <c r="F251" s="13" t="inlineStr">
        <is>
          <t>TSLA/C/990,00/18-02-22</t>
        </is>
      </c>
      <c r="G251" s="6" t="n">
        <v>-1500</v>
      </c>
      <c r="H251" s="6" t="n">
        <v>1788.72</v>
      </c>
      <c r="I251" s="7">
        <f>-H251/G251</f>
        <v/>
      </c>
      <c r="J251" s="11" t="n">
        <v>44608</v>
      </c>
      <c r="K251" s="6" t="n">
        <v>-1500</v>
      </c>
      <c r="L251" s="6" t="n">
        <v>-696.79</v>
      </c>
      <c r="M251" s="7">
        <f>IF(N251=0,+L251+H251,0)</f>
        <v/>
      </c>
      <c r="N251" s="7">
        <f>IF((+G251-K251)=0,0,+G251-K251)</f>
        <v/>
      </c>
      <c r="O251" s="7">
        <f>IF(N251=0,0,(L251+H251)/-N251)</f>
        <v/>
      </c>
      <c r="P251" s="7">
        <f>VLOOKUP(OPERAC[[#This Row],[especie]],[1]!ESPECIES[#All],6,0)</f>
        <v/>
      </c>
      <c r="Q251" s="7">
        <f>IF(N251&lt;&gt;0,P251*N251,0)</f>
        <v/>
      </c>
      <c r="R251" s="8">
        <f>IF(Q251&lt;&gt;0,Q251+H251+L251,0)</f>
        <v/>
      </c>
      <c r="S251" s="9">
        <f>VLOOKUP(OPERAC[[#This Row],[especie]],[1]!ESPECIES[#Data],9,FALSE)</f>
        <v/>
      </c>
    </row>
    <row r="252">
      <c r="A252" s="4" t="n">
        <v>13188</v>
      </c>
      <c r="B252" s="5" t="n">
        <v>44567</v>
      </c>
      <c r="C252" s="13" t="inlineStr">
        <is>
          <t>VTA</t>
        </is>
      </c>
      <c r="D252" s="13" t="n">
        <v>39</v>
      </c>
      <c r="E252" s="10">
        <f>IF(D252&gt;0,VLOOKUP(OPERAC[[#This Row],[COD CART]],[1]!MatrizCortoLargoCyl[#All],3,0),"")</f>
        <v/>
      </c>
      <c r="F252" s="13" t="inlineStr">
        <is>
          <t>ACB/V/6,00/14-01-22</t>
        </is>
      </c>
      <c r="G252" s="6" t="n">
        <v>-2800</v>
      </c>
      <c r="H252" s="6" t="n">
        <v>1780.8308</v>
      </c>
      <c r="I252" s="7">
        <f>-H252/G252</f>
        <v/>
      </c>
      <c r="J252" s="11" t="n">
        <v>44574</v>
      </c>
      <c r="K252" s="6">
        <f>+OPERAC[[#This Row],[cantidad]]</f>
        <v/>
      </c>
      <c r="L252" s="6" t="n">
        <v>-1295.053</v>
      </c>
      <c r="M252" s="7">
        <f>IF(N252=0,+L252+H252,0)</f>
        <v/>
      </c>
      <c r="N252" s="7">
        <f>IF((+G252-K252)=0,0,+G252-K252)</f>
        <v/>
      </c>
      <c r="O252" s="7">
        <f>IF(N252=0,0,(L252+H252)/-N252)</f>
        <v/>
      </c>
      <c r="P252" s="7">
        <f>VLOOKUP(OPERAC[[#This Row],[especie]],[1]!ESPECIES[#All],6,0)</f>
        <v/>
      </c>
      <c r="Q252" s="7">
        <f>IF(N252&lt;&gt;0,P252*N252,0)</f>
        <v/>
      </c>
      <c r="R252" s="8">
        <f>IF(Q252&lt;&gt;0,Q252+H252+L252,0)</f>
        <v/>
      </c>
      <c r="S252" s="9">
        <f>VLOOKUP(OPERAC[[#This Row],[especie]],[1]!ESPECIES[#Data],9,FALSE)</f>
        <v/>
      </c>
    </row>
    <row r="253">
      <c r="A253" s="4" t="n">
        <v>12672</v>
      </c>
      <c r="B253" s="5" t="n">
        <v>44567</v>
      </c>
      <c r="C253" s="13" t="inlineStr">
        <is>
          <t>VTA</t>
        </is>
      </c>
      <c r="D253" s="13" t="n">
        <v>39</v>
      </c>
      <c r="E253" s="10">
        <f>IF(D253&gt;0,VLOOKUP(OPERAC[[#This Row],[COD CART]],[1]!MatrizCortoLargoCyl[#All],3,0),"")</f>
        <v/>
      </c>
      <c r="F253" s="13" t="inlineStr">
        <is>
          <t>ACB/V/6,00/14-01-22</t>
        </is>
      </c>
      <c r="G253" s="6" t="n">
        <v>-2800</v>
      </c>
      <c r="H253" s="6" t="n">
        <v>1780.8308</v>
      </c>
      <c r="I253" s="7">
        <f>-H253/G253</f>
        <v/>
      </c>
      <c r="J253" s="11" t="n">
        <v>44574</v>
      </c>
      <c r="K253" s="6">
        <f>+OPERAC[[#This Row],[cantidad]]</f>
        <v/>
      </c>
      <c r="L253" s="6" t="n">
        <v>-1295.05</v>
      </c>
      <c r="M253" s="7">
        <f>IF(N253=0,+L253+H253,0)</f>
        <v/>
      </c>
      <c r="N253" s="7">
        <f>IF((+G253-K253)=0,0,+G253-K253)</f>
        <v/>
      </c>
      <c r="O253" s="7">
        <f>IF(N253=0,0,(L253+H253)/-N253)</f>
        <v/>
      </c>
      <c r="P253" s="7">
        <f>VLOOKUP(OPERAC[[#This Row],[especie]],[1]!ESPECIES[#All],6,0)</f>
        <v/>
      </c>
      <c r="Q253" s="7">
        <f>IF(N253&lt;&gt;0,P253*N253,0)</f>
        <v/>
      </c>
      <c r="R253" s="8">
        <f>IF(Q253&lt;&gt;0,Q253+H253+L253,0)</f>
        <v/>
      </c>
      <c r="S253" s="9">
        <f>VLOOKUP(OPERAC[[#This Row],[especie]],[1]!ESPECIES[#Data],9,FALSE)</f>
        <v/>
      </c>
    </row>
    <row r="254">
      <c r="A254" s="4" t="n">
        <v>7914</v>
      </c>
      <c r="B254" s="5" t="n">
        <v>44573</v>
      </c>
      <c r="C254" s="13" t="inlineStr">
        <is>
          <t>VTA</t>
        </is>
      </c>
      <c r="D254" s="13" t="n">
        <v>39</v>
      </c>
      <c r="E254" s="10">
        <f>IF(D254&gt;0,VLOOKUP(OPERAC[[#This Row],[COD CART]],[1]!MatrizCortoLargoCyl[#All],3,0),"")</f>
        <v/>
      </c>
      <c r="F254" s="13" t="inlineStr">
        <is>
          <t>TSLA/V/970,00/14-01-22</t>
        </is>
      </c>
      <c r="G254" s="6" t="n">
        <v>-2000</v>
      </c>
      <c r="H254" s="6" t="n">
        <v>1771.72</v>
      </c>
      <c r="I254" s="7">
        <f>-H254/G254</f>
        <v/>
      </c>
      <c r="J254" s="11" t="n">
        <v>44575</v>
      </c>
      <c r="K254" s="6" t="n">
        <v>-2000</v>
      </c>
      <c r="L254" s="6" t="n">
        <v>-1017.96</v>
      </c>
      <c r="M254" s="7">
        <f>IF(N254=0,+L254+H254,0)</f>
        <v/>
      </c>
      <c r="N254" s="7">
        <f>IF((+G254-K254)=0,0,+G254-K254)</f>
        <v/>
      </c>
      <c r="O254" s="7">
        <f>IF(N254=0,0,(L254+H254)/-N254)</f>
        <v/>
      </c>
      <c r="P254" s="7">
        <f>VLOOKUP(OPERAC[[#This Row],[especie]],[1]!ESPECIES[#All],6,0)</f>
        <v/>
      </c>
      <c r="Q254" s="7">
        <f>IF(N254&lt;&gt;0,P254*N254,0)</f>
        <v/>
      </c>
      <c r="R254" s="8">
        <f>IF(Q254&lt;&gt;0,Q254+H254+L254,0)</f>
        <v/>
      </c>
      <c r="S254" s="9">
        <f>VLOOKUP(OPERAC[[#This Row],[especie]],[1]!ESPECIES[#Data],9,FALSE)</f>
        <v/>
      </c>
    </row>
    <row r="255">
      <c r="A255" s="4" t="n">
        <v>18651</v>
      </c>
      <c r="B255" s="5" t="n">
        <v>44340</v>
      </c>
      <c r="C255" s="13" t="inlineStr">
        <is>
          <t>VTA</t>
        </is>
      </c>
      <c r="D255" s="13" t="n">
        <v>39</v>
      </c>
      <c r="E255" s="10">
        <f>IF(D255&gt;0,VLOOKUP(OPERAC[[#This Row],[COD CART]],[1]!MatrizCortoLargoCyl[#All],3,0),"")</f>
        <v/>
      </c>
      <c r="F255" s="13" t="inlineStr">
        <is>
          <t>SOLO/V/3,50/21-01-22</t>
        </is>
      </c>
      <c r="G255" s="6" t="n">
        <v>-1600</v>
      </c>
      <c r="H255" s="6" t="n">
        <v>1743.368</v>
      </c>
      <c r="I255" s="7">
        <f>-H255/G255</f>
        <v/>
      </c>
      <c r="J255" s="11" t="n">
        <v>44579</v>
      </c>
      <c r="K255" s="6">
        <f>+OPERAC[[#This Row],[cantidad]]</f>
        <v/>
      </c>
      <c r="L255" s="6">
        <f>-OPERAC[[#This Row],[importe]]</f>
        <v/>
      </c>
      <c r="M255" s="7">
        <f>IF(N255=0,+L255+H255,0)</f>
        <v/>
      </c>
      <c r="N255" s="7">
        <f>IF((+G255-K255)=0,0,+G255-K255)</f>
        <v/>
      </c>
      <c r="O255" s="7">
        <f>IF(N255=0,0,(L255+H255)/-N255)</f>
        <v/>
      </c>
      <c r="P255" s="7">
        <f>VLOOKUP(OPERAC[[#This Row],[especie]],[1]!ESPECIES[#All],6,0)</f>
        <v/>
      </c>
      <c r="Q255" s="7">
        <f>IF(N255&lt;&gt;0,P255*N255,0)</f>
        <v/>
      </c>
      <c r="R255" s="8">
        <f>IF(Q255&lt;&gt;0,Q255+H255+L255,0)</f>
        <v/>
      </c>
      <c r="S255" s="9">
        <f>VLOOKUP(OPERAC[[#This Row],[especie]],[1]!ESPECIES[#Data],9,FALSE)</f>
        <v/>
      </c>
    </row>
    <row r="256">
      <c r="A256" s="4" t="n">
        <v>19920</v>
      </c>
      <c r="B256" s="5" t="n">
        <v>44340</v>
      </c>
      <c r="C256" s="13" t="inlineStr">
        <is>
          <t>VTA</t>
        </is>
      </c>
      <c r="D256" s="13" t="n">
        <v>39</v>
      </c>
      <c r="E256" s="10">
        <f>IF(D256&gt;0,VLOOKUP(OPERAC[[#This Row],[COD CART]],[1]!MatrizCortoLargoCyl[#All],3,0),"")</f>
        <v/>
      </c>
      <c r="F256" s="13" t="inlineStr">
        <is>
          <t>SOLO/V/3,50/21-01-22</t>
        </is>
      </c>
      <c r="G256" s="6" t="n">
        <v>-1600</v>
      </c>
      <c r="H256" s="6" t="n">
        <v>1743.368</v>
      </c>
      <c r="I256" s="7">
        <f>-H256/G256</f>
        <v/>
      </c>
      <c r="J256" s="11" t="n">
        <v>44579</v>
      </c>
      <c r="K256" s="6">
        <f>+OPERAC[[#This Row],[cantidad]]</f>
        <v/>
      </c>
      <c r="L256" s="6">
        <f>-OPERAC[[#This Row],[importe]]</f>
        <v/>
      </c>
      <c r="M256" s="7">
        <f>IF(N256=0,+L256+H256,0)</f>
        <v/>
      </c>
      <c r="N256" s="7">
        <f>IF((+G256-K256)=0,0,+G256-K256)</f>
        <v/>
      </c>
      <c r="O256" s="7">
        <f>IF(N256=0,0,(L256+H256)/-N256)</f>
        <v/>
      </c>
      <c r="P256" s="7">
        <f>VLOOKUP(OPERAC[[#This Row],[especie]],[1]!ESPECIES[#All],6,0)</f>
        <v/>
      </c>
      <c r="Q256" s="7">
        <f>IF(N256&lt;&gt;0,P256*N256,0)</f>
        <v/>
      </c>
      <c r="R256" s="8">
        <f>IF(Q256&lt;&gt;0,Q256+H256+L256,0)</f>
        <v/>
      </c>
      <c r="S256" s="9">
        <f>VLOOKUP(OPERAC[[#This Row],[especie]],[1]!ESPECIES[#Data],9,FALSE)</f>
        <v/>
      </c>
    </row>
    <row r="257">
      <c r="A257" s="4" t="n">
        <v>2255</v>
      </c>
      <c r="B257" s="5" t="n">
        <v>44718</v>
      </c>
      <c r="C257" s="13" t="inlineStr">
        <is>
          <t>VTA</t>
        </is>
      </c>
      <c r="D257" s="13" t="n">
        <v>39</v>
      </c>
      <c r="E257" s="10">
        <f>IF(D257&gt;0,VLOOKUP(OPERAC[[#This Row],[COD CART]],[1]!MatrizCortoLargoCyl[#All],3,0),"")</f>
        <v/>
      </c>
      <c r="F257" s="13" t="inlineStr">
        <is>
          <t>TSLA/V/580,00/10-06-22</t>
        </is>
      </c>
      <c r="G257" s="6" t="n">
        <v>-1600</v>
      </c>
      <c r="H257" s="6" t="n">
        <v>1742.4</v>
      </c>
      <c r="I257" s="7">
        <f>-H257/G257</f>
        <v/>
      </c>
      <c r="J257" s="5" t="n">
        <v>44720</v>
      </c>
      <c r="K257" s="6" t="n">
        <v>-1600</v>
      </c>
      <c r="L257" s="6" t="n">
        <v>-288.224</v>
      </c>
      <c r="M257" s="7">
        <f>IF(N257=0,+L257+H257,0)</f>
        <v/>
      </c>
      <c r="N257" s="7">
        <f>IF((+G257-K257)=0,0,+G257-K257)</f>
        <v/>
      </c>
      <c r="O257" s="7">
        <f>IF(N257=0,0,(L257+H257)/-N257)</f>
        <v/>
      </c>
      <c r="P257" s="7">
        <f>VLOOKUP(OPERAC[[#This Row],[especie]],[1]!ESPECIES[#All],6,0)</f>
        <v/>
      </c>
      <c r="Q257" s="7">
        <f>IF(N257&lt;&gt;0,P257*N257,0)</f>
        <v/>
      </c>
      <c r="R257" s="8">
        <f>IF(Q257&lt;&gt;0,Q257+H257+L257,0)</f>
        <v/>
      </c>
      <c r="S257" s="9">
        <f>VLOOKUP(OPERAC[[#This Row],[especie]],[1]!ESPECIES[#Data],9,FALSE)</f>
        <v/>
      </c>
    </row>
    <row r="258">
      <c r="A258" s="4" t="n">
        <v>3728</v>
      </c>
      <c r="B258" s="5" t="n">
        <v>44495</v>
      </c>
      <c r="C258" s="13" t="inlineStr">
        <is>
          <t>VTA</t>
        </is>
      </c>
      <c r="D258" s="13" t="n">
        <v>39</v>
      </c>
      <c r="E258" s="10">
        <f>IF(D258&gt;0,VLOOKUP(OPERAC[[#This Row],[COD CART]],[1]!MatrizCortoLargoCyl[#All],3,0),"")</f>
        <v/>
      </c>
      <c r="F258" s="13" t="inlineStr">
        <is>
          <t>TLRY/V/11,00/21-01-22</t>
        </is>
      </c>
      <c r="G258" s="6" t="n">
        <v>-1000</v>
      </c>
      <c r="H258" s="6" t="n">
        <v>1738.45</v>
      </c>
      <c r="I258" s="7">
        <f>-H258/G258</f>
        <v/>
      </c>
      <c r="J258" s="11" t="n">
        <v>44571</v>
      </c>
      <c r="K258" s="6">
        <f>+OPERAC[[#This Row],[cantidad]]</f>
        <v/>
      </c>
      <c r="L258" s="6">
        <f>-OPERAC[[#This Row],[importe]]</f>
        <v/>
      </c>
      <c r="M258" s="7">
        <f>IF(N258=0,+L258+H258,0)</f>
        <v/>
      </c>
      <c r="N258" s="7">
        <f>IF((+G258-K258)=0,0,+G258-K258)</f>
        <v/>
      </c>
      <c r="O258" s="7">
        <f>IF(N258=0,0,(L258+H258)/-N258)</f>
        <v/>
      </c>
      <c r="P258" s="7">
        <f>VLOOKUP(OPERAC[[#This Row],[especie]],[1]!ESPECIES[#All],6,0)</f>
        <v/>
      </c>
      <c r="Q258" s="7">
        <f>IF(N258&lt;&gt;0,P258*N258,0)</f>
        <v/>
      </c>
      <c r="R258" s="8">
        <f>IF(Q258&lt;&gt;0,Q258+H258+L258,0)</f>
        <v/>
      </c>
      <c r="S258" s="9">
        <f>VLOOKUP(OPERAC[[#This Row],[especie]],[1]!ESPECIES[#Data],9,FALSE)</f>
        <v/>
      </c>
    </row>
    <row r="259">
      <c r="A259" s="4" t="n">
        <v>15189</v>
      </c>
      <c r="B259" s="5" t="n">
        <v>44691</v>
      </c>
      <c r="C259" s="13" t="inlineStr">
        <is>
          <t>VTA</t>
        </is>
      </c>
      <c r="D259" s="13" t="n">
        <v>39</v>
      </c>
      <c r="E259" s="10">
        <f>IF(D259&gt;0,VLOOKUP(OPERAC[[#This Row],[COD CART]],[1]!MatrizCortoLargoCyl[#All],3,0),"")</f>
        <v/>
      </c>
      <c r="F259" s="13" t="inlineStr">
        <is>
          <t>TSLA/V/710,00/13-05-22</t>
        </is>
      </c>
      <c r="G259" s="6" t="n">
        <v>-500</v>
      </c>
      <c r="H259" s="6" t="n">
        <v>1735.125</v>
      </c>
      <c r="I259" s="7">
        <f>-H259/G259</f>
        <v/>
      </c>
      <c r="J259" s="11" t="n">
        <v>44692</v>
      </c>
      <c r="K259" s="6" t="n">
        <v>-500</v>
      </c>
      <c r="L259" s="6" t="n">
        <v>-6000.575</v>
      </c>
      <c r="M259" s="7">
        <f>IF(N259=0,+L259+H259,0)</f>
        <v/>
      </c>
      <c r="N259" s="7">
        <f>IF((+G259-K259)=0,0,+G259-K259)</f>
        <v/>
      </c>
      <c r="O259" s="7">
        <f>IF(N259=0,0,(L259+H259)/-N259)</f>
        <v/>
      </c>
      <c r="P259" s="7">
        <f>VLOOKUP(OPERAC[[#This Row],[especie]],[1]!ESPECIES[#All],6,0)</f>
        <v/>
      </c>
      <c r="Q259" s="7">
        <f>IF(N259&lt;&gt;0,P259*N259,0)</f>
        <v/>
      </c>
      <c r="R259" s="8">
        <f>IF(Q259&lt;&gt;0,Q259+H259+L259,0)</f>
        <v/>
      </c>
      <c r="S259" s="9">
        <f>VLOOKUP(OPERAC[[#This Row],[especie]],[1]!ESPECIES[#Data],9,FALSE)</f>
        <v/>
      </c>
    </row>
    <row r="260">
      <c r="A260" s="4" t="n">
        <v>13180</v>
      </c>
      <c r="B260" s="5" t="n">
        <v>44495</v>
      </c>
      <c r="C260" s="13" t="inlineStr">
        <is>
          <t>VTA</t>
        </is>
      </c>
      <c r="D260" s="13" t="n">
        <v>39</v>
      </c>
      <c r="E260" s="10">
        <f>IF(D260&gt;0,VLOOKUP(OPERAC[[#This Row],[COD CART]],[1]!MatrizCortoLargoCyl[#All],3,0),"")</f>
        <v/>
      </c>
      <c r="F260" s="13" t="inlineStr">
        <is>
          <t>TLRY/V/11,00/21-01-22</t>
        </is>
      </c>
      <c r="G260" s="6" t="n">
        <v>-1000</v>
      </c>
      <c r="H260" s="6" t="n">
        <v>1726.2</v>
      </c>
      <c r="I260" s="7">
        <f>-H260/G260</f>
        <v/>
      </c>
      <c r="J260" s="11" t="n">
        <v>44571</v>
      </c>
      <c r="K260" s="6">
        <f>+OPERAC[[#This Row],[cantidad]]</f>
        <v/>
      </c>
      <c r="L260" s="6">
        <f>-OPERAC[[#This Row],[importe]]</f>
        <v/>
      </c>
      <c r="M260" s="7">
        <f>IF(N260=0,+L260+H260,0)</f>
        <v/>
      </c>
      <c r="N260" s="7">
        <f>IF((+G260-K260)=0,0,+G260-K260)</f>
        <v/>
      </c>
      <c r="O260" s="7">
        <f>IF(N260=0,0,(L260+H260)/-N260)</f>
        <v/>
      </c>
      <c r="P260" s="7">
        <f>VLOOKUP(OPERAC[[#This Row],[especie]],[1]!ESPECIES[#All],6,0)</f>
        <v/>
      </c>
      <c r="Q260" s="7">
        <f>IF(N260&lt;&gt;0,P260*N260,0)</f>
        <v/>
      </c>
      <c r="R260" s="8">
        <f>IF(Q260&lt;&gt;0,Q260+H260+L260,0)</f>
        <v/>
      </c>
      <c r="S260" s="9">
        <f>VLOOKUP(OPERAC[[#This Row],[especie]],[1]!ESPECIES[#Data],9,FALSE)</f>
        <v/>
      </c>
    </row>
    <row r="261">
      <c r="A261" s="4" t="n">
        <v>13240</v>
      </c>
      <c r="B261" s="5" t="n">
        <v>44571</v>
      </c>
      <c r="C261" s="13" t="inlineStr">
        <is>
          <t>VTA</t>
        </is>
      </c>
      <c r="D261" s="13" t="n">
        <v>39</v>
      </c>
      <c r="E261" s="10">
        <f>IF(D261&gt;0,VLOOKUP(OPERAC[[#This Row],[COD CART]],[1]!MatrizCortoLargoCyl[#All],3,0),"")</f>
        <v/>
      </c>
      <c r="F261" s="13" t="inlineStr">
        <is>
          <t>TSLA/V/870,00/21-01-22</t>
        </is>
      </c>
      <c r="G261" s="6" t="n">
        <v>-300</v>
      </c>
      <c r="H261" s="6" t="n">
        <v>1725.2811</v>
      </c>
      <c r="I261" s="7">
        <f>-H261/G261</f>
        <v/>
      </c>
      <c r="J261" s="11" t="n">
        <v>44574</v>
      </c>
      <c r="K261" s="6" t="n">
        <v>-300</v>
      </c>
      <c r="L261" s="6" t="n">
        <v>-499.7439</v>
      </c>
      <c r="M261" s="7">
        <f>IF(N261=0,+L261+H261,0)</f>
        <v/>
      </c>
      <c r="N261" s="7">
        <f>IF((+G261-K261)=0,0,+G261-K261)</f>
        <v/>
      </c>
      <c r="O261" s="7">
        <f>IF(N261=0,0,(L261+H261)/-N261)</f>
        <v/>
      </c>
      <c r="P261" s="7">
        <f>VLOOKUP(OPERAC[[#This Row],[especie]],[1]!ESPECIES[#All],6,0)</f>
        <v/>
      </c>
      <c r="Q261" s="7">
        <f>IF(N261&lt;&gt;0,P261*N261,0)</f>
        <v/>
      </c>
      <c r="R261" s="8">
        <f>IF(Q261&lt;&gt;0,Q261+H261+L261,0)</f>
        <v/>
      </c>
      <c r="S261" s="9">
        <f>VLOOKUP(OPERAC[[#This Row],[especie]],[1]!ESPECIES[#Data],9,FALSE)</f>
        <v/>
      </c>
    </row>
    <row r="262">
      <c r="A262" s="4" t="n">
        <v>13190</v>
      </c>
      <c r="B262" s="5" t="n">
        <v>44571</v>
      </c>
      <c r="C262" s="13" t="inlineStr">
        <is>
          <t>VTA</t>
        </is>
      </c>
      <c r="D262" s="13" t="n">
        <v>39</v>
      </c>
      <c r="E262" s="10">
        <f>IF(D262&gt;0,VLOOKUP(OPERAC[[#This Row],[COD CART]],[1]!MatrizCortoLargoCyl[#All],3,0),"")</f>
        <v/>
      </c>
      <c r="F262" s="13" t="inlineStr">
        <is>
          <t>TSLA/V/870,00/21-01-22</t>
        </is>
      </c>
      <c r="G262" s="6" t="n">
        <v>-300</v>
      </c>
      <c r="H262" s="6" t="n">
        <v>1725.2811</v>
      </c>
      <c r="I262" s="7">
        <f>-H262/G262</f>
        <v/>
      </c>
      <c r="J262" s="11" t="n">
        <v>44574</v>
      </c>
      <c r="K262" s="6" t="n">
        <v>-300</v>
      </c>
      <c r="L262" s="6" t="n">
        <v>-499.7439</v>
      </c>
      <c r="M262" s="7">
        <f>IF(N262=0,+L262+H262,0)</f>
        <v/>
      </c>
      <c r="N262" s="7">
        <f>IF((+G262-K262)=0,0,+G262-K262)</f>
        <v/>
      </c>
      <c r="O262" s="7">
        <f>IF(N262=0,0,(L262+H262)/-N262)</f>
        <v/>
      </c>
      <c r="P262" s="7">
        <f>VLOOKUP(OPERAC[[#This Row],[especie]],[1]!ESPECIES[#All],6,0)</f>
        <v/>
      </c>
      <c r="Q262" s="7">
        <f>IF(N262&lt;&gt;0,P262*N262,0)</f>
        <v/>
      </c>
      <c r="R262" s="8">
        <f>IF(Q262&lt;&gt;0,Q262+H262+L262,0)</f>
        <v/>
      </c>
      <c r="S262" s="9">
        <f>VLOOKUP(OPERAC[[#This Row],[especie]],[1]!ESPECIES[#Data],9,FALSE)</f>
        <v/>
      </c>
    </row>
    <row r="263">
      <c r="A263" s="4" t="n">
        <v>16795</v>
      </c>
      <c r="B263" s="5" t="n">
        <v>44571</v>
      </c>
      <c r="C263" s="13" t="inlineStr">
        <is>
          <t>VTA</t>
        </is>
      </c>
      <c r="D263" s="13" t="n">
        <v>39</v>
      </c>
      <c r="E263" s="10">
        <f>IF(D263&gt;0,VLOOKUP(OPERAC[[#This Row],[COD CART]],[1]!MatrizCortoLargoCyl[#All],3,0),"")</f>
        <v/>
      </c>
      <c r="F263" s="13" t="inlineStr">
        <is>
          <t>TSLA/V/870,00/21-01-22</t>
        </is>
      </c>
      <c r="G263" s="6" t="n">
        <v>-300</v>
      </c>
      <c r="H263" s="6" t="n">
        <v>1725.2811</v>
      </c>
      <c r="I263" s="7">
        <f>-H263/G263</f>
        <v/>
      </c>
      <c r="J263" s="11" t="n">
        <v>44574</v>
      </c>
      <c r="K263" s="6" t="n">
        <v>-300</v>
      </c>
      <c r="L263" s="6" t="n">
        <v>-499.7439</v>
      </c>
      <c r="M263" s="7">
        <f>IF(N263=0,+L263+H263,0)</f>
        <v/>
      </c>
      <c r="N263" s="7">
        <f>IF((+G263-K263)=0,0,+G263-K263)</f>
        <v/>
      </c>
      <c r="O263" s="7">
        <f>IF(N263=0,0,(L263+H263)/-N263)</f>
        <v/>
      </c>
      <c r="P263" s="7">
        <f>VLOOKUP(OPERAC[[#This Row],[especie]],[1]!ESPECIES[#All],6,0)</f>
        <v/>
      </c>
      <c r="Q263" s="7">
        <f>IF(N263&lt;&gt;0,P263*N263,0)</f>
        <v/>
      </c>
      <c r="R263" s="8">
        <f>IF(Q263&lt;&gt;0,Q263+H263+L263,0)</f>
        <v/>
      </c>
      <c r="S263" s="9">
        <f>VLOOKUP(OPERAC[[#This Row],[especie]],[1]!ESPECIES[#Data],9,FALSE)</f>
        <v/>
      </c>
    </row>
    <row r="264">
      <c r="A264" s="4" t="n">
        <v>7867</v>
      </c>
      <c r="B264" s="5" t="n">
        <v>44585</v>
      </c>
      <c r="C264" s="13" t="inlineStr">
        <is>
          <t>VTA</t>
        </is>
      </c>
      <c r="D264" s="13" t="n">
        <v>39</v>
      </c>
      <c r="E264" s="10">
        <f>IF(D264&gt;0,VLOOKUP(OPERAC[[#This Row],[COD CART]],[1]!MatrizCortoLargoCyl[#All],3,0),"")</f>
        <v/>
      </c>
      <c r="F264" s="13" t="inlineStr">
        <is>
          <t>MELI/V/700,00/28-01-22</t>
        </is>
      </c>
      <c r="G264" s="6" t="n">
        <v>-600</v>
      </c>
      <c r="H264" s="6" t="n">
        <v>1696.32</v>
      </c>
      <c r="I264" s="7">
        <f>-H264/G264</f>
        <v/>
      </c>
      <c r="J264" s="11" t="n">
        <v>44589</v>
      </c>
      <c r="K264" s="6" t="n">
        <v>-600</v>
      </c>
      <c r="L264" s="6" t="n">
        <v>-30.24</v>
      </c>
      <c r="M264" s="7">
        <f>IF(N264=0,+L264+H264,0)</f>
        <v/>
      </c>
      <c r="N264" s="7">
        <f>IF((+G264-K264)=0,0,+G264-K264)</f>
        <v/>
      </c>
      <c r="O264" s="7">
        <f>IF(N264=0,0,(L264+H264)/-N264)</f>
        <v/>
      </c>
      <c r="P264" s="7">
        <f>VLOOKUP(OPERAC[[#This Row],[especie]],[1]!ESPECIES[#All],6,0)</f>
        <v/>
      </c>
      <c r="Q264" s="7">
        <f>IF(N264&lt;&gt;0,P264*N264,0)</f>
        <v/>
      </c>
      <c r="R264" s="8">
        <f>IF(Q264&lt;&gt;0,Q264+H264+L264,0)</f>
        <v/>
      </c>
      <c r="S264" s="9">
        <f>VLOOKUP(OPERAC[[#This Row],[especie]],[1]!ESPECIES[#Data],9,FALSE)</f>
        <v/>
      </c>
    </row>
    <row r="265">
      <c r="A265" s="4" t="n">
        <v>2218</v>
      </c>
      <c r="B265" s="5" t="n">
        <v>44719</v>
      </c>
      <c r="C265" s="13" t="inlineStr">
        <is>
          <t>VTA</t>
        </is>
      </c>
      <c r="D265" s="13" t="n">
        <v>39</v>
      </c>
      <c r="E265" s="10">
        <f>IF(D265&gt;0,VLOOKUP(OPERAC[[#This Row],[COD CART]],[1]!MatrizCortoLargoCyl[#All],3,0),"")</f>
        <v/>
      </c>
      <c r="F265" s="14" t="inlineStr">
        <is>
          <t>TSLA/P/600,00/10-06-22</t>
        </is>
      </c>
      <c r="G265" s="6" t="n">
        <v>-800</v>
      </c>
      <c r="H265" s="6" t="n">
        <v>1686.312</v>
      </c>
      <c r="I265" s="7">
        <f>-H265/G265</f>
        <v/>
      </c>
      <c r="J265" s="5" t="n">
        <v>44719</v>
      </c>
      <c r="K265" s="6" t="n">
        <v>-800</v>
      </c>
      <c r="L265" s="6" t="n">
        <v>-568.568</v>
      </c>
      <c r="M265" s="7">
        <f>IF(N265=0,+L265+H265,0)</f>
        <v/>
      </c>
      <c r="N265" s="7">
        <f>IF((+G265-K265)=0,0,+G265-K265)</f>
        <v/>
      </c>
      <c r="O265" s="7">
        <f>IF(N265=0,0,(L265+H265)/-N265)</f>
        <v/>
      </c>
      <c r="P265" s="7">
        <f>VLOOKUP(OPERAC[[#This Row],[especie]],[1]!ESPECIES[#All],6,0)</f>
        <v/>
      </c>
      <c r="Q265" s="7">
        <f>IF(N265&lt;&gt;0,P265*N265,0)</f>
        <v/>
      </c>
      <c r="R265" s="8">
        <f>IF(Q265&lt;&gt;0,Q265+H265+L265,0)</f>
        <v/>
      </c>
      <c r="S265" s="9">
        <f>VLOOKUP(OPERAC[[#This Row],[especie]],[1]!ESPECIES[#Data],9,FALSE)</f>
        <v/>
      </c>
    </row>
    <row r="266">
      <c r="A266" s="4" t="n">
        <v>16780</v>
      </c>
      <c r="B266" s="5" t="n">
        <v>44676</v>
      </c>
      <c r="C266" s="13" t="inlineStr">
        <is>
          <t>VTA</t>
        </is>
      </c>
      <c r="D266" s="13" t="n">
        <v>39</v>
      </c>
      <c r="E266" s="10">
        <f>IF(D266&gt;0,VLOOKUP(OPERAC[[#This Row],[COD CART]],[1]!MatrizCortoLargoCyl[#All],3,0),"")</f>
        <v/>
      </c>
      <c r="F266" s="13" t="inlineStr">
        <is>
          <t>UPST/C/92,00/29-04-22</t>
        </is>
      </c>
      <c r="G266" s="6" t="n">
        <v>-2000</v>
      </c>
      <c r="H266" s="6" t="n">
        <v>1685.55</v>
      </c>
      <c r="I266" s="7">
        <f>-H266/G266</f>
        <v/>
      </c>
      <c r="J266" s="11" t="n">
        <v>44678</v>
      </c>
      <c r="K266" s="6" t="n">
        <v>-2000</v>
      </c>
      <c r="L266" s="6" t="n">
        <v>-161.36</v>
      </c>
      <c r="M266" s="7">
        <f>IF(N266=0,+L266+H266,0)</f>
        <v/>
      </c>
      <c r="N266" s="7">
        <f>IF((+G266-K266)=0,0,+G266-K266)</f>
        <v/>
      </c>
      <c r="O266" s="7">
        <f>IF(N266=0,0,(L266+H266)/-N266)</f>
        <v/>
      </c>
      <c r="P266" s="7">
        <f>VLOOKUP(OPERAC[[#This Row],[especie]],[1]!ESPECIES[#All],6,0)</f>
        <v/>
      </c>
      <c r="Q266" s="7">
        <f>IF(N266&lt;&gt;0,P266*N266,0)</f>
        <v/>
      </c>
      <c r="R266" s="8">
        <f>IF(Q266&lt;&gt;0,Q266+H266+L266,0)</f>
        <v/>
      </c>
      <c r="S266" s="9">
        <f>VLOOKUP(OPERAC[[#This Row],[especie]],[1]!ESPECIES[#Data],9,FALSE)</f>
        <v/>
      </c>
    </row>
    <row r="267">
      <c r="A267" s="4" t="n">
        <v>22407</v>
      </c>
      <c r="B267" s="5" t="n">
        <v>44650</v>
      </c>
      <c r="C267" s="13" t="inlineStr">
        <is>
          <t>VTA</t>
        </is>
      </c>
      <c r="D267" s="13" t="n">
        <v>39</v>
      </c>
      <c r="E267" s="10">
        <f>IF(D267&gt;0,VLOOKUP(OPERAC[[#This Row],[COD CART]],[1]!MatrizCortoLargoCyl[#All],3,0),"")</f>
        <v/>
      </c>
      <c r="F267" s="13" t="inlineStr">
        <is>
          <t>TSLA/V/975,00/01-04-22</t>
        </is>
      </c>
      <c r="G267" s="6" t="n">
        <v>-2000</v>
      </c>
      <c r="H267" s="6" t="n">
        <v>1683.32</v>
      </c>
      <c r="I267" s="7">
        <f>-H267/G267</f>
        <v/>
      </c>
      <c r="J267" s="11" t="n">
        <v>44652</v>
      </c>
      <c r="K267" s="6" t="n">
        <v>-2000</v>
      </c>
      <c r="L267" s="6" t="n">
        <v>0</v>
      </c>
      <c r="M267" s="7">
        <f>IF(N267=0,+L267+H267,0)</f>
        <v/>
      </c>
      <c r="N267" s="7">
        <f>IF((+G267-K267)=0,0,+G267-K267)</f>
        <v/>
      </c>
      <c r="O267" s="7">
        <f>IF(N267=0,0,(L267+H267)/-N267)</f>
        <v/>
      </c>
      <c r="P267" s="7">
        <f>VLOOKUP(OPERAC[[#This Row],[especie]],[1]!ESPECIES[#All],6,0)</f>
        <v/>
      </c>
      <c r="Q267" s="7">
        <f>IF(N267&lt;&gt;0,P267*N267,0)</f>
        <v/>
      </c>
      <c r="R267" s="8">
        <f>IF(Q267&lt;&gt;0,Q267+H267+L267,0)</f>
        <v/>
      </c>
      <c r="S267" s="9">
        <f>VLOOKUP(OPERAC[[#This Row],[especie]],[1]!ESPECIES[#Data],9,FALSE)</f>
        <v/>
      </c>
    </row>
    <row r="268">
      <c r="A268" s="4" t="n">
        <v>16783</v>
      </c>
      <c r="B268" s="5" t="n">
        <v>44673</v>
      </c>
      <c r="C268" s="13" t="inlineStr">
        <is>
          <t>VTA</t>
        </is>
      </c>
      <c r="D268" s="13" t="n">
        <v>39</v>
      </c>
      <c r="E268" s="10">
        <f>IF(D268&gt;0,VLOOKUP(OPERAC[[#This Row],[COD CART]],[1]!MatrizCortoLargoCyl[#All],3,0),"")</f>
        <v/>
      </c>
      <c r="F268" s="14" t="inlineStr">
        <is>
          <t>UPST/V/70,00/29-04-22</t>
        </is>
      </c>
      <c r="G268" s="6" t="n">
        <v>-800</v>
      </c>
      <c r="H268" s="6" t="n">
        <v>1672.44</v>
      </c>
      <c r="I268" s="7">
        <f>-H268/G268</f>
        <v/>
      </c>
      <c r="J268" s="11" t="n">
        <v>44676</v>
      </c>
      <c r="K268" s="6" t="n">
        <v>-800</v>
      </c>
      <c r="L268" s="6" t="n">
        <v>-1060.752</v>
      </c>
      <c r="M268" s="7">
        <f>IF(N268=0,+L268+H268,0)</f>
        <v/>
      </c>
      <c r="N268" s="7">
        <f>IF((+G268-K268)=0,0,+G268-K268)</f>
        <v/>
      </c>
      <c r="O268" s="7">
        <f>IF(N268=0,0,(L268+H268)/-N268)</f>
        <v/>
      </c>
      <c r="P268" s="7">
        <f>VLOOKUP(OPERAC[[#This Row],[especie]],[1]!ESPECIES[#All],6,0)</f>
        <v/>
      </c>
      <c r="Q268" s="7">
        <f>IF(N268&lt;&gt;0,P268*N268,0)</f>
        <v/>
      </c>
      <c r="R268" s="8">
        <f>IF(Q268&lt;&gt;0,Q268+H268+L268,0)</f>
        <v/>
      </c>
      <c r="S268" s="9">
        <f>VLOOKUP(OPERAC[[#This Row],[especie]],[1]!ESPECIES[#Data],9,FALSE)</f>
        <v/>
      </c>
    </row>
    <row r="269">
      <c r="A269" s="4" t="n">
        <v>3728</v>
      </c>
      <c r="B269" s="5" t="n">
        <v>44609</v>
      </c>
      <c r="C269" s="13" t="inlineStr">
        <is>
          <t>VTA</t>
        </is>
      </c>
      <c r="D269" s="13" t="n">
        <v>39</v>
      </c>
      <c r="E269" s="10">
        <f>IF(D269&gt;0,VLOOKUP(OPERAC[[#This Row],[COD CART]],[1]!MatrizCortoLargoCyl[#All],3,0),"")</f>
        <v/>
      </c>
      <c r="F269" s="13" t="inlineStr">
        <is>
          <t>MELI/V/850,00/25-02-22</t>
        </is>
      </c>
      <c r="G269" s="6" t="n">
        <v>-300</v>
      </c>
      <c r="H269" s="6" t="n">
        <v>1666.56</v>
      </c>
      <c r="I269" s="7">
        <f>-H269/G269</f>
        <v/>
      </c>
      <c r="J269" s="11" t="n">
        <v>44610</v>
      </c>
      <c r="K269" s="6" t="n">
        <v>-300</v>
      </c>
      <c r="L269" s="6" t="n">
        <v>-7259.697</v>
      </c>
      <c r="M269" s="7">
        <f>IF(N269=0,+L269+H269,0)</f>
        <v/>
      </c>
      <c r="N269" s="7">
        <f>IF((+G269-K269)=0,0,+G269-K269)</f>
        <v/>
      </c>
      <c r="O269" s="7">
        <f>IF(N269=0,0,(L269+H269)/-N269)</f>
        <v/>
      </c>
      <c r="P269" s="7">
        <f>VLOOKUP(OPERAC[[#This Row],[especie]],[1]!ESPECIES[#All],6,0)</f>
        <v/>
      </c>
      <c r="Q269" s="7">
        <f>IF(N269&lt;&gt;0,P269*N269,0)</f>
        <v/>
      </c>
      <c r="R269" s="8">
        <f>IF(Q269&lt;&gt;0,Q269+H269+L269,0)</f>
        <v/>
      </c>
      <c r="S269" s="9">
        <f>VLOOKUP(OPERAC[[#This Row],[especie]],[1]!ESPECIES[#Data],9,FALSE)</f>
        <v/>
      </c>
    </row>
    <row r="270">
      <c r="A270" s="4" t="n">
        <v>25070</v>
      </c>
      <c r="B270" s="5" t="n">
        <v>44609</v>
      </c>
      <c r="C270" s="13" t="inlineStr">
        <is>
          <t>VTA</t>
        </is>
      </c>
      <c r="D270" s="13" t="n">
        <v>39</v>
      </c>
      <c r="E270" s="10">
        <f>IF(D270&gt;0,VLOOKUP(OPERAC[[#This Row],[COD CART]],[1]!MatrizCortoLargoCyl[#All],3,0),"")</f>
        <v/>
      </c>
      <c r="F270" s="13" t="inlineStr">
        <is>
          <t>MELI/V/850,00/25-02-22</t>
        </is>
      </c>
      <c r="G270" s="6" t="n">
        <v>-300</v>
      </c>
      <c r="H270" s="6" t="n">
        <v>1666.56</v>
      </c>
      <c r="I270" s="7">
        <f>-H270/G270</f>
        <v/>
      </c>
      <c r="J270" s="11" t="n">
        <v>44610</v>
      </c>
      <c r="K270" s="6" t="n">
        <v>-300</v>
      </c>
      <c r="L270" s="6" t="n">
        <v>-7259.697</v>
      </c>
      <c r="M270" s="7">
        <f>IF(N270=0,+L270+H270,0)</f>
        <v/>
      </c>
      <c r="N270" s="7">
        <f>IF((+G270-K270)=0,0,+G270-K270)</f>
        <v/>
      </c>
      <c r="O270" s="7">
        <f>IF(N270=0,0,(L270+H270)/-N270)</f>
        <v/>
      </c>
      <c r="P270" s="7">
        <f>VLOOKUP(OPERAC[[#This Row],[especie]],[1]!ESPECIES[#All],6,0)</f>
        <v/>
      </c>
      <c r="Q270" s="7">
        <f>IF(N270&lt;&gt;0,P270*N270,0)</f>
        <v/>
      </c>
      <c r="R270" s="8">
        <f>IF(Q270&lt;&gt;0,Q270+H270+L270,0)</f>
        <v/>
      </c>
      <c r="S270" s="9">
        <f>VLOOKUP(OPERAC[[#This Row],[especie]],[1]!ESPECIES[#Data],9,FALSE)</f>
        <v/>
      </c>
    </row>
    <row r="271">
      <c r="A271" s="4" t="n">
        <v>19920</v>
      </c>
      <c r="B271" s="5" t="n">
        <v>44672</v>
      </c>
      <c r="C271" s="13" t="inlineStr">
        <is>
          <t>VTA</t>
        </is>
      </c>
      <c r="D271" s="13" t="n">
        <v>39</v>
      </c>
      <c r="E271" s="10">
        <f>IF(D271&gt;0,VLOOKUP(OPERAC[[#This Row],[COD CART]],[1]!MatrizCortoLargoCyl[#All],3,0),"")</f>
        <v/>
      </c>
      <c r="F271" s="13" t="inlineStr">
        <is>
          <t>UPST/V/75,00/22-04-22</t>
        </is>
      </c>
      <c r="G271" s="6" t="n">
        <v>-800</v>
      </c>
      <c r="H271" s="6" t="n">
        <v>1665.72</v>
      </c>
      <c r="I271" s="7">
        <f>-H271/G271</f>
        <v/>
      </c>
      <c r="J271" s="11" t="n">
        <v>44673</v>
      </c>
      <c r="K271" s="6" t="n">
        <v>-800</v>
      </c>
      <c r="L271" s="6" t="n">
        <v>-1694.28</v>
      </c>
      <c r="M271" s="7">
        <f>IF(N271=0,+L271+H271,0)</f>
        <v/>
      </c>
      <c r="N271" s="7">
        <f>IF((+G271-K271)=0,0,+G271-K271)</f>
        <v/>
      </c>
      <c r="O271" s="7">
        <f>IF(N271=0,0,(L271+H271)/-N271)</f>
        <v/>
      </c>
      <c r="P271" s="7">
        <f>VLOOKUP(OPERAC[[#This Row],[especie]],[1]!ESPECIES[#All],6,0)</f>
        <v/>
      </c>
      <c r="Q271" s="7">
        <f>IF(N271&lt;&gt;0,P271*N271,0)</f>
        <v/>
      </c>
      <c r="R271" s="8">
        <f>IF(Q271&lt;&gt;0,Q271+H271+L271,0)</f>
        <v/>
      </c>
      <c r="S271" s="9">
        <f>VLOOKUP(OPERAC[[#This Row],[especie]],[1]!ESPECIES[#Data],9,FALSE)</f>
        <v/>
      </c>
    </row>
    <row r="272">
      <c r="A272" s="4" t="n">
        <v>19920</v>
      </c>
      <c r="B272" s="5" t="n">
        <v>44673</v>
      </c>
      <c r="C272" s="13" t="inlineStr">
        <is>
          <t>VTA</t>
        </is>
      </c>
      <c r="D272" s="13" t="n">
        <v>39</v>
      </c>
      <c r="E272" s="10">
        <f>IF(D272&gt;0,VLOOKUP(OPERAC[[#This Row],[COD CART]],[1]!MatrizCortoLargoCyl[#All],3,0),"")</f>
        <v/>
      </c>
      <c r="F272" s="14" t="inlineStr">
        <is>
          <t>UPST/V/70,00/29-04-22</t>
        </is>
      </c>
      <c r="G272" s="6" t="n">
        <v>-800</v>
      </c>
      <c r="H272" s="6" t="n">
        <v>1665.72</v>
      </c>
      <c r="I272" s="7">
        <f>-H272/G272</f>
        <v/>
      </c>
      <c r="J272" s="11" t="n">
        <v>44676</v>
      </c>
      <c r="K272" s="6" t="n">
        <v>-800</v>
      </c>
      <c r="L272" s="6" t="n">
        <v>-1064.976</v>
      </c>
      <c r="M272" s="7">
        <f>IF(N272=0,+L272+H272,0)</f>
        <v/>
      </c>
      <c r="N272" s="7">
        <f>IF((+G272-K272)=0,0,+G272-K272)</f>
        <v/>
      </c>
      <c r="O272" s="7">
        <f>IF(N272=0,0,(L272+H272)/-N272)</f>
        <v/>
      </c>
      <c r="P272" s="7">
        <f>VLOOKUP(OPERAC[[#This Row],[especie]],[1]!ESPECIES[#All],6,0)</f>
        <v/>
      </c>
      <c r="Q272" s="7">
        <f>IF(N272&lt;&gt;0,P272*N272,0)</f>
        <v/>
      </c>
      <c r="R272" s="8">
        <f>IF(Q272&lt;&gt;0,Q272+H272+L272,0)</f>
        <v/>
      </c>
      <c r="S272" s="9">
        <f>VLOOKUP(OPERAC[[#This Row],[especie]],[1]!ESPECIES[#Data],9,FALSE)</f>
        <v/>
      </c>
    </row>
    <row r="273">
      <c r="A273" s="4" t="n">
        <v>22431</v>
      </c>
      <c r="B273" s="5" t="n">
        <v>44698</v>
      </c>
      <c r="C273" s="13" t="inlineStr">
        <is>
          <t>VTA</t>
        </is>
      </c>
      <c r="D273" s="13" t="n">
        <v>39</v>
      </c>
      <c r="E273" s="10">
        <f>IF(D273&gt;0,VLOOKUP(OPERAC[[#This Row],[COD CART]],[1]!MatrizCortoLargoCyl[#All],3,0),"")</f>
        <v/>
      </c>
      <c r="F273" s="13" t="inlineStr">
        <is>
          <t>TSLA/V/650,00/20-05-22</t>
        </is>
      </c>
      <c r="G273" s="6" t="n">
        <v>-800</v>
      </c>
      <c r="H273" s="6" t="n">
        <v>1665.72</v>
      </c>
      <c r="I273" s="7">
        <f>-H273/G273</f>
        <v/>
      </c>
      <c r="J273" s="11" t="n">
        <v>44701</v>
      </c>
      <c r="K273" s="6" t="n">
        <v>-800</v>
      </c>
      <c r="L273" s="6" t="n">
        <v>-4034</v>
      </c>
      <c r="M273" s="7">
        <f>IF(N273=0,+L273+H273,0)</f>
        <v/>
      </c>
      <c r="N273" s="7">
        <f>IF((+G273-K273)=0,0,+G273-K273)</f>
        <v/>
      </c>
      <c r="O273" s="7">
        <f>IF(N273=0,0,(L273+H273)/-N273)</f>
        <v/>
      </c>
      <c r="P273" s="7">
        <f>VLOOKUP(OPERAC[[#This Row],[especie]],[1]!ESPECIES[#All],6,0)</f>
        <v/>
      </c>
      <c r="Q273" s="7">
        <f>IF(N273&lt;&gt;0,P273*N273,0)</f>
        <v/>
      </c>
      <c r="R273" s="8">
        <f>IF(Q273&lt;&gt;0,Q273+H273+L273,0)</f>
        <v/>
      </c>
      <c r="S273" s="9">
        <f>VLOOKUP(OPERAC[[#This Row],[especie]],[1]!ESPECIES[#Data],9,FALSE)</f>
        <v/>
      </c>
    </row>
    <row r="274">
      <c r="A274" s="4" t="n">
        <v>16776</v>
      </c>
      <c r="B274" s="5" t="n">
        <v>44580</v>
      </c>
      <c r="C274" s="13" t="inlineStr">
        <is>
          <t>VTA</t>
        </is>
      </c>
      <c r="D274" s="13" t="n">
        <v>39</v>
      </c>
      <c r="E274" s="10">
        <f>IF(D274&gt;0,VLOOKUP(OPERAC[[#This Row],[COD CART]],[1]!MatrizCortoLargoCyl[#All],3,0),"")</f>
        <v/>
      </c>
      <c r="F274" s="13" t="inlineStr">
        <is>
          <t>INO/V/7,00/18-02-22</t>
        </is>
      </c>
      <c r="G274" s="6" t="n">
        <v>-600</v>
      </c>
      <c r="H274" s="6" t="n">
        <v>1662.39</v>
      </c>
      <c r="I274" s="7">
        <f>-H274/G274</f>
        <v/>
      </c>
      <c r="J274" s="11" t="n">
        <v>44600</v>
      </c>
      <c r="K274" s="6" t="n">
        <v>-600</v>
      </c>
      <c r="L274" s="6" t="n">
        <v>-1662</v>
      </c>
      <c r="M274" s="7">
        <f>IF(N274=0,+L274+H274,0)</f>
        <v/>
      </c>
      <c r="N274" s="7">
        <f>IF((+G274-K274)=0,0,+G274-K274)</f>
        <v/>
      </c>
      <c r="O274" s="7">
        <f>IF(N274=0,0,(L274+H274)/-N274)</f>
        <v/>
      </c>
      <c r="P274" s="7">
        <f>VLOOKUP(OPERAC[[#This Row],[especie]],[1]!ESPECIES[#All],6,0)</f>
        <v/>
      </c>
      <c r="Q274" s="7">
        <f>IF(N274&lt;&gt;0,P274*N274,0)</f>
        <v/>
      </c>
      <c r="R274" s="8">
        <f>IF(Q274&lt;&gt;0,Q274+H274+L274,0)</f>
        <v/>
      </c>
      <c r="S274" s="9">
        <f>VLOOKUP(OPERAC[[#This Row],[especie]],[1]!ESPECIES[#Data],9,FALSE)</f>
        <v/>
      </c>
    </row>
    <row r="275">
      <c r="A275" s="4" t="n">
        <v>7914</v>
      </c>
      <c r="B275" s="5" t="n">
        <v>44579</v>
      </c>
      <c r="C275" s="13" t="inlineStr">
        <is>
          <t>VTA</t>
        </is>
      </c>
      <c r="D275" s="13" t="n">
        <v>39</v>
      </c>
      <c r="E275" s="10">
        <f>IF(D275&gt;0,VLOOKUP(OPERAC[[#This Row],[COD CART]],[1]!MatrizCortoLargoCyl[#All],3,0),"")</f>
        <v/>
      </c>
      <c r="F275" s="13" t="inlineStr">
        <is>
          <t>TSLA/V/865,00/21-01-22</t>
        </is>
      </c>
      <c r="G275" s="6" t="n">
        <v>-1600</v>
      </c>
      <c r="H275" s="6" t="n">
        <v>1662.336</v>
      </c>
      <c r="I275" s="7">
        <f>-H275/G275</f>
        <v/>
      </c>
      <c r="J275" s="11" t="n">
        <v>44582</v>
      </c>
      <c r="K275" s="6" t="n">
        <v>-1600</v>
      </c>
      <c r="L275" s="6" t="n">
        <v>0</v>
      </c>
      <c r="M275" s="7">
        <f>IF(N275=0,+L275+H275,0)</f>
        <v/>
      </c>
      <c r="N275" s="7">
        <f>IF((+G275-K275)=0,0,+G275-K275)</f>
        <v/>
      </c>
      <c r="O275" s="7">
        <f>IF(N275=0,0,(L275+H275)/-N275)</f>
        <v/>
      </c>
      <c r="P275" s="7">
        <f>VLOOKUP(OPERAC[[#This Row],[especie]],[1]!ESPECIES[#All],6,0)</f>
        <v/>
      </c>
      <c r="Q275" s="7">
        <f>IF(N275&lt;&gt;0,P275*N275,0)</f>
        <v/>
      </c>
      <c r="R275" s="8">
        <f>IF(Q275&lt;&gt;0,Q275+H275+L275,0)</f>
        <v/>
      </c>
      <c r="S275" s="9">
        <f>VLOOKUP(OPERAC[[#This Row],[especie]],[1]!ESPECIES[#Data],9,FALSE)</f>
        <v/>
      </c>
    </row>
    <row r="276">
      <c r="A276" s="4" t="n">
        <v>7914</v>
      </c>
      <c r="B276" s="5" t="n">
        <v>44579</v>
      </c>
      <c r="C276" s="13" t="inlineStr">
        <is>
          <t>VTA</t>
        </is>
      </c>
      <c r="D276" s="13" t="n">
        <v>39</v>
      </c>
      <c r="E276" s="10">
        <f>IF(D276&gt;0,VLOOKUP(OPERAC[[#This Row],[COD CART]],[1]!MatrizCortoLargoCyl[#All],3,0),"")</f>
        <v/>
      </c>
      <c r="F276" s="13" t="inlineStr">
        <is>
          <t>TSLA/C/1215,00/21-01-22</t>
        </is>
      </c>
      <c r="G276" s="6" t="n">
        <v>-1600</v>
      </c>
      <c r="H276" s="6" t="n">
        <v>1655.616</v>
      </c>
      <c r="I276" s="7">
        <f>-H276/G276</f>
        <v/>
      </c>
      <c r="J276" s="11" t="n">
        <v>44582</v>
      </c>
      <c r="K276" s="6" t="n">
        <v>-1600</v>
      </c>
      <c r="L276" s="6" t="n">
        <v>0</v>
      </c>
      <c r="M276" s="7">
        <f>IF(N276=0,+L276+H276,0)</f>
        <v/>
      </c>
      <c r="N276" s="7">
        <f>IF((+G276-K276)=0,0,+G276-K276)</f>
        <v/>
      </c>
      <c r="O276" s="7">
        <f>IF(N276=0,0,(L276+H276)/-N276)</f>
        <v/>
      </c>
      <c r="P276" s="7">
        <f>VLOOKUP(OPERAC[[#This Row],[especie]],[1]!ESPECIES[#All],6,0)</f>
        <v/>
      </c>
      <c r="Q276" s="7">
        <f>IF(N276&lt;&gt;0,P276*N276,0)</f>
        <v/>
      </c>
      <c r="R276" s="8">
        <f>IF(Q276&lt;&gt;0,Q276+H276+L276,0)</f>
        <v/>
      </c>
      <c r="S276" s="9">
        <f>VLOOKUP(OPERAC[[#This Row],[especie]],[1]!ESPECIES[#Data],9,FALSE)</f>
        <v/>
      </c>
    </row>
    <row r="277">
      <c r="A277" s="4" t="n">
        <v>22421</v>
      </c>
      <c r="B277" s="5" t="n">
        <v>44636</v>
      </c>
      <c r="C277" s="13" t="inlineStr">
        <is>
          <t>VTA</t>
        </is>
      </c>
      <c r="D277" s="13" t="n">
        <v>39</v>
      </c>
      <c r="E277" s="10">
        <f>IF(D277&gt;0,VLOOKUP(OPERAC[[#This Row],[COD CART]],[1]!MatrizCortoLargoCyl[#All],3,0),"")</f>
        <v/>
      </c>
      <c r="F277" s="13" t="inlineStr">
        <is>
          <t>TSLA/V/740,00/18-03-22</t>
        </is>
      </c>
      <c r="G277" s="6" t="n">
        <v>-2000</v>
      </c>
      <c r="H277" s="6" t="n">
        <v>1652.52</v>
      </c>
      <c r="I277" s="7">
        <f>-H277/G277</f>
        <v/>
      </c>
      <c r="J277" s="11" t="n">
        <v>44638</v>
      </c>
      <c r="K277" s="6" t="n">
        <v>-2000</v>
      </c>
      <c r="L277" s="6" t="n">
        <v>-96.36</v>
      </c>
      <c r="M277" s="7">
        <f>IF(N277=0,+L277+H277,0)</f>
        <v/>
      </c>
      <c r="N277" s="7">
        <f>IF((+G277-K277)=0,0,+G277-K277)</f>
        <v/>
      </c>
      <c r="O277" s="7">
        <f>IF(N277=0,0,(L277+H277)/-N277)</f>
        <v/>
      </c>
      <c r="P277" s="7">
        <f>VLOOKUP(OPERAC[[#This Row],[especie]],[1]!ESPECIES[#All],6,0)</f>
        <v/>
      </c>
      <c r="Q277" s="7">
        <f>IF(N277&lt;&gt;0,P277*N277,0)</f>
        <v/>
      </c>
      <c r="R277" s="8">
        <f>IF(Q277&lt;&gt;0,Q277+H277+L277,0)</f>
        <v/>
      </c>
      <c r="S277" s="9">
        <f>VLOOKUP(OPERAC[[#This Row],[especie]],[1]!ESPECIES[#Data],9,FALSE)</f>
        <v/>
      </c>
    </row>
    <row r="278">
      <c r="A278" s="4" t="n">
        <v>7916</v>
      </c>
      <c r="B278" s="5" t="n">
        <v>44547</v>
      </c>
      <c r="C278" s="13" t="inlineStr">
        <is>
          <t>VTA</t>
        </is>
      </c>
      <c r="D278" s="13" t="n">
        <v>39</v>
      </c>
      <c r="E278" s="10">
        <f>IF(D278&gt;0,VLOOKUP(OPERAC[[#This Row],[COD CART]],[1]!MatrizCortoLargoCyl[#All],3,0),"")</f>
        <v/>
      </c>
      <c r="F278" s="13" t="inlineStr">
        <is>
          <t>INO/V/7,00/21-01-22</t>
        </is>
      </c>
      <c r="G278" s="6" t="n">
        <v>-1800</v>
      </c>
      <c r="H278" s="6" t="n">
        <v>1638.792</v>
      </c>
      <c r="I278" s="7">
        <f>-H278/G278</f>
        <v/>
      </c>
      <c r="J278" s="11" t="n">
        <v>44580</v>
      </c>
      <c r="K278" s="6">
        <f>+OPERAC[[#This Row],[cantidad]]</f>
        <v/>
      </c>
      <c r="L278" s="6">
        <f>-OPERAC[[#This Row],[importe]]</f>
        <v/>
      </c>
      <c r="M278" s="7">
        <f>IF(N278=0,+L278+H278,0)</f>
        <v/>
      </c>
      <c r="N278" s="7">
        <f>IF((+G278-K278)=0,0,+G278-K278)</f>
        <v/>
      </c>
      <c r="O278" s="7">
        <f>IF(N278=0,0,(L278+H278)/-N278)</f>
        <v/>
      </c>
      <c r="P278" s="7">
        <f>VLOOKUP(OPERAC[[#This Row],[especie]],[1]!ESPECIES[#All],6,0)</f>
        <v/>
      </c>
      <c r="Q278" s="7">
        <f>IF(N278&lt;&gt;0,P278*N278,0)</f>
        <v/>
      </c>
      <c r="R278" s="8">
        <f>IF(Q278&lt;&gt;0,Q278+H278+L278,0)</f>
        <v/>
      </c>
      <c r="S278" s="9">
        <f>VLOOKUP(OPERAC[[#This Row],[especie]],[1]!ESPECIES[#Data],9,FALSE)</f>
        <v/>
      </c>
    </row>
    <row r="279">
      <c r="A279" s="4" t="n">
        <v>12627</v>
      </c>
      <c r="B279" s="5" t="n">
        <v>44517</v>
      </c>
      <c r="C279" s="13" t="inlineStr">
        <is>
          <t>VTA</t>
        </is>
      </c>
      <c r="D279" s="13" t="n">
        <v>39</v>
      </c>
      <c r="E279" s="10">
        <f>IF(D279&gt;0,VLOOKUP(OPERAC[[#This Row],[COD CART]],[1]!MatrizCortoLargoCyl[#All],3,0),"")</f>
        <v/>
      </c>
      <c r="F279" s="13" t="inlineStr">
        <is>
          <t>YPF/V/7,00/20-01-23</t>
        </is>
      </c>
      <c r="G279" s="6" t="n">
        <v>-500</v>
      </c>
      <c r="H279" s="6" t="n">
        <v>1636.8</v>
      </c>
      <c r="I279" s="7">
        <f>-H279/G279</f>
        <v/>
      </c>
      <c r="J279" s="11" t="n"/>
      <c r="K279" s="6" t="n"/>
      <c r="L279" s="6" t="n"/>
      <c r="M279" s="7">
        <f>IF(N279=0,+L279+H279,0)</f>
        <v/>
      </c>
      <c r="N279" s="7">
        <f>IF((+G279-K279)=0,0,+G279-K279)</f>
        <v/>
      </c>
      <c r="O279" s="7">
        <f>IF(N279=0,0,(L279+H279)/-N279)</f>
        <v/>
      </c>
      <c r="P279" s="7">
        <f>VLOOKUP(OPERAC[[#This Row],[especie]],[1]!ESPECIES[#All],6,0)</f>
        <v/>
      </c>
      <c r="Q279" s="7">
        <f>IF(N279&lt;&gt;0,P279*N279,0)</f>
        <v/>
      </c>
      <c r="R279" s="8">
        <f>IF(Q279&lt;&gt;0,Q279+H279+L279,0)</f>
        <v/>
      </c>
      <c r="S279" s="9">
        <f>VLOOKUP(OPERAC[[#This Row],[especie]],[1]!ESPECIES[#Data],9,FALSE)</f>
        <v/>
      </c>
    </row>
    <row r="280">
      <c r="A280" s="4" t="n">
        <v>1760</v>
      </c>
      <c r="B280" s="5" t="n">
        <v>44651</v>
      </c>
      <c r="C280" s="13" t="inlineStr">
        <is>
          <t>VTA</t>
        </is>
      </c>
      <c r="D280" s="13" t="n">
        <v>39</v>
      </c>
      <c r="E280" s="10">
        <f>IF(D280&gt;0,VLOOKUP(OPERAC[[#This Row],[COD CART]],[1]!MatrizCortoLargoCyl[#All],3,0),"")</f>
        <v/>
      </c>
      <c r="F280" s="13" t="inlineStr">
        <is>
          <t>TSLA/C/1375,00/08-04-22</t>
        </is>
      </c>
      <c r="G280" s="6" t="n">
        <v>-1000</v>
      </c>
      <c r="H280" s="6" t="n">
        <v>1634.8</v>
      </c>
      <c r="I280" s="7">
        <f>-H280/G280</f>
        <v/>
      </c>
      <c r="J280" s="11" t="n">
        <v>44659</v>
      </c>
      <c r="K280" s="6">
        <f>+OPERAC[[#This Row],[cantidad]]</f>
        <v/>
      </c>
      <c r="L280" s="6" t="n">
        <v>0</v>
      </c>
      <c r="M280" s="7">
        <f>IF(N280=0,+L280+H280,0)</f>
        <v/>
      </c>
      <c r="N280" s="7">
        <f>IF((+G280-K280)=0,0,+G280-K280)</f>
        <v/>
      </c>
      <c r="O280" s="7">
        <f>IF(N280=0,0,(L280+H280)/-N280)</f>
        <v/>
      </c>
      <c r="P280" s="7">
        <f>VLOOKUP(OPERAC[[#This Row],[especie]],[1]!ESPECIES[#All],6,0)</f>
        <v/>
      </c>
      <c r="Q280" s="7">
        <f>IF(N280&lt;&gt;0,P280*N280,0)</f>
        <v/>
      </c>
      <c r="R280" s="8">
        <f>IF(Q280&lt;&gt;0,Q280+H280+L280,0)</f>
        <v/>
      </c>
      <c r="S280" s="9">
        <f>VLOOKUP(OPERAC[[#This Row],[especie]],[1]!ESPECIES[#Data],9,FALSE)</f>
        <v/>
      </c>
    </row>
    <row r="281">
      <c r="A281" s="4" t="n">
        <v>16780</v>
      </c>
      <c r="B281" s="5" t="n">
        <v>44651</v>
      </c>
      <c r="C281" s="13" t="inlineStr">
        <is>
          <t>VTA</t>
        </is>
      </c>
      <c r="D281" s="13" t="n">
        <v>39</v>
      </c>
      <c r="E281" s="10">
        <f>IF(D281&gt;0,VLOOKUP(OPERAC[[#This Row],[COD CART]],[1]!MatrizCortoLargoCyl[#All],3,0),"")</f>
        <v/>
      </c>
      <c r="F281" s="13" t="inlineStr">
        <is>
          <t>TSLA/C/1375,00/08-04-22</t>
        </is>
      </c>
      <c r="G281" s="6" t="n">
        <v>-1000</v>
      </c>
      <c r="H281" s="6" t="n">
        <v>1633.36</v>
      </c>
      <c r="I281" s="7">
        <f>-H281/G281</f>
        <v/>
      </c>
      <c r="J281" s="11" t="n">
        <v>44659</v>
      </c>
      <c r="K281" s="6">
        <f>+OPERAC[[#This Row],[cantidad]]</f>
        <v/>
      </c>
      <c r="L281" s="6" t="n">
        <v>0</v>
      </c>
      <c r="M281" s="7">
        <f>IF(N281=0,+L281+H281,0)</f>
        <v/>
      </c>
      <c r="N281" s="7">
        <f>IF((+G281-K281)=0,0,+G281-K281)</f>
        <v/>
      </c>
      <c r="O281" s="7">
        <f>IF(N281=0,0,(L281+H281)/-N281)</f>
        <v/>
      </c>
      <c r="P281" s="7">
        <f>VLOOKUP(OPERAC[[#This Row],[especie]],[1]!ESPECIES[#All],6,0)</f>
        <v/>
      </c>
      <c r="Q281" s="7">
        <f>IF(N281&lt;&gt;0,P281*N281,0)</f>
        <v/>
      </c>
      <c r="R281" s="8">
        <f>IF(Q281&lt;&gt;0,Q281+H281+L281,0)</f>
        <v/>
      </c>
      <c r="S281" s="9">
        <f>VLOOKUP(OPERAC[[#This Row],[especie]],[1]!ESPECIES[#Data],9,FALSE)</f>
        <v/>
      </c>
    </row>
    <row r="282">
      <c r="A282" s="4" t="n">
        <v>3728</v>
      </c>
      <c r="B282" s="5" t="n">
        <v>44678</v>
      </c>
      <c r="C282" s="13" t="inlineStr">
        <is>
          <t>VTA</t>
        </is>
      </c>
      <c r="D282" s="13" t="n">
        <v>39</v>
      </c>
      <c r="E282" s="10">
        <f>IF(D282&gt;0,VLOOKUP(OPERAC[[#This Row],[COD CART]],[1]!MatrizCortoLargoCyl[#All],3,0),"")</f>
        <v/>
      </c>
      <c r="F282" s="13" t="inlineStr">
        <is>
          <t>TSLA/C/1000,00/29-04-22</t>
        </is>
      </c>
      <c r="G282" s="6" t="n">
        <v>-1000</v>
      </c>
      <c r="H282" s="6" t="n">
        <v>1628.37</v>
      </c>
      <c r="I282" s="7">
        <f>-H282/G282</f>
        <v/>
      </c>
      <c r="J282" s="11" t="n">
        <v>44680</v>
      </c>
      <c r="K282" s="6">
        <f>+OPERAC[[#This Row],[cantidad]]</f>
        <v/>
      </c>
      <c r="L282" s="6" t="n">
        <v>0</v>
      </c>
      <c r="M282" s="7">
        <f>IF(N282=0,+L282+H282,0)</f>
        <v/>
      </c>
      <c r="N282" s="7">
        <f>IF((+G282-K282)=0,0,+G282-K282)</f>
        <v/>
      </c>
      <c r="O282" s="7">
        <f>IF(N282=0,0,(L282+H282)/-N282)</f>
        <v/>
      </c>
      <c r="P282" s="7">
        <f>VLOOKUP(OPERAC[[#This Row],[especie]],[1]!ESPECIES[#All],6,0)</f>
        <v/>
      </c>
      <c r="Q282" s="7">
        <f>IF(N282&lt;&gt;0,P282*N282,0)</f>
        <v/>
      </c>
      <c r="R282" s="8">
        <f>IF(Q282&lt;&gt;0,Q282+H282+L282,0)</f>
        <v/>
      </c>
      <c r="S282" s="9">
        <f>VLOOKUP(OPERAC[[#This Row],[especie]],[1]!ESPECIES[#Data],9,FALSE)</f>
        <v/>
      </c>
    </row>
    <row r="283">
      <c r="A283" s="4" t="n">
        <v>2218</v>
      </c>
      <c r="B283" s="5" t="n">
        <v>44678</v>
      </c>
      <c r="C283" s="13" t="inlineStr">
        <is>
          <t>VTA</t>
        </is>
      </c>
      <c r="D283" s="13" t="n">
        <v>39</v>
      </c>
      <c r="E283" s="10">
        <f>IF(D283&gt;0,VLOOKUP(OPERAC[[#This Row],[COD CART]],[1]!MatrizCortoLargoCyl[#All],3,0),"")</f>
        <v/>
      </c>
      <c r="F283" s="13" t="inlineStr">
        <is>
          <t>TSLA/C/1000,00/29-04-22</t>
        </is>
      </c>
      <c r="G283" s="6" t="n">
        <v>-1000</v>
      </c>
      <c r="H283" s="6" t="n">
        <v>1628.37</v>
      </c>
      <c r="I283" s="7">
        <f>-H283/G283</f>
        <v/>
      </c>
      <c r="J283" s="11" t="n">
        <v>44680</v>
      </c>
      <c r="K283" s="6">
        <f>+OPERAC[[#This Row],[cantidad]]</f>
        <v/>
      </c>
      <c r="L283" s="6" t="n">
        <v>0</v>
      </c>
      <c r="M283" s="7">
        <f>IF(N283=0,+L283+H283,0)</f>
        <v/>
      </c>
      <c r="N283" s="7">
        <f>IF((+G283-K283)=0,0,+G283-K283)</f>
        <v/>
      </c>
      <c r="O283" s="7">
        <f>IF(N283=0,0,(L283+H283)/-N283)</f>
        <v/>
      </c>
      <c r="P283" s="7">
        <f>VLOOKUP(OPERAC[[#This Row],[especie]],[1]!ESPECIES[#All],6,0)</f>
        <v/>
      </c>
      <c r="Q283" s="7">
        <f>IF(N283&lt;&gt;0,P283*N283,0)</f>
        <v/>
      </c>
      <c r="R283" s="8">
        <f>IF(Q283&lt;&gt;0,Q283+H283+L283,0)</f>
        <v/>
      </c>
      <c r="S283" s="9">
        <f>VLOOKUP(OPERAC[[#This Row],[especie]],[1]!ESPECIES[#Data],9,FALSE)</f>
        <v/>
      </c>
    </row>
    <row r="284">
      <c r="A284" s="4" t="n">
        <v>12688</v>
      </c>
      <c r="B284" s="5" t="n">
        <v>44694</v>
      </c>
      <c r="C284" s="13" t="inlineStr">
        <is>
          <t>VTA</t>
        </is>
      </c>
      <c r="D284" s="13" t="n">
        <v>39</v>
      </c>
      <c r="E284" s="10">
        <f>IF(D284&gt;0,VLOOKUP(OPERAC[[#This Row],[COD CART]],[1]!MatrizCortoLargoCyl[#All],3,0),"")</f>
        <v/>
      </c>
      <c r="F284" s="13" t="inlineStr">
        <is>
          <t>TSLA/V/500,00/20-05-22</t>
        </is>
      </c>
      <c r="G284" s="6" t="n">
        <v>-2000</v>
      </c>
      <c r="H284" s="6" t="n">
        <v>1606.23</v>
      </c>
      <c r="I284" s="7">
        <f>-H284/G284</f>
        <v/>
      </c>
      <c r="J284" s="11" t="n">
        <v>44698</v>
      </c>
      <c r="K284" s="6" t="n">
        <v>-2000</v>
      </c>
      <c r="L284" s="6" t="n">
        <v>-504.25</v>
      </c>
      <c r="M284" s="7">
        <f>IF(N284=0,+L284+H284,0)</f>
        <v/>
      </c>
      <c r="N284" s="7">
        <f>IF((+G284-K284)=0,0,+G284-K284)</f>
        <v/>
      </c>
      <c r="O284" s="7">
        <f>IF(N284=0,0,(L284+H284)/-N284)</f>
        <v/>
      </c>
      <c r="P284" s="7">
        <f>VLOOKUP(OPERAC[[#This Row],[especie]],[1]!ESPECIES[#All],6,0)</f>
        <v/>
      </c>
      <c r="Q284" s="7">
        <f>IF(N284&lt;&gt;0,P284*N284,0)</f>
        <v/>
      </c>
      <c r="R284" s="8">
        <f>IF(Q284&lt;&gt;0,Q284+H284+L284,0)</f>
        <v/>
      </c>
      <c r="S284" s="9">
        <f>VLOOKUP(OPERAC[[#This Row],[especie]],[1]!ESPECIES[#Data],9,FALSE)</f>
        <v/>
      </c>
    </row>
    <row r="285">
      <c r="A285" s="4" t="n">
        <v>7914</v>
      </c>
      <c r="B285" s="5" t="n">
        <v>44574</v>
      </c>
      <c r="C285" s="13" t="inlineStr">
        <is>
          <t>VTA</t>
        </is>
      </c>
      <c r="D285" s="13" t="n">
        <v>39</v>
      </c>
      <c r="E285" s="10">
        <f>IF(D285&gt;0,VLOOKUP(OPERAC[[#This Row],[COD CART]],[1]!MatrizCortoLargoCyl[#All],3,0),"")</f>
        <v/>
      </c>
      <c r="F285" s="13" t="inlineStr">
        <is>
          <t>TSLA/V/900,00/21-01-22</t>
        </is>
      </c>
      <c r="G285" s="6" t="n">
        <v>-600</v>
      </c>
      <c r="H285" s="6" t="n">
        <v>1605.4512</v>
      </c>
      <c r="I285" s="7">
        <f>-H285/G285</f>
        <v/>
      </c>
      <c r="J285" s="11" t="n">
        <v>44582</v>
      </c>
      <c r="K285" s="6">
        <f>+OPERAC[[#This Row],[cantidad]]</f>
        <v/>
      </c>
      <c r="L285" s="6" t="n">
        <v>0</v>
      </c>
      <c r="M285" s="7">
        <f>IF(N285=0,+L285+H285,0)</f>
        <v/>
      </c>
      <c r="N285" s="7">
        <f>IF((+G285-K285)=0,0,+G285-K285)</f>
        <v/>
      </c>
      <c r="O285" s="7">
        <f>IF(N285=0,0,(L285+H285)/-N285)</f>
        <v/>
      </c>
      <c r="P285" s="7">
        <f>VLOOKUP(OPERAC[[#This Row],[especie]],[1]!ESPECIES[#All],6,0)</f>
        <v/>
      </c>
      <c r="Q285" s="7">
        <f>IF(N285&lt;&gt;0,P285*N285,0)</f>
        <v/>
      </c>
      <c r="R285" s="8">
        <f>IF(Q285&lt;&gt;0,Q285+H285+L285,0)</f>
        <v/>
      </c>
      <c r="S285" s="9">
        <f>VLOOKUP(OPERAC[[#This Row],[especie]],[1]!ESPECIES[#Data],9,FALSE)</f>
        <v/>
      </c>
    </row>
    <row r="286">
      <c r="A286" s="4" t="n">
        <v>3832</v>
      </c>
      <c r="B286" s="5" t="n">
        <v>44587</v>
      </c>
      <c r="C286" s="13" t="inlineStr">
        <is>
          <t>VTA</t>
        </is>
      </c>
      <c r="D286" s="13" t="n">
        <v>39</v>
      </c>
      <c r="E286" s="10">
        <f>IF(D286&gt;0,VLOOKUP(OPERAC[[#This Row],[COD CART]],[1]!MatrizCortoLargoCyl[#All],3,0),"")</f>
        <v/>
      </c>
      <c r="F286" s="13" t="inlineStr">
        <is>
          <t>ROKU/V/155,00/04-02-22</t>
        </is>
      </c>
      <c r="G286" s="6" t="n">
        <v>-200</v>
      </c>
      <c r="H286" s="6" t="n">
        <v>1599.2032</v>
      </c>
      <c r="I286" s="7">
        <f>-H286/G286</f>
        <v/>
      </c>
      <c r="J286" s="11" t="n">
        <v>44592</v>
      </c>
      <c r="K286" s="6">
        <f>+OPERAC[[#This Row],[cantidad]]</f>
        <v/>
      </c>
      <c r="L286" s="6" t="n">
        <v>-711.4928</v>
      </c>
      <c r="M286" s="7">
        <f>IF(N286=0,+L286+H286,0)</f>
        <v/>
      </c>
      <c r="N286" s="7">
        <f>IF((+G286-K286)=0,0,+G286-K286)</f>
        <v/>
      </c>
      <c r="O286" s="7">
        <f>IF(N286=0,0,(L286+H286)/-N286)</f>
        <v/>
      </c>
      <c r="P286" s="7">
        <f>VLOOKUP(OPERAC[[#This Row],[especie]],[1]!ESPECIES[#All],6,0)</f>
        <v/>
      </c>
      <c r="Q286" s="7">
        <f>IF(N286&lt;&gt;0,P286*N286,0)</f>
        <v/>
      </c>
      <c r="R286" s="8">
        <f>IF(Q286&lt;&gt;0,Q286+H286+L286,0)</f>
        <v/>
      </c>
      <c r="S286" s="9">
        <f>VLOOKUP(OPERAC[[#This Row],[especie]],[1]!ESPECIES[#Data],9,FALSE)</f>
        <v/>
      </c>
    </row>
    <row r="287">
      <c r="A287" s="4" t="n">
        <v>9195</v>
      </c>
      <c r="B287" s="5" t="n">
        <v>44587</v>
      </c>
      <c r="C287" s="13" t="inlineStr">
        <is>
          <t>VTA</t>
        </is>
      </c>
      <c r="D287" s="13" t="n">
        <v>39</v>
      </c>
      <c r="E287" s="10">
        <f>IF(D287&gt;0,VLOOKUP(OPERAC[[#This Row],[COD CART]],[1]!MatrizCortoLargoCyl[#All],3,0),"")</f>
        <v/>
      </c>
      <c r="F287" s="13" t="inlineStr">
        <is>
          <t>ROKU/V/155,00/04-02-22</t>
        </is>
      </c>
      <c r="G287" s="6" t="n">
        <v>-200</v>
      </c>
      <c r="H287" s="6" t="n">
        <v>1594.3984</v>
      </c>
      <c r="I287" s="7">
        <f>-H287/G287</f>
        <v/>
      </c>
      <c r="J287" s="11" t="n">
        <v>44592</v>
      </c>
      <c r="K287" s="6">
        <f>+OPERAC[[#This Row],[cantidad]]</f>
        <v/>
      </c>
      <c r="L287" s="6" t="n">
        <v>-713.6228</v>
      </c>
      <c r="M287" s="7">
        <f>IF(N287=0,+L287+H287,0)</f>
        <v/>
      </c>
      <c r="N287" s="7">
        <f>IF((+G287-K287)=0,0,+G287-K287)</f>
        <v/>
      </c>
      <c r="O287" s="7">
        <f>IF(N287=0,0,(L287+H287)/-N287)</f>
        <v/>
      </c>
      <c r="P287" s="7">
        <f>VLOOKUP(OPERAC[[#This Row],[especie]],[1]!ESPECIES[#All],6,0)</f>
        <v/>
      </c>
      <c r="Q287" s="7">
        <f>IF(N287&lt;&gt;0,P287*N287,0)</f>
        <v/>
      </c>
      <c r="R287" s="8">
        <f>IF(Q287&lt;&gt;0,Q287+H287+L287,0)</f>
        <v/>
      </c>
      <c r="S287" s="9">
        <f>VLOOKUP(OPERAC[[#This Row],[especie]],[1]!ESPECIES[#Data],9,FALSE)</f>
        <v/>
      </c>
    </row>
    <row r="288">
      <c r="A288" s="4" t="n">
        <v>2253</v>
      </c>
      <c r="B288" s="5" t="n">
        <v>44587</v>
      </c>
      <c r="C288" s="13" t="inlineStr">
        <is>
          <t>VTA</t>
        </is>
      </c>
      <c r="D288" s="13" t="n">
        <v>39</v>
      </c>
      <c r="E288" s="10">
        <f>IF(D288&gt;0,VLOOKUP(OPERAC[[#This Row],[COD CART]],[1]!MatrizCortoLargoCyl[#All],3,0),"")</f>
        <v/>
      </c>
      <c r="F288" s="13" t="inlineStr">
        <is>
          <t>ROKU/V/155,00/04-02-22</t>
        </is>
      </c>
      <c r="G288" s="6" t="n">
        <v>-200</v>
      </c>
      <c r="H288" s="6" t="n">
        <v>1587.992</v>
      </c>
      <c r="I288" s="7">
        <f>-H288/G288</f>
        <v/>
      </c>
      <c r="J288" s="11" t="n">
        <v>44592</v>
      </c>
      <c r="K288" s="6">
        <f>+OPERAC[[#This Row],[cantidad]]</f>
        <v/>
      </c>
      <c r="L288" s="6" t="n">
        <v>-716.4627999999999</v>
      </c>
      <c r="M288" s="7">
        <f>IF(N288=0,+L288+H288,0)</f>
        <v/>
      </c>
      <c r="N288" s="7">
        <f>IF((+G288-K288)=0,0,+G288-K288)</f>
        <v/>
      </c>
      <c r="O288" s="7">
        <f>IF(N288=0,0,(L288+H288)/-N288)</f>
        <v/>
      </c>
      <c r="P288" s="7">
        <f>VLOOKUP(OPERAC[[#This Row],[especie]],[1]!ESPECIES[#All],6,0)</f>
        <v/>
      </c>
      <c r="Q288" s="7">
        <f>IF(N288&lt;&gt;0,P288*N288,0)</f>
        <v/>
      </c>
      <c r="R288" s="8">
        <f>IF(Q288&lt;&gt;0,Q288+H288+L288,0)</f>
        <v/>
      </c>
      <c r="S288" s="9">
        <f>VLOOKUP(OPERAC[[#This Row],[especie]],[1]!ESPECIES[#Data],9,FALSE)</f>
        <v/>
      </c>
    </row>
    <row r="289">
      <c r="A289" s="4" t="n">
        <v>2279</v>
      </c>
      <c r="B289" s="5" t="n">
        <v>44587</v>
      </c>
      <c r="C289" s="13" t="inlineStr">
        <is>
          <t>VTA</t>
        </is>
      </c>
      <c r="D289" s="13" t="n">
        <v>39</v>
      </c>
      <c r="E289" s="10">
        <f>IF(D289&gt;0,VLOOKUP(OPERAC[[#This Row],[COD CART]],[1]!MatrizCortoLargoCyl[#All],3,0),"")</f>
        <v/>
      </c>
      <c r="F289" s="13" t="inlineStr">
        <is>
          <t>ROKU/V/155,00/04-02-22</t>
        </is>
      </c>
      <c r="G289" s="6" t="n">
        <v>-200</v>
      </c>
      <c r="H289" s="6" t="n">
        <v>1587.992</v>
      </c>
      <c r="I289" s="7">
        <f>-H289/G289</f>
        <v/>
      </c>
      <c r="J289" s="11" t="n">
        <v>44592</v>
      </c>
      <c r="K289" s="6">
        <f>+OPERAC[[#This Row],[cantidad]]</f>
        <v/>
      </c>
      <c r="L289" s="6" t="n">
        <v>-716.4627999999999</v>
      </c>
      <c r="M289" s="7">
        <f>IF(N289=0,+L289+H289,0)</f>
        <v/>
      </c>
      <c r="N289" s="7">
        <f>IF((+G289-K289)=0,0,+G289-K289)</f>
        <v/>
      </c>
      <c r="O289" s="7">
        <f>IF(N289=0,0,(L289+H289)/-N289)</f>
        <v/>
      </c>
      <c r="P289" s="7">
        <f>VLOOKUP(OPERAC[[#This Row],[especie]],[1]!ESPECIES[#All],6,0)</f>
        <v/>
      </c>
      <c r="Q289" s="7">
        <f>IF(N289&lt;&gt;0,P289*N289,0)</f>
        <v/>
      </c>
      <c r="R289" s="8">
        <f>IF(Q289&lt;&gt;0,Q289+H289+L289,0)</f>
        <v/>
      </c>
      <c r="S289" s="9">
        <f>VLOOKUP(OPERAC[[#This Row],[especie]],[1]!ESPECIES[#Data],9,FALSE)</f>
        <v/>
      </c>
    </row>
    <row r="290">
      <c r="A290" s="4" t="n">
        <v>3820</v>
      </c>
      <c r="B290" s="5" t="n">
        <v>44587</v>
      </c>
      <c r="C290" s="13" t="inlineStr">
        <is>
          <t>VTA</t>
        </is>
      </c>
      <c r="D290" s="13" t="n">
        <v>39</v>
      </c>
      <c r="E290" s="10">
        <f>IF(D290&gt;0,VLOOKUP(OPERAC[[#This Row],[COD CART]],[1]!MatrizCortoLargoCyl[#All],3,0),"")</f>
        <v/>
      </c>
      <c r="F290" s="13" t="inlineStr">
        <is>
          <t>ROKU/V/155,00/04-02-22</t>
        </is>
      </c>
      <c r="G290" s="6" t="n">
        <v>-200</v>
      </c>
      <c r="H290" s="6" t="n">
        <v>1587.992</v>
      </c>
      <c r="I290" s="7">
        <f>-H290/G290</f>
        <v/>
      </c>
      <c r="J290" s="11" t="n">
        <v>44592</v>
      </c>
      <c r="K290" s="6">
        <f>+OPERAC[[#This Row],[cantidad]]</f>
        <v/>
      </c>
      <c r="L290" s="6" t="n">
        <v>-716.4627999999999</v>
      </c>
      <c r="M290" s="7">
        <f>IF(N290=0,+L290+H290,0)</f>
        <v/>
      </c>
      <c r="N290" s="7">
        <f>IF((+G290-K290)=0,0,+G290-K290)</f>
        <v/>
      </c>
      <c r="O290" s="7">
        <f>IF(N290=0,0,(L290+H290)/-N290)</f>
        <v/>
      </c>
      <c r="P290" s="7">
        <f>VLOOKUP(OPERAC[[#This Row],[especie]],[1]!ESPECIES[#All],6,0)</f>
        <v/>
      </c>
      <c r="Q290" s="7">
        <f>IF(N290&lt;&gt;0,P290*N290,0)</f>
        <v/>
      </c>
      <c r="R290" s="8">
        <f>IF(Q290&lt;&gt;0,Q290+H290+L290,0)</f>
        <v/>
      </c>
      <c r="S290" s="9">
        <f>VLOOKUP(OPERAC[[#This Row],[especie]],[1]!ESPECIES[#Data],9,FALSE)</f>
        <v/>
      </c>
    </row>
    <row r="291">
      <c r="A291" s="4" t="n">
        <v>4543</v>
      </c>
      <c r="B291" s="5" t="n">
        <v>44587</v>
      </c>
      <c r="C291" s="13" t="inlineStr">
        <is>
          <t>VTA</t>
        </is>
      </c>
      <c r="D291" s="13" t="n">
        <v>39</v>
      </c>
      <c r="E291" s="10">
        <f>IF(D291&gt;0,VLOOKUP(OPERAC[[#This Row],[COD CART]],[1]!MatrizCortoLargoCyl[#All],3,0),"")</f>
        <v/>
      </c>
      <c r="F291" s="13" t="inlineStr">
        <is>
          <t>ROKU/V/155,00/04-02-22</t>
        </is>
      </c>
      <c r="G291" s="6" t="n">
        <v>-200</v>
      </c>
      <c r="H291" s="6" t="n">
        <v>1587.992</v>
      </c>
      <c r="I291" s="7">
        <f>-H291/G291</f>
        <v/>
      </c>
      <c r="J291" s="11" t="n">
        <v>44592</v>
      </c>
      <c r="K291" s="6">
        <f>+OPERAC[[#This Row],[cantidad]]</f>
        <v/>
      </c>
      <c r="L291" s="6" t="n">
        <v>-716.4627999999999</v>
      </c>
      <c r="M291" s="7">
        <f>IF(N291=0,+L291+H291,0)</f>
        <v/>
      </c>
      <c r="N291" s="7">
        <f>IF((+G291-K291)=0,0,+G291-K291)</f>
        <v/>
      </c>
      <c r="O291" s="7">
        <f>IF(N291=0,0,(L291+H291)/-N291)</f>
        <v/>
      </c>
      <c r="P291" s="7">
        <f>VLOOKUP(OPERAC[[#This Row],[especie]],[1]!ESPECIES[#All],6,0)</f>
        <v/>
      </c>
      <c r="Q291" s="7">
        <f>IF(N291&lt;&gt;0,P291*N291,0)</f>
        <v/>
      </c>
      <c r="R291" s="8">
        <f>IF(Q291&lt;&gt;0,Q291+H291+L291,0)</f>
        <v/>
      </c>
      <c r="S291" s="9">
        <f>VLOOKUP(OPERAC[[#This Row],[especie]],[1]!ESPECIES[#Data],9,FALSE)</f>
        <v/>
      </c>
    </row>
    <row r="292">
      <c r="A292" s="4" t="n">
        <v>7895</v>
      </c>
      <c r="B292" s="5" t="n">
        <v>44587</v>
      </c>
      <c r="C292" s="13" t="inlineStr">
        <is>
          <t>VTA</t>
        </is>
      </c>
      <c r="D292" s="13" t="n">
        <v>39</v>
      </c>
      <c r="E292" s="10">
        <f>IF(D292&gt;0,VLOOKUP(OPERAC[[#This Row],[COD CART]],[1]!MatrizCortoLargoCyl[#All],3,0),"")</f>
        <v/>
      </c>
      <c r="F292" s="13" t="inlineStr">
        <is>
          <t>ROKU/V/155,00/04-02-22</t>
        </is>
      </c>
      <c r="G292" s="6" t="n">
        <v>-200</v>
      </c>
      <c r="H292" s="6" t="n">
        <v>1587.992</v>
      </c>
      <c r="I292" s="7">
        <f>-H292/G292</f>
        <v/>
      </c>
      <c r="J292" s="11" t="n">
        <v>44592</v>
      </c>
      <c r="K292" s="6">
        <f>+OPERAC[[#This Row],[cantidad]]</f>
        <v/>
      </c>
      <c r="L292" s="6" t="n">
        <v>-716.4627999999999</v>
      </c>
      <c r="M292" s="7">
        <f>IF(N292=0,+L292+H292,0)</f>
        <v/>
      </c>
      <c r="N292" s="7">
        <f>IF((+G292-K292)=0,0,+G292-K292)</f>
        <v/>
      </c>
      <c r="O292" s="7">
        <f>IF(N292=0,0,(L292+H292)/-N292)</f>
        <v/>
      </c>
      <c r="P292" s="7">
        <f>VLOOKUP(OPERAC[[#This Row],[especie]],[1]!ESPECIES[#All],6,0)</f>
        <v/>
      </c>
      <c r="Q292" s="7">
        <f>IF(N292&lt;&gt;0,P292*N292,0)</f>
        <v/>
      </c>
      <c r="R292" s="8">
        <f>IF(Q292&lt;&gt;0,Q292+H292+L292,0)</f>
        <v/>
      </c>
      <c r="S292" s="9">
        <f>VLOOKUP(OPERAC[[#This Row],[especie]],[1]!ESPECIES[#Data],9,FALSE)</f>
        <v/>
      </c>
    </row>
    <row r="293">
      <c r="A293" s="4" t="n">
        <v>20312</v>
      </c>
      <c r="B293" s="5" t="n">
        <v>44587</v>
      </c>
      <c r="C293" s="13" t="inlineStr">
        <is>
          <t>VTA</t>
        </is>
      </c>
      <c r="D293" s="13" t="n">
        <v>39</v>
      </c>
      <c r="E293" s="10">
        <f>IF(D293&gt;0,VLOOKUP(OPERAC[[#This Row],[COD CART]],[1]!MatrizCortoLargoCyl[#All],3,0),"")</f>
        <v/>
      </c>
      <c r="F293" s="13" t="inlineStr">
        <is>
          <t>ROKU/V/155,00/04-02-22</t>
        </is>
      </c>
      <c r="G293" s="6" t="n">
        <v>-200</v>
      </c>
      <c r="H293" s="6" t="n">
        <v>1587.992</v>
      </c>
      <c r="I293" s="7">
        <f>-H293/G293</f>
        <v/>
      </c>
      <c r="J293" s="11" t="n">
        <v>44592</v>
      </c>
      <c r="K293" s="6">
        <f>+OPERAC[[#This Row],[cantidad]]</f>
        <v/>
      </c>
      <c r="L293" s="6" t="n">
        <v>-716.4627999999999</v>
      </c>
      <c r="M293" s="7">
        <f>IF(N293=0,+L293+H293,0)</f>
        <v/>
      </c>
      <c r="N293" s="7">
        <f>IF((+G293-K293)=0,0,+G293-K293)</f>
        <v/>
      </c>
      <c r="O293" s="7">
        <f>IF(N293=0,0,(L293+H293)/-N293)</f>
        <v/>
      </c>
      <c r="P293" s="7">
        <f>VLOOKUP(OPERAC[[#This Row],[especie]],[1]!ESPECIES[#All],6,0)</f>
        <v/>
      </c>
      <c r="Q293" s="7">
        <f>IF(N293&lt;&gt;0,P293*N293,0)</f>
        <v/>
      </c>
      <c r="R293" s="8">
        <f>IF(Q293&lt;&gt;0,Q293+H293+L293,0)</f>
        <v/>
      </c>
      <c r="S293" s="9">
        <f>VLOOKUP(OPERAC[[#This Row],[especie]],[1]!ESPECIES[#Data],9,FALSE)</f>
        <v/>
      </c>
    </row>
    <row r="294">
      <c r="A294" s="4" t="n">
        <v>19920</v>
      </c>
      <c r="B294" s="5" t="n">
        <v>44673</v>
      </c>
      <c r="C294" s="13" t="inlineStr">
        <is>
          <t>VTA</t>
        </is>
      </c>
      <c r="D294" s="13" t="n">
        <v>39</v>
      </c>
      <c r="E294" s="10">
        <f>IF(D294&gt;0,VLOOKUP(OPERAC[[#This Row],[COD CART]],[1]!MatrizCortoLargoCyl[#All],3,0),"")</f>
        <v/>
      </c>
      <c r="F294" s="13" t="inlineStr">
        <is>
          <t>UPST/V/68,00/29-04-22</t>
        </is>
      </c>
      <c r="G294" s="6" t="n">
        <v>-800</v>
      </c>
      <c r="H294" s="6" t="n">
        <v>1586.4</v>
      </c>
      <c r="I294" s="7">
        <f>-H294/G294</f>
        <v/>
      </c>
      <c r="J294" s="11" t="n">
        <v>44679</v>
      </c>
      <c r="K294" s="6">
        <f>+OPERAC[[#This Row],[cantidad]]</f>
        <v/>
      </c>
      <c r="L294" s="6" t="n">
        <v>-403.4</v>
      </c>
      <c r="M294" s="7">
        <f>IF(N294=0,+L294+H294,0)</f>
        <v/>
      </c>
      <c r="N294" s="7">
        <f>IF((+G294-K294)=0,0,+G294-K294)</f>
        <v/>
      </c>
      <c r="O294" s="7">
        <f>IF(N294=0,0,(L294+H294)/-N294)</f>
        <v/>
      </c>
      <c r="P294" s="7">
        <f>VLOOKUP(OPERAC[[#This Row],[especie]],[1]!ESPECIES[#All],6,0)</f>
        <v/>
      </c>
      <c r="Q294" s="7">
        <f>IF(N294&lt;&gt;0,P294*N294,0)</f>
        <v/>
      </c>
      <c r="R294" s="8">
        <f>IF(Q294&lt;&gt;0,Q294+H294+L294,0)</f>
        <v/>
      </c>
      <c r="S294" s="9">
        <f>VLOOKUP(OPERAC[[#This Row],[especie]],[1]!ESPECIES[#Data],9,FALSE)</f>
        <v/>
      </c>
    </row>
    <row r="295">
      <c r="A295" s="4" t="n">
        <v>16780</v>
      </c>
      <c r="B295" s="5" t="n">
        <v>44676</v>
      </c>
      <c r="C295" s="13" t="inlineStr">
        <is>
          <t>VTA</t>
        </is>
      </c>
      <c r="D295" s="13" t="n">
        <v>39</v>
      </c>
      <c r="E295" s="10">
        <f>IF(D295&gt;0,VLOOKUP(OPERAC[[#This Row],[COD CART]],[1]!MatrizCortoLargoCyl[#All],3,0),"")</f>
        <v/>
      </c>
      <c r="F295" s="13" t="inlineStr">
        <is>
          <t>UPST/V/66,00/29-04-22</t>
        </is>
      </c>
      <c r="G295" s="6" t="n">
        <v>-2000</v>
      </c>
      <c r="H295" s="6" t="n">
        <v>1586.4</v>
      </c>
      <c r="I295" s="7">
        <f>-H295/G295</f>
        <v/>
      </c>
      <c r="J295" s="11" t="n">
        <v>44680</v>
      </c>
      <c r="K295" s="6" t="n">
        <v>-2000</v>
      </c>
      <c r="L295" s="6" t="n">
        <v>0</v>
      </c>
      <c r="M295" s="7">
        <f>IF(N295=0,+L295+H295,0)</f>
        <v/>
      </c>
      <c r="N295" s="7">
        <f>IF((+G295-K295)=0,0,+G295-K295)</f>
        <v/>
      </c>
      <c r="O295" s="7">
        <f>IF(N295=0,0,(L295+H295)/-N295)</f>
        <v/>
      </c>
      <c r="P295" s="7">
        <f>VLOOKUP(OPERAC[[#This Row],[especie]],[1]!ESPECIES[#All],6,0)</f>
        <v/>
      </c>
      <c r="Q295" s="7">
        <f>IF(N295&lt;&gt;0,P295*N295,0)</f>
        <v/>
      </c>
      <c r="R295" s="8">
        <f>IF(Q295&lt;&gt;0,Q295+H295+L295,0)</f>
        <v/>
      </c>
      <c r="S295" s="9">
        <f>VLOOKUP(OPERAC[[#This Row],[especie]],[1]!ESPECIES[#Data],9,FALSE)</f>
        <v/>
      </c>
    </row>
    <row r="296">
      <c r="A296" s="4" t="n">
        <v>13185</v>
      </c>
      <c r="B296" s="5" t="n">
        <v>44606</v>
      </c>
      <c r="C296" s="13" t="inlineStr">
        <is>
          <t>VTA</t>
        </is>
      </c>
      <c r="D296" s="13" t="n">
        <v>39</v>
      </c>
      <c r="E296" s="10">
        <f>IF(D296&gt;0,VLOOKUP(OPERAC[[#This Row],[COD CART]],[1]!MatrizCortoLargoCyl[#All],3,0),"")</f>
        <v/>
      </c>
      <c r="F296" s="13" t="inlineStr">
        <is>
          <t>TSLA/V/805/18-02-22</t>
        </is>
      </c>
      <c r="G296" s="6" t="n">
        <v>-400</v>
      </c>
      <c r="H296" s="6" t="n">
        <v>1581.186</v>
      </c>
      <c r="I296" s="7">
        <f>-H296/G296</f>
        <v/>
      </c>
      <c r="J296" s="11" t="n">
        <v>44607</v>
      </c>
      <c r="K296" s="6" t="n">
        <v>-400</v>
      </c>
      <c r="L296" s="6" t="n">
        <v>-425.997</v>
      </c>
      <c r="M296" s="7">
        <f>IF(N296=0,+L296+H296,0)</f>
        <v/>
      </c>
      <c r="N296" s="7">
        <f>IF((+G296-K296)=0,0,+G296-K296)</f>
        <v/>
      </c>
      <c r="O296" s="7">
        <f>IF(N296=0,0,(L296+H296)/-N296)</f>
        <v/>
      </c>
      <c r="P296" s="7">
        <f>VLOOKUP(OPERAC[[#This Row],[especie]],[1]!ESPECIES[#All],6,0)</f>
        <v/>
      </c>
      <c r="Q296" s="7">
        <f>IF(N296&lt;&gt;0,P296*N296,0)</f>
        <v/>
      </c>
      <c r="R296" s="8">
        <f>IF(Q296&lt;&gt;0,Q296+H296+L296,0)</f>
        <v/>
      </c>
      <c r="S296" s="9">
        <f>VLOOKUP(OPERAC[[#This Row],[especie]],[1]!ESPECIES[#Data],9,FALSE)</f>
        <v/>
      </c>
    </row>
    <row r="297">
      <c r="A297" s="4" t="n">
        <v>4561</v>
      </c>
      <c r="B297" s="5" t="n">
        <v>44439</v>
      </c>
      <c r="C297" s="13" t="inlineStr">
        <is>
          <t>VTA</t>
        </is>
      </c>
      <c r="D297" s="13" t="n">
        <v>39</v>
      </c>
      <c r="E297" s="10">
        <f>IF(D297&gt;0,VLOOKUP(OPERAC[[#This Row],[COD CART]],[1]!MatrizCortoLargoCyl[#All],3,0),"")</f>
        <v/>
      </c>
      <c r="F297" s="13" t="inlineStr">
        <is>
          <t>INO/V/5,00/20-01-23</t>
        </is>
      </c>
      <c r="G297" s="6" t="n">
        <v>-1500</v>
      </c>
      <c r="H297" s="6" t="n">
        <v>1564.5</v>
      </c>
      <c r="I297" s="7">
        <f>-H297/G297</f>
        <v/>
      </c>
      <c r="J297" s="11" t="n">
        <v>44614</v>
      </c>
      <c r="K297" s="6" t="n">
        <v>-1500</v>
      </c>
      <c r="L297" s="6" t="n">
        <v>-3944.388</v>
      </c>
      <c r="M297" s="7">
        <f>IF(N297=0,+L297+H297,0)</f>
        <v/>
      </c>
      <c r="N297" s="7">
        <f>IF((+G297-K297)=0,0,+G297-K297)</f>
        <v/>
      </c>
      <c r="O297" s="7">
        <f>IF(N297=0,0,(L297+H297)/-N297)</f>
        <v/>
      </c>
      <c r="P297" s="7">
        <f>VLOOKUP(OPERAC[[#This Row],[especie]],[1]!ESPECIES[#All],6,0)</f>
        <v/>
      </c>
      <c r="Q297" s="7">
        <f>IF(N297&lt;&gt;0,P297*N297,0)</f>
        <v/>
      </c>
      <c r="R297" s="8">
        <f>IF(Q297&lt;&gt;0,Q297+H297+L297,0)</f>
        <v/>
      </c>
      <c r="S297" s="9">
        <f>VLOOKUP(OPERAC[[#This Row],[especie]],[1]!ESPECIES[#Data],9,FALSE)</f>
        <v/>
      </c>
    </row>
    <row r="298">
      <c r="A298" s="4" t="n">
        <v>3820</v>
      </c>
      <c r="B298" s="5" t="n">
        <v>44571</v>
      </c>
      <c r="C298" s="13" t="inlineStr">
        <is>
          <t>VTA</t>
        </is>
      </c>
      <c r="D298" s="13" t="n">
        <v>39</v>
      </c>
      <c r="E298" s="10">
        <f>IF(D298&gt;0,VLOOKUP(OPERAC[[#This Row],[COD CART]],[1]!MatrizCortoLargoCyl[#All],3,0),"")</f>
        <v/>
      </c>
      <c r="F298" s="13" t="inlineStr">
        <is>
          <t>ROKU/V/165,00/14-01-22</t>
        </is>
      </c>
      <c r="G298" s="6" t="n">
        <v>-500</v>
      </c>
      <c r="H298" s="6" t="n">
        <v>1560.4267</v>
      </c>
      <c r="I298" s="7">
        <f>-H298/G298</f>
        <v/>
      </c>
      <c r="J298" s="11" t="n">
        <v>44573</v>
      </c>
      <c r="K298" s="6" t="n">
        <v>-500</v>
      </c>
      <c r="L298" s="6" t="n">
        <v>-295.82</v>
      </c>
      <c r="M298" s="7">
        <f>IF(N298=0,+L298+H298,0)</f>
        <v/>
      </c>
      <c r="N298" s="7">
        <f>IF((+G298-K298)=0,0,+G298-K298)</f>
        <v/>
      </c>
      <c r="O298" s="7">
        <f>IF(N298=0,0,(L298+H298)/-N298)</f>
        <v/>
      </c>
      <c r="P298" s="7">
        <f>VLOOKUP(OPERAC[[#This Row],[especie]],[1]!ESPECIES[#All],6,0)</f>
        <v/>
      </c>
      <c r="Q298" s="7">
        <f>IF(N298&lt;&gt;0,P298*N298,0)</f>
        <v/>
      </c>
      <c r="R298" s="8">
        <f>IF(Q298&lt;&gt;0,Q298+H298+L298,0)</f>
        <v/>
      </c>
      <c r="S298" s="9">
        <f>VLOOKUP(OPERAC[[#This Row],[especie]],[1]!ESPECIES[#Data],9,FALSE)</f>
        <v/>
      </c>
    </row>
    <row r="299">
      <c r="A299" s="4" t="n">
        <v>13230</v>
      </c>
      <c r="B299" s="5" t="n">
        <v>44719</v>
      </c>
      <c r="C299" s="13" t="inlineStr">
        <is>
          <t>VTA</t>
        </is>
      </c>
      <c r="D299" s="13" t="n">
        <v>39</v>
      </c>
      <c r="E299" s="10">
        <f>IF(D299&gt;0,VLOOKUP(OPERAC[[#This Row],[COD CART]],[1]!MatrizCortoLargoCyl[#All],3,0),"")</f>
        <v/>
      </c>
      <c r="F299" s="13" t="inlineStr">
        <is>
          <t>TSLA/C/800,00/10-06-22</t>
        </is>
      </c>
      <c r="G299" s="6" t="n">
        <v>-1000</v>
      </c>
      <c r="H299" s="6" t="n">
        <v>1544.4</v>
      </c>
      <c r="I299" s="7">
        <f>-H299/G299</f>
        <v/>
      </c>
      <c r="J299" s="5" t="n">
        <v>44722</v>
      </c>
      <c r="K299" s="6">
        <f>+OPERAC[[#This Row],[cantidad]]</f>
        <v/>
      </c>
      <c r="L299" s="6" t="n">
        <v>0</v>
      </c>
      <c r="M299" s="7">
        <f>IF(N299=0,+L299+H299,0)</f>
        <v/>
      </c>
      <c r="N299" s="7">
        <f>IF((+G299-K299)=0,0,+G299-K299)</f>
        <v/>
      </c>
      <c r="O299" s="7">
        <f>IF(N299=0,0,(L299+H299)/-N299)</f>
        <v/>
      </c>
      <c r="P299" s="7">
        <f>VLOOKUP(OPERAC[[#This Row],[especie]],[1]!ESPECIES[#All],6,0)</f>
        <v/>
      </c>
      <c r="Q299" s="7">
        <f>IF(N299&lt;&gt;0,P299*N299,0)</f>
        <v/>
      </c>
      <c r="R299" s="8">
        <f>IF(Q299&lt;&gt;0,Q299+H299+L299,0)</f>
        <v/>
      </c>
      <c r="S299" s="9">
        <f>VLOOKUP(OPERAC[[#This Row],[especie]],[1]!ESPECIES[#Data],9,FALSE)</f>
        <v/>
      </c>
    </row>
    <row r="300">
      <c r="A300" s="4" t="n">
        <v>12672</v>
      </c>
      <c r="B300" s="5" t="n">
        <v>44607</v>
      </c>
      <c r="C300" s="13" t="inlineStr">
        <is>
          <t>VTA</t>
        </is>
      </c>
      <c r="D300" s="13" t="n">
        <v>39</v>
      </c>
      <c r="E300" s="10">
        <f>IF(D300&gt;0,VLOOKUP(OPERAC[[#This Row],[COD CART]],[1]!MatrizCortoLargoCyl[#All],3,0),"")</f>
        <v/>
      </c>
      <c r="F300" s="13" t="inlineStr">
        <is>
          <t>TSLA/V/830,00/18-02-22</t>
        </is>
      </c>
      <c r="G300" s="6" t="n">
        <v>-800</v>
      </c>
      <c r="H300" s="6" t="n">
        <v>1541.982</v>
      </c>
      <c r="I300" s="7">
        <f>-H300/G300</f>
        <v/>
      </c>
      <c r="J300" s="11" t="n">
        <v>44609</v>
      </c>
      <c r="K300" s="6" t="n">
        <v>-800</v>
      </c>
      <c r="L300" s="6" t="n">
        <v>-1537.672</v>
      </c>
      <c r="M300" s="7">
        <f>IF(N300=0,+L300+H300,0)</f>
        <v/>
      </c>
      <c r="N300" s="7">
        <f>IF((+G300-K300)=0,0,+G300-K300)</f>
        <v/>
      </c>
      <c r="O300" s="7">
        <f>IF(N300=0,0,(L300+H300)/-N300)</f>
        <v/>
      </c>
      <c r="P300" s="7">
        <f>VLOOKUP(OPERAC[[#This Row],[especie]],[1]!ESPECIES[#All],6,0)</f>
        <v/>
      </c>
      <c r="Q300" s="7">
        <f>IF(N300&lt;&gt;0,P300*N300,0)</f>
        <v/>
      </c>
      <c r="R300" s="8">
        <f>IF(Q300&lt;&gt;0,Q300+H300+L300,0)</f>
        <v/>
      </c>
      <c r="S300" s="9">
        <f>VLOOKUP(OPERAC[[#This Row],[especie]],[1]!ESPECIES[#Data],9,FALSE)</f>
        <v/>
      </c>
    </row>
    <row r="301">
      <c r="A301" s="4" t="n">
        <v>16824</v>
      </c>
      <c r="B301" s="5" t="n">
        <v>44650</v>
      </c>
      <c r="C301" s="13" t="inlineStr">
        <is>
          <t>VTA</t>
        </is>
      </c>
      <c r="D301" s="13" t="n">
        <v>39</v>
      </c>
      <c r="E301" s="10">
        <f>IF(D301&gt;0,VLOOKUP(OPERAC[[#This Row],[COD CART]],[1]!MatrizCortoLargoCyl[#All],3,0),"")</f>
        <v/>
      </c>
      <c r="F301" s="13" t="inlineStr">
        <is>
          <t>TSLA/C/1250,00/01-04-22</t>
        </is>
      </c>
      <c r="G301" s="6" t="n">
        <v>-2000</v>
      </c>
      <c r="H301" s="6" t="n">
        <v>1533.69</v>
      </c>
      <c r="I301" s="7">
        <f>-H301/G301</f>
        <v/>
      </c>
      <c r="J301" s="11" t="n">
        <v>44652</v>
      </c>
      <c r="K301" s="6" t="n">
        <v>-2000</v>
      </c>
      <c r="L301" s="6" t="n">
        <v>0</v>
      </c>
      <c r="M301" s="7">
        <f>IF(N301=0,+L301+H301,0)</f>
        <v/>
      </c>
      <c r="N301" s="7">
        <f>IF((+G301-K301)=0,0,+G301-K301)</f>
        <v/>
      </c>
      <c r="O301" s="7">
        <f>IF(N301=0,0,(L301+H301)/-N301)</f>
        <v/>
      </c>
      <c r="P301" s="7">
        <f>VLOOKUP(OPERAC[[#This Row],[especie]],[1]!ESPECIES[#All],6,0)</f>
        <v/>
      </c>
      <c r="Q301" s="7">
        <f>IF(N301&lt;&gt;0,P301*N301,0)</f>
        <v/>
      </c>
      <c r="R301" s="8">
        <f>IF(Q301&lt;&gt;0,Q301+H301+L301,0)</f>
        <v/>
      </c>
      <c r="S301" s="9">
        <f>VLOOKUP(OPERAC[[#This Row],[especie]],[1]!ESPECIES[#Data],9,FALSE)</f>
        <v/>
      </c>
    </row>
    <row r="302">
      <c r="A302" s="4" t="n">
        <v>18662</v>
      </c>
      <c r="B302" s="5" t="n">
        <v>44547</v>
      </c>
      <c r="C302" s="13" t="inlineStr">
        <is>
          <t>VTA</t>
        </is>
      </c>
      <c r="D302" s="13" t="n">
        <v>39</v>
      </c>
      <c r="E302" s="10">
        <f>IF(D302&gt;0,VLOOKUP(OPERAC[[#This Row],[COD CART]],[1]!MatrizCortoLargoCyl[#All],3,0),"")</f>
        <v/>
      </c>
      <c r="F302" s="13" t="inlineStr">
        <is>
          <t>TLRY/V/8,00/18-02-22</t>
        </is>
      </c>
      <c r="G302" s="6" t="n">
        <v>-1100</v>
      </c>
      <c r="H302" s="6" t="n">
        <v>1522.1701</v>
      </c>
      <c r="I302" s="7">
        <f>-H302/G302</f>
        <v/>
      </c>
      <c r="J302" s="11" t="n">
        <v>44601</v>
      </c>
      <c r="K302" s="6" t="n">
        <v>-1100</v>
      </c>
      <c r="L302" s="6">
        <f>1.38*OPERAC[[#This Row],[cantidad venta]]</f>
        <v/>
      </c>
      <c r="M302" s="7">
        <f>IF(N302=0,+L302+H302,0)</f>
        <v/>
      </c>
      <c r="N302" s="7">
        <f>IF((+G302-K302)=0,0,+G302-K302)</f>
        <v/>
      </c>
      <c r="O302" s="7">
        <f>IF(N302=0,0,(L302+H302)/-N302)</f>
        <v/>
      </c>
      <c r="P302" s="7">
        <f>VLOOKUP(OPERAC[[#This Row],[especie]],[1]!ESPECIES[#All],6,0)</f>
        <v/>
      </c>
      <c r="Q302" s="7">
        <f>IF(N302&lt;&gt;0,P302*N302,0)</f>
        <v/>
      </c>
      <c r="R302" s="8">
        <f>IF(Q302&lt;&gt;0,Q302+H302+L302,0)</f>
        <v/>
      </c>
      <c r="S302" s="9">
        <f>VLOOKUP(OPERAC[[#This Row],[especie]],[1]!ESPECIES[#Data],9,FALSE)</f>
        <v/>
      </c>
    </row>
    <row r="303">
      <c r="A303" s="4" t="n">
        <v>18690</v>
      </c>
      <c r="B303" s="5" t="n">
        <v>44698</v>
      </c>
      <c r="C303" s="13" t="inlineStr">
        <is>
          <t>VTA</t>
        </is>
      </c>
      <c r="D303" s="13" t="n">
        <v>39</v>
      </c>
      <c r="E303" s="10">
        <f>IF(D303&gt;0,VLOOKUP(OPERAC[[#This Row],[COD CART]],[1]!MatrizCortoLargoCyl[#All],3,0),"")</f>
        <v/>
      </c>
      <c r="F303" s="13" t="inlineStr">
        <is>
          <t>TSLA/P/655,00/20-05-22</t>
        </is>
      </c>
      <c r="G303" s="6" t="n">
        <v>-500</v>
      </c>
      <c r="H303" s="6" t="n">
        <v>1512.0375</v>
      </c>
      <c r="I303" s="7">
        <f>-H303/G303</f>
        <v/>
      </c>
      <c r="J303" s="11" t="n">
        <v>44700</v>
      </c>
      <c r="K303" s="6" t="n">
        <v>-500</v>
      </c>
      <c r="L303" s="6" t="n">
        <v>-650.987</v>
      </c>
      <c r="M303" s="7">
        <f>IF(N303=0,+L303+H303,0)</f>
        <v/>
      </c>
      <c r="N303" s="7">
        <f>IF((+G303-K303)=0,0,+G303-K303)</f>
        <v/>
      </c>
      <c r="O303" s="7">
        <f>IF(N303=0,0,(L303+H303)/-N303)</f>
        <v/>
      </c>
      <c r="P303" s="7">
        <f>VLOOKUP(OPERAC[[#This Row],[especie]],[1]!ESPECIES[#All],6,0)</f>
        <v/>
      </c>
      <c r="Q303" s="7">
        <f>IF(N303&lt;&gt;0,P303*N303,0)</f>
        <v/>
      </c>
      <c r="R303" s="8">
        <f>IF(Q303&lt;&gt;0,Q303+H303+L303,0)</f>
        <v/>
      </c>
      <c r="S303" s="9">
        <f>VLOOKUP(OPERAC[[#This Row],[especie]],[1]!ESPECIES[#Data],9,FALSE)</f>
        <v/>
      </c>
    </row>
    <row r="304">
      <c r="A304" s="4" t="n">
        <v>2218</v>
      </c>
      <c r="B304" s="5" t="n">
        <v>44719</v>
      </c>
      <c r="C304" s="13" t="inlineStr">
        <is>
          <t>VTA</t>
        </is>
      </c>
      <c r="D304" s="13" t="n">
        <v>39</v>
      </c>
      <c r="E304" s="10">
        <f>IF(D304&gt;0,VLOOKUP(OPERAC[[#This Row],[COD CART]],[1]!MatrizCortoLargoCyl[#All],3,0),"")</f>
        <v/>
      </c>
      <c r="F304" s="13" t="inlineStr">
        <is>
          <t>TSLA/C/790,00/10-06-22</t>
        </is>
      </c>
      <c r="G304" s="6" t="n">
        <v>-700</v>
      </c>
      <c r="H304" s="6" t="n">
        <v>1503.495</v>
      </c>
      <c r="I304" s="7">
        <f>-H304/G304</f>
        <v/>
      </c>
      <c r="J304" s="5" t="n">
        <v>44722</v>
      </c>
      <c r="K304" s="6">
        <f>+OPERAC[[#This Row],[cantidad]]</f>
        <v/>
      </c>
      <c r="L304" s="6" t="n">
        <v>0</v>
      </c>
      <c r="M304" s="7">
        <f>IF(N304=0,+L304+H304,0)</f>
        <v/>
      </c>
      <c r="N304" s="7">
        <f>IF((+G304-K304)=0,0,+G304-K304)</f>
        <v/>
      </c>
      <c r="O304" s="7">
        <f>IF(N304=0,0,(L304+H304)/-N304)</f>
        <v/>
      </c>
      <c r="P304" s="7">
        <f>VLOOKUP(OPERAC[[#This Row],[especie]],[1]!ESPECIES[#All],6,0)</f>
        <v/>
      </c>
      <c r="Q304" s="7">
        <f>IF(N304&lt;&gt;0,P304*N304,0)</f>
        <v/>
      </c>
      <c r="R304" s="8">
        <f>IF(Q304&lt;&gt;0,Q304+H304+L304,0)</f>
        <v/>
      </c>
      <c r="S304" s="9">
        <f>VLOOKUP(OPERAC[[#This Row],[especie]],[1]!ESPECIES[#Data],9,FALSE)</f>
        <v/>
      </c>
    </row>
    <row r="305">
      <c r="A305" s="4" t="n">
        <v>3728</v>
      </c>
      <c r="B305" s="5" t="n">
        <v>44635</v>
      </c>
      <c r="C305" s="13" t="inlineStr">
        <is>
          <t>VTA</t>
        </is>
      </c>
      <c r="D305" s="13" t="n">
        <v>39</v>
      </c>
      <c r="E305" s="10">
        <f>IF(D305&gt;0,VLOOKUP(OPERAC[[#This Row],[COD CART]],[1]!MatrizCortoLargoCyl[#All],3,0),"")</f>
        <v/>
      </c>
      <c r="F305" s="13" t="inlineStr">
        <is>
          <t>SMH/V/220,00/25-03-22</t>
        </is>
      </c>
      <c r="G305" s="6" t="n">
        <v>-1000</v>
      </c>
      <c r="H305" s="6" t="n">
        <v>1491.58</v>
      </c>
      <c r="I305" s="7">
        <f>-H305/G305</f>
        <v/>
      </c>
      <c r="J305" s="11" t="n">
        <v>44638</v>
      </c>
      <c r="K305" s="6" t="n">
        <v>-1000</v>
      </c>
      <c r="L305" s="6" t="n">
        <v>-157.04</v>
      </c>
      <c r="M305" s="7">
        <f>IF(N305=0,+L305+H305,0)</f>
        <v/>
      </c>
      <c r="N305" s="7">
        <f>IF((+G305-K305)=0,0,+G305-K305)</f>
        <v/>
      </c>
      <c r="O305" s="7">
        <f>IF(N305=0,0,(L305+H305)/-N305)</f>
        <v/>
      </c>
      <c r="P305" s="7">
        <f>VLOOKUP(OPERAC[[#This Row],[especie]],[1]!ESPECIES[#All],6,0)</f>
        <v/>
      </c>
      <c r="Q305" s="7">
        <f>IF(N305&lt;&gt;0,P305*N305,0)</f>
        <v/>
      </c>
      <c r="R305" s="8">
        <f>IF(Q305&lt;&gt;0,Q305+H305+L305,0)</f>
        <v/>
      </c>
      <c r="S305" s="9">
        <f>VLOOKUP(OPERAC[[#This Row],[especie]],[1]!ESPECIES[#Data],9,FALSE)</f>
        <v/>
      </c>
    </row>
    <row r="306">
      <c r="A306" s="4" t="n">
        <v>1760</v>
      </c>
      <c r="B306" s="5" t="n">
        <v>44719</v>
      </c>
      <c r="C306" s="13" t="inlineStr">
        <is>
          <t>VTA</t>
        </is>
      </c>
      <c r="D306" s="13" t="n">
        <v>39</v>
      </c>
      <c r="E306" s="10">
        <f>IF(D306&gt;0,VLOOKUP(OPERAC[[#This Row],[COD CART]],[1]!MatrizCortoLargoCyl[#All],3,0),"")</f>
        <v/>
      </c>
      <c r="F306" s="13" t="inlineStr">
        <is>
          <t>TSLA/C/790,00/10-06-22</t>
        </is>
      </c>
      <c r="G306" s="6" t="n">
        <v>-700</v>
      </c>
      <c r="H306" s="6" t="n">
        <v>1489.95</v>
      </c>
      <c r="I306" s="7">
        <f>-H306/G306</f>
        <v/>
      </c>
      <c r="J306" s="5" t="n">
        <v>44722</v>
      </c>
      <c r="K306" s="6">
        <f>+OPERAC[[#This Row],[cantidad]]</f>
        <v/>
      </c>
      <c r="L306" s="6" t="n">
        <v>0</v>
      </c>
      <c r="M306" s="7">
        <f>IF(N306=0,+L306+H306,0)</f>
        <v/>
      </c>
      <c r="N306" s="7">
        <f>IF((+G306-K306)=0,0,+G306-K306)</f>
        <v/>
      </c>
      <c r="O306" s="7">
        <f>IF(N306=0,0,(L306+H306)/-N306)</f>
        <v/>
      </c>
      <c r="P306" s="7">
        <f>VLOOKUP(OPERAC[[#This Row],[especie]],[1]!ESPECIES[#All],6,0)</f>
        <v/>
      </c>
      <c r="Q306" s="7">
        <f>IF(N306&lt;&gt;0,P306*N306,0)</f>
        <v/>
      </c>
      <c r="R306" s="8">
        <f>IF(Q306&lt;&gt;0,Q306+H306+L306,0)</f>
        <v/>
      </c>
      <c r="S306" s="9">
        <f>VLOOKUP(OPERAC[[#This Row],[especie]],[1]!ESPECIES[#Data],9,FALSE)</f>
        <v/>
      </c>
    </row>
    <row r="307">
      <c r="A307" s="4" t="n">
        <v>15189</v>
      </c>
      <c r="B307" s="5" t="n">
        <v>44595</v>
      </c>
      <c r="C307" s="13" t="inlineStr">
        <is>
          <t>VTA</t>
        </is>
      </c>
      <c r="D307" s="13" t="n">
        <v>39</v>
      </c>
      <c r="E307" s="10">
        <f>IF(D307&gt;0,VLOOKUP(OPERAC[[#This Row],[COD CART]],[1]!MatrizCortoLargoCyl[#All],3,0),"")</f>
        <v/>
      </c>
      <c r="F307" s="13" t="inlineStr">
        <is>
          <t>ROKU/V/145,00/11-02-22</t>
        </is>
      </c>
      <c r="G307" s="6" t="n">
        <v>-200</v>
      </c>
      <c r="H307" s="6" t="n">
        <v>1487.186</v>
      </c>
      <c r="I307" s="7">
        <f>-H307/G307</f>
        <v/>
      </c>
      <c r="J307" s="11" t="n">
        <v>44603</v>
      </c>
      <c r="K307" s="6" t="n">
        <v>-200</v>
      </c>
      <c r="L307" s="6" t="n">
        <v>0</v>
      </c>
      <c r="M307" s="7">
        <f>IF(N307=0,+L307+H307,0)</f>
        <v/>
      </c>
      <c r="N307" s="7">
        <f>IF((+G307-K307)=0,0,+G307-K307)</f>
        <v/>
      </c>
      <c r="O307" s="7">
        <f>IF(N307=0,0,(L307+H307)/-N307)</f>
        <v/>
      </c>
      <c r="P307" s="7">
        <f>VLOOKUP(OPERAC[[#This Row],[especie]],[1]!ESPECIES[#All],6,0)</f>
        <v/>
      </c>
      <c r="Q307" s="7">
        <f>IF(N307&lt;&gt;0,P307*N307,0)</f>
        <v/>
      </c>
      <c r="R307" s="8">
        <f>IF(Q307&lt;&gt;0,Q307+H307+L307,0)</f>
        <v/>
      </c>
      <c r="S307" s="9">
        <f>VLOOKUP(OPERAC[[#This Row],[especie]],[1]!ESPECIES[#Data],9,FALSE)</f>
        <v/>
      </c>
    </row>
    <row r="308">
      <c r="A308" s="4" t="n">
        <v>12655</v>
      </c>
      <c r="B308" s="5" t="n">
        <v>44595</v>
      </c>
      <c r="C308" s="13" t="inlineStr">
        <is>
          <t>VTA</t>
        </is>
      </c>
      <c r="D308" s="13" t="n">
        <v>39</v>
      </c>
      <c r="E308" s="10">
        <f>IF(D308&gt;0,VLOOKUP(OPERAC[[#This Row],[COD CART]],[1]!MatrizCortoLargoCyl[#All],3,0),"")</f>
        <v/>
      </c>
      <c r="F308" s="13" t="inlineStr">
        <is>
          <t>ROKU/V/145,00/11-02-22</t>
        </is>
      </c>
      <c r="G308" s="6" t="n">
        <v>-200</v>
      </c>
      <c r="H308" s="6" t="n">
        <v>1487.186</v>
      </c>
      <c r="I308" s="7">
        <f>-H308/G308</f>
        <v/>
      </c>
      <c r="J308" s="11" t="n">
        <v>44603</v>
      </c>
      <c r="K308" s="6" t="n">
        <v>-200</v>
      </c>
      <c r="L308" s="6" t="n">
        <v>0</v>
      </c>
      <c r="M308" s="7">
        <f>IF(N308=0,+L308+H308,0)</f>
        <v/>
      </c>
      <c r="N308" s="7">
        <f>IF((+G308-K308)=0,0,+G308-K308)</f>
        <v/>
      </c>
      <c r="O308" s="7">
        <f>IF(N308=0,0,(L308+H308)/-N308)</f>
        <v/>
      </c>
      <c r="P308" s="7">
        <f>VLOOKUP(OPERAC[[#This Row],[especie]],[1]!ESPECIES[#All],6,0)</f>
        <v/>
      </c>
      <c r="Q308" s="7">
        <f>IF(N308&lt;&gt;0,P308*N308,0)</f>
        <v/>
      </c>
      <c r="R308" s="8">
        <f>IF(Q308&lt;&gt;0,Q308+H308+L308,0)</f>
        <v/>
      </c>
      <c r="S308" s="9">
        <f>VLOOKUP(OPERAC[[#This Row],[especie]],[1]!ESPECIES[#Data],9,FALSE)</f>
        <v/>
      </c>
    </row>
    <row r="309">
      <c r="A309" s="4" t="n">
        <v>19878</v>
      </c>
      <c r="B309" s="5" t="n">
        <v>44606</v>
      </c>
      <c r="C309" s="13" t="inlineStr">
        <is>
          <t>VTA</t>
        </is>
      </c>
      <c r="D309" s="13" t="n">
        <v>39</v>
      </c>
      <c r="E309" s="10">
        <f>IF(D309&gt;0,VLOOKUP(OPERAC[[#This Row],[COD CART]],[1]!MatrizCortoLargoCyl[#All],3,0),"")</f>
        <v/>
      </c>
      <c r="F309" s="13" t="inlineStr">
        <is>
          <t>SMH/V/240,00/18-02-22</t>
        </is>
      </c>
      <c r="G309" s="6" t="n">
        <v>-1500</v>
      </c>
      <c r="H309" s="6" t="n">
        <v>1480.02</v>
      </c>
      <c r="I309" s="7">
        <f>-H309/G309</f>
        <v/>
      </c>
      <c r="J309" s="11" t="n">
        <v>44609</v>
      </c>
      <c r="K309" s="6" t="n">
        <v>-1500</v>
      </c>
      <c r="L309" s="6" t="n">
        <v>-137.693</v>
      </c>
      <c r="M309" s="7">
        <f>IF(N309=0,+L309+H309,0)</f>
        <v/>
      </c>
      <c r="N309" s="7">
        <f>IF((+G309-K309)=0,0,+G309-K309)</f>
        <v/>
      </c>
      <c r="O309" s="7">
        <f>IF(N309=0,0,(L309+H309)/-N309)</f>
        <v/>
      </c>
      <c r="P309" s="7">
        <f>VLOOKUP(OPERAC[[#This Row],[especie]],[1]!ESPECIES[#All],6,0)</f>
        <v/>
      </c>
      <c r="Q309" s="7">
        <f>IF(N309&lt;&gt;0,P309*N309,0)</f>
        <v/>
      </c>
      <c r="R309" s="8">
        <f>IF(Q309&lt;&gt;0,Q309+H309+L309,0)</f>
        <v/>
      </c>
      <c r="S309" s="9">
        <f>VLOOKUP(OPERAC[[#This Row],[especie]],[1]!ESPECIES[#Data],9,FALSE)</f>
        <v/>
      </c>
    </row>
    <row r="310">
      <c r="A310" s="4" t="n">
        <v>1760</v>
      </c>
      <c r="B310" s="5" t="n">
        <v>44719</v>
      </c>
      <c r="C310" s="13" t="inlineStr">
        <is>
          <t>VTA</t>
        </is>
      </c>
      <c r="D310" s="13" t="n">
        <v>39</v>
      </c>
      <c r="E310" s="10">
        <f>IF(D310&gt;0,VLOOKUP(OPERAC[[#This Row],[COD CART]],[1]!MatrizCortoLargoCyl[#All],3,0),"")</f>
        <v/>
      </c>
      <c r="F310" s="14" t="inlineStr">
        <is>
          <t>TSLA/P/600,00/10-06-22</t>
        </is>
      </c>
      <c r="G310" s="6" t="n">
        <v>-700</v>
      </c>
      <c r="H310" s="6" t="n">
        <v>1462.23</v>
      </c>
      <c r="I310" s="7">
        <f>-H310/G310</f>
        <v/>
      </c>
      <c r="J310" s="5" t="n">
        <v>44719</v>
      </c>
      <c r="K310" s="6" t="n">
        <v>-700</v>
      </c>
      <c r="L310" s="6" t="n">
        <v>-501.2245</v>
      </c>
      <c r="M310" s="7">
        <f>IF(N310=0,+L310+H310,0)</f>
        <v/>
      </c>
      <c r="N310" s="7">
        <f>IF((+G310-K310)=0,0,+G310-K310)</f>
        <v/>
      </c>
      <c r="O310" s="7">
        <f>IF(N310=0,0,(L310+H310)/-N310)</f>
        <v/>
      </c>
      <c r="P310" s="7">
        <f>VLOOKUP(OPERAC[[#This Row],[especie]],[1]!ESPECIES[#All],6,0)</f>
        <v/>
      </c>
      <c r="Q310" s="7">
        <f>IF(N310&lt;&gt;0,P310*N310,0)</f>
        <v/>
      </c>
      <c r="R310" s="8">
        <f>IF(Q310&lt;&gt;0,Q310+H310+L310,0)</f>
        <v/>
      </c>
      <c r="S310" s="9">
        <f>VLOOKUP(OPERAC[[#This Row],[especie]],[1]!ESPECIES[#Data],9,FALSE)</f>
        <v/>
      </c>
    </row>
    <row r="311">
      <c r="A311" s="4" t="n">
        <v>16786</v>
      </c>
      <c r="B311" s="5" t="n">
        <v>44672</v>
      </c>
      <c r="C311" s="13" t="inlineStr">
        <is>
          <t>VTA</t>
        </is>
      </c>
      <c r="D311" s="13" t="n">
        <v>39</v>
      </c>
      <c r="E311" s="10">
        <f>IF(D311&gt;0,VLOOKUP(OPERAC[[#This Row],[COD CART]],[1]!MatrizCortoLargoCyl[#All],3,0),"")</f>
        <v/>
      </c>
      <c r="F311" s="13" t="inlineStr">
        <is>
          <t>UPST/V/75,00/22-04-22</t>
        </is>
      </c>
      <c r="G311" s="6" t="n">
        <v>-700</v>
      </c>
      <c r="H311" s="6" t="n">
        <v>1457.505</v>
      </c>
      <c r="I311" s="7">
        <f>-H311/G311</f>
        <v/>
      </c>
      <c r="J311" s="11" t="n">
        <v>44673</v>
      </c>
      <c r="K311" s="6" t="n">
        <v>-700</v>
      </c>
      <c r="L311" s="6" t="n">
        <v>-1482.495</v>
      </c>
      <c r="M311" s="7">
        <f>IF(N311=0,+L311+H311,0)</f>
        <v/>
      </c>
      <c r="N311" s="7">
        <f>IF((+G311-K311)=0,0,+G311-K311)</f>
        <v/>
      </c>
      <c r="O311" s="7">
        <f>IF(N311=0,0,(L311+H311)/-N311)</f>
        <v/>
      </c>
      <c r="P311" s="7">
        <f>VLOOKUP(OPERAC[[#This Row],[especie]],[1]!ESPECIES[#All],6,0)</f>
        <v/>
      </c>
      <c r="Q311" s="7">
        <f>IF(N311&lt;&gt;0,P311*N311,0)</f>
        <v/>
      </c>
      <c r="R311" s="8">
        <f>IF(Q311&lt;&gt;0,Q311+H311+L311,0)</f>
        <v/>
      </c>
      <c r="S311" s="9">
        <f>VLOOKUP(OPERAC[[#This Row],[especie]],[1]!ESPECIES[#Data],9,FALSE)</f>
        <v/>
      </c>
    </row>
    <row r="312">
      <c r="A312" s="4" t="n">
        <v>16786</v>
      </c>
      <c r="B312" s="5" t="n">
        <v>44673</v>
      </c>
      <c r="C312" s="13" t="inlineStr">
        <is>
          <t>VTA</t>
        </is>
      </c>
      <c r="D312" s="13" t="n">
        <v>39</v>
      </c>
      <c r="E312" s="10">
        <f>IF(D312&gt;0,VLOOKUP(OPERAC[[#This Row],[COD CART]],[1]!MatrizCortoLargoCyl[#All],3,0),"")</f>
        <v/>
      </c>
      <c r="F312" s="14" t="inlineStr">
        <is>
          <t>UPST/V/70,00/29-04-22</t>
        </is>
      </c>
      <c r="G312" s="6" t="n">
        <v>-700</v>
      </c>
      <c r="H312" s="6" t="n">
        <v>1457.505</v>
      </c>
      <c r="I312" s="7">
        <f>-H312/G312</f>
        <v/>
      </c>
      <c r="J312" s="11" t="n">
        <v>44676</v>
      </c>
      <c r="K312" s="6" t="n">
        <v>-700</v>
      </c>
      <c r="L312" s="6" t="n">
        <v>-931.854</v>
      </c>
      <c r="M312" s="7">
        <f>IF(N312=0,+L312+H312,0)</f>
        <v/>
      </c>
      <c r="N312" s="7">
        <f>IF((+G312-K312)=0,0,+G312-K312)</f>
        <v/>
      </c>
      <c r="O312" s="7">
        <f>IF(N312=0,0,(L312+H312)/-N312)</f>
        <v/>
      </c>
      <c r="P312" s="7">
        <f>VLOOKUP(OPERAC[[#This Row],[especie]],[1]!ESPECIES[#All],6,0)</f>
        <v/>
      </c>
      <c r="Q312" s="7">
        <f>IF(N312&lt;&gt;0,P312*N312,0)</f>
        <v/>
      </c>
      <c r="R312" s="8">
        <f>IF(Q312&lt;&gt;0,Q312+H312+L312,0)</f>
        <v/>
      </c>
      <c r="S312" s="9">
        <f>VLOOKUP(OPERAC[[#This Row],[especie]],[1]!ESPECIES[#Data],9,FALSE)</f>
        <v/>
      </c>
    </row>
    <row r="313">
      <c r="A313" s="4" t="n">
        <v>3728</v>
      </c>
      <c r="B313" s="5" t="n">
        <v>44592</v>
      </c>
      <c r="C313" s="13" t="inlineStr">
        <is>
          <t>VTA</t>
        </is>
      </c>
      <c r="D313" s="13" t="n">
        <v>39</v>
      </c>
      <c r="E313" s="10">
        <f>IF(D313&gt;0,VLOOKUP(OPERAC[[#This Row],[COD CART]],[1]!MatrizCortoLargoCyl[#All],3,0),"")</f>
        <v/>
      </c>
      <c r="F313" s="13" t="inlineStr">
        <is>
          <t>ROKU/V/150,00/11-02-22</t>
        </is>
      </c>
      <c r="G313" s="6" t="n">
        <v>-300</v>
      </c>
      <c r="H313" s="6" t="n">
        <v>1437.372</v>
      </c>
      <c r="I313" s="7">
        <f>-H313/G313</f>
        <v/>
      </c>
      <c r="J313" s="11" t="n">
        <v>44601</v>
      </c>
      <c r="K313" s="6">
        <f>+OPERAC[[#This Row],[cantidad]]</f>
        <v/>
      </c>
      <c r="L313" s="6">
        <f>0.67*OPERAC[[#This Row],[cantidad venta]]</f>
        <v/>
      </c>
      <c r="M313" s="7">
        <f>IF(N313=0,+L313+H313,0)</f>
        <v/>
      </c>
      <c r="N313" s="7">
        <f>IF((+G313-K313)=0,0,+G313-K313)</f>
        <v/>
      </c>
      <c r="O313" s="7">
        <f>IF(N313=0,0,(L313+H313)/-N313)</f>
        <v/>
      </c>
      <c r="P313" s="7">
        <f>VLOOKUP(OPERAC[[#This Row],[especie]],[1]!ESPECIES[#All],6,0)</f>
        <v/>
      </c>
      <c r="Q313" s="7">
        <f>IF(N313&lt;&gt;0,P313*N313,0)</f>
        <v/>
      </c>
      <c r="R313" s="8">
        <f>IF(Q313&lt;&gt;0,Q313+H313+L313,0)</f>
        <v/>
      </c>
      <c r="S313" s="9">
        <f>VLOOKUP(OPERAC[[#This Row],[especie]],[1]!ESPECIES[#Data],9,FALSE)</f>
        <v/>
      </c>
    </row>
    <row r="314">
      <c r="A314" s="4" t="n">
        <v>26137</v>
      </c>
      <c r="B314" s="5" t="n">
        <v>44601</v>
      </c>
      <c r="C314" s="13" t="inlineStr">
        <is>
          <t>VTA</t>
        </is>
      </c>
      <c r="D314" s="13" t="n">
        <v>39</v>
      </c>
      <c r="E314" s="10">
        <f>IF(D314&gt;0,VLOOKUP(OPERAC[[#This Row],[COD CART]],[1]!MatrizCortoLargoCyl[#All],3,0),"")</f>
        <v/>
      </c>
      <c r="F314" s="13" t="inlineStr">
        <is>
          <t>TSLA/V/805/18-02-22</t>
        </is>
      </c>
      <c r="G314" s="6" t="n">
        <v>-500</v>
      </c>
      <c r="H314" s="6" t="n">
        <v>1434</v>
      </c>
      <c r="I314" s="7">
        <f>-H314/G314</f>
        <v/>
      </c>
      <c r="J314" s="11" t="n">
        <v>44607</v>
      </c>
      <c r="K314" s="6" t="n">
        <v>-500</v>
      </c>
      <c r="L314" s="6" t="n">
        <v>-532.496</v>
      </c>
      <c r="M314" s="7">
        <f>IF(N314=0,+L314+H314,0)</f>
        <v/>
      </c>
      <c r="N314" s="7">
        <f>IF((+G314-K314)=0,0,+G314-K314)</f>
        <v/>
      </c>
      <c r="O314" s="7">
        <f>IF(N314=0,0,(L314+H314)/-N314)</f>
        <v/>
      </c>
      <c r="P314" s="7">
        <f>VLOOKUP(OPERAC[[#This Row],[especie]],[1]!ESPECIES[#All],6,0)</f>
        <v/>
      </c>
      <c r="Q314" s="7">
        <f>IF(N314&lt;&gt;0,P314*N314,0)</f>
        <v/>
      </c>
      <c r="R314" s="8">
        <f>IF(Q314&lt;&gt;0,Q314+H314+L314,0)</f>
        <v/>
      </c>
      <c r="S314" s="9">
        <f>VLOOKUP(OPERAC[[#This Row],[especie]],[1]!ESPECIES[#Data],9,FALSE)</f>
        <v/>
      </c>
    </row>
    <row r="315">
      <c r="A315" s="4" t="n">
        <v>1800</v>
      </c>
      <c r="B315" s="5" t="n">
        <v>44592</v>
      </c>
      <c r="C315" s="13" t="inlineStr">
        <is>
          <t>VTA</t>
        </is>
      </c>
      <c r="D315" s="13" t="n">
        <v>39</v>
      </c>
      <c r="E315" s="10">
        <f>IF(D315&gt;0,VLOOKUP(OPERAC[[#This Row],[COD CART]],[1]!MatrizCortoLargoCyl[#All],3,0),"")</f>
        <v/>
      </c>
      <c r="F315" s="13" t="inlineStr">
        <is>
          <t>ROKU/V/150,00/11-02-22</t>
        </is>
      </c>
      <c r="G315" s="6" t="n">
        <v>-300</v>
      </c>
      <c r="H315" s="6" t="n">
        <v>1427.292</v>
      </c>
      <c r="I315" s="7">
        <f>-H315/G315</f>
        <v/>
      </c>
      <c r="J315" s="11" t="n">
        <v>44601</v>
      </c>
      <c r="K315" s="6">
        <f>+OPERAC[[#This Row],[cantidad]]</f>
        <v/>
      </c>
      <c r="L315" s="6">
        <f>0.67*OPERAC[[#This Row],[cantidad venta]]</f>
        <v/>
      </c>
      <c r="M315" s="7">
        <f>IF(N315=0,+L315+H315,0)</f>
        <v/>
      </c>
      <c r="N315" s="7">
        <f>IF((+G315-K315)=0,0,+G315-K315)</f>
        <v/>
      </c>
      <c r="O315" s="7">
        <f>IF(N315=0,0,(L315+H315)/-N315)</f>
        <v/>
      </c>
      <c r="P315" s="7">
        <f>VLOOKUP(OPERAC[[#This Row],[especie]],[1]!ESPECIES[#All],6,0)</f>
        <v/>
      </c>
      <c r="Q315" s="7">
        <f>IF(N315&lt;&gt;0,P315*N315,0)</f>
        <v/>
      </c>
      <c r="R315" s="8">
        <f>IF(Q315&lt;&gt;0,Q315+H315+L315,0)</f>
        <v/>
      </c>
      <c r="S315" s="9">
        <f>VLOOKUP(OPERAC[[#This Row],[especie]],[1]!ESPECIES[#Data],9,FALSE)</f>
        <v/>
      </c>
    </row>
    <row r="316">
      <c r="A316" s="4" t="n">
        <v>15194</v>
      </c>
      <c r="B316" s="5" t="n">
        <v>44592</v>
      </c>
      <c r="C316" s="13" t="inlineStr">
        <is>
          <t>VTA</t>
        </is>
      </c>
      <c r="D316" s="13" t="n">
        <v>39</v>
      </c>
      <c r="E316" s="10">
        <f>IF(D316&gt;0,VLOOKUP(OPERAC[[#This Row],[COD CART]],[1]!MatrizCortoLargoCyl[#All],3,0),"")</f>
        <v/>
      </c>
      <c r="F316" s="13" t="inlineStr">
        <is>
          <t>ROKU/V/150,00/11-02-22</t>
        </is>
      </c>
      <c r="G316" s="6" t="n">
        <v>-300</v>
      </c>
      <c r="H316" s="6" t="n">
        <v>1427.292</v>
      </c>
      <c r="I316" s="7">
        <f>-H316/G316</f>
        <v/>
      </c>
      <c r="J316" s="11" t="n">
        <v>44601</v>
      </c>
      <c r="K316" s="6">
        <f>+OPERAC[[#This Row],[cantidad]]</f>
        <v/>
      </c>
      <c r="L316" s="6">
        <f>0.67*OPERAC[[#This Row],[cantidad venta]]</f>
        <v/>
      </c>
      <c r="M316" s="7">
        <f>IF(N316=0,+L316+H316,0)</f>
        <v/>
      </c>
      <c r="N316" s="7">
        <f>IF((+G316-K316)=0,0,+G316-K316)</f>
        <v/>
      </c>
      <c r="O316" s="7">
        <f>IF(N316=0,0,(L316+H316)/-N316)</f>
        <v/>
      </c>
      <c r="P316" s="7">
        <f>VLOOKUP(OPERAC[[#This Row],[especie]],[1]!ESPECIES[#All],6,0)</f>
        <v/>
      </c>
      <c r="Q316" s="7">
        <f>IF(N316&lt;&gt;0,P316*N316,0)</f>
        <v/>
      </c>
      <c r="R316" s="8">
        <f>IF(Q316&lt;&gt;0,Q316+H316+L316,0)</f>
        <v/>
      </c>
      <c r="S316" s="9">
        <f>VLOOKUP(OPERAC[[#This Row],[especie]],[1]!ESPECIES[#Data],9,FALSE)</f>
        <v/>
      </c>
    </row>
    <row r="317">
      <c r="A317" s="4" t="n">
        <v>13246</v>
      </c>
      <c r="B317" s="5" t="n">
        <v>44592</v>
      </c>
      <c r="C317" s="13" t="inlineStr">
        <is>
          <t>VTA</t>
        </is>
      </c>
      <c r="D317" s="13" t="n">
        <v>39</v>
      </c>
      <c r="E317" s="10">
        <f>IF(D317&gt;0,VLOOKUP(OPERAC[[#This Row],[COD CART]],[1]!MatrizCortoLargoCyl[#All],3,0),"")</f>
        <v/>
      </c>
      <c r="F317" s="13" t="inlineStr">
        <is>
          <t>ROKU/V/150,00/11-02-22</t>
        </is>
      </c>
      <c r="G317" s="6" t="n">
        <v>-300</v>
      </c>
      <c r="H317" s="6" t="n">
        <v>1427.292</v>
      </c>
      <c r="I317" s="7">
        <f>-H317/G317</f>
        <v/>
      </c>
      <c r="J317" s="11" t="n">
        <v>44601</v>
      </c>
      <c r="K317" s="6">
        <f>+OPERAC[[#This Row],[cantidad]]</f>
        <v/>
      </c>
      <c r="L317" s="6">
        <f>0.67*OPERAC[[#This Row],[cantidad venta]]</f>
        <v/>
      </c>
      <c r="M317" s="7">
        <f>IF(N317=0,+L317+H317,0)</f>
        <v/>
      </c>
      <c r="N317" s="7">
        <f>IF((+G317-K317)=0,0,+G317-K317)</f>
        <v/>
      </c>
      <c r="O317" s="7">
        <f>IF(N317=0,0,(L317+H317)/-N317)</f>
        <v/>
      </c>
      <c r="P317" s="7">
        <f>VLOOKUP(OPERAC[[#This Row],[especie]],[1]!ESPECIES[#All],6,0)</f>
        <v/>
      </c>
      <c r="Q317" s="7">
        <f>IF(N317&lt;&gt;0,P317*N317,0)</f>
        <v/>
      </c>
      <c r="R317" s="8">
        <f>IF(Q317&lt;&gt;0,Q317+H317+L317,0)</f>
        <v/>
      </c>
      <c r="S317" s="9">
        <f>VLOOKUP(OPERAC[[#This Row],[especie]],[1]!ESPECIES[#Data],9,FALSE)</f>
        <v/>
      </c>
    </row>
    <row r="318">
      <c r="A318" s="4" t="n">
        <v>18713</v>
      </c>
      <c r="B318" s="5" t="n">
        <v>44574</v>
      </c>
      <c r="C318" s="13" t="inlineStr">
        <is>
          <t>VTA</t>
        </is>
      </c>
      <c r="D318" s="13" t="n">
        <v>39</v>
      </c>
      <c r="E318" s="10">
        <f>IF(D318&gt;0,VLOOKUP(OPERAC[[#This Row],[COD CART]],[1]!MatrizCortoLargoCyl[#All],3,0),"")</f>
        <v/>
      </c>
      <c r="F318" s="13" t="inlineStr">
        <is>
          <t>ACB/V/6,00/21-01-22</t>
        </is>
      </c>
      <c r="G318" s="6" t="n">
        <v>-2900</v>
      </c>
      <c r="H318" s="6" t="n">
        <v>1412.535</v>
      </c>
      <c r="I318" s="7">
        <f>-H318/G318</f>
        <v/>
      </c>
      <c r="J318" s="11" t="n">
        <v>44581</v>
      </c>
      <c r="K318" s="6">
        <f>+OPERAC[[#This Row],[cantidad]]</f>
        <v/>
      </c>
      <c r="L318" s="6">
        <f>-OPERAC[[#This Row],[importe]]</f>
        <v/>
      </c>
      <c r="M318" s="7">
        <f>IF(N318=0,+L318+H318,0)</f>
        <v/>
      </c>
      <c r="N318" s="7">
        <f>IF((+G318-K318)=0,0,+G318-K318)</f>
        <v/>
      </c>
      <c r="O318" s="7">
        <f>IF(N318=0,0,(L318+H318)/-N318)</f>
        <v/>
      </c>
      <c r="P318" s="7">
        <f>VLOOKUP(OPERAC[[#This Row],[especie]],[1]!ESPECIES[#All],6,0)</f>
        <v/>
      </c>
      <c r="Q318" s="7">
        <f>IF(N318&lt;&gt;0,P318*N318,0)</f>
        <v/>
      </c>
      <c r="R318" s="8">
        <f>IF(Q318&lt;&gt;0,Q318+H318+L318,0)</f>
        <v/>
      </c>
      <c r="S318" s="9">
        <f>VLOOKUP(OPERAC[[#This Row],[especie]],[1]!ESPECIES[#Data],9,FALSE)</f>
        <v/>
      </c>
    </row>
    <row r="319">
      <c r="A319" s="4" t="n">
        <v>7914</v>
      </c>
      <c r="B319" s="5" t="n">
        <v>44432</v>
      </c>
      <c r="C319" s="13" t="inlineStr">
        <is>
          <t>VTA</t>
        </is>
      </c>
      <c r="D319" s="13" t="n">
        <v>39</v>
      </c>
      <c r="E319" s="10">
        <f>IF(D319&gt;0,VLOOKUP(OPERAC[[#This Row],[COD CART]],[1]!MatrizCortoLargoCyl[#All],3,0),"")</f>
        <v/>
      </c>
      <c r="F319" s="13" t="inlineStr">
        <is>
          <t>INO/V/8,00/20-01-23</t>
        </is>
      </c>
      <c r="G319" s="6" t="n">
        <v>-500</v>
      </c>
      <c r="H319" s="6" t="n">
        <v>1412.17</v>
      </c>
      <c r="I319" s="7">
        <f>-H319/G319</f>
        <v/>
      </c>
      <c r="J319" s="11" t="n">
        <v>44573</v>
      </c>
      <c r="K319" s="6" t="n">
        <v>-500</v>
      </c>
      <c r="L319" s="6" t="n">
        <v>-2095.06</v>
      </c>
      <c r="M319" s="7">
        <f>IF(N319=0,+L319+H319,0)</f>
        <v/>
      </c>
      <c r="N319" s="7">
        <f>IF((+G319-K319)=0,0,+G319-K319)</f>
        <v/>
      </c>
      <c r="O319" s="7">
        <f>IF(N319=0,0,(L319+H319)/-N319)</f>
        <v/>
      </c>
      <c r="P319" s="7">
        <f>VLOOKUP(OPERAC[[#This Row],[especie]],[1]!ESPECIES[#All],6,0)</f>
        <v/>
      </c>
      <c r="Q319" s="7">
        <f>IF(N319&lt;&gt;0,P319*N319,0)</f>
        <v/>
      </c>
      <c r="R319" s="8">
        <f>IF(Q319&lt;&gt;0,Q319+H319+L319,0)</f>
        <v/>
      </c>
      <c r="S319" s="9">
        <f>VLOOKUP(OPERAC[[#This Row],[especie]],[1]!ESPECIES[#Data],9,FALSE)</f>
        <v/>
      </c>
    </row>
    <row r="320">
      <c r="A320" s="4" t="n">
        <v>26138</v>
      </c>
      <c r="B320" s="5" t="n">
        <v>44531</v>
      </c>
      <c r="C320" s="13" t="inlineStr">
        <is>
          <t>VTA</t>
        </is>
      </c>
      <c r="D320" s="13" t="n">
        <v>39</v>
      </c>
      <c r="E320" s="10">
        <f>IF(D320&gt;0,VLOOKUP(OPERAC[[#This Row],[COD CART]],[1]!MatrizCortoLargoCyl[#All],3,0),"")</f>
        <v/>
      </c>
      <c r="F320" s="13" t="inlineStr">
        <is>
          <t>SOLO/V/3,00/17-06-22</t>
        </is>
      </c>
      <c r="G320" s="6" t="n">
        <v>-1500</v>
      </c>
      <c r="H320" s="6" t="n">
        <v>1409.85</v>
      </c>
      <c r="I320" s="7">
        <f>-H320/G320</f>
        <v/>
      </c>
      <c r="J320" s="11" t="n">
        <v>44617</v>
      </c>
      <c r="K320" s="6" t="n">
        <v>-1500</v>
      </c>
      <c r="L320" s="6" t="n">
        <v>-1865.76</v>
      </c>
      <c r="M320" s="7">
        <f>IF(N320=0,+L320+H320,0)</f>
        <v/>
      </c>
      <c r="N320" s="7">
        <f>IF((+G320-K320)=0,0,+G320-K320)</f>
        <v/>
      </c>
      <c r="O320" s="7">
        <f>IF(N320=0,0,(L320+H320)/-N320)</f>
        <v/>
      </c>
      <c r="P320" s="7">
        <f>VLOOKUP(OPERAC[[#This Row],[especie]],[1]!ESPECIES[#All],6,0)</f>
        <v/>
      </c>
      <c r="Q320" s="7">
        <f>IF(N320&lt;&gt;0,P320*N320,0)</f>
        <v/>
      </c>
      <c r="R320" s="8">
        <f>IF(Q320&lt;&gt;0,Q320+H320+L320,0)</f>
        <v/>
      </c>
      <c r="S320" s="9">
        <f>VLOOKUP(OPERAC[[#This Row],[especie]],[1]!ESPECIES[#Data],9,FALSE)</f>
        <v/>
      </c>
    </row>
    <row r="321">
      <c r="A321" s="4" t="n">
        <v>19888</v>
      </c>
      <c r="B321" s="5" t="n">
        <v>44432</v>
      </c>
      <c r="C321" s="13" t="inlineStr">
        <is>
          <t>VTA</t>
        </is>
      </c>
      <c r="D321" s="13" t="n">
        <v>39</v>
      </c>
      <c r="E321" s="10">
        <f>IF(D321&gt;0,VLOOKUP(OPERAC[[#This Row],[COD CART]],[1]!MatrizCortoLargoCyl[#All],3,0),"")</f>
        <v/>
      </c>
      <c r="F321" s="13" t="inlineStr">
        <is>
          <t>YPF/V/5,00/20-01-23</t>
        </is>
      </c>
      <c r="G321" s="6" t="n">
        <v>-1000</v>
      </c>
      <c r="H321" s="6" t="n">
        <v>1400</v>
      </c>
      <c r="I321" s="7">
        <f>-H321/G321</f>
        <v/>
      </c>
      <c r="J321" s="11" t="n"/>
      <c r="K321" s="6" t="n"/>
      <c r="L321" s="6" t="n"/>
      <c r="M321" s="7">
        <f>IF(N321=0,+L321+H321,0)</f>
        <v/>
      </c>
      <c r="N321" s="7">
        <f>IF((+G321-K321)=0,0,+G321-K321)</f>
        <v/>
      </c>
      <c r="O321" s="7">
        <f>IF(N321=0,0,(L321+H321)/-N321)</f>
        <v/>
      </c>
      <c r="P321" s="7">
        <f>VLOOKUP(OPERAC[[#This Row],[especie]],[1]!ESPECIES[#All],6,0)</f>
        <v/>
      </c>
      <c r="Q321" s="7">
        <f>IF(N321&lt;&gt;0,P321*N321,0)</f>
        <v/>
      </c>
      <c r="R321" s="8">
        <f>IF(Q321&lt;&gt;0,Q321+H321+L321,0)</f>
        <v/>
      </c>
      <c r="S321" s="9">
        <f>VLOOKUP(OPERAC[[#This Row],[especie]],[1]!ESPECIES[#Data],9,FALSE)</f>
        <v/>
      </c>
    </row>
    <row r="322">
      <c r="A322" s="4" t="n">
        <v>8066</v>
      </c>
      <c r="B322" s="5" t="n">
        <v>44698</v>
      </c>
      <c r="C322" s="13" t="inlineStr">
        <is>
          <t>VTA</t>
        </is>
      </c>
      <c r="D322" s="13" t="n">
        <v>39</v>
      </c>
      <c r="E322" s="10">
        <f>IF(D322&gt;0,VLOOKUP(OPERAC[[#This Row],[COD CART]],[1]!MatrizCortoLargoCyl[#All],3,0),"")</f>
        <v/>
      </c>
      <c r="F322" s="13" t="inlineStr">
        <is>
          <t>TSLA/V/550,00/27-05-22</t>
        </is>
      </c>
      <c r="G322" s="6" t="n">
        <v>-600</v>
      </c>
      <c r="H322" s="6" t="n">
        <v>1398.015</v>
      </c>
      <c r="I322" s="7">
        <f>-H322/G322</f>
        <v/>
      </c>
      <c r="J322" s="11" t="n">
        <v>44706</v>
      </c>
      <c r="K322" s="6">
        <f>+OPERAC[[#This Row],[cantidad]]</f>
        <v/>
      </c>
      <c r="L322" s="6" t="n">
        <v>-272.295</v>
      </c>
      <c r="M322" s="7">
        <f>IF(N322=0,+L322+H322,0)</f>
        <v/>
      </c>
      <c r="N322" s="7">
        <f>IF((+G322-K322)=0,0,+G322-K322)</f>
        <v/>
      </c>
      <c r="O322" s="7">
        <f>IF(N322=0,0,(L322+H322)/-N322)</f>
        <v/>
      </c>
      <c r="P322" s="7">
        <f>VLOOKUP(OPERAC[[#This Row],[especie]],[1]!ESPECIES[#All],6,0)</f>
        <v/>
      </c>
      <c r="Q322" s="7">
        <f>IF(N322&lt;&gt;0,P322*N322,0)</f>
        <v/>
      </c>
      <c r="R322" s="8">
        <f>IF(Q322&lt;&gt;0,Q322+H322+L322,0)</f>
        <v/>
      </c>
      <c r="S322" s="9">
        <f>VLOOKUP(OPERAC[[#This Row],[especie]],[1]!ESPECIES[#Data],9,FALSE)</f>
        <v/>
      </c>
    </row>
    <row r="323">
      <c r="A323" s="4" t="n">
        <v>22393</v>
      </c>
      <c r="B323" s="5" t="n">
        <v>44336</v>
      </c>
      <c r="C323" s="13" t="inlineStr">
        <is>
          <t>VTA</t>
        </is>
      </c>
      <c r="D323" s="13" t="n">
        <v>39</v>
      </c>
      <c r="E323" s="10">
        <f>IF(D323&gt;0,VLOOKUP(OPERAC[[#This Row],[COD CART]],[1]!MatrizCortoLargoCyl[#All],3,0),"")</f>
        <v/>
      </c>
      <c r="F323" s="13" t="inlineStr">
        <is>
          <t>SOLO/V/3,00/20-01-23</t>
        </is>
      </c>
      <c r="G323" s="6" t="n">
        <v>-1000</v>
      </c>
      <c r="H323" s="6" t="n">
        <v>1392.62</v>
      </c>
      <c r="I323" s="7">
        <f>-H323/G323</f>
        <v/>
      </c>
      <c r="J323" s="11" t="n"/>
      <c r="K323" s="6" t="n"/>
      <c r="L323" s="6" t="n"/>
      <c r="M323" s="7">
        <f>IF(N323=0,+L323+H323,0)</f>
        <v/>
      </c>
      <c r="N323" s="7">
        <f>IF((+G323-K323)=0,0,+G323-K323)</f>
        <v/>
      </c>
      <c r="O323" s="7">
        <f>IF(N323=0,0,(L323+H323)/-N323)</f>
        <v/>
      </c>
      <c r="P323" s="7">
        <f>VLOOKUP(OPERAC[[#This Row],[especie]],[1]!ESPECIES[#All],6,0)</f>
        <v/>
      </c>
      <c r="Q323" s="7">
        <f>IF(N323&lt;&gt;0,P323*N323,0)</f>
        <v/>
      </c>
      <c r="R323" s="8">
        <f>IF(Q323&lt;&gt;0,Q323+H323+L323,0)</f>
        <v/>
      </c>
      <c r="S323" s="9">
        <f>VLOOKUP(OPERAC[[#This Row],[especie]],[1]!ESPECIES[#Data],9,FALSE)</f>
        <v/>
      </c>
    </row>
    <row r="324">
      <c r="A324" s="4" t="n">
        <v>2255</v>
      </c>
      <c r="B324" s="5" t="n">
        <v>44580</v>
      </c>
      <c r="C324" s="13" t="inlineStr">
        <is>
          <t>VTA</t>
        </is>
      </c>
      <c r="D324" s="13" t="n">
        <v>39</v>
      </c>
      <c r="E324" s="10">
        <f>IF(D324&gt;0,VLOOKUP(OPERAC[[#This Row],[COD CART]],[1]!MatrizCortoLargoCyl[#All],3,0),"")</f>
        <v/>
      </c>
      <c r="F324" s="13" t="inlineStr">
        <is>
          <t>INO/V/7,00/18-02-22</t>
        </is>
      </c>
      <c r="G324" s="6" t="n">
        <v>-500</v>
      </c>
      <c r="H324" s="6" t="n">
        <v>1390.925</v>
      </c>
      <c r="I324" s="7">
        <f>-H324/G324</f>
        <v/>
      </c>
      <c r="J324" s="11" t="n">
        <v>44600</v>
      </c>
      <c r="K324" s="6" t="n">
        <v>-500</v>
      </c>
      <c r="L324" s="6" t="n">
        <v>-1390</v>
      </c>
      <c r="M324" s="7">
        <f>IF(N324=0,+L324+H324,0)</f>
        <v/>
      </c>
      <c r="N324" s="7">
        <f>IF((+G324-K324)=0,0,+G324-K324)</f>
        <v/>
      </c>
      <c r="O324" s="7">
        <f>IF(N324=0,0,(L324+H324)/-N324)</f>
        <v/>
      </c>
      <c r="P324" s="7">
        <f>VLOOKUP(OPERAC[[#This Row],[especie]],[1]!ESPECIES[#All],6,0)</f>
        <v/>
      </c>
      <c r="Q324" s="7">
        <f>IF(N324&lt;&gt;0,P324*N324,0)</f>
        <v/>
      </c>
      <c r="R324" s="8">
        <f>IF(Q324&lt;&gt;0,Q324+H324+L324,0)</f>
        <v/>
      </c>
      <c r="S324" s="9">
        <f>VLOOKUP(OPERAC[[#This Row],[especie]],[1]!ESPECIES[#Data],9,FALSE)</f>
        <v/>
      </c>
    </row>
    <row r="325">
      <c r="A325" s="4" t="n">
        <v>18651</v>
      </c>
      <c r="B325" s="5" t="n">
        <v>44564</v>
      </c>
      <c r="C325" s="13" t="inlineStr">
        <is>
          <t>VTA</t>
        </is>
      </c>
      <c r="D325" s="13" t="n">
        <v>39</v>
      </c>
      <c r="E325" s="10">
        <f>IF(D325&gt;0,VLOOKUP(OPERAC[[#This Row],[COD CART]],[1]!MatrizCortoLargoCyl[#All],3,0),"")</f>
        <v/>
      </c>
      <c r="F325" s="13" t="inlineStr">
        <is>
          <t>TSLA/V/975,00/07-01-22</t>
        </is>
      </c>
      <c r="G325" s="6" t="n">
        <v>-1800</v>
      </c>
      <c r="H325" s="6" t="n">
        <v>1390.6404</v>
      </c>
      <c r="I325" s="7">
        <f>-H325/G325</f>
        <v/>
      </c>
      <c r="J325" s="11" t="n">
        <v>44567</v>
      </c>
      <c r="K325" s="6" t="n">
        <v>-1800</v>
      </c>
      <c r="L325" s="6" t="n">
        <v>-1390.64</v>
      </c>
      <c r="M325" s="7">
        <f>IF(N325=0,+L325+H325,0)</f>
        <v/>
      </c>
      <c r="N325" s="7">
        <f>IF((+G325-K325)=0,0,+G325-K325)</f>
        <v/>
      </c>
      <c r="O325" s="7">
        <f>IF(N325=0,0,(L325+H325)/-N325)</f>
        <v/>
      </c>
      <c r="P325" s="7">
        <f>VLOOKUP(OPERAC[[#This Row],[especie]],[1]!ESPECIES[#All],6,0)</f>
        <v/>
      </c>
      <c r="Q325" s="7">
        <f>IF(N325&lt;&gt;0,P325*N325,0)</f>
        <v/>
      </c>
      <c r="R325" s="8">
        <f>IF(Q325&lt;&gt;0,Q325+H325+L325,0)</f>
        <v/>
      </c>
      <c r="S325" s="9">
        <f>VLOOKUP(OPERAC[[#This Row],[especie]],[1]!ESPECIES[#Data],9,FALSE)</f>
        <v/>
      </c>
    </row>
    <row r="326">
      <c r="A326" s="4" t="n">
        <v>18713</v>
      </c>
      <c r="B326" s="5" t="n">
        <v>44560</v>
      </c>
      <c r="C326" s="13" t="inlineStr">
        <is>
          <t>VTA</t>
        </is>
      </c>
      <c r="D326" s="13" t="n">
        <v>39</v>
      </c>
      <c r="E326" s="10">
        <f>IF(D326&gt;0,VLOOKUP(OPERAC[[#This Row],[COD CART]],[1]!MatrizCortoLargoCyl[#All],3,0),"")</f>
        <v/>
      </c>
      <c r="F326" s="13" t="inlineStr">
        <is>
          <t>ACB/V/6,00/07-01-22</t>
        </is>
      </c>
      <c r="G326" s="6" t="n">
        <v>-2900</v>
      </c>
      <c r="H326" s="6" t="n">
        <v>1389.7235</v>
      </c>
      <c r="I326" s="7">
        <f>-H326/G326</f>
        <v/>
      </c>
      <c r="J326" s="11" t="n">
        <v>44567</v>
      </c>
      <c r="K326" s="6" t="n">
        <v>-2900</v>
      </c>
      <c r="L326" s="6" t="n">
        <v>-1389.72</v>
      </c>
      <c r="M326" s="7">
        <f>IF(N326=0,+L326+H326,0)</f>
        <v/>
      </c>
      <c r="N326" s="7">
        <f>IF((+G326-K326)=0,0,+G326-K326)</f>
        <v/>
      </c>
      <c r="O326" s="7">
        <f>IF(N326=0,0,(L326+H326)/-N326)</f>
        <v/>
      </c>
      <c r="P326" s="7">
        <f>VLOOKUP(OPERAC[[#This Row],[especie]],[1]!ESPECIES[#All],6,0)</f>
        <v/>
      </c>
      <c r="Q326" s="7">
        <f>IF(N326&lt;&gt;0,P326*N326,0)</f>
        <v/>
      </c>
      <c r="R326" s="8">
        <f>IF(Q326&lt;&gt;0,Q326+H326+L326,0)</f>
        <v/>
      </c>
      <c r="S326" s="9">
        <f>VLOOKUP(OPERAC[[#This Row],[especie]],[1]!ESPECIES[#Data],9,FALSE)</f>
        <v/>
      </c>
    </row>
    <row r="327">
      <c r="A327" s="4" t="n">
        <v>16786</v>
      </c>
      <c r="B327" s="5" t="n">
        <v>44673</v>
      </c>
      <c r="C327" s="13" t="inlineStr">
        <is>
          <t>VTA</t>
        </is>
      </c>
      <c r="D327" s="13" t="n">
        <v>39</v>
      </c>
      <c r="E327" s="10">
        <f>IF(D327&gt;0,VLOOKUP(OPERAC[[#This Row],[COD CART]],[1]!MatrizCortoLargoCyl[#All],3,0),"")</f>
        <v/>
      </c>
      <c r="F327" s="13" t="inlineStr">
        <is>
          <t>UPST/V/68,00/29-04-22</t>
        </is>
      </c>
      <c r="G327" s="6" t="n">
        <v>-700</v>
      </c>
      <c r="H327" s="6" t="n">
        <v>1388.1</v>
      </c>
      <c r="I327" s="7">
        <f>-H327/G327</f>
        <v/>
      </c>
      <c r="J327" s="11" t="n">
        <v>44679</v>
      </c>
      <c r="K327" s="6">
        <f>+OPERAC[[#This Row],[cantidad]]</f>
        <v/>
      </c>
      <c r="L327" s="6" t="n">
        <v>-352.975</v>
      </c>
      <c r="M327" s="7">
        <f>IF(N327=0,+L327+H327,0)</f>
        <v/>
      </c>
      <c r="N327" s="7">
        <f>IF((+G327-K327)=0,0,+G327-K327)</f>
        <v/>
      </c>
      <c r="O327" s="7">
        <f>IF(N327=0,0,(L327+H327)/-N327)</f>
        <v/>
      </c>
      <c r="P327" s="7">
        <f>VLOOKUP(OPERAC[[#This Row],[especie]],[1]!ESPECIES[#All],6,0)</f>
        <v/>
      </c>
      <c r="Q327" s="7">
        <f>IF(N327&lt;&gt;0,P327*N327,0)</f>
        <v/>
      </c>
      <c r="R327" s="8">
        <f>IF(Q327&lt;&gt;0,Q327+H327+L327,0)</f>
        <v/>
      </c>
      <c r="S327" s="9">
        <f>VLOOKUP(OPERAC[[#This Row],[especie]],[1]!ESPECIES[#Data],9,FALSE)</f>
        <v/>
      </c>
    </row>
    <row r="328">
      <c r="A328" s="4" t="n">
        <v>25070</v>
      </c>
      <c r="B328" s="5" t="n">
        <v>44599</v>
      </c>
      <c r="C328" s="13" t="inlineStr">
        <is>
          <t>VTA</t>
        </is>
      </c>
      <c r="D328" s="13" t="n">
        <v>39</v>
      </c>
      <c r="E328" s="10">
        <f>IF(D328&gt;0,VLOOKUP(OPERAC[[#This Row],[COD CART]],[1]!MatrizCortoLargoCyl[#All],3,0),"")</f>
        <v/>
      </c>
      <c r="F328" s="13" t="inlineStr">
        <is>
          <t>MELI/V/850,00/18-02/22</t>
        </is>
      </c>
      <c r="G328" s="6" t="n">
        <v>-200</v>
      </c>
      <c r="H328" s="6" t="n">
        <v>1388</v>
      </c>
      <c r="I328" s="7">
        <f>-H328/G328</f>
        <v/>
      </c>
      <c r="J328" s="11" t="n">
        <v>44610</v>
      </c>
      <c r="K328" s="6" t="n">
        <v>-200</v>
      </c>
      <c r="L328" s="6" t="n">
        <v>0</v>
      </c>
      <c r="M328" s="7">
        <f>IF(N328=0,+L328+H328,0)</f>
        <v/>
      </c>
      <c r="N328" s="7">
        <f>IF((+G328-K328)=0,0,+G328-K328)</f>
        <v/>
      </c>
      <c r="O328" s="7">
        <f>IF(N328=0,0,(L328+H328)/-N328)</f>
        <v/>
      </c>
      <c r="P328" s="7">
        <f>VLOOKUP(OPERAC[[#This Row],[especie]],[1]!ESPECIES[#All],6,0)</f>
        <v/>
      </c>
      <c r="Q328" s="7">
        <f>IF(N328&lt;&gt;0,P328*N328,0)</f>
        <v/>
      </c>
      <c r="R328" s="8">
        <f>IF(Q328&lt;&gt;0,Q328+H328+L328,0)</f>
        <v/>
      </c>
      <c r="S328" s="9">
        <f>VLOOKUP(OPERAC[[#This Row],[especie]],[1]!ESPECIES[#Data],9,FALSE)</f>
        <v/>
      </c>
    </row>
    <row r="329">
      <c r="A329" s="4" t="n">
        <v>22407</v>
      </c>
      <c r="B329" s="5" t="n">
        <v>44547</v>
      </c>
      <c r="C329" s="13" t="inlineStr">
        <is>
          <t>VTA</t>
        </is>
      </c>
      <c r="D329" s="13" t="n">
        <v>39</v>
      </c>
      <c r="E329" s="10">
        <f>IF(D329&gt;0,VLOOKUP(OPERAC[[#This Row],[COD CART]],[1]!MatrizCortoLargoCyl[#All],3,0),"")</f>
        <v/>
      </c>
      <c r="F329" s="13" t="inlineStr">
        <is>
          <t>TLRY/V/8,00/18-02-22</t>
        </is>
      </c>
      <c r="G329" s="6" t="n">
        <v>-1000</v>
      </c>
      <c r="H329" s="6" t="n">
        <v>1383.791</v>
      </c>
      <c r="I329" s="7">
        <f>-H329/G329</f>
        <v/>
      </c>
      <c r="J329" s="11" t="n">
        <v>44601</v>
      </c>
      <c r="K329" s="6" t="n">
        <v>-1000</v>
      </c>
      <c r="L329" s="6">
        <f>1.38*OPERAC[[#This Row],[cantidad venta]]</f>
        <v/>
      </c>
      <c r="M329" s="7">
        <f>IF(N329=0,+L329+H329,0)</f>
        <v/>
      </c>
      <c r="N329" s="7">
        <f>IF((+G329-K329)=0,0,+G329-K329)</f>
        <v/>
      </c>
      <c r="O329" s="7">
        <f>IF(N329=0,0,(L329+H329)/-N329)</f>
        <v/>
      </c>
      <c r="P329" s="7">
        <f>VLOOKUP(OPERAC[[#This Row],[especie]],[1]!ESPECIES[#All],6,0)</f>
        <v/>
      </c>
      <c r="Q329" s="7">
        <f>IF(N329&lt;&gt;0,P329*N329,0)</f>
        <v/>
      </c>
      <c r="R329" s="8">
        <f>IF(Q329&lt;&gt;0,Q329+H329+L329,0)</f>
        <v/>
      </c>
      <c r="S329" s="9">
        <f>VLOOKUP(OPERAC[[#This Row],[especie]],[1]!ESPECIES[#Data],9,FALSE)</f>
        <v/>
      </c>
    </row>
    <row r="330">
      <c r="A330" s="4" t="n">
        <v>2218</v>
      </c>
      <c r="B330" s="5" t="n">
        <v>44693</v>
      </c>
      <c r="C330" s="13" t="inlineStr">
        <is>
          <t>VTA</t>
        </is>
      </c>
      <c r="D330" s="13" t="n">
        <v>39</v>
      </c>
      <c r="E330" s="10">
        <f>IF(D330&gt;0,VLOOKUP(OPERAC[[#This Row],[COD CART]],[1]!MatrizCortoLargoCyl[#All],3,0),"")</f>
        <v/>
      </c>
      <c r="F330" s="13" t="inlineStr">
        <is>
          <t>TSLA/V/550,00/20-05-22</t>
        </is>
      </c>
      <c r="G330" s="6" t="n">
        <v>-300</v>
      </c>
      <c r="H330" s="6" t="n">
        <v>1378.62</v>
      </c>
      <c r="I330" s="7">
        <f>-H330/G330</f>
        <v/>
      </c>
      <c r="J330" s="11" t="n">
        <v>44700</v>
      </c>
      <c r="K330" s="6" t="n">
        <v>-300</v>
      </c>
      <c r="L330" s="6" t="n">
        <v>-57.057</v>
      </c>
      <c r="M330" s="7">
        <f>IF(N330=0,+L330+H330,0)</f>
        <v/>
      </c>
      <c r="N330" s="7">
        <f>IF((+G330-K330)=0,0,+G330-K330)</f>
        <v/>
      </c>
      <c r="O330" s="7">
        <f>IF(N330=0,0,(L330+H330)/-N330)</f>
        <v/>
      </c>
      <c r="P330" s="7">
        <f>VLOOKUP(OPERAC[[#This Row],[especie]],[1]!ESPECIES[#All],6,0)</f>
        <v/>
      </c>
      <c r="Q330" s="7">
        <f>IF(N330&lt;&gt;0,P330*N330,0)</f>
        <v/>
      </c>
      <c r="R330" s="8">
        <f>IF(Q330&lt;&gt;0,Q330+H330+L330,0)</f>
        <v/>
      </c>
      <c r="S330" s="9">
        <f>VLOOKUP(OPERAC[[#This Row],[especie]],[1]!ESPECIES[#Data],9,FALSE)</f>
        <v/>
      </c>
    </row>
    <row r="331">
      <c r="A331" s="4" t="n">
        <v>18651</v>
      </c>
      <c r="B331" s="5" t="n">
        <v>44608</v>
      </c>
      <c r="C331" s="13" t="inlineStr">
        <is>
          <t>VTA</t>
        </is>
      </c>
      <c r="D331" s="13" t="n">
        <v>39</v>
      </c>
      <c r="E331" s="10">
        <f>IF(D331&gt;0,VLOOKUP(OPERAC[[#This Row],[COD CART]],[1]!MatrizCortoLargoCyl[#All],3,0),"")</f>
        <v/>
      </c>
      <c r="F331" s="13" t="inlineStr">
        <is>
          <t>SOLO/V/3,00/18-03-22</t>
        </is>
      </c>
      <c r="G331" s="6" t="n">
        <v>-1600</v>
      </c>
      <c r="H331" s="6" t="n">
        <v>1368.064</v>
      </c>
      <c r="I331" s="7">
        <f>-H331/G331</f>
        <v/>
      </c>
      <c r="J331" s="11" t="n">
        <v>44614</v>
      </c>
      <c r="K331" s="6">
        <f>+OPERAC[[#This Row],[cantidad]]</f>
        <v/>
      </c>
      <c r="L331" s="6">
        <f>+OPERAC[[#This Row],[cantidad venta]]*1.113</f>
        <v/>
      </c>
      <c r="M331" s="7">
        <f>IF(N331=0,+L331+H331,0)</f>
        <v/>
      </c>
      <c r="N331" s="7">
        <f>IF((+G331-K331)=0,0,+G331-K331)</f>
        <v/>
      </c>
      <c r="O331" s="7">
        <f>IF(N331=0,0,(L331+H331)/-N331)</f>
        <v/>
      </c>
      <c r="P331" s="7">
        <f>VLOOKUP(OPERAC[[#This Row],[especie]],[1]!ESPECIES[#All],6,0)</f>
        <v/>
      </c>
      <c r="Q331" s="7">
        <f>IF(N331&lt;&gt;0,P331*N331,0)</f>
        <v/>
      </c>
      <c r="R331" s="8">
        <f>IF(Q331&lt;&gt;0,Q331+H331+L331,0)</f>
        <v/>
      </c>
      <c r="S331" s="9">
        <f>VLOOKUP(OPERAC[[#This Row],[especie]],[1]!ESPECIES[#Data],9,FALSE)</f>
        <v/>
      </c>
    </row>
    <row r="332">
      <c r="A332" s="4" t="n">
        <v>19920</v>
      </c>
      <c r="B332" s="5" t="n">
        <v>44608</v>
      </c>
      <c r="C332" s="13" t="inlineStr">
        <is>
          <t>VTA</t>
        </is>
      </c>
      <c r="D332" s="13" t="n">
        <v>39</v>
      </c>
      <c r="E332" s="10">
        <f>IF(D332&gt;0,VLOOKUP(OPERAC[[#This Row],[COD CART]],[1]!MatrizCortoLargoCyl[#All],3,0),"")</f>
        <v/>
      </c>
      <c r="F332" s="13" t="inlineStr">
        <is>
          <t>SOLO/V/3,00/18-03-22</t>
        </is>
      </c>
      <c r="G332" s="6" t="n">
        <v>-1600</v>
      </c>
      <c r="H332" s="6" t="n">
        <v>1368.064</v>
      </c>
      <c r="I332" s="7">
        <f>-H332/G332</f>
        <v/>
      </c>
      <c r="J332" s="11" t="n">
        <v>44614</v>
      </c>
      <c r="K332" s="6">
        <f>+OPERAC[[#This Row],[cantidad]]</f>
        <v/>
      </c>
      <c r="L332" s="6">
        <f>+OPERAC[[#This Row],[cantidad venta]]*1.113</f>
        <v/>
      </c>
      <c r="M332" s="7">
        <f>IF(N332=0,+L332+H332,0)</f>
        <v/>
      </c>
      <c r="N332" s="7">
        <f>IF((+G332-K332)=0,0,+G332-K332)</f>
        <v/>
      </c>
      <c r="O332" s="7">
        <f>IF(N332=0,0,(L332+H332)/-N332)</f>
        <v/>
      </c>
      <c r="P332" s="7">
        <f>VLOOKUP(OPERAC[[#This Row],[especie]],[1]!ESPECIES[#All],6,0)</f>
        <v/>
      </c>
      <c r="Q332" s="7">
        <f>IF(N332&lt;&gt;0,P332*N332,0)</f>
        <v/>
      </c>
      <c r="R332" s="8">
        <f>IF(Q332&lt;&gt;0,Q332+H332+L332,0)</f>
        <v/>
      </c>
      <c r="S332" s="9">
        <f>VLOOKUP(OPERAC[[#This Row],[especie]],[1]!ESPECIES[#Data],9,FALSE)</f>
        <v/>
      </c>
    </row>
    <row r="333">
      <c r="A333" s="4" t="n">
        <v>13188</v>
      </c>
      <c r="B333" s="5" t="n">
        <v>44574</v>
      </c>
      <c r="C333" s="13" t="inlineStr">
        <is>
          <t>VTA</t>
        </is>
      </c>
      <c r="D333" s="13" t="n">
        <v>39</v>
      </c>
      <c r="E333" s="10">
        <f>IF(D333&gt;0,VLOOKUP(OPERAC[[#This Row],[COD CART]],[1]!MatrizCortoLargoCyl[#All],3,0),"")</f>
        <v/>
      </c>
      <c r="F333" s="13" t="inlineStr">
        <is>
          <t>ACB/V/6,00/21-01-22</t>
        </is>
      </c>
      <c r="G333" s="6" t="n">
        <v>-2800</v>
      </c>
      <c r="H333" s="6" t="n">
        <v>1363.827</v>
      </c>
      <c r="I333" s="7">
        <f>-H333/G333</f>
        <v/>
      </c>
      <c r="J333" s="11" t="n">
        <v>44581</v>
      </c>
      <c r="K333" s="6">
        <f>+OPERAC[[#This Row],[cantidad]]</f>
        <v/>
      </c>
      <c r="L333" s="6">
        <f>-OPERAC[[#This Row],[importe]]</f>
        <v/>
      </c>
      <c r="M333" s="7">
        <f>IF(N333=0,+L333+H333,0)</f>
        <v/>
      </c>
      <c r="N333" s="7">
        <f>IF((+G333-K333)=0,0,+G333-K333)</f>
        <v/>
      </c>
      <c r="O333" s="7">
        <f>IF(N333=0,0,(L333+H333)/-N333)</f>
        <v/>
      </c>
      <c r="P333" s="7">
        <f>VLOOKUP(OPERAC[[#This Row],[especie]],[1]!ESPECIES[#All],6,0)</f>
        <v/>
      </c>
      <c r="Q333" s="7">
        <f>IF(N333&lt;&gt;0,P333*N333,0)</f>
        <v/>
      </c>
      <c r="R333" s="8">
        <f>IF(Q333&lt;&gt;0,Q333+H333+L333,0)</f>
        <v/>
      </c>
      <c r="S333" s="9">
        <f>VLOOKUP(OPERAC[[#This Row],[especie]],[1]!ESPECIES[#Data],9,FALSE)</f>
        <v/>
      </c>
    </row>
    <row r="334">
      <c r="A334" s="4" t="n">
        <v>12672</v>
      </c>
      <c r="B334" s="5" t="n">
        <v>44574</v>
      </c>
      <c r="C334" s="13" t="inlineStr">
        <is>
          <t>VTA</t>
        </is>
      </c>
      <c r="D334" s="13" t="n">
        <v>39</v>
      </c>
      <c r="E334" s="10">
        <f>IF(D334&gt;0,VLOOKUP(OPERAC[[#This Row],[COD CART]],[1]!MatrizCortoLargoCyl[#All],3,0),"")</f>
        <v/>
      </c>
      <c r="F334" s="13" t="inlineStr">
        <is>
          <t>ACB/V/6,00/21-01-22</t>
        </is>
      </c>
      <c r="G334" s="6" t="n">
        <v>-2800</v>
      </c>
      <c r="H334" s="6" t="n">
        <v>1363.827</v>
      </c>
      <c r="I334" s="7">
        <f>-H334/G334</f>
        <v/>
      </c>
      <c r="J334" s="11" t="n">
        <v>44581</v>
      </c>
      <c r="K334" s="6">
        <f>+OPERAC[[#This Row],[cantidad]]</f>
        <v/>
      </c>
      <c r="L334" s="6">
        <f>-OPERAC[[#This Row],[importe]]</f>
        <v/>
      </c>
      <c r="M334" s="7">
        <f>IF(N334=0,+L334+H334,0)</f>
        <v/>
      </c>
      <c r="N334" s="7">
        <f>IF((+G334-K334)=0,0,+G334-K334)</f>
        <v/>
      </c>
      <c r="O334" s="7">
        <f>IF(N334=0,0,(L334+H334)/-N334)</f>
        <v/>
      </c>
      <c r="P334" s="7">
        <f>VLOOKUP(OPERAC[[#This Row],[especie]],[1]!ESPECIES[#All],6,0)</f>
        <v/>
      </c>
      <c r="Q334" s="7">
        <f>IF(N334&lt;&gt;0,P334*N334,0)</f>
        <v/>
      </c>
      <c r="R334" s="8">
        <f>IF(Q334&lt;&gt;0,Q334+H334+L334,0)</f>
        <v/>
      </c>
      <c r="S334" s="9">
        <f>VLOOKUP(OPERAC[[#This Row],[especie]],[1]!ESPECIES[#Data],9,FALSE)</f>
        <v/>
      </c>
    </row>
    <row r="335">
      <c r="A335" s="4" t="n">
        <v>22407</v>
      </c>
      <c r="B335" s="5" t="n">
        <v>44432</v>
      </c>
      <c r="C335" s="13" t="inlineStr">
        <is>
          <t>VTA</t>
        </is>
      </c>
      <c r="D335" s="13" t="n">
        <v>39</v>
      </c>
      <c r="E335" s="10">
        <f>IF(D335&gt;0,VLOOKUP(OPERAC[[#This Row],[COD CART]],[1]!MatrizCortoLargoCyl[#All],3,0),"")</f>
        <v/>
      </c>
      <c r="F335" s="13" t="inlineStr">
        <is>
          <t>TLRY/V/10,00/20-01-23</t>
        </is>
      </c>
      <c r="G335" s="6" t="n">
        <v>-500</v>
      </c>
      <c r="H335" s="6" t="n">
        <v>1362.57</v>
      </c>
      <c r="I335" s="7">
        <f>-H335/G335</f>
        <v/>
      </c>
      <c r="J335" s="11" t="n">
        <v>44617</v>
      </c>
      <c r="K335" s="6" t="n">
        <v>-500</v>
      </c>
      <c r="L335" s="6" t="n">
        <v>-2571.4</v>
      </c>
      <c r="M335" s="7">
        <f>IF(N335=0,+L335+H335,0)</f>
        <v/>
      </c>
      <c r="N335" s="7">
        <f>IF((+G335-K335)=0,0,+G335-K335)</f>
        <v/>
      </c>
      <c r="O335" s="7">
        <f>IF(N335=0,0,(L335+H335)/-N335)</f>
        <v/>
      </c>
      <c r="P335" s="7">
        <f>VLOOKUP(OPERAC[[#This Row],[especie]],[1]!ESPECIES[#All],6,0)</f>
        <v/>
      </c>
      <c r="Q335" s="7">
        <f>IF(N335&lt;&gt;0,P335*N335,0)</f>
        <v/>
      </c>
      <c r="R335" s="8">
        <f>IF(Q335&lt;&gt;0,Q335+H335+L335,0)</f>
        <v/>
      </c>
      <c r="S335" s="9">
        <f>VLOOKUP(OPERAC[[#This Row],[especie]],[1]!ESPECIES[#Data],9,FALSE)</f>
        <v/>
      </c>
    </row>
    <row r="336">
      <c r="A336" s="4" t="n">
        <v>2218</v>
      </c>
      <c r="B336" s="5" t="n">
        <v>44685</v>
      </c>
      <c r="C336" s="13" t="inlineStr">
        <is>
          <t>VTA</t>
        </is>
      </c>
      <c r="D336" s="13" t="n">
        <v>39</v>
      </c>
      <c r="E336" s="10">
        <f>IF(D336&gt;0,VLOOKUP(OPERAC[[#This Row],[COD CART]],[1]!MatrizCortoLargoCyl[#All],3,0),"")</f>
        <v/>
      </c>
      <c r="F336" s="13" t="inlineStr">
        <is>
          <t>TSLA/V/800,00/06-05-22</t>
        </is>
      </c>
      <c r="G336" s="6" t="n">
        <v>-1000</v>
      </c>
      <c r="H336" s="6" t="n">
        <v>1348.65</v>
      </c>
      <c r="I336" s="7">
        <f>-H336/G336</f>
        <v/>
      </c>
      <c r="J336" s="11" t="n">
        <v>44687</v>
      </c>
      <c r="K336" s="6" t="n">
        <v>-1000</v>
      </c>
      <c r="L336" s="6" t="n">
        <v>0</v>
      </c>
      <c r="M336" s="7">
        <f>IF(N336=0,+L336+H336,0)</f>
        <v/>
      </c>
      <c r="N336" s="7">
        <f>IF((+G336-K336)=0,0,+G336-K336)</f>
        <v/>
      </c>
      <c r="O336" s="7">
        <f>IF(N336=0,0,(L336+H336)/-N336)</f>
        <v/>
      </c>
      <c r="P336" s="7">
        <f>VLOOKUP(OPERAC[[#This Row],[especie]],[1]!ESPECIES[#All],6,0)</f>
        <v/>
      </c>
      <c r="Q336" s="7">
        <f>IF(N336&lt;&gt;0,P336*N336,0)</f>
        <v/>
      </c>
      <c r="R336" s="8">
        <f>IF(Q336&lt;&gt;0,Q336+H336+L336,0)</f>
        <v/>
      </c>
      <c r="S336" s="9">
        <f>VLOOKUP(OPERAC[[#This Row],[especie]],[1]!ESPECIES[#Data],9,FALSE)</f>
        <v/>
      </c>
    </row>
    <row r="337">
      <c r="A337" s="4" t="n">
        <v>16783</v>
      </c>
      <c r="B337" s="5" t="n">
        <v>44685</v>
      </c>
      <c r="C337" s="13" t="inlineStr">
        <is>
          <t>VTA</t>
        </is>
      </c>
      <c r="D337" s="13" t="n">
        <v>39</v>
      </c>
      <c r="E337" s="10">
        <f>IF(D337&gt;0,VLOOKUP(OPERAC[[#This Row],[COD CART]],[1]!MatrizCortoLargoCyl[#All],3,0),"")</f>
        <v/>
      </c>
      <c r="F337" s="13" t="inlineStr">
        <is>
          <t>TSLA/V/800,00/06-05-22</t>
        </is>
      </c>
      <c r="G337" s="6" t="n">
        <v>-1000</v>
      </c>
      <c r="H337" s="6" t="n">
        <v>1343.925</v>
      </c>
      <c r="I337" s="7">
        <f>-H337/G337</f>
        <v/>
      </c>
      <c r="J337" s="11" t="n">
        <v>44687</v>
      </c>
      <c r="K337" s="6" t="n">
        <v>-1000</v>
      </c>
      <c r="L337" s="6" t="n">
        <v>0</v>
      </c>
      <c r="M337" s="7">
        <f>IF(N337=0,+L337+H337,0)</f>
        <v/>
      </c>
      <c r="N337" s="7">
        <f>IF((+G337-K337)=0,0,+G337-K337)</f>
        <v/>
      </c>
      <c r="O337" s="7">
        <f>IF(N337=0,0,(L337+H337)/-N337)</f>
        <v/>
      </c>
      <c r="P337" s="7">
        <f>VLOOKUP(OPERAC[[#This Row],[especie]],[1]!ESPECIES[#All],6,0)</f>
        <v/>
      </c>
      <c r="Q337" s="7">
        <f>IF(N337&lt;&gt;0,P337*N337,0)</f>
        <v/>
      </c>
      <c r="R337" s="8">
        <f>IF(Q337&lt;&gt;0,Q337+H337+L337,0)</f>
        <v/>
      </c>
      <c r="S337" s="9">
        <f>VLOOKUP(OPERAC[[#This Row],[especie]],[1]!ESPECIES[#Data],9,FALSE)</f>
        <v/>
      </c>
    </row>
    <row r="338">
      <c r="A338" s="4" t="n">
        <v>25070</v>
      </c>
      <c r="B338" s="5" t="n">
        <v>44648</v>
      </c>
      <c r="C338" s="13" t="inlineStr">
        <is>
          <t>VTA</t>
        </is>
      </c>
      <c r="D338" s="13" t="n">
        <v>39</v>
      </c>
      <c r="E338" s="10">
        <f>IF(D338&gt;0,VLOOKUP(OPERAC[[#This Row],[COD CART]],[1]!MatrizCortoLargoCyl[#All],3,0),"")</f>
        <v/>
      </c>
      <c r="F338" s="13" t="inlineStr">
        <is>
          <t>TSLA/V/870,00/01-04-22</t>
        </is>
      </c>
      <c r="G338" s="6" t="n">
        <v>-2000</v>
      </c>
      <c r="H338" s="6" t="n">
        <v>1343.69</v>
      </c>
      <c r="I338" s="7">
        <f>-H338/G338</f>
        <v/>
      </c>
      <c r="J338" s="11" t="n">
        <v>44651</v>
      </c>
      <c r="K338" s="6" t="n">
        <v>-2000</v>
      </c>
      <c r="L338" s="6" t="n">
        <v>-226.462</v>
      </c>
      <c r="M338" s="7">
        <f>IF(N338=0,+L338+H338,0)</f>
        <v/>
      </c>
      <c r="N338" s="7">
        <f>IF((+G338-K338)=0,0,+G338-K338)</f>
        <v/>
      </c>
      <c r="O338" s="7">
        <f>IF(N338=0,0,(L338+H338)/-N338)</f>
        <v/>
      </c>
      <c r="P338" s="7">
        <f>VLOOKUP(OPERAC[[#This Row],[especie]],[1]!ESPECIES[#All],6,0)</f>
        <v/>
      </c>
      <c r="Q338" s="7">
        <f>IF(N338&lt;&gt;0,P338*N338,0)</f>
        <v/>
      </c>
      <c r="R338" s="8">
        <f>IF(Q338&lt;&gt;0,Q338+H338+L338,0)</f>
        <v/>
      </c>
      <c r="S338" s="9">
        <f>VLOOKUP(OPERAC[[#This Row],[especie]],[1]!ESPECIES[#Data],9,FALSE)</f>
        <v/>
      </c>
    </row>
    <row r="339">
      <c r="A339" s="4" t="n">
        <v>13188</v>
      </c>
      <c r="B339" s="5" t="n">
        <v>44560</v>
      </c>
      <c r="C339" s="13" t="inlineStr">
        <is>
          <t>VTA</t>
        </is>
      </c>
      <c r="D339" s="13" t="n">
        <v>39</v>
      </c>
      <c r="E339" s="10">
        <f>IF(D339&gt;0,VLOOKUP(OPERAC[[#This Row],[COD CART]],[1]!MatrizCortoLargoCyl[#All],3,0),"")</f>
        <v/>
      </c>
      <c r="F339" s="13" t="inlineStr">
        <is>
          <t>ACB/V/6,00/07-01-22</t>
        </is>
      </c>
      <c r="G339" s="6" t="n">
        <v>-2800</v>
      </c>
      <c r="H339" s="6" t="n">
        <v>1341.802</v>
      </c>
      <c r="I339" s="7">
        <f>-H339/G339</f>
        <v/>
      </c>
      <c r="J339" s="11" t="n">
        <v>44567</v>
      </c>
      <c r="K339" s="6" t="n">
        <v>-2800</v>
      </c>
      <c r="L339" s="6" t="n">
        <v>-1341.8</v>
      </c>
      <c r="M339" s="7">
        <f>IF(N339=0,+L339+H339,0)</f>
        <v/>
      </c>
      <c r="N339" s="7">
        <f>IF((+G339-K339)=0,0,+G339-K339)</f>
        <v/>
      </c>
      <c r="O339" s="7">
        <f>IF(N339=0,0,(L339+H339)/-N339)</f>
        <v/>
      </c>
      <c r="P339" s="7">
        <f>VLOOKUP(OPERAC[[#This Row],[especie]],[1]!ESPECIES[#All],6,0)</f>
        <v/>
      </c>
      <c r="Q339" s="7">
        <f>IF(N339&lt;&gt;0,P339*N339,0)</f>
        <v/>
      </c>
      <c r="R339" s="8">
        <f>IF(Q339&lt;&gt;0,Q339+H339+L339,0)</f>
        <v/>
      </c>
      <c r="S339" s="9">
        <f>VLOOKUP(OPERAC[[#This Row],[especie]],[1]!ESPECIES[#Data],9,FALSE)</f>
        <v/>
      </c>
    </row>
    <row r="340">
      <c r="A340" s="4" t="n">
        <v>12672</v>
      </c>
      <c r="B340" s="5" t="n">
        <v>44560</v>
      </c>
      <c r="C340" s="13" t="inlineStr">
        <is>
          <t>VTA</t>
        </is>
      </c>
      <c r="D340" s="13" t="n">
        <v>39</v>
      </c>
      <c r="E340" s="10">
        <f>IF(D340&gt;0,VLOOKUP(OPERAC[[#This Row],[COD CART]],[1]!MatrizCortoLargoCyl[#All],3,0),"")</f>
        <v/>
      </c>
      <c r="F340" s="13" t="inlineStr">
        <is>
          <t>ACB/V/6,00/07-01-22</t>
        </is>
      </c>
      <c r="G340" s="6" t="n">
        <v>-2800</v>
      </c>
      <c r="H340" s="6" t="n">
        <v>1341.802</v>
      </c>
      <c r="I340" s="7">
        <f>-H340/G340</f>
        <v/>
      </c>
      <c r="J340" s="11" t="n">
        <v>44567</v>
      </c>
      <c r="K340" s="6" t="n">
        <v>-2800</v>
      </c>
      <c r="L340" s="6" t="n">
        <v>-1341.8</v>
      </c>
      <c r="M340" s="7">
        <f>IF(N340=0,+L340+H340,0)</f>
        <v/>
      </c>
      <c r="N340" s="7">
        <f>IF((+G340-K340)=0,0,+G340-K340)</f>
        <v/>
      </c>
      <c r="O340" s="7">
        <f>IF(N340=0,0,(L340+H340)/-N340)</f>
        <v/>
      </c>
      <c r="P340" s="7">
        <f>VLOOKUP(OPERAC[[#This Row],[especie]],[1]!ESPECIES[#All],6,0)</f>
        <v/>
      </c>
      <c r="Q340" s="7">
        <f>IF(N340&lt;&gt;0,P340*N340,0)</f>
        <v/>
      </c>
      <c r="R340" s="8">
        <f>IF(Q340&lt;&gt;0,Q340+H340+L340,0)</f>
        <v/>
      </c>
      <c r="S340" s="9">
        <f>VLOOKUP(OPERAC[[#This Row],[especie]],[1]!ESPECIES[#Data],9,FALSE)</f>
        <v/>
      </c>
    </row>
    <row r="341">
      <c r="A341" s="4" t="n">
        <v>19867</v>
      </c>
      <c r="B341" s="5" t="n">
        <v>44581</v>
      </c>
      <c r="C341" s="13" t="inlineStr">
        <is>
          <t>VTA</t>
        </is>
      </c>
      <c r="D341" s="13" t="n">
        <v>39</v>
      </c>
      <c r="E341" s="10">
        <f>IF(D341&gt;0,VLOOKUP(OPERAC[[#This Row],[COD CART]],[1]!MatrizCortoLargoCyl[#All],3,0),"")</f>
        <v/>
      </c>
      <c r="F341" s="13" t="inlineStr">
        <is>
          <t>ACB/V/6,00/18-02-22</t>
        </is>
      </c>
      <c r="G341" s="6" t="n">
        <v>-1100</v>
      </c>
      <c r="H341" s="6" t="n">
        <v>1330.4665</v>
      </c>
      <c r="I341" s="7">
        <f>-H341/G341</f>
        <v/>
      </c>
      <c r="J341" s="11" t="n">
        <v>44601</v>
      </c>
      <c r="K341" s="6" t="n">
        <v>-1100</v>
      </c>
      <c r="L341" s="6">
        <f>1.21*OPERAC[[#This Row],[cantidad venta]]</f>
        <v/>
      </c>
      <c r="M341" s="7">
        <f>IF(N341=0,+L341+H341,0)</f>
        <v/>
      </c>
      <c r="N341" s="7">
        <f>IF((+G341-K341)=0,0,+G341-K341)</f>
        <v/>
      </c>
      <c r="O341" s="7">
        <f>IF(N341=0,0,(L341+H341)/-N341)</f>
        <v/>
      </c>
      <c r="P341" s="7">
        <f>VLOOKUP(OPERAC[[#This Row],[especie]],[1]!ESPECIES[#All],6,0)</f>
        <v/>
      </c>
      <c r="Q341" s="7">
        <f>IF(N341&lt;&gt;0,P341*N341,0)</f>
        <v/>
      </c>
      <c r="R341" s="8">
        <f>IF(Q341&lt;&gt;0,Q341+H341+L341,0)</f>
        <v/>
      </c>
      <c r="S341" s="9">
        <f>VLOOKUP(OPERAC[[#This Row],[especie]],[1]!ESPECIES[#Data],9,FALSE)</f>
        <v/>
      </c>
    </row>
    <row r="342">
      <c r="A342" s="4" t="n">
        <v>19932</v>
      </c>
      <c r="B342" s="5" t="n">
        <v>44581</v>
      </c>
      <c r="C342" s="13" t="inlineStr">
        <is>
          <t>VTA</t>
        </is>
      </c>
      <c r="D342" s="13" t="n">
        <v>39</v>
      </c>
      <c r="E342" s="10">
        <f>IF(D342&gt;0,VLOOKUP(OPERAC[[#This Row],[COD CART]],[1]!MatrizCortoLargoCyl[#All],3,0),"")</f>
        <v/>
      </c>
      <c r="F342" s="13" t="inlineStr">
        <is>
          <t>ACB/V/6,00/18-02-22</t>
        </is>
      </c>
      <c r="G342" s="6" t="n">
        <v>-1100</v>
      </c>
      <c r="H342" s="6" t="n">
        <v>1330.4665</v>
      </c>
      <c r="I342" s="7">
        <f>-H342/G342</f>
        <v/>
      </c>
      <c r="J342" s="11" t="n">
        <v>44601</v>
      </c>
      <c r="K342" s="6" t="n">
        <v>-1100</v>
      </c>
      <c r="L342" s="6">
        <f>1.21*OPERAC[[#This Row],[cantidad venta]]</f>
        <v/>
      </c>
      <c r="M342" s="7">
        <f>IF(N342=0,+L342+H342,0)</f>
        <v/>
      </c>
      <c r="N342" s="7">
        <f>IF((+G342-K342)=0,0,+G342-K342)</f>
        <v/>
      </c>
      <c r="O342" s="7">
        <f>IF(N342=0,0,(L342+H342)/-N342)</f>
        <v/>
      </c>
      <c r="P342" s="7">
        <f>VLOOKUP(OPERAC[[#This Row],[especie]],[1]!ESPECIES[#All],6,0)</f>
        <v/>
      </c>
      <c r="Q342" s="7">
        <f>IF(N342&lt;&gt;0,P342*N342,0)</f>
        <v/>
      </c>
      <c r="R342" s="8">
        <f>IF(Q342&lt;&gt;0,Q342+H342+L342,0)</f>
        <v/>
      </c>
      <c r="S342" s="9">
        <f>VLOOKUP(OPERAC[[#This Row],[especie]],[1]!ESPECIES[#Data],9,FALSE)</f>
        <v/>
      </c>
    </row>
    <row r="343">
      <c r="A343" s="4" t="n">
        <v>19931</v>
      </c>
      <c r="B343" s="5" t="n">
        <v>44714</v>
      </c>
      <c r="C343" s="13" t="inlineStr">
        <is>
          <t>VTA</t>
        </is>
      </c>
      <c r="D343" s="13" t="n">
        <v>39</v>
      </c>
      <c r="E343" s="10">
        <f>IF(D343&gt;0,VLOOKUP(OPERAC[[#This Row],[COD CART]],[1]!MatrizCortoLargoCyl[#All],3,0),"")</f>
        <v/>
      </c>
      <c r="F343" s="14" t="inlineStr">
        <is>
          <t>TSLA/C/850,00/03-06-22</t>
        </is>
      </c>
      <c r="G343" s="6" t="n">
        <v>-1000</v>
      </c>
      <c r="H343" s="6" t="n">
        <v>1318.695</v>
      </c>
      <c r="I343" s="7">
        <f>-H343/G343</f>
        <v/>
      </c>
      <c r="J343" s="5" t="n">
        <v>44715</v>
      </c>
      <c r="K343" s="6">
        <f>+OPERAC[[#This Row],[cantidad]]</f>
        <v/>
      </c>
      <c r="L343" s="6" t="n">
        <v>0</v>
      </c>
      <c r="M343" s="7">
        <f>IF(N343=0,+L343+H343,0)</f>
        <v/>
      </c>
      <c r="N343" s="7">
        <f>IF((+G343-K343)=0,0,+G343-K343)</f>
        <v/>
      </c>
      <c r="O343" s="7">
        <f>IF(N343=0,0,(L343+H343)/-N343)</f>
        <v/>
      </c>
      <c r="P343" s="7">
        <f>VLOOKUP(OPERAC[[#This Row],[especie]],[1]!ESPECIES[#All],6,0)</f>
        <v/>
      </c>
      <c r="Q343" s="7">
        <f>IF(N343&lt;&gt;0,P343*N343,0)</f>
        <v/>
      </c>
      <c r="R343" s="8">
        <f>IF(Q343&lt;&gt;0,Q343+H343+L343,0)</f>
        <v/>
      </c>
      <c r="S343" s="9">
        <f>VLOOKUP(OPERAC[[#This Row],[especie]],[1]!ESPECIES[#Data],9,FALSE)</f>
        <v/>
      </c>
    </row>
    <row r="344">
      <c r="A344" s="4" t="n">
        <v>12674</v>
      </c>
      <c r="B344" s="5" t="n">
        <v>44581</v>
      </c>
      <c r="C344" s="13" t="inlineStr">
        <is>
          <t>VTA</t>
        </is>
      </c>
      <c r="D344" s="13" t="n">
        <v>39</v>
      </c>
      <c r="E344" s="10">
        <f>IF(D344&gt;0,VLOOKUP(OPERAC[[#This Row],[COD CART]],[1]!MatrizCortoLargoCyl[#All],3,0),"")</f>
        <v/>
      </c>
      <c r="F344" s="13" t="inlineStr">
        <is>
          <t>ACB/V/5,50/25-02-22</t>
        </is>
      </c>
      <c r="G344" s="6" t="n">
        <v>-1600</v>
      </c>
      <c r="H344" s="6" t="n">
        <v>1312.9928</v>
      </c>
      <c r="I344" s="7">
        <f>-H344/G344</f>
        <v/>
      </c>
      <c r="J344" s="11" t="n">
        <v>44614</v>
      </c>
      <c r="K344" s="6" t="n">
        <v>-1600</v>
      </c>
      <c r="L344" s="6" t="n">
        <v>-1313</v>
      </c>
      <c r="M344" s="7">
        <f>IF(N344=0,+L344+H344,0)</f>
        <v/>
      </c>
      <c r="N344" s="7">
        <f>IF((+G344-K344)=0,0,+G344-K344)</f>
        <v/>
      </c>
      <c r="O344" s="7">
        <f>IF(N344=0,0,(L344+H344)/-N344)</f>
        <v/>
      </c>
      <c r="P344" s="7">
        <f>VLOOKUP(OPERAC[[#This Row],[especie]],[1]!ESPECIES[#All],6,0)</f>
        <v/>
      </c>
      <c r="Q344" s="7">
        <f>IF(N344&lt;&gt;0,P344*N344,0)</f>
        <v/>
      </c>
      <c r="R344" s="8">
        <f>IF(Q344&lt;&gt;0,Q344+H344+L344,0)</f>
        <v/>
      </c>
      <c r="S344" s="9">
        <f>VLOOKUP(OPERAC[[#This Row],[especie]],[1]!ESPECIES[#Data],9,FALSE)</f>
        <v/>
      </c>
    </row>
    <row r="345">
      <c r="A345" s="4" t="n">
        <v>13185</v>
      </c>
      <c r="B345" s="5" t="n">
        <v>44581</v>
      </c>
      <c r="C345" s="13" t="inlineStr">
        <is>
          <t>VTA</t>
        </is>
      </c>
      <c r="D345" s="13" t="n">
        <v>39</v>
      </c>
      <c r="E345" s="10">
        <f>IF(D345&gt;0,VLOOKUP(OPERAC[[#This Row],[COD CART]],[1]!MatrizCortoLargoCyl[#All],3,0),"")</f>
        <v/>
      </c>
      <c r="F345" s="13" t="inlineStr">
        <is>
          <t>ACB/V/5,50/25-02-22</t>
        </is>
      </c>
      <c r="G345" s="6" t="n">
        <v>-1600</v>
      </c>
      <c r="H345" s="6" t="n">
        <v>1312.9928</v>
      </c>
      <c r="I345" s="7">
        <f>-H345/G345</f>
        <v/>
      </c>
      <c r="J345" s="11" t="n">
        <v>44614</v>
      </c>
      <c r="K345" s="6" t="n">
        <v>-1600</v>
      </c>
      <c r="L345" s="6" t="n">
        <v>-1313</v>
      </c>
      <c r="M345" s="7">
        <f>IF(N345=0,+L345+H345,0)</f>
        <v/>
      </c>
      <c r="N345" s="7">
        <f>IF((+G345-K345)=0,0,+G345-K345)</f>
        <v/>
      </c>
      <c r="O345" s="7">
        <f>IF(N345=0,0,(L345+H345)/-N345)</f>
        <v/>
      </c>
      <c r="P345" s="7">
        <f>VLOOKUP(OPERAC[[#This Row],[especie]],[1]!ESPECIES[#All],6,0)</f>
        <v/>
      </c>
      <c r="Q345" s="7">
        <f>IF(N345&lt;&gt;0,P345*N345,0)</f>
        <v/>
      </c>
      <c r="R345" s="8">
        <f>IF(Q345&lt;&gt;0,Q345+H345+L345,0)</f>
        <v/>
      </c>
      <c r="S345" s="9">
        <f>VLOOKUP(OPERAC[[#This Row],[especie]],[1]!ESPECIES[#Data],9,FALSE)</f>
        <v/>
      </c>
    </row>
    <row r="346">
      <c r="A346" s="4" t="n">
        <v>18690</v>
      </c>
      <c r="B346" s="5" t="n">
        <v>44581</v>
      </c>
      <c r="C346" s="13" t="inlineStr">
        <is>
          <t>VTA</t>
        </is>
      </c>
      <c r="D346" s="13" t="n">
        <v>39</v>
      </c>
      <c r="E346" s="10">
        <f>IF(D346&gt;0,VLOOKUP(OPERAC[[#This Row],[COD CART]],[1]!MatrizCortoLargoCyl[#All],3,0),"")</f>
        <v/>
      </c>
      <c r="F346" s="13" t="inlineStr">
        <is>
          <t>ACB/V/5,50/25-02-22</t>
        </is>
      </c>
      <c r="G346" s="6" t="n">
        <v>-1600</v>
      </c>
      <c r="H346" s="6" t="n">
        <v>1312.9928</v>
      </c>
      <c r="I346" s="7">
        <f>-H346/G346</f>
        <v/>
      </c>
      <c r="J346" s="11" t="n">
        <v>44614</v>
      </c>
      <c r="K346" s="6" t="n">
        <v>-1600</v>
      </c>
      <c r="L346" s="6" t="n">
        <v>-1312</v>
      </c>
      <c r="M346" s="7">
        <f>IF(N346=0,+L346+H346,0)</f>
        <v/>
      </c>
      <c r="N346" s="7">
        <f>IF((+G346-K346)=0,0,+G346-K346)</f>
        <v/>
      </c>
      <c r="O346" s="7">
        <f>IF(N346=0,0,(L346+H346)/-N346)</f>
        <v/>
      </c>
      <c r="P346" s="7">
        <f>VLOOKUP(OPERAC[[#This Row],[especie]],[1]!ESPECIES[#All],6,0)</f>
        <v/>
      </c>
      <c r="Q346" s="7">
        <f>IF(N346&lt;&gt;0,P346*N346,0)</f>
        <v/>
      </c>
      <c r="R346" s="8">
        <f>IF(Q346&lt;&gt;0,Q346+H346+L346,0)</f>
        <v/>
      </c>
      <c r="S346" s="9">
        <f>VLOOKUP(OPERAC[[#This Row],[especie]],[1]!ESPECIES[#Data],9,FALSE)</f>
        <v/>
      </c>
    </row>
    <row r="347">
      <c r="A347" s="4" t="n">
        <v>18703</v>
      </c>
      <c r="B347" s="5" t="n">
        <v>44596</v>
      </c>
      <c r="C347" s="13" t="inlineStr">
        <is>
          <t>VTA</t>
        </is>
      </c>
      <c r="D347" s="13" t="n">
        <v>39</v>
      </c>
      <c r="E347" s="10">
        <f>IF(D347&gt;0,VLOOKUP(OPERAC[[#This Row],[COD CART]],[1]!MatrizCortoLargoCyl[#All],3,0),"")</f>
        <v/>
      </c>
      <c r="F347" s="13" t="inlineStr">
        <is>
          <t>ROKU/V/145,00/11-02-22</t>
        </is>
      </c>
      <c r="G347" s="6" t="n">
        <v>-400</v>
      </c>
      <c r="H347" s="6" t="n">
        <v>1307.82</v>
      </c>
      <c r="I347" s="7">
        <f>-H347/G347</f>
        <v/>
      </c>
      <c r="J347" s="11" t="n">
        <v>44603</v>
      </c>
      <c r="K347" s="6" t="n">
        <v>-400</v>
      </c>
      <c r="L347" s="6" t="n">
        <v>0</v>
      </c>
      <c r="M347" s="7">
        <f>IF(N347=0,+L347+H347,0)</f>
        <v/>
      </c>
      <c r="N347" s="7">
        <f>IF((+G347-K347)=0,0,+G347-K347)</f>
        <v/>
      </c>
      <c r="O347" s="7">
        <f>IF(N347=0,0,(L347+H347)/-N347)</f>
        <v/>
      </c>
      <c r="P347" s="7">
        <f>VLOOKUP(OPERAC[[#This Row],[especie]],[1]!ESPECIES[#All],6,0)</f>
        <v/>
      </c>
      <c r="Q347" s="7">
        <f>IF(N347&lt;&gt;0,P347*N347,0)</f>
        <v/>
      </c>
      <c r="R347" s="8">
        <f>IF(Q347&lt;&gt;0,Q347+H347+L347,0)</f>
        <v/>
      </c>
      <c r="S347" s="9">
        <f>VLOOKUP(OPERAC[[#This Row],[especie]],[1]!ESPECIES[#Data],9,FALSE)</f>
        <v/>
      </c>
    </row>
    <row r="348">
      <c r="A348" s="4" t="n">
        <v>3728</v>
      </c>
      <c r="B348" s="5" t="n">
        <v>44664</v>
      </c>
      <c r="C348" s="13" t="inlineStr">
        <is>
          <t>VTA</t>
        </is>
      </c>
      <c r="D348" s="13" t="n">
        <v>39</v>
      </c>
      <c r="E348" s="10">
        <f>IF(D348&gt;0,VLOOKUP(OPERAC[[#This Row],[COD CART]],[1]!MatrizCortoLargoCyl[#All],3,0),"")</f>
        <v/>
      </c>
      <c r="F348" s="13" t="inlineStr">
        <is>
          <t>UPST/V/83,00/14-04-22</t>
        </is>
      </c>
      <c r="G348" s="6" t="n">
        <v>-1000</v>
      </c>
      <c r="H348" s="6" t="n">
        <v>1298.7</v>
      </c>
      <c r="I348" s="7">
        <f>-H348/G348</f>
        <v/>
      </c>
      <c r="J348" s="11" t="n">
        <v>44665</v>
      </c>
      <c r="K348" s="6" t="n">
        <v>-1000</v>
      </c>
      <c r="L348" s="6" t="n">
        <v>-290.29</v>
      </c>
      <c r="M348" s="7">
        <f>IF(N348=0,+L348+H348,0)</f>
        <v/>
      </c>
      <c r="N348" s="7">
        <f>IF((+G348-K348)=0,0,+G348-K348)</f>
        <v/>
      </c>
      <c r="O348" s="7">
        <f>IF(N348=0,0,(L348+H348)/-N348)</f>
        <v/>
      </c>
      <c r="P348" s="7">
        <f>VLOOKUP(OPERAC[[#This Row],[especie]],[1]!ESPECIES[#All],6,0)</f>
        <v/>
      </c>
      <c r="Q348" s="7">
        <f>IF(N348&lt;&gt;0,P348*N348,0)</f>
        <v/>
      </c>
      <c r="R348" s="8">
        <f>IF(Q348&lt;&gt;0,Q348+H348+L348,0)</f>
        <v/>
      </c>
      <c r="S348" s="9">
        <f>VLOOKUP(OPERAC[[#This Row],[especie]],[1]!ESPECIES[#Data],9,FALSE)</f>
        <v/>
      </c>
    </row>
    <row r="349">
      <c r="A349" s="4" t="n">
        <v>18677</v>
      </c>
      <c r="B349" s="5" t="n">
        <v>44690</v>
      </c>
      <c r="C349" s="13" t="inlineStr">
        <is>
          <t>VTA</t>
        </is>
      </c>
      <c r="D349" s="13" t="n">
        <v>39</v>
      </c>
      <c r="E349" s="10">
        <f>IF(D349&gt;0,VLOOKUP(OPERAC[[#This Row],[COD CART]],[1]!MatrizCortoLargoCyl[#All],3,0),"")</f>
        <v/>
      </c>
      <c r="F349" s="13" t="inlineStr">
        <is>
          <t>TSLA/V/700,00/20-05-22</t>
        </is>
      </c>
      <c r="G349" s="6" t="n">
        <v>-100</v>
      </c>
      <c r="H349" s="6" t="n">
        <v>1293.9075</v>
      </c>
      <c r="I349" s="7">
        <f>-H349/G349</f>
        <v/>
      </c>
      <c r="J349" s="11" t="n">
        <v>44698</v>
      </c>
      <c r="K349" s="6" t="n">
        <v>-100</v>
      </c>
      <c r="L349" s="6" t="n">
        <v>-1100.879</v>
      </c>
      <c r="M349" s="7">
        <f>IF(N349=0,+L349+H349,0)</f>
        <v/>
      </c>
      <c r="N349" s="7">
        <f>IF((+G349-K349)=0,0,+G349-K349)</f>
        <v/>
      </c>
      <c r="O349" s="7">
        <f>IF(N349=0,0,(L349+H349)/-N349)</f>
        <v/>
      </c>
      <c r="P349" s="7">
        <f>VLOOKUP(OPERAC[[#This Row],[especie]],[1]!ESPECIES[#All],6,0)</f>
        <v/>
      </c>
      <c r="Q349" s="7">
        <f>IF(N349&lt;&gt;0,P349*N349,0)</f>
        <v/>
      </c>
      <c r="R349" s="8">
        <f>IF(Q349&lt;&gt;0,Q349+H349+L349,0)</f>
        <v/>
      </c>
      <c r="S349" s="9">
        <f>VLOOKUP(OPERAC[[#This Row],[especie]],[1]!ESPECIES[#Data],9,FALSE)</f>
        <v/>
      </c>
    </row>
    <row r="350">
      <c r="A350" s="4" t="n">
        <v>19878</v>
      </c>
      <c r="B350" s="5" t="n">
        <v>44607</v>
      </c>
      <c r="C350" s="13" t="inlineStr">
        <is>
          <t>VTA</t>
        </is>
      </c>
      <c r="D350" s="13" t="n">
        <v>39</v>
      </c>
      <c r="E350" s="10">
        <f>IF(D350&gt;0,VLOOKUP(OPERAC[[#This Row],[COD CART]],[1]!MatrizCortoLargoCyl[#All],3,0),"")</f>
        <v/>
      </c>
      <c r="F350" s="13" t="inlineStr">
        <is>
          <t>ROKU/V/120,00/18-02-22</t>
        </is>
      </c>
      <c r="G350" s="6" t="n">
        <v>-1200</v>
      </c>
      <c r="H350" s="6" t="n">
        <v>1292.712</v>
      </c>
      <c r="I350" s="7">
        <f>-H350/G350</f>
        <v/>
      </c>
      <c r="J350" s="11" t="n">
        <v>44609</v>
      </c>
      <c r="K350" s="6" t="n">
        <v>-1200</v>
      </c>
      <c r="L350" s="6" t="n">
        <v>-4845.12</v>
      </c>
      <c r="M350" s="7">
        <f>IF(N350=0,+L350+H350,0)</f>
        <v/>
      </c>
      <c r="N350" s="7">
        <f>IF((+G350-K350)=0,0,+G350-K350)</f>
        <v/>
      </c>
      <c r="O350" s="7">
        <f>IF(N350=0,0,(L350+H350)/-N350)</f>
        <v/>
      </c>
      <c r="P350" s="7">
        <f>VLOOKUP(OPERAC[[#This Row],[especie]],[1]!ESPECIES[#All],6,0)</f>
        <v/>
      </c>
      <c r="Q350" s="7">
        <f>IF(N350&lt;&gt;0,P350*N350,0)</f>
        <v/>
      </c>
      <c r="R350" s="8">
        <f>IF(Q350&lt;&gt;0,Q350+H350+L350,0)</f>
        <v/>
      </c>
      <c r="S350" s="9">
        <f>VLOOKUP(OPERAC[[#This Row],[especie]],[1]!ESPECIES[#Data],9,FALSE)</f>
        <v/>
      </c>
    </row>
    <row r="351">
      <c r="A351" s="4" t="n">
        <v>13188</v>
      </c>
      <c r="B351" s="5" t="n">
        <v>44677</v>
      </c>
      <c r="C351" s="13" t="inlineStr">
        <is>
          <t>VTA</t>
        </is>
      </c>
      <c r="D351" s="13" t="n">
        <v>39</v>
      </c>
      <c r="E351" s="10">
        <f>IF(D351&gt;0,VLOOKUP(OPERAC[[#This Row],[COD CART]],[1]!MatrizCortoLargoCyl[#All],3,0),"")</f>
        <v/>
      </c>
      <c r="F351" s="13" t="inlineStr">
        <is>
          <t>TSLA/V/750,00/29-04-22</t>
        </is>
      </c>
      <c r="G351" s="6" t="n">
        <v>-500</v>
      </c>
      <c r="H351" s="6" t="n">
        <v>1288.95</v>
      </c>
      <c r="I351" s="7">
        <f>-H351/G351</f>
        <v/>
      </c>
      <c r="J351" s="11" t="n">
        <v>44680</v>
      </c>
      <c r="K351" s="6" t="n">
        <v>-500</v>
      </c>
      <c r="L351" s="6" t="n">
        <v>-20.17</v>
      </c>
      <c r="M351" s="7">
        <f>IF(N351=0,+L351+H351,0)</f>
        <v/>
      </c>
      <c r="N351" s="7">
        <f>IF((+G351-K351)=0,0,+G351-K351)</f>
        <v/>
      </c>
      <c r="O351" s="7">
        <f>IF(N351=0,0,(L351+H351)/-N351)</f>
        <v/>
      </c>
      <c r="P351" s="7">
        <f>VLOOKUP(OPERAC[[#This Row],[especie]],[1]!ESPECIES[#All],6,0)</f>
        <v/>
      </c>
      <c r="Q351" s="7">
        <f>IF(N351&lt;&gt;0,P351*N351,0)</f>
        <v/>
      </c>
      <c r="R351" s="8">
        <f>IF(Q351&lt;&gt;0,Q351+H351+L351,0)</f>
        <v/>
      </c>
      <c r="S351" s="9">
        <f>VLOOKUP(OPERAC[[#This Row],[especie]],[1]!ESPECIES[#Data],9,FALSE)</f>
        <v/>
      </c>
    </row>
    <row r="352">
      <c r="A352" s="4" t="n">
        <v>26140</v>
      </c>
      <c r="B352" s="5" t="n">
        <v>44547</v>
      </c>
      <c r="C352" s="13" t="inlineStr">
        <is>
          <t>VTA</t>
        </is>
      </c>
      <c r="D352" s="13" t="n">
        <v>39</v>
      </c>
      <c r="E352" s="10">
        <f>IF(D352&gt;0,VLOOKUP(OPERAC[[#This Row],[COD CART]],[1]!MatrizCortoLargoCyl[#All],3,0),"")</f>
        <v/>
      </c>
      <c r="F352" s="13" t="inlineStr">
        <is>
          <t>INO/V/7,00/21-01-22</t>
        </is>
      </c>
      <c r="G352" s="6" t="n">
        <v>-1400</v>
      </c>
      <c r="H352" s="6" t="n">
        <v>1274.616</v>
      </c>
      <c r="I352" s="7">
        <f>-H352/G352</f>
        <v/>
      </c>
      <c r="J352" s="11" t="n">
        <v>44580</v>
      </c>
      <c r="K352" s="6">
        <f>+OPERAC[[#This Row],[cantidad]]</f>
        <v/>
      </c>
      <c r="L352" s="6">
        <f>-OPERAC[[#This Row],[importe]]</f>
        <v/>
      </c>
      <c r="M352" s="7">
        <f>IF(N352=0,+L352+H352,0)</f>
        <v/>
      </c>
      <c r="N352" s="7">
        <f>IF((+G352-K352)=0,0,+G352-K352)</f>
        <v/>
      </c>
      <c r="O352" s="7">
        <f>IF(N352=0,0,(L352+H352)/-N352)</f>
        <v/>
      </c>
      <c r="P352" s="7">
        <f>VLOOKUP(OPERAC[[#This Row],[especie]],[1]!ESPECIES[#All],6,0)</f>
        <v/>
      </c>
      <c r="Q352" s="7">
        <f>IF(N352&lt;&gt;0,P352*N352,0)</f>
        <v/>
      </c>
      <c r="R352" s="8">
        <f>IF(Q352&lt;&gt;0,Q352+H352+L352,0)</f>
        <v/>
      </c>
      <c r="S352" s="9">
        <f>VLOOKUP(OPERAC[[#This Row],[especie]],[1]!ESPECIES[#Data],9,FALSE)</f>
        <v/>
      </c>
    </row>
    <row r="353">
      <c r="A353" s="4" t="n">
        <v>18713</v>
      </c>
      <c r="B353" s="5" t="n">
        <v>44720</v>
      </c>
      <c r="C353" s="13" t="inlineStr">
        <is>
          <t>VTA</t>
        </is>
      </c>
      <c r="D353" s="13" t="n">
        <v>39</v>
      </c>
      <c r="E353" s="10">
        <f>IF(D353&gt;0,VLOOKUP(OPERAC[[#This Row],[COD CART]],[1]!MatrizCortoLargoCyl[#All],3,0),"")</f>
        <v/>
      </c>
      <c r="F353" s="13" t="inlineStr">
        <is>
          <t>TSLA/P/640,00/10-06-22</t>
        </is>
      </c>
      <c r="G353" s="6" t="n">
        <v>-1100</v>
      </c>
      <c r="H353" s="6" t="n">
        <v>1254.248</v>
      </c>
      <c r="I353" s="7">
        <f>-H353/G353</f>
        <v/>
      </c>
      <c r="J353" s="5" t="n">
        <v>44721</v>
      </c>
      <c r="K353" s="6" t="n">
        <v>-1100</v>
      </c>
      <c r="L353" s="6" t="n">
        <v>-388.273</v>
      </c>
      <c r="M353" s="7">
        <f>IF(N353=0,+L353+H353,0)</f>
        <v/>
      </c>
      <c r="N353" s="7">
        <f>IF((+G353-K353)=0,0,+G353-K353)</f>
        <v/>
      </c>
      <c r="O353" s="7">
        <f>IF(N353=0,0,(L353+H353)/-N353)</f>
        <v/>
      </c>
      <c r="P353" s="7">
        <f>VLOOKUP(OPERAC[[#This Row],[especie]],[1]!ESPECIES[#All],6,0)</f>
        <v/>
      </c>
      <c r="Q353" s="7">
        <f>IF(N353&lt;&gt;0,P353*N353,0)</f>
        <v/>
      </c>
      <c r="R353" s="8">
        <f>IF(Q353&lt;&gt;0,Q353+H353+L353,0)</f>
        <v/>
      </c>
      <c r="S353" s="9">
        <f>VLOOKUP(OPERAC[[#This Row],[especie]],[1]!ESPECIES[#Data],9,FALSE)</f>
        <v/>
      </c>
    </row>
    <row r="354">
      <c r="A354" s="4" t="n">
        <v>2194</v>
      </c>
      <c r="B354" s="5" t="n">
        <v>44669</v>
      </c>
      <c r="C354" s="13" t="inlineStr">
        <is>
          <t>VTA</t>
        </is>
      </c>
      <c r="D354" s="13" t="n">
        <v>39</v>
      </c>
      <c r="E354" s="10">
        <f>IF(D354&gt;0,VLOOKUP(OPERAC[[#This Row],[COD CART]],[1]!MatrizCortoLargoCyl[#All],3,0),"")</f>
        <v/>
      </c>
      <c r="F354" s="13" t="inlineStr">
        <is>
          <t>UPST/V/80,00/22-04-22</t>
        </is>
      </c>
      <c r="G354" s="6" t="n">
        <v>-300</v>
      </c>
      <c r="H354" s="6" t="n">
        <v>1249.29</v>
      </c>
      <c r="I354" s="7">
        <f>-H354/G354</f>
        <v/>
      </c>
      <c r="J354" s="11" t="n">
        <v>44673</v>
      </c>
      <c r="K354" s="6" t="n">
        <v>-300</v>
      </c>
      <c r="L354" s="6" t="n">
        <v>-1179.945</v>
      </c>
      <c r="M354" s="7">
        <f>IF(N354=0,+L354+H354,0)</f>
        <v/>
      </c>
      <c r="N354" s="7">
        <f>IF((+G354-K354)=0,0,+G354-K354)</f>
        <v/>
      </c>
      <c r="O354" s="7">
        <f>IF(N354=0,0,(L354+H354)/-N354)</f>
        <v/>
      </c>
      <c r="P354" s="7">
        <f>VLOOKUP(OPERAC[[#This Row],[especie]],[1]!ESPECIES[#All],6,0)</f>
        <v/>
      </c>
      <c r="Q354" s="7">
        <f>IF(N354&lt;&gt;0,P354*N354,0)</f>
        <v/>
      </c>
      <c r="R354" s="8">
        <f>IF(Q354&lt;&gt;0,Q354+H354+L354,0)</f>
        <v/>
      </c>
      <c r="S354" s="9">
        <f>VLOOKUP(OPERAC[[#This Row],[especie]],[1]!ESPECIES[#Data],9,FALSE)</f>
        <v/>
      </c>
    </row>
    <row r="355">
      <c r="A355" s="4" t="n">
        <v>18713</v>
      </c>
      <c r="B355" s="5" t="n">
        <v>44698</v>
      </c>
      <c r="C355" s="13" t="inlineStr">
        <is>
          <t>VTA</t>
        </is>
      </c>
      <c r="D355" s="13" t="n">
        <v>39</v>
      </c>
      <c r="E355" s="10">
        <f>IF(D355&gt;0,VLOOKUP(OPERAC[[#This Row],[COD CART]],[1]!MatrizCortoLargoCyl[#All],3,0),"")</f>
        <v/>
      </c>
      <c r="F355" s="13" t="inlineStr">
        <is>
          <t>TSLA/V/650,00/20-05-22</t>
        </is>
      </c>
      <c r="G355" s="6" t="n">
        <v>-600</v>
      </c>
      <c r="H355" s="6" t="n">
        <v>1249.29</v>
      </c>
      <c r="I355" s="7">
        <f>-H355/G355</f>
        <v/>
      </c>
      <c r="J355" s="11" t="n">
        <v>44701</v>
      </c>
      <c r="K355" s="6" t="n">
        <v>-600</v>
      </c>
      <c r="L355" s="6" t="n">
        <v>-3025.5</v>
      </c>
      <c r="M355" s="7">
        <f>IF(N355=0,+L355+H355,0)</f>
        <v/>
      </c>
      <c r="N355" s="7">
        <f>IF((+G355-K355)=0,0,+G355-K355)</f>
        <v/>
      </c>
      <c r="O355" s="7">
        <f>IF(N355=0,0,(L355+H355)/-N355)</f>
        <v/>
      </c>
      <c r="P355" s="7">
        <f>VLOOKUP(OPERAC[[#This Row],[especie]],[1]!ESPECIES[#All],6,0)</f>
        <v/>
      </c>
      <c r="Q355" s="7">
        <f>IF(N355&lt;&gt;0,P355*N355,0)</f>
        <v/>
      </c>
      <c r="R355" s="8">
        <f>IF(Q355&lt;&gt;0,Q355+H355+L355,0)</f>
        <v/>
      </c>
      <c r="S355" s="9">
        <f>VLOOKUP(OPERAC[[#This Row],[especie]],[1]!ESPECIES[#Data],9,FALSE)</f>
        <v/>
      </c>
    </row>
    <row r="356">
      <c r="A356" s="4" t="n">
        <v>6628</v>
      </c>
      <c r="B356" s="5" t="n">
        <v>44698</v>
      </c>
      <c r="C356" s="13" t="inlineStr">
        <is>
          <t>VTA</t>
        </is>
      </c>
      <c r="D356" s="13" t="n">
        <v>39</v>
      </c>
      <c r="E356" s="10">
        <f>IF(D356&gt;0,VLOOKUP(OPERAC[[#This Row],[COD CART]],[1]!MatrizCortoLargoCyl[#All],3,0),"")</f>
        <v/>
      </c>
      <c r="F356" s="13" t="inlineStr">
        <is>
          <t>TSLA/V/650,00/20-05-22</t>
        </is>
      </c>
      <c r="G356" s="6" t="n">
        <v>-600</v>
      </c>
      <c r="H356" s="6" t="n">
        <v>1249.29</v>
      </c>
      <c r="I356" s="7">
        <f>-H356/G356</f>
        <v/>
      </c>
      <c r="J356" s="11" t="n">
        <v>44701</v>
      </c>
      <c r="K356" s="6" t="n">
        <v>-600</v>
      </c>
      <c r="L356" s="6" t="n">
        <v>-3025.5</v>
      </c>
      <c r="M356" s="7">
        <f>IF(N356=0,+L356+H356,0)</f>
        <v/>
      </c>
      <c r="N356" s="7">
        <f>IF((+G356-K356)=0,0,+G356-K356)</f>
        <v/>
      </c>
      <c r="O356" s="7">
        <f>IF(N356=0,0,(L356+H356)/-N356)</f>
        <v/>
      </c>
      <c r="P356" s="7">
        <f>VLOOKUP(OPERAC[[#This Row],[especie]],[1]!ESPECIES[#All],6,0)</f>
        <v/>
      </c>
      <c r="Q356" s="7">
        <f>IF(N356&lt;&gt;0,P356*N356,0)</f>
        <v/>
      </c>
      <c r="R356" s="8">
        <f>IF(Q356&lt;&gt;0,Q356+H356+L356,0)</f>
        <v/>
      </c>
      <c r="S356" s="9">
        <f>VLOOKUP(OPERAC[[#This Row],[especie]],[1]!ESPECIES[#Data],9,FALSE)</f>
        <v/>
      </c>
    </row>
    <row r="357">
      <c r="A357" s="4" t="n">
        <v>4543</v>
      </c>
      <c r="B357" s="5" t="n">
        <v>44571</v>
      </c>
      <c r="C357" s="13" t="inlineStr">
        <is>
          <t>VTA</t>
        </is>
      </c>
      <c r="D357" s="13" t="n">
        <v>39</v>
      </c>
      <c r="E357" s="10">
        <f>IF(D357&gt;0,VLOOKUP(OPERAC[[#This Row],[COD CART]],[1]!MatrizCortoLargoCyl[#All],3,0),"")</f>
        <v/>
      </c>
      <c r="F357" s="13" t="inlineStr">
        <is>
          <t>ROKU/V/165,00/14-01-22</t>
        </is>
      </c>
      <c r="G357" s="6" t="n">
        <v>-400</v>
      </c>
      <c r="H357" s="6" t="n">
        <v>1248.34136</v>
      </c>
      <c r="I357" s="7">
        <f>-H357/G357</f>
        <v/>
      </c>
      <c r="J357" s="11" t="n">
        <v>44573</v>
      </c>
      <c r="K357" s="6" t="n">
        <v>-400</v>
      </c>
      <c r="L357" s="6" t="n">
        <v>-236.656</v>
      </c>
      <c r="M357" s="7">
        <f>IF(N357=0,+L357+H357,0)</f>
        <v/>
      </c>
      <c r="N357" s="7">
        <f>IF((+G357-K357)=0,0,+G357-K357)</f>
        <v/>
      </c>
      <c r="O357" s="7">
        <f>IF(N357=0,0,(L357+H357)/-N357)</f>
        <v/>
      </c>
      <c r="P357" s="7">
        <f>VLOOKUP(OPERAC[[#This Row],[especie]],[1]!ESPECIES[#All],6,0)</f>
        <v/>
      </c>
      <c r="Q357" s="7">
        <f>IF(N357&lt;&gt;0,P357*N357,0)</f>
        <v/>
      </c>
      <c r="R357" s="8">
        <f>IF(Q357&lt;&gt;0,Q357+H357+L357,0)</f>
        <v/>
      </c>
      <c r="S357" s="9">
        <f>VLOOKUP(OPERAC[[#This Row],[especie]],[1]!ESPECIES[#Data],9,FALSE)</f>
        <v/>
      </c>
    </row>
    <row r="358">
      <c r="A358" s="4" t="n">
        <v>7895</v>
      </c>
      <c r="B358" s="5" t="n">
        <v>44571</v>
      </c>
      <c r="C358" s="13" t="inlineStr">
        <is>
          <t>VTA</t>
        </is>
      </c>
      <c r="D358" s="13" t="n">
        <v>39</v>
      </c>
      <c r="E358" s="10">
        <f>IF(D358&gt;0,VLOOKUP(OPERAC[[#This Row],[COD CART]],[1]!MatrizCortoLargoCyl[#All],3,0),"")</f>
        <v/>
      </c>
      <c r="F358" s="13" t="inlineStr">
        <is>
          <t>ROKU/V/165,00/14-01-22</t>
        </is>
      </c>
      <c r="G358" s="6" t="n">
        <v>-400</v>
      </c>
      <c r="H358" s="6" t="n">
        <v>1248.34136</v>
      </c>
      <c r="I358" s="7">
        <f>-H358/G358</f>
        <v/>
      </c>
      <c r="J358" s="11" t="n">
        <v>44573</v>
      </c>
      <c r="K358" s="6" t="n">
        <v>-400</v>
      </c>
      <c r="L358" s="6" t="n">
        <v>-236.656</v>
      </c>
      <c r="M358" s="7">
        <f>IF(N358=0,+L358+H358,0)</f>
        <v/>
      </c>
      <c r="N358" s="7">
        <f>IF((+G358-K358)=0,0,+G358-K358)</f>
        <v/>
      </c>
      <c r="O358" s="7">
        <f>IF(N358=0,0,(L358+H358)/-N358)</f>
        <v/>
      </c>
      <c r="P358" s="7">
        <f>VLOOKUP(OPERAC[[#This Row],[especie]],[1]!ESPECIES[#All],6,0)</f>
        <v/>
      </c>
      <c r="Q358" s="7">
        <f>IF(N358&lt;&gt;0,P358*N358,0)</f>
        <v/>
      </c>
      <c r="R358" s="8">
        <f>IF(Q358&lt;&gt;0,Q358+H358+L358,0)</f>
        <v/>
      </c>
      <c r="S358" s="9">
        <f>VLOOKUP(OPERAC[[#This Row],[especie]],[1]!ESPECIES[#Data],9,FALSE)</f>
        <v/>
      </c>
    </row>
    <row r="359">
      <c r="A359" s="4" t="n">
        <v>12684</v>
      </c>
      <c r="B359" s="5" t="n">
        <v>44657</v>
      </c>
      <c r="C359" s="13" t="inlineStr">
        <is>
          <t>VTA</t>
        </is>
      </c>
      <c r="D359" s="13" t="n">
        <v>39</v>
      </c>
      <c r="E359" s="10">
        <f>IF(D359&gt;0,VLOOKUP(OPERAC[[#This Row],[COD CART]],[1]!MatrizCortoLargoCyl[#All],3,0),"")</f>
        <v/>
      </c>
      <c r="F359" s="13" t="inlineStr">
        <is>
          <t>TSLA/V/850,00/14-04-22</t>
        </is>
      </c>
      <c r="G359" s="6" t="n">
        <v>-1000</v>
      </c>
      <c r="H359" s="6" t="n">
        <v>1247.2</v>
      </c>
      <c r="I359" s="7">
        <f>-H359/G359</f>
        <v/>
      </c>
      <c r="J359" s="11" t="n">
        <v>44665</v>
      </c>
      <c r="K359" s="6" t="n">
        <v>-1000</v>
      </c>
      <c r="L359" s="6" t="n">
        <v>0</v>
      </c>
      <c r="M359" s="7">
        <f>IF(N359=0,+L359+H359,0)</f>
        <v/>
      </c>
      <c r="N359" s="7">
        <f>IF((+G359-K359)=0,0,+G359-K359)</f>
        <v/>
      </c>
      <c r="O359" s="7">
        <f>IF(N359=0,0,(L359+H359)/-N359)</f>
        <v/>
      </c>
      <c r="P359" s="7">
        <f>VLOOKUP(OPERAC[[#This Row],[especie]],[1]!ESPECIES[#All],6,0)</f>
        <v/>
      </c>
      <c r="Q359" s="7">
        <f>IF(N359&lt;&gt;0,P359*N359,0)</f>
        <v/>
      </c>
      <c r="R359" s="8">
        <f>IF(Q359&lt;&gt;0,Q359+H359+L359,0)</f>
        <v/>
      </c>
      <c r="S359" s="9">
        <f>VLOOKUP(OPERAC[[#This Row],[especie]],[1]!ESPECIES[#Data],9,FALSE)</f>
        <v/>
      </c>
    </row>
    <row r="360">
      <c r="A360" s="4" t="n">
        <v>13240</v>
      </c>
      <c r="B360" s="5" t="n">
        <v>44579</v>
      </c>
      <c r="C360" s="13" t="inlineStr">
        <is>
          <t>VTA</t>
        </is>
      </c>
      <c r="D360" s="13" t="n">
        <v>39</v>
      </c>
      <c r="E360" s="10">
        <f>IF(D360&gt;0,VLOOKUP(OPERAC[[#This Row],[COD CART]],[1]!MatrizCortoLargoCyl[#All],3,0),"")</f>
        <v/>
      </c>
      <c r="F360" s="13" t="inlineStr">
        <is>
          <t>ACB/V/5,50/21-01-22</t>
        </is>
      </c>
      <c r="G360" s="6" t="n">
        <v>-3900</v>
      </c>
      <c r="H360" s="6" t="n">
        <v>1245.504</v>
      </c>
      <c r="I360" s="7">
        <f>-H360/G360</f>
        <v/>
      </c>
      <c r="J360" s="11" t="n">
        <v>44581</v>
      </c>
      <c r="K360" s="6">
        <f>+OPERAC[[#This Row],[cantidad]]</f>
        <v/>
      </c>
      <c r="L360" s="6">
        <f>-OPERAC[[#This Row],[importe]]</f>
        <v/>
      </c>
      <c r="M360" s="7">
        <f>IF(N360=0,+L360+H360,0)</f>
        <v/>
      </c>
      <c r="N360" s="7">
        <f>IF((+G360-K360)=0,0,+G360-K360)</f>
        <v/>
      </c>
      <c r="O360" s="7">
        <f>IF(N360=0,0,(L360+H360)/-N360)</f>
        <v/>
      </c>
      <c r="P360" s="7">
        <f>VLOOKUP(OPERAC[[#This Row],[especie]],[1]!ESPECIES[#All],6,0)</f>
        <v/>
      </c>
      <c r="Q360" s="7">
        <f>IF(N360&lt;&gt;0,P360*N360,0)</f>
        <v/>
      </c>
      <c r="R360" s="8">
        <f>IF(Q360&lt;&gt;0,Q360+H360+L360,0)</f>
        <v/>
      </c>
      <c r="S360" s="9">
        <f>VLOOKUP(OPERAC[[#This Row],[especie]],[1]!ESPECIES[#Data],9,FALSE)</f>
        <v/>
      </c>
    </row>
    <row r="361">
      <c r="A361" s="4" t="n">
        <v>26137</v>
      </c>
      <c r="B361" s="5" t="n">
        <v>44547</v>
      </c>
      <c r="C361" s="13" t="inlineStr">
        <is>
          <t>VTA</t>
        </is>
      </c>
      <c r="D361" s="13" t="n">
        <v>39</v>
      </c>
      <c r="E361" s="10">
        <f>IF(D361&gt;0,VLOOKUP(OPERAC[[#This Row],[COD CART]],[1]!MatrizCortoLargoCyl[#All],3,0),"")</f>
        <v/>
      </c>
      <c r="F361" s="13" t="inlineStr">
        <is>
          <t>TLRY/V/8,00/18-02-22</t>
        </is>
      </c>
      <c r="G361" s="6" t="n">
        <v>-900</v>
      </c>
      <c r="H361" s="6" t="n">
        <v>1245.4119</v>
      </c>
      <c r="I361" s="7">
        <f>-H361/G361</f>
        <v/>
      </c>
      <c r="J361" s="11" t="n">
        <v>44601</v>
      </c>
      <c r="K361" s="6" t="n">
        <v>-900</v>
      </c>
      <c r="L361" s="6">
        <f>1.38*OPERAC[[#This Row],[cantidad venta]]</f>
        <v/>
      </c>
      <c r="M361" s="7">
        <f>IF(N361=0,+L361+H361,0)</f>
        <v/>
      </c>
      <c r="N361" s="7">
        <f>IF((+G361-K361)=0,0,+G361-K361)</f>
        <v/>
      </c>
      <c r="O361" s="7">
        <f>IF(N361=0,0,(L361+H361)/-N361)</f>
        <v/>
      </c>
      <c r="P361" s="7">
        <f>VLOOKUP(OPERAC[[#This Row],[especie]],[1]!ESPECIES[#All],6,0)</f>
        <v/>
      </c>
      <c r="Q361" s="7">
        <f>IF(N361&lt;&gt;0,P361*N361,0)</f>
        <v/>
      </c>
      <c r="R361" s="8">
        <f>IF(Q361&lt;&gt;0,Q361+H361+L361,0)</f>
        <v/>
      </c>
      <c r="S361" s="9">
        <f>VLOOKUP(OPERAC[[#This Row],[especie]],[1]!ESPECIES[#Data],9,FALSE)</f>
        <v/>
      </c>
    </row>
    <row r="362">
      <c r="A362" s="4" t="n">
        <v>3728</v>
      </c>
      <c r="B362" s="5" t="n">
        <v>44635</v>
      </c>
      <c r="C362" s="13" t="inlineStr">
        <is>
          <t>VTA</t>
        </is>
      </c>
      <c r="D362" s="13" t="n">
        <v>39</v>
      </c>
      <c r="E362" s="10">
        <f>IF(D362&gt;0,VLOOKUP(OPERAC[[#This Row],[COD CART]],[1]!MatrizCortoLargoCyl[#All],3,0),"")</f>
        <v/>
      </c>
      <c r="F362" s="13" t="inlineStr">
        <is>
          <t>TSLA/V/645,00/18-03-22</t>
        </is>
      </c>
      <c r="G362" s="6" t="n">
        <v>-2000</v>
      </c>
      <c r="H362" s="6" t="n">
        <v>1244.8</v>
      </c>
      <c r="I362" s="7">
        <f>-H362/G362</f>
        <v/>
      </c>
      <c r="J362" s="11" t="n">
        <v>44636</v>
      </c>
      <c r="K362" s="6" t="n">
        <v>-2000</v>
      </c>
      <c r="L362" s="6" t="n">
        <v>-228.36</v>
      </c>
      <c r="M362" s="7">
        <f>IF(N362=0,+L362+H362,0)</f>
        <v/>
      </c>
      <c r="N362" s="7">
        <f>IF((+G362-K362)=0,0,+G362-K362)</f>
        <v/>
      </c>
      <c r="O362" s="7">
        <f>IF(N362=0,0,(L362+H362)/-N362)</f>
        <v/>
      </c>
      <c r="P362" s="7">
        <f>VLOOKUP(OPERAC[[#This Row],[especie]],[1]!ESPECIES[#All],6,0)</f>
        <v/>
      </c>
      <c r="Q362" s="7">
        <f>IF(N362&lt;&gt;0,P362*N362,0)</f>
        <v/>
      </c>
      <c r="R362" s="8">
        <f>IF(Q362&lt;&gt;0,Q362+H362+L362,0)</f>
        <v/>
      </c>
      <c r="S362" s="9">
        <f>VLOOKUP(OPERAC[[#This Row],[especie]],[1]!ESPECIES[#Data],9,FALSE)</f>
        <v/>
      </c>
    </row>
    <row r="363">
      <c r="A363" s="4" t="n">
        <v>12672</v>
      </c>
      <c r="B363" s="5" t="n">
        <v>44581</v>
      </c>
      <c r="C363" s="13" t="inlineStr">
        <is>
          <t>VTA</t>
        </is>
      </c>
      <c r="D363" s="13" t="n">
        <v>39</v>
      </c>
      <c r="E363" s="10">
        <f>IF(D363&gt;0,VLOOKUP(OPERAC[[#This Row],[COD CART]],[1]!MatrizCortoLargoCyl[#All],3,0),"")</f>
        <v/>
      </c>
      <c r="F363" s="13" t="inlineStr">
        <is>
          <t>ACB/V/5,50/25-02-22</t>
        </is>
      </c>
      <c r="G363" s="6" t="n">
        <v>-1500</v>
      </c>
      <c r="H363" s="6" t="n">
        <v>1230.93075</v>
      </c>
      <c r="I363" s="7">
        <f>-H363/G363</f>
        <v/>
      </c>
      <c r="J363" s="11" t="n">
        <v>44614</v>
      </c>
      <c r="K363" s="6" t="n">
        <v>-1500</v>
      </c>
      <c r="L363" s="6" t="n">
        <v>-1230</v>
      </c>
      <c r="M363" s="7">
        <f>IF(N363=0,+L363+H363,0)</f>
        <v/>
      </c>
      <c r="N363" s="7">
        <f>IF((+G363-K363)=0,0,+G363-K363)</f>
        <v/>
      </c>
      <c r="O363" s="7">
        <f>IF(N363=0,0,(L363+H363)/-N363)</f>
        <v/>
      </c>
      <c r="P363" s="7">
        <f>VLOOKUP(OPERAC[[#This Row],[especie]],[1]!ESPECIES[#All],6,0)</f>
        <v/>
      </c>
      <c r="Q363" s="7">
        <f>IF(N363&lt;&gt;0,P363*N363,0)</f>
        <v/>
      </c>
      <c r="R363" s="8">
        <f>IF(Q363&lt;&gt;0,Q363+H363+L363,0)</f>
        <v/>
      </c>
      <c r="S363" s="9">
        <f>VLOOKUP(OPERAC[[#This Row],[especie]],[1]!ESPECIES[#Data],9,FALSE)</f>
        <v/>
      </c>
    </row>
    <row r="364">
      <c r="A364" s="4" t="n">
        <v>13180</v>
      </c>
      <c r="B364" s="5" t="n">
        <v>44581</v>
      </c>
      <c r="C364" s="13" t="inlineStr">
        <is>
          <t>VTA</t>
        </is>
      </c>
      <c r="D364" s="13" t="n">
        <v>39</v>
      </c>
      <c r="E364" s="10">
        <f>IF(D364&gt;0,VLOOKUP(OPERAC[[#This Row],[COD CART]],[1]!MatrizCortoLargoCyl[#All],3,0),"")</f>
        <v/>
      </c>
      <c r="F364" s="13" t="inlineStr">
        <is>
          <t>ACB/V/5,50/25-02-22</t>
        </is>
      </c>
      <c r="G364" s="6" t="n">
        <v>-1500</v>
      </c>
      <c r="H364" s="6" t="n">
        <v>1230.93075</v>
      </c>
      <c r="I364" s="7">
        <f>-H364/G364</f>
        <v/>
      </c>
      <c r="J364" s="11" t="n">
        <v>44614</v>
      </c>
      <c r="K364" s="6" t="n">
        <v>-1500</v>
      </c>
      <c r="L364" s="6" t="n">
        <v>-1230</v>
      </c>
      <c r="M364" s="7">
        <f>IF(N364=0,+L364+H364,0)</f>
        <v/>
      </c>
      <c r="N364" s="7">
        <f>IF((+G364-K364)=0,0,+G364-K364)</f>
        <v/>
      </c>
      <c r="O364" s="7">
        <f>IF(N364=0,0,(L364+H364)/-N364)</f>
        <v/>
      </c>
      <c r="P364" s="7">
        <f>VLOOKUP(OPERAC[[#This Row],[especie]],[1]!ESPECIES[#All],6,0)</f>
        <v/>
      </c>
      <c r="Q364" s="7">
        <f>IF(N364&lt;&gt;0,P364*N364,0)</f>
        <v/>
      </c>
      <c r="R364" s="8">
        <f>IF(Q364&lt;&gt;0,Q364+H364+L364,0)</f>
        <v/>
      </c>
      <c r="S364" s="9">
        <f>VLOOKUP(OPERAC[[#This Row],[especie]],[1]!ESPECIES[#Data],9,FALSE)</f>
        <v/>
      </c>
    </row>
    <row r="365">
      <c r="A365" s="4" t="n">
        <v>16795</v>
      </c>
      <c r="B365" s="5" t="n">
        <v>44581</v>
      </c>
      <c r="C365" s="13" t="inlineStr">
        <is>
          <t>VTA</t>
        </is>
      </c>
      <c r="D365" s="13" t="n">
        <v>39</v>
      </c>
      <c r="E365" s="10">
        <f>IF(D365&gt;0,VLOOKUP(OPERAC[[#This Row],[COD CART]],[1]!MatrizCortoLargoCyl[#All],3,0),"")</f>
        <v/>
      </c>
      <c r="F365" s="13" t="inlineStr">
        <is>
          <t>ACB/V/5,50/25-02-22</t>
        </is>
      </c>
      <c r="G365" s="6" t="n">
        <v>-1500</v>
      </c>
      <c r="H365" s="6" t="n">
        <v>1230.93075</v>
      </c>
      <c r="I365" s="7">
        <f>-H365/G365</f>
        <v/>
      </c>
      <c r="J365" s="11" t="n">
        <v>44614</v>
      </c>
      <c r="K365" s="6" t="n">
        <v>-1500</v>
      </c>
      <c r="L365" s="6" t="n">
        <v>-1230</v>
      </c>
      <c r="M365" s="7">
        <f>IF(N365=0,+L365+H365,0)</f>
        <v/>
      </c>
      <c r="N365" s="7">
        <f>IF((+G365-K365)=0,0,+G365-K365)</f>
        <v/>
      </c>
      <c r="O365" s="7">
        <f>IF(N365=0,0,(L365+H365)/-N365)</f>
        <v/>
      </c>
      <c r="P365" s="7">
        <f>VLOOKUP(OPERAC[[#This Row],[especie]],[1]!ESPECIES[#All],6,0)</f>
        <v/>
      </c>
      <c r="Q365" s="7">
        <f>IF(N365&lt;&gt;0,P365*N365,0)</f>
        <v/>
      </c>
      <c r="R365" s="8">
        <f>IF(Q365&lt;&gt;0,Q365+H365+L365,0)</f>
        <v/>
      </c>
      <c r="S365" s="9">
        <f>VLOOKUP(OPERAC[[#This Row],[especie]],[1]!ESPECIES[#Data],9,FALSE)</f>
        <v/>
      </c>
    </row>
    <row r="366">
      <c r="A366" s="4" t="n">
        <v>18690</v>
      </c>
      <c r="B366" s="5" t="n">
        <v>44581</v>
      </c>
      <c r="C366" s="13" t="inlineStr">
        <is>
          <t>VTA</t>
        </is>
      </c>
      <c r="D366" s="13" t="n">
        <v>39</v>
      </c>
      <c r="E366" s="10">
        <f>IF(D366&gt;0,VLOOKUP(OPERAC[[#This Row],[COD CART]],[1]!MatrizCortoLargoCyl[#All],3,0),"")</f>
        <v/>
      </c>
      <c r="F366" s="13" t="inlineStr">
        <is>
          <t>ACB/V/5,50/25-02-22</t>
        </is>
      </c>
      <c r="G366" s="6" t="n">
        <v>-1500</v>
      </c>
      <c r="H366" s="6" t="n">
        <v>1230.93075</v>
      </c>
      <c r="I366" s="7">
        <f>-H366/G366</f>
        <v/>
      </c>
      <c r="J366" s="11" t="n">
        <v>44614</v>
      </c>
      <c r="K366" s="6" t="n">
        <v>-1500</v>
      </c>
      <c r="L366" s="6" t="n">
        <v>-1230</v>
      </c>
      <c r="M366" s="7">
        <f>IF(N366=0,+L366+H366,0)</f>
        <v/>
      </c>
      <c r="N366" s="7">
        <f>IF((+G366-K366)=0,0,+G366-K366)</f>
        <v/>
      </c>
      <c r="O366" s="7">
        <f>IF(N366=0,0,(L366+H366)/-N366)</f>
        <v/>
      </c>
      <c r="P366" s="7">
        <f>VLOOKUP(OPERAC[[#This Row],[especie]],[1]!ESPECIES[#All],6,0)</f>
        <v/>
      </c>
      <c r="Q366" s="7">
        <f>IF(N366&lt;&gt;0,P366*N366,0)</f>
        <v/>
      </c>
      <c r="R366" s="8">
        <f>IF(Q366&lt;&gt;0,Q366+H366+L366,0)</f>
        <v/>
      </c>
      <c r="S366" s="9">
        <f>VLOOKUP(OPERAC[[#This Row],[especie]],[1]!ESPECIES[#Data],9,FALSE)</f>
        <v/>
      </c>
    </row>
    <row r="367">
      <c r="A367" s="4" t="n">
        <v>19867</v>
      </c>
      <c r="B367" s="5" t="n">
        <v>44581</v>
      </c>
      <c r="C367" s="13" t="inlineStr">
        <is>
          <t>VTA</t>
        </is>
      </c>
      <c r="D367" s="13" t="n">
        <v>39</v>
      </c>
      <c r="E367" s="10">
        <f>IF(D367&gt;0,VLOOKUP(OPERAC[[#This Row],[COD CART]],[1]!MatrizCortoLargoCyl[#All],3,0),"")</f>
        <v/>
      </c>
      <c r="F367" s="13" t="inlineStr">
        <is>
          <t>ACB/V/5,50/25-02-22</t>
        </is>
      </c>
      <c r="G367" s="6" t="n">
        <v>-1500</v>
      </c>
      <c r="H367" s="6" t="n">
        <v>1230.93075</v>
      </c>
      <c r="I367" s="7">
        <f>-H367/G367</f>
        <v/>
      </c>
      <c r="J367" s="11" t="n">
        <v>44614</v>
      </c>
      <c r="K367" s="6" t="n">
        <v>-1500</v>
      </c>
      <c r="L367" s="6" t="n">
        <v>-2272.19</v>
      </c>
      <c r="M367" s="7">
        <f>IF(N367=0,+L367+H367,0)</f>
        <v/>
      </c>
      <c r="N367" s="7">
        <f>IF((+G367-K367)=0,0,+G367-K367)</f>
        <v/>
      </c>
      <c r="O367" s="7">
        <f>IF(N367=0,0,(L367+H367)/-N367)</f>
        <v/>
      </c>
      <c r="P367" s="7">
        <f>VLOOKUP(OPERAC[[#This Row],[especie]],[1]!ESPECIES[#All],6,0)</f>
        <v/>
      </c>
      <c r="Q367" s="7">
        <f>IF(N367&lt;&gt;0,P367*N367,0)</f>
        <v/>
      </c>
      <c r="R367" s="8">
        <f>IF(Q367&lt;&gt;0,Q367+H367+L367,0)</f>
        <v/>
      </c>
      <c r="S367" s="9">
        <f>VLOOKUP(OPERAC[[#This Row],[especie]],[1]!ESPECIES[#Data],9,FALSE)</f>
        <v/>
      </c>
    </row>
    <row r="368">
      <c r="A368" s="4" t="n">
        <v>12674</v>
      </c>
      <c r="B368" s="5" t="n">
        <v>44662</v>
      </c>
      <c r="C368" s="13" t="inlineStr">
        <is>
          <t>VTA</t>
        </is>
      </c>
      <c r="D368" s="13" t="n">
        <v>39</v>
      </c>
      <c r="E368" s="10">
        <f>IF(D368&gt;0,VLOOKUP(OPERAC[[#This Row],[COD CART]],[1]!MatrizCortoLargoCyl[#All],3,0),"")</f>
        <v/>
      </c>
      <c r="F368" s="13" t="inlineStr">
        <is>
          <t>TSLA/V/850,00/14-04-22</t>
        </is>
      </c>
      <c r="G368" s="6" t="n">
        <v>-1000</v>
      </c>
      <c r="H368" s="6" t="n">
        <v>1226.44</v>
      </c>
      <c r="I368" s="7">
        <f>-H368/G368</f>
        <v/>
      </c>
      <c r="J368" s="11" t="n">
        <v>44665</v>
      </c>
      <c r="K368" s="6" t="n">
        <v>-1000</v>
      </c>
      <c r="L368" s="6" t="n">
        <v>0</v>
      </c>
      <c r="M368" s="7">
        <f>IF(N368=0,+L368+H368,0)</f>
        <v/>
      </c>
      <c r="N368" s="7">
        <f>IF((+G368-K368)=0,0,+G368-K368)</f>
        <v/>
      </c>
      <c r="O368" s="7">
        <f>IF(N368=0,0,(L368+H368)/-N368)</f>
        <v/>
      </c>
      <c r="P368" s="7">
        <f>VLOOKUP(OPERAC[[#This Row],[especie]],[1]!ESPECIES[#All],6,0)</f>
        <v/>
      </c>
      <c r="Q368" s="7">
        <f>IF(N368&lt;&gt;0,P368*N368,0)</f>
        <v/>
      </c>
      <c r="R368" s="8">
        <f>IF(Q368&lt;&gt;0,Q368+H368+L368,0)</f>
        <v/>
      </c>
      <c r="S368" s="9">
        <f>VLOOKUP(OPERAC[[#This Row],[especie]],[1]!ESPECIES[#Data],9,FALSE)</f>
        <v/>
      </c>
    </row>
    <row r="369">
      <c r="A369" s="4" t="n">
        <v>16786</v>
      </c>
      <c r="B369" s="5" t="n">
        <v>44698</v>
      </c>
      <c r="C369" s="13" t="inlineStr">
        <is>
          <t>VTA</t>
        </is>
      </c>
      <c r="D369" s="13" t="n">
        <v>39</v>
      </c>
      <c r="E369" s="10">
        <f>IF(D369&gt;0,VLOOKUP(OPERAC[[#This Row],[COD CART]],[1]!MatrizCortoLargoCyl[#All],3,0),"")</f>
        <v/>
      </c>
      <c r="F369" s="13" t="inlineStr">
        <is>
          <t>TSLA/P/655,00/20-05-22</t>
        </is>
      </c>
      <c r="G369" s="6" t="n">
        <v>-400</v>
      </c>
      <c r="H369" s="6" t="n">
        <v>1209.63</v>
      </c>
      <c r="I369" s="7">
        <f>-H369/G369</f>
        <v/>
      </c>
      <c r="J369" s="11" t="n">
        <v>44700</v>
      </c>
      <c r="K369" s="6" t="n">
        <v>-400</v>
      </c>
      <c r="L369" s="6" t="n">
        <v>-521.789</v>
      </c>
      <c r="M369" s="7">
        <f>IF(N369=0,+L369+H369,0)</f>
        <v/>
      </c>
      <c r="N369" s="7">
        <f>IF((+G369-K369)=0,0,+G369-K369)</f>
        <v/>
      </c>
      <c r="O369" s="7">
        <f>IF(N369=0,0,(L369+H369)/-N369)</f>
        <v/>
      </c>
      <c r="P369" s="7">
        <f>VLOOKUP(OPERAC[[#This Row],[especie]],[1]!ESPECIES[#All],6,0)</f>
        <v/>
      </c>
      <c r="Q369" s="7">
        <f>IF(N369&lt;&gt;0,P369*N369,0)</f>
        <v/>
      </c>
      <c r="R369" s="8">
        <f>IF(Q369&lt;&gt;0,Q369+H369+L369,0)</f>
        <v/>
      </c>
      <c r="S369" s="9">
        <f>VLOOKUP(OPERAC[[#This Row],[especie]],[1]!ESPECIES[#Data],9,FALSE)</f>
        <v/>
      </c>
    </row>
    <row r="370">
      <c r="A370" s="4" t="n">
        <v>19878</v>
      </c>
      <c r="B370" s="5" t="n">
        <v>44495</v>
      </c>
      <c r="C370" s="13" t="inlineStr">
        <is>
          <t>VTA</t>
        </is>
      </c>
      <c r="D370" s="13" t="n">
        <v>39</v>
      </c>
      <c r="E370" s="10">
        <f>IF(D370&gt;0,VLOOKUP(OPERAC[[#This Row],[COD CART]],[1]!MatrizCortoLargoCyl[#All],3,0),"")</f>
        <v/>
      </c>
      <c r="F370" s="13" t="inlineStr">
        <is>
          <t>TLRY/V/11,00/21-01-22</t>
        </is>
      </c>
      <c r="G370" s="6" t="n">
        <v>-700</v>
      </c>
      <c r="H370" s="6" t="n">
        <v>1208.34</v>
      </c>
      <c r="I370" s="7">
        <f>-H370/G370</f>
        <v/>
      </c>
      <c r="J370" s="11" t="n">
        <v>44571</v>
      </c>
      <c r="K370" s="6">
        <f>+OPERAC[[#This Row],[cantidad]]</f>
        <v/>
      </c>
      <c r="L370" s="6">
        <f>-OPERAC[[#This Row],[importe]]</f>
        <v/>
      </c>
      <c r="M370" s="7">
        <f>IF(N370=0,+L370+H370,0)</f>
        <v/>
      </c>
      <c r="N370" s="7">
        <f>IF((+G370-K370)=0,0,+G370-K370)</f>
        <v/>
      </c>
      <c r="O370" s="7">
        <f>IF(N370=0,0,(L370+H370)/-N370)</f>
        <v/>
      </c>
      <c r="P370" s="7">
        <f>VLOOKUP(OPERAC[[#This Row],[especie]],[1]!ESPECIES[#All],6,0)</f>
        <v/>
      </c>
      <c r="Q370" s="7">
        <f>IF(N370&lt;&gt;0,P370*N370,0)</f>
        <v/>
      </c>
      <c r="R370" s="8">
        <f>IF(Q370&lt;&gt;0,Q370+H370+L370,0)</f>
        <v/>
      </c>
      <c r="S370" s="9">
        <f>VLOOKUP(OPERAC[[#This Row],[especie]],[1]!ESPECIES[#Data],9,FALSE)</f>
        <v/>
      </c>
    </row>
    <row r="371">
      <c r="A371" s="4" t="n">
        <v>22393</v>
      </c>
      <c r="B371" s="5" t="n">
        <v>44495</v>
      </c>
      <c r="C371" s="13" t="inlineStr">
        <is>
          <t>VTA</t>
        </is>
      </c>
      <c r="D371" s="13" t="n">
        <v>39</v>
      </c>
      <c r="E371" s="10">
        <f>IF(D371&gt;0,VLOOKUP(OPERAC[[#This Row],[COD CART]],[1]!MatrizCortoLargoCyl[#All],3,0),"")</f>
        <v/>
      </c>
      <c r="F371" s="13" t="inlineStr">
        <is>
          <t>YPF/CC10/LP7/CP3/19-01-24</t>
        </is>
      </c>
      <c r="G371" s="6" t="n">
        <v>-500</v>
      </c>
      <c r="H371" s="6" t="n">
        <v>1205</v>
      </c>
      <c r="I371" s="7">
        <f>-H371/G371</f>
        <v/>
      </c>
      <c r="J371" s="11" t="n"/>
      <c r="K371" s="6" t="n"/>
      <c r="L371" s="6" t="n"/>
      <c r="M371" s="7">
        <f>IF(N371=0,+L371+H371,0)</f>
        <v/>
      </c>
      <c r="N371" s="7">
        <f>IF((+G371-K371)=0,0,+G371-K371)</f>
        <v/>
      </c>
      <c r="O371" s="7">
        <f>IF(N371=0,0,(L371+H371)/-N371)</f>
        <v/>
      </c>
      <c r="P371" s="7">
        <f>VLOOKUP(OPERAC[[#This Row],[especie]],[1]!ESPECIES[#All],6,0)</f>
        <v/>
      </c>
      <c r="Q371" s="7">
        <f>IF(N371&lt;&gt;0,P371*N371,0)</f>
        <v/>
      </c>
      <c r="R371" s="8">
        <f>IF(Q371&lt;&gt;0,Q371+H371+L371,0)</f>
        <v/>
      </c>
      <c r="S371" s="9">
        <f>VLOOKUP(OPERAC[[#This Row],[especie]],[1]!ESPECIES[#Data],9,FALSE)</f>
        <v/>
      </c>
    </row>
    <row r="372">
      <c r="A372" s="4" t="n">
        <v>13240</v>
      </c>
      <c r="B372" s="5" t="n">
        <v>44495</v>
      </c>
      <c r="C372" s="13" t="inlineStr">
        <is>
          <t>VTA</t>
        </is>
      </c>
      <c r="D372" s="13" t="n">
        <v>39</v>
      </c>
      <c r="E372" s="10">
        <f>IF(D372&gt;0,VLOOKUP(OPERAC[[#This Row],[COD CART]],[1]!MatrizCortoLargoCyl[#All],3,0),"")</f>
        <v/>
      </c>
      <c r="F372" s="13" t="inlineStr">
        <is>
          <t>YPF/CC10/LP7/CP3/19-01-24</t>
        </is>
      </c>
      <c r="G372" s="6" t="n">
        <v>-500</v>
      </c>
      <c r="H372" s="6">
        <f>-2.41*OPERAC[[#This Row],[cantidad]]</f>
        <v/>
      </c>
      <c r="I372" s="7">
        <f>-H372/G372</f>
        <v/>
      </c>
      <c r="J372" s="11" t="n"/>
      <c r="K372" s="6" t="n"/>
      <c r="L372" s="6" t="n"/>
      <c r="M372" s="7">
        <f>IF(N372=0,+L372+H372,0)</f>
        <v/>
      </c>
      <c r="N372" s="7">
        <f>IF((+G372-K372)=0,0,+G372-K372)</f>
        <v/>
      </c>
      <c r="O372" s="7">
        <f>IF(N372=0,0,(L372+H372)/-N372)</f>
        <v/>
      </c>
      <c r="P372" s="7">
        <f>VLOOKUP(OPERAC[[#This Row],[especie]],[1]!ESPECIES[#All],6,0)</f>
        <v/>
      </c>
      <c r="Q372" s="7">
        <f>IF(N372&lt;&gt;0,P372*N372,0)</f>
        <v/>
      </c>
      <c r="R372" s="8">
        <f>IF(Q372&lt;&gt;0,Q372+H372+L372,0)</f>
        <v/>
      </c>
      <c r="S372" s="9">
        <f>VLOOKUP(OPERAC[[#This Row],[especie]],[1]!ESPECIES[#Data],9,FALSE)</f>
        <v/>
      </c>
    </row>
    <row r="373">
      <c r="A373" s="4" t="n">
        <v>1760</v>
      </c>
      <c r="B373" s="5" t="n">
        <v>44495</v>
      </c>
      <c r="C373" s="13" t="inlineStr">
        <is>
          <t>VTA</t>
        </is>
      </c>
      <c r="D373" s="13" t="n">
        <v>39</v>
      </c>
      <c r="E373" s="10">
        <f>IF(D373&gt;0,VLOOKUP(OPERAC[[#This Row],[COD CART]],[1]!MatrizCortoLargoCyl[#All],3,0),"")</f>
        <v/>
      </c>
      <c r="F373" s="13" t="inlineStr">
        <is>
          <t>YPF/CC10/LP7/CP3/19-01-24</t>
        </is>
      </c>
      <c r="G373" s="6" t="n">
        <v>-500</v>
      </c>
      <c r="H373" s="6">
        <f>-2.41*OPERAC[[#This Row],[cantidad]]</f>
        <v/>
      </c>
      <c r="I373" s="7">
        <f>-H373/G373</f>
        <v/>
      </c>
      <c r="J373" s="11" t="n"/>
      <c r="K373" s="6" t="n"/>
      <c r="L373" s="6" t="n"/>
      <c r="M373" s="7">
        <f>IF(N373=0,+L373+H373,0)</f>
        <v/>
      </c>
      <c r="N373" s="7">
        <f>IF((+G373-K373)=0,0,+G373-K373)</f>
        <v/>
      </c>
      <c r="O373" s="7">
        <f>IF(N373=0,0,(L373+H373)/-N373)</f>
        <v/>
      </c>
      <c r="P373" s="7">
        <f>VLOOKUP(OPERAC[[#This Row],[especie]],[1]!ESPECIES[#All],6,0)</f>
        <v/>
      </c>
      <c r="Q373" s="7">
        <f>IF(N373&lt;&gt;0,P373*N373,0)</f>
        <v/>
      </c>
      <c r="R373" s="8">
        <f>IF(Q373&lt;&gt;0,Q373+H373+L373,0)</f>
        <v/>
      </c>
      <c r="S373" s="9">
        <f>VLOOKUP(OPERAC[[#This Row],[especie]],[1]!ESPECIES[#Data],9,FALSE)</f>
        <v/>
      </c>
    </row>
    <row r="374">
      <c r="A374" s="4" t="n">
        <v>2203</v>
      </c>
      <c r="B374" s="5" t="n">
        <v>44495</v>
      </c>
      <c r="C374" s="13" t="inlineStr">
        <is>
          <t>VTA</t>
        </is>
      </c>
      <c r="D374" s="13" t="n">
        <v>39</v>
      </c>
      <c r="E374" s="10">
        <f>IF(D374&gt;0,VLOOKUP(OPERAC[[#This Row],[COD CART]],[1]!MatrizCortoLargoCyl[#All],3,0),"")</f>
        <v/>
      </c>
      <c r="F374" s="13" t="inlineStr">
        <is>
          <t>YPF/CC10/LP7/CP3/19-01-24</t>
        </is>
      </c>
      <c r="G374" s="6" t="n">
        <v>-500</v>
      </c>
      <c r="H374" s="6">
        <f>-2.41*OPERAC[[#This Row],[cantidad]]</f>
        <v/>
      </c>
      <c r="I374" s="7">
        <f>-H374/G374</f>
        <v/>
      </c>
      <c r="J374" s="11" t="n"/>
      <c r="K374" s="6" t="n"/>
      <c r="L374" s="6" t="n"/>
      <c r="M374" s="7">
        <f>IF(N374=0,+L374+H374,0)</f>
        <v/>
      </c>
      <c r="N374" s="7">
        <f>IF((+G374-K374)=0,0,+G374-K374)</f>
        <v/>
      </c>
      <c r="O374" s="7">
        <f>IF(N374=0,0,(L374+H374)/-N374)</f>
        <v/>
      </c>
      <c r="P374" s="7">
        <f>VLOOKUP(OPERAC[[#This Row],[especie]],[1]!ESPECIES[#All],6,0)</f>
        <v/>
      </c>
      <c r="Q374" s="7">
        <f>IF(N374&lt;&gt;0,P374*N374,0)</f>
        <v/>
      </c>
      <c r="R374" s="8">
        <f>IF(Q374&lt;&gt;0,Q374+H374+L374,0)</f>
        <v/>
      </c>
      <c r="S374" s="9">
        <f>VLOOKUP(OPERAC[[#This Row],[especie]],[1]!ESPECIES[#Data],9,FALSE)</f>
        <v/>
      </c>
    </row>
    <row r="375">
      <c r="A375" s="4" t="n">
        <v>2218</v>
      </c>
      <c r="B375" s="5" t="n">
        <v>44495</v>
      </c>
      <c r="C375" s="13" t="inlineStr">
        <is>
          <t>VTA</t>
        </is>
      </c>
      <c r="D375" s="13" t="n">
        <v>39</v>
      </c>
      <c r="E375" s="10">
        <f>IF(D375&gt;0,VLOOKUP(OPERAC[[#This Row],[COD CART]],[1]!MatrizCortoLargoCyl[#All],3,0),"")</f>
        <v/>
      </c>
      <c r="F375" s="13" t="inlineStr">
        <is>
          <t>YPF/CC10/LP7/CP3/19-01-24</t>
        </is>
      </c>
      <c r="G375" s="6" t="n">
        <v>-500</v>
      </c>
      <c r="H375" s="6">
        <f>-2.41*OPERAC[[#This Row],[cantidad]]</f>
        <v/>
      </c>
      <c r="I375" s="7">
        <f>-H375/G375</f>
        <v/>
      </c>
      <c r="J375" s="11" t="n"/>
      <c r="K375" s="6" t="n"/>
      <c r="L375" s="6" t="n"/>
      <c r="M375" s="7">
        <f>IF(N375=0,+L375+H375,0)</f>
        <v/>
      </c>
      <c r="N375" s="7">
        <f>IF((+G375-K375)=0,0,+G375-K375)</f>
        <v/>
      </c>
      <c r="O375" s="7">
        <f>IF(N375=0,0,(L375+H375)/-N375)</f>
        <v/>
      </c>
      <c r="P375" s="7">
        <f>VLOOKUP(OPERAC[[#This Row],[especie]],[1]!ESPECIES[#All],6,0)</f>
        <v/>
      </c>
      <c r="Q375" s="7">
        <f>IF(N375&lt;&gt;0,P375*N375,0)</f>
        <v/>
      </c>
      <c r="R375" s="8">
        <f>IF(Q375&lt;&gt;0,Q375+H375+L375,0)</f>
        <v/>
      </c>
      <c r="S375" s="9">
        <f>VLOOKUP(OPERAC[[#This Row],[especie]],[1]!ESPECIES[#Data],9,FALSE)</f>
        <v/>
      </c>
    </row>
    <row r="376">
      <c r="A376" s="4" t="n">
        <v>2253</v>
      </c>
      <c r="B376" s="5" t="n">
        <v>44495</v>
      </c>
      <c r="C376" s="13" t="inlineStr">
        <is>
          <t>VTA</t>
        </is>
      </c>
      <c r="D376" s="13" t="n">
        <v>39</v>
      </c>
      <c r="E376" s="10">
        <f>IF(D376&gt;0,VLOOKUP(OPERAC[[#This Row],[COD CART]],[1]!MatrizCortoLargoCyl[#All],3,0),"")</f>
        <v/>
      </c>
      <c r="F376" s="13" t="inlineStr">
        <is>
          <t>YPF/CC10/LP7/CP3/19-01-24</t>
        </is>
      </c>
      <c r="G376" s="6" t="n">
        <v>-500</v>
      </c>
      <c r="H376" s="6">
        <f>-2.41*OPERAC[[#This Row],[cantidad]]</f>
        <v/>
      </c>
      <c r="I376" s="7">
        <f>-H376/G376</f>
        <v/>
      </c>
      <c r="J376" s="11" t="n"/>
      <c r="K376" s="6" t="n"/>
      <c r="L376" s="6" t="n"/>
      <c r="M376" s="7">
        <f>IF(N376=0,+L376+H376,0)</f>
        <v/>
      </c>
      <c r="N376" s="7">
        <f>IF((+G376-K376)=0,0,+G376-K376)</f>
        <v/>
      </c>
      <c r="O376" s="7">
        <f>IF(N376=0,0,(L376+H376)/-N376)</f>
        <v/>
      </c>
      <c r="P376" s="7">
        <f>VLOOKUP(OPERAC[[#This Row],[especie]],[1]!ESPECIES[#All],6,0)</f>
        <v/>
      </c>
      <c r="Q376" s="7">
        <f>IF(N376&lt;&gt;0,P376*N376,0)</f>
        <v/>
      </c>
      <c r="R376" s="8">
        <f>IF(Q376&lt;&gt;0,Q376+H376+L376,0)</f>
        <v/>
      </c>
      <c r="S376" s="9">
        <f>VLOOKUP(OPERAC[[#This Row],[especie]],[1]!ESPECIES[#Data],9,FALSE)</f>
        <v/>
      </c>
    </row>
    <row r="377">
      <c r="A377" s="4" t="n">
        <v>2255</v>
      </c>
      <c r="B377" s="5" t="n">
        <v>44495</v>
      </c>
      <c r="C377" s="13" t="inlineStr">
        <is>
          <t>VTA</t>
        </is>
      </c>
      <c r="D377" s="13" t="n">
        <v>39</v>
      </c>
      <c r="E377" s="10">
        <f>IF(D377&gt;0,VLOOKUP(OPERAC[[#This Row],[COD CART]],[1]!MatrizCortoLargoCyl[#All],3,0),"")</f>
        <v/>
      </c>
      <c r="F377" s="13" t="inlineStr">
        <is>
          <t>YPF/CC10/LP7/CP3/19-01-24</t>
        </is>
      </c>
      <c r="G377" s="6" t="n">
        <v>-500</v>
      </c>
      <c r="H377" s="6">
        <f>-2.41*OPERAC[[#This Row],[cantidad]]</f>
        <v/>
      </c>
      <c r="I377" s="7">
        <f>-H377/G377</f>
        <v/>
      </c>
      <c r="J377" s="11" t="n">
        <v>44713</v>
      </c>
      <c r="K377" s="6" t="n">
        <v>-500</v>
      </c>
      <c r="L377" s="6" t="n">
        <v>-1205</v>
      </c>
      <c r="M377" s="7">
        <f>IF(N377=0,+L377+H377,0)</f>
        <v/>
      </c>
      <c r="N377" s="7">
        <f>IF((+G377-K377)=0,0,+G377-K377)</f>
        <v/>
      </c>
      <c r="O377" s="7">
        <f>IF(N377=0,0,(L377+H377)/-N377)</f>
        <v/>
      </c>
      <c r="P377" s="7">
        <f>VLOOKUP(OPERAC[[#This Row],[especie]],[1]!ESPECIES[#All],6,0)</f>
        <v/>
      </c>
      <c r="Q377" s="7">
        <f>IF(N377&lt;&gt;0,P377*N377,0)</f>
        <v/>
      </c>
      <c r="R377" s="8">
        <f>IF(Q377&lt;&gt;0,Q377+H377+L377,0)</f>
        <v/>
      </c>
      <c r="S377" s="9">
        <f>VLOOKUP(OPERAC[[#This Row],[especie]],[1]!ESPECIES[#Data],9,FALSE)</f>
        <v/>
      </c>
    </row>
    <row r="378">
      <c r="A378" s="4" t="n">
        <v>2257</v>
      </c>
      <c r="B378" s="5" t="n">
        <v>44495</v>
      </c>
      <c r="C378" s="13" t="inlineStr">
        <is>
          <t>VTA</t>
        </is>
      </c>
      <c r="D378" s="13" t="n">
        <v>39</v>
      </c>
      <c r="E378" s="10">
        <f>IF(D378&gt;0,VLOOKUP(OPERAC[[#This Row],[COD CART]],[1]!MatrizCortoLargoCyl[#All],3,0),"")</f>
        <v/>
      </c>
      <c r="F378" s="13" t="inlineStr">
        <is>
          <t>YPF/CC10/LP7/CP3/19-01-24</t>
        </is>
      </c>
      <c r="G378" s="6" t="n">
        <v>-500</v>
      </c>
      <c r="H378" s="6">
        <f>-2.41*OPERAC[[#This Row],[cantidad]]</f>
        <v/>
      </c>
      <c r="I378" s="7">
        <f>-H378/G378</f>
        <v/>
      </c>
      <c r="J378" s="11" t="n">
        <v>44713</v>
      </c>
      <c r="K378" s="6" t="n">
        <v>-500</v>
      </c>
      <c r="L378" s="6" t="n">
        <v>-1205</v>
      </c>
      <c r="M378" s="7">
        <f>IF(N378=0,+L378+H378,0)</f>
        <v/>
      </c>
      <c r="N378" s="7">
        <f>IF((+G378-K378)=0,0,+G378-K378)</f>
        <v/>
      </c>
      <c r="O378" s="7">
        <f>IF(N378=0,0,(L378+H378)/-N378)</f>
        <v/>
      </c>
      <c r="P378" s="7">
        <f>VLOOKUP(OPERAC[[#This Row],[especie]],[1]!ESPECIES[#All],6,0)</f>
        <v/>
      </c>
      <c r="Q378" s="7">
        <f>IF(N378&lt;&gt;0,P378*N378,0)</f>
        <v/>
      </c>
      <c r="R378" s="8">
        <f>IF(Q378&lt;&gt;0,Q378+H378+L378,0)</f>
        <v/>
      </c>
      <c r="S378" s="9">
        <f>VLOOKUP(OPERAC[[#This Row],[especie]],[1]!ESPECIES[#Data],9,FALSE)</f>
        <v/>
      </c>
    </row>
    <row r="379">
      <c r="A379" s="4" t="n">
        <v>3728</v>
      </c>
      <c r="B379" s="5" t="n">
        <v>44495</v>
      </c>
      <c r="C379" s="13" t="inlineStr">
        <is>
          <t>VTA</t>
        </is>
      </c>
      <c r="D379" s="13" t="n">
        <v>39</v>
      </c>
      <c r="E379" s="10">
        <f>IF(D379&gt;0,VLOOKUP(OPERAC[[#This Row],[COD CART]],[1]!MatrizCortoLargoCyl[#All],3,0),"")</f>
        <v/>
      </c>
      <c r="F379" s="13" t="inlineStr">
        <is>
          <t>YPF/CC10/LP7/CP3/19-01-24</t>
        </is>
      </c>
      <c r="G379" s="6" t="n">
        <v>-500</v>
      </c>
      <c r="H379" s="6">
        <f>-2.41*OPERAC[[#This Row],[cantidad]]</f>
        <v/>
      </c>
      <c r="I379" s="7">
        <f>-H379/G379</f>
        <v/>
      </c>
      <c r="J379" s="11" t="n"/>
      <c r="K379" s="6" t="n"/>
      <c r="L379" s="6" t="n"/>
      <c r="M379" s="7">
        <f>IF(N379=0,+L379+H379,0)</f>
        <v/>
      </c>
      <c r="N379" s="7">
        <f>IF((+G379-K379)=0,0,+G379-K379)</f>
        <v/>
      </c>
      <c r="O379" s="7">
        <f>IF(N379=0,0,(L379+H379)/-N379)</f>
        <v/>
      </c>
      <c r="P379" s="7">
        <f>VLOOKUP(OPERAC[[#This Row],[especie]],[1]!ESPECIES[#All],6,0)</f>
        <v/>
      </c>
      <c r="Q379" s="7">
        <f>IF(N379&lt;&gt;0,P379*N379,0)</f>
        <v/>
      </c>
      <c r="R379" s="8">
        <f>IF(Q379&lt;&gt;0,Q379+H379+L379,0)</f>
        <v/>
      </c>
      <c r="S379" s="9">
        <f>VLOOKUP(OPERAC[[#This Row],[especie]],[1]!ESPECIES[#Data],9,FALSE)</f>
        <v/>
      </c>
    </row>
    <row r="380">
      <c r="A380" s="4" t="n">
        <v>4561</v>
      </c>
      <c r="B380" s="5" t="n">
        <v>44495</v>
      </c>
      <c r="C380" s="13" t="inlineStr">
        <is>
          <t>VTA</t>
        </is>
      </c>
      <c r="D380" s="13" t="n">
        <v>39</v>
      </c>
      <c r="E380" s="10">
        <f>IF(D380&gt;0,VLOOKUP(OPERAC[[#This Row],[COD CART]],[1]!MatrizCortoLargoCyl[#All],3,0),"")</f>
        <v/>
      </c>
      <c r="F380" s="13" t="inlineStr">
        <is>
          <t>YPF/CC10/LP7/CP3/19-01-24</t>
        </is>
      </c>
      <c r="G380" s="6" t="n">
        <v>-500</v>
      </c>
      <c r="H380" s="6">
        <f>-2.41*OPERAC[[#This Row],[cantidad]]</f>
        <v/>
      </c>
      <c r="I380" s="7">
        <f>-H380/G380</f>
        <v/>
      </c>
      <c r="J380" s="11" t="n"/>
      <c r="K380" s="6" t="n"/>
      <c r="L380" s="6" t="n"/>
      <c r="M380" s="7">
        <f>IF(N380=0,+L380+H380,0)</f>
        <v/>
      </c>
      <c r="N380" s="7">
        <f>IF((+G380-K380)=0,0,+G380-K380)</f>
        <v/>
      </c>
      <c r="O380" s="7">
        <f>IF(N380=0,0,(L380+H380)/-N380)</f>
        <v/>
      </c>
      <c r="P380" s="7">
        <f>VLOOKUP(OPERAC[[#This Row],[especie]],[1]!ESPECIES[#All],6,0)</f>
        <v/>
      </c>
      <c r="Q380" s="7">
        <f>IF(N380&lt;&gt;0,P380*N380,0)</f>
        <v/>
      </c>
      <c r="R380" s="8">
        <f>IF(Q380&lt;&gt;0,Q380+H380+L380,0)</f>
        <v/>
      </c>
      <c r="S380" s="9">
        <f>VLOOKUP(OPERAC[[#This Row],[especie]],[1]!ESPECIES[#Data],9,FALSE)</f>
        <v/>
      </c>
    </row>
    <row r="381">
      <c r="A381" s="4" t="n">
        <v>9195</v>
      </c>
      <c r="B381" s="5" t="n">
        <v>44495</v>
      </c>
      <c r="C381" s="13" t="inlineStr">
        <is>
          <t>VTA</t>
        </is>
      </c>
      <c r="D381" s="13" t="n">
        <v>39</v>
      </c>
      <c r="E381" s="10">
        <f>IF(D381&gt;0,VLOOKUP(OPERAC[[#This Row],[COD CART]],[1]!MatrizCortoLargoCyl[#All],3,0),"")</f>
        <v/>
      </c>
      <c r="F381" s="13" t="inlineStr">
        <is>
          <t>YPF/CC10/LP7/CP3/19-01-24</t>
        </is>
      </c>
      <c r="G381" s="6" t="n">
        <v>-500</v>
      </c>
      <c r="H381" s="6">
        <f>-2.41*OPERAC[[#This Row],[cantidad]]</f>
        <v/>
      </c>
      <c r="I381" s="7">
        <f>-H381/G381</f>
        <v/>
      </c>
      <c r="J381" s="11" t="n"/>
      <c r="K381" s="6" t="n"/>
      <c r="L381" s="6" t="n"/>
      <c r="M381" s="7">
        <f>IF(N381=0,+L381+H381,0)</f>
        <v/>
      </c>
      <c r="N381" s="7">
        <f>IF((+G381-K381)=0,0,+G381-K381)</f>
        <v/>
      </c>
      <c r="O381" s="7">
        <f>IF(N381=0,0,(L381+H381)/-N381)</f>
        <v/>
      </c>
      <c r="P381" s="7">
        <f>VLOOKUP(OPERAC[[#This Row],[especie]],[1]!ESPECIES[#All],6,0)</f>
        <v/>
      </c>
      <c r="Q381" s="7">
        <f>IF(N381&lt;&gt;0,P381*N381,0)</f>
        <v/>
      </c>
      <c r="R381" s="8">
        <f>IF(Q381&lt;&gt;0,Q381+H381+L381,0)</f>
        <v/>
      </c>
      <c r="S381" s="9">
        <f>VLOOKUP(OPERAC[[#This Row],[especie]],[1]!ESPECIES[#Data],9,FALSE)</f>
        <v/>
      </c>
    </row>
    <row r="382">
      <c r="A382" s="4" t="n">
        <v>12655</v>
      </c>
      <c r="B382" s="5" t="n">
        <v>44495</v>
      </c>
      <c r="C382" s="13" t="inlineStr">
        <is>
          <t>VTA</t>
        </is>
      </c>
      <c r="D382" s="13" t="n">
        <v>39</v>
      </c>
      <c r="E382" s="10">
        <f>IF(D382&gt;0,VLOOKUP(OPERAC[[#This Row],[COD CART]],[1]!MatrizCortoLargoCyl[#All],3,0),"")</f>
        <v/>
      </c>
      <c r="F382" s="13" t="inlineStr">
        <is>
          <t>YPF/CC10/LP7/CP3/19-01-24</t>
        </is>
      </c>
      <c r="G382" s="6" t="n">
        <v>-500</v>
      </c>
      <c r="H382" s="6">
        <f>-2.41*OPERAC[[#This Row],[cantidad]]</f>
        <v/>
      </c>
      <c r="I382" s="7">
        <f>-H382/G382</f>
        <v/>
      </c>
      <c r="J382" s="11" t="n"/>
      <c r="K382" s="6" t="n"/>
      <c r="L382" s="6" t="n"/>
      <c r="M382" s="7">
        <f>IF(N382=0,+L382+H382,0)</f>
        <v/>
      </c>
      <c r="N382" s="7">
        <f>IF((+G382-K382)=0,0,+G382-K382)</f>
        <v/>
      </c>
      <c r="O382" s="7">
        <f>IF(N382=0,0,(L382+H382)/-N382)</f>
        <v/>
      </c>
      <c r="P382" s="7">
        <f>VLOOKUP(OPERAC[[#This Row],[especie]],[1]!ESPECIES[#All],6,0)</f>
        <v/>
      </c>
      <c r="Q382" s="7">
        <f>IF(N382&lt;&gt;0,P382*N382,0)</f>
        <v/>
      </c>
      <c r="R382" s="8">
        <f>IF(Q382&lt;&gt;0,Q382+H382+L382,0)</f>
        <v/>
      </c>
      <c r="S382" s="9">
        <f>VLOOKUP(OPERAC[[#This Row],[especie]],[1]!ESPECIES[#Data],9,FALSE)</f>
        <v/>
      </c>
    </row>
    <row r="383">
      <c r="A383" s="4" t="n">
        <v>12652</v>
      </c>
      <c r="B383" s="5" t="n">
        <v>44495</v>
      </c>
      <c r="C383" s="13" t="inlineStr">
        <is>
          <t>VTA</t>
        </is>
      </c>
      <c r="D383" s="13" t="n">
        <v>39</v>
      </c>
      <c r="E383" s="10">
        <f>IF(D383&gt;0,VLOOKUP(OPERAC[[#This Row],[COD CART]],[1]!MatrizCortoLargoCyl[#All],3,0),"")</f>
        <v/>
      </c>
      <c r="F383" s="13" t="inlineStr">
        <is>
          <t>YPF/CC10/LP7/CP3/19-01-24</t>
        </is>
      </c>
      <c r="G383" s="6" t="n">
        <v>-500</v>
      </c>
      <c r="H383" s="6">
        <f>-2.41*OPERAC[[#This Row],[cantidad]]</f>
        <v/>
      </c>
      <c r="I383" s="7">
        <f>-H383/G383</f>
        <v/>
      </c>
      <c r="J383" s="11" t="n"/>
      <c r="K383" s="6" t="n"/>
      <c r="L383" s="6" t="n"/>
      <c r="M383" s="7">
        <f>IF(N383=0,+L383+H383,0)</f>
        <v/>
      </c>
      <c r="N383" s="7">
        <f>IF((+G383-K383)=0,0,+G383-K383)</f>
        <v/>
      </c>
      <c r="O383" s="7">
        <f>IF(N383=0,0,(L383+H383)/-N383)</f>
        <v/>
      </c>
      <c r="P383" s="7">
        <f>VLOOKUP(OPERAC[[#This Row],[especie]],[1]!ESPECIES[#All],6,0)</f>
        <v/>
      </c>
      <c r="Q383" s="7">
        <f>IF(N383&lt;&gt;0,P383*N383,0)</f>
        <v/>
      </c>
      <c r="R383" s="8">
        <f>IF(Q383&lt;&gt;0,Q383+H383+L383,0)</f>
        <v/>
      </c>
      <c r="S383" s="9">
        <f>VLOOKUP(OPERAC[[#This Row],[especie]],[1]!ESPECIES[#Data],9,FALSE)</f>
        <v/>
      </c>
    </row>
    <row r="384">
      <c r="A384" s="4" t="n">
        <v>12674</v>
      </c>
      <c r="B384" s="5" t="n">
        <v>44495</v>
      </c>
      <c r="C384" s="13" t="inlineStr">
        <is>
          <t>VTA</t>
        </is>
      </c>
      <c r="D384" s="13" t="n">
        <v>39</v>
      </c>
      <c r="E384" s="10">
        <f>IF(D384&gt;0,VLOOKUP(OPERAC[[#This Row],[COD CART]],[1]!MatrizCortoLargoCyl[#All],3,0),"")</f>
        <v/>
      </c>
      <c r="F384" s="13" t="inlineStr">
        <is>
          <t>YPF/CC10/LP7/CP3/19-01-24</t>
        </is>
      </c>
      <c r="G384" s="6" t="n">
        <v>-500</v>
      </c>
      <c r="H384" s="6">
        <f>-2.41*OPERAC[[#This Row],[cantidad]]</f>
        <v/>
      </c>
      <c r="I384" s="7">
        <f>-H384/G384</f>
        <v/>
      </c>
      <c r="J384" s="11" t="n"/>
      <c r="K384" s="6" t="n"/>
      <c r="L384" s="6" t="n"/>
      <c r="M384" s="7">
        <f>IF(N384=0,+L384+H384,0)</f>
        <v/>
      </c>
      <c r="N384" s="7">
        <f>IF((+G384-K384)=0,0,+G384-K384)</f>
        <v/>
      </c>
      <c r="O384" s="7">
        <f>IF(N384=0,0,(L384+H384)/-N384)</f>
        <v/>
      </c>
      <c r="P384" s="7">
        <f>VLOOKUP(OPERAC[[#This Row],[especie]],[1]!ESPECIES[#All],6,0)</f>
        <v/>
      </c>
      <c r="Q384" s="7">
        <f>IF(N384&lt;&gt;0,P384*N384,0)</f>
        <v/>
      </c>
      <c r="R384" s="8">
        <f>IF(Q384&lt;&gt;0,Q384+H384+L384,0)</f>
        <v/>
      </c>
      <c r="S384" s="9">
        <f>VLOOKUP(OPERAC[[#This Row],[especie]],[1]!ESPECIES[#Data],9,FALSE)</f>
        <v/>
      </c>
    </row>
    <row r="385">
      <c r="A385" s="4" t="n">
        <v>3728</v>
      </c>
      <c r="B385" s="5" t="n">
        <v>44495</v>
      </c>
      <c r="C385" s="13" t="inlineStr">
        <is>
          <t>VTA</t>
        </is>
      </c>
      <c r="D385" s="13" t="n">
        <v>39</v>
      </c>
      <c r="E385" s="10">
        <f>IF(D385&gt;0,VLOOKUP(OPERAC[[#This Row],[COD CART]],[1]!MatrizCortoLargoCyl[#All],3,0),"")</f>
        <v/>
      </c>
      <c r="F385" s="13" t="inlineStr">
        <is>
          <t>YPF/CC10/LP7/CP3/19-01-24</t>
        </is>
      </c>
      <c r="G385" s="6" t="n">
        <v>-500</v>
      </c>
      <c r="H385" s="6">
        <f>-2.41*OPERAC[[#This Row],[cantidad]]</f>
        <v/>
      </c>
      <c r="I385" s="7">
        <f>-H385/G385</f>
        <v/>
      </c>
      <c r="J385" s="11" t="n"/>
      <c r="K385" s="6" t="n"/>
      <c r="L385" s="6" t="n"/>
      <c r="M385" s="7">
        <f>IF(N385=0,+L385+H385,0)</f>
        <v/>
      </c>
      <c r="N385" s="7">
        <f>IF((+G385-K385)=0,0,+G385-K385)</f>
        <v/>
      </c>
      <c r="O385" s="7">
        <f>IF(N385=0,0,(L385+H385)/-N385)</f>
        <v/>
      </c>
      <c r="P385" s="7">
        <f>VLOOKUP(OPERAC[[#This Row],[especie]],[1]!ESPECIES[#All],6,0)</f>
        <v/>
      </c>
      <c r="Q385" s="7">
        <f>IF(N385&lt;&gt;0,P385*N385,0)</f>
        <v/>
      </c>
      <c r="R385" s="8">
        <f>IF(Q385&lt;&gt;0,Q385+H385+L385,0)</f>
        <v/>
      </c>
      <c r="S385" s="9">
        <f>VLOOKUP(OPERAC[[#This Row],[especie]],[1]!ESPECIES[#Data],9,FALSE)</f>
        <v/>
      </c>
    </row>
    <row r="386">
      <c r="A386" s="4" t="n">
        <v>13185</v>
      </c>
      <c r="B386" s="5" t="n">
        <v>44495</v>
      </c>
      <c r="C386" s="13" t="inlineStr">
        <is>
          <t>VTA</t>
        </is>
      </c>
      <c r="D386" s="13" t="n">
        <v>39</v>
      </c>
      <c r="E386" s="10">
        <f>IF(D386&gt;0,VLOOKUP(OPERAC[[#This Row],[COD CART]],[1]!MatrizCortoLargoCyl[#All],3,0),"")</f>
        <v/>
      </c>
      <c r="F386" s="13" t="inlineStr">
        <is>
          <t>YPF/CC10/LP7/CP3/19-01-24</t>
        </is>
      </c>
      <c r="G386" s="6" t="n">
        <v>-500</v>
      </c>
      <c r="H386" s="6">
        <f>-2.41*OPERAC[[#This Row],[cantidad]]</f>
        <v/>
      </c>
      <c r="I386" s="7">
        <f>-H386/G386</f>
        <v/>
      </c>
      <c r="J386" s="11" t="n"/>
      <c r="K386" s="6" t="n"/>
      <c r="L386" s="6" t="n"/>
      <c r="M386" s="7">
        <f>IF(N386=0,+L386+H386,0)</f>
        <v/>
      </c>
      <c r="N386" s="7">
        <f>IF((+G386-K386)=0,0,+G386-K386)</f>
        <v/>
      </c>
      <c r="O386" s="7">
        <f>IF(N386=0,0,(L386+H386)/-N386)</f>
        <v/>
      </c>
      <c r="P386" s="7">
        <f>VLOOKUP(OPERAC[[#This Row],[especie]],[1]!ESPECIES[#All],6,0)</f>
        <v/>
      </c>
      <c r="Q386" s="7">
        <f>IF(N386&lt;&gt;0,P386*N386,0)</f>
        <v/>
      </c>
      <c r="R386" s="8">
        <f>IF(Q386&lt;&gt;0,Q386+H386+L386,0)</f>
        <v/>
      </c>
      <c r="S386" s="9">
        <f>VLOOKUP(OPERAC[[#This Row],[especie]],[1]!ESPECIES[#Data],9,FALSE)</f>
        <v/>
      </c>
    </row>
    <row r="387">
      <c r="A387" s="4" t="n">
        <v>13190</v>
      </c>
      <c r="B387" s="5" t="n">
        <v>44495</v>
      </c>
      <c r="C387" s="13" t="inlineStr">
        <is>
          <t>VTA</t>
        </is>
      </c>
      <c r="D387" s="13" t="n">
        <v>39</v>
      </c>
      <c r="E387" s="10">
        <f>IF(D387&gt;0,VLOOKUP(OPERAC[[#This Row],[COD CART]],[1]!MatrizCortoLargoCyl[#All],3,0),"")</f>
        <v/>
      </c>
      <c r="F387" s="13" t="inlineStr">
        <is>
          <t>YPF/CC10/LP7/CP3/19-01-24</t>
        </is>
      </c>
      <c r="G387" s="6" t="n">
        <v>-500</v>
      </c>
      <c r="H387" s="6">
        <f>-2.41*OPERAC[[#This Row],[cantidad]]</f>
        <v/>
      </c>
      <c r="I387" s="7">
        <f>-H387/G387</f>
        <v/>
      </c>
      <c r="J387" s="11" t="n"/>
      <c r="K387" s="6" t="n"/>
      <c r="L387" s="6" t="n"/>
      <c r="M387" s="7">
        <f>IF(N387=0,+L387+H387,0)</f>
        <v/>
      </c>
      <c r="N387" s="7">
        <f>IF((+G387-K387)=0,0,+G387-K387)</f>
        <v/>
      </c>
      <c r="O387" s="7">
        <f>IF(N387=0,0,(L387+H387)/-N387)</f>
        <v/>
      </c>
      <c r="P387" s="7">
        <f>VLOOKUP(OPERAC[[#This Row],[especie]],[1]!ESPECIES[#All],6,0)</f>
        <v/>
      </c>
      <c r="Q387" s="7">
        <f>IF(N387&lt;&gt;0,P387*N387,0)</f>
        <v/>
      </c>
      <c r="R387" s="8">
        <f>IF(Q387&lt;&gt;0,Q387+H387+L387,0)</f>
        <v/>
      </c>
      <c r="S387" s="9">
        <f>VLOOKUP(OPERAC[[#This Row],[especie]],[1]!ESPECIES[#Data],9,FALSE)</f>
        <v/>
      </c>
    </row>
    <row r="388">
      <c r="A388" s="4" t="n">
        <v>15189</v>
      </c>
      <c r="B388" s="5" t="n">
        <v>44495</v>
      </c>
      <c r="C388" s="13" t="inlineStr">
        <is>
          <t>VTA</t>
        </is>
      </c>
      <c r="D388" s="13" t="n">
        <v>39</v>
      </c>
      <c r="E388" s="10">
        <f>IF(D388&gt;0,VLOOKUP(OPERAC[[#This Row],[COD CART]],[1]!MatrizCortoLargoCyl[#All],3,0),"")</f>
        <v/>
      </c>
      <c r="F388" s="13" t="inlineStr">
        <is>
          <t>YPF/CC10/LP7/CP3/19-01-24</t>
        </is>
      </c>
      <c r="G388" s="6" t="n">
        <v>-500</v>
      </c>
      <c r="H388" s="6">
        <f>-2.41*OPERAC[[#This Row],[cantidad]]</f>
        <v/>
      </c>
      <c r="I388" s="7">
        <f>-H388/G388</f>
        <v/>
      </c>
      <c r="J388" s="11" t="n"/>
      <c r="K388" s="6" t="n"/>
      <c r="L388" s="6" t="n"/>
      <c r="M388" s="7">
        <f>IF(N388=0,+L388+H388,0)</f>
        <v/>
      </c>
      <c r="N388" s="7">
        <f>IF((+G388-K388)=0,0,+G388-K388)</f>
        <v/>
      </c>
      <c r="O388" s="7">
        <f>IF(N388=0,0,(L388+H388)/-N388)</f>
        <v/>
      </c>
      <c r="P388" s="7">
        <f>VLOOKUP(OPERAC[[#This Row],[especie]],[1]!ESPECIES[#All],6,0)</f>
        <v/>
      </c>
      <c r="Q388" s="7">
        <f>IF(N388&lt;&gt;0,P388*N388,0)</f>
        <v/>
      </c>
      <c r="R388" s="8">
        <f>IF(Q388&lt;&gt;0,Q388+H388+L388,0)</f>
        <v/>
      </c>
      <c r="S388" s="9">
        <f>VLOOKUP(OPERAC[[#This Row],[especie]],[1]!ESPECIES[#Data],9,FALSE)</f>
        <v/>
      </c>
    </row>
    <row r="389">
      <c r="A389" s="4" t="n">
        <v>15194</v>
      </c>
      <c r="B389" s="5" t="n">
        <v>44495</v>
      </c>
      <c r="C389" s="13" t="inlineStr">
        <is>
          <t>VTA</t>
        </is>
      </c>
      <c r="D389" s="13" t="n">
        <v>39</v>
      </c>
      <c r="E389" s="10">
        <f>IF(D389&gt;0,VLOOKUP(OPERAC[[#This Row],[COD CART]],[1]!MatrizCortoLargoCyl[#All],3,0),"")</f>
        <v/>
      </c>
      <c r="F389" s="13" t="inlineStr">
        <is>
          <t>YPF/CC10/LP7/CP3/19-01-24</t>
        </is>
      </c>
      <c r="G389" s="6" t="n">
        <v>-500</v>
      </c>
      <c r="H389" s="6">
        <f>-2.41*OPERAC[[#This Row],[cantidad]]</f>
        <v/>
      </c>
      <c r="I389" s="7">
        <f>-H389/G389</f>
        <v/>
      </c>
      <c r="J389" s="11" t="n"/>
      <c r="K389" s="6" t="n"/>
      <c r="L389" s="6" t="n"/>
      <c r="M389" s="7">
        <f>IF(N389=0,+L389+H389,0)</f>
        <v/>
      </c>
      <c r="N389" s="7">
        <f>IF((+G389-K389)=0,0,+G389-K389)</f>
        <v/>
      </c>
      <c r="O389" s="7">
        <f>IF(N389=0,0,(L389+H389)/-N389)</f>
        <v/>
      </c>
      <c r="P389" s="7">
        <f>VLOOKUP(OPERAC[[#This Row],[especie]],[1]!ESPECIES[#All],6,0)</f>
        <v/>
      </c>
      <c r="Q389" s="7">
        <f>IF(N389&lt;&gt;0,P389*N389,0)</f>
        <v/>
      </c>
      <c r="R389" s="8">
        <f>IF(Q389&lt;&gt;0,Q389+H389+L389,0)</f>
        <v/>
      </c>
      <c r="S389" s="9">
        <f>VLOOKUP(OPERAC[[#This Row],[especie]],[1]!ESPECIES[#Data],9,FALSE)</f>
        <v/>
      </c>
    </row>
    <row r="390">
      <c r="A390" s="4" t="n">
        <v>16780</v>
      </c>
      <c r="B390" s="5" t="n">
        <v>44495</v>
      </c>
      <c r="C390" s="13" t="inlineStr">
        <is>
          <t>VTA</t>
        </is>
      </c>
      <c r="D390" s="13" t="n">
        <v>39</v>
      </c>
      <c r="E390" s="10">
        <f>IF(D390&gt;0,VLOOKUP(OPERAC[[#This Row],[COD CART]],[1]!MatrizCortoLargoCyl[#All],3,0),"")</f>
        <v/>
      </c>
      <c r="F390" s="13" t="inlineStr">
        <is>
          <t>YPF/CC10/LP7/CP3/19-01-24</t>
        </is>
      </c>
      <c r="G390" s="6" t="n">
        <v>-500</v>
      </c>
      <c r="H390" s="6">
        <f>-2.41*OPERAC[[#This Row],[cantidad]]</f>
        <v/>
      </c>
      <c r="I390" s="7">
        <f>-H390/G390</f>
        <v/>
      </c>
      <c r="J390" s="11" t="n"/>
      <c r="K390" s="6" t="n"/>
      <c r="L390" s="6" t="n"/>
      <c r="M390" s="7">
        <f>IF(N390=0,+L390+H390,0)</f>
        <v/>
      </c>
      <c r="N390" s="7">
        <f>IF((+G390-K390)=0,0,+G390-K390)</f>
        <v/>
      </c>
      <c r="O390" s="7">
        <f>IF(N390=0,0,(L390+H390)/-N390)</f>
        <v/>
      </c>
      <c r="P390" s="7">
        <f>VLOOKUP(OPERAC[[#This Row],[especie]],[1]!ESPECIES[#All],6,0)</f>
        <v/>
      </c>
      <c r="Q390" s="7">
        <f>IF(N390&lt;&gt;0,P390*N390,0)</f>
        <v/>
      </c>
      <c r="R390" s="8">
        <f>IF(Q390&lt;&gt;0,Q390+H390+L390,0)</f>
        <v/>
      </c>
      <c r="S390" s="9">
        <f>VLOOKUP(OPERAC[[#This Row],[especie]],[1]!ESPECIES[#Data],9,FALSE)</f>
        <v/>
      </c>
    </row>
    <row r="391">
      <c r="A391" s="4" t="n">
        <v>16783</v>
      </c>
      <c r="B391" s="5" t="n">
        <v>44495</v>
      </c>
      <c r="C391" s="13" t="inlineStr">
        <is>
          <t>VTA</t>
        </is>
      </c>
      <c r="D391" s="13" t="n">
        <v>39</v>
      </c>
      <c r="E391" s="10">
        <f>IF(D391&gt;0,VLOOKUP(OPERAC[[#This Row],[COD CART]],[1]!MatrizCortoLargoCyl[#All],3,0),"")</f>
        <v/>
      </c>
      <c r="F391" s="13" t="inlineStr">
        <is>
          <t>YPF/CC10/LP7/CP3/19-01-24</t>
        </is>
      </c>
      <c r="G391" s="6" t="n">
        <v>-500</v>
      </c>
      <c r="H391" s="6">
        <f>-2.41*OPERAC[[#This Row],[cantidad]]</f>
        <v/>
      </c>
      <c r="I391" s="7">
        <f>-H391/G391</f>
        <v/>
      </c>
      <c r="J391" s="11" t="n"/>
      <c r="K391" s="6" t="n"/>
      <c r="L391" s="6" t="n"/>
      <c r="M391" s="7">
        <f>IF(N391=0,+L391+H391,0)</f>
        <v/>
      </c>
      <c r="N391" s="7">
        <f>IF((+G391-K391)=0,0,+G391-K391)</f>
        <v/>
      </c>
      <c r="O391" s="7">
        <f>IF(N391=0,0,(L391+H391)/-N391)</f>
        <v/>
      </c>
      <c r="P391" s="7">
        <f>VLOOKUP(OPERAC[[#This Row],[especie]],[1]!ESPECIES[#All],6,0)</f>
        <v/>
      </c>
      <c r="Q391" s="7">
        <f>IF(N391&lt;&gt;0,P391*N391,0)</f>
        <v/>
      </c>
      <c r="R391" s="8">
        <f>IF(Q391&lt;&gt;0,Q391+H391+L391,0)</f>
        <v/>
      </c>
      <c r="S391" s="9">
        <f>VLOOKUP(OPERAC[[#This Row],[especie]],[1]!ESPECIES[#Data],9,FALSE)</f>
        <v/>
      </c>
    </row>
    <row r="392">
      <c r="A392" s="4" t="n">
        <v>16786</v>
      </c>
      <c r="B392" s="5" t="n">
        <v>44495</v>
      </c>
      <c r="C392" s="13" t="inlineStr">
        <is>
          <t>VTA</t>
        </is>
      </c>
      <c r="D392" s="13" t="n">
        <v>39</v>
      </c>
      <c r="E392" s="10">
        <f>IF(D392&gt;0,VLOOKUP(OPERAC[[#This Row],[COD CART]],[1]!MatrizCortoLargoCyl[#All],3,0),"")</f>
        <v/>
      </c>
      <c r="F392" s="13" t="inlineStr">
        <is>
          <t>YPF/CC10/LP7/CP3/19-01-24</t>
        </is>
      </c>
      <c r="G392" s="6" t="n">
        <v>-500</v>
      </c>
      <c r="H392" s="6">
        <f>-2.41*OPERAC[[#This Row],[cantidad]]</f>
        <v/>
      </c>
      <c r="I392" s="7">
        <f>-H392/G392</f>
        <v/>
      </c>
      <c r="J392" s="11" t="n"/>
      <c r="K392" s="6" t="n"/>
      <c r="L392" s="6" t="n"/>
      <c r="M392" s="7">
        <f>IF(N392=0,+L392+H392,0)</f>
        <v/>
      </c>
      <c r="N392" s="7">
        <f>IF((+G392-K392)=0,0,+G392-K392)</f>
        <v/>
      </c>
      <c r="O392" s="7">
        <f>IF(N392=0,0,(L392+H392)/-N392)</f>
        <v/>
      </c>
      <c r="P392" s="7">
        <f>VLOOKUP(OPERAC[[#This Row],[especie]],[1]!ESPECIES[#All],6,0)</f>
        <v/>
      </c>
      <c r="Q392" s="7">
        <f>IF(N392&lt;&gt;0,P392*N392,0)</f>
        <v/>
      </c>
      <c r="R392" s="8">
        <f>IF(Q392&lt;&gt;0,Q392+H392+L392,0)</f>
        <v/>
      </c>
      <c r="S392" s="9">
        <f>VLOOKUP(OPERAC[[#This Row],[especie]],[1]!ESPECIES[#Data],9,FALSE)</f>
        <v/>
      </c>
    </row>
    <row r="393">
      <c r="A393" s="4" t="n">
        <v>16795</v>
      </c>
      <c r="B393" s="5" t="n">
        <v>44495</v>
      </c>
      <c r="C393" s="13" t="inlineStr">
        <is>
          <t>VTA</t>
        </is>
      </c>
      <c r="D393" s="13" t="n">
        <v>39</v>
      </c>
      <c r="E393" s="10">
        <f>IF(D393&gt;0,VLOOKUP(OPERAC[[#This Row],[COD CART]],[1]!MatrizCortoLargoCyl[#All],3,0),"")</f>
        <v/>
      </c>
      <c r="F393" s="13" t="inlineStr">
        <is>
          <t>YPF/CC10/LP7/CP3/19-01-24</t>
        </is>
      </c>
      <c r="G393" s="6" t="n">
        <v>-500</v>
      </c>
      <c r="H393" s="6">
        <f>-2.41*OPERAC[[#This Row],[cantidad]]</f>
        <v/>
      </c>
      <c r="I393" s="7">
        <f>-H393/G393</f>
        <v/>
      </c>
      <c r="J393" s="11" t="n">
        <v>44713</v>
      </c>
      <c r="K393" s="6" t="n">
        <v>-500</v>
      </c>
      <c r="L393" s="6" t="n">
        <v>-1205</v>
      </c>
      <c r="M393" s="7">
        <f>IF(N393=0,+L393+H393,0)</f>
        <v/>
      </c>
      <c r="N393" s="7">
        <f>IF((+G393-K393)=0,0,+G393-K393)</f>
        <v/>
      </c>
      <c r="O393" s="7">
        <f>IF(N393=0,0,(L393+H393)/-N393)</f>
        <v/>
      </c>
      <c r="P393" s="7">
        <f>VLOOKUP(OPERAC[[#This Row],[especie]],[1]!ESPECIES[#All],6,0)</f>
        <v/>
      </c>
      <c r="Q393" s="7">
        <f>IF(N393&lt;&gt;0,P393*N393,0)</f>
        <v/>
      </c>
      <c r="R393" s="8">
        <f>IF(Q393&lt;&gt;0,Q393+H393+L393,0)</f>
        <v/>
      </c>
      <c r="S393" s="9">
        <f>VLOOKUP(OPERAC[[#This Row],[especie]],[1]!ESPECIES[#Data],9,FALSE)</f>
        <v/>
      </c>
    </row>
    <row r="394">
      <c r="A394" s="4" t="n">
        <v>18651</v>
      </c>
      <c r="B394" s="5" t="n">
        <v>44495</v>
      </c>
      <c r="C394" s="13" t="inlineStr">
        <is>
          <t>VTA</t>
        </is>
      </c>
      <c r="D394" s="13" t="n">
        <v>39</v>
      </c>
      <c r="E394" s="10">
        <f>IF(D394&gt;0,VLOOKUP(OPERAC[[#This Row],[COD CART]],[1]!MatrizCortoLargoCyl[#All],3,0),"")</f>
        <v/>
      </c>
      <c r="F394" s="13" t="inlineStr">
        <is>
          <t>YPF/CC10/LP7/CP3/19-01-24</t>
        </is>
      </c>
      <c r="G394" s="6" t="n">
        <v>-500</v>
      </c>
      <c r="H394" s="6">
        <f>-2.41*OPERAC[[#This Row],[cantidad]]</f>
        <v/>
      </c>
      <c r="I394" s="7">
        <f>-H394/G394</f>
        <v/>
      </c>
      <c r="J394" s="11" t="n"/>
      <c r="K394" s="6" t="n"/>
      <c r="L394" s="6" t="n"/>
      <c r="M394" s="7">
        <f>IF(N394=0,+L394+H394,0)</f>
        <v/>
      </c>
      <c r="N394" s="7">
        <f>IF((+G394-K394)=0,0,+G394-K394)</f>
        <v/>
      </c>
      <c r="O394" s="7">
        <f>IF(N394=0,0,(L394+H394)/-N394)</f>
        <v/>
      </c>
      <c r="P394" s="7">
        <f>VLOOKUP(OPERAC[[#This Row],[especie]],[1]!ESPECIES[#All],6,0)</f>
        <v/>
      </c>
      <c r="Q394" s="7">
        <f>IF(N394&lt;&gt;0,P394*N394,0)</f>
        <v/>
      </c>
      <c r="R394" s="8">
        <f>IF(Q394&lt;&gt;0,Q394+H394+L394,0)</f>
        <v/>
      </c>
      <c r="S394" s="9">
        <f>VLOOKUP(OPERAC[[#This Row],[especie]],[1]!ESPECIES[#Data],9,FALSE)</f>
        <v/>
      </c>
    </row>
    <row r="395">
      <c r="A395" s="4" t="n">
        <v>18690</v>
      </c>
      <c r="B395" s="5" t="n">
        <v>44495</v>
      </c>
      <c r="C395" s="13" t="inlineStr">
        <is>
          <t>VTA</t>
        </is>
      </c>
      <c r="D395" s="13" t="n">
        <v>39</v>
      </c>
      <c r="E395" s="10">
        <f>IF(D395&gt;0,VLOOKUP(OPERAC[[#This Row],[COD CART]],[1]!MatrizCortoLargoCyl[#All],3,0),"")</f>
        <v/>
      </c>
      <c r="F395" s="13" t="inlineStr">
        <is>
          <t>YPF/CC10/LP7/CP3/19-01-24</t>
        </is>
      </c>
      <c r="G395" s="6" t="n">
        <v>-500</v>
      </c>
      <c r="H395" s="6">
        <f>-2.41*OPERAC[[#This Row],[cantidad]]</f>
        <v/>
      </c>
      <c r="I395" s="7">
        <f>-H395/G395</f>
        <v/>
      </c>
      <c r="J395" s="11" t="n">
        <v>44713</v>
      </c>
      <c r="K395" s="6" t="n">
        <v>-500</v>
      </c>
      <c r="L395" s="6" t="n">
        <v>-1205</v>
      </c>
      <c r="M395" s="7">
        <f>IF(N395=0,+L395+H395,0)</f>
        <v/>
      </c>
      <c r="N395" s="7">
        <f>IF((+G395-K395)=0,0,+G395-K395)</f>
        <v/>
      </c>
      <c r="O395" s="7">
        <f>IF(N395=0,0,(L395+H395)/-N395)</f>
        <v/>
      </c>
      <c r="P395" s="7">
        <f>VLOOKUP(OPERAC[[#This Row],[especie]],[1]!ESPECIES[#All],6,0)</f>
        <v/>
      </c>
      <c r="Q395" s="7">
        <f>IF(N395&lt;&gt;0,P395*N395,0)</f>
        <v/>
      </c>
      <c r="R395" s="8">
        <f>IF(Q395&lt;&gt;0,Q395+H395+L395,0)</f>
        <v/>
      </c>
      <c r="S395" s="9">
        <f>VLOOKUP(OPERAC[[#This Row],[especie]],[1]!ESPECIES[#Data],9,FALSE)</f>
        <v/>
      </c>
    </row>
    <row r="396">
      <c r="A396" s="4" t="n">
        <v>18705</v>
      </c>
      <c r="B396" s="5" t="n">
        <v>44495</v>
      </c>
      <c r="C396" s="13" t="inlineStr">
        <is>
          <t>VTA</t>
        </is>
      </c>
      <c r="D396" s="13" t="n">
        <v>39</v>
      </c>
      <c r="E396" s="10">
        <f>IF(D396&gt;0,VLOOKUP(OPERAC[[#This Row],[COD CART]],[1]!MatrizCortoLargoCyl[#All],3,0),"")</f>
        <v/>
      </c>
      <c r="F396" s="13" t="inlineStr">
        <is>
          <t>YPF/CC10/LP7/CP3/19-01-24</t>
        </is>
      </c>
      <c r="G396" s="6" t="n">
        <v>-500</v>
      </c>
      <c r="H396" s="6">
        <f>-2.41*OPERAC[[#This Row],[cantidad]]</f>
        <v/>
      </c>
      <c r="I396" s="7">
        <f>-H396/G396</f>
        <v/>
      </c>
      <c r="J396" s="11" t="n"/>
      <c r="K396" s="6" t="n"/>
      <c r="L396" s="6" t="n"/>
      <c r="M396" s="7">
        <f>IF(N396=0,+L396+H396,0)</f>
        <v/>
      </c>
      <c r="N396" s="7">
        <f>IF((+G396-K396)=0,0,+G396-K396)</f>
        <v/>
      </c>
      <c r="O396" s="7">
        <f>IF(N396=0,0,(L396+H396)/-N396)</f>
        <v/>
      </c>
      <c r="P396" s="7">
        <f>VLOOKUP(OPERAC[[#This Row],[especie]],[1]!ESPECIES[#All],6,0)</f>
        <v/>
      </c>
      <c r="Q396" s="7">
        <f>IF(N396&lt;&gt;0,P396*N396,0)</f>
        <v/>
      </c>
      <c r="R396" s="8">
        <f>IF(Q396&lt;&gt;0,Q396+H396+L396,0)</f>
        <v/>
      </c>
      <c r="S396" s="9">
        <f>VLOOKUP(OPERAC[[#This Row],[especie]],[1]!ESPECIES[#Data],9,FALSE)</f>
        <v/>
      </c>
    </row>
    <row r="397">
      <c r="A397" s="4" t="n">
        <v>2203</v>
      </c>
      <c r="B397" s="5" t="n">
        <v>44441</v>
      </c>
      <c r="C397" s="13" t="inlineStr">
        <is>
          <t>VTA</t>
        </is>
      </c>
      <c r="D397" s="13" t="n">
        <v>39</v>
      </c>
      <c r="E397" s="10">
        <f>IF(D397&gt;0,VLOOKUP(OPERAC[[#This Row],[COD CART]],[1]!MatrizCortoLargoCyl[#All],3,0),"")</f>
        <v/>
      </c>
      <c r="F397" s="13" t="inlineStr">
        <is>
          <t>EDIT/V/35,00/20-01-23</t>
        </is>
      </c>
      <c r="G397" s="6" t="n">
        <v>-200</v>
      </c>
      <c r="H397" s="6" t="n">
        <v>1200</v>
      </c>
      <c r="I397" s="7">
        <f>-H397/G397</f>
        <v/>
      </c>
      <c r="J397" s="11" t="n">
        <v>44614</v>
      </c>
      <c r="K397" s="6" t="n">
        <v>-200</v>
      </c>
      <c r="L397" s="6" t="n">
        <v>-4273.92</v>
      </c>
      <c r="M397" s="7">
        <f>IF(N397=0,+L397+H397,0)</f>
        <v/>
      </c>
      <c r="N397" s="7">
        <f>IF((+G397-K397)=0,0,+G397-K397)</f>
        <v/>
      </c>
      <c r="O397" s="7">
        <f>IF(N397=0,0,(L397+H397)/-N397)</f>
        <v/>
      </c>
      <c r="P397" s="7">
        <f>VLOOKUP(OPERAC[[#This Row],[especie]],[1]!ESPECIES[#All],6,0)</f>
        <v/>
      </c>
      <c r="Q397" s="7">
        <f>IF(N397&lt;&gt;0,P397*N397,0)</f>
        <v/>
      </c>
      <c r="R397" s="8">
        <f>IF(Q397&lt;&gt;0,Q397+H397+L397,0)</f>
        <v/>
      </c>
      <c r="S397" s="9">
        <f>VLOOKUP(OPERAC[[#This Row],[especie]],[1]!ESPECIES[#Data],9,FALSE)</f>
        <v/>
      </c>
    </row>
    <row r="398">
      <c r="A398" s="4" t="n">
        <v>12662</v>
      </c>
      <c r="B398" s="5" t="n">
        <v>44596</v>
      </c>
      <c r="C398" s="13" t="inlineStr">
        <is>
          <t>VTA</t>
        </is>
      </c>
      <c r="D398" s="13" t="n">
        <v>39</v>
      </c>
      <c r="E398" s="10">
        <f>IF(D398&gt;0,VLOOKUP(OPERAC[[#This Row],[COD CART]],[1]!MatrizCortoLargoCyl[#All],3,0),"")</f>
        <v/>
      </c>
      <c r="F398" s="13" t="inlineStr">
        <is>
          <t>MELI/V/850,00/11-02-22</t>
        </is>
      </c>
      <c r="G398" s="6" t="n">
        <v>-300</v>
      </c>
      <c r="H398" s="6" t="n">
        <v>1190</v>
      </c>
      <c r="I398" s="7">
        <f>-H398/G398</f>
        <v/>
      </c>
      <c r="J398" s="11" t="n">
        <v>44603</v>
      </c>
      <c r="K398" s="6" t="n">
        <v>-300</v>
      </c>
      <c r="L398" s="6" t="n">
        <v>0</v>
      </c>
      <c r="M398" s="7">
        <f>IF(N398=0,+L398+H398,0)</f>
        <v/>
      </c>
      <c r="N398" s="7">
        <f>IF((+G398-K398)=0,0,+G398-K398)</f>
        <v/>
      </c>
      <c r="O398" s="7">
        <f>IF(N398=0,0,(L398+H398)/-N398)</f>
        <v/>
      </c>
      <c r="P398" s="7">
        <f>VLOOKUP(OPERAC[[#This Row],[especie]],[1]!ESPECIES[#All],6,0)</f>
        <v/>
      </c>
      <c r="Q398" s="7">
        <f>IF(N398&lt;&gt;0,P398*N398,0)</f>
        <v/>
      </c>
      <c r="R398" s="8">
        <f>IF(Q398&lt;&gt;0,Q398+H398+L398,0)</f>
        <v/>
      </c>
      <c r="S398" s="9">
        <f>VLOOKUP(OPERAC[[#This Row],[especie]],[1]!ESPECIES[#Data],9,FALSE)</f>
        <v/>
      </c>
    </row>
    <row r="399">
      <c r="A399" s="4" t="n">
        <v>12684</v>
      </c>
      <c r="B399" s="5" t="n">
        <v>44720</v>
      </c>
      <c r="C399" s="13" t="inlineStr">
        <is>
          <t>VTA</t>
        </is>
      </c>
      <c r="D399" s="13" t="n">
        <v>39</v>
      </c>
      <c r="E399" s="10">
        <f>IF(D399&gt;0,VLOOKUP(OPERAC[[#This Row],[COD CART]],[1]!MatrizCortoLargoCyl[#All],3,0),"")</f>
        <v/>
      </c>
      <c r="F399" s="14" t="inlineStr">
        <is>
          <t>TSLA/C/800,00/10-06-22</t>
        </is>
      </c>
      <c r="G399" s="6" t="n">
        <v>-400</v>
      </c>
      <c r="H399" s="6" t="n">
        <v>1189.8</v>
      </c>
      <c r="I399" s="7">
        <f>-H399/G399</f>
        <v/>
      </c>
      <c r="J399" s="5" t="n">
        <v>44722</v>
      </c>
      <c r="K399" s="6">
        <f>+OPERAC[[#This Row],[cantidad]]</f>
        <v/>
      </c>
      <c r="L399" s="6" t="n">
        <v>0</v>
      </c>
      <c r="M399" s="7">
        <f>IF(N399=0,+L399+H399,0)</f>
        <v/>
      </c>
      <c r="N399" s="7">
        <f>IF((+G399-K399)=0,0,+G399-K399)</f>
        <v/>
      </c>
      <c r="O399" s="7">
        <f>IF(N399=0,0,(L399+H399)/-N399)</f>
        <v/>
      </c>
      <c r="P399" s="7">
        <f>VLOOKUP(OPERAC[[#This Row],[especie]],[1]!ESPECIES[#All],6,0)</f>
        <v/>
      </c>
      <c r="Q399" s="7">
        <f>IF(N399&lt;&gt;0,P399*N399,0)</f>
        <v/>
      </c>
      <c r="R399" s="8">
        <f>IF(Q399&lt;&gt;0,Q399+H399+L399,0)</f>
        <v/>
      </c>
      <c r="S399" s="9">
        <f>VLOOKUP(OPERAC[[#This Row],[especie]],[1]!ESPECIES[#Data],9,FALSE)</f>
        <v/>
      </c>
    </row>
    <row r="400">
      <c r="A400" s="4" t="n">
        <v>16833</v>
      </c>
      <c r="B400" s="5" t="n">
        <v>44720</v>
      </c>
      <c r="C400" s="13" t="inlineStr">
        <is>
          <t>VTA</t>
        </is>
      </c>
      <c r="D400" s="13" t="n">
        <v>39</v>
      </c>
      <c r="E400" s="10">
        <f>IF(D400&gt;0,VLOOKUP(OPERAC[[#This Row],[COD CART]],[1]!MatrizCortoLargoCyl[#All],3,0),"")</f>
        <v/>
      </c>
      <c r="F400" s="14" t="inlineStr">
        <is>
          <t>TSLA/C/800,00/10-06-22</t>
        </is>
      </c>
      <c r="G400" s="6" t="n">
        <v>-400</v>
      </c>
      <c r="H400" s="6" t="n">
        <v>1189.8</v>
      </c>
      <c r="I400" s="7">
        <f>-H400/G400</f>
        <v/>
      </c>
      <c r="J400" s="5" t="n">
        <v>44722</v>
      </c>
      <c r="K400" s="6">
        <f>+OPERAC[[#This Row],[cantidad]]</f>
        <v/>
      </c>
      <c r="L400" s="6" t="n">
        <v>0</v>
      </c>
      <c r="M400" s="7">
        <f>IF(N400=0,+L400+H400,0)</f>
        <v/>
      </c>
      <c r="N400" s="7">
        <f>IF((+G400-K400)=0,0,+G400-K400)</f>
        <v/>
      </c>
      <c r="O400" s="7">
        <f>IF(N400=0,0,(L400+H400)/-N400)</f>
        <v/>
      </c>
      <c r="P400" s="7">
        <f>VLOOKUP(OPERAC[[#This Row],[especie]],[1]!ESPECIES[#All],6,0)</f>
        <v/>
      </c>
      <c r="Q400" s="7">
        <f>IF(N400&lt;&gt;0,P400*N400,0)</f>
        <v/>
      </c>
      <c r="R400" s="8">
        <f>IF(Q400&lt;&gt;0,Q400+H400+L400,0)</f>
        <v/>
      </c>
      <c r="S400" s="9">
        <f>VLOOKUP(OPERAC[[#This Row],[especie]],[1]!ESPECIES[#Data],9,FALSE)</f>
        <v/>
      </c>
    </row>
    <row r="401">
      <c r="A401" s="4" t="n">
        <v>16795</v>
      </c>
      <c r="B401" s="5" t="n">
        <v>44299</v>
      </c>
      <c r="C401" s="13" t="inlineStr">
        <is>
          <t>VTA</t>
        </is>
      </c>
      <c r="D401" s="13" t="n">
        <v>39</v>
      </c>
      <c r="E401" s="10">
        <f>IF(D401&gt;0,VLOOKUP(OPERAC[[#This Row],[COD CART]],[1]!MatrizCortoLargoCyl[#All],3,0),"")</f>
        <v/>
      </c>
      <c r="F401" s="13" t="inlineStr">
        <is>
          <t>TLRY1/V/10,00/20-01-23</t>
        </is>
      </c>
      <c r="G401" s="6" t="n">
        <v>-400</v>
      </c>
      <c r="H401" s="6" t="n">
        <v>1187.8128</v>
      </c>
      <c r="I401" s="7">
        <f>-H401/G401</f>
        <v/>
      </c>
      <c r="J401" s="11" t="n">
        <v>44614</v>
      </c>
      <c r="K401" s="6" t="n">
        <v>-400</v>
      </c>
      <c r="L401" s="6" t="n">
        <v>-2341.358</v>
      </c>
      <c r="M401" s="7">
        <f>IF(N401=0,+L401+H401,0)</f>
        <v/>
      </c>
      <c r="N401" s="7">
        <f>IF((+G401-K401)=0,0,+G401-K401)</f>
        <v/>
      </c>
      <c r="O401" s="7">
        <f>IF(N401=0,0,(L401+H401)/-N401)</f>
        <v/>
      </c>
      <c r="P401" s="7">
        <f>VLOOKUP(OPERAC[[#This Row],[especie]],[1]!ESPECIES[#All],6,0)</f>
        <v/>
      </c>
      <c r="Q401" s="7">
        <f>IF(N401&lt;&gt;0,P401*N401,0)</f>
        <v/>
      </c>
      <c r="R401" s="8">
        <f>IF(Q401&lt;&gt;0,Q401+H401+L401,0)</f>
        <v/>
      </c>
      <c r="S401" s="9">
        <f>VLOOKUP(OPERAC[[#This Row],[especie]],[1]!ESPECIES[#Data],9,FALSE)</f>
        <v/>
      </c>
    </row>
    <row r="402">
      <c r="A402" s="4" t="n">
        <v>25070</v>
      </c>
      <c r="B402" s="5" t="n">
        <v>44564</v>
      </c>
      <c r="C402" s="13" t="inlineStr">
        <is>
          <t>VTA</t>
        </is>
      </c>
      <c r="D402" s="13" t="n">
        <v>39</v>
      </c>
      <c r="E402" s="10">
        <f>IF(D402&gt;0,VLOOKUP(OPERAC[[#This Row],[COD CART]],[1]!MatrizCortoLargoCyl[#All],3,0),"")</f>
        <v/>
      </c>
      <c r="F402" s="13" t="inlineStr">
        <is>
          <t>TSLA/V/975,00/07-01-22</t>
        </is>
      </c>
      <c r="G402" s="6" t="n">
        <v>-1500</v>
      </c>
      <c r="H402" s="6" t="n">
        <v>1158.867</v>
      </c>
      <c r="I402" s="7">
        <f>-H402/G402</f>
        <v/>
      </c>
      <c r="J402" s="11" t="n">
        <v>44567</v>
      </c>
      <c r="K402" s="6" t="n">
        <v>-1500</v>
      </c>
      <c r="L402" s="6" t="n">
        <v>-1158.87</v>
      </c>
      <c r="M402" s="7">
        <f>IF(N402=0,+L402+H402,0)</f>
        <v/>
      </c>
      <c r="N402" s="7">
        <f>IF((+G402-K402)=0,0,+G402-K402)</f>
        <v/>
      </c>
      <c r="O402" s="7">
        <f>IF(N402=0,0,(L402+H402)/-N402)</f>
        <v/>
      </c>
      <c r="P402" s="7">
        <f>VLOOKUP(OPERAC[[#This Row],[especie]],[1]!ESPECIES[#All],6,0)</f>
        <v/>
      </c>
      <c r="Q402" s="7">
        <f>IF(N402&lt;&gt;0,P402*N402,0)</f>
        <v/>
      </c>
      <c r="R402" s="8">
        <f>IF(Q402&lt;&gt;0,Q402+H402+L402,0)</f>
        <v/>
      </c>
      <c r="S402" s="9">
        <f>VLOOKUP(OPERAC[[#This Row],[especie]],[1]!ESPECIES[#Data],9,FALSE)</f>
        <v/>
      </c>
    </row>
    <row r="403">
      <c r="A403" s="4" t="n">
        <v>1760</v>
      </c>
      <c r="B403" s="5" t="n">
        <v>44341</v>
      </c>
      <c r="C403" s="13" t="inlineStr">
        <is>
          <t>VTA</t>
        </is>
      </c>
      <c r="D403" s="13" t="n">
        <v>39</v>
      </c>
      <c r="E403" s="10">
        <f>IF(D403&gt;0,VLOOKUP(OPERAC[[#This Row],[COD CART]],[1]!MatrizCortoLargoCyl[#All],3,0),"")</f>
        <v/>
      </c>
      <c r="F403" s="13" t="inlineStr">
        <is>
          <t>INO/V/5,00/21-01-22</t>
        </is>
      </c>
      <c r="G403" s="6" t="n">
        <v>-1100</v>
      </c>
      <c r="H403" s="6">
        <f>1100*1.05</f>
        <v/>
      </c>
      <c r="I403" s="7">
        <f>-H403/G403</f>
        <v/>
      </c>
      <c r="J403" s="11" t="n">
        <v>44580</v>
      </c>
      <c r="K403" s="6" t="n">
        <v>-1100</v>
      </c>
      <c r="L403" s="6" t="n">
        <v>-859.771</v>
      </c>
      <c r="M403" s="7">
        <f>IF(N403=0,+L403+H403,0)</f>
        <v/>
      </c>
      <c r="N403" s="7">
        <f>IF((+G403-K403)=0,0,+G403-K403)</f>
        <v/>
      </c>
      <c r="O403" s="7">
        <f>IF(N403=0,0,(L403+H403)/-N403)</f>
        <v/>
      </c>
      <c r="P403" s="7">
        <f>VLOOKUP(OPERAC[[#This Row],[especie]],[1]!ESPECIES[#All],6,0)</f>
        <v/>
      </c>
      <c r="Q403" s="7">
        <f>IF(N403&lt;&gt;0,P403*N403,0)</f>
        <v/>
      </c>
      <c r="R403" s="8">
        <f>IF(Q403&lt;&gt;0,Q403+H403+L403,0)</f>
        <v/>
      </c>
      <c r="S403" s="9">
        <f>VLOOKUP(OPERAC[[#This Row],[especie]],[1]!ESPECIES[#Data],9,FALSE)</f>
        <v/>
      </c>
    </row>
    <row r="404">
      <c r="A404" s="4" t="n">
        <v>12611</v>
      </c>
      <c r="B404" s="5" t="n">
        <v>44571</v>
      </c>
      <c r="C404" s="13" t="inlineStr">
        <is>
          <t>VTA</t>
        </is>
      </c>
      <c r="D404" s="13" t="n">
        <v>39</v>
      </c>
      <c r="E404" s="10">
        <f>IF(D404&gt;0,VLOOKUP(OPERAC[[#This Row],[COD CART]],[1]!MatrizCortoLargoCyl[#All],3,0),"")</f>
        <v/>
      </c>
      <c r="F404" s="13" t="inlineStr">
        <is>
          <t>TSLA/V/870,00/21-01-22</t>
        </is>
      </c>
      <c r="G404" s="6" t="n">
        <v>-200</v>
      </c>
      <c r="H404" s="6" t="n">
        <v>1150.1874</v>
      </c>
      <c r="I404" s="7">
        <f>-H404/G404</f>
        <v/>
      </c>
      <c r="J404" s="11" t="n">
        <v>44574</v>
      </c>
      <c r="K404" s="6" t="n">
        <v>-200</v>
      </c>
      <c r="L404" s="6" t="n">
        <v>-333.1626</v>
      </c>
      <c r="M404" s="7">
        <f>IF(N404=0,+L404+H404,0)</f>
        <v/>
      </c>
      <c r="N404" s="7">
        <f>IF((+G404-K404)=0,0,+G404-K404)</f>
        <v/>
      </c>
      <c r="O404" s="7">
        <f>IF(N404=0,0,(L404+H404)/-N404)</f>
        <v/>
      </c>
      <c r="P404" s="7">
        <f>VLOOKUP(OPERAC[[#This Row],[especie]],[1]!ESPECIES[#All],6,0)</f>
        <v/>
      </c>
      <c r="Q404" s="7">
        <f>IF(N404&lt;&gt;0,P404*N404,0)</f>
        <v/>
      </c>
      <c r="R404" s="8">
        <f>IF(Q404&lt;&gt;0,Q404+H404+L404,0)</f>
        <v/>
      </c>
      <c r="S404" s="9">
        <f>VLOOKUP(OPERAC[[#This Row],[especie]],[1]!ESPECIES[#Data],9,FALSE)</f>
        <v/>
      </c>
    </row>
    <row r="405">
      <c r="A405" s="4" t="n">
        <v>12652</v>
      </c>
      <c r="B405" s="5" t="n">
        <v>44571</v>
      </c>
      <c r="C405" s="13" t="inlineStr">
        <is>
          <t>VTA</t>
        </is>
      </c>
      <c r="D405" s="13" t="n">
        <v>39</v>
      </c>
      <c r="E405" s="10">
        <f>IF(D405&gt;0,VLOOKUP(OPERAC[[#This Row],[COD CART]],[1]!MatrizCortoLargoCyl[#All],3,0),"")</f>
        <v/>
      </c>
      <c r="F405" s="13" t="inlineStr">
        <is>
          <t>TSLA/V/870,00/21-01-22</t>
        </is>
      </c>
      <c r="G405" s="6" t="n">
        <v>-200</v>
      </c>
      <c r="H405" s="6" t="n">
        <v>1150.1874</v>
      </c>
      <c r="I405" s="7">
        <f>-H405/G405</f>
        <v/>
      </c>
      <c r="J405" s="11" t="n">
        <v>44574</v>
      </c>
      <c r="K405" s="6" t="n">
        <v>-200</v>
      </c>
      <c r="L405" s="6" t="n">
        <v>-333.1626</v>
      </c>
      <c r="M405" s="7">
        <f>IF(N405=0,+L405+H405,0)</f>
        <v/>
      </c>
      <c r="N405" s="7">
        <f>IF((+G405-K405)=0,0,+G405-K405)</f>
        <v/>
      </c>
      <c r="O405" s="7">
        <f>IF(N405=0,0,(L405+H405)/-N405)</f>
        <v/>
      </c>
      <c r="P405" s="7">
        <f>VLOOKUP(OPERAC[[#This Row],[especie]],[1]!ESPECIES[#All],6,0)</f>
        <v/>
      </c>
      <c r="Q405" s="7">
        <f>IF(N405&lt;&gt;0,P405*N405,0)</f>
        <v/>
      </c>
      <c r="R405" s="8">
        <f>IF(Q405&lt;&gt;0,Q405+H405+L405,0)</f>
        <v/>
      </c>
      <c r="S405" s="9">
        <f>VLOOKUP(OPERAC[[#This Row],[especie]],[1]!ESPECIES[#Data],9,FALSE)</f>
        <v/>
      </c>
    </row>
    <row r="406">
      <c r="A406" s="4" t="n">
        <v>12655</v>
      </c>
      <c r="B406" s="5" t="n">
        <v>44571</v>
      </c>
      <c r="C406" s="13" t="inlineStr">
        <is>
          <t>VTA</t>
        </is>
      </c>
      <c r="D406" s="13" t="n">
        <v>39</v>
      </c>
      <c r="E406" s="10">
        <f>IF(D406&gt;0,VLOOKUP(OPERAC[[#This Row],[COD CART]],[1]!MatrizCortoLargoCyl[#All],3,0),"")</f>
        <v/>
      </c>
      <c r="F406" s="13" t="inlineStr">
        <is>
          <t>TSLA/V/870,00/21-01-22</t>
        </is>
      </c>
      <c r="G406" s="6" t="n">
        <v>-200</v>
      </c>
      <c r="H406" s="6" t="n">
        <v>1150.1874</v>
      </c>
      <c r="I406" s="7">
        <f>-H406/G406</f>
        <v/>
      </c>
      <c r="J406" s="11" t="n">
        <v>44574</v>
      </c>
      <c r="K406" s="6" t="n">
        <v>-200</v>
      </c>
      <c r="L406" s="6" t="n">
        <v>-333.1626</v>
      </c>
      <c r="M406" s="7">
        <f>IF(N406=0,+L406+H406,0)</f>
        <v/>
      </c>
      <c r="N406" s="7">
        <f>IF((+G406-K406)=0,0,+G406-K406)</f>
        <v/>
      </c>
      <c r="O406" s="7">
        <f>IF(N406=0,0,(L406+H406)/-N406)</f>
        <v/>
      </c>
      <c r="P406" s="7">
        <f>VLOOKUP(OPERAC[[#This Row],[especie]],[1]!ESPECIES[#All],6,0)</f>
        <v/>
      </c>
      <c r="Q406" s="7">
        <f>IF(N406&lt;&gt;0,P406*N406,0)</f>
        <v/>
      </c>
      <c r="R406" s="8">
        <f>IF(Q406&lt;&gt;0,Q406+H406+L406,0)</f>
        <v/>
      </c>
      <c r="S406" s="9">
        <f>VLOOKUP(OPERAC[[#This Row],[especie]],[1]!ESPECIES[#Data],9,FALSE)</f>
        <v/>
      </c>
    </row>
    <row r="407">
      <c r="A407" s="4" t="n">
        <v>16783</v>
      </c>
      <c r="B407" s="5" t="n">
        <v>44589</v>
      </c>
      <c r="C407" s="13" t="inlineStr">
        <is>
          <t>VTA</t>
        </is>
      </c>
      <c r="D407" s="13" t="n">
        <v>39</v>
      </c>
      <c r="E407" s="10">
        <f>IF(D407&gt;0,VLOOKUP(OPERAC[[#This Row],[COD CART]],[1]!MatrizCortoLargoCyl[#All],3,0),"")</f>
        <v/>
      </c>
      <c r="F407" s="13" t="inlineStr">
        <is>
          <t>TSLA/V/680,00/04-02-22</t>
        </is>
      </c>
      <c r="G407" s="6" t="n">
        <v>-500</v>
      </c>
      <c r="H407" s="6" t="n">
        <v>1145.397355</v>
      </c>
      <c r="I407" s="7">
        <f>-H407/G407</f>
        <v/>
      </c>
      <c r="J407" s="11" t="n">
        <v>44596</v>
      </c>
      <c r="K407" s="6">
        <f>+OPERAC[[#This Row],[cantidad]]</f>
        <v/>
      </c>
      <c r="L407" s="6" t="n">
        <v>-10.04</v>
      </c>
      <c r="M407" s="7">
        <f>IF(N407=0,+L407+H407,0)</f>
        <v/>
      </c>
      <c r="N407" s="7">
        <f>IF((+G407-K407)=0,0,+G407-K407)</f>
        <v/>
      </c>
      <c r="O407" s="7">
        <f>IF(N407=0,0,(L407+H407)/-N407)</f>
        <v/>
      </c>
      <c r="P407" s="7">
        <f>VLOOKUP(OPERAC[[#This Row],[especie]],[1]!ESPECIES[#All],6,0)</f>
        <v/>
      </c>
      <c r="Q407" s="7">
        <f>IF(N407&lt;&gt;0,P407*N407,0)</f>
        <v/>
      </c>
      <c r="R407" s="8">
        <f>IF(Q407&lt;&gt;0,Q407+H407+L407,0)</f>
        <v/>
      </c>
      <c r="S407" s="9">
        <f>VLOOKUP(OPERAC[[#This Row],[especie]],[1]!ESPECIES[#Data],9,FALSE)</f>
        <v/>
      </c>
    </row>
    <row r="408">
      <c r="A408" s="4" t="n">
        <v>12688</v>
      </c>
      <c r="B408" s="5" t="n">
        <v>44670</v>
      </c>
      <c r="C408" s="13" t="inlineStr">
        <is>
          <t>VTA</t>
        </is>
      </c>
      <c r="D408" s="13" t="n">
        <v>39</v>
      </c>
      <c r="E408" s="10">
        <f>IF(D408&gt;0,VLOOKUP(OPERAC[[#This Row],[COD CART]],[1]!MatrizCortoLargoCyl[#All],3,0),"")</f>
        <v/>
      </c>
      <c r="F408" s="13" t="inlineStr">
        <is>
          <t>UPST/V/75,00/22-04-22</t>
        </is>
      </c>
      <c r="G408" s="6" t="n">
        <v>-1000</v>
      </c>
      <c r="H408" s="6" t="n">
        <v>1140.225</v>
      </c>
      <c r="I408" s="7">
        <f>-H408/G408</f>
        <v/>
      </c>
      <c r="J408" s="11" t="n">
        <v>44673</v>
      </c>
      <c r="K408" s="6" t="n">
        <v>-1000</v>
      </c>
      <c r="L408" s="6" t="n">
        <v>-2117.85</v>
      </c>
      <c r="M408" s="7">
        <f>IF(N408=0,+L408+H408,0)</f>
        <v/>
      </c>
      <c r="N408" s="7">
        <f>IF((+G408-K408)=0,0,+G408-K408)</f>
        <v/>
      </c>
      <c r="O408" s="7">
        <f>IF(N408=0,0,(L408+H408)/-N408)</f>
        <v/>
      </c>
      <c r="P408" s="7">
        <f>VLOOKUP(OPERAC[[#This Row],[especie]],[1]!ESPECIES[#All],6,0)</f>
        <v/>
      </c>
      <c r="Q408" s="7">
        <f>IF(N408&lt;&gt;0,P408*N408,0)</f>
        <v/>
      </c>
      <c r="R408" s="8">
        <f>IF(Q408&lt;&gt;0,Q408+H408+L408,0)</f>
        <v/>
      </c>
      <c r="S408" s="9">
        <f>VLOOKUP(OPERAC[[#This Row],[especie]],[1]!ESPECIES[#Data],9,FALSE)</f>
        <v/>
      </c>
    </row>
    <row r="409">
      <c r="A409" s="4" t="n">
        <v>18662</v>
      </c>
      <c r="B409" s="5" t="n">
        <v>44585</v>
      </c>
      <c r="C409" s="13" t="inlineStr">
        <is>
          <t>VTA</t>
        </is>
      </c>
      <c r="D409" s="13" t="n">
        <v>39</v>
      </c>
      <c r="E409" s="10">
        <f>IF(D409&gt;0,VLOOKUP(OPERAC[[#This Row],[COD CART]],[1]!MatrizCortoLargoCyl[#All],3,0),"")</f>
        <v/>
      </c>
      <c r="F409" s="13" t="inlineStr">
        <is>
          <t>MELI/V/700,00/28-01-22</t>
        </is>
      </c>
      <c r="G409" s="6" t="n">
        <v>-400</v>
      </c>
      <c r="H409" s="6" t="n">
        <v>1130.88</v>
      </c>
      <c r="I409" s="7">
        <f>-H409/G409</f>
        <v/>
      </c>
      <c r="J409" s="11" t="n">
        <v>44586</v>
      </c>
      <c r="K409" s="6">
        <f>-200-200</f>
        <v/>
      </c>
      <c r="L409" s="6">
        <f>-114.439-10.08</f>
        <v/>
      </c>
      <c r="M409" s="7">
        <f>IF(N409=0,+L409+H409,0)</f>
        <v/>
      </c>
      <c r="N409" s="7">
        <f>IF((+G409-K409)=0,0,+G409-K409)</f>
        <v/>
      </c>
      <c r="O409" s="7">
        <f>IF(N409=0,0,(L409+H409)/-N409)</f>
        <v/>
      </c>
      <c r="P409" s="7">
        <f>VLOOKUP(OPERAC[[#This Row],[especie]],[1]!ESPECIES[#All],6,0)</f>
        <v/>
      </c>
      <c r="Q409" s="7">
        <f>IF(N409&lt;&gt;0,P409*N409,0)</f>
        <v/>
      </c>
      <c r="R409" s="8">
        <f>IF(Q409&lt;&gt;0,Q409+H409+L409,0)</f>
        <v/>
      </c>
      <c r="S409" s="9">
        <f>VLOOKUP(OPERAC[[#This Row],[especie]],[1]!ESPECIES[#Data],9,FALSE)</f>
        <v/>
      </c>
    </row>
    <row r="410">
      <c r="A410" s="4" t="n">
        <v>16780</v>
      </c>
      <c r="B410" s="5" t="n">
        <v>44678</v>
      </c>
      <c r="C410" s="13" t="inlineStr">
        <is>
          <t>VTA</t>
        </is>
      </c>
      <c r="D410" s="13" t="n">
        <v>39</v>
      </c>
      <c r="E410" s="10">
        <f>IF(D410&gt;0,VLOOKUP(OPERAC[[#This Row],[COD CART]],[1]!MatrizCortoLargoCyl[#All],3,0),"")</f>
        <v/>
      </c>
      <c r="F410" s="13" t="inlineStr">
        <is>
          <t>TSLA/V/740,00/29-04-22</t>
        </is>
      </c>
      <c r="G410" s="6" t="n">
        <v>-2000</v>
      </c>
      <c r="H410" s="6" t="n">
        <v>1130.31</v>
      </c>
      <c r="I410" s="7">
        <f>-H410/G410</f>
        <v/>
      </c>
      <c r="J410" s="11" t="n">
        <v>44680</v>
      </c>
      <c r="K410" s="6" t="n">
        <v>-2000</v>
      </c>
      <c r="L410" s="6" t="n">
        <v>-60.51</v>
      </c>
      <c r="M410" s="7">
        <f>IF(N410=0,+L410+H410,0)</f>
        <v/>
      </c>
      <c r="N410" s="7">
        <f>IF((+G410-K410)=0,0,+G410-K410)</f>
        <v/>
      </c>
      <c r="O410" s="7">
        <f>IF(N410=0,0,(L410+H410)/-N410)</f>
        <v/>
      </c>
      <c r="P410" s="7">
        <f>VLOOKUP(OPERAC[[#This Row],[especie]],[1]!ESPECIES[#All],6,0)</f>
        <v/>
      </c>
      <c r="Q410" s="7">
        <f>IF(N410&lt;&gt;0,P410*N410,0)</f>
        <v/>
      </c>
      <c r="R410" s="8">
        <f>IF(Q410&lt;&gt;0,Q410+H410+L410,0)</f>
        <v/>
      </c>
      <c r="S410" s="9">
        <f>VLOOKUP(OPERAC[[#This Row],[especie]],[1]!ESPECIES[#Data],9,FALSE)</f>
        <v/>
      </c>
    </row>
    <row r="411">
      <c r="A411" s="4" t="n">
        <v>3728</v>
      </c>
      <c r="B411" s="5" t="n">
        <v>44676</v>
      </c>
      <c r="C411" s="13" t="inlineStr">
        <is>
          <t>VTA</t>
        </is>
      </c>
      <c r="D411" s="13" t="n">
        <v>39</v>
      </c>
      <c r="E411" s="10">
        <f>IF(D411&gt;0,VLOOKUP(OPERAC[[#This Row],[COD CART]],[1]!MatrizCortoLargoCyl[#All],3,0),"")</f>
        <v/>
      </c>
      <c r="F411" s="13" t="inlineStr">
        <is>
          <t>UPST/V/67,00/06-05-22</t>
        </is>
      </c>
      <c r="G411" s="6" t="n">
        <v>-500</v>
      </c>
      <c r="H411" s="6" t="n">
        <v>1123.875</v>
      </c>
      <c r="I411" s="7">
        <f>-H411/G411</f>
        <v/>
      </c>
      <c r="J411" s="11" t="n">
        <v>44687</v>
      </c>
      <c r="K411" s="6">
        <f>OPERAC[[#This Row],[cantidad]]</f>
        <v/>
      </c>
      <c r="L411" s="6" t="n">
        <v>0</v>
      </c>
      <c r="M411" s="7">
        <f>IF(N411=0,+L411+H411,0)</f>
        <v/>
      </c>
      <c r="N411" s="7">
        <f>IF((+G411-K411)=0,0,+G411-K411)</f>
        <v/>
      </c>
      <c r="O411" s="7">
        <f>IF(N411=0,0,(L411+H411)/-N411)</f>
        <v/>
      </c>
      <c r="P411" s="7">
        <f>VLOOKUP(OPERAC[[#This Row],[especie]],[1]!ESPECIES[#All],6,0)</f>
        <v/>
      </c>
      <c r="Q411" s="7">
        <f>IF(N411&lt;&gt;0,P411*N411,0)</f>
        <v/>
      </c>
      <c r="R411" s="8">
        <f>IF(Q411&lt;&gt;0,Q411+H411+L411,0)</f>
        <v/>
      </c>
      <c r="S411" s="9">
        <f>VLOOKUP(OPERAC[[#This Row],[especie]],[1]!ESPECIES[#Data],9,FALSE)</f>
        <v/>
      </c>
    </row>
    <row r="412">
      <c r="A412" s="4" t="n">
        <v>16783</v>
      </c>
      <c r="B412" s="5" t="n">
        <v>44676</v>
      </c>
      <c r="C412" s="13" t="inlineStr">
        <is>
          <t>VTA</t>
        </is>
      </c>
      <c r="D412" s="13" t="n">
        <v>39</v>
      </c>
      <c r="E412" s="10">
        <f>IF(D412&gt;0,VLOOKUP(OPERAC[[#This Row],[COD CART]],[1]!MatrizCortoLargoCyl[#All],3,0),"")</f>
        <v/>
      </c>
      <c r="F412" s="13" t="inlineStr">
        <is>
          <t>UPST/V/67,00/06-05-22</t>
        </is>
      </c>
      <c r="G412" s="6" t="n">
        <v>-500</v>
      </c>
      <c r="H412" s="6" t="n">
        <v>1119.9375</v>
      </c>
      <c r="I412" s="7">
        <f>-H412/G412</f>
        <v/>
      </c>
      <c r="J412" s="11" t="n">
        <v>44687</v>
      </c>
      <c r="K412" s="6">
        <f>OPERAC[[#This Row],[cantidad]]</f>
        <v/>
      </c>
      <c r="L412" s="6" t="n">
        <v>0</v>
      </c>
      <c r="M412" s="7">
        <f>IF(N412=0,+L412+H412,0)</f>
        <v/>
      </c>
      <c r="N412" s="7">
        <f>IF((+G412-K412)=0,0,+G412-K412)</f>
        <v/>
      </c>
      <c r="O412" s="7">
        <f>IF(N412=0,0,(L412+H412)/-N412)</f>
        <v/>
      </c>
      <c r="P412" s="7">
        <f>VLOOKUP(OPERAC[[#This Row],[especie]],[1]!ESPECIES[#All],6,0)</f>
        <v/>
      </c>
      <c r="Q412" s="7">
        <f>IF(N412&lt;&gt;0,P412*N412,0)</f>
        <v/>
      </c>
      <c r="R412" s="8">
        <f>IF(Q412&lt;&gt;0,Q412+H412+L412,0)</f>
        <v/>
      </c>
      <c r="S412" s="9">
        <f>VLOOKUP(OPERAC[[#This Row],[especie]],[1]!ESPECIES[#Data],9,FALSE)</f>
        <v/>
      </c>
    </row>
    <row r="413">
      <c r="A413" s="4" t="n">
        <v>19920</v>
      </c>
      <c r="B413" s="5" t="n">
        <v>44676</v>
      </c>
      <c r="C413" s="13" t="inlineStr">
        <is>
          <t>VTA</t>
        </is>
      </c>
      <c r="D413" s="13" t="n">
        <v>39</v>
      </c>
      <c r="E413" s="10">
        <f>IF(D413&gt;0,VLOOKUP(OPERAC[[#This Row],[COD CART]],[1]!MatrizCortoLargoCyl[#All],3,0),"")</f>
        <v/>
      </c>
      <c r="F413" s="13" t="inlineStr">
        <is>
          <t>UPST/V/67,00/06-05-22</t>
        </is>
      </c>
      <c r="G413" s="6" t="n">
        <v>-500</v>
      </c>
      <c r="H413" s="6" t="n">
        <v>1115.4375</v>
      </c>
      <c r="I413" s="7">
        <f>-H413/G413</f>
        <v/>
      </c>
      <c r="J413" s="11" t="n">
        <v>44687</v>
      </c>
      <c r="K413" s="6">
        <f>OPERAC[[#This Row],[cantidad]]</f>
        <v/>
      </c>
      <c r="L413" s="6" t="n">
        <v>0</v>
      </c>
      <c r="M413" s="7">
        <f>IF(N413=0,+L413+H413,0)</f>
        <v/>
      </c>
      <c r="N413" s="7">
        <f>IF((+G413-K413)=0,0,+G413-K413)</f>
        <v/>
      </c>
      <c r="O413" s="7">
        <f>IF(N413=0,0,(L413+H413)/-N413)</f>
        <v/>
      </c>
      <c r="P413" s="7">
        <f>VLOOKUP(OPERAC[[#This Row],[especie]],[1]!ESPECIES[#All],6,0)</f>
        <v/>
      </c>
      <c r="Q413" s="7">
        <f>IF(N413&lt;&gt;0,P413*N413,0)</f>
        <v/>
      </c>
      <c r="R413" s="8">
        <f>IF(Q413&lt;&gt;0,Q413+H413+L413,0)</f>
        <v/>
      </c>
      <c r="S413" s="9">
        <f>VLOOKUP(OPERAC[[#This Row],[especie]],[1]!ESPECIES[#Data],9,FALSE)</f>
        <v/>
      </c>
    </row>
    <row r="414">
      <c r="A414" s="4" t="n">
        <v>18677</v>
      </c>
      <c r="B414" s="5" t="n">
        <v>44642</v>
      </c>
      <c r="C414" s="13" t="inlineStr">
        <is>
          <t>VTA</t>
        </is>
      </c>
      <c r="D414" s="13" t="n">
        <v>39</v>
      </c>
      <c r="E414" s="10">
        <f>IF(D414&gt;0,VLOOKUP(OPERAC[[#This Row],[COD CART]],[1]!MatrizCortoLargoCyl[#All],3,0),"")</f>
        <v/>
      </c>
      <c r="F414" s="13" t="inlineStr">
        <is>
          <t>TSLA/V/815,00/25-03-22</t>
        </is>
      </c>
      <c r="G414" s="6" t="n">
        <v>-1000</v>
      </c>
      <c r="H414" s="6" t="n">
        <v>1108.32</v>
      </c>
      <c r="I414" s="7">
        <f>-H414/G414</f>
        <v/>
      </c>
      <c r="J414" s="11" t="n">
        <v>44645</v>
      </c>
      <c r="K414" s="6" t="n">
        <v>-1000</v>
      </c>
      <c r="L414" s="6" t="n">
        <v>0</v>
      </c>
      <c r="M414" s="7">
        <f>IF(N414=0,+L414+H414,0)</f>
        <v/>
      </c>
      <c r="N414" s="7">
        <f>IF((+G414-K414)=0,0,+G414-K414)</f>
        <v/>
      </c>
      <c r="O414" s="7">
        <f>IF(N414=0,0,(L414+H414)/-N414)</f>
        <v/>
      </c>
      <c r="P414" s="7">
        <f>VLOOKUP(OPERAC[[#This Row],[especie]],[1]!ESPECIES[#All],6,0)</f>
        <v/>
      </c>
      <c r="Q414" s="7">
        <f>IF(N414&lt;&gt;0,P414*N414,0)</f>
        <v/>
      </c>
      <c r="R414" s="8">
        <f>IF(Q414&lt;&gt;0,Q414+H414+L414,0)</f>
        <v/>
      </c>
      <c r="S414" s="9">
        <f>VLOOKUP(OPERAC[[#This Row],[especie]],[1]!ESPECIES[#Data],9,FALSE)</f>
        <v/>
      </c>
    </row>
    <row r="415">
      <c r="A415" s="4" t="n">
        <v>12674</v>
      </c>
      <c r="B415" s="5" t="n">
        <v>44642</v>
      </c>
      <c r="C415" s="13" t="inlineStr">
        <is>
          <t>VTA</t>
        </is>
      </c>
      <c r="D415" s="13" t="n">
        <v>39</v>
      </c>
      <c r="E415" s="10">
        <f>IF(D415&gt;0,VLOOKUP(OPERAC[[#This Row],[COD CART]],[1]!MatrizCortoLargoCyl[#All],3,0),"")</f>
        <v/>
      </c>
      <c r="F415" s="13" t="inlineStr">
        <is>
          <t>TSLA/V/815,00/25-03-22</t>
        </is>
      </c>
      <c r="G415" s="6" t="n">
        <v>-1000</v>
      </c>
      <c r="H415" s="6" t="n">
        <v>1108.32</v>
      </c>
      <c r="I415" s="7">
        <f>-H415/G415</f>
        <v/>
      </c>
      <c r="J415" s="11" t="n">
        <v>44645</v>
      </c>
      <c r="K415" s="6" t="n">
        <v>-1000</v>
      </c>
      <c r="L415" s="6" t="n">
        <v>0</v>
      </c>
      <c r="M415" s="7">
        <f>IF(N415=0,+L415+H415,0)</f>
        <v/>
      </c>
      <c r="N415" s="7">
        <f>IF((+G415-K415)=0,0,+G415-K415)</f>
        <v/>
      </c>
      <c r="O415" s="7">
        <f>IF(N415=0,0,(L415+H415)/-N415)</f>
        <v/>
      </c>
      <c r="P415" s="7">
        <f>VLOOKUP(OPERAC[[#This Row],[especie]],[1]!ESPECIES[#All],6,0)</f>
        <v/>
      </c>
      <c r="Q415" s="7">
        <f>IF(N415&lt;&gt;0,P415*N415,0)</f>
        <v/>
      </c>
      <c r="R415" s="8">
        <f>IF(Q415&lt;&gt;0,Q415+H415+L415,0)</f>
        <v/>
      </c>
      <c r="S415" s="9">
        <f>VLOOKUP(OPERAC[[#This Row],[especie]],[1]!ESPECIES[#Data],9,FALSE)</f>
        <v/>
      </c>
    </row>
    <row r="416">
      <c r="A416" s="4" t="n">
        <v>22407</v>
      </c>
      <c r="B416" s="5" t="n">
        <v>44580</v>
      </c>
      <c r="C416" s="13" t="inlineStr">
        <is>
          <t>VTA</t>
        </is>
      </c>
      <c r="D416" s="13" t="n">
        <v>39</v>
      </c>
      <c r="E416" s="10">
        <f>IF(D416&gt;0,VLOOKUP(OPERAC[[#This Row],[COD CART]],[1]!MatrizCortoLargoCyl[#All],3,0),"")</f>
        <v/>
      </c>
      <c r="F416" s="13" t="inlineStr">
        <is>
          <t>INO/V/7,00/18-02-22</t>
        </is>
      </c>
      <c r="G416" s="6" t="n">
        <v>-400</v>
      </c>
      <c r="H416" s="6" t="n">
        <v>1108.26</v>
      </c>
      <c r="I416" s="7">
        <f>-H416/G416</f>
        <v/>
      </c>
      <c r="J416" s="11" t="n">
        <v>44600</v>
      </c>
      <c r="K416" s="6" t="n">
        <v>-400</v>
      </c>
      <c r="L416" s="6" t="n">
        <v>-1108</v>
      </c>
      <c r="M416" s="7">
        <f>IF(N416=0,+L416+H416,0)</f>
        <v/>
      </c>
      <c r="N416" s="7">
        <f>IF((+G416-K416)=0,0,+G416-K416)</f>
        <v/>
      </c>
      <c r="O416" s="7">
        <f>IF(N416=0,0,(L416+H416)/-N416)</f>
        <v/>
      </c>
      <c r="P416" s="7">
        <f>VLOOKUP(OPERAC[[#This Row],[especie]],[1]!ESPECIES[#All],6,0)</f>
        <v/>
      </c>
      <c r="Q416" s="7">
        <f>IF(N416&lt;&gt;0,P416*N416,0)</f>
        <v/>
      </c>
      <c r="R416" s="8">
        <f>IF(Q416&lt;&gt;0,Q416+H416+L416,0)</f>
        <v/>
      </c>
      <c r="S416" s="9">
        <f>VLOOKUP(OPERAC[[#This Row],[especie]],[1]!ESPECIES[#Data],9,FALSE)</f>
        <v/>
      </c>
    </row>
    <row r="417">
      <c r="A417" s="4" t="n">
        <v>26137</v>
      </c>
      <c r="B417" s="5" t="n">
        <v>44580</v>
      </c>
      <c r="C417" s="13" t="inlineStr">
        <is>
          <t>VTA</t>
        </is>
      </c>
      <c r="D417" s="13" t="n">
        <v>39</v>
      </c>
      <c r="E417" s="10">
        <f>IF(D417&gt;0,VLOOKUP(OPERAC[[#This Row],[COD CART]],[1]!MatrizCortoLargoCyl[#All],3,0),"")</f>
        <v/>
      </c>
      <c r="F417" s="13" t="inlineStr">
        <is>
          <t>INO/V/7,00/18-02-22</t>
        </is>
      </c>
      <c r="G417" s="6" t="n">
        <v>-400</v>
      </c>
      <c r="H417" s="6" t="n">
        <v>1108.26</v>
      </c>
      <c r="I417" s="7">
        <f>-H417/G417</f>
        <v/>
      </c>
      <c r="J417" s="11" t="n">
        <v>44600</v>
      </c>
      <c r="K417" s="6" t="n">
        <v>-400</v>
      </c>
      <c r="L417" s="6" t="n">
        <v>-1108</v>
      </c>
      <c r="M417" s="7">
        <f>IF(N417=0,+L417+H417,0)</f>
        <v/>
      </c>
      <c r="N417" s="7">
        <f>IF((+G417-K417)=0,0,+G417-K417)</f>
        <v/>
      </c>
      <c r="O417" s="7">
        <f>IF(N417=0,0,(L417+H417)/-N417)</f>
        <v/>
      </c>
      <c r="P417" s="7">
        <f>VLOOKUP(OPERAC[[#This Row],[especie]],[1]!ESPECIES[#All],6,0)</f>
        <v/>
      </c>
      <c r="Q417" s="7">
        <f>IF(N417&lt;&gt;0,P417*N417,0)</f>
        <v/>
      </c>
      <c r="R417" s="8">
        <f>IF(Q417&lt;&gt;0,Q417+H417+L417,0)</f>
        <v/>
      </c>
      <c r="S417" s="9">
        <f>VLOOKUP(OPERAC[[#This Row],[especie]],[1]!ESPECIES[#Data],9,FALSE)</f>
        <v/>
      </c>
    </row>
    <row r="418">
      <c r="A418" s="4" t="n">
        <v>16780</v>
      </c>
      <c r="B418" s="5" t="n">
        <v>44579</v>
      </c>
      <c r="C418" s="13" t="inlineStr">
        <is>
          <t>VTA</t>
        </is>
      </c>
      <c r="D418" s="13" t="n">
        <v>39</v>
      </c>
      <c r="E418" s="10">
        <f>IF(D418&gt;0,VLOOKUP(OPERAC[[#This Row],[COD CART]],[1]!MatrizCortoLargoCyl[#All],3,0),"")</f>
        <v/>
      </c>
      <c r="F418" s="13" t="inlineStr">
        <is>
          <t>SOLO/V/3,50/25-02-22</t>
        </is>
      </c>
      <c r="G418" s="6" t="n">
        <v>-800</v>
      </c>
      <c r="H418" s="6" t="n">
        <v>1105.48592</v>
      </c>
      <c r="I418" s="7">
        <f>-H418/G418</f>
        <v/>
      </c>
      <c r="J418" s="11" t="n">
        <v>44608</v>
      </c>
      <c r="K418" s="6">
        <f>+OPERAC[[#This Row],[cantidad]]</f>
        <v/>
      </c>
      <c r="L418" s="6" t="n">
        <v>-1116.032</v>
      </c>
      <c r="M418" s="7">
        <f>IF(N418=0,+L418+H418,0)</f>
        <v/>
      </c>
      <c r="N418" s="7">
        <f>IF((+G418-K418)=0,0,+G418-K418)</f>
        <v/>
      </c>
      <c r="O418" s="7">
        <f>IF(N418=0,0,(L418+H418)/-N418)</f>
        <v/>
      </c>
      <c r="P418" s="7">
        <f>VLOOKUP(OPERAC[[#This Row],[especie]],[1]!ESPECIES[#All],6,0)</f>
        <v/>
      </c>
      <c r="Q418" s="7">
        <f>IF(N418&lt;&gt;0,P418*N418,0)</f>
        <v/>
      </c>
      <c r="R418" s="8">
        <f>IF(Q418&lt;&gt;0,Q418+H418+L418,0)</f>
        <v/>
      </c>
      <c r="S418" s="9">
        <f>VLOOKUP(OPERAC[[#This Row],[especie]],[1]!ESPECIES[#Data],9,FALSE)</f>
        <v/>
      </c>
    </row>
    <row r="419">
      <c r="A419" s="4" t="n">
        <v>16795</v>
      </c>
      <c r="B419" s="5" t="n">
        <v>44579</v>
      </c>
      <c r="C419" s="13" t="inlineStr">
        <is>
          <t>VTA</t>
        </is>
      </c>
      <c r="D419" s="13" t="n">
        <v>39</v>
      </c>
      <c r="E419" s="10">
        <f>IF(D419&gt;0,VLOOKUP(OPERAC[[#This Row],[COD CART]],[1]!MatrizCortoLargoCyl[#All],3,0),"")</f>
        <v/>
      </c>
      <c r="F419" s="13" t="inlineStr">
        <is>
          <t>SOLO/V/3,50/25-02-22</t>
        </is>
      </c>
      <c r="G419" s="6" t="n">
        <v>-800</v>
      </c>
      <c r="H419" s="6" t="n">
        <v>1105.48592</v>
      </c>
      <c r="I419" s="7">
        <f>-H419/G419</f>
        <v/>
      </c>
      <c r="J419" s="11" t="n">
        <v>44608</v>
      </c>
      <c r="K419" s="6">
        <f>+OPERAC[[#This Row],[cantidad]]</f>
        <v/>
      </c>
      <c r="L419" s="6" t="n">
        <v>-1116.032</v>
      </c>
      <c r="M419" s="7">
        <f>IF(N419=0,+L419+H419,0)</f>
        <v/>
      </c>
      <c r="N419" s="7">
        <f>IF((+G419-K419)=0,0,+G419-K419)</f>
        <v/>
      </c>
      <c r="O419" s="7">
        <f>IF(N419=0,0,(L419+H419)/-N419)</f>
        <v/>
      </c>
      <c r="P419" s="7">
        <f>VLOOKUP(OPERAC[[#This Row],[especie]],[1]!ESPECIES[#All],6,0)</f>
        <v/>
      </c>
      <c r="Q419" s="7">
        <f>IF(N419&lt;&gt;0,P419*N419,0)</f>
        <v/>
      </c>
      <c r="R419" s="8">
        <f>IF(Q419&lt;&gt;0,Q419+H419+L419,0)</f>
        <v/>
      </c>
      <c r="S419" s="9">
        <f>VLOOKUP(OPERAC[[#This Row],[especie]],[1]!ESPECIES[#Data],9,FALSE)</f>
        <v/>
      </c>
    </row>
    <row r="420">
      <c r="A420" s="4" t="n">
        <v>18690</v>
      </c>
      <c r="B420" s="5" t="n">
        <v>44579</v>
      </c>
      <c r="C420" s="13" t="inlineStr">
        <is>
          <t>VTA</t>
        </is>
      </c>
      <c r="D420" s="13" t="n">
        <v>39</v>
      </c>
      <c r="E420" s="10">
        <f>IF(D420&gt;0,VLOOKUP(OPERAC[[#This Row],[COD CART]],[1]!MatrizCortoLargoCyl[#All],3,0),"")</f>
        <v/>
      </c>
      <c r="F420" s="13" t="inlineStr">
        <is>
          <t>SOLO/V/3,50/25-02-22</t>
        </is>
      </c>
      <c r="G420" s="6" t="n">
        <v>-800</v>
      </c>
      <c r="H420" s="6" t="n">
        <v>1105.48592</v>
      </c>
      <c r="I420" s="7">
        <f>-H420/G420</f>
        <v/>
      </c>
      <c r="J420" s="11" t="n">
        <v>44608</v>
      </c>
      <c r="K420" s="6">
        <f>+OPERAC[[#This Row],[cantidad]]</f>
        <v/>
      </c>
      <c r="L420" s="6" t="n">
        <v>-1116.032</v>
      </c>
      <c r="M420" s="7">
        <f>IF(N420=0,+L420+H420,0)</f>
        <v/>
      </c>
      <c r="N420" s="7">
        <f>IF((+G420-K420)=0,0,+G420-K420)</f>
        <v/>
      </c>
      <c r="O420" s="7">
        <f>IF(N420=0,0,(L420+H420)/-N420)</f>
        <v/>
      </c>
      <c r="P420" s="7">
        <f>VLOOKUP(OPERAC[[#This Row],[especie]],[1]!ESPECIES[#All],6,0)</f>
        <v/>
      </c>
      <c r="Q420" s="7">
        <f>IF(N420&lt;&gt;0,P420*N420,0)</f>
        <v/>
      </c>
      <c r="R420" s="8">
        <f>IF(Q420&lt;&gt;0,Q420+H420+L420,0)</f>
        <v/>
      </c>
      <c r="S420" s="9">
        <f>VLOOKUP(OPERAC[[#This Row],[especie]],[1]!ESPECIES[#Data],9,FALSE)</f>
        <v/>
      </c>
    </row>
    <row r="421">
      <c r="A421" s="4" t="n">
        <v>19867</v>
      </c>
      <c r="B421" s="5" t="n">
        <v>44579</v>
      </c>
      <c r="C421" s="13" t="inlineStr">
        <is>
          <t>VTA</t>
        </is>
      </c>
      <c r="D421" s="13" t="n">
        <v>39</v>
      </c>
      <c r="E421" s="10">
        <f>IF(D421&gt;0,VLOOKUP(OPERAC[[#This Row],[COD CART]],[1]!MatrizCortoLargoCyl[#All],3,0),"")</f>
        <v/>
      </c>
      <c r="F421" s="13" t="inlineStr">
        <is>
          <t>SOLO/V/3,50/25-02-22</t>
        </is>
      </c>
      <c r="G421" s="6" t="n">
        <v>-800</v>
      </c>
      <c r="H421" s="6" t="n">
        <v>1105.48592</v>
      </c>
      <c r="I421" s="7">
        <f>-H421/G421</f>
        <v/>
      </c>
      <c r="J421" s="11" t="n">
        <v>44608</v>
      </c>
      <c r="K421" s="6">
        <f>+OPERAC[[#This Row],[cantidad]]</f>
        <v/>
      </c>
      <c r="L421" s="6" t="n">
        <v>-1116.032</v>
      </c>
      <c r="M421" s="7">
        <f>IF(N421=0,+L421+H421,0)</f>
        <v/>
      </c>
      <c r="N421" s="7">
        <f>IF((+G421-K421)=0,0,+G421-K421)</f>
        <v/>
      </c>
      <c r="O421" s="7">
        <f>IF(N421=0,0,(L421+H421)/-N421)</f>
        <v/>
      </c>
      <c r="P421" s="7">
        <f>VLOOKUP(OPERAC[[#This Row],[especie]],[1]!ESPECIES[#All],6,0)</f>
        <v/>
      </c>
      <c r="Q421" s="7">
        <f>IF(N421&lt;&gt;0,P421*N421,0)</f>
        <v/>
      </c>
      <c r="R421" s="8">
        <f>IF(Q421&lt;&gt;0,Q421+H421+L421,0)</f>
        <v/>
      </c>
      <c r="S421" s="9">
        <f>VLOOKUP(OPERAC[[#This Row],[especie]],[1]!ESPECIES[#Data],9,FALSE)</f>
        <v/>
      </c>
    </row>
    <row r="422">
      <c r="A422" s="4" t="n">
        <v>19878</v>
      </c>
      <c r="B422" s="5" t="n">
        <v>44579</v>
      </c>
      <c r="C422" s="13" t="inlineStr">
        <is>
          <t>VTA</t>
        </is>
      </c>
      <c r="D422" s="13" t="n">
        <v>39</v>
      </c>
      <c r="E422" s="10">
        <f>IF(D422&gt;0,VLOOKUP(OPERAC[[#This Row],[COD CART]],[1]!MatrizCortoLargoCyl[#All],3,0),"")</f>
        <v/>
      </c>
      <c r="F422" s="13" t="inlineStr">
        <is>
          <t>SOLO/V/3,50/25-02-22</t>
        </is>
      </c>
      <c r="G422" s="6" t="n">
        <v>-800</v>
      </c>
      <c r="H422" s="6" t="n">
        <v>1105.48592</v>
      </c>
      <c r="I422" s="7">
        <f>-H422/G422</f>
        <v/>
      </c>
      <c r="J422" s="11" t="n">
        <v>44608</v>
      </c>
      <c r="K422" s="6">
        <f>+OPERAC[[#This Row],[cantidad]]</f>
        <v/>
      </c>
      <c r="L422" s="6" t="n">
        <v>-1116.032</v>
      </c>
      <c r="M422" s="7">
        <f>IF(N422=0,+L422+H422,0)</f>
        <v/>
      </c>
      <c r="N422" s="7">
        <f>IF((+G422-K422)=0,0,+G422-K422)</f>
        <v/>
      </c>
      <c r="O422" s="7">
        <f>IF(N422=0,0,(L422+H422)/-N422)</f>
        <v/>
      </c>
      <c r="P422" s="7">
        <f>VLOOKUP(OPERAC[[#This Row],[especie]],[1]!ESPECIES[#All],6,0)</f>
        <v/>
      </c>
      <c r="Q422" s="7">
        <f>IF(N422&lt;&gt;0,P422*N422,0)</f>
        <v/>
      </c>
      <c r="R422" s="8">
        <f>IF(Q422&lt;&gt;0,Q422+H422+L422,0)</f>
        <v/>
      </c>
      <c r="S422" s="9">
        <f>VLOOKUP(OPERAC[[#This Row],[especie]],[1]!ESPECIES[#Data],9,FALSE)</f>
        <v/>
      </c>
    </row>
    <row r="423">
      <c r="A423" s="4" t="n">
        <v>3818</v>
      </c>
      <c r="B423" s="5" t="n">
        <v>44582</v>
      </c>
      <c r="C423" s="13" t="inlineStr">
        <is>
          <t>VTA</t>
        </is>
      </c>
      <c r="D423" s="13" t="n">
        <v>39</v>
      </c>
      <c r="E423" s="10">
        <f>IF(D423&gt;0,VLOOKUP(OPERAC[[#This Row],[COD CART]],[1]!MatrizCortoLargoCyl[#All],3,0),"")</f>
        <v/>
      </c>
      <c r="F423" s="13" t="inlineStr">
        <is>
          <t>ROKU/V/150,00/28-01-22</t>
        </is>
      </c>
      <c r="G423" s="6" t="n">
        <v>-300</v>
      </c>
      <c r="H423" s="6" t="n">
        <v>1099.934</v>
      </c>
      <c r="I423" s="7">
        <f>-H423/G423</f>
        <v/>
      </c>
      <c r="J423" s="11" t="n">
        <v>44588</v>
      </c>
      <c r="K423" s="6" t="n">
        <v>-300</v>
      </c>
      <c r="L423" s="6">
        <f>-OPERAC[[#This Row],[importe]]</f>
        <v/>
      </c>
      <c r="M423" s="7">
        <f>IF(N423=0,+L423+H423,0)</f>
        <v/>
      </c>
      <c r="N423" s="7">
        <f>IF((+G423-K423)=0,0,+G423-K423)</f>
        <v/>
      </c>
      <c r="O423" s="7">
        <f>IF(N423=0,0,(L423+H423)/-N423)</f>
        <v/>
      </c>
      <c r="P423" s="7">
        <f>VLOOKUP(OPERAC[[#This Row],[especie]],[1]!ESPECIES[#All],6,0)</f>
        <v/>
      </c>
      <c r="Q423" s="7">
        <f>IF(N423&lt;&gt;0,P423*N423,0)</f>
        <v/>
      </c>
      <c r="R423" s="8">
        <f>IF(Q423&lt;&gt;0,Q423+H423+L423,0)</f>
        <v/>
      </c>
      <c r="S423" s="9">
        <f>VLOOKUP(OPERAC[[#This Row],[especie]],[1]!ESPECIES[#Data],9,FALSE)</f>
        <v/>
      </c>
    </row>
    <row r="424">
      <c r="A424" s="4" t="n">
        <v>13180</v>
      </c>
      <c r="B424" s="5" t="n">
        <v>44718</v>
      </c>
      <c r="C424" s="13" t="inlineStr">
        <is>
          <t>VTA</t>
        </is>
      </c>
      <c r="D424" s="13" t="n">
        <v>39</v>
      </c>
      <c r="E424" s="10">
        <f>IF(D424&gt;0,VLOOKUP(OPERAC[[#This Row],[COD CART]],[1]!MatrizCortoLargoCyl[#All],3,0),"")</f>
        <v/>
      </c>
      <c r="F424" s="13" t="inlineStr">
        <is>
          <t>TSLA/V/580,00/10-06-22</t>
        </is>
      </c>
      <c r="G424" s="6" t="n">
        <v>-1000</v>
      </c>
      <c r="H424" s="6" t="n">
        <v>1089</v>
      </c>
      <c r="I424" s="7">
        <f>-H424/G424</f>
        <v/>
      </c>
      <c r="J424" s="5" t="n">
        <v>44720</v>
      </c>
      <c r="K424" s="6" t="n">
        <v>-1000</v>
      </c>
      <c r="L424" s="6" t="n">
        <v>-180.857</v>
      </c>
      <c r="M424" s="7">
        <f>IF(N424=0,+L424+H424,0)</f>
        <v/>
      </c>
      <c r="N424" s="7">
        <f>IF((+G424-K424)=0,0,+G424-K424)</f>
        <v/>
      </c>
      <c r="O424" s="7">
        <f>IF(N424=0,0,(L424+H424)/-N424)</f>
        <v/>
      </c>
      <c r="P424" s="7">
        <f>VLOOKUP(OPERAC[[#This Row],[especie]],[1]!ESPECIES[#All],6,0)</f>
        <v/>
      </c>
      <c r="Q424" s="7">
        <f>IF(N424&lt;&gt;0,P424*N424,0)</f>
        <v/>
      </c>
      <c r="R424" s="8">
        <f>IF(Q424&lt;&gt;0,Q424+H424+L424,0)</f>
        <v/>
      </c>
      <c r="S424" s="9">
        <f>VLOOKUP(OPERAC[[#This Row],[especie]],[1]!ESPECIES[#Data],9,FALSE)</f>
        <v/>
      </c>
    </row>
    <row r="425">
      <c r="A425" s="4" t="n">
        <v>25070</v>
      </c>
      <c r="B425" s="5" t="n">
        <v>44649</v>
      </c>
      <c r="C425" s="13" t="inlineStr">
        <is>
          <t>VTA</t>
        </is>
      </c>
      <c r="D425" s="13" t="n">
        <v>39</v>
      </c>
      <c r="E425" s="10">
        <f>IF(D425&gt;0,VLOOKUP(OPERAC[[#This Row],[COD CART]],[1]!MatrizCortoLargoCyl[#All],3,0),"")</f>
        <v/>
      </c>
      <c r="F425" s="13" t="inlineStr">
        <is>
          <t>UPST/V/90,00/14-04-22</t>
        </is>
      </c>
      <c r="G425" s="6" t="n">
        <v>-1000</v>
      </c>
      <c r="H425" s="6" t="n">
        <v>1087.18</v>
      </c>
      <c r="I425" s="7">
        <f>-H425/G425</f>
        <v/>
      </c>
      <c r="J425" s="11" t="n">
        <v>44665</v>
      </c>
      <c r="K425" s="6" t="n">
        <v>-1000</v>
      </c>
      <c r="L425" s="6" t="n">
        <v>-6656.1</v>
      </c>
      <c r="M425" s="7">
        <f>IF(N425=0,+L425+H425,0)</f>
        <v/>
      </c>
      <c r="N425" s="7">
        <f>IF((+G425-K425)=0,0,+G425-K425)</f>
        <v/>
      </c>
      <c r="O425" s="7">
        <f>IF(N425=0,0,(L425+H425)/-N425)</f>
        <v/>
      </c>
      <c r="P425" s="7">
        <f>VLOOKUP(OPERAC[[#This Row],[especie]],[1]!ESPECIES[#All],6,0)</f>
        <v/>
      </c>
      <c r="Q425" s="7">
        <f>IF(N425&lt;&gt;0,P425*N425,0)</f>
        <v/>
      </c>
      <c r="R425" s="8">
        <f>IF(Q425&lt;&gt;0,Q425+H425+L425,0)</f>
        <v/>
      </c>
      <c r="S425" s="9">
        <f>VLOOKUP(OPERAC[[#This Row],[especie]],[1]!ESPECIES[#Data],9,FALSE)</f>
        <v/>
      </c>
    </row>
    <row r="426">
      <c r="A426" s="4" t="n">
        <v>3728</v>
      </c>
      <c r="B426" s="5" t="n">
        <v>44574</v>
      </c>
      <c r="C426" s="13" t="inlineStr">
        <is>
          <t>VTA</t>
        </is>
      </c>
      <c r="D426" s="13" t="n">
        <v>39</v>
      </c>
      <c r="E426" s="10">
        <f>IF(D426&gt;0,VLOOKUP(OPERAC[[#This Row],[COD CART]],[1]!MatrizCortoLargoCyl[#All],3,0),"")</f>
        <v/>
      </c>
      <c r="F426" s="13" t="inlineStr">
        <is>
          <t>TSLA/V/900,00/21-01-22</t>
        </is>
      </c>
      <c r="G426" s="6" t="n">
        <v>-400</v>
      </c>
      <c r="H426" s="6" t="n">
        <v>1077.8608</v>
      </c>
      <c r="I426" s="7">
        <f>-H426/G426</f>
        <v/>
      </c>
      <c r="J426" s="11" t="n">
        <v>44582</v>
      </c>
      <c r="K426" s="6">
        <f>+OPERAC[[#This Row],[cantidad]]</f>
        <v/>
      </c>
      <c r="L426" s="6" t="n">
        <v>0</v>
      </c>
      <c r="M426" s="7">
        <f>IF(N426=0,+L426+H426,0)</f>
        <v/>
      </c>
      <c r="N426" s="7">
        <f>IF((+G426-K426)=0,0,+G426-K426)</f>
        <v/>
      </c>
      <c r="O426" s="7">
        <f>IF(N426=0,0,(L426+H426)/-N426)</f>
        <v/>
      </c>
      <c r="P426" s="7">
        <f>VLOOKUP(OPERAC[[#This Row],[especie]],[1]!ESPECIES[#All],6,0)</f>
        <v/>
      </c>
      <c r="Q426" s="7">
        <f>IF(N426&lt;&gt;0,P426*N426,0)</f>
        <v/>
      </c>
      <c r="R426" s="8">
        <f>IF(Q426&lt;&gt;0,Q426+H426+L426,0)</f>
        <v/>
      </c>
      <c r="S426" s="9">
        <f>VLOOKUP(OPERAC[[#This Row],[especie]],[1]!ESPECIES[#Data],9,FALSE)</f>
        <v/>
      </c>
    </row>
    <row r="427">
      <c r="A427" s="4" t="n">
        <v>25070</v>
      </c>
      <c r="B427" s="5" t="n">
        <v>44574</v>
      </c>
      <c r="C427" s="13" t="inlineStr">
        <is>
          <t>VTA</t>
        </is>
      </c>
      <c r="D427" s="13" t="n">
        <v>39</v>
      </c>
      <c r="E427" s="10">
        <f>IF(D427&gt;0,VLOOKUP(OPERAC[[#This Row],[COD CART]],[1]!MatrizCortoLargoCyl[#All],3,0),"")</f>
        <v/>
      </c>
      <c r="F427" s="13" t="inlineStr">
        <is>
          <t>TSLA/V/900,00/21-01-22</t>
        </is>
      </c>
      <c r="G427" s="6" t="n">
        <v>-400</v>
      </c>
      <c r="H427" s="6" t="n">
        <v>1070.3008</v>
      </c>
      <c r="I427" s="7">
        <f>-H427/G427</f>
        <v/>
      </c>
      <c r="J427" s="11" t="n">
        <v>44582</v>
      </c>
      <c r="K427" s="6">
        <f>+OPERAC[[#This Row],[cantidad]]</f>
        <v/>
      </c>
      <c r="L427" s="6" t="n">
        <v>0</v>
      </c>
      <c r="M427" s="7">
        <f>IF(N427=0,+L427+H427,0)</f>
        <v/>
      </c>
      <c r="N427" s="7">
        <f>IF((+G427-K427)=0,0,+G427-K427)</f>
        <v/>
      </c>
      <c r="O427" s="7">
        <f>IF(N427=0,0,(L427+H427)/-N427)</f>
        <v/>
      </c>
      <c r="P427" s="7">
        <f>VLOOKUP(OPERAC[[#This Row],[especie]],[1]!ESPECIES[#All],6,0)</f>
        <v/>
      </c>
      <c r="Q427" s="7">
        <f>IF(N427&lt;&gt;0,P427*N427,0)</f>
        <v/>
      </c>
      <c r="R427" s="8">
        <f>IF(Q427&lt;&gt;0,Q427+H427+L427,0)</f>
        <v/>
      </c>
      <c r="S427" s="9">
        <f>VLOOKUP(OPERAC[[#This Row],[especie]],[1]!ESPECIES[#Data],9,FALSE)</f>
        <v/>
      </c>
    </row>
    <row r="428">
      <c r="A428" s="4" t="n">
        <v>18651</v>
      </c>
      <c r="B428" s="5" t="n">
        <v>44574</v>
      </c>
      <c r="C428" s="13" t="inlineStr">
        <is>
          <t>VTA</t>
        </is>
      </c>
      <c r="D428" s="13" t="n">
        <v>39</v>
      </c>
      <c r="E428" s="10">
        <f>IF(D428&gt;0,VLOOKUP(OPERAC[[#This Row],[COD CART]],[1]!MatrizCortoLargoCyl[#All],3,0),"")</f>
        <v/>
      </c>
      <c r="F428" s="13" t="inlineStr">
        <is>
          <t>TSLA/V/900,00/21-01-22</t>
        </is>
      </c>
      <c r="G428" s="6" t="n">
        <v>-400</v>
      </c>
      <c r="H428" s="6" t="n">
        <v>1070.3008</v>
      </c>
      <c r="I428" s="7">
        <f>-H428/G428</f>
        <v/>
      </c>
      <c r="J428" s="11" t="n">
        <v>44582</v>
      </c>
      <c r="K428" s="6">
        <f>+OPERAC[[#This Row],[cantidad]]</f>
        <v/>
      </c>
      <c r="L428" s="6" t="n">
        <v>0</v>
      </c>
      <c r="M428" s="7">
        <f>IF(N428=0,+L428+H428,0)</f>
        <v/>
      </c>
      <c r="N428" s="7">
        <f>IF((+G428-K428)=0,0,+G428-K428)</f>
        <v/>
      </c>
      <c r="O428" s="7">
        <f>IF(N428=0,0,(L428+H428)/-N428)</f>
        <v/>
      </c>
      <c r="P428" s="7">
        <f>VLOOKUP(OPERAC[[#This Row],[especie]],[1]!ESPECIES[#All],6,0)</f>
        <v/>
      </c>
      <c r="Q428" s="7">
        <f>IF(N428&lt;&gt;0,P428*N428,0)</f>
        <v/>
      </c>
      <c r="R428" s="8">
        <f>IF(Q428&lt;&gt;0,Q428+H428+L428,0)</f>
        <v/>
      </c>
      <c r="S428" s="9">
        <f>VLOOKUP(OPERAC[[#This Row],[especie]],[1]!ESPECIES[#Data],9,FALSE)</f>
        <v/>
      </c>
    </row>
    <row r="429">
      <c r="A429" s="4" t="n">
        <v>1760</v>
      </c>
      <c r="B429" s="5" t="n">
        <v>44655</v>
      </c>
      <c r="C429" s="13" t="inlineStr">
        <is>
          <t>VTA</t>
        </is>
      </c>
      <c r="D429" s="13" t="n">
        <v>39</v>
      </c>
      <c r="E429" s="10">
        <f>IF(D429&gt;0,VLOOKUP(OPERAC[[#This Row],[COD CART]],[1]!MatrizCortoLargoCyl[#All],3,0),"")</f>
        <v/>
      </c>
      <c r="F429" s="13" t="inlineStr">
        <is>
          <t>TSLA/V/950,00/08-04-22</t>
        </is>
      </c>
      <c r="G429" s="6">
        <f>-1000-1000</f>
        <v/>
      </c>
      <c r="H429" s="6">
        <f>527.815+538.58</f>
        <v/>
      </c>
      <c r="I429" s="7">
        <f>-H429/G429</f>
        <v/>
      </c>
      <c r="J429" s="11" t="n">
        <v>44659</v>
      </c>
      <c r="K429" s="6">
        <f>+OPERAC[[#This Row],[cantidad]]</f>
        <v/>
      </c>
      <c r="L429" s="6" t="n">
        <v>0</v>
      </c>
      <c r="M429" s="7">
        <f>IF(N429=0,+L429+H429,0)</f>
        <v/>
      </c>
      <c r="N429" s="7">
        <f>IF((+G429-K429)=0,0,+G429-K429)</f>
        <v/>
      </c>
      <c r="O429" s="7">
        <f>IF(N429=0,0,(L429+H429)/-N429)</f>
        <v/>
      </c>
      <c r="P429" s="7">
        <f>VLOOKUP(OPERAC[[#This Row],[especie]],[1]!ESPECIES[#All],6,0)</f>
        <v/>
      </c>
      <c r="Q429" s="7">
        <f>IF(N429&lt;&gt;0,P429*N429,0)</f>
        <v/>
      </c>
      <c r="R429" s="8">
        <f>IF(Q429&lt;&gt;0,Q429+H429+L429,0)</f>
        <v/>
      </c>
      <c r="S429" s="9">
        <f>VLOOKUP(OPERAC[[#This Row],[especie]],[1]!ESPECIES[#Data],9,FALSE)</f>
        <v/>
      </c>
    </row>
    <row r="430">
      <c r="A430" s="4" t="n">
        <v>3728</v>
      </c>
      <c r="B430" s="5" t="n">
        <v>44581</v>
      </c>
      <c r="C430" s="13" t="inlineStr">
        <is>
          <t>VTA</t>
        </is>
      </c>
      <c r="D430" s="13" t="n">
        <v>39</v>
      </c>
      <c r="E430" s="10">
        <f>IF(D430&gt;0,VLOOKUP(OPERAC[[#This Row],[COD CART]],[1]!MatrizCortoLargoCyl[#All],3,0),"")</f>
        <v/>
      </c>
      <c r="F430" s="13" t="inlineStr">
        <is>
          <t>ROKU/V/170,00/28-01-22</t>
        </is>
      </c>
      <c r="G430" s="6" t="n">
        <v>-200</v>
      </c>
      <c r="H430" s="6" t="n">
        <v>1058.148</v>
      </c>
      <c r="I430" s="7">
        <f>-H430/G430</f>
        <v/>
      </c>
      <c r="J430" s="11" t="n">
        <v>44587</v>
      </c>
      <c r="K430" s="6">
        <f>+OPERAC[[#This Row],[cantidad]]</f>
        <v/>
      </c>
      <c r="L430" s="6">
        <f>-OPERAC[[#This Row],[importe]]</f>
        <v/>
      </c>
      <c r="M430" s="7">
        <f>IF(N430=0,+L430+H430,0)</f>
        <v/>
      </c>
      <c r="N430" s="7">
        <f>IF((+G430-K430)=0,0,+G430-K430)</f>
        <v/>
      </c>
      <c r="O430" s="7">
        <f>IF(N430=0,0,(L430+H430)/-N430)</f>
        <v/>
      </c>
      <c r="P430" s="7">
        <f>VLOOKUP(OPERAC[[#This Row],[especie]],[1]!ESPECIES[#All],6,0)</f>
        <v/>
      </c>
      <c r="Q430" s="7">
        <f>IF(N430&lt;&gt;0,P430*N430,0)</f>
        <v/>
      </c>
      <c r="R430" s="8">
        <f>IF(Q430&lt;&gt;0,Q430+H430+L430,0)</f>
        <v/>
      </c>
      <c r="S430" s="9">
        <f>VLOOKUP(OPERAC[[#This Row],[especie]],[1]!ESPECIES[#Data],9,FALSE)</f>
        <v/>
      </c>
    </row>
    <row r="431">
      <c r="A431" s="4" t="n">
        <v>1800</v>
      </c>
      <c r="B431" s="5" t="n">
        <v>44581</v>
      </c>
      <c r="C431" s="13" t="inlineStr">
        <is>
          <t>VTA</t>
        </is>
      </c>
      <c r="D431" s="13" t="n">
        <v>39</v>
      </c>
      <c r="E431" s="10">
        <f>IF(D431&gt;0,VLOOKUP(OPERAC[[#This Row],[COD CART]],[1]!MatrizCortoLargoCyl[#All],3,0),"")</f>
        <v/>
      </c>
      <c r="F431" s="13" t="inlineStr">
        <is>
          <t>ROKU/V/170,00/28-01-22</t>
        </is>
      </c>
      <c r="G431" s="6" t="n">
        <v>-200</v>
      </c>
      <c r="H431" s="6" t="n">
        <v>1050.728</v>
      </c>
      <c r="I431" s="7">
        <f>-H431/G431</f>
        <v/>
      </c>
      <c r="J431" s="11" t="n">
        <v>44587</v>
      </c>
      <c r="K431" s="6">
        <f>+OPERAC[[#This Row],[cantidad]]</f>
        <v/>
      </c>
      <c r="L431" s="6">
        <f>-OPERAC[[#This Row],[importe]]</f>
        <v/>
      </c>
      <c r="M431" s="7">
        <f>IF(N431=0,+L431+H431,0)</f>
        <v/>
      </c>
      <c r="N431" s="7">
        <f>IF((+G431-K431)=0,0,+G431-K431)</f>
        <v/>
      </c>
      <c r="O431" s="7">
        <f>IF(N431=0,0,(L431+H431)/-N431)</f>
        <v/>
      </c>
      <c r="P431" s="7">
        <f>VLOOKUP(OPERAC[[#This Row],[especie]],[1]!ESPECIES[#All],6,0)</f>
        <v/>
      </c>
      <c r="Q431" s="7">
        <f>IF(N431&lt;&gt;0,P431*N431,0)</f>
        <v/>
      </c>
      <c r="R431" s="8">
        <f>IF(Q431&lt;&gt;0,Q431+H431+L431,0)</f>
        <v/>
      </c>
      <c r="S431" s="9">
        <f>VLOOKUP(OPERAC[[#This Row],[especie]],[1]!ESPECIES[#Data],9,FALSE)</f>
        <v/>
      </c>
    </row>
    <row r="432">
      <c r="A432" s="4" t="n">
        <v>15194</v>
      </c>
      <c r="B432" s="5" t="n">
        <v>44581</v>
      </c>
      <c r="C432" s="13" t="inlineStr">
        <is>
          <t>VTA</t>
        </is>
      </c>
      <c r="D432" s="13" t="n">
        <v>39</v>
      </c>
      <c r="E432" s="10">
        <f>IF(D432&gt;0,VLOOKUP(OPERAC[[#This Row],[COD CART]],[1]!MatrizCortoLargoCyl[#All],3,0),"")</f>
        <v/>
      </c>
      <c r="F432" s="13" t="inlineStr">
        <is>
          <t>ROKU/V/170,00/28-01-22</t>
        </is>
      </c>
      <c r="G432" s="6" t="n">
        <v>-200</v>
      </c>
      <c r="H432" s="6" t="n">
        <v>1050.728</v>
      </c>
      <c r="I432" s="7">
        <f>-H432/G432</f>
        <v/>
      </c>
      <c r="J432" s="11" t="n">
        <v>44587</v>
      </c>
      <c r="K432" s="6">
        <f>+OPERAC[[#This Row],[cantidad]]</f>
        <v/>
      </c>
      <c r="L432" s="6">
        <f>-OPERAC[[#This Row],[importe]]</f>
        <v/>
      </c>
      <c r="M432" s="7">
        <f>IF(N432=0,+L432+H432,0)</f>
        <v/>
      </c>
      <c r="N432" s="7">
        <f>IF((+G432-K432)=0,0,+G432-K432)</f>
        <v/>
      </c>
      <c r="O432" s="7">
        <f>IF(N432=0,0,(L432+H432)/-N432)</f>
        <v/>
      </c>
      <c r="P432" s="7">
        <f>VLOOKUP(OPERAC[[#This Row],[especie]],[1]!ESPECIES[#All],6,0)</f>
        <v/>
      </c>
      <c r="Q432" s="7">
        <f>IF(N432&lt;&gt;0,P432*N432,0)</f>
        <v/>
      </c>
      <c r="R432" s="8">
        <f>IF(Q432&lt;&gt;0,Q432+H432+L432,0)</f>
        <v/>
      </c>
      <c r="S432" s="9">
        <f>VLOOKUP(OPERAC[[#This Row],[especie]],[1]!ESPECIES[#Data],9,FALSE)</f>
        <v/>
      </c>
    </row>
    <row r="433">
      <c r="A433" s="4" t="n">
        <v>12671</v>
      </c>
      <c r="B433" s="5" t="n">
        <v>44607</v>
      </c>
      <c r="C433" s="13" t="inlineStr">
        <is>
          <t>VTA</t>
        </is>
      </c>
      <c r="D433" s="13" t="n">
        <v>39</v>
      </c>
      <c r="E433" s="10">
        <f>IF(D433&gt;0,VLOOKUP(OPERAC[[#This Row],[COD CART]],[1]!MatrizCortoLargoCyl[#All],3,0),"")</f>
        <v/>
      </c>
      <c r="F433" s="13" t="inlineStr">
        <is>
          <t>TSLA/V/820,00/18-02-22</t>
        </is>
      </c>
      <c r="G433" s="6" t="n">
        <v>-700</v>
      </c>
      <c r="H433" s="6" t="n">
        <v>1049.88</v>
      </c>
      <c r="I433" s="7">
        <f>-H433/G433</f>
        <v/>
      </c>
      <c r="J433" s="11" t="n">
        <v>44609</v>
      </c>
      <c r="K433" s="6" t="n">
        <v>-700</v>
      </c>
      <c r="L433" s="6" t="n">
        <v>-298.235</v>
      </c>
      <c r="M433" s="7">
        <f>IF(N433=0,+L433+H433,0)</f>
        <v/>
      </c>
      <c r="N433" s="7">
        <f>IF((+G433-K433)=0,0,+G433-K433)</f>
        <v/>
      </c>
      <c r="O433" s="7">
        <f>IF(N433=0,0,(L433+H433)/-N433)</f>
        <v/>
      </c>
      <c r="P433" s="7">
        <f>VLOOKUP(OPERAC[[#This Row],[especie]],[1]!ESPECIES[#All],6,0)</f>
        <v/>
      </c>
      <c r="Q433" s="7">
        <f>IF(N433&lt;&gt;0,P433*N433,0)</f>
        <v/>
      </c>
      <c r="R433" s="8">
        <f>IF(Q433&lt;&gt;0,Q433+H433+L433,0)</f>
        <v/>
      </c>
      <c r="S433" s="9">
        <f>VLOOKUP(OPERAC[[#This Row],[especie]],[1]!ESPECIES[#Data],9,FALSE)</f>
        <v/>
      </c>
    </row>
    <row r="434">
      <c r="A434" s="4" t="n">
        <v>2218</v>
      </c>
      <c r="B434" s="5" t="n">
        <v>44684</v>
      </c>
      <c r="C434" s="13" t="inlineStr">
        <is>
          <t>VTA</t>
        </is>
      </c>
      <c r="D434" s="13" t="n">
        <v>39</v>
      </c>
      <c r="E434" s="10">
        <f>IF(D434&gt;0,VLOOKUP(OPERAC[[#This Row],[COD CART]],[1]!MatrizCortoLargoCyl[#All],3,0),"")</f>
        <v/>
      </c>
      <c r="F434" s="13" t="inlineStr">
        <is>
          <t>TSLA/V/700,00/06-05-22</t>
        </is>
      </c>
      <c r="G434" s="6" t="n">
        <v>-1500</v>
      </c>
      <c r="H434" s="6" t="n">
        <v>1048.95</v>
      </c>
      <c r="I434" s="7">
        <f>-H434/G434</f>
        <v/>
      </c>
      <c r="J434" s="11" t="n">
        <v>44687</v>
      </c>
      <c r="K434" s="6" t="n">
        <v>-1500</v>
      </c>
      <c r="L434" s="6" t="n">
        <v>0</v>
      </c>
      <c r="M434" s="7">
        <f>IF(N434=0,+L434+H434,0)</f>
        <v/>
      </c>
      <c r="N434" s="7">
        <f>IF((+G434-K434)=0,0,+G434-K434)</f>
        <v/>
      </c>
      <c r="O434" s="7">
        <f>IF(N434=0,0,(L434+H434)/-N434)</f>
        <v/>
      </c>
      <c r="P434" s="7">
        <f>VLOOKUP(OPERAC[[#This Row],[especie]],[1]!ESPECIES[#All],6,0)</f>
        <v/>
      </c>
      <c r="Q434" s="7">
        <f>IF(N434&lt;&gt;0,P434*N434,0)</f>
        <v/>
      </c>
      <c r="R434" s="8">
        <f>IF(Q434&lt;&gt;0,Q434+H434+L434,0)</f>
        <v/>
      </c>
      <c r="S434" s="9">
        <f>VLOOKUP(OPERAC[[#This Row],[especie]],[1]!ESPECIES[#Data],9,FALSE)</f>
        <v/>
      </c>
    </row>
    <row r="435">
      <c r="A435" s="4" t="n">
        <v>3728</v>
      </c>
      <c r="B435" s="5" t="n">
        <v>44508</v>
      </c>
      <c r="C435" s="13" t="inlineStr">
        <is>
          <t>VTA</t>
        </is>
      </c>
      <c r="D435" s="13" t="n">
        <v>39</v>
      </c>
      <c r="E435" s="10">
        <f>IF(D435&gt;0,VLOOKUP(OPERAC[[#This Row],[COD CART]],[1]!MatrizCortoLargoCyl[#All],3,0),"")</f>
        <v/>
      </c>
      <c r="F435" s="13" t="inlineStr">
        <is>
          <t>ACB/V/6,00/21-01-22</t>
        </is>
      </c>
      <c r="G435" s="6" t="n">
        <v>-2500</v>
      </c>
      <c r="H435" s="6">
        <f>1073.3-0.5*OPERAC[[#This Row],[cantidad]]+0.51*OPERAC[[#This Row],[cantidad]]</f>
        <v/>
      </c>
      <c r="I435" s="7">
        <f>-H435/G435</f>
        <v/>
      </c>
      <c r="J435" s="11" t="n">
        <v>44581</v>
      </c>
      <c r="K435" s="6">
        <f>+OPERAC[[#This Row],[cantidad]]</f>
        <v/>
      </c>
      <c r="L435" s="6">
        <f>-OPERAC[[#This Row],[importe]]</f>
        <v/>
      </c>
      <c r="M435" s="7">
        <f>IF(N435=0,+L435+H435,0)</f>
        <v/>
      </c>
      <c r="N435" s="7">
        <f>IF((+G435-K435)=0,0,+G435-K435)</f>
        <v/>
      </c>
      <c r="O435" s="7">
        <f>IF(N435=0,0,(L435+H435)/-N435)</f>
        <v/>
      </c>
      <c r="P435" s="7">
        <f>VLOOKUP(OPERAC[[#This Row],[especie]],[1]!ESPECIES[#All],6,0)</f>
        <v/>
      </c>
      <c r="Q435" s="7">
        <f>IF(N435&lt;&gt;0,P435*N435,0)</f>
        <v/>
      </c>
      <c r="R435" s="8">
        <f>IF(Q435&lt;&gt;0,Q435+H435+L435,0)</f>
        <v/>
      </c>
      <c r="S435" s="9">
        <f>VLOOKUP(OPERAC[[#This Row],[especie]],[1]!ESPECIES[#Data],9,FALSE)</f>
        <v/>
      </c>
    </row>
    <row r="436">
      <c r="A436" s="4" t="n">
        <v>25070</v>
      </c>
      <c r="B436" s="5" t="n">
        <v>44648</v>
      </c>
      <c r="C436" s="13" t="inlineStr">
        <is>
          <t>VTA</t>
        </is>
      </c>
      <c r="D436" s="13" t="n">
        <v>39</v>
      </c>
      <c r="E436" s="10">
        <f>IF(D436&gt;0,VLOOKUP(OPERAC[[#This Row],[COD CART]],[1]!MatrizCortoLargoCyl[#All],3,0),"")</f>
        <v/>
      </c>
      <c r="F436" s="13" t="inlineStr">
        <is>
          <t>TSLA/C/1425,00/01-04-22</t>
        </is>
      </c>
      <c r="G436" s="6" t="n">
        <v>-2000</v>
      </c>
      <c r="H436" s="6" t="n">
        <v>1046.09</v>
      </c>
      <c r="I436" s="7">
        <f>-H436/G436</f>
        <v/>
      </c>
      <c r="J436" s="11" t="n">
        <v>44651</v>
      </c>
      <c r="K436" s="6" t="n">
        <v>-2000</v>
      </c>
      <c r="L436" s="6" t="n">
        <v>-79.748</v>
      </c>
      <c r="M436" s="7">
        <f>IF(N436=0,+L436+H436,0)</f>
        <v/>
      </c>
      <c r="N436" s="7">
        <f>IF((+G436-K436)=0,0,+G436-K436)</f>
        <v/>
      </c>
      <c r="O436" s="7">
        <f>IF(N436=0,0,(L436+H436)/-N436)</f>
        <v/>
      </c>
      <c r="P436" s="7">
        <f>VLOOKUP(OPERAC[[#This Row],[especie]],[1]!ESPECIES[#All],6,0)</f>
        <v/>
      </c>
      <c r="Q436" s="7">
        <f>IF(N436&lt;&gt;0,P436*N436,0)</f>
        <v/>
      </c>
      <c r="R436" s="8">
        <f>IF(Q436&lt;&gt;0,Q436+H436+L436,0)</f>
        <v/>
      </c>
      <c r="S436" s="9">
        <f>VLOOKUP(OPERAC[[#This Row],[especie]],[1]!ESPECIES[#Data],9,FALSE)</f>
        <v/>
      </c>
    </row>
    <row r="437">
      <c r="A437" s="4" t="n">
        <v>2257</v>
      </c>
      <c r="B437" s="5" t="n">
        <v>44439</v>
      </c>
      <c r="C437" s="13" t="inlineStr">
        <is>
          <t>VTA</t>
        </is>
      </c>
      <c r="D437" s="13" t="n">
        <v>39</v>
      </c>
      <c r="E437" s="10">
        <f>IF(D437&gt;0,VLOOKUP(OPERAC[[#This Row],[COD CART]],[1]!MatrizCortoLargoCyl[#All],3,0),"")</f>
        <v/>
      </c>
      <c r="F437" s="13" t="inlineStr">
        <is>
          <t>INO/V/5,00/20-01-23</t>
        </is>
      </c>
      <c r="G437" s="6" t="n">
        <v>-1000</v>
      </c>
      <c r="H437" s="6" t="n">
        <v>1043</v>
      </c>
      <c r="I437" s="7">
        <f>-H437/G437</f>
        <v/>
      </c>
      <c r="J437" s="11" t="n">
        <v>44616</v>
      </c>
      <c r="K437" s="6" t="n">
        <v>-1000</v>
      </c>
      <c r="L437" s="6" t="n">
        <v>-2673.99</v>
      </c>
      <c r="M437" s="7">
        <f>IF(N437=0,+L437+H437,0)</f>
        <v/>
      </c>
      <c r="N437" s="7">
        <f>IF((+G437-K437)=0,0,+G437-K437)</f>
        <v/>
      </c>
      <c r="O437" s="7">
        <f>IF(N437=0,0,(L437+H437)/-N437)</f>
        <v/>
      </c>
      <c r="P437" s="7">
        <f>VLOOKUP(OPERAC[[#This Row],[especie]],[1]!ESPECIES[#All],6,0)</f>
        <v/>
      </c>
      <c r="Q437" s="7">
        <f>IF(N437&lt;&gt;0,P437*N437,0)</f>
        <v/>
      </c>
      <c r="R437" s="8">
        <f>IF(Q437&lt;&gt;0,Q437+H437+L437,0)</f>
        <v/>
      </c>
      <c r="S437" s="9">
        <f>VLOOKUP(OPERAC[[#This Row],[especie]],[1]!ESPECIES[#Data],9,FALSE)</f>
        <v/>
      </c>
    </row>
    <row r="438">
      <c r="A438" s="4" t="n">
        <v>4543</v>
      </c>
      <c r="B438" s="5" t="n">
        <v>44439</v>
      </c>
      <c r="C438" s="13" t="inlineStr">
        <is>
          <t>VTA</t>
        </is>
      </c>
      <c r="D438" s="13" t="n">
        <v>39</v>
      </c>
      <c r="E438" s="10">
        <f>IF(D438&gt;0,VLOOKUP(OPERAC[[#This Row],[COD CART]],[1]!MatrizCortoLargoCyl[#All],3,0),"")</f>
        <v/>
      </c>
      <c r="F438" s="13" t="inlineStr">
        <is>
          <t>INO/V/5,00/20-01-23</t>
        </is>
      </c>
      <c r="G438" s="6" t="n">
        <v>-1000</v>
      </c>
      <c r="H438" s="6" t="n">
        <v>1043</v>
      </c>
      <c r="I438" s="7">
        <f>-H438/G438</f>
        <v/>
      </c>
      <c r="J438" s="11" t="n">
        <v>44614</v>
      </c>
      <c r="K438" s="6" t="n">
        <v>-1000</v>
      </c>
      <c r="L438" s="6" t="n">
        <v>-2629.592</v>
      </c>
      <c r="M438" s="7">
        <f>IF(N438=0,+L438+H438,0)</f>
        <v/>
      </c>
      <c r="N438" s="7">
        <f>IF((+G438-K438)=0,0,+G438-K438)</f>
        <v/>
      </c>
      <c r="O438" s="7">
        <f>IF(N438=0,0,(L438+H438)/-N438)</f>
        <v/>
      </c>
      <c r="P438" s="7">
        <f>VLOOKUP(OPERAC[[#This Row],[especie]],[1]!ESPECIES[#All],6,0)</f>
        <v/>
      </c>
      <c r="Q438" s="7">
        <f>IF(N438&lt;&gt;0,P438*N438,0)</f>
        <v/>
      </c>
      <c r="R438" s="8">
        <f>IF(Q438&lt;&gt;0,Q438+H438+L438,0)</f>
        <v/>
      </c>
      <c r="S438" s="9">
        <f>VLOOKUP(OPERAC[[#This Row],[especie]],[1]!ESPECIES[#Data],9,FALSE)</f>
        <v/>
      </c>
    </row>
    <row r="439">
      <c r="A439" s="4" t="n">
        <v>1760</v>
      </c>
      <c r="B439" s="5" t="n">
        <v>44672</v>
      </c>
      <c r="C439" s="13" t="inlineStr">
        <is>
          <t>VTA</t>
        </is>
      </c>
      <c r="D439" s="13" t="n">
        <v>39</v>
      </c>
      <c r="E439" s="10">
        <f>IF(D439&gt;0,VLOOKUP(OPERAC[[#This Row],[COD CART]],[1]!MatrizCortoLargoCyl[#All],3,0),"")</f>
        <v/>
      </c>
      <c r="F439" s="13" t="inlineStr">
        <is>
          <t>UPST/V/75,00/22-04-22</t>
        </is>
      </c>
      <c r="G439" s="6" t="n">
        <v>-500</v>
      </c>
      <c r="H439" s="6" t="n">
        <v>1041.075</v>
      </c>
      <c r="I439" s="7">
        <f>-H439/G439</f>
        <v/>
      </c>
      <c r="J439" s="11" t="n">
        <v>44673</v>
      </c>
      <c r="K439" s="6" t="n">
        <v>-500</v>
      </c>
      <c r="L439" s="6" t="n">
        <v>-1058.925</v>
      </c>
      <c r="M439" s="7">
        <f>IF(N439=0,+L439+H439,0)</f>
        <v/>
      </c>
      <c r="N439" s="7">
        <f>IF((+G439-K439)=0,0,+G439-K439)</f>
        <v/>
      </c>
      <c r="O439" s="7">
        <f>IF(N439=0,0,(L439+H439)/-N439)</f>
        <v/>
      </c>
      <c r="P439" s="7">
        <f>VLOOKUP(OPERAC[[#This Row],[especie]],[1]!ESPECIES[#All],6,0)</f>
        <v/>
      </c>
      <c r="Q439" s="7">
        <f>IF(N439&lt;&gt;0,P439*N439,0)</f>
        <v/>
      </c>
      <c r="R439" s="8">
        <f>IF(Q439&lt;&gt;0,Q439+H439+L439,0)</f>
        <v/>
      </c>
      <c r="S439" s="9">
        <f>VLOOKUP(OPERAC[[#This Row],[especie]],[1]!ESPECIES[#Data],9,FALSE)</f>
        <v/>
      </c>
    </row>
    <row r="440">
      <c r="A440" s="4" t="n">
        <v>18711</v>
      </c>
      <c r="B440" s="5" t="n">
        <v>44672</v>
      </c>
      <c r="C440" s="13" t="inlineStr">
        <is>
          <t>VTA</t>
        </is>
      </c>
      <c r="D440" s="13" t="n">
        <v>39</v>
      </c>
      <c r="E440" s="10">
        <f>IF(D440&gt;0,VLOOKUP(OPERAC[[#This Row],[COD CART]],[1]!MatrizCortoLargoCyl[#All],3,0),"")</f>
        <v/>
      </c>
      <c r="F440" s="13" t="inlineStr">
        <is>
          <t>UPST/V/75,00/22-04-22</t>
        </is>
      </c>
      <c r="G440" s="6" t="n">
        <v>-500</v>
      </c>
      <c r="H440" s="6" t="n">
        <v>1041.075</v>
      </c>
      <c r="I440" s="7">
        <f>-H440/G440</f>
        <v/>
      </c>
      <c r="J440" s="11" t="n">
        <v>44673</v>
      </c>
      <c r="K440" s="6" t="n">
        <v>-500</v>
      </c>
      <c r="L440" s="6" t="n">
        <v>-1058.925</v>
      </c>
      <c r="M440" s="7">
        <f>IF(N440=0,+L440+H440,0)</f>
        <v/>
      </c>
      <c r="N440" s="7">
        <f>IF((+G440-K440)=0,0,+G440-K440)</f>
        <v/>
      </c>
      <c r="O440" s="7">
        <f>IF(N440=0,0,(L440+H440)/-N440)</f>
        <v/>
      </c>
      <c r="P440" s="7">
        <f>VLOOKUP(OPERAC[[#This Row],[especie]],[1]!ESPECIES[#All],6,0)</f>
        <v/>
      </c>
      <c r="Q440" s="7">
        <f>IF(N440&lt;&gt;0,P440*N440,0)</f>
        <v/>
      </c>
      <c r="R440" s="8">
        <f>IF(Q440&lt;&gt;0,Q440+H440+L440,0)</f>
        <v/>
      </c>
      <c r="S440" s="9">
        <f>VLOOKUP(OPERAC[[#This Row],[especie]],[1]!ESPECIES[#Data],9,FALSE)</f>
        <v/>
      </c>
    </row>
    <row r="441">
      <c r="A441" s="4" t="n">
        <v>3728</v>
      </c>
      <c r="B441" s="5" t="n">
        <v>44673</v>
      </c>
      <c r="C441" s="13" t="inlineStr">
        <is>
          <t>VTA</t>
        </is>
      </c>
      <c r="D441" s="13" t="n">
        <v>39</v>
      </c>
      <c r="E441" s="10">
        <f>IF(D441&gt;0,VLOOKUP(OPERAC[[#This Row],[COD CART]],[1]!MatrizCortoLargoCyl[#All],3,0),"")</f>
        <v/>
      </c>
      <c r="F441" s="14" t="inlineStr">
        <is>
          <t>UPST/V/70,00/29-04-22</t>
        </is>
      </c>
      <c r="G441" s="6" t="n">
        <v>-500</v>
      </c>
      <c r="H441" s="6" t="n">
        <v>1041.075</v>
      </c>
      <c r="I441" s="7">
        <f>-H441/G441</f>
        <v/>
      </c>
      <c r="J441" s="11" t="n">
        <v>44676</v>
      </c>
      <c r="K441" s="6" t="n">
        <v>-500</v>
      </c>
      <c r="L441" s="6">
        <f>+OPERAC[[#This Row],[cantidad venta]]*1.3214</f>
        <v/>
      </c>
      <c r="M441" s="7">
        <f>IF(N441=0,+L441+H441,0)</f>
        <v/>
      </c>
      <c r="N441" s="7">
        <f>IF((+G441-K441)=0,0,+G441-K441)</f>
        <v/>
      </c>
      <c r="O441" s="7">
        <f>IF(N441=0,0,(L441+H441)/-N441)</f>
        <v/>
      </c>
      <c r="P441" s="7">
        <f>VLOOKUP(OPERAC[[#This Row],[especie]],[1]!ESPECIES[#All],6,0)</f>
        <v/>
      </c>
      <c r="Q441" s="7">
        <f>IF(N441&lt;&gt;0,P441*N441,0)</f>
        <v/>
      </c>
      <c r="R441" s="8">
        <f>IF(Q441&lt;&gt;0,Q441+H441+L441,0)</f>
        <v/>
      </c>
      <c r="S441" s="9">
        <f>VLOOKUP(OPERAC[[#This Row],[especie]],[1]!ESPECIES[#Data],9,FALSE)</f>
        <v/>
      </c>
    </row>
    <row r="442">
      <c r="A442" s="4" t="n">
        <v>18711</v>
      </c>
      <c r="B442" s="5" t="n">
        <v>44673</v>
      </c>
      <c r="C442" s="13" t="inlineStr">
        <is>
          <t>VTA</t>
        </is>
      </c>
      <c r="D442" s="13" t="n">
        <v>39</v>
      </c>
      <c r="E442" s="10">
        <f>IF(D442&gt;0,VLOOKUP(OPERAC[[#This Row],[COD CART]],[1]!MatrizCortoLargoCyl[#All],3,0),"")</f>
        <v/>
      </c>
      <c r="F442" s="14" t="inlineStr">
        <is>
          <t>UPST/V/70,00/29-04-22</t>
        </is>
      </c>
      <c r="G442" s="6" t="n">
        <v>-500</v>
      </c>
      <c r="H442" s="6" t="n">
        <v>1041.075</v>
      </c>
      <c r="I442" s="7">
        <f>-H442/G442</f>
        <v/>
      </c>
      <c r="J442" s="11" t="n">
        <v>44676</v>
      </c>
      <c r="K442" s="6" t="n">
        <v>-500</v>
      </c>
      <c r="L442" s="6" t="n">
        <v>-665.61</v>
      </c>
      <c r="M442" s="7">
        <f>IF(N442=0,+L442+H442,0)</f>
        <v/>
      </c>
      <c r="N442" s="7">
        <f>IF((+G442-K442)=0,0,+G442-K442)</f>
        <v/>
      </c>
      <c r="O442" s="7">
        <f>IF(N442=0,0,(L442+H442)/-N442)</f>
        <v/>
      </c>
      <c r="P442" s="7">
        <f>VLOOKUP(OPERAC[[#This Row],[especie]],[1]!ESPECIES[#All],6,0)</f>
        <v/>
      </c>
      <c r="Q442" s="7">
        <f>IF(N442&lt;&gt;0,P442*N442,0)</f>
        <v/>
      </c>
      <c r="R442" s="8">
        <f>IF(Q442&lt;&gt;0,Q442+H442+L442,0)</f>
        <v/>
      </c>
      <c r="S442" s="9">
        <f>VLOOKUP(OPERAC[[#This Row],[especie]],[1]!ESPECIES[#Data],9,FALSE)</f>
        <v/>
      </c>
    </row>
    <row r="443">
      <c r="A443" s="4" t="n">
        <v>1760</v>
      </c>
      <c r="B443" s="5" t="n">
        <v>44673</v>
      </c>
      <c r="C443" s="13" t="inlineStr">
        <is>
          <t>VTA</t>
        </is>
      </c>
      <c r="D443" s="13" t="n">
        <v>39</v>
      </c>
      <c r="E443" s="10">
        <f>IF(D443&gt;0,VLOOKUP(OPERAC[[#This Row],[COD CART]],[1]!MatrizCortoLargoCyl[#All],3,0),"")</f>
        <v/>
      </c>
      <c r="F443" s="14" t="inlineStr">
        <is>
          <t>UPST/V/70,00/29-04-22</t>
        </is>
      </c>
      <c r="G443" s="6" t="n">
        <v>-500</v>
      </c>
      <c r="H443" s="6" t="n">
        <v>1041.075</v>
      </c>
      <c r="I443" s="7">
        <f>-H443/G443</f>
        <v/>
      </c>
      <c r="J443" s="11" t="n">
        <v>44676</v>
      </c>
      <c r="K443" s="6" t="n">
        <v>-500</v>
      </c>
      <c r="L443" s="6" t="n">
        <v>-665.61</v>
      </c>
      <c r="M443" s="7">
        <f>IF(N443=0,+L443+H443,0)</f>
        <v/>
      </c>
      <c r="N443" s="7">
        <f>IF((+G443-K443)=0,0,+G443-K443)</f>
        <v/>
      </c>
      <c r="O443" s="7">
        <f>IF(N443=0,0,(L443+H443)/-N443)</f>
        <v/>
      </c>
      <c r="P443" s="7">
        <f>VLOOKUP(OPERAC[[#This Row],[especie]],[1]!ESPECIES[#All],6,0)</f>
        <v/>
      </c>
      <c r="Q443" s="7">
        <f>IF(N443&lt;&gt;0,P443*N443,0)</f>
        <v/>
      </c>
      <c r="R443" s="8">
        <f>IF(Q443&lt;&gt;0,Q443+H443+L443,0)</f>
        <v/>
      </c>
      <c r="S443" s="9">
        <f>VLOOKUP(OPERAC[[#This Row],[especie]],[1]!ESPECIES[#Data],9,FALSE)</f>
        <v/>
      </c>
    </row>
    <row r="444">
      <c r="A444" s="4" t="n">
        <v>2203</v>
      </c>
      <c r="B444" s="5" t="n">
        <v>44685</v>
      </c>
      <c r="C444" s="13" t="inlineStr">
        <is>
          <t>VTA</t>
        </is>
      </c>
      <c r="D444" s="13" t="n">
        <v>39</v>
      </c>
      <c r="E444" s="10">
        <f>IF(D444&gt;0,VLOOKUP(OPERAC[[#This Row],[COD CART]],[1]!MatrizCortoLargoCyl[#All],3,0),"")</f>
        <v/>
      </c>
      <c r="F444" s="13" t="inlineStr">
        <is>
          <t>TSLA/V/815,00/06-05-22</t>
        </is>
      </c>
      <c r="G444" s="6" t="n">
        <v>-1000</v>
      </c>
      <c r="H444" s="6" t="n">
        <v>1041.075</v>
      </c>
      <c r="I444" s="7">
        <f>-H444/G444</f>
        <v/>
      </c>
      <c r="J444" s="11" t="n">
        <v>44687</v>
      </c>
      <c r="K444" s="6" t="n">
        <v>-1000</v>
      </c>
      <c r="L444" s="6" t="n">
        <v>0</v>
      </c>
      <c r="M444" s="7">
        <f>IF(N444=0,+L444+H444,0)</f>
        <v/>
      </c>
      <c r="N444" s="7">
        <f>IF((+G444-K444)=0,0,+G444-K444)</f>
        <v/>
      </c>
      <c r="O444" s="7">
        <f>IF(N444=0,0,(L444+H444)/-N444)</f>
        <v/>
      </c>
      <c r="P444" s="7">
        <f>VLOOKUP(OPERAC[[#This Row],[especie]],[1]!ESPECIES[#All],6,0)</f>
        <v/>
      </c>
      <c r="Q444" s="7">
        <f>IF(N444&lt;&gt;0,P444*N444,0)</f>
        <v/>
      </c>
      <c r="R444" s="8">
        <f>IF(Q444&lt;&gt;0,Q444+H444+L444,0)</f>
        <v/>
      </c>
      <c r="S444" s="9">
        <f>VLOOKUP(OPERAC[[#This Row],[especie]],[1]!ESPECIES[#Data],9,FALSE)</f>
        <v/>
      </c>
    </row>
    <row r="445">
      <c r="A445" s="4" t="n">
        <v>6578</v>
      </c>
      <c r="B445" s="5" t="n">
        <v>44720</v>
      </c>
      <c r="C445" s="13" t="inlineStr">
        <is>
          <t>VTA</t>
        </is>
      </c>
      <c r="D445" s="13" t="n">
        <v>39</v>
      </c>
      <c r="E445" s="10">
        <f>IF(D445&gt;0,VLOOKUP(OPERAC[[#This Row],[COD CART]],[1]!MatrizCortoLargoCyl[#All],3,0),"")</f>
        <v/>
      </c>
      <c r="F445" s="14" t="inlineStr">
        <is>
          <t>TSLA/C/790,00/10-06-22</t>
        </is>
      </c>
      <c r="G445" s="6" t="n">
        <v>-300</v>
      </c>
      <c r="H445" s="6" t="n">
        <v>1041.075</v>
      </c>
      <c r="I445" s="7">
        <f>-H445/G445</f>
        <v/>
      </c>
      <c r="J445" s="5" t="n">
        <v>44722</v>
      </c>
      <c r="K445" s="6">
        <f>+OPERAC[[#This Row],[cantidad]]</f>
        <v/>
      </c>
      <c r="L445" s="6" t="n">
        <v>0</v>
      </c>
      <c r="M445" s="7">
        <f>IF(N445=0,+L445+H445,0)</f>
        <v/>
      </c>
      <c r="N445" s="7">
        <f>IF((+G445-K445)=0,0,+G445-K445)</f>
        <v/>
      </c>
      <c r="O445" s="7">
        <f>IF(N445=0,0,(L445+H445)/-N445)</f>
        <v/>
      </c>
      <c r="P445" s="7">
        <f>VLOOKUP(OPERAC[[#This Row],[especie]],[1]!ESPECIES[#All],6,0)</f>
        <v/>
      </c>
      <c r="Q445" s="7">
        <f>IF(N445&lt;&gt;0,P445*N445,0)</f>
        <v/>
      </c>
      <c r="R445" s="8">
        <f>IF(Q445&lt;&gt;0,Q445+H445+L445,0)</f>
        <v/>
      </c>
      <c r="S445" s="9">
        <f>VLOOKUP(OPERAC[[#This Row],[especie]],[1]!ESPECIES[#Data],9,FALSE)</f>
        <v/>
      </c>
    </row>
    <row r="446">
      <c r="A446" s="4" t="n">
        <v>18690</v>
      </c>
      <c r="B446" s="5" t="n">
        <v>44508</v>
      </c>
      <c r="C446" s="13" t="inlineStr">
        <is>
          <t>VTA</t>
        </is>
      </c>
      <c r="D446" s="13" t="n">
        <v>39</v>
      </c>
      <c r="E446" s="10">
        <f>IF(D446&gt;0,VLOOKUP(OPERAC[[#This Row],[COD CART]],[1]!MatrizCortoLargoCyl[#All],3,0),"")</f>
        <v/>
      </c>
      <c r="F446" s="13" t="inlineStr">
        <is>
          <t>ACB/V/6,00/21-01-22</t>
        </is>
      </c>
      <c r="G446" s="6" t="n">
        <v>-2500</v>
      </c>
      <c r="H446" s="6">
        <f>1065.775-0.5*OPERAC[[#This Row],[cantidad]]+0.51*OPERAC[[#This Row],[cantidad]]</f>
        <v/>
      </c>
      <c r="I446" s="7">
        <f>-H446/G446</f>
        <v/>
      </c>
      <c r="J446" s="11" t="n">
        <v>44581</v>
      </c>
      <c r="K446" s="6">
        <f>+OPERAC[[#This Row],[cantidad]]</f>
        <v/>
      </c>
      <c r="L446" s="6">
        <f>-OPERAC[[#This Row],[importe]]</f>
        <v/>
      </c>
      <c r="M446" s="7">
        <f>IF(N446=0,+L446+H446,0)</f>
        <v/>
      </c>
      <c r="N446" s="7">
        <f>IF((+G446-K446)=0,0,+G446-K446)</f>
        <v/>
      </c>
      <c r="O446" s="7">
        <f>IF(N446=0,0,(L446+H446)/-N446)</f>
        <v/>
      </c>
      <c r="P446" s="7">
        <f>VLOOKUP(OPERAC[[#This Row],[especie]],[1]!ESPECIES[#All],6,0)</f>
        <v/>
      </c>
      <c r="Q446" s="7">
        <f>IF(N446&lt;&gt;0,P446*N446,0)</f>
        <v/>
      </c>
      <c r="R446" s="8">
        <f>IF(Q446&lt;&gt;0,Q446+H446+L446,0)</f>
        <v/>
      </c>
      <c r="S446" s="9">
        <f>VLOOKUP(OPERAC[[#This Row],[especie]],[1]!ESPECIES[#Data],9,FALSE)</f>
        <v/>
      </c>
    </row>
    <row r="447">
      <c r="A447" s="4" t="n">
        <v>25070</v>
      </c>
      <c r="B447" s="5" t="n">
        <v>44648</v>
      </c>
      <c r="C447" s="13" t="inlineStr">
        <is>
          <t>VTA</t>
        </is>
      </c>
      <c r="D447" s="13" t="n">
        <v>39</v>
      </c>
      <c r="E447" s="10">
        <f>IF(D447&gt;0,VLOOKUP(OPERAC[[#This Row],[COD CART]],[1]!MatrizCortoLargoCyl[#All],3,0),"")</f>
        <v/>
      </c>
      <c r="F447" s="13" t="inlineStr">
        <is>
          <t>UPST/V/80,00/08-04-22</t>
        </is>
      </c>
      <c r="G447" s="6" t="n">
        <v>-1000</v>
      </c>
      <c r="H447" s="6" t="n">
        <v>1037.58</v>
      </c>
      <c r="I447" s="7">
        <f>-H447/G447</f>
        <v/>
      </c>
      <c r="J447" s="11" t="n">
        <v>44649</v>
      </c>
      <c r="K447" s="6" t="n">
        <v>-1000</v>
      </c>
      <c r="L447" s="6" t="n">
        <v>-359.79</v>
      </c>
      <c r="M447" s="7">
        <f>IF(N447=0,+L447+H447,0)</f>
        <v/>
      </c>
      <c r="N447" s="7">
        <f>IF((+G447-K447)=0,0,+G447-K447)</f>
        <v/>
      </c>
      <c r="O447" s="7">
        <f>IF(N447=0,0,(L447+H447)/-N447)</f>
        <v/>
      </c>
      <c r="P447" s="7">
        <f>VLOOKUP(OPERAC[[#This Row],[especie]],[1]!ESPECIES[#All],6,0)</f>
        <v/>
      </c>
      <c r="Q447" s="7">
        <f>IF(N447&lt;&gt;0,P447*N447,0)</f>
        <v/>
      </c>
      <c r="R447" s="8">
        <f>IF(Q447&lt;&gt;0,Q447+H447+L447,0)</f>
        <v/>
      </c>
      <c r="S447" s="9">
        <f>VLOOKUP(OPERAC[[#This Row],[especie]],[1]!ESPECIES[#Data],9,FALSE)</f>
        <v/>
      </c>
    </row>
    <row r="448">
      <c r="A448" s="4" t="n">
        <v>1760</v>
      </c>
      <c r="B448" s="5" t="n">
        <v>44580</v>
      </c>
      <c r="C448" s="13" t="inlineStr">
        <is>
          <t>VTA</t>
        </is>
      </c>
      <c r="D448" s="13" t="n">
        <v>39</v>
      </c>
      <c r="E448" s="10">
        <f>IF(D448&gt;0,VLOOKUP(OPERAC[[#This Row],[COD CART]],[1]!MatrizCortoLargoCyl[#All],3,0),"")</f>
        <v/>
      </c>
      <c r="F448" s="13" t="inlineStr">
        <is>
          <t>INO/V/5,00/18-02-22</t>
        </is>
      </c>
      <c r="G448" s="6" t="n">
        <v>-1100</v>
      </c>
      <c r="H448" s="6" t="n">
        <v>1029.006</v>
      </c>
      <c r="I448" s="7">
        <f>-H448/G448</f>
        <v/>
      </c>
      <c r="J448" s="11" t="n">
        <v>44600</v>
      </c>
      <c r="K448" s="6" t="n">
        <v>-1100</v>
      </c>
      <c r="L448" s="6" t="n">
        <v>-1029</v>
      </c>
      <c r="M448" s="7">
        <f>IF(N448=0,+L448+H448,0)</f>
        <v/>
      </c>
      <c r="N448" s="7">
        <f>IF((+G448-K448)=0,0,+G448-K448)</f>
        <v/>
      </c>
      <c r="O448" s="7">
        <f>IF(N448=0,0,(L448+H448)/-N448)</f>
        <v/>
      </c>
      <c r="P448" s="7">
        <f>VLOOKUP(OPERAC[[#This Row],[especie]],[1]!ESPECIES[#All],6,0)</f>
        <v/>
      </c>
      <c r="Q448" s="7">
        <f>IF(N448&lt;&gt;0,P448*N448,0)</f>
        <v/>
      </c>
      <c r="R448" s="8">
        <f>IF(Q448&lt;&gt;0,Q448+H448+L448,0)</f>
        <v/>
      </c>
      <c r="S448" s="9">
        <f>VLOOKUP(OPERAC[[#This Row],[especie]],[1]!ESPECIES[#Data],9,FALSE)</f>
        <v/>
      </c>
    </row>
    <row r="449">
      <c r="A449" s="4" t="n">
        <v>6578</v>
      </c>
      <c r="B449" s="5" t="n">
        <v>44720</v>
      </c>
      <c r="C449" s="13" t="inlineStr">
        <is>
          <t>VTA</t>
        </is>
      </c>
      <c r="D449" s="13" t="n">
        <v>39</v>
      </c>
      <c r="E449" s="10">
        <f>IF(D449&gt;0,VLOOKUP(OPERAC[[#This Row],[COD CART]],[1]!MatrizCortoLargoCyl[#All],3,0),"")</f>
        <v/>
      </c>
      <c r="F449" s="13" t="inlineStr">
        <is>
          <t>TSLA/P/640,00/10-06-22</t>
        </is>
      </c>
      <c r="G449" s="6" t="n">
        <v>-900</v>
      </c>
      <c r="H449" s="6" t="n">
        <v>1026.203</v>
      </c>
      <c r="I449" s="7">
        <f>-H449/G449</f>
        <v/>
      </c>
      <c r="J449" s="5" t="n">
        <v>44721</v>
      </c>
      <c r="K449" s="6" t="n">
        <v>-900</v>
      </c>
      <c r="L449" s="6" t="n">
        <v>-317.678</v>
      </c>
      <c r="M449" s="7">
        <f>IF(N449=0,+L449+H449,0)</f>
        <v/>
      </c>
      <c r="N449" s="7">
        <f>IF((+G449-K449)=0,0,+G449-K449)</f>
        <v/>
      </c>
      <c r="O449" s="7">
        <f>IF(N449=0,0,(L449+H449)/-N449)</f>
        <v/>
      </c>
      <c r="P449" s="7">
        <f>VLOOKUP(OPERAC[[#This Row],[especie]],[1]!ESPECIES[#All],6,0)</f>
        <v/>
      </c>
      <c r="Q449" s="7">
        <f>IF(N449&lt;&gt;0,P449*N449,0)</f>
        <v/>
      </c>
      <c r="R449" s="8">
        <f>IF(Q449&lt;&gt;0,Q449+H449+L449,0)</f>
        <v/>
      </c>
      <c r="S449" s="9">
        <f>VLOOKUP(OPERAC[[#This Row],[especie]],[1]!ESPECIES[#Data],9,FALSE)</f>
        <v/>
      </c>
    </row>
    <row r="450">
      <c r="A450" s="4" t="n">
        <v>26140</v>
      </c>
      <c r="B450" s="5" t="n">
        <v>44424</v>
      </c>
      <c r="C450" s="13" t="inlineStr">
        <is>
          <t>VTA</t>
        </is>
      </c>
      <c r="D450" s="13" t="n">
        <v>39</v>
      </c>
      <c r="E450" s="10">
        <f>IF(D450&gt;0,VLOOKUP(OPERAC[[#This Row],[COD CART]],[1]!MatrizCortoLargoCyl[#All],3,0),"")</f>
        <v/>
      </c>
      <c r="F450" s="13" t="inlineStr">
        <is>
          <t>ACB/V/10,00/20-01-23</t>
        </is>
      </c>
      <c r="G450" s="6" t="n">
        <v>-200</v>
      </c>
      <c r="H450" s="6" t="n">
        <v>1020.94</v>
      </c>
      <c r="I450" s="7">
        <f>-H450/G450</f>
        <v/>
      </c>
      <c r="J450" s="11" t="n">
        <v>44614</v>
      </c>
      <c r="K450" s="6" t="n">
        <v>-200</v>
      </c>
      <c r="L450" s="6" t="n">
        <v>-1020</v>
      </c>
      <c r="M450" s="7">
        <f>IF(N450=0,+L450+H450,0)</f>
        <v/>
      </c>
      <c r="N450" s="7">
        <f>IF((+G450-K450)=0,0,+G450-K450)</f>
        <v/>
      </c>
      <c r="O450" s="7">
        <f>IF(N450=0,0,(L450+H450)/-N450)</f>
        <v/>
      </c>
      <c r="P450" s="7">
        <f>VLOOKUP(OPERAC[[#This Row],[especie]],[1]!ESPECIES[#All],6,0)</f>
        <v/>
      </c>
      <c r="Q450" s="7">
        <f>IF(N450&lt;&gt;0,P450*N450,0)</f>
        <v/>
      </c>
      <c r="R450" s="8">
        <f>IF(Q450&lt;&gt;0,Q450+H450+L450,0)</f>
        <v/>
      </c>
      <c r="S450" s="9">
        <f>VLOOKUP(OPERAC[[#This Row],[especie]],[1]!ESPECIES[#Data],9,FALSE)</f>
        <v/>
      </c>
    </row>
    <row r="451">
      <c r="A451" s="4" t="n">
        <v>6579</v>
      </c>
      <c r="B451" s="5" t="n">
        <v>44538</v>
      </c>
      <c r="C451" s="13" t="inlineStr">
        <is>
          <t>VTA</t>
        </is>
      </c>
      <c r="D451" s="13" t="n">
        <v>39</v>
      </c>
      <c r="E451" s="10">
        <f>IF(D451&gt;0,VLOOKUP(OPERAC[[#This Row],[COD CART]],[1]!MatrizCortoLargoCyl[#All],3,0),"")</f>
        <v/>
      </c>
      <c r="F451" s="13" t="inlineStr">
        <is>
          <t>MELI/V/880,00/21-01-22</t>
        </is>
      </c>
      <c r="G451" s="6" t="n">
        <v>-100</v>
      </c>
      <c r="H451" s="6" t="n">
        <v>1011.84</v>
      </c>
      <c r="I451" s="7">
        <f>-H451/G451</f>
        <v/>
      </c>
      <c r="J451" s="11" t="n">
        <v>44582</v>
      </c>
      <c r="K451" s="6">
        <f>+OPERAC[[#This Row],[cantidad]]</f>
        <v/>
      </c>
      <c r="L451" s="6" t="n">
        <v>0</v>
      </c>
      <c r="M451" s="7">
        <f>IF(N451=0,+L451+H451,0)</f>
        <v/>
      </c>
      <c r="N451" s="7">
        <f>IF((+G451-K451)=0,0,+G451-K451)</f>
        <v/>
      </c>
      <c r="O451" s="7">
        <f>IF(N451=0,0,(L451+H451)/-N451)</f>
        <v/>
      </c>
      <c r="P451" s="7">
        <f>VLOOKUP(OPERAC[[#This Row],[especie]],[1]!ESPECIES[#All],6,0)</f>
        <v/>
      </c>
      <c r="Q451" s="7">
        <f>IF(N451&lt;&gt;0,P451*N451,0)</f>
        <v/>
      </c>
      <c r="R451" s="8">
        <f>IF(Q451&lt;&gt;0,Q451+H451+L451,0)</f>
        <v/>
      </c>
      <c r="S451" s="9">
        <f>VLOOKUP(OPERAC[[#This Row],[especie]],[1]!ESPECIES[#Data],9,FALSE)</f>
        <v/>
      </c>
    </row>
    <row r="452">
      <c r="A452" s="4" t="n">
        <v>12619</v>
      </c>
      <c r="B452" s="5" t="n">
        <v>44538</v>
      </c>
      <c r="C452" s="13" t="inlineStr">
        <is>
          <t>VTA</t>
        </is>
      </c>
      <c r="D452" s="13" t="n">
        <v>39</v>
      </c>
      <c r="E452" s="10">
        <f>IF(D452&gt;0,VLOOKUP(OPERAC[[#This Row],[COD CART]],[1]!MatrizCortoLargoCyl[#All],3,0),"")</f>
        <v/>
      </c>
      <c r="F452" s="13" t="inlineStr">
        <is>
          <t>MELI/V/880,00/21-01-22</t>
        </is>
      </c>
      <c r="G452" s="6" t="n">
        <v>-100</v>
      </c>
      <c r="H452" s="6" t="n">
        <v>1011.84</v>
      </c>
      <c r="I452" s="7">
        <f>-H452/G452</f>
        <v/>
      </c>
      <c r="J452" s="11" t="n">
        <v>44582</v>
      </c>
      <c r="K452" s="6">
        <f>+OPERAC[[#This Row],[cantidad]]</f>
        <v/>
      </c>
      <c r="L452" s="6" t="n">
        <v>0</v>
      </c>
      <c r="M452" s="7">
        <f>IF(N452=0,+L452+H452,0)</f>
        <v/>
      </c>
      <c r="N452" s="7">
        <f>IF((+G452-K452)=0,0,+G452-K452)</f>
        <v/>
      </c>
      <c r="O452" s="7">
        <f>IF(N452=0,0,(L452+H452)/-N452)</f>
        <v/>
      </c>
      <c r="P452" s="7">
        <f>VLOOKUP(OPERAC[[#This Row],[especie]],[1]!ESPECIES[#All],6,0)</f>
        <v/>
      </c>
      <c r="Q452" s="7">
        <f>IF(N452&lt;&gt;0,P452*N452,0)</f>
        <v/>
      </c>
      <c r="R452" s="8">
        <f>IF(Q452&lt;&gt;0,Q452+H452+L452,0)</f>
        <v/>
      </c>
      <c r="S452" s="9">
        <f>VLOOKUP(OPERAC[[#This Row],[especie]],[1]!ESPECIES[#Data],9,FALSE)</f>
        <v/>
      </c>
    </row>
    <row r="453">
      <c r="A453" s="4" t="n">
        <v>13230</v>
      </c>
      <c r="B453" s="5" t="n">
        <v>44538</v>
      </c>
      <c r="C453" s="13" t="inlineStr">
        <is>
          <t>VTA</t>
        </is>
      </c>
      <c r="D453" s="13" t="n">
        <v>39</v>
      </c>
      <c r="E453" s="10">
        <f>IF(D453&gt;0,VLOOKUP(OPERAC[[#This Row],[COD CART]],[1]!MatrizCortoLargoCyl[#All],3,0),"")</f>
        <v/>
      </c>
      <c r="F453" s="13" t="inlineStr">
        <is>
          <t>MELI/V/880,00/21-01-22</t>
        </is>
      </c>
      <c r="G453" s="6" t="n">
        <v>-100</v>
      </c>
      <c r="H453" s="6" t="n">
        <v>1011.84</v>
      </c>
      <c r="I453" s="7">
        <f>-H453/G453</f>
        <v/>
      </c>
      <c r="J453" s="11" t="n">
        <v>44582</v>
      </c>
      <c r="K453" s="6">
        <f>+OPERAC[[#This Row],[cantidad]]</f>
        <v/>
      </c>
      <c r="L453" s="6" t="n">
        <v>0</v>
      </c>
      <c r="M453" s="7">
        <f>IF(N453=0,+L453+H453,0)</f>
        <v/>
      </c>
      <c r="N453" s="7">
        <f>IF((+G453-K453)=0,0,+G453-K453)</f>
        <v/>
      </c>
      <c r="O453" s="7">
        <f>IF(N453=0,0,(L453+H453)/-N453)</f>
        <v/>
      </c>
      <c r="P453" s="7">
        <f>VLOOKUP(OPERAC[[#This Row],[especie]],[1]!ESPECIES[#All],6,0)</f>
        <v/>
      </c>
      <c r="Q453" s="7">
        <f>IF(N453&lt;&gt;0,P453*N453,0)</f>
        <v/>
      </c>
      <c r="R453" s="8">
        <f>IF(Q453&lt;&gt;0,Q453+H453+L453,0)</f>
        <v/>
      </c>
      <c r="S453" s="9">
        <f>VLOOKUP(OPERAC[[#This Row],[especie]],[1]!ESPECIES[#Data],9,FALSE)</f>
        <v/>
      </c>
    </row>
    <row r="454">
      <c r="A454" s="4" t="n">
        <v>18690</v>
      </c>
      <c r="B454" s="5" t="n">
        <v>44538</v>
      </c>
      <c r="C454" s="13" t="inlineStr">
        <is>
          <t>VTA</t>
        </is>
      </c>
      <c r="D454" s="13" t="n">
        <v>39</v>
      </c>
      <c r="E454" s="10">
        <f>IF(D454&gt;0,VLOOKUP(OPERAC[[#This Row],[COD CART]],[1]!MatrizCortoLargoCyl[#All],3,0),"")</f>
        <v/>
      </c>
      <c r="F454" s="13" t="inlineStr">
        <is>
          <t>MELI/V/880,00/21-01-22</t>
        </is>
      </c>
      <c r="G454" s="6" t="n">
        <v>-100</v>
      </c>
      <c r="H454" s="6" t="n">
        <v>1011.84</v>
      </c>
      <c r="I454" s="7">
        <f>-H454/G454</f>
        <v/>
      </c>
      <c r="J454" s="11" t="n">
        <v>44582</v>
      </c>
      <c r="K454" s="6">
        <f>+OPERAC[[#This Row],[cantidad]]</f>
        <v/>
      </c>
      <c r="L454" s="6" t="n">
        <v>0</v>
      </c>
      <c r="M454" s="7">
        <f>IF(N454=0,+L454+H454,0)</f>
        <v/>
      </c>
      <c r="N454" s="7">
        <f>IF((+G454-K454)=0,0,+G454-K454)</f>
        <v/>
      </c>
      <c r="O454" s="7">
        <f>IF(N454=0,0,(L454+H454)/-N454)</f>
        <v/>
      </c>
      <c r="P454" s="7">
        <f>VLOOKUP(OPERAC[[#This Row],[especie]],[1]!ESPECIES[#All],6,0)</f>
        <v/>
      </c>
      <c r="Q454" s="7">
        <f>IF(N454&lt;&gt;0,P454*N454,0)</f>
        <v/>
      </c>
      <c r="R454" s="8">
        <f>IF(Q454&lt;&gt;0,Q454+H454+L454,0)</f>
        <v/>
      </c>
      <c r="S454" s="9">
        <f>VLOOKUP(OPERAC[[#This Row],[especie]],[1]!ESPECIES[#Data],9,FALSE)</f>
        <v/>
      </c>
    </row>
    <row r="455">
      <c r="A455" s="4" t="n">
        <v>2209</v>
      </c>
      <c r="B455" s="5" t="n">
        <v>44463</v>
      </c>
      <c r="C455" s="13" t="inlineStr">
        <is>
          <t>VTA</t>
        </is>
      </c>
      <c r="D455" s="13" t="n">
        <v>41</v>
      </c>
      <c r="E455" s="10">
        <f>IF(D455&gt;0,VLOOKUP(OPERAC[[#This Row],[COD CART]],[1]!MatrizCortoLargoCyl[#All],3,0),"")</f>
        <v/>
      </c>
      <c r="F455" s="13" t="inlineStr">
        <is>
          <t>ETR</t>
        </is>
      </c>
      <c r="G455" s="6" t="n">
        <v>10</v>
      </c>
      <c r="H455" s="6" t="n">
        <v>1011</v>
      </c>
      <c r="I455" s="7">
        <f>-H455/G455</f>
        <v/>
      </c>
      <c r="J455" s="11" t="n"/>
      <c r="K455" s="6" t="n"/>
      <c r="L455" s="6" t="n"/>
      <c r="M455" s="7">
        <f>IF(N455=0,+L455+H455,0)</f>
        <v/>
      </c>
      <c r="N455" s="7">
        <f>IF((+G455-K455)=0,0,+G455-K455)</f>
        <v/>
      </c>
      <c r="O455" s="7">
        <f>IF(N455=0,0,(L455+H455)/-N455)</f>
        <v/>
      </c>
      <c r="P455" s="7">
        <f>VLOOKUP(OPERAC[[#This Row],[especie]],[1]!ESPECIES[#All],6,0)</f>
        <v/>
      </c>
      <c r="Q455" s="7">
        <f>IF(N455&lt;&gt;0,P455*N455,0)</f>
        <v/>
      </c>
      <c r="R455" s="8">
        <f>IF(Q455&lt;&gt;0,Q455+H455+L455,0)</f>
        <v/>
      </c>
      <c r="S455" s="9">
        <f>VLOOKUP(OPERAC[[#This Row],[especie]],[1]!ESPECIES[#Data],9,FALSE)</f>
        <v/>
      </c>
    </row>
    <row r="456">
      <c r="A456" s="4" t="n">
        <v>15189</v>
      </c>
      <c r="B456" s="5" t="n">
        <v>44718</v>
      </c>
      <c r="C456" s="13" t="inlineStr">
        <is>
          <t>VTA</t>
        </is>
      </c>
      <c r="D456" s="13" t="n">
        <v>39</v>
      </c>
      <c r="E456" s="10">
        <f>IF(D456&gt;0,VLOOKUP(OPERAC[[#This Row],[COD CART]],[1]!MatrizCortoLargoCyl[#All],3,0),"")</f>
        <v/>
      </c>
      <c r="F456" s="13" t="inlineStr">
        <is>
          <t>TSLA/V/600,00/10-06-22</t>
        </is>
      </c>
      <c r="G456" s="6" t="n">
        <v>-400</v>
      </c>
      <c r="H456" s="6" t="n">
        <v>1008.554</v>
      </c>
      <c r="I456" s="7">
        <f>-H456/G456</f>
        <v/>
      </c>
      <c r="J456" s="5" t="n">
        <v>44718</v>
      </c>
      <c r="K456" s="6" t="n">
        <v>-400</v>
      </c>
      <c r="L456" s="6" t="n">
        <v>-700.8049999999999</v>
      </c>
      <c r="M456" s="7">
        <f>IF(N456=0,+L456+H456,0)</f>
        <v/>
      </c>
      <c r="N456" s="7">
        <f>IF((+G456-K456)=0,0,+G456-K456)</f>
        <v/>
      </c>
      <c r="O456" s="7">
        <f>IF(N456=0,0,(L456+H456)/-N456)</f>
        <v/>
      </c>
      <c r="P456" s="7">
        <f>VLOOKUP(OPERAC[[#This Row],[especie]],[1]!ESPECIES[#All],6,0)</f>
        <v/>
      </c>
      <c r="Q456" s="7">
        <f>IF(N456&lt;&gt;0,P456*N456,0)</f>
        <v/>
      </c>
      <c r="R456" s="8">
        <f>IF(Q456&lt;&gt;0,Q456+H456+L456,0)</f>
        <v/>
      </c>
      <c r="S456" s="9">
        <f>VLOOKUP(OPERAC[[#This Row],[especie]],[1]!ESPECIES[#Data],9,FALSE)</f>
        <v/>
      </c>
    </row>
    <row r="457">
      <c r="A457" s="4" t="n">
        <v>18690</v>
      </c>
      <c r="B457" s="5" t="n">
        <v>44719</v>
      </c>
      <c r="C457" s="13" t="inlineStr">
        <is>
          <t>VTA</t>
        </is>
      </c>
      <c r="D457" s="13" t="n">
        <v>39</v>
      </c>
      <c r="E457" s="10">
        <f>IF(D457&gt;0,VLOOKUP(OPERAC[[#This Row],[COD CART]],[1]!MatrizCortoLargoCyl[#All],3,0),"")</f>
        <v/>
      </c>
      <c r="F457" s="13" t="inlineStr">
        <is>
          <t>TSLA/V/625,00/10-06-22</t>
        </is>
      </c>
      <c r="G457" s="6" t="n">
        <v>-700</v>
      </c>
      <c r="H457" s="6" t="n">
        <v>1006.3725</v>
      </c>
      <c r="I457" s="7">
        <f>-H457/G457</f>
        <v/>
      </c>
      <c r="J457" s="5" t="n">
        <v>44721</v>
      </c>
      <c r="K457" s="6" t="n">
        <v>-700</v>
      </c>
      <c r="L457" s="6" t="n">
        <v>-162.369</v>
      </c>
      <c r="M457" s="7">
        <f>IF(N457=0,+L457+H457,0)</f>
        <v/>
      </c>
      <c r="N457" s="7">
        <f>IF((+G457-K457)=0,0,+G457-K457)</f>
        <v/>
      </c>
      <c r="O457" s="7">
        <f>IF(N457=0,0,(L457+H457)/-N457)</f>
        <v/>
      </c>
      <c r="P457" s="7">
        <f>VLOOKUP(OPERAC[[#This Row],[especie]],[1]!ESPECIES[#All],6,0)</f>
        <v/>
      </c>
      <c r="Q457" s="7">
        <f>IF(N457&lt;&gt;0,P457*N457,0)</f>
        <v/>
      </c>
      <c r="R457" s="8">
        <f>IF(Q457&lt;&gt;0,Q457+H457+L457,0)</f>
        <v/>
      </c>
      <c r="S457" s="9">
        <f>VLOOKUP(OPERAC[[#This Row],[especie]],[1]!ESPECIES[#Data],9,FALSE)</f>
        <v/>
      </c>
    </row>
    <row r="458">
      <c r="A458" s="4" t="n">
        <v>16795</v>
      </c>
      <c r="B458" s="5" t="n">
        <v>44547</v>
      </c>
      <c r="C458" s="13" t="inlineStr">
        <is>
          <t>VTA</t>
        </is>
      </c>
      <c r="D458" s="13" t="n">
        <v>39</v>
      </c>
      <c r="E458" s="10">
        <f>IF(D458&gt;0,VLOOKUP(OPERAC[[#This Row],[COD CART]],[1]!MatrizCortoLargoCyl[#All],3,0),"")</f>
        <v/>
      </c>
      <c r="F458" s="13" t="inlineStr">
        <is>
          <t>INO/V/7,00/21-01-22</t>
        </is>
      </c>
      <c r="G458" s="6" t="n">
        <v>-1100</v>
      </c>
      <c r="H458" s="6" t="n">
        <v>1001.484</v>
      </c>
      <c r="I458" s="7">
        <f>-H458/G458</f>
        <v/>
      </c>
      <c r="J458" s="11" t="n">
        <v>44580</v>
      </c>
      <c r="K458" s="6">
        <f>+OPERAC[[#This Row],[cantidad]]</f>
        <v/>
      </c>
      <c r="L458" s="6">
        <f>-OPERAC[[#This Row],[importe]]</f>
        <v/>
      </c>
      <c r="M458" s="7">
        <f>IF(N458=0,+L458+H458,0)</f>
        <v/>
      </c>
      <c r="N458" s="7">
        <f>IF((+G458-K458)=0,0,+G458-K458)</f>
        <v/>
      </c>
      <c r="O458" s="7">
        <f>IF(N458=0,0,(L458+H458)/-N458)</f>
        <v/>
      </c>
      <c r="P458" s="7">
        <f>VLOOKUP(OPERAC[[#This Row],[especie]],[1]!ESPECIES[#All],6,0)</f>
        <v/>
      </c>
      <c r="Q458" s="7">
        <f>IF(N458&lt;&gt;0,P458*N458,0)</f>
        <v/>
      </c>
      <c r="R458" s="8">
        <f>IF(Q458&lt;&gt;0,Q458+H458+L458,0)</f>
        <v/>
      </c>
      <c r="S458" s="9">
        <f>VLOOKUP(OPERAC[[#This Row],[especie]],[1]!ESPECIES[#Data],9,FALSE)</f>
        <v/>
      </c>
    </row>
    <row r="459">
      <c r="A459" s="4" t="n">
        <v>12684</v>
      </c>
      <c r="B459" s="5" t="n">
        <v>44547</v>
      </c>
      <c r="C459" s="13" t="inlineStr">
        <is>
          <t>VTA</t>
        </is>
      </c>
      <c r="D459" s="13" t="n">
        <v>39</v>
      </c>
      <c r="E459" s="10">
        <f>IF(D459&gt;0,VLOOKUP(OPERAC[[#This Row],[COD CART]],[1]!MatrizCortoLargoCyl[#All],3,0),"")</f>
        <v/>
      </c>
      <c r="F459" s="13" t="inlineStr">
        <is>
          <t>INO/V/7,00/21-01-22</t>
        </is>
      </c>
      <c r="G459" s="6" t="n">
        <v>-1100</v>
      </c>
      <c r="H459" s="6" t="n">
        <v>1001.484</v>
      </c>
      <c r="I459" s="7">
        <f>-H459/G459</f>
        <v/>
      </c>
      <c r="J459" s="11" t="n">
        <v>44580</v>
      </c>
      <c r="K459" s="6">
        <f>+OPERAC[[#This Row],[cantidad]]</f>
        <v/>
      </c>
      <c r="L459" s="6">
        <f>-OPERAC[[#This Row],[importe]]</f>
        <v/>
      </c>
      <c r="M459" s="7">
        <f>IF(N459=0,+L459+H459,0)</f>
        <v/>
      </c>
      <c r="N459" s="7">
        <f>IF((+G459-K459)=0,0,+G459-K459)</f>
        <v/>
      </c>
      <c r="O459" s="7">
        <f>IF(N459=0,0,(L459+H459)/-N459)</f>
        <v/>
      </c>
      <c r="P459" s="7">
        <f>VLOOKUP(OPERAC[[#This Row],[especie]],[1]!ESPECIES[#All],6,0)</f>
        <v/>
      </c>
      <c r="Q459" s="7">
        <f>IF(N459&lt;&gt;0,P459*N459,0)</f>
        <v/>
      </c>
      <c r="R459" s="8">
        <f>IF(Q459&lt;&gt;0,Q459+H459+L459,0)</f>
        <v/>
      </c>
      <c r="S459" s="9">
        <f>VLOOKUP(OPERAC[[#This Row],[especie]],[1]!ESPECIES[#Data],9,FALSE)</f>
        <v/>
      </c>
    </row>
    <row r="460">
      <c r="A460" s="4" t="n">
        <v>13230</v>
      </c>
      <c r="B460" s="5" t="n">
        <v>44719</v>
      </c>
      <c r="C460" s="13" t="inlineStr">
        <is>
          <t>VTA</t>
        </is>
      </c>
      <c r="D460" s="13" t="n">
        <v>39</v>
      </c>
      <c r="E460" s="10">
        <f>IF(D460&gt;0,VLOOKUP(OPERAC[[#This Row],[COD CART]],[1]!MatrizCortoLargoCyl[#All],3,0),"")</f>
        <v/>
      </c>
      <c r="F460" s="13" t="inlineStr">
        <is>
          <t>TSLA/P/615,00/10-06-22</t>
        </is>
      </c>
      <c r="G460" s="6" t="n">
        <v>-600</v>
      </c>
      <c r="H460" s="6" t="n">
        <v>1000.593</v>
      </c>
      <c r="I460" s="7">
        <f>-H460/G460</f>
        <v/>
      </c>
      <c r="J460" s="5" t="n">
        <v>44719</v>
      </c>
      <c r="K460" s="6" t="n">
        <v>-600</v>
      </c>
      <c r="L460" s="6" t="n">
        <v>-648.36465</v>
      </c>
      <c r="M460" s="7">
        <f>IF(N460=0,+L460+H460,0)</f>
        <v/>
      </c>
      <c r="N460" s="7">
        <f>IF((+G460-K460)=0,0,+G460-K460)</f>
        <v/>
      </c>
      <c r="O460" s="7">
        <f>IF(N460=0,0,(L460+H460)/-N460)</f>
        <v/>
      </c>
      <c r="P460" s="7">
        <f>VLOOKUP(OPERAC[[#This Row],[especie]],[1]!ESPECIES[#All],6,0)</f>
        <v/>
      </c>
      <c r="Q460" s="7">
        <f>IF(N460&lt;&gt;0,P460*N460,0)</f>
        <v/>
      </c>
      <c r="R460" s="8">
        <f>IF(Q460&lt;&gt;0,Q460+H460+L460,0)</f>
        <v/>
      </c>
      <c r="S460" s="9">
        <f>VLOOKUP(OPERAC[[#This Row],[especie]],[1]!ESPECIES[#Data],9,FALSE)</f>
        <v/>
      </c>
    </row>
    <row r="461">
      <c r="A461" s="4" t="n">
        <v>16795</v>
      </c>
      <c r="B461" s="5" t="n">
        <v>44439</v>
      </c>
      <c r="C461" s="13" t="inlineStr">
        <is>
          <t>VTA</t>
        </is>
      </c>
      <c r="D461" s="13" t="n">
        <v>39</v>
      </c>
      <c r="E461" s="10">
        <f>IF(D461&gt;0,VLOOKUP(OPERAC[[#This Row],[COD CART]],[1]!MatrizCortoLargoCyl[#All],3,0),"")</f>
        <v/>
      </c>
      <c r="F461" s="13" t="inlineStr">
        <is>
          <t>SKLZ/P/7,50/20-01-23</t>
        </is>
      </c>
      <c r="G461" s="6" t="n">
        <v>-500</v>
      </c>
      <c r="H461" s="6" t="n">
        <v>992</v>
      </c>
      <c r="I461" s="7">
        <f>-H461/G461</f>
        <v/>
      </c>
      <c r="J461" s="11" t="n">
        <v>44614</v>
      </c>
      <c r="K461" s="6">
        <f>+OPERAC[[#This Row],[cantidad]]</f>
        <v/>
      </c>
      <c r="L461" s="6">
        <f>+OPERAC[[#This Row],[cantidad venta]]*4.488</f>
        <v/>
      </c>
      <c r="M461" s="7">
        <f>IF(N461=0,+L461+H461,0)</f>
        <v/>
      </c>
      <c r="N461" s="7">
        <f>IF((+G461-K461)=0,0,+G461-K461)</f>
        <v/>
      </c>
      <c r="O461" s="7">
        <f>IF(N461=0,0,(L461+H461)/-N461)</f>
        <v/>
      </c>
      <c r="P461" s="7">
        <f>VLOOKUP(OPERAC[[#This Row],[especie]],[1]!ESPECIES[#All],6,0)</f>
        <v/>
      </c>
      <c r="Q461" s="7">
        <f>IF(N461&lt;&gt;0,P461*N461,0)</f>
        <v/>
      </c>
      <c r="R461" s="8">
        <f>IF(Q461&lt;&gt;0,Q461+H461+L461,0)</f>
        <v/>
      </c>
      <c r="S461" s="9">
        <f>VLOOKUP(OPERAC[[#This Row],[especie]],[1]!ESPECIES[#Data],9,FALSE)</f>
        <v/>
      </c>
    </row>
    <row r="462">
      <c r="A462" s="4" t="n">
        <v>22421</v>
      </c>
      <c r="B462" s="5" t="n">
        <v>44439</v>
      </c>
      <c r="C462" s="13" t="inlineStr">
        <is>
          <t>VTA</t>
        </is>
      </c>
      <c r="D462" s="13" t="n">
        <v>39</v>
      </c>
      <c r="E462" s="10">
        <f>IF(D462&gt;0,VLOOKUP(OPERAC[[#This Row],[COD CART]],[1]!MatrizCortoLargoCyl[#All],3,0),"")</f>
        <v/>
      </c>
      <c r="F462" s="13" t="inlineStr">
        <is>
          <t>SKLZ/P/7,50/20-01-23</t>
        </is>
      </c>
      <c r="G462" s="6" t="n">
        <v>-500</v>
      </c>
      <c r="H462" s="6" t="n">
        <v>992</v>
      </c>
      <c r="I462" s="7">
        <f>-H462/G462</f>
        <v/>
      </c>
      <c r="J462" s="11" t="n">
        <v>44614</v>
      </c>
      <c r="K462" s="6">
        <f>+OPERAC[[#This Row],[cantidad]]</f>
        <v/>
      </c>
      <c r="L462" s="6">
        <f>+OPERAC[[#This Row],[cantidad venta]]*4.488</f>
        <v/>
      </c>
      <c r="M462" s="7">
        <f>IF(N462=0,+L462+H462,0)</f>
        <v/>
      </c>
      <c r="N462" s="7">
        <f>IF((+G462-K462)=0,0,+G462-K462)</f>
        <v/>
      </c>
      <c r="O462" s="7">
        <f>IF(N462=0,0,(L462+H462)/-N462)</f>
        <v/>
      </c>
      <c r="P462" s="7">
        <f>VLOOKUP(OPERAC[[#This Row],[especie]],[1]!ESPECIES[#All],6,0)</f>
        <v/>
      </c>
      <c r="Q462" s="7">
        <f>IF(N462&lt;&gt;0,P462*N462,0)</f>
        <v/>
      </c>
      <c r="R462" s="8">
        <f>IF(Q462&lt;&gt;0,Q462+H462+L462,0)</f>
        <v/>
      </c>
      <c r="S462" s="9">
        <f>VLOOKUP(OPERAC[[#This Row],[especie]],[1]!ESPECIES[#Data],9,FALSE)</f>
        <v/>
      </c>
    </row>
    <row r="463">
      <c r="A463" s="4" t="n">
        <v>7914</v>
      </c>
      <c r="B463" s="5" t="n">
        <v>44592</v>
      </c>
      <c r="C463" s="13" t="inlineStr">
        <is>
          <t>VTA</t>
        </is>
      </c>
      <c r="D463" s="13" t="n">
        <v>39</v>
      </c>
      <c r="E463" s="10">
        <f>IF(D463&gt;0,VLOOKUP(OPERAC[[#This Row],[COD CART]],[1]!MatrizCortoLargoCyl[#All],3,0),"")</f>
        <v/>
      </c>
      <c r="F463" s="13" t="inlineStr">
        <is>
          <t>MELI/C/1280,00/04-02-22</t>
        </is>
      </c>
      <c r="G463" s="6" t="n">
        <v>-1000</v>
      </c>
      <c r="H463" s="6" t="n">
        <v>992</v>
      </c>
      <c r="I463" s="7">
        <f>-H463/G463</f>
        <v/>
      </c>
      <c r="J463" s="11" t="n">
        <v>44596</v>
      </c>
      <c r="K463" s="6" t="n">
        <v>-1000</v>
      </c>
      <c r="L463" s="6" t="n">
        <v>0</v>
      </c>
      <c r="M463" s="7">
        <f>IF(N463=0,+L463+H463,0)</f>
        <v/>
      </c>
      <c r="N463" s="7">
        <f>IF((+G463-K463)=0,0,+G463-K463)</f>
        <v/>
      </c>
      <c r="O463" s="7">
        <f>IF(N463=0,0,(L463+H463)/-N463)</f>
        <v/>
      </c>
      <c r="P463" s="7">
        <f>VLOOKUP(OPERAC[[#This Row],[especie]],[1]!ESPECIES[#All],6,0)</f>
        <v/>
      </c>
      <c r="Q463" s="7">
        <f>IF(N463&lt;&gt;0,P463*N463,0)</f>
        <v/>
      </c>
      <c r="R463" s="8">
        <f>IF(Q463&lt;&gt;0,Q463+H463+L463,0)</f>
        <v/>
      </c>
      <c r="S463" s="9">
        <f>VLOOKUP(OPERAC[[#This Row],[especie]],[1]!ESPECIES[#Data],9,FALSE)</f>
        <v/>
      </c>
    </row>
    <row r="464">
      <c r="A464" s="4" t="n">
        <v>1760</v>
      </c>
      <c r="B464" s="5" t="n">
        <v>44673</v>
      </c>
      <c r="C464" s="13" t="inlineStr">
        <is>
          <t>VTA</t>
        </is>
      </c>
      <c r="D464" s="13" t="n">
        <v>39</v>
      </c>
      <c r="E464" s="10">
        <f>IF(D464&gt;0,VLOOKUP(OPERAC[[#This Row],[COD CART]],[1]!MatrizCortoLargoCyl[#All],3,0),"")</f>
        <v/>
      </c>
      <c r="F464" s="13" t="inlineStr">
        <is>
          <t>UPST/V/68,00/29-04-22</t>
        </is>
      </c>
      <c r="G464" s="6" t="n">
        <v>-500</v>
      </c>
      <c r="H464" s="6" t="n">
        <v>991.5</v>
      </c>
      <c r="I464" s="7">
        <f>-H464/G464</f>
        <v/>
      </c>
      <c r="J464" s="11" t="n">
        <v>44679</v>
      </c>
      <c r="K464" s="6">
        <f>+OPERAC[[#This Row],[cantidad]]</f>
        <v/>
      </c>
      <c r="L464" s="6" t="n">
        <v>-252.125</v>
      </c>
      <c r="M464" s="7">
        <f>IF(N464=0,+L464+H464,0)</f>
        <v/>
      </c>
      <c r="N464" s="7">
        <f>IF((+G464-K464)=0,0,+G464-K464)</f>
        <v/>
      </c>
      <c r="O464" s="7">
        <f>IF(N464=0,0,(L464+H464)/-N464)</f>
        <v/>
      </c>
      <c r="P464" s="7">
        <f>VLOOKUP(OPERAC[[#This Row],[especie]],[1]!ESPECIES[#All],6,0)</f>
        <v/>
      </c>
      <c r="Q464" s="7">
        <f>IF(N464&lt;&gt;0,P464*N464,0)</f>
        <v/>
      </c>
      <c r="R464" s="8">
        <f>IF(Q464&lt;&gt;0,Q464+H464+L464,0)</f>
        <v/>
      </c>
      <c r="S464" s="9">
        <f>VLOOKUP(OPERAC[[#This Row],[especie]],[1]!ESPECIES[#Data],9,FALSE)</f>
        <v/>
      </c>
    </row>
    <row r="465">
      <c r="A465" s="4" t="n">
        <v>18711</v>
      </c>
      <c r="B465" s="5" t="n">
        <v>44673</v>
      </c>
      <c r="C465" s="13" t="inlineStr">
        <is>
          <t>VTA</t>
        </is>
      </c>
      <c r="D465" s="13" t="n">
        <v>39</v>
      </c>
      <c r="E465" s="10">
        <f>IF(D465&gt;0,VLOOKUP(OPERAC[[#This Row],[COD CART]],[1]!MatrizCortoLargoCyl[#All],3,0),"")</f>
        <v/>
      </c>
      <c r="F465" s="13" t="inlineStr">
        <is>
          <t>UPST/V/68,00/29-04-22</t>
        </is>
      </c>
      <c r="G465" s="6" t="n">
        <v>-500</v>
      </c>
      <c r="H465" s="6" t="n">
        <v>991.5</v>
      </c>
      <c r="I465" s="7">
        <f>-H465/G465</f>
        <v/>
      </c>
      <c r="J465" s="11" t="n">
        <v>44679</v>
      </c>
      <c r="K465" s="6">
        <f>+OPERAC[[#This Row],[cantidad]]</f>
        <v/>
      </c>
      <c r="L465" s="6" t="n">
        <v>-252.125</v>
      </c>
      <c r="M465" s="7">
        <f>IF(N465=0,+L465+H465,0)</f>
        <v/>
      </c>
      <c r="N465" s="7">
        <f>IF((+G465-K465)=0,0,+G465-K465)</f>
        <v/>
      </c>
      <c r="O465" s="7">
        <f>IF(N465=0,0,(L465+H465)/-N465)</f>
        <v/>
      </c>
      <c r="P465" s="7">
        <f>VLOOKUP(OPERAC[[#This Row],[especie]],[1]!ESPECIES[#All],6,0)</f>
        <v/>
      </c>
      <c r="Q465" s="7">
        <f>IF(N465&lt;&gt;0,P465*N465,0)</f>
        <v/>
      </c>
      <c r="R465" s="8">
        <f>IF(Q465&lt;&gt;0,Q465+H465+L465,0)</f>
        <v/>
      </c>
      <c r="S465" s="9">
        <f>VLOOKUP(OPERAC[[#This Row],[especie]],[1]!ESPECIES[#Data],9,FALSE)</f>
        <v/>
      </c>
    </row>
    <row r="466">
      <c r="A466" s="4" t="n">
        <v>3787</v>
      </c>
      <c r="B466" s="5" t="n">
        <v>44676</v>
      </c>
      <c r="C466" s="13" t="inlineStr">
        <is>
          <t>VTA</t>
        </is>
      </c>
      <c r="D466" s="13" t="n">
        <v>39</v>
      </c>
      <c r="E466" s="10">
        <f>IF(D466&gt;0,VLOOKUP(OPERAC[[#This Row],[COD CART]],[1]!MatrizCortoLargoCyl[#All],3,0),"")</f>
        <v/>
      </c>
      <c r="F466" s="13" t="inlineStr">
        <is>
          <t>TSLA/C/1200,00/29-04-22</t>
        </is>
      </c>
      <c r="G466" s="6" t="n">
        <v>-2000</v>
      </c>
      <c r="H466" s="6" t="n">
        <v>991.5</v>
      </c>
      <c r="I466" s="7">
        <f>-H466/G466</f>
        <v/>
      </c>
      <c r="J466" s="11" t="n">
        <v>44677</v>
      </c>
      <c r="K466" s="6" t="n">
        <v>-2000</v>
      </c>
      <c r="L466" s="6" t="n">
        <v>-250.108</v>
      </c>
      <c r="M466" s="7">
        <f>IF(N466=0,+L466+H466,0)</f>
        <v/>
      </c>
      <c r="N466" s="7">
        <f>IF((+G466-K466)=0,0,+G466-K466)</f>
        <v/>
      </c>
      <c r="O466" s="7">
        <f>IF(N466=0,0,(L466+H466)/-N466)</f>
        <v/>
      </c>
      <c r="P466" s="7">
        <f>VLOOKUP(OPERAC[[#This Row],[especie]],[1]!ESPECIES[#All],6,0)</f>
        <v/>
      </c>
      <c r="Q466" s="7">
        <f>IF(N466&lt;&gt;0,P466*N466,0)</f>
        <v/>
      </c>
      <c r="R466" s="8">
        <f>IF(Q466&lt;&gt;0,Q466+H466+L466,0)</f>
        <v/>
      </c>
      <c r="S466" s="9">
        <f>VLOOKUP(OPERAC[[#This Row],[especie]],[1]!ESPECIES[#Data],9,FALSE)</f>
        <v/>
      </c>
    </row>
    <row r="467">
      <c r="A467" s="4" t="n">
        <v>6579</v>
      </c>
      <c r="B467" s="5" t="n">
        <v>44531</v>
      </c>
      <c r="C467" s="13" t="inlineStr">
        <is>
          <t>VTA</t>
        </is>
      </c>
      <c r="D467" s="13" t="n">
        <v>39</v>
      </c>
      <c r="E467" s="10">
        <f>IF(D467&gt;0,VLOOKUP(OPERAC[[#This Row],[COD CART]],[1]!MatrizCortoLargoCyl[#All],3,0),"")</f>
        <v/>
      </c>
      <c r="F467" s="13" t="inlineStr">
        <is>
          <t>V/V/145,00/16-09-22</t>
        </is>
      </c>
      <c r="G467" s="6" t="n">
        <v>-200</v>
      </c>
      <c r="H467" s="6" t="n">
        <v>991.26</v>
      </c>
      <c r="I467" s="7">
        <f>-H467/G467</f>
        <v/>
      </c>
      <c r="J467" s="11" t="n">
        <v>44617</v>
      </c>
      <c r="K467" s="6" t="n">
        <v>-200</v>
      </c>
      <c r="L467" s="6" t="n">
        <v>-504.8</v>
      </c>
      <c r="M467" s="7">
        <f>IF(N467=0,+L467+H467,0)</f>
        <v/>
      </c>
      <c r="N467" s="7">
        <f>IF((+G467-K467)=0,0,+G467-K467)</f>
        <v/>
      </c>
      <c r="O467" s="7">
        <f>IF(N467=0,0,(L467+H467)/-N467)</f>
        <v/>
      </c>
      <c r="P467" s="7">
        <f>VLOOKUP(OPERAC[[#This Row],[especie]],[1]!ESPECIES[#All],6,0)</f>
        <v/>
      </c>
      <c r="Q467" s="7">
        <f>IF(N467&lt;&gt;0,P467*N467,0)</f>
        <v/>
      </c>
      <c r="R467" s="8">
        <f>IF(Q467&lt;&gt;0,Q467+H467+L467,0)</f>
        <v/>
      </c>
      <c r="S467" s="9">
        <f>VLOOKUP(OPERAC[[#This Row],[especie]],[1]!ESPECIES[#Data],9,FALSE)</f>
        <v/>
      </c>
    </row>
    <row r="468">
      <c r="A468" s="4" t="n">
        <v>7914</v>
      </c>
      <c r="B468" s="5" t="n">
        <v>44592</v>
      </c>
      <c r="C468" s="13" t="inlineStr">
        <is>
          <t>VTA</t>
        </is>
      </c>
      <c r="D468" s="13" t="n">
        <v>39</v>
      </c>
      <c r="E468" s="10">
        <f>IF(D468&gt;0,VLOOKUP(OPERAC[[#This Row],[COD CART]],[1]!MatrizCortoLargoCyl[#All],3,0),"")</f>
        <v/>
      </c>
      <c r="F468" s="13" t="inlineStr">
        <is>
          <t>TSLA/C/1080,00/04-02-22</t>
        </is>
      </c>
      <c r="G468" s="6" t="n">
        <v>-1000</v>
      </c>
      <c r="H468" s="6" t="n">
        <v>989.36</v>
      </c>
      <c r="I468" s="7">
        <f>-H468/G468</f>
        <v/>
      </c>
      <c r="J468" s="11" t="n">
        <v>44596</v>
      </c>
      <c r="K468" s="6" t="n">
        <v>-1000</v>
      </c>
      <c r="L468" s="6" t="n">
        <v>0</v>
      </c>
      <c r="M468" s="7">
        <f>IF(N468=0,+L468+H468,0)</f>
        <v/>
      </c>
      <c r="N468" s="7">
        <f>IF((+G468-K468)=0,0,+G468-K468)</f>
        <v/>
      </c>
      <c r="O468" s="7">
        <f>IF(N468=0,0,(L468+H468)/-N468)</f>
        <v/>
      </c>
      <c r="P468" s="7">
        <f>VLOOKUP(OPERAC[[#This Row],[especie]],[1]!ESPECIES[#All],6,0)</f>
        <v/>
      </c>
      <c r="Q468" s="7">
        <f>IF(N468&lt;&gt;0,P468*N468,0)</f>
        <v/>
      </c>
      <c r="R468" s="8">
        <f>IF(Q468&lt;&gt;0,Q468+H468+L468,0)</f>
        <v/>
      </c>
      <c r="S468" s="9">
        <f>VLOOKUP(OPERAC[[#This Row],[especie]],[1]!ESPECIES[#Data],9,FALSE)</f>
        <v/>
      </c>
    </row>
    <row r="469">
      <c r="A469" s="4" t="n">
        <v>18677</v>
      </c>
      <c r="B469" s="5" t="n">
        <v>44641</v>
      </c>
      <c r="C469" s="13" t="inlineStr">
        <is>
          <t>VTA</t>
        </is>
      </c>
      <c r="D469" s="13" t="n">
        <v>39</v>
      </c>
      <c r="E469" s="10">
        <f>IF(D469&gt;0,VLOOKUP(OPERAC[[#This Row],[COD CART]],[1]!MatrizCortoLargoCyl[#All],3,0),"")</f>
        <v/>
      </c>
      <c r="F469" s="13" t="inlineStr">
        <is>
          <t>TSLA/V/790,00/25-03-22</t>
        </is>
      </c>
      <c r="G469" s="6" t="n">
        <v>-1000</v>
      </c>
      <c r="H469" s="6" t="n">
        <v>989.28</v>
      </c>
      <c r="I469" s="7">
        <f>-H469/G469</f>
        <v/>
      </c>
      <c r="J469" s="11" t="n">
        <v>44642</v>
      </c>
      <c r="K469" s="6" t="n">
        <v>-1000</v>
      </c>
      <c r="L469" s="6" t="n">
        <v>-365.57</v>
      </c>
      <c r="M469" s="7">
        <f>IF(N469=0,+L469+H469,0)</f>
        <v/>
      </c>
      <c r="N469" s="7">
        <f>IF((+G469-K469)=0,0,+G469-K469)</f>
        <v/>
      </c>
      <c r="O469" s="7">
        <f>IF(N469=0,0,(L469+H469)/-N469)</f>
        <v/>
      </c>
      <c r="P469" s="7">
        <f>VLOOKUP(OPERAC[[#This Row],[especie]],[1]!ESPECIES[#All],6,0)</f>
        <v/>
      </c>
      <c r="Q469" s="7">
        <f>IF(N469&lt;&gt;0,P469*N469,0)</f>
        <v/>
      </c>
      <c r="R469" s="8">
        <f>IF(Q469&lt;&gt;0,Q469+H469+L469,0)</f>
        <v/>
      </c>
      <c r="S469" s="9">
        <f>VLOOKUP(OPERAC[[#This Row],[especie]],[1]!ESPECIES[#Data],9,FALSE)</f>
        <v/>
      </c>
    </row>
    <row r="470">
      <c r="A470" s="4" t="n">
        <v>1760</v>
      </c>
      <c r="B470" s="5" t="n">
        <v>44655</v>
      </c>
      <c r="C470" s="13" t="inlineStr">
        <is>
          <t>VTA</t>
        </is>
      </c>
      <c r="D470" s="13" t="n">
        <v>39</v>
      </c>
      <c r="E470" s="10">
        <f>IF(D470&gt;0,VLOOKUP(OPERAC[[#This Row],[COD CART]],[1]!MatrizCortoLargoCyl[#All],3,0),"")</f>
        <v/>
      </c>
      <c r="F470" s="13" t="inlineStr">
        <is>
          <t>TSLA/V/920,00/08-04-22</t>
        </is>
      </c>
      <c r="G470" s="6" t="n">
        <v>-1000</v>
      </c>
      <c r="H470" s="6" t="n">
        <v>989.28</v>
      </c>
      <c r="I470" s="7">
        <f>-H470/G470</f>
        <v/>
      </c>
      <c r="J470" s="11" t="n">
        <v>44659</v>
      </c>
      <c r="K470" s="6">
        <f>+OPERAC[[#This Row],[cantidad]]</f>
        <v/>
      </c>
      <c r="L470" s="6" t="n">
        <v>0</v>
      </c>
      <c r="M470" s="7">
        <f>IF(N470=0,+L470+H470,0)</f>
        <v/>
      </c>
      <c r="N470" s="7">
        <f>IF((+G470-K470)=0,0,+G470-K470)</f>
        <v/>
      </c>
      <c r="O470" s="7">
        <f>IF(N470=0,0,(L470+H470)/-N470)</f>
        <v/>
      </c>
      <c r="P470" s="7">
        <f>VLOOKUP(OPERAC[[#This Row],[especie]],[1]!ESPECIES[#All],6,0)</f>
        <v/>
      </c>
      <c r="Q470" s="7">
        <f>IF(N470&lt;&gt;0,P470*N470,0)</f>
        <v/>
      </c>
      <c r="R470" s="8">
        <f>IF(Q470&lt;&gt;0,Q470+H470+L470,0)</f>
        <v/>
      </c>
      <c r="S470" s="9">
        <f>VLOOKUP(OPERAC[[#This Row],[especie]],[1]!ESPECIES[#Data],9,FALSE)</f>
        <v/>
      </c>
    </row>
    <row r="471">
      <c r="A471" s="4" t="n">
        <v>2203</v>
      </c>
      <c r="B471" s="5" t="n">
        <v>44659</v>
      </c>
      <c r="C471" s="13" t="inlineStr">
        <is>
          <t>VTA</t>
        </is>
      </c>
      <c r="D471" s="13" t="n">
        <v>39</v>
      </c>
      <c r="E471" s="10">
        <f>IF(D471&gt;0,VLOOKUP(OPERAC[[#This Row],[COD CART]],[1]!MatrizCortoLargoCyl[#All],3,0),"")</f>
        <v/>
      </c>
      <c r="F471" s="13" t="inlineStr">
        <is>
          <t>UPST/V/80,00/14-04-22</t>
        </is>
      </c>
      <c r="G471" s="6" t="n">
        <v>-1000</v>
      </c>
      <c r="H471" s="6" t="n">
        <v>987.98</v>
      </c>
      <c r="I471" s="7">
        <f>-H471/G471</f>
        <v/>
      </c>
      <c r="J471" s="11" t="n">
        <v>44665</v>
      </c>
      <c r="K471" s="6" t="n">
        <v>-1000</v>
      </c>
      <c r="L471" s="6" t="n">
        <v>0</v>
      </c>
      <c r="M471" s="7">
        <f>IF(N471=0,+L471+H471,0)</f>
        <v/>
      </c>
      <c r="N471" s="7">
        <f>IF((+G471-K471)=0,0,+G471-K471)</f>
        <v/>
      </c>
      <c r="O471" s="7">
        <f>IF(N471=0,0,(L471+H471)/-N471)</f>
        <v/>
      </c>
      <c r="P471" s="7">
        <f>VLOOKUP(OPERAC[[#This Row],[especie]],[1]!ESPECIES[#All],6,0)</f>
        <v/>
      </c>
      <c r="Q471" s="7">
        <f>IF(N471&lt;&gt;0,P471*N471,0)</f>
        <v/>
      </c>
      <c r="R471" s="8">
        <f>IF(Q471&lt;&gt;0,Q471+H471+L471,0)</f>
        <v/>
      </c>
      <c r="S471" s="9">
        <f>VLOOKUP(OPERAC[[#This Row],[especie]],[1]!ESPECIES[#Data],9,FALSE)</f>
        <v/>
      </c>
    </row>
    <row r="472">
      <c r="A472" s="4" t="n">
        <v>25070</v>
      </c>
      <c r="B472" s="5" t="n">
        <v>44649</v>
      </c>
      <c r="C472" s="13" t="inlineStr">
        <is>
          <t>VTA</t>
        </is>
      </c>
      <c r="D472" s="13" t="n">
        <v>39</v>
      </c>
      <c r="E472" s="10">
        <f>IF(D472&gt;0,VLOOKUP(OPERAC[[#This Row],[COD CART]],[1]!MatrizCortoLargoCyl[#All],3,0),"")</f>
        <v/>
      </c>
      <c r="F472" s="13" t="inlineStr">
        <is>
          <t>TSLA/C/1450,00/01-04-22</t>
        </is>
      </c>
      <c r="G472" s="6" t="n">
        <v>-2000</v>
      </c>
      <c r="H472" s="6" t="n">
        <v>986.5700000000001</v>
      </c>
      <c r="I472" s="7">
        <f>-H472/G472</f>
        <v/>
      </c>
      <c r="J472" s="11" t="n">
        <v>44651</v>
      </c>
      <c r="K472" s="6" t="n">
        <v>-2000</v>
      </c>
      <c r="L472" s="6" t="n">
        <v>-87.06999999999999</v>
      </c>
      <c r="M472" s="7">
        <f>IF(N472=0,+L472+H472,0)</f>
        <v/>
      </c>
      <c r="N472" s="7">
        <f>IF((+G472-K472)=0,0,+G472-K472)</f>
        <v/>
      </c>
      <c r="O472" s="7">
        <f>IF(N472=0,0,(L472+H472)/-N472)</f>
        <v/>
      </c>
      <c r="P472" s="7">
        <f>VLOOKUP(OPERAC[[#This Row],[especie]],[1]!ESPECIES[#All],6,0)</f>
        <v/>
      </c>
      <c r="Q472" s="7">
        <f>IF(N472&lt;&gt;0,P472*N472,0)</f>
        <v/>
      </c>
      <c r="R472" s="8">
        <f>IF(Q472&lt;&gt;0,Q472+H472+L472,0)</f>
        <v/>
      </c>
      <c r="S472" s="9">
        <f>VLOOKUP(OPERAC[[#This Row],[especie]],[1]!ESPECIES[#Data],9,FALSE)</f>
        <v/>
      </c>
    </row>
    <row r="473">
      <c r="A473" s="4" t="n">
        <v>1760</v>
      </c>
      <c r="B473" s="5" t="n">
        <v>44655</v>
      </c>
      <c r="C473" s="13" t="inlineStr">
        <is>
          <t>VTA</t>
        </is>
      </c>
      <c r="D473" s="13" t="n">
        <v>39</v>
      </c>
      <c r="E473" s="10">
        <f>IF(D473&gt;0,VLOOKUP(OPERAC[[#This Row],[COD CART]],[1]!MatrizCortoLargoCyl[#All],3,0),"")</f>
        <v/>
      </c>
      <c r="F473" s="13" t="inlineStr">
        <is>
          <t>UPST/V/90,00/14-04-22</t>
        </is>
      </c>
      <c r="G473" s="6" t="n">
        <v>-1000</v>
      </c>
      <c r="H473" s="6" t="n">
        <v>984.98</v>
      </c>
      <c r="I473" s="7">
        <f>-H473/G473</f>
        <v/>
      </c>
      <c r="J473" s="11" t="n">
        <v>44665</v>
      </c>
      <c r="K473" s="6" t="n">
        <v>-1000</v>
      </c>
      <c r="L473" s="6" t="n">
        <v>-6656.1</v>
      </c>
      <c r="M473" s="7">
        <f>IF(N473=0,+L473+H473,0)</f>
        <v/>
      </c>
      <c r="N473" s="7">
        <f>IF((+G473-K473)=0,0,+G473-K473)</f>
        <v/>
      </c>
      <c r="O473" s="7">
        <f>IF(N473=0,0,(L473+H473)/-N473)</f>
        <v/>
      </c>
      <c r="P473" s="7">
        <f>VLOOKUP(OPERAC[[#This Row],[especie]],[1]!ESPECIES[#All],6,0)</f>
        <v/>
      </c>
      <c r="Q473" s="7">
        <f>IF(N473&lt;&gt;0,P473*N473,0)</f>
        <v/>
      </c>
      <c r="R473" s="8">
        <f>IF(Q473&lt;&gt;0,Q473+H473+L473,0)</f>
        <v/>
      </c>
      <c r="S473" s="9">
        <f>VLOOKUP(OPERAC[[#This Row],[especie]],[1]!ESPECIES[#Data],9,FALSE)</f>
        <v/>
      </c>
    </row>
    <row r="474">
      <c r="A474" s="4" t="n">
        <v>1760</v>
      </c>
      <c r="B474" s="5" t="n">
        <v>44609</v>
      </c>
      <c r="C474" s="13" t="inlineStr">
        <is>
          <t>VTA</t>
        </is>
      </c>
      <c r="D474" s="13" t="n">
        <v>39</v>
      </c>
      <c r="E474" s="10">
        <f>IF(D474&gt;0,VLOOKUP(OPERAC[[#This Row],[COD CART]],[1]!MatrizCortoLargoCyl[#All],3,0),"")</f>
        <v/>
      </c>
      <c r="F474" s="13" t="inlineStr">
        <is>
          <t>ROKU/C/225,00/18-02-22</t>
        </is>
      </c>
      <c r="G474" s="6" t="n">
        <v>-2000</v>
      </c>
      <c r="H474" s="6" t="n">
        <v>983.96</v>
      </c>
      <c r="I474" s="7">
        <f>-H474/G474</f>
        <v/>
      </c>
      <c r="J474" s="11" t="n">
        <v>44610</v>
      </c>
      <c r="K474" s="6" t="n">
        <v>-2000</v>
      </c>
      <c r="L474" s="6" t="n">
        <v>0</v>
      </c>
      <c r="M474" s="7">
        <f>IF(N474=0,+L474+H474,0)</f>
        <v/>
      </c>
      <c r="N474" s="7">
        <f>IF((+G474-K474)=0,0,+G474-K474)</f>
        <v/>
      </c>
      <c r="O474" s="7">
        <f>IF(N474=0,0,(L474+H474)/-N474)</f>
        <v/>
      </c>
      <c r="P474" s="7">
        <f>VLOOKUP(OPERAC[[#This Row],[especie]],[1]!ESPECIES[#All],6,0)</f>
        <v/>
      </c>
      <c r="Q474" s="7">
        <f>IF(N474&lt;&gt;0,P474*N474,0)</f>
        <v/>
      </c>
      <c r="R474" s="8">
        <f>IF(Q474&lt;&gt;0,Q474+H474+L474,0)</f>
        <v/>
      </c>
      <c r="S474" s="9">
        <f>VLOOKUP(OPERAC[[#This Row],[especie]],[1]!ESPECIES[#Data],9,FALSE)</f>
        <v/>
      </c>
    </row>
    <row r="475">
      <c r="A475" s="12" t="n">
        <v>13246</v>
      </c>
      <c r="B475" s="5" t="n">
        <v>44573</v>
      </c>
      <c r="C475" s="13" t="inlineStr">
        <is>
          <t>VTA</t>
        </is>
      </c>
      <c r="D475" s="13" t="n">
        <v>39</v>
      </c>
      <c r="E475" s="10">
        <f>IF(D475&gt;0,VLOOKUP(OPERAC[[#This Row],[COD CART]],[1]!MatrizCortoLargoCyl[#All],3,0),"")</f>
        <v/>
      </c>
      <c r="F475" s="13" t="inlineStr">
        <is>
          <t>ROKU/V/170,00/21-01-22</t>
        </is>
      </c>
      <c r="G475" s="6" t="n">
        <v>-300</v>
      </c>
      <c r="H475" s="6" t="n">
        <v>980.88</v>
      </c>
      <c r="I475" s="7">
        <f>-H475/G475</f>
        <v/>
      </c>
      <c r="J475" s="11" t="n">
        <v>44582</v>
      </c>
      <c r="K475" s="6" t="n">
        <v>-300</v>
      </c>
      <c r="L475" s="6">
        <f>-OPERAC[[#This Row],[importe]]</f>
        <v/>
      </c>
      <c r="M475" s="7">
        <f>IF(N475=0,+L475+H475,0)</f>
        <v/>
      </c>
      <c r="N475" s="7">
        <f>IF((+G475-K475)=0,0,+G475-K475)</f>
        <v/>
      </c>
      <c r="O475" s="7">
        <f>IF(N475=0,0,(L475+H475)/-N475)</f>
        <v/>
      </c>
      <c r="P475" s="7">
        <f>VLOOKUP(OPERAC[[#This Row],[especie]],[1]!ESPECIES[#All],6,0)</f>
        <v/>
      </c>
      <c r="Q475" s="7">
        <f>IF(N475&lt;&gt;0,P475*N475,0)</f>
        <v/>
      </c>
      <c r="R475" s="8">
        <f>IF(Q475&lt;&gt;0,Q475+H475+L475,0)</f>
        <v/>
      </c>
      <c r="S475" s="9">
        <f>VLOOKUP(OPERAC[[#This Row],[especie]],[1]!ESPECIES[#Data],9,FALSE)</f>
        <v/>
      </c>
    </row>
    <row r="476">
      <c r="A476" s="4" t="n">
        <v>22407</v>
      </c>
      <c r="B476" s="5" t="n">
        <v>44547</v>
      </c>
      <c r="C476" s="13" t="inlineStr">
        <is>
          <t>VTA</t>
        </is>
      </c>
      <c r="D476" s="13" t="n">
        <v>39</v>
      </c>
      <c r="E476" s="10">
        <f>IF(D476&gt;0,VLOOKUP(OPERAC[[#This Row],[COD CART]],[1]!MatrizCortoLargoCyl[#All],3,0),"")</f>
        <v/>
      </c>
      <c r="F476" s="13" t="inlineStr">
        <is>
          <t>TLRY/V/8,00/18-02-22</t>
        </is>
      </c>
      <c r="G476" s="6" t="n">
        <v>-700</v>
      </c>
      <c r="H476" s="6" t="n">
        <v>968.6537</v>
      </c>
      <c r="I476" s="7">
        <f>-H476/G476</f>
        <v/>
      </c>
      <c r="J476" s="11" t="n">
        <v>44601</v>
      </c>
      <c r="K476" s="6" t="n">
        <v>-700</v>
      </c>
      <c r="L476" s="6">
        <f>1.38*OPERAC[[#This Row],[cantidad venta]]</f>
        <v/>
      </c>
      <c r="M476" s="7">
        <f>IF(N476=0,+L476+H476,0)</f>
        <v/>
      </c>
      <c r="N476" s="7">
        <f>IF((+G476-K476)=0,0,+G476-K476)</f>
        <v/>
      </c>
      <c r="O476" s="7">
        <f>IF(N476=0,0,(L476+H476)/-N476)</f>
        <v/>
      </c>
      <c r="P476" s="7">
        <f>VLOOKUP(OPERAC[[#This Row],[especie]],[1]!ESPECIES[#All],6,0)</f>
        <v/>
      </c>
      <c r="Q476" s="7">
        <f>IF(N476&lt;&gt;0,P476*N476,0)</f>
        <v/>
      </c>
      <c r="R476" s="8">
        <f>IF(Q476&lt;&gt;0,Q476+H476+L476,0)</f>
        <v/>
      </c>
      <c r="S476" s="9">
        <f>VLOOKUP(OPERAC[[#This Row],[especie]],[1]!ESPECIES[#Data],9,FALSE)</f>
        <v/>
      </c>
    </row>
    <row r="477">
      <c r="A477" s="4" t="n">
        <v>13246</v>
      </c>
      <c r="B477" s="5" t="n">
        <v>44547</v>
      </c>
      <c r="C477" s="13" t="inlineStr">
        <is>
          <t>VTA</t>
        </is>
      </c>
      <c r="D477" s="13" t="n">
        <v>39</v>
      </c>
      <c r="E477" s="10">
        <f>IF(D477&gt;0,VLOOKUP(OPERAC[[#This Row],[COD CART]],[1]!MatrizCortoLargoCyl[#All],3,0),"")</f>
        <v/>
      </c>
      <c r="F477" s="13" t="inlineStr">
        <is>
          <t>TLRY/V/8,00/18-02-22</t>
        </is>
      </c>
      <c r="G477" s="6" t="n">
        <v>-700</v>
      </c>
      <c r="H477" s="6" t="n">
        <v>968.6537</v>
      </c>
      <c r="I477" s="7">
        <f>-H477/G477</f>
        <v/>
      </c>
      <c r="J477" s="11" t="n">
        <v>44601</v>
      </c>
      <c r="K477" s="6" t="n">
        <v>-700</v>
      </c>
      <c r="L477" s="6">
        <f>1.38*OPERAC[[#This Row],[cantidad venta]]</f>
        <v/>
      </c>
      <c r="M477" s="7">
        <f>IF(N477=0,+L477+H477,0)</f>
        <v/>
      </c>
      <c r="N477" s="7">
        <f>IF((+G477-K477)=0,0,+G477-K477)</f>
        <v/>
      </c>
      <c r="O477" s="7">
        <f>IF(N477=0,0,(L477+H477)/-N477)</f>
        <v/>
      </c>
      <c r="P477" s="7">
        <f>VLOOKUP(OPERAC[[#This Row],[especie]],[1]!ESPECIES[#All],6,0)</f>
        <v/>
      </c>
      <c r="Q477" s="7">
        <f>IF(N477&lt;&gt;0,P477*N477,0)</f>
        <v/>
      </c>
      <c r="R477" s="8">
        <f>IF(Q477&lt;&gt;0,Q477+H477+L477,0)</f>
        <v/>
      </c>
      <c r="S477" s="9">
        <f>VLOOKUP(OPERAC[[#This Row],[especie]],[1]!ESPECIES[#Data],9,FALSE)</f>
        <v/>
      </c>
    </row>
    <row r="478">
      <c r="A478" s="4" t="n">
        <v>1760</v>
      </c>
      <c r="B478" s="5" t="n">
        <v>44581</v>
      </c>
      <c r="C478" s="13" t="inlineStr">
        <is>
          <t>VTA</t>
        </is>
      </c>
      <c r="D478" s="13" t="n">
        <v>39</v>
      </c>
      <c r="E478" s="10">
        <f>IF(D478&gt;0,VLOOKUP(OPERAC[[#This Row],[COD CART]],[1]!MatrizCortoLargoCyl[#All],3,0),"")</f>
        <v/>
      </c>
      <c r="F478" s="13" t="inlineStr">
        <is>
          <t>ACB/V/6,00/18-02-22</t>
        </is>
      </c>
      <c r="G478" s="6" t="n">
        <v>-800</v>
      </c>
      <c r="H478" s="6" t="n">
        <v>967.6120000000001</v>
      </c>
      <c r="I478" s="7">
        <f>-H478/G478</f>
        <v/>
      </c>
      <c r="J478" s="11" t="n">
        <v>44601</v>
      </c>
      <c r="K478" s="6" t="n">
        <v>-800</v>
      </c>
      <c r="L478" s="6">
        <f>1.21*OPERAC[[#This Row],[cantidad venta]]</f>
        <v/>
      </c>
      <c r="M478" s="7">
        <f>IF(N478=0,+L478+H478,0)</f>
        <v/>
      </c>
      <c r="N478" s="7">
        <f>IF((+G478-K478)=0,0,+G478-K478)</f>
        <v/>
      </c>
      <c r="O478" s="7">
        <f>IF(N478=0,0,(L478+H478)/-N478)</f>
        <v/>
      </c>
      <c r="P478" s="7">
        <f>VLOOKUP(OPERAC[[#This Row],[especie]],[1]!ESPECIES[#All],6,0)</f>
        <v/>
      </c>
      <c r="Q478" s="7">
        <f>IF(N478&lt;&gt;0,P478*N478,0)</f>
        <v/>
      </c>
      <c r="R478" s="8">
        <f>IF(Q478&lt;&gt;0,Q478+H478+L478,0)</f>
        <v/>
      </c>
      <c r="S478" s="9">
        <f>VLOOKUP(OPERAC[[#This Row],[especie]],[1]!ESPECIES[#Data],9,FALSE)</f>
        <v/>
      </c>
    </row>
    <row r="479">
      <c r="A479" s="4" t="n">
        <v>6578</v>
      </c>
      <c r="B479" s="5" t="n">
        <v>44581</v>
      </c>
      <c r="C479" s="13" t="inlineStr">
        <is>
          <t>VTA</t>
        </is>
      </c>
      <c r="D479" s="13" t="n">
        <v>39</v>
      </c>
      <c r="E479" s="10">
        <f>IF(D479&gt;0,VLOOKUP(OPERAC[[#This Row],[COD CART]],[1]!MatrizCortoLargoCyl[#All],3,0),"")</f>
        <v/>
      </c>
      <c r="F479" s="13" t="inlineStr">
        <is>
          <t>ACB/V/6,00/18-02-22</t>
        </is>
      </c>
      <c r="G479" s="6" t="n">
        <v>-800</v>
      </c>
      <c r="H479" s="6" t="n">
        <v>967.6120000000001</v>
      </c>
      <c r="I479" s="7">
        <f>-H479/G479</f>
        <v/>
      </c>
      <c r="J479" s="11" t="n">
        <v>44600</v>
      </c>
      <c r="K479" s="6" t="n">
        <v>-800</v>
      </c>
      <c r="L479" s="6">
        <f>1.21*OPERAC[[#This Row],[cantidad venta]]</f>
        <v/>
      </c>
      <c r="M479" s="7">
        <f>IF(N479=0,+L479+H479,0)</f>
        <v/>
      </c>
      <c r="N479" s="7">
        <f>IF((+G479-K479)=0,0,+G479-K479)</f>
        <v/>
      </c>
      <c r="O479" s="7">
        <f>IF(N479=0,0,(L479+H479)/-N479)</f>
        <v/>
      </c>
      <c r="P479" s="7">
        <f>VLOOKUP(OPERAC[[#This Row],[especie]],[1]!ESPECIES[#All],6,0)</f>
        <v/>
      </c>
      <c r="Q479" s="7">
        <f>IF(N479&lt;&gt;0,P479*N479,0)</f>
        <v/>
      </c>
      <c r="R479" s="8">
        <f>IF(Q479&lt;&gt;0,Q479+H479+L479,0)</f>
        <v/>
      </c>
      <c r="S479" s="9">
        <f>VLOOKUP(OPERAC[[#This Row],[especie]],[1]!ESPECIES[#Data],9,FALSE)</f>
        <v/>
      </c>
    </row>
    <row r="480">
      <c r="A480" s="4" t="n">
        <v>13246</v>
      </c>
      <c r="B480" s="5" t="n">
        <v>44581</v>
      </c>
      <c r="C480" s="13" t="inlineStr">
        <is>
          <t>VTA</t>
        </is>
      </c>
      <c r="D480" s="13" t="n">
        <v>39</v>
      </c>
      <c r="E480" s="10">
        <f>IF(D480&gt;0,VLOOKUP(OPERAC[[#This Row],[COD CART]],[1]!MatrizCortoLargoCyl[#All],3,0),"")</f>
        <v/>
      </c>
      <c r="F480" s="13" t="inlineStr">
        <is>
          <t>ACB/V/6,00/18-02-22</t>
        </is>
      </c>
      <c r="G480" s="6" t="n">
        <v>-800</v>
      </c>
      <c r="H480" s="6" t="n">
        <v>967.6120000000001</v>
      </c>
      <c r="I480" s="7">
        <f>-H480/G480</f>
        <v/>
      </c>
      <c r="J480" s="11" t="n">
        <v>44601</v>
      </c>
      <c r="K480" s="6" t="n">
        <v>-800</v>
      </c>
      <c r="L480" s="6">
        <f>1.21*OPERAC[[#This Row],[cantidad venta]]</f>
        <v/>
      </c>
      <c r="M480" s="7">
        <f>IF(N480=0,+L480+H480,0)</f>
        <v/>
      </c>
      <c r="N480" s="7">
        <f>IF((+G480-K480)=0,0,+G480-K480)</f>
        <v/>
      </c>
      <c r="O480" s="7">
        <f>IF(N480=0,0,(L480+H480)/-N480)</f>
        <v/>
      </c>
      <c r="P480" s="7">
        <f>VLOOKUP(OPERAC[[#This Row],[especie]],[1]!ESPECIES[#All],6,0)</f>
        <v/>
      </c>
      <c r="Q480" s="7">
        <f>IF(N480&lt;&gt;0,P480*N480,0)</f>
        <v/>
      </c>
      <c r="R480" s="8">
        <f>IF(Q480&lt;&gt;0,Q480+H480+L480,0)</f>
        <v/>
      </c>
      <c r="S480" s="9">
        <f>VLOOKUP(OPERAC[[#This Row],[especie]],[1]!ESPECIES[#Data],9,FALSE)</f>
        <v/>
      </c>
    </row>
    <row r="481">
      <c r="A481" s="4" t="n">
        <v>3832</v>
      </c>
      <c r="B481" s="5" t="n">
        <v>44592</v>
      </c>
      <c r="C481" s="13" t="inlineStr">
        <is>
          <t>VTA</t>
        </is>
      </c>
      <c r="D481" s="13" t="n">
        <v>39</v>
      </c>
      <c r="E481" s="10">
        <f>IF(D481&gt;0,VLOOKUP(OPERAC[[#This Row],[COD CART]],[1]!MatrizCortoLargoCyl[#All],3,0),"")</f>
        <v/>
      </c>
      <c r="F481" s="13" t="inlineStr">
        <is>
          <t>ROKU/V/150,00/11-02-22</t>
        </is>
      </c>
      <c r="G481" s="6" t="n">
        <v>-200</v>
      </c>
      <c r="H481" s="6" t="n">
        <v>958.2479999999999</v>
      </c>
      <c r="I481" s="7">
        <f>-H481/G481</f>
        <v/>
      </c>
      <c r="J481" s="11" t="n">
        <v>44601</v>
      </c>
      <c r="K481" s="6">
        <f>+OPERAC[[#This Row],[cantidad]]</f>
        <v/>
      </c>
      <c r="L481" s="6">
        <f>0.67*OPERAC[[#This Row],[cantidad venta]]</f>
        <v/>
      </c>
      <c r="M481" s="7">
        <f>IF(N481=0,+L481+H481,0)</f>
        <v/>
      </c>
      <c r="N481" s="7">
        <f>IF((+G481-K481)=0,0,+G481-K481)</f>
        <v/>
      </c>
      <c r="O481" s="7">
        <f>IF(N481=0,0,(L481+H481)/-N481)</f>
        <v/>
      </c>
      <c r="P481" s="7">
        <f>VLOOKUP(OPERAC[[#This Row],[especie]],[1]!ESPECIES[#All],6,0)</f>
        <v/>
      </c>
      <c r="Q481" s="7">
        <f>IF(N481&lt;&gt;0,P481*N481,0)</f>
        <v/>
      </c>
      <c r="R481" s="8">
        <f>IF(Q481&lt;&gt;0,Q481+H481+L481,0)</f>
        <v/>
      </c>
      <c r="S481" s="9">
        <f>VLOOKUP(OPERAC[[#This Row],[especie]],[1]!ESPECIES[#Data],9,FALSE)</f>
        <v/>
      </c>
    </row>
    <row r="482">
      <c r="A482" s="4" t="n">
        <v>9195</v>
      </c>
      <c r="B482" s="5" t="n">
        <v>44592</v>
      </c>
      <c r="C482" s="13" t="inlineStr">
        <is>
          <t>VTA</t>
        </is>
      </c>
      <c r="D482" s="13" t="n">
        <v>39</v>
      </c>
      <c r="E482" s="10">
        <f>IF(D482&gt;0,VLOOKUP(OPERAC[[#This Row],[COD CART]],[1]!MatrizCortoLargoCyl[#All],3,0),"")</f>
        <v/>
      </c>
      <c r="F482" s="13" t="inlineStr">
        <is>
          <t>ROKU/V/150,00/11-02-22</t>
        </is>
      </c>
      <c r="G482" s="6" t="n">
        <v>-200</v>
      </c>
      <c r="H482" s="6" t="n">
        <v>955.3679999999999</v>
      </c>
      <c r="I482" s="7">
        <f>-H482/G482</f>
        <v/>
      </c>
      <c r="J482" s="11" t="n">
        <v>44601</v>
      </c>
      <c r="K482" s="6">
        <f>+OPERAC[[#This Row],[cantidad]]</f>
        <v/>
      </c>
      <c r="L482" s="6">
        <f>0.67*OPERAC[[#This Row],[cantidad venta]]</f>
        <v/>
      </c>
      <c r="M482" s="7">
        <f>IF(N482=0,+L482+H482,0)</f>
        <v/>
      </c>
      <c r="N482" s="7">
        <f>IF((+G482-K482)=0,0,+G482-K482)</f>
        <v/>
      </c>
      <c r="O482" s="7">
        <f>IF(N482=0,0,(L482+H482)/-N482)</f>
        <v/>
      </c>
      <c r="P482" s="7">
        <f>VLOOKUP(OPERAC[[#This Row],[especie]],[1]!ESPECIES[#All],6,0)</f>
        <v/>
      </c>
      <c r="Q482" s="7">
        <f>IF(N482&lt;&gt;0,P482*N482,0)</f>
        <v/>
      </c>
      <c r="R482" s="8">
        <f>IF(Q482&lt;&gt;0,Q482+H482+L482,0)</f>
        <v/>
      </c>
      <c r="S482" s="9">
        <f>VLOOKUP(OPERAC[[#This Row],[especie]],[1]!ESPECIES[#Data],9,FALSE)</f>
        <v/>
      </c>
    </row>
    <row r="483">
      <c r="A483" s="4" t="n">
        <v>16818</v>
      </c>
      <c r="B483" s="5" t="n">
        <v>44592</v>
      </c>
      <c r="C483" s="13" t="inlineStr">
        <is>
          <t>VTA</t>
        </is>
      </c>
      <c r="D483" s="13" t="n">
        <v>39</v>
      </c>
      <c r="E483" s="10">
        <f>IF(D483&gt;0,VLOOKUP(OPERAC[[#This Row],[COD CART]],[1]!MatrizCortoLargoCyl[#All],3,0),"")</f>
        <v/>
      </c>
      <c r="F483" s="13" t="inlineStr">
        <is>
          <t>ROKU/V/150,00/11-02-22</t>
        </is>
      </c>
      <c r="G483" s="6" t="n">
        <v>-200</v>
      </c>
      <c r="H483" s="6" t="n">
        <v>955.3679999999999</v>
      </c>
      <c r="I483" s="7">
        <f>-H483/G483</f>
        <v/>
      </c>
      <c r="J483" s="11" t="n">
        <v>44601</v>
      </c>
      <c r="K483" s="6">
        <f>+OPERAC[[#This Row],[cantidad]]</f>
        <v/>
      </c>
      <c r="L483" s="6">
        <f>0.67*OPERAC[[#This Row],[cantidad venta]]</f>
        <v/>
      </c>
      <c r="M483" s="7">
        <f>IF(N483=0,+L483+H483,0)</f>
        <v/>
      </c>
      <c r="N483" s="7">
        <f>IF((+G483-K483)=0,0,+G483-K483)</f>
        <v/>
      </c>
      <c r="O483" s="7">
        <f>IF(N483=0,0,(L483+H483)/-N483)</f>
        <v/>
      </c>
      <c r="P483" s="7">
        <f>VLOOKUP(OPERAC[[#This Row],[especie]],[1]!ESPECIES[#All],6,0)</f>
        <v/>
      </c>
      <c r="Q483" s="7">
        <f>IF(N483&lt;&gt;0,P483*N483,0)</f>
        <v/>
      </c>
      <c r="R483" s="8">
        <f>IF(Q483&lt;&gt;0,Q483+H483+L483,0)</f>
        <v/>
      </c>
      <c r="S483" s="9">
        <f>VLOOKUP(OPERAC[[#This Row],[especie]],[1]!ESPECIES[#Data],9,FALSE)</f>
        <v/>
      </c>
    </row>
    <row r="484">
      <c r="A484" s="4" t="n">
        <v>2253</v>
      </c>
      <c r="B484" s="5" t="n">
        <v>44592</v>
      </c>
      <c r="C484" s="13" t="inlineStr">
        <is>
          <t>VTA</t>
        </is>
      </c>
      <c r="D484" s="13" t="n">
        <v>39</v>
      </c>
      <c r="E484" s="10">
        <f>IF(D484&gt;0,VLOOKUP(OPERAC[[#This Row],[COD CART]],[1]!MatrizCortoLargoCyl[#All],3,0),"")</f>
        <v/>
      </c>
      <c r="F484" s="13" t="inlineStr">
        <is>
          <t>ROKU/V/150,00/11-02-22</t>
        </is>
      </c>
      <c r="G484" s="6" t="n">
        <v>-200</v>
      </c>
      <c r="H484" s="6" t="n">
        <v>951.528</v>
      </c>
      <c r="I484" s="7">
        <f>-H484/G484</f>
        <v/>
      </c>
      <c r="J484" s="11" t="n">
        <v>44601</v>
      </c>
      <c r="K484" s="6">
        <f>+OPERAC[[#This Row],[cantidad]]</f>
        <v/>
      </c>
      <c r="L484" s="6">
        <f>0.67*OPERAC[[#This Row],[cantidad venta]]</f>
        <v/>
      </c>
      <c r="M484" s="7">
        <f>IF(N484=0,+L484+H484,0)</f>
        <v/>
      </c>
      <c r="N484" s="7">
        <f>IF((+G484-K484)=0,0,+G484-K484)</f>
        <v/>
      </c>
      <c r="O484" s="7">
        <f>IF(N484=0,0,(L484+H484)/-N484)</f>
        <v/>
      </c>
      <c r="P484" s="7">
        <f>VLOOKUP(OPERAC[[#This Row],[especie]],[1]!ESPECIES[#All],6,0)</f>
        <v/>
      </c>
      <c r="Q484" s="7">
        <f>IF(N484&lt;&gt;0,P484*N484,0)</f>
        <v/>
      </c>
      <c r="R484" s="8">
        <f>IF(Q484&lt;&gt;0,Q484+H484+L484,0)</f>
        <v/>
      </c>
      <c r="S484" s="9">
        <f>VLOOKUP(OPERAC[[#This Row],[especie]],[1]!ESPECIES[#Data],9,FALSE)</f>
        <v/>
      </c>
    </row>
    <row r="485">
      <c r="A485" s="4" t="n">
        <v>2279</v>
      </c>
      <c r="B485" s="5" t="n">
        <v>44592</v>
      </c>
      <c r="C485" s="13" t="inlineStr">
        <is>
          <t>VTA</t>
        </is>
      </c>
      <c r="D485" s="13" t="n">
        <v>39</v>
      </c>
      <c r="E485" s="10">
        <f>IF(D485&gt;0,VLOOKUP(OPERAC[[#This Row],[COD CART]],[1]!MatrizCortoLargoCyl[#All],3,0),"")</f>
        <v/>
      </c>
      <c r="F485" s="13" t="inlineStr">
        <is>
          <t>ROKU/V/150,00/11-02-22</t>
        </is>
      </c>
      <c r="G485" s="6" t="n">
        <v>-200</v>
      </c>
      <c r="H485" s="6" t="n">
        <v>951.528</v>
      </c>
      <c r="I485" s="7">
        <f>-H485/G485</f>
        <v/>
      </c>
      <c r="J485" s="11" t="n">
        <v>44601</v>
      </c>
      <c r="K485" s="6">
        <f>+OPERAC[[#This Row],[cantidad]]</f>
        <v/>
      </c>
      <c r="L485" s="6">
        <f>0.67*OPERAC[[#This Row],[cantidad venta]]</f>
        <v/>
      </c>
      <c r="M485" s="7">
        <f>IF(N485=0,+L485+H485,0)</f>
        <v/>
      </c>
      <c r="N485" s="7">
        <f>IF((+G485-K485)=0,0,+G485-K485)</f>
        <v/>
      </c>
      <c r="O485" s="7">
        <f>IF(N485=0,0,(L485+H485)/-N485)</f>
        <v/>
      </c>
      <c r="P485" s="7">
        <f>VLOOKUP(OPERAC[[#This Row],[especie]],[1]!ESPECIES[#All],6,0)</f>
        <v/>
      </c>
      <c r="Q485" s="7">
        <f>IF(N485&lt;&gt;0,P485*N485,0)</f>
        <v/>
      </c>
      <c r="R485" s="8">
        <f>IF(Q485&lt;&gt;0,Q485+H485+L485,0)</f>
        <v/>
      </c>
      <c r="S485" s="9">
        <f>VLOOKUP(OPERAC[[#This Row],[especie]],[1]!ESPECIES[#Data],9,FALSE)</f>
        <v/>
      </c>
    </row>
    <row r="486">
      <c r="A486" s="4" t="n">
        <v>3820</v>
      </c>
      <c r="B486" s="5" t="n">
        <v>44592</v>
      </c>
      <c r="C486" s="13" t="inlineStr">
        <is>
          <t>VTA</t>
        </is>
      </c>
      <c r="D486" s="13" t="n">
        <v>39</v>
      </c>
      <c r="E486" s="10">
        <f>IF(D486&gt;0,VLOOKUP(OPERAC[[#This Row],[COD CART]],[1]!MatrizCortoLargoCyl[#All],3,0),"")</f>
        <v/>
      </c>
      <c r="F486" s="13" t="inlineStr">
        <is>
          <t>ROKU/V/150,00/11-02-22</t>
        </is>
      </c>
      <c r="G486" s="6" t="n">
        <v>-200</v>
      </c>
      <c r="H486" s="6" t="n">
        <v>951.528</v>
      </c>
      <c r="I486" s="7">
        <f>-H486/G486</f>
        <v/>
      </c>
      <c r="J486" s="11" t="n">
        <v>44601</v>
      </c>
      <c r="K486" s="6">
        <f>+OPERAC[[#This Row],[cantidad]]</f>
        <v/>
      </c>
      <c r="L486" s="6">
        <f>0.67*OPERAC[[#This Row],[cantidad venta]]</f>
        <v/>
      </c>
      <c r="M486" s="7">
        <f>IF(N486=0,+L486+H486,0)</f>
        <v/>
      </c>
      <c r="N486" s="7">
        <f>IF((+G486-K486)=0,0,+G486-K486)</f>
        <v/>
      </c>
      <c r="O486" s="7">
        <f>IF(N486=0,0,(L486+H486)/-N486)</f>
        <v/>
      </c>
      <c r="P486" s="7">
        <f>VLOOKUP(OPERAC[[#This Row],[especie]],[1]!ESPECIES[#All],6,0)</f>
        <v/>
      </c>
      <c r="Q486" s="7">
        <f>IF(N486&lt;&gt;0,P486*N486,0)</f>
        <v/>
      </c>
      <c r="R486" s="8">
        <f>IF(Q486&lt;&gt;0,Q486+H486+L486,0)</f>
        <v/>
      </c>
      <c r="S486" s="9">
        <f>VLOOKUP(OPERAC[[#This Row],[especie]],[1]!ESPECIES[#Data],9,FALSE)</f>
        <v/>
      </c>
    </row>
    <row r="487">
      <c r="A487" s="4" t="n">
        <v>4543</v>
      </c>
      <c r="B487" s="5" t="n">
        <v>44592</v>
      </c>
      <c r="C487" s="13" t="inlineStr">
        <is>
          <t>VTA</t>
        </is>
      </c>
      <c r="D487" s="13" t="n">
        <v>39</v>
      </c>
      <c r="E487" s="10">
        <f>IF(D487&gt;0,VLOOKUP(OPERAC[[#This Row],[COD CART]],[1]!MatrizCortoLargoCyl[#All],3,0),"")</f>
        <v/>
      </c>
      <c r="F487" s="13" t="inlineStr">
        <is>
          <t>ROKU/V/150,00/11-02-22</t>
        </is>
      </c>
      <c r="G487" s="6" t="n">
        <v>-200</v>
      </c>
      <c r="H487" s="6" t="n">
        <v>951.528</v>
      </c>
      <c r="I487" s="7">
        <f>-H487/G487</f>
        <v/>
      </c>
      <c r="J487" s="11" t="n">
        <v>44601</v>
      </c>
      <c r="K487" s="6">
        <f>+OPERAC[[#This Row],[cantidad]]</f>
        <v/>
      </c>
      <c r="L487" s="6">
        <f>0.67*OPERAC[[#This Row],[cantidad venta]]</f>
        <v/>
      </c>
      <c r="M487" s="7">
        <f>IF(N487=0,+L487+H487,0)</f>
        <v/>
      </c>
      <c r="N487" s="7">
        <f>IF((+G487-K487)=0,0,+G487-K487)</f>
        <v/>
      </c>
      <c r="O487" s="7">
        <f>IF(N487=0,0,(L487+H487)/-N487)</f>
        <v/>
      </c>
      <c r="P487" s="7">
        <f>VLOOKUP(OPERAC[[#This Row],[especie]],[1]!ESPECIES[#All],6,0)</f>
        <v/>
      </c>
      <c r="Q487" s="7">
        <f>IF(N487&lt;&gt;0,P487*N487,0)</f>
        <v/>
      </c>
      <c r="R487" s="8">
        <f>IF(Q487&lt;&gt;0,Q487+H487+L487,0)</f>
        <v/>
      </c>
      <c r="S487" s="9">
        <f>VLOOKUP(OPERAC[[#This Row],[especie]],[1]!ESPECIES[#Data],9,FALSE)</f>
        <v/>
      </c>
    </row>
    <row r="488">
      <c r="A488" s="4" t="n">
        <v>7895</v>
      </c>
      <c r="B488" s="5" t="n">
        <v>44592</v>
      </c>
      <c r="C488" s="13" t="inlineStr">
        <is>
          <t>VTA</t>
        </is>
      </c>
      <c r="D488" s="13" t="n">
        <v>39</v>
      </c>
      <c r="E488" s="10">
        <f>IF(D488&gt;0,VLOOKUP(OPERAC[[#This Row],[COD CART]],[1]!MatrizCortoLargoCyl[#All],3,0),"")</f>
        <v/>
      </c>
      <c r="F488" s="13" t="inlineStr">
        <is>
          <t>ROKU/V/150,00/11-02-22</t>
        </is>
      </c>
      <c r="G488" s="6" t="n">
        <v>-200</v>
      </c>
      <c r="H488" s="6" t="n">
        <v>951.528</v>
      </c>
      <c r="I488" s="7">
        <f>-H488/G488</f>
        <v/>
      </c>
      <c r="J488" s="11" t="n">
        <v>44601</v>
      </c>
      <c r="K488" s="6">
        <f>+OPERAC[[#This Row],[cantidad]]</f>
        <v/>
      </c>
      <c r="L488" s="6">
        <f>0.67*OPERAC[[#This Row],[cantidad venta]]</f>
        <v/>
      </c>
      <c r="M488" s="7">
        <f>IF(N488=0,+L488+H488,0)</f>
        <v/>
      </c>
      <c r="N488" s="7">
        <f>IF((+G488-K488)=0,0,+G488-K488)</f>
        <v/>
      </c>
      <c r="O488" s="7">
        <f>IF(N488=0,0,(L488+H488)/-N488)</f>
        <v/>
      </c>
      <c r="P488" s="7">
        <f>VLOOKUP(OPERAC[[#This Row],[especie]],[1]!ESPECIES[#All],6,0)</f>
        <v/>
      </c>
      <c r="Q488" s="7">
        <f>IF(N488&lt;&gt;0,P488*N488,0)</f>
        <v/>
      </c>
      <c r="R488" s="8">
        <f>IF(Q488&lt;&gt;0,Q488+H488+L488,0)</f>
        <v/>
      </c>
      <c r="S488" s="9">
        <f>VLOOKUP(OPERAC[[#This Row],[especie]],[1]!ESPECIES[#Data],9,FALSE)</f>
        <v/>
      </c>
    </row>
    <row r="489">
      <c r="A489" s="4" t="n">
        <v>13240</v>
      </c>
      <c r="B489" s="5" t="n">
        <v>44592</v>
      </c>
      <c r="C489" s="13" t="inlineStr">
        <is>
          <t>VTA</t>
        </is>
      </c>
      <c r="D489" s="13" t="n">
        <v>39</v>
      </c>
      <c r="E489" s="10">
        <f>IF(D489&gt;0,VLOOKUP(OPERAC[[#This Row],[COD CART]],[1]!MatrizCortoLargoCyl[#All],3,0),"")</f>
        <v/>
      </c>
      <c r="F489" s="13" t="inlineStr">
        <is>
          <t>ROKU/V/150,00/11-02-22</t>
        </is>
      </c>
      <c r="G489" s="6" t="n">
        <v>-200</v>
      </c>
      <c r="H489" s="6" t="n">
        <v>951.528</v>
      </c>
      <c r="I489" s="7">
        <f>-H489/G489</f>
        <v/>
      </c>
      <c r="J489" s="11" t="n">
        <v>44601</v>
      </c>
      <c r="K489" s="6">
        <f>+OPERAC[[#This Row],[cantidad]]</f>
        <v/>
      </c>
      <c r="L489" s="6">
        <f>0.67*OPERAC[[#This Row],[cantidad venta]]</f>
        <v/>
      </c>
      <c r="M489" s="7">
        <f>IF(N489=0,+L489+H489,0)</f>
        <v/>
      </c>
      <c r="N489" s="7">
        <f>IF((+G489-K489)=0,0,+G489-K489)</f>
        <v/>
      </c>
      <c r="O489" s="7">
        <f>IF(N489=0,0,(L489+H489)/-N489)</f>
        <v/>
      </c>
      <c r="P489" s="7">
        <f>VLOOKUP(OPERAC[[#This Row],[especie]],[1]!ESPECIES[#All],6,0)</f>
        <v/>
      </c>
      <c r="Q489" s="7">
        <f>IF(N489&lt;&gt;0,P489*N489,0)</f>
        <v/>
      </c>
      <c r="R489" s="8">
        <f>IF(Q489&lt;&gt;0,Q489+H489+L489,0)</f>
        <v/>
      </c>
      <c r="S489" s="9">
        <f>VLOOKUP(OPERAC[[#This Row],[especie]],[1]!ESPECIES[#Data],9,FALSE)</f>
        <v/>
      </c>
    </row>
    <row r="490">
      <c r="A490" s="4" t="n">
        <v>6578</v>
      </c>
      <c r="B490" s="5" t="n">
        <v>44592</v>
      </c>
      <c r="C490" s="13" t="inlineStr">
        <is>
          <t>VTA</t>
        </is>
      </c>
      <c r="D490" s="13" t="n">
        <v>39</v>
      </c>
      <c r="E490" s="10">
        <f>IF(D490&gt;0,VLOOKUP(OPERAC[[#This Row],[COD CART]],[1]!MatrizCortoLargoCyl[#All],3,0),"")</f>
        <v/>
      </c>
      <c r="F490" s="13" t="inlineStr">
        <is>
          <t>ROKU/V/150,00/11-02-22</t>
        </is>
      </c>
      <c r="G490" s="6" t="n">
        <v>-200</v>
      </c>
      <c r="H490" s="6" t="n">
        <v>951.528</v>
      </c>
      <c r="I490" s="7">
        <f>-H490/G490</f>
        <v/>
      </c>
      <c r="J490" s="11" t="n">
        <v>44601</v>
      </c>
      <c r="K490" s="6">
        <f>+OPERAC[[#This Row],[cantidad]]</f>
        <v/>
      </c>
      <c r="L490" s="6">
        <f>0.67*OPERAC[[#This Row],[cantidad venta]]</f>
        <v/>
      </c>
      <c r="M490" s="7">
        <f>IF(N490=0,+L490+H490,0)</f>
        <v/>
      </c>
      <c r="N490" s="7">
        <f>IF((+G490-K490)=0,0,+G490-K490)</f>
        <v/>
      </c>
      <c r="O490" s="7">
        <f>IF(N490=0,0,(L490+H490)/-N490)</f>
        <v/>
      </c>
      <c r="P490" s="7">
        <f>VLOOKUP(OPERAC[[#This Row],[especie]],[1]!ESPECIES[#All],6,0)</f>
        <v/>
      </c>
      <c r="Q490" s="7">
        <f>IF(N490&lt;&gt;0,P490*N490,0)</f>
        <v/>
      </c>
      <c r="R490" s="8">
        <f>IF(Q490&lt;&gt;0,Q490+H490+L490,0)</f>
        <v/>
      </c>
      <c r="S490" s="9">
        <f>VLOOKUP(OPERAC[[#This Row],[especie]],[1]!ESPECIES[#Data],9,FALSE)</f>
        <v/>
      </c>
    </row>
    <row r="491">
      <c r="A491" s="4" t="n">
        <v>20312</v>
      </c>
      <c r="B491" s="5" t="n">
        <v>44592</v>
      </c>
      <c r="C491" s="13" t="inlineStr">
        <is>
          <t>VTA</t>
        </is>
      </c>
      <c r="D491" s="13" t="n">
        <v>39</v>
      </c>
      <c r="E491" s="10">
        <f>IF(D491&gt;0,VLOOKUP(OPERAC[[#This Row],[COD CART]],[1]!MatrizCortoLargoCyl[#All],3,0),"")</f>
        <v/>
      </c>
      <c r="F491" s="13" t="inlineStr">
        <is>
          <t>ROKU/V/150,00/11-02-22</t>
        </is>
      </c>
      <c r="G491" s="6" t="n">
        <v>-200</v>
      </c>
      <c r="H491" s="6" t="n">
        <v>951.528</v>
      </c>
      <c r="I491" s="7">
        <f>-H491/G491</f>
        <v/>
      </c>
      <c r="J491" s="11" t="n">
        <v>44601</v>
      </c>
      <c r="K491" s="6">
        <f>+OPERAC[[#This Row],[cantidad]]</f>
        <v/>
      </c>
      <c r="L491" s="6">
        <f>0.67*OPERAC[[#This Row],[cantidad venta]]</f>
        <v/>
      </c>
      <c r="M491" s="7">
        <f>IF(N491=0,+L491+H491,0)</f>
        <v/>
      </c>
      <c r="N491" s="7">
        <f>IF((+G491-K491)=0,0,+G491-K491)</f>
        <v/>
      </c>
      <c r="O491" s="7">
        <f>IF(N491=0,0,(L491+H491)/-N491)</f>
        <v/>
      </c>
      <c r="P491" s="7">
        <f>VLOOKUP(OPERAC[[#This Row],[especie]],[1]!ESPECIES[#All],6,0)</f>
        <v/>
      </c>
      <c r="Q491" s="7">
        <f>IF(N491&lt;&gt;0,P491*N491,0)</f>
        <v/>
      </c>
      <c r="R491" s="8">
        <f>IF(Q491&lt;&gt;0,Q491+H491+L491,0)</f>
        <v/>
      </c>
      <c r="S491" s="9">
        <f>VLOOKUP(OPERAC[[#This Row],[especie]],[1]!ESPECIES[#Data],9,FALSE)</f>
        <v/>
      </c>
    </row>
    <row r="492">
      <c r="A492" s="4" t="n">
        <v>12674</v>
      </c>
      <c r="B492" s="5" t="n">
        <v>44592</v>
      </c>
      <c r="C492" s="13" t="inlineStr">
        <is>
          <t>VTA</t>
        </is>
      </c>
      <c r="D492" s="13" t="n">
        <v>39</v>
      </c>
      <c r="E492" s="10">
        <f>IF(D492&gt;0,VLOOKUP(OPERAC[[#This Row],[COD CART]],[1]!MatrizCortoLargoCyl[#All],3,0),"")</f>
        <v/>
      </c>
      <c r="F492" s="13" t="inlineStr">
        <is>
          <t>ROKU/V/150,00/11-02-22</t>
        </is>
      </c>
      <c r="G492" s="6" t="n">
        <v>-200</v>
      </c>
      <c r="H492" s="6" t="n">
        <v>951.528</v>
      </c>
      <c r="I492" s="7">
        <f>-H492/G492</f>
        <v/>
      </c>
      <c r="J492" s="11" t="n">
        <v>44601</v>
      </c>
      <c r="K492" s="6">
        <f>+OPERAC[[#This Row],[cantidad]]</f>
        <v/>
      </c>
      <c r="L492" s="6">
        <f>0.67*OPERAC[[#This Row],[cantidad venta]]</f>
        <v/>
      </c>
      <c r="M492" s="7">
        <f>IF(N492=0,+L492+H492,0)</f>
        <v/>
      </c>
      <c r="N492" s="7">
        <f>IF((+G492-K492)=0,0,+G492-K492)</f>
        <v/>
      </c>
      <c r="O492" s="7">
        <f>IF(N492=0,0,(L492+H492)/-N492)</f>
        <v/>
      </c>
      <c r="P492" s="7">
        <f>VLOOKUP(OPERAC[[#This Row],[especie]],[1]!ESPECIES[#All],6,0)</f>
        <v/>
      </c>
      <c r="Q492" s="7">
        <f>IF(N492&lt;&gt;0,P492*N492,0)</f>
        <v/>
      </c>
      <c r="R492" s="8">
        <f>IF(Q492&lt;&gt;0,Q492+H492+L492,0)</f>
        <v/>
      </c>
      <c r="S492" s="9">
        <f>VLOOKUP(OPERAC[[#This Row],[especie]],[1]!ESPECIES[#Data],9,FALSE)</f>
        <v/>
      </c>
    </row>
    <row r="493">
      <c r="A493" s="4" t="n">
        <v>3728</v>
      </c>
      <c r="B493" s="5" t="n">
        <v>44664</v>
      </c>
      <c r="C493" s="13" t="inlineStr">
        <is>
          <t>VTA</t>
        </is>
      </c>
      <c r="D493" s="13" t="n">
        <v>39</v>
      </c>
      <c r="E493" s="10">
        <f>IF(D493&gt;0,VLOOKUP(OPERAC[[#This Row],[COD CART]],[1]!MatrizCortoLargoCyl[#All],3,0),"")</f>
        <v/>
      </c>
      <c r="F493" s="13" t="inlineStr">
        <is>
          <t>UPST/V/80,00/22-04-22</t>
        </is>
      </c>
      <c r="G493" s="6" t="n">
        <v>-300</v>
      </c>
      <c r="H493" s="6" t="n">
        <v>944.0549999999999</v>
      </c>
      <c r="I493" s="7">
        <f>-H493/G493</f>
        <v/>
      </c>
      <c r="J493" s="11" t="n">
        <v>44673</v>
      </c>
      <c r="K493" s="6" t="n">
        <v>-300</v>
      </c>
      <c r="L493" s="6" t="n">
        <v>-1171.17</v>
      </c>
      <c r="M493" s="7">
        <f>IF(N493=0,+L493+H493,0)</f>
        <v/>
      </c>
      <c r="N493" s="7">
        <f>IF((+G493-K493)=0,0,+G493-K493)</f>
        <v/>
      </c>
      <c r="O493" s="7">
        <f>IF(N493=0,0,(L493+H493)/-N493)</f>
        <v/>
      </c>
      <c r="P493" s="7">
        <f>VLOOKUP(OPERAC[[#This Row],[especie]],[1]!ESPECIES[#All],6,0)</f>
        <v/>
      </c>
      <c r="Q493" s="7">
        <f>IF(N493&lt;&gt;0,P493*N493,0)</f>
        <v/>
      </c>
      <c r="R493" s="8">
        <f>IF(Q493&lt;&gt;0,Q493+H493+L493,0)</f>
        <v/>
      </c>
      <c r="S493" s="9">
        <f>VLOOKUP(OPERAC[[#This Row],[especie]],[1]!ESPECIES[#Data],9,FALSE)</f>
        <v/>
      </c>
    </row>
    <row r="494">
      <c r="A494" s="4" t="n">
        <v>16786</v>
      </c>
      <c r="B494" s="5" t="n">
        <v>44377</v>
      </c>
      <c r="C494" s="13" t="inlineStr">
        <is>
          <t>VTA</t>
        </is>
      </c>
      <c r="D494" s="13" t="n">
        <v>39</v>
      </c>
      <c r="E494" s="10">
        <f>IF(D494&gt;0,VLOOKUP(OPERAC[[#This Row],[COD CART]],[1]!MatrizCortoLargoCyl[#All],3,0),"")</f>
        <v/>
      </c>
      <c r="F494" s="13" t="inlineStr">
        <is>
          <t>TLRY/V/10,00/21-01-22</t>
        </is>
      </c>
      <c r="G494" s="6" t="n">
        <v>-1000</v>
      </c>
      <c r="H494" s="6" t="n">
        <v>942.9</v>
      </c>
      <c r="I494" s="7">
        <f>-H494/G494</f>
        <v/>
      </c>
      <c r="J494" s="11" t="n">
        <v>44572</v>
      </c>
      <c r="K494" s="6" t="n">
        <v>-1000</v>
      </c>
      <c r="L494" s="6" t="n">
        <v>-942.9</v>
      </c>
      <c r="M494" s="7">
        <f>IF(N494=0,+L494+H494,0)</f>
        <v/>
      </c>
      <c r="N494" s="7">
        <f>IF((+G494-K494)=0,0,+G494-K494)</f>
        <v/>
      </c>
      <c r="O494" s="7">
        <f>IF(N494=0,0,(L494+H494)/-N494)</f>
        <v/>
      </c>
      <c r="P494" s="7">
        <f>VLOOKUP(OPERAC[[#This Row],[especie]],[1]!ESPECIES[#All],6,0)</f>
        <v/>
      </c>
      <c r="Q494" s="7">
        <f>IF(N494&lt;&gt;0,P494*N494,0)</f>
        <v/>
      </c>
      <c r="R494" s="8">
        <f>IF(Q494&lt;&gt;0,Q494+H494+L494,0)</f>
        <v/>
      </c>
      <c r="S494" s="9">
        <f>VLOOKUP(OPERAC[[#This Row],[especie]],[1]!ESPECIES[#Data],9,FALSE)</f>
        <v/>
      </c>
    </row>
    <row r="495">
      <c r="A495" s="4" t="n">
        <v>12684</v>
      </c>
      <c r="B495" s="5" t="n">
        <v>44637</v>
      </c>
      <c r="C495" s="13" t="inlineStr">
        <is>
          <t>VTA</t>
        </is>
      </c>
      <c r="D495" s="13" t="n">
        <v>39</v>
      </c>
      <c r="E495" s="10">
        <f>IF(D495&gt;0,VLOOKUP(OPERAC[[#This Row],[COD CART]],[1]!MatrizCortoLargoCyl[#All],3,0),"")</f>
        <v/>
      </c>
      <c r="F495" s="13" t="inlineStr">
        <is>
          <t>TSLA/V/765,00/18-03-22</t>
        </is>
      </c>
      <c r="G495" s="6" t="n">
        <v>-1000</v>
      </c>
      <c r="H495" s="6" t="n">
        <v>939.6799999999999</v>
      </c>
      <c r="I495" s="7">
        <f>-H495/G495</f>
        <v/>
      </c>
      <c r="J495" s="11" t="n">
        <v>44638</v>
      </c>
      <c r="K495" s="6" t="n">
        <v>-1000</v>
      </c>
      <c r="L495" s="6" t="n">
        <v>-198.52</v>
      </c>
      <c r="M495" s="7">
        <f>IF(N495=0,+L495+H495,0)</f>
        <v/>
      </c>
      <c r="N495" s="7">
        <f>IF((+G495-K495)=0,0,+G495-K495)</f>
        <v/>
      </c>
      <c r="O495" s="7">
        <f>IF(N495=0,0,(L495+H495)/-N495)</f>
        <v/>
      </c>
      <c r="P495" s="7">
        <f>VLOOKUP(OPERAC[[#This Row],[especie]],[1]!ESPECIES[#All],6,0)</f>
        <v/>
      </c>
      <c r="Q495" s="7">
        <f>IF(N495&lt;&gt;0,P495*N495,0)</f>
        <v/>
      </c>
      <c r="R495" s="8">
        <f>IF(Q495&lt;&gt;0,Q495+H495+L495,0)</f>
        <v/>
      </c>
      <c r="S495" s="9">
        <f>VLOOKUP(OPERAC[[#This Row],[especie]],[1]!ESPECIES[#Data],9,FALSE)</f>
        <v/>
      </c>
    </row>
    <row r="496">
      <c r="A496" s="4" t="n">
        <v>12684</v>
      </c>
      <c r="B496" s="5" t="n">
        <v>44601</v>
      </c>
      <c r="C496" s="13" t="inlineStr">
        <is>
          <t>VTA</t>
        </is>
      </c>
      <c r="D496" s="13" t="n">
        <v>39</v>
      </c>
      <c r="E496" s="10">
        <f>IF(D496&gt;0,VLOOKUP(OPERAC[[#This Row],[COD CART]],[1]!MatrizCortoLargoCyl[#All],3,0),"")</f>
        <v/>
      </c>
      <c r="F496" s="13" t="inlineStr">
        <is>
          <t>ACB/V/5,00/16-09-22</t>
        </is>
      </c>
      <c r="G496" s="6" t="n">
        <v>-600</v>
      </c>
      <c r="H496" s="6">
        <f>-1.56*OPERAC[[#This Row],[cantidad]]</f>
        <v/>
      </c>
      <c r="I496" s="7">
        <f>-H496/G496</f>
        <v/>
      </c>
      <c r="J496" s="11" t="n">
        <v>44617</v>
      </c>
      <c r="K496" s="6" t="n">
        <v>-600</v>
      </c>
      <c r="L496" s="6" t="n">
        <v>-1108.454</v>
      </c>
      <c r="M496" s="7">
        <f>IF(N496=0,+L496+H496,0)</f>
        <v/>
      </c>
      <c r="N496" s="7">
        <f>IF((+G496-K496)=0,0,+G496-K496)</f>
        <v/>
      </c>
      <c r="O496" s="7">
        <f>IF(N496=0,0,(L496+H496)/-N496)</f>
        <v/>
      </c>
      <c r="P496" s="7">
        <f>VLOOKUP(OPERAC[[#This Row],[especie]],[1]!ESPECIES[#All],6,0)</f>
        <v/>
      </c>
      <c r="Q496" s="7">
        <f>IF(N496&lt;&gt;0,P496*N496,0)</f>
        <v/>
      </c>
      <c r="R496" s="8">
        <f>IF(Q496&lt;&gt;0,Q496+H496+L496,0)</f>
        <v/>
      </c>
      <c r="S496" s="9">
        <f>VLOOKUP(OPERAC[[#This Row],[especie]],[1]!ESPECIES[#Data],9,FALSE)</f>
        <v/>
      </c>
    </row>
    <row r="497">
      <c r="A497" s="4" t="n">
        <v>4561</v>
      </c>
      <c r="B497" s="5" t="n">
        <v>44698</v>
      </c>
      <c r="C497" s="13" t="inlineStr">
        <is>
          <t>VTA</t>
        </is>
      </c>
      <c r="D497" s="13" t="n">
        <v>39</v>
      </c>
      <c r="E497" s="10">
        <f>IF(D497&gt;0,VLOOKUP(OPERAC[[#This Row],[COD CART]],[1]!MatrizCortoLargoCyl[#All],3,0),"")</f>
        <v/>
      </c>
      <c r="F497" s="13" t="inlineStr">
        <is>
          <t>TSLA/V/550,00/27-05-22</t>
        </is>
      </c>
      <c r="G497" s="6" t="n">
        <v>-400</v>
      </c>
      <c r="H497" s="6" t="n">
        <v>932.01</v>
      </c>
      <c r="I497" s="7">
        <f>-H497/G497</f>
        <v/>
      </c>
      <c r="J497" s="11" t="n">
        <v>44706</v>
      </c>
      <c r="K497" s="6">
        <f>+OPERAC[[#This Row],[cantidad]]</f>
        <v/>
      </c>
      <c r="L497" s="6" t="n">
        <v>-181.53</v>
      </c>
      <c r="M497" s="7">
        <f>IF(N497=0,+L497+H497,0)</f>
        <v/>
      </c>
      <c r="N497" s="7">
        <f>IF((+G497-K497)=0,0,+G497-K497)</f>
        <v/>
      </c>
      <c r="O497" s="7">
        <f>IF(N497=0,0,(L497+H497)/-N497)</f>
        <v/>
      </c>
      <c r="P497" s="7">
        <f>VLOOKUP(OPERAC[[#This Row],[especie]],[1]!ESPECIES[#All],6,0)</f>
        <v/>
      </c>
      <c r="Q497" s="7">
        <f>IF(N497&lt;&gt;0,P497*N497,0)</f>
        <v/>
      </c>
      <c r="R497" s="8">
        <f>IF(Q497&lt;&gt;0,Q497+H497+L497,0)</f>
        <v/>
      </c>
      <c r="S497" s="9">
        <f>VLOOKUP(OPERAC[[#This Row],[especie]],[1]!ESPECIES[#Data],9,FALSE)</f>
        <v/>
      </c>
    </row>
    <row r="498">
      <c r="A498" s="4" t="n">
        <v>3835</v>
      </c>
      <c r="B498" s="5" t="n">
        <v>44707</v>
      </c>
      <c r="C498" s="13" t="inlineStr">
        <is>
          <t>VTA</t>
        </is>
      </c>
      <c r="D498" s="13" t="n">
        <v>39</v>
      </c>
      <c r="E498" s="10">
        <f>IF(D498&gt;0,VLOOKUP(OPERAC[[#This Row],[COD CART]],[1]!MatrizCortoLargoCyl[#All],3,0),"")</f>
        <v/>
      </c>
      <c r="F498" s="13" t="inlineStr">
        <is>
          <t>TSLA/P/600,00/27-05-22</t>
        </is>
      </c>
      <c r="G498" s="6" t="n">
        <v>-3000</v>
      </c>
      <c r="H498" s="6" t="n">
        <v>929.0700000000001</v>
      </c>
      <c r="I498" s="7">
        <f>-H498/G498</f>
        <v/>
      </c>
      <c r="J498" s="5" t="n">
        <v>44708</v>
      </c>
      <c r="K498" s="6" t="n">
        <v>-3000</v>
      </c>
      <c r="L498" s="6" t="n">
        <v>0</v>
      </c>
      <c r="M498" s="7">
        <f>IF(N498=0,+L498+H498,0)</f>
        <v/>
      </c>
      <c r="N498" s="7">
        <f>IF((+G498-K498)=0,0,+G498-K498)</f>
        <v/>
      </c>
      <c r="O498" s="7">
        <f>IF(N498=0,0,(L498+H498)/-N498)</f>
        <v/>
      </c>
      <c r="P498" s="7">
        <f>VLOOKUP(OPERAC[[#This Row],[especie]],[1]!ESPECIES[#All],6,0)</f>
        <v/>
      </c>
      <c r="Q498" s="7">
        <f>IF(N498&lt;&gt;0,P498*N498,0)</f>
        <v/>
      </c>
      <c r="R498" s="8">
        <f>IF(Q498&lt;&gt;0,Q498+H498+L498,0)</f>
        <v/>
      </c>
      <c r="S498" s="9">
        <f>VLOOKUP(OPERAC[[#This Row],[especie]],[1]!ESPECIES[#Data],9,FALSE)</f>
        <v/>
      </c>
    </row>
    <row r="499">
      <c r="A499" s="4" t="n">
        <v>12619</v>
      </c>
      <c r="B499" s="5" t="n">
        <v>44441</v>
      </c>
      <c r="C499" s="13" t="inlineStr">
        <is>
          <t>VTA</t>
        </is>
      </c>
      <c r="D499" s="13" t="n">
        <v>39</v>
      </c>
      <c r="E499" s="10">
        <f>IF(D499&gt;0,VLOOKUP(OPERAC[[#This Row],[COD CART]],[1]!MatrizCortoLargoCyl[#All],3,0),"")</f>
        <v/>
      </c>
      <c r="F499" s="13" t="inlineStr">
        <is>
          <t>DDD/V/15,00/20-01-23</t>
        </is>
      </c>
      <c r="G499" s="6" t="n">
        <v>-500</v>
      </c>
      <c r="H499" s="6" t="n">
        <v>919.8235</v>
      </c>
      <c r="I499" s="7">
        <f>-H499/G499</f>
        <v/>
      </c>
      <c r="J499" s="11" t="n">
        <v>44582</v>
      </c>
      <c r="K499" s="6" t="n">
        <v>-500</v>
      </c>
      <c r="L499" s="6">
        <f>-OPERAC[[#This Row],[importe]]</f>
        <v/>
      </c>
      <c r="M499" s="7">
        <f>IF(N499=0,+L499+H499,0)</f>
        <v/>
      </c>
      <c r="N499" s="7">
        <f>IF((+G499-K499)=0,0,+G499-K499)</f>
        <v/>
      </c>
      <c r="O499" s="7">
        <f>IF(N499=0,0,(L499+H499)/-N499)</f>
        <v/>
      </c>
      <c r="P499" s="7">
        <f>VLOOKUP(OPERAC[[#This Row],[especie]],[1]!ESPECIES[#All],6,0)</f>
        <v/>
      </c>
      <c r="Q499" s="7">
        <f>IF(N499&lt;&gt;0,P499*N499,0)</f>
        <v/>
      </c>
      <c r="R499" s="8">
        <f>IF(Q499&lt;&gt;0,Q499+H499+L499,0)</f>
        <v/>
      </c>
      <c r="S499" s="9">
        <f>VLOOKUP(OPERAC[[#This Row],[especie]],[1]!ESPECIES[#Data],9,FALSE)</f>
        <v/>
      </c>
    </row>
    <row r="500">
      <c r="A500" s="4" t="n">
        <v>3835</v>
      </c>
      <c r="B500" s="5" t="n">
        <v>44707</v>
      </c>
      <c r="C500" s="13" t="inlineStr">
        <is>
          <t>VTA</t>
        </is>
      </c>
      <c r="D500" s="13" t="n">
        <v>39</v>
      </c>
      <c r="E500" s="10">
        <f>IF(D500&gt;0,VLOOKUP(OPERAC[[#This Row],[COD CART]],[1]!MatrizCortoLargoCyl[#All],3,0),"")</f>
        <v/>
      </c>
      <c r="F500" s="13" t="inlineStr">
        <is>
          <t>TSLA/P/615,00/27-05-22</t>
        </is>
      </c>
      <c r="G500" s="6" t="n">
        <v>-1000</v>
      </c>
      <c r="H500" s="6" t="n">
        <v>919.08</v>
      </c>
      <c r="I500" s="7">
        <f>-H500/G500</f>
        <v/>
      </c>
      <c r="J500" s="5" t="n">
        <v>44708</v>
      </c>
      <c r="K500" s="6" t="n">
        <v>-1000</v>
      </c>
      <c r="L500" s="6" t="n">
        <v>0</v>
      </c>
      <c r="M500" s="7">
        <f>IF(N500=0,+L500+H500,0)</f>
        <v/>
      </c>
      <c r="N500" s="7">
        <f>IF((+G500-K500)=0,0,+G500-K500)</f>
        <v/>
      </c>
      <c r="O500" s="7">
        <f>IF(N500=0,0,(L500+H500)/-N500)</f>
        <v/>
      </c>
      <c r="P500" s="7">
        <f>VLOOKUP(OPERAC[[#This Row],[especie]],[1]!ESPECIES[#All],6,0)</f>
        <v/>
      </c>
      <c r="Q500" s="7">
        <f>IF(N500&lt;&gt;0,P500*N500,0)</f>
        <v/>
      </c>
      <c r="R500" s="8">
        <f>IF(Q500&lt;&gt;0,Q500+H500+L500,0)</f>
        <v/>
      </c>
      <c r="S500" s="9">
        <f>VLOOKUP(OPERAC[[#This Row],[especie]],[1]!ESPECIES[#Data],9,FALSE)</f>
        <v/>
      </c>
    </row>
    <row r="501">
      <c r="A501" s="4" t="n">
        <v>3728</v>
      </c>
      <c r="B501" s="5" t="n">
        <v>44658</v>
      </c>
      <c r="C501" s="13" t="inlineStr">
        <is>
          <t>VTA</t>
        </is>
      </c>
      <c r="D501" s="13" t="n">
        <v>39</v>
      </c>
      <c r="E501" s="10">
        <f>IF(D501&gt;0,VLOOKUP(OPERAC[[#This Row],[COD CART]],[1]!MatrizCortoLargoCyl[#All],3,0),"")</f>
        <v/>
      </c>
      <c r="F501" s="13" t="inlineStr">
        <is>
          <t>TSLA/V/950,00/08-04-22</t>
        </is>
      </c>
      <c r="G501" s="6">
        <f>-1000+100</f>
        <v/>
      </c>
      <c r="H501" s="6">
        <f>996.28-80.7</f>
        <v/>
      </c>
      <c r="I501" s="7">
        <f>-H501/G501</f>
        <v/>
      </c>
      <c r="J501" s="11" t="n">
        <v>44659</v>
      </c>
      <c r="K501" s="6">
        <f>+OPERAC[[#This Row],[cantidad]]</f>
        <v/>
      </c>
      <c r="L501" s="6" t="n">
        <v>0</v>
      </c>
      <c r="M501" s="7">
        <f>IF(N501=0,+L501+H501,0)</f>
        <v/>
      </c>
      <c r="N501" s="7">
        <f>IF((+G501-K501)=0,0,+G501-K501)</f>
        <v/>
      </c>
      <c r="O501" s="7">
        <f>IF(N501=0,0,(L501+H501)/-N501)</f>
        <v/>
      </c>
      <c r="P501" s="7">
        <f>VLOOKUP(OPERAC[[#This Row],[especie]],[1]!ESPECIES[#All],6,0)</f>
        <v/>
      </c>
      <c r="Q501" s="7">
        <f>IF(N501&lt;&gt;0,P501*N501,0)</f>
        <v/>
      </c>
      <c r="R501" s="8">
        <f>IF(Q501&lt;&gt;0,Q501+H501+L501,0)</f>
        <v/>
      </c>
      <c r="S501" s="9">
        <f>VLOOKUP(OPERAC[[#This Row],[especie]],[1]!ESPECIES[#Data],9,FALSE)</f>
        <v/>
      </c>
    </row>
    <row r="502">
      <c r="A502" s="4" t="n">
        <v>19878</v>
      </c>
      <c r="B502" s="5" t="n">
        <v>44596</v>
      </c>
      <c r="C502" s="13" t="inlineStr">
        <is>
          <t>VTA</t>
        </is>
      </c>
      <c r="D502" s="13" t="n">
        <v>39</v>
      </c>
      <c r="E502" s="10">
        <f>IF(D502&gt;0,VLOOKUP(OPERAC[[#This Row],[COD CART]],[1]!MatrizCortoLargoCyl[#All],3,0),"")</f>
        <v/>
      </c>
      <c r="F502" s="13" t="inlineStr">
        <is>
          <t>SMH/V/260,00/11-02-22</t>
        </is>
      </c>
      <c r="G502" s="6" t="n">
        <v>-300</v>
      </c>
      <c r="H502" s="6" t="n">
        <v>902.5889999999999</v>
      </c>
      <c r="I502" s="7">
        <f>-H502/G502</f>
        <v/>
      </c>
      <c r="J502" s="11" t="n">
        <v>44603</v>
      </c>
      <c r="K502" s="6" t="n">
        <v>-300</v>
      </c>
      <c r="L502" s="6">
        <f>-0.1*300</f>
        <v/>
      </c>
      <c r="M502" s="7">
        <f>IF(N502=0,+L502+H502,0)</f>
        <v/>
      </c>
      <c r="N502" s="7">
        <f>IF((+G502-K502)=0,0,+G502-K502)</f>
        <v/>
      </c>
      <c r="O502" s="7">
        <f>IF(N502=0,0,(L502+H502)/-N502)</f>
        <v/>
      </c>
      <c r="P502" s="7">
        <f>VLOOKUP(OPERAC[[#This Row],[especie]],[1]!ESPECIES[#All],6,0)</f>
        <v/>
      </c>
      <c r="Q502" s="7">
        <f>IF(N502&lt;&gt;0,P502*N502,0)</f>
        <v/>
      </c>
      <c r="R502" s="8">
        <f>IF(Q502&lt;&gt;0,Q502+H502+L502,0)</f>
        <v/>
      </c>
      <c r="S502" s="9">
        <f>VLOOKUP(OPERAC[[#This Row],[especie]],[1]!ESPECIES[#Data],9,FALSE)</f>
        <v/>
      </c>
    </row>
    <row r="503">
      <c r="A503" s="4" t="n">
        <v>18663</v>
      </c>
      <c r="B503" s="5" t="n">
        <v>44237</v>
      </c>
      <c r="C503" s="13" t="inlineStr">
        <is>
          <t>VTA</t>
        </is>
      </c>
      <c r="D503" s="13" t="n">
        <v>41</v>
      </c>
      <c r="E503" s="10">
        <f>IF(D503&gt;0,VLOOKUP(OPERAC[[#This Row],[COD CART]],[1]!MatrizCortoLargoCyl[#All],3,0),"")</f>
        <v/>
      </c>
      <c r="F503" s="13" t="inlineStr">
        <is>
          <t>ACB/V/15,00/20-01-23</t>
        </is>
      </c>
      <c r="G503" s="6" t="n">
        <v>-100</v>
      </c>
      <c r="H503" s="6" t="n">
        <v>900</v>
      </c>
      <c r="I503" s="7">
        <f>-H503/G503</f>
        <v/>
      </c>
      <c r="J503" s="11" t="n"/>
      <c r="K503" s="6" t="n"/>
      <c r="L503" s="6" t="n"/>
      <c r="M503" s="7">
        <f>IF(N503=0,+L503+H503,0)</f>
        <v/>
      </c>
      <c r="N503" s="7">
        <f>IF((+G503-K503)=0,0,+G503-K503)</f>
        <v/>
      </c>
      <c r="O503" s="7">
        <f>IF(N503=0,0,(L503+H503)/-N503)</f>
        <v/>
      </c>
      <c r="P503" s="7">
        <f>VLOOKUP(OPERAC[[#This Row],[especie]],[1]!ESPECIES[#All],6,0)</f>
        <v/>
      </c>
      <c r="Q503" s="7">
        <f>IF(N503&lt;&gt;0,P503*N503,0)</f>
        <v/>
      </c>
      <c r="R503" s="8">
        <f>IF(Q503&lt;&gt;0,Q503+H503+L503,0)</f>
        <v/>
      </c>
      <c r="S503" s="9">
        <f>VLOOKUP(OPERAC[[#This Row],[especie]],[1]!ESPECIES[#Data],9,FALSE)</f>
        <v/>
      </c>
    </row>
    <row r="504">
      <c r="A504" s="4" t="n">
        <v>1792</v>
      </c>
      <c r="B504" s="5" t="n">
        <v>44571</v>
      </c>
      <c r="C504" s="13" t="inlineStr">
        <is>
          <t>VTA</t>
        </is>
      </c>
      <c r="D504" s="13" t="n">
        <v>39</v>
      </c>
      <c r="E504" s="10">
        <f>IF(D504&gt;0,VLOOKUP(OPERAC[[#This Row],[COD CART]],[1]!MatrizCortoLargoCyl[#All],3,0),"")</f>
        <v/>
      </c>
      <c r="F504" s="13" t="inlineStr">
        <is>
          <t>MELI/V/850,00/14-01-22</t>
        </is>
      </c>
      <c r="G504" s="6" t="n">
        <v>-200</v>
      </c>
      <c r="H504" s="6" t="n">
        <v>892.8</v>
      </c>
      <c r="I504" s="7">
        <f>-H504/G504</f>
        <v/>
      </c>
      <c r="J504" s="11" t="n">
        <v>44572</v>
      </c>
      <c r="K504" s="6" t="n">
        <v>-200</v>
      </c>
      <c r="L504" s="6" t="n">
        <v>-100.704</v>
      </c>
      <c r="M504" s="7">
        <f>IF(N504=0,+L504+H504,0)</f>
        <v/>
      </c>
      <c r="N504" s="7">
        <f>IF((+G504-K504)=0,0,+G504-K504)</f>
        <v/>
      </c>
      <c r="O504" s="7">
        <f>IF(N504=0,0,(L504+H504)/-N504)</f>
        <v/>
      </c>
      <c r="P504" s="7">
        <f>VLOOKUP(OPERAC[[#This Row],[especie]],[1]!ESPECIES[#All],6,0)</f>
        <v/>
      </c>
      <c r="Q504" s="7">
        <f>IF(N504&lt;&gt;0,P504*N504,0)</f>
        <v/>
      </c>
      <c r="R504" s="8">
        <f>IF(Q504&lt;&gt;0,Q504+H504+L504,0)</f>
        <v/>
      </c>
      <c r="S504" s="9">
        <f>VLOOKUP(OPERAC[[#This Row],[especie]],[1]!ESPECIES[#Data],9,FALSE)</f>
        <v/>
      </c>
    </row>
    <row r="505">
      <c r="A505" s="4" t="n">
        <v>16786</v>
      </c>
      <c r="B505" s="5" t="n">
        <v>44676</v>
      </c>
      <c r="C505" s="13" t="inlineStr">
        <is>
          <t>VTA</t>
        </is>
      </c>
      <c r="D505" s="13" t="n">
        <v>39</v>
      </c>
      <c r="E505" s="10">
        <f>IF(D505&gt;0,VLOOKUP(OPERAC[[#This Row],[COD CART]],[1]!MatrizCortoLargoCyl[#All],3,0),"")</f>
        <v/>
      </c>
      <c r="F505" s="13" t="inlineStr">
        <is>
          <t>UPST/V/67,00/06-05-22</t>
        </is>
      </c>
      <c r="G505" s="6" t="n">
        <v>-400</v>
      </c>
      <c r="H505" s="6" t="n">
        <v>892.35</v>
      </c>
      <c r="I505" s="7">
        <f>-H505/G505</f>
        <v/>
      </c>
      <c r="J505" s="11" t="n">
        <v>44687</v>
      </c>
      <c r="K505" s="6">
        <f>OPERAC[[#This Row],[cantidad]]</f>
        <v/>
      </c>
      <c r="L505" s="6" t="n">
        <v>0</v>
      </c>
      <c r="M505" s="7">
        <f>IF(N505=0,+L505+H505,0)</f>
        <v/>
      </c>
      <c r="N505" s="7">
        <f>IF((+G505-K505)=0,0,+G505-K505)</f>
        <v/>
      </c>
      <c r="O505" s="7">
        <f>IF(N505=0,0,(L505+H505)/-N505)</f>
        <v/>
      </c>
      <c r="P505" s="7">
        <f>VLOOKUP(OPERAC[[#This Row],[especie]],[1]!ESPECIES[#All],6,0)</f>
        <v/>
      </c>
      <c r="Q505" s="7">
        <f>IF(N505&lt;&gt;0,P505*N505,0)</f>
        <v/>
      </c>
      <c r="R505" s="8">
        <f>IF(Q505&lt;&gt;0,Q505+H505+L505,0)</f>
        <v/>
      </c>
      <c r="S505" s="9">
        <f>VLOOKUP(OPERAC[[#This Row],[especie]],[1]!ESPECIES[#Data],9,FALSE)</f>
        <v/>
      </c>
    </row>
    <row r="506">
      <c r="A506" s="4" t="n">
        <v>19878</v>
      </c>
      <c r="B506" s="5" t="n">
        <v>44307</v>
      </c>
      <c r="C506" s="13" t="inlineStr">
        <is>
          <t>VTA</t>
        </is>
      </c>
      <c r="D506" s="13" t="n">
        <v>39</v>
      </c>
      <c r="E506" s="10">
        <f>IF(D506&gt;0,VLOOKUP(OPERAC[[#This Row],[COD CART]],[1]!MatrizCortoLargoCyl[#All],3,0),"")</f>
        <v/>
      </c>
      <c r="F506" s="13" t="inlineStr">
        <is>
          <t>ACB/V/15,00/20-01-23</t>
        </is>
      </c>
      <c r="G506" s="6" t="n">
        <v>-100</v>
      </c>
      <c r="H506" s="6" t="n">
        <v>890</v>
      </c>
      <c r="I506" s="7">
        <f>-H506/G506</f>
        <v/>
      </c>
      <c r="J506" s="11" t="n">
        <v>44614</v>
      </c>
      <c r="K506" s="6" t="n">
        <v>-100</v>
      </c>
      <c r="L506" s="6" t="n">
        <v>-890</v>
      </c>
      <c r="M506" s="7">
        <f>IF(N506=0,+L506+H506,0)</f>
        <v/>
      </c>
      <c r="N506" s="7">
        <f>IF((+G506-K506)=0,0,+G506-K506)</f>
        <v/>
      </c>
      <c r="O506" s="7">
        <f>IF(N506=0,0,(L506+H506)/-N506)</f>
        <v/>
      </c>
      <c r="P506" s="7">
        <f>VLOOKUP(OPERAC[[#This Row],[especie]],[1]!ESPECIES[#All],6,0)</f>
        <v/>
      </c>
      <c r="Q506" s="7">
        <f>IF(N506&lt;&gt;0,P506*N506,0)</f>
        <v/>
      </c>
      <c r="R506" s="8">
        <f>IF(Q506&lt;&gt;0,Q506+H506+L506,0)</f>
        <v/>
      </c>
      <c r="S506" s="9">
        <f>VLOOKUP(OPERAC[[#This Row],[especie]],[1]!ESPECIES[#Data],9,FALSE)</f>
        <v/>
      </c>
    </row>
    <row r="507">
      <c r="A507" s="4" t="n">
        <v>18705</v>
      </c>
      <c r="B507" s="5" t="n">
        <v>44657</v>
      </c>
      <c r="C507" s="13" t="inlineStr">
        <is>
          <t>VTA</t>
        </is>
      </c>
      <c r="D507" s="13" t="n">
        <v>39</v>
      </c>
      <c r="E507" s="10">
        <f>IF(D507&gt;0,VLOOKUP(OPERAC[[#This Row],[COD CART]],[1]!MatrizCortoLargoCyl[#All],3,0),"")</f>
        <v/>
      </c>
      <c r="F507" s="13" t="inlineStr">
        <is>
          <t>TSLA/V/850,00/14-04-22</t>
        </is>
      </c>
      <c r="G507" s="6" t="n">
        <v>-700</v>
      </c>
      <c r="H507" s="6" t="n">
        <v>886.112</v>
      </c>
      <c r="I507" s="7">
        <f>-H507/G507</f>
        <v/>
      </c>
      <c r="J507" s="11" t="n">
        <v>44665</v>
      </c>
      <c r="K507" s="6" t="n">
        <v>-700</v>
      </c>
      <c r="L507" s="6" t="n">
        <v>0</v>
      </c>
      <c r="M507" s="7">
        <f>IF(N507=0,+L507+H507,0)</f>
        <v/>
      </c>
      <c r="N507" s="7">
        <f>IF((+G507-K507)=0,0,+G507-K507)</f>
        <v/>
      </c>
      <c r="O507" s="7">
        <f>IF(N507=0,0,(L507+H507)/-N507)</f>
        <v/>
      </c>
      <c r="P507" s="7">
        <f>VLOOKUP(OPERAC[[#This Row],[especie]],[1]!ESPECIES[#All],6,0)</f>
        <v/>
      </c>
      <c r="Q507" s="7">
        <f>IF(N507&lt;&gt;0,P507*N507,0)</f>
        <v/>
      </c>
      <c r="R507" s="8">
        <f>IF(Q507&lt;&gt;0,Q507+H507+L507,0)</f>
        <v/>
      </c>
      <c r="S507" s="9">
        <f>VLOOKUP(OPERAC[[#This Row],[especie]],[1]!ESPECIES[#Data],9,FALSE)</f>
        <v/>
      </c>
    </row>
    <row r="508">
      <c r="A508" s="4" t="n">
        <v>1760</v>
      </c>
      <c r="B508" s="5" t="n">
        <v>44609</v>
      </c>
      <c r="C508" s="13" t="inlineStr">
        <is>
          <t>VTA</t>
        </is>
      </c>
      <c r="D508" s="13" t="n">
        <v>39</v>
      </c>
      <c r="E508" s="10">
        <f>IF(D508&gt;0,VLOOKUP(OPERAC[[#This Row],[COD CART]],[1]!MatrizCortoLargoCyl[#All],3,0),"")</f>
        <v/>
      </c>
      <c r="F508" s="13" t="inlineStr">
        <is>
          <t>ROKU/V/100,00/18-02-22</t>
        </is>
      </c>
      <c r="G508" s="6" t="n">
        <v>-2000</v>
      </c>
      <c r="H508" s="6" t="n">
        <v>881.86</v>
      </c>
      <c r="I508" s="7">
        <f>-H508/G508</f>
        <v/>
      </c>
      <c r="J508" s="11" t="n">
        <v>44610</v>
      </c>
      <c r="K508" s="6" t="n">
        <v>-2000</v>
      </c>
      <c r="L508" s="6" t="n">
        <v>-1636.58</v>
      </c>
      <c r="M508" s="7">
        <f>IF(N508=0,+L508+H508,0)</f>
        <v/>
      </c>
      <c r="N508" s="7">
        <f>IF((+G508-K508)=0,0,+G508-K508)</f>
        <v/>
      </c>
      <c r="O508" s="7">
        <f>IF(N508=0,0,(L508+H508)/-N508)</f>
        <v/>
      </c>
      <c r="P508" s="7">
        <f>VLOOKUP(OPERAC[[#This Row],[especie]],[1]!ESPECIES[#All],6,0)</f>
        <v/>
      </c>
      <c r="Q508" s="7">
        <f>IF(N508&lt;&gt;0,P508*N508,0)</f>
        <v/>
      </c>
      <c r="R508" s="8">
        <f>IF(Q508&lt;&gt;0,Q508+H508+L508,0)</f>
        <v/>
      </c>
      <c r="S508" s="9">
        <f>VLOOKUP(OPERAC[[#This Row],[especie]],[1]!ESPECIES[#Data],9,FALSE)</f>
        <v/>
      </c>
    </row>
    <row r="509">
      <c r="A509" s="4" t="n">
        <v>16780</v>
      </c>
      <c r="B509" s="5" t="n">
        <v>44340</v>
      </c>
      <c r="C509" s="13" t="inlineStr">
        <is>
          <t>VTA</t>
        </is>
      </c>
      <c r="D509" s="13" t="n">
        <v>39</v>
      </c>
      <c r="E509" s="10">
        <f>IF(D509&gt;0,VLOOKUP(OPERAC[[#This Row],[COD CART]],[1]!MatrizCortoLargoCyl[#All],3,0),"")</f>
        <v/>
      </c>
      <c r="F509" s="13" t="inlineStr">
        <is>
          <t>SOLO/V/3,50/21-01-22</t>
        </is>
      </c>
      <c r="G509" s="6" t="n">
        <v>-800</v>
      </c>
      <c r="H509" s="6" t="n">
        <v>876.6839999999999</v>
      </c>
      <c r="I509" s="7">
        <f>-H509/G509</f>
        <v/>
      </c>
      <c r="J509" s="11" t="n">
        <v>44579</v>
      </c>
      <c r="K509" s="6">
        <f>+OPERAC[[#This Row],[cantidad]]</f>
        <v/>
      </c>
      <c r="L509" s="6">
        <f>-OPERAC[[#This Row],[importe]]</f>
        <v/>
      </c>
      <c r="M509" s="7">
        <f>IF(N509=0,+L509+H509,0)</f>
        <v/>
      </c>
      <c r="N509" s="7">
        <f>IF((+G509-K509)=0,0,+G509-K509)</f>
        <v/>
      </c>
      <c r="O509" s="7">
        <f>IF(N509=0,0,(L509+H509)/-N509)</f>
        <v/>
      </c>
      <c r="P509" s="7">
        <f>VLOOKUP(OPERAC[[#This Row],[especie]],[1]!ESPECIES[#All],6,0)</f>
        <v/>
      </c>
      <c r="Q509" s="7">
        <f>IF(N509&lt;&gt;0,P509*N509,0)</f>
        <v/>
      </c>
      <c r="R509" s="8">
        <f>IF(Q509&lt;&gt;0,Q509+H509+L509,0)</f>
        <v/>
      </c>
      <c r="S509" s="9">
        <f>VLOOKUP(OPERAC[[#This Row],[especie]],[1]!ESPECIES[#Data],9,FALSE)</f>
        <v/>
      </c>
    </row>
    <row r="510">
      <c r="A510" s="4" t="n">
        <v>16795</v>
      </c>
      <c r="B510" s="5" t="n">
        <v>44340</v>
      </c>
      <c r="C510" s="13" t="inlineStr">
        <is>
          <t>VTA</t>
        </is>
      </c>
      <c r="D510" s="13" t="n">
        <v>39</v>
      </c>
      <c r="E510" s="10">
        <f>IF(D510&gt;0,VLOOKUP(OPERAC[[#This Row],[COD CART]],[1]!MatrizCortoLargoCyl[#All],3,0),"")</f>
        <v/>
      </c>
      <c r="F510" s="13" t="inlineStr">
        <is>
          <t>SOLO/V/3,50/21-01-22</t>
        </is>
      </c>
      <c r="G510" s="6" t="n">
        <v>-800</v>
      </c>
      <c r="H510" s="6" t="n">
        <v>876.6839999999999</v>
      </c>
      <c r="I510" s="7">
        <f>-H510/G510</f>
        <v/>
      </c>
      <c r="J510" s="11" t="n">
        <v>44579</v>
      </c>
      <c r="K510" s="6">
        <f>+OPERAC[[#This Row],[cantidad]]</f>
        <v/>
      </c>
      <c r="L510" s="6">
        <f>-OPERAC[[#This Row],[importe]]</f>
        <v/>
      </c>
      <c r="M510" s="7">
        <f>IF(N510=0,+L510+H510,0)</f>
        <v/>
      </c>
      <c r="N510" s="7">
        <f>IF((+G510-K510)=0,0,+G510-K510)</f>
        <v/>
      </c>
      <c r="O510" s="7">
        <f>IF(N510=0,0,(L510+H510)/-N510)</f>
        <v/>
      </c>
      <c r="P510" s="7">
        <f>VLOOKUP(OPERAC[[#This Row],[especie]],[1]!ESPECIES[#All],6,0)</f>
        <v/>
      </c>
      <c r="Q510" s="7">
        <f>IF(N510&lt;&gt;0,P510*N510,0)</f>
        <v/>
      </c>
      <c r="R510" s="8">
        <f>IF(Q510&lt;&gt;0,Q510+H510+L510,0)</f>
        <v/>
      </c>
      <c r="S510" s="9">
        <f>VLOOKUP(OPERAC[[#This Row],[especie]],[1]!ESPECIES[#Data],9,FALSE)</f>
        <v/>
      </c>
    </row>
    <row r="511">
      <c r="A511" s="4" t="n">
        <v>2218</v>
      </c>
      <c r="B511" s="5" t="n">
        <v>44495</v>
      </c>
      <c r="C511" s="13" t="inlineStr">
        <is>
          <t>VTA</t>
        </is>
      </c>
      <c r="D511" s="13" t="n">
        <v>39</v>
      </c>
      <c r="E511" s="10">
        <f>IF(D511&gt;0,VLOOKUP(OPERAC[[#This Row],[COD CART]],[1]!MatrizCortoLargoCyl[#All],3,0),"")</f>
        <v/>
      </c>
      <c r="F511" s="13" t="inlineStr">
        <is>
          <t>TLRY/V/11,00/21-01-22</t>
        </is>
      </c>
      <c r="G511" s="6" t="n">
        <v>-500</v>
      </c>
      <c r="H511" s="6" t="n">
        <v>869.225</v>
      </c>
      <c r="I511" s="7">
        <f>-H511/G511</f>
        <v/>
      </c>
      <c r="J511" s="11" t="n">
        <v>44571</v>
      </c>
      <c r="K511" s="6">
        <f>+OPERAC[[#This Row],[cantidad]]</f>
        <v/>
      </c>
      <c r="L511" s="6">
        <f>-OPERAC[[#This Row],[importe]]</f>
        <v/>
      </c>
      <c r="M511" s="7">
        <f>IF(N511=0,+L511+H511,0)</f>
        <v/>
      </c>
      <c r="N511" s="7">
        <f>IF((+G511-K511)=0,0,+G511-K511)</f>
        <v/>
      </c>
      <c r="O511" s="7">
        <f>IF(N511=0,0,(L511+H511)/-N511)</f>
        <v/>
      </c>
      <c r="P511" s="7">
        <f>VLOOKUP(OPERAC[[#This Row],[especie]],[1]!ESPECIES[#All],6,0)</f>
        <v/>
      </c>
      <c r="Q511" s="7">
        <f>IF(N511&lt;&gt;0,P511*N511,0)</f>
        <v/>
      </c>
      <c r="R511" s="8">
        <f>IF(Q511&lt;&gt;0,Q511+H511+L511,0)</f>
        <v/>
      </c>
      <c r="S511" s="9">
        <f>VLOOKUP(OPERAC[[#This Row],[especie]],[1]!ESPECIES[#Data],9,FALSE)</f>
        <v/>
      </c>
    </row>
    <row r="512">
      <c r="A512" s="4" t="n">
        <v>7914</v>
      </c>
      <c r="B512" s="5" t="n">
        <v>44495</v>
      </c>
      <c r="C512" s="13" t="inlineStr">
        <is>
          <t>VTA</t>
        </is>
      </c>
      <c r="D512" s="13" t="n">
        <v>39</v>
      </c>
      <c r="E512" s="10">
        <f>IF(D512&gt;0,VLOOKUP(OPERAC[[#This Row],[COD CART]],[1]!MatrizCortoLargoCyl[#All],3,0),"")</f>
        <v/>
      </c>
      <c r="F512" s="13" t="inlineStr">
        <is>
          <t>TLRY/V/11,00/21-01-22</t>
        </is>
      </c>
      <c r="G512" s="6" t="n">
        <v>-500</v>
      </c>
      <c r="H512" s="6" t="n">
        <v>863.1</v>
      </c>
      <c r="I512" s="7">
        <f>-H512/G512</f>
        <v/>
      </c>
      <c r="J512" s="11" t="n">
        <v>44571</v>
      </c>
      <c r="K512" s="6">
        <f>+OPERAC[[#This Row],[cantidad]]</f>
        <v/>
      </c>
      <c r="L512" s="6">
        <f>-OPERAC[[#This Row],[importe]]</f>
        <v/>
      </c>
      <c r="M512" s="7">
        <f>IF(N512=0,+L512+H512,0)</f>
        <v/>
      </c>
      <c r="N512" s="7">
        <f>IF((+G512-K512)=0,0,+G512-K512)</f>
        <v/>
      </c>
      <c r="O512" s="7">
        <f>IF(N512=0,0,(L512+H512)/-N512)</f>
        <v/>
      </c>
      <c r="P512" s="7">
        <f>VLOOKUP(OPERAC[[#This Row],[especie]],[1]!ESPECIES[#All],6,0)</f>
        <v/>
      </c>
      <c r="Q512" s="7">
        <f>IF(N512&lt;&gt;0,P512*N512,0)</f>
        <v/>
      </c>
      <c r="R512" s="8">
        <f>IF(Q512&lt;&gt;0,Q512+H512+L512,0)</f>
        <v/>
      </c>
      <c r="S512" s="9">
        <f>VLOOKUP(OPERAC[[#This Row],[especie]],[1]!ESPECIES[#Data],9,FALSE)</f>
        <v/>
      </c>
    </row>
    <row r="513">
      <c r="A513" s="4" t="n">
        <v>12652</v>
      </c>
      <c r="B513" s="5" t="n">
        <v>44495</v>
      </c>
      <c r="C513" s="13" t="inlineStr">
        <is>
          <t>VTA</t>
        </is>
      </c>
      <c r="D513" s="13" t="n">
        <v>39</v>
      </c>
      <c r="E513" s="10">
        <f>IF(D513&gt;0,VLOOKUP(OPERAC[[#This Row],[COD CART]],[1]!MatrizCortoLargoCyl[#All],3,0),"")</f>
        <v/>
      </c>
      <c r="F513" s="13" t="inlineStr">
        <is>
          <t>TLRY/V/11,00/21-01-22</t>
        </is>
      </c>
      <c r="G513" s="6" t="n">
        <v>-500</v>
      </c>
      <c r="H513" s="6" t="n">
        <v>863.1</v>
      </c>
      <c r="I513" s="7">
        <f>-H513/G513</f>
        <v/>
      </c>
      <c r="J513" s="11" t="n">
        <v>44571</v>
      </c>
      <c r="K513" s="6">
        <f>+OPERAC[[#This Row],[cantidad]]</f>
        <v/>
      </c>
      <c r="L513" s="6">
        <f>-OPERAC[[#This Row],[importe]]</f>
        <v/>
      </c>
      <c r="M513" s="7">
        <f>IF(N513=0,+L513+H513,0)</f>
        <v/>
      </c>
      <c r="N513" s="7">
        <f>IF((+G513-K513)=0,0,+G513-K513)</f>
        <v/>
      </c>
      <c r="O513" s="7">
        <f>IF(N513=0,0,(L513+H513)/-N513)</f>
        <v/>
      </c>
      <c r="P513" s="7">
        <f>VLOOKUP(OPERAC[[#This Row],[especie]],[1]!ESPECIES[#All],6,0)</f>
        <v/>
      </c>
      <c r="Q513" s="7">
        <f>IF(N513&lt;&gt;0,P513*N513,0)</f>
        <v/>
      </c>
      <c r="R513" s="8">
        <f>IF(Q513&lt;&gt;0,Q513+H513+L513,0)</f>
        <v/>
      </c>
      <c r="S513" s="9">
        <f>VLOOKUP(OPERAC[[#This Row],[especie]],[1]!ESPECIES[#Data],9,FALSE)</f>
        <v/>
      </c>
    </row>
    <row r="514">
      <c r="A514" s="4" t="n">
        <v>12655</v>
      </c>
      <c r="B514" s="5" t="n">
        <v>44495</v>
      </c>
      <c r="C514" s="13" t="inlineStr">
        <is>
          <t>VTA</t>
        </is>
      </c>
      <c r="D514" s="13" t="n">
        <v>39</v>
      </c>
      <c r="E514" s="10">
        <f>IF(D514&gt;0,VLOOKUP(OPERAC[[#This Row],[COD CART]],[1]!MatrizCortoLargoCyl[#All],3,0),"")</f>
        <v/>
      </c>
      <c r="F514" s="13" t="inlineStr">
        <is>
          <t>TLRY/V/11,00/21-01-22</t>
        </is>
      </c>
      <c r="G514" s="6" t="n">
        <v>-500</v>
      </c>
      <c r="H514" s="6" t="n">
        <v>863.1</v>
      </c>
      <c r="I514" s="7">
        <f>-H514/G514</f>
        <v/>
      </c>
      <c r="J514" s="11" t="n">
        <v>44571</v>
      </c>
      <c r="K514" s="6">
        <f>+OPERAC[[#This Row],[cantidad]]</f>
        <v/>
      </c>
      <c r="L514" s="6">
        <f>-OPERAC[[#This Row],[importe]]</f>
        <v/>
      </c>
      <c r="M514" s="7">
        <f>IF(N514=0,+L514+H514,0)</f>
        <v/>
      </c>
      <c r="N514" s="7">
        <f>IF((+G514-K514)=0,0,+G514-K514)</f>
        <v/>
      </c>
      <c r="O514" s="7">
        <f>IF(N514=0,0,(L514+H514)/-N514)</f>
        <v/>
      </c>
      <c r="P514" s="7">
        <f>VLOOKUP(OPERAC[[#This Row],[especie]],[1]!ESPECIES[#All],6,0)</f>
        <v/>
      </c>
      <c r="Q514" s="7">
        <f>IF(N514&lt;&gt;0,P514*N514,0)</f>
        <v/>
      </c>
      <c r="R514" s="8">
        <f>IF(Q514&lt;&gt;0,Q514+H514+L514,0)</f>
        <v/>
      </c>
      <c r="S514" s="9">
        <f>VLOOKUP(OPERAC[[#This Row],[especie]],[1]!ESPECIES[#Data],9,FALSE)</f>
        <v/>
      </c>
    </row>
    <row r="515">
      <c r="A515" s="4" t="n">
        <v>12671</v>
      </c>
      <c r="B515" s="5" t="n">
        <v>44495</v>
      </c>
      <c r="C515" s="13" t="inlineStr">
        <is>
          <t>VTA</t>
        </is>
      </c>
      <c r="D515" s="13" t="n">
        <v>39</v>
      </c>
      <c r="E515" s="10">
        <f>IF(D515&gt;0,VLOOKUP(OPERAC[[#This Row],[COD CART]],[1]!MatrizCortoLargoCyl[#All],3,0),"")</f>
        <v/>
      </c>
      <c r="F515" s="13" t="inlineStr">
        <is>
          <t>TLRY/V/11,00/21-01-22</t>
        </is>
      </c>
      <c r="G515" s="6" t="n">
        <v>-500</v>
      </c>
      <c r="H515" s="6" t="n">
        <v>863.1</v>
      </c>
      <c r="I515" s="7">
        <f>-H515/G515</f>
        <v/>
      </c>
      <c r="J515" s="11" t="n">
        <v>44571</v>
      </c>
      <c r="K515" s="6">
        <f>+OPERAC[[#This Row],[cantidad]]</f>
        <v/>
      </c>
      <c r="L515" s="6">
        <f>-OPERAC[[#This Row],[importe]]</f>
        <v/>
      </c>
      <c r="M515" s="7">
        <f>IF(N515=0,+L515+H515,0)</f>
        <v/>
      </c>
      <c r="N515" s="7">
        <f>IF((+G515-K515)=0,0,+G515-K515)</f>
        <v/>
      </c>
      <c r="O515" s="7">
        <f>IF(N515=0,0,(L515+H515)/-N515)</f>
        <v/>
      </c>
      <c r="P515" s="7">
        <f>VLOOKUP(OPERAC[[#This Row],[especie]],[1]!ESPECIES[#All],6,0)</f>
        <v/>
      </c>
      <c r="Q515" s="7">
        <f>IF(N515&lt;&gt;0,P515*N515,0)</f>
        <v/>
      </c>
      <c r="R515" s="8">
        <f>IF(Q515&lt;&gt;0,Q515+H515+L515,0)</f>
        <v/>
      </c>
      <c r="S515" s="9">
        <f>VLOOKUP(OPERAC[[#This Row],[especie]],[1]!ESPECIES[#Data],9,FALSE)</f>
        <v/>
      </c>
    </row>
    <row r="516">
      <c r="A516" s="4" t="n">
        <v>12674</v>
      </c>
      <c r="B516" s="5" t="n">
        <v>44495</v>
      </c>
      <c r="C516" s="13" t="inlineStr">
        <is>
          <t>VTA</t>
        </is>
      </c>
      <c r="D516" s="13" t="n">
        <v>39</v>
      </c>
      <c r="E516" s="10">
        <f>IF(D516&gt;0,VLOOKUP(OPERAC[[#This Row],[COD CART]],[1]!MatrizCortoLargoCyl[#All],3,0),"")</f>
        <v/>
      </c>
      <c r="F516" s="13" t="inlineStr">
        <is>
          <t>TLRY/V/11,00/21-01-22</t>
        </is>
      </c>
      <c r="G516" s="6" t="n">
        <v>-500</v>
      </c>
      <c r="H516" s="6" t="n">
        <v>863.1</v>
      </c>
      <c r="I516" s="7">
        <f>-H516/G516</f>
        <v/>
      </c>
      <c r="J516" s="11" t="n">
        <v>44571</v>
      </c>
      <c r="K516" s="6">
        <f>+OPERAC[[#This Row],[cantidad]]</f>
        <v/>
      </c>
      <c r="L516" s="6">
        <f>-OPERAC[[#This Row],[importe]]</f>
        <v/>
      </c>
      <c r="M516" s="7">
        <f>IF(N516=0,+L516+H516,0)</f>
        <v/>
      </c>
      <c r="N516" s="7">
        <f>IF((+G516-K516)=0,0,+G516-K516)</f>
        <v/>
      </c>
      <c r="O516" s="7">
        <f>IF(N516=0,0,(L516+H516)/-N516)</f>
        <v/>
      </c>
      <c r="P516" s="7">
        <f>VLOOKUP(OPERAC[[#This Row],[especie]],[1]!ESPECIES[#All],6,0)</f>
        <v/>
      </c>
      <c r="Q516" s="7">
        <f>IF(N516&lt;&gt;0,P516*N516,0)</f>
        <v/>
      </c>
      <c r="R516" s="8">
        <f>IF(Q516&lt;&gt;0,Q516+H516+L516,0)</f>
        <v/>
      </c>
      <c r="S516" s="9">
        <f>VLOOKUP(OPERAC[[#This Row],[especie]],[1]!ESPECIES[#Data],9,FALSE)</f>
        <v/>
      </c>
    </row>
    <row r="517">
      <c r="A517" s="4" t="n">
        <v>13190</v>
      </c>
      <c r="B517" s="5" t="n">
        <v>44495</v>
      </c>
      <c r="C517" s="13" t="inlineStr">
        <is>
          <t>VTA</t>
        </is>
      </c>
      <c r="D517" s="13" t="n">
        <v>39</v>
      </c>
      <c r="E517" s="10">
        <f>IF(D517&gt;0,VLOOKUP(OPERAC[[#This Row],[COD CART]],[1]!MatrizCortoLargoCyl[#All],3,0),"")</f>
        <v/>
      </c>
      <c r="F517" s="13" t="inlineStr">
        <is>
          <t>TLRY/V/11,00/21-01-22</t>
        </is>
      </c>
      <c r="G517" s="6" t="n">
        <v>-500</v>
      </c>
      <c r="H517" s="6" t="n">
        <v>863.1</v>
      </c>
      <c r="I517" s="7">
        <f>-H517/G517</f>
        <v/>
      </c>
      <c r="J517" s="11" t="n">
        <v>44571</v>
      </c>
      <c r="K517" s="6">
        <f>+OPERAC[[#This Row],[cantidad]]</f>
        <v/>
      </c>
      <c r="L517" s="6">
        <f>-OPERAC[[#This Row],[importe]]</f>
        <v/>
      </c>
      <c r="M517" s="7">
        <f>IF(N517=0,+L517+H517,0)</f>
        <v/>
      </c>
      <c r="N517" s="7">
        <f>IF((+G517-K517)=0,0,+G517-K517)</f>
        <v/>
      </c>
      <c r="O517" s="7">
        <f>IF(N517=0,0,(L517+H517)/-N517)</f>
        <v/>
      </c>
      <c r="P517" s="7">
        <f>VLOOKUP(OPERAC[[#This Row],[especie]],[1]!ESPECIES[#All],6,0)</f>
        <v/>
      </c>
      <c r="Q517" s="7">
        <f>IF(N517&lt;&gt;0,P517*N517,0)</f>
        <v/>
      </c>
      <c r="R517" s="8">
        <f>IF(Q517&lt;&gt;0,Q517+H517+L517,0)</f>
        <v/>
      </c>
      <c r="S517" s="9">
        <f>VLOOKUP(OPERAC[[#This Row],[especie]],[1]!ESPECIES[#Data],9,FALSE)</f>
        <v/>
      </c>
    </row>
    <row r="518">
      <c r="A518" s="4" t="n">
        <v>16795</v>
      </c>
      <c r="B518" s="5" t="n">
        <v>44495</v>
      </c>
      <c r="C518" s="13" t="inlineStr">
        <is>
          <t>VTA</t>
        </is>
      </c>
      <c r="D518" s="13" t="n">
        <v>39</v>
      </c>
      <c r="E518" s="10">
        <f>IF(D518&gt;0,VLOOKUP(OPERAC[[#This Row],[COD CART]],[1]!MatrizCortoLargoCyl[#All],3,0),"")</f>
        <v/>
      </c>
      <c r="F518" s="13" t="inlineStr">
        <is>
          <t>TLRY/V/11,00/21-01-22</t>
        </is>
      </c>
      <c r="G518" s="6" t="n">
        <v>-500</v>
      </c>
      <c r="H518" s="6" t="n">
        <v>863.1</v>
      </c>
      <c r="I518" s="7">
        <f>-H518/G518</f>
        <v/>
      </c>
      <c r="J518" s="11" t="n">
        <v>44571</v>
      </c>
      <c r="K518" s="6">
        <f>+OPERAC[[#This Row],[cantidad]]</f>
        <v/>
      </c>
      <c r="L518" s="6">
        <f>-OPERAC[[#This Row],[importe]]</f>
        <v/>
      </c>
      <c r="M518" s="7">
        <f>IF(N518=0,+L518+H518,0)</f>
        <v/>
      </c>
      <c r="N518" s="7">
        <f>IF((+G518-K518)=0,0,+G518-K518)</f>
        <v/>
      </c>
      <c r="O518" s="7">
        <f>IF(N518=0,0,(L518+H518)/-N518)</f>
        <v/>
      </c>
      <c r="P518" s="7">
        <f>VLOOKUP(OPERAC[[#This Row],[especie]],[1]!ESPECIES[#All],6,0)</f>
        <v/>
      </c>
      <c r="Q518" s="7">
        <f>IF(N518&lt;&gt;0,P518*N518,0)</f>
        <v/>
      </c>
      <c r="R518" s="8">
        <f>IF(Q518&lt;&gt;0,Q518+H518+L518,0)</f>
        <v/>
      </c>
      <c r="S518" s="9">
        <f>VLOOKUP(OPERAC[[#This Row],[especie]],[1]!ESPECIES[#Data],9,FALSE)</f>
        <v/>
      </c>
    </row>
    <row r="519">
      <c r="A519" s="4" t="n">
        <v>15195</v>
      </c>
      <c r="B519" s="5" t="n">
        <v>44495</v>
      </c>
      <c r="C519" s="13" t="inlineStr">
        <is>
          <t>VTA</t>
        </is>
      </c>
      <c r="D519" s="13" t="n">
        <v>39</v>
      </c>
      <c r="E519" s="10">
        <f>IF(D519&gt;0,VLOOKUP(OPERAC[[#This Row],[COD CART]],[1]!MatrizCortoLargoCyl[#All],3,0),"")</f>
        <v/>
      </c>
      <c r="F519" s="13" t="inlineStr">
        <is>
          <t>TLRY/V/11,00/21-01-22</t>
        </is>
      </c>
      <c r="G519" s="6" t="n">
        <v>-500</v>
      </c>
      <c r="H519" s="6" t="n">
        <v>863.1</v>
      </c>
      <c r="I519" s="7">
        <f>-H519/G519</f>
        <v/>
      </c>
      <c r="J519" s="11" t="n">
        <v>44571</v>
      </c>
      <c r="K519" s="6">
        <f>+OPERAC[[#This Row],[cantidad]]</f>
        <v/>
      </c>
      <c r="L519" s="6">
        <f>-OPERAC[[#This Row],[importe]]</f>
        <v/>
      </c>
      <c r="M519" s="7">
        <f>IF(N519=0,+L519+H519,0)</f>
        <v/>
      </c>
      <c r="N519" s="7">
        <f>IF((+G519-K519)=0,0,+G519-K519)</f>
        <v/>
      </c>
      <c r="O519" s="7">
        <f>IF(N519=0,0,(L519+H519)/-N519)</f>
        <v/>
      </c>
      <c r="P519" s="7">
        <f>VLOOKUP(OPERAC[[#This Row],[especie]],[1]!ESPECIES[#All],6,0)</f>
        <v/>
      </c>
      <c r="Q519" s="7">
        <f>IF(N519&lt;&gt;0,P519*N519,0)</f>
        <v/>
      </c>
      <c r="R519" s="8">
        <f>IF(Q519&lt;&gt;0,Q519+H519+L519,0)</f>
        <v/>
      </c>
      <c r="S519" s="9">
        <f>VLOOKUP(OPERAC[[#This Row],[especie]],[1]!ESPECIES[#Data],9,FALSE)</f>
        <v/>
      </c>
    </row>
    <row r="520">
      <c r="A520" s="4" t="n">
        <v>18697</v>
      </c>
      <c r="B520" s="5" t="n">
        <v>44601</v>
      </c>
      <c r="C520" s="13" t="inlineStr">
        <is>
          <t>VTA</t>
        </is>
      </c>
      <c r="D520" s="13" t="n">
        <v>39</v>
      </c>
      <c r="E520" s="10">
        <f>IF(D520&gt;0,VLOOKUP(OPERAC[[#This Row],[COD CART]],[1]!MatrizCortoLargoCyl[#All],3,0),"")</f>
        <v/>
      </c>
      <c r="F520" s="13" t="inlineStr">
        <is>
          <t>TSLA/V/805/18-02-22</t>
        </is>
      </c>
      <c r="G520" s="6" t="n">
        <v>-300</v>
      </c>
      <c r="H520" s="6" t="n">
        <v>860</v>
      </c>
      <c r="I520" s="7">
        <f>-H520/G520</f>
        <v/>
      </c>
      <c r="J520" s="11" t="n">
        <v>44607</v>
      </c>
      <c r="K520" s="6" t="n">
        <v>-300</v>
      </c>
      <c r="L520" s="6" t="n">
        <v>-319.498</v>
      </c>
      <c r="M520" s="7">
        <f>IF(N520=0,+L520+H520,0)</f>
        <v/>
      </c>
      <c r="N520" s="7">
        <f>IF((+G520-K520)=0,0,+G520-K520)</f>
        <v/>
      </c>
      <c r="O520" s="7">
        <f>IF(N520=0,0,(L520+H520)/-N520)</f>
        <v/>
      </c>
      <c r="P520" s="7">
        <f>VLOOKUP(OPERAC[[#This Row],[especie]],[1]!ESPECIES[#All],6,0)</f>
        <v/>
      </c>
      <c r="Q520" s="7">
        <f>IF(N520&lt;&gt;0,P520*N520,0)</f>
        <v/>
      </c>
      <c r="R520" s="8">
        <f>IF(Q520&lt;&gt;0,Q520+H520+L520,0)</f>
        <v/>
      </c>
      <c r="S520" s="9">
        <f>VLOOKUP(OPERAC[[#This Row],[especie]],[1]!ESPECIES[#Data],9,FALSE)</f>
        <v/>
      </c>
    </row>
    <row r="521">
      <c r="A521" s="4" t="n">
        <v>16776</v>
      </c>
      <c r="B521" s="5" t="n">
        <v>44601</v>
      </c>
      <c r="C521" s="13" t="inlineStr">
        <is>
          <t>VTA</t>
        </is>
      </c>
      <c r="D521" s="13" t="n">
        <v>39</v>
      </c>
      <c r="E521" s="10">
        <f>IF(D521&gt;0,VLOOKUP(OPERAC[[#This Row],[COD CART]],[1]!MatrizCortoLargoCyl[#All],3,0),"")</f>
        <v/>
      </c>
      <c r="F521" s="13" t="inlineStr">
        <is>
          <t>TSLA/V/805/18-02-22</t>
        </is>
      </c>
      <c r="G521" s="6" t="n">
        <v>-300</v>
      </c>
      <c r="H521" s="6" t="n">
        <v>860</v>
      </c>
      <c r="I521" s="7">
        <f>-H521/G521</f>
        <v/>
      </c>
      <c r="J521" s="11" t="n">
        <v>44607</v>
      </c>
      <c r="K521" s="6" t="n">
        <v>-300</v>
      </c>
      <c r="L521" s="6" t="n">
        <v>-319.498</v>
      </c>
      <c r="M521" s="7">
        <f>IF(N521=0,+L521+H521,0)</f>
        <v/>
      </c>
      <c r="N521" s="7">
        <f>IF((+G521-K521)=0,0,+G521-K521)</f>
        <v/>
      </c>
      <c r="O521" s="7">
        <f>IF(N521=0,0,(L521+H521)/-N521)</f>
        <v/>
      </c>
      <c r="P521" s="7">
        <f>VLOOKUP(OPERAC[[#This Row],[especie]],[1]!ESPECIES[#All],6,0)</f>
        <v/>
      </c>
      <c r="Q521" s="7">
        <f>IF(N521&lt;&gt;0,P521*N521,0)</f>
        <v/>
      </c>
      <c r="R521" s="8">
        <f>IF(Q521&lt;&gt;0,Q521+H521+L521,0)</f>
        <v/>
      </c>
      <c r="S521" s="9">
        <f>VLOOKUP(OPERAC[[#This Row],[especie]],[1]!ESPECIES[#Data],9,FALSE)</f>
        <v/>
      </c>
    </row>
    <row r="522">
      <c r="A522" s="4" t="n">
        <v>15192</v>
      </c>
      <c r="B522" s="5" t="n">
        <v>44601</v>
      </c>
      <c r="C522" s="13" t="inlineStr">
        <is>
          <t>VTA</t>
        </is>
      </c>
      <c r="D522" s="13" t="n">
        <v>39</v>
      </c>
      <c r="E522" s="10">
        <f>IF(D522&gt;0,VLOOKUP(OPERAC[[#This Row],[COD CART]],[1]!MatrizCortoLargoCyl[#All],3,0),"")</f>
        <v/>
      </c>
      <c r="F522" s="13" t="inlineStr">
        <is>
          <t>TSLA/V/805/18-02-22</t>
        </is>
      </c>
      <c r="G522" s="6" t="n">
        <v>-300</v>
      </c>
      <c r="H522" s="6" t="n">
        <v>860</v>
      </c>
      <c r="I522" s="7">
        <f>-H522/G522</f>
        <v/>
      </c>
      <c r="J522" s="11" t="n">
        <v>44607</v>
      </c>
      <c r="K522" s="6" t="n">
        <v>-300</v>
      </c>
      <c r="L522" s="6" t="n">
        <v>-319.498</v>
      </c>
      <c r="M522" s="7">
        <f>IF(N522=0,+L522+H522,0)</f>
        <v/>
      </c>
      <c r="N522" s="7">
        <f>IF((+G522-K522)=0,0,+G522-K522)</f>
        <v/>
      </c>
      <c r="O522" s="7">
        <f>IF(N522=0,0,(L522+H522)/-N522)</f>
        <v/>
      </c>
      <c r="P522" s="7">
        <f>VLOOKUP(OPERAC[[#This Row],[especie]],[1]!ESPECIES[#All],6,0)</f>
        <v/>
      </c>
      <c r="Q522" s="7">
        <f>IF(N522&lt;&gt;0,P522*N522,0)</f>
        <v/>
      </c>
      <c r="R522" s="8">
        <f>IF(Q522&lt;&gt;0,Q522+H522+L522,0)</f>
        <v/>
      </c>
      <c r="S522" s="9">
        <f>VLOOKUP(OPERAC[[#This Row],[especie]],[1]!ESPECIES[#Data],9,FALSE)</f>
        <v/>
      </c>
    </row>
    <row r="523">
      <c r="A523" s="4" t="n">
        <v>1807</v>
      </c>
      <c r="B523" s="5" t="n">
        <v>44601</v>
      </c>
      <c r="C523" s="13" t="inlineStr">
        <is>
          <t>VTA</t>
        </is>
      </c>
      <c r="D523" s="13" t="n">
        <v>39</v>
      </c>
      <c r="E523" s="10">
        <f>IF(D523&gt;0,VLOOKUP(OPERAC[[#This Row],[COD CART]],[1]!MatrizCortoLargoCyl[#All],3,0),"")</f>
        <v/>
      </c>
      <c r="F523" s="13" t="inlineStr">
        <is>
          <t>TSLA/V/805/18-02-22</t>
        </is>
      </c>
      <c r="G523" s="6" t="n">
        <v>-300</v>
      </c>
      <c r="H523" s="6" t="n">
        <v>860</v>
      </c>
      <c r="I523" s="7">
        <f>-H523/G523</f>
        <v/>
      </c>
      <c r="J523" s="11" t="n">
        <v>44607</v>
      </c>
      <c r="K523" s="6" t="n">
        <v>-300</v>
      </c>
      <c r="L523" s="6" t="n">
        <v>-319.498</v>
      </c>
      <c r="M523" s="7">
        <f>IF(N523=0,+L523+H523,0)</f>
        <v/>
      </c>
      <c r="N523" s="7">
        <f>IF((+G523-K523)=0,0,+G523-K523)</f>
        <v/>
      </c>
      <c r="O523" s="7">
        <f>IF(N523=0,0,(L523+H523)/-N523)</f>
        <v/>
      </c>
      <c r="P523" s="7">
        <f>VLOOKUP(OPERAC[[#This Row],[especie]],[1]!ESPECIES[#All],6,0)</f>
        <v/>
      </c>
      <c r="Q523" s="7">
        <f>IF(N523&lt;&gt;0,P523*N523,0)</f>
        <v/>
      </c>
      <c r="R523" s="8">
        <f>IF(Q523&lt;&gt;0,Q523+H523+L523,0)</f>
        <v/>
      </c>
      <c r="S523" s="9">
        <f>VLOOKUP(OPERAC[[#This Row],[especie]],[1]!ESPECIES[#Data],9,FALSE)</f>
        <v/>
      </c>
    </row>
    <row r="524">
      <c r="A524" s="4" t="n">
        <v>7895</v>
      </c>
      <c r="B524" s="5" t="n">
        <v>44601</v>
      </c>
      <c r="C524" s="13" t="inlineStr">
        <is>
          <t>VTA</t>
        </is>
      </c>
      <c r="D524" s="13" t="n">
        <v>39</v>
      </c>
      <c r="E524" s="10">
        <f>IF(D524&gt;0,VLOOKUP(OPERAC[[#This Row],[COD CART]],[1]!MatrizCortoLargoCyl[#All],3,0),"")</f>
        <v/>
      </c>
      <c r="F524" s="13" t="inlineStr">
        <is>
          <t>TSLA/V/805/18-02-22</t>
        </is>
      </c>
      <c r="G524" s="6" t="n">
        <v>-300</v>
      </c>
      <c r="H524" s="6" t="n">
        <v>860</v>
      </c>
      <c r="I524" s="7">
        <f>-H524/G524</f>
        <v/>
      </c>
      <c r="J524" s="11" t="n">
        <v>44607</v>
      </c>
      <c r="K524" s="6" t="n">
        <v>-300</v>
      </c>
      <c r="L524" s="6" t="n">
        <v>-319.498</v>
      </c>
      <c r="M524" s="7">
        <f>IF(N524=0,+L524+H524,0)</f>
        <v/>
      </c>
      <c r="N524" s="7">
        <f>IF((+G524-K524)=0,0,+G524-K524)</f>
        <v/>
      </c>
      <c r="O524" s="7">
        <f>IF(N524=0,0,(L524+H524)/-N524)</f>
        <v/>
      </c>
      <c r="P524" s="7">
        <f>VLOOKUP(OPERAC[[#This Row],[especie]],[1]!ESPECIES[#All],6,0)</f>
        <v/>
      </c>
      <c r="Q524" s="7">
        <f>IF(N524&lt;&gt;0,P524*N524,0)</f>
        <v/>
      </c>
      <c r="R524" s="8">
        <f>IF(Q524&lt;&gt;0,Q524+H524+L524,0)</f>
        <v/>
      </c>
      <c r="S524" s="9">
        <f>VLOOKUP(OPERAC[[#This Row],[especie]],[1]!ESPECIES[#Data],9,FALSE)</f>
        <v/>
      </c>
    </row>
    <row r="525">
      <c r="A525" s="4" t="n">
        <v>26138</v>
      </c>
      <c r="B525" s="5" t="n">
        <v>44669</v>
      </c>
      <c r="C525" s="13" t="inlineStr">
        <is>
          <t>VTA</t>
        </is>
      </c>
      <c r="D525" s="13" t="n">
        <v>39</v>
      </c>
      <c r="E525" s="10">
        <f>IF(D525&gt;0,VLOOKUP(OPERAC[[#This Row],[COD CART]],[1]!MatrizCortoLargoCyl[#All],3,0),"")</f>
        <v/>
      </c>
      <c r="F525" s="13" t="inlineStr">
        <is>
          <t>UPST/V/80,00/22-04-22</t>
        </is>
      </c>
      <c r="G525" s="6" t="n">
        <v>-200</v>
      </c>
      <c r="H525" s="6" t="n">
        <v>852.6900000000001</v>
      </c>
      <c r="I525" s="7">
        <f>-H525/G525</f>
        <v/>
      </c>
      <c r="J525" s="11" t="n">
        <v>44673</v>
      </c>
      <c r="K525" s="6" t="n">
        <v>-200</v>
      </c>
      <c r="L525" s="6" t="n">
        <v>-786.63</v>
      </c>
      <c r="M525" s="7">
        <f>IF(N525=0,+L525+H525,0)</f>
        <v/>
      </c>
      <c r="N525" s="7">
        <f>IF((+G525-K525)=0,0,+G525-K525)</f>
        <v/>
      </c>
      <c r="O525" s="7">
        <f>IF(N525=0,0,(L525+H525)/-N525)</f>
        <v/>
      </c>
      <c r="P525" s="7">
        <f>VLOOKUP(OPERAC[[#This Row],[especie]],[1]!ESPECIES[#All],6,0)</f>
        <v/>
      </c>
      <c r="Q525" s="7">
        <f>IF(N525&lt;&gt;0,P525*N525,0)</f>
        <v/>
      </c>
      <c r="R525" s="8">
        <f>IF(Q525&lt;&gt;0,Q525+H525+L525,0)</f>
        <v/>
      </c>
      <c r="S525" s="9">
        <f>VLOOKUP(OPERAC[[#This Row],[especie]],[1]!ESPECIES[#Data],9,FALSE)</f>
        <v/>
      </c>
    </row>
    <row r="526">
      <c r="A526" s="4" t="n">
        <v>18690</v>
      </c>
      <c r="B526" s="5" t="n">
        <v>44719</v>
      </c>
      <c r="C526" s="13" t="inlineStr">
        <is>
          <t>VTA</t>
        </is>
      </c>
      <c r="D526" s="13" t="n">
        <v>39</v>
      </c>
      <c r="E526" s="10">
        <f>IF(D526&gt;0,VLOOKUP(OPERAC[[#This Row],[COD CART]],[1]!MatrizCortoLargoCyl[#All],3,0),"")</f>
        <v/>
      </c>
      <c r="F526" s="13" t="inlineStr">
        <is>
          <t>TSLA/C/790,00/10-06-22</t>
        </is>
      </c>
      <c r="G526" s="6" t="n">
        <v>-400</v>
      </c>
      <c r="H526" s="6" t="n">
        <v>851.4</v>
      </c>
      <c r="I526" s="7">
        <f>-H526/G526</f>
        <v/>
      </c>
      <c r="J526" s="5" t="n">
        <v>44722</v>
      </c>
      <c r="K526" s="6">
        <f>+OPERAC[[#This Row],[cantidad]]</f>
        <v/>
      </c>
      <c r="L526" s="6" t="n">
        <v>0</v>
      </c>
      <c r="M526" s="7">
        <f>IF(N526=0,+L526+H526,0)</f>
        <v/>
      </c>
      <c r="N526" s="7">
        <f>IF((+G526-K526)=0,0,+G526-K526)</f>
        <v/>
      </c>
      <c r="O526" s="7">
        <f>IF(N526=0,0,(L526+H526)/-N526)</f>
        <v/>
      </c>
      <c r="P526" s="7">
        <f>VLOOKUP(OPERAC[[#This Row],[especie]],[1]!ESPECIES[#All],6,0)</f>
        <v/>
      </c>
      <c r="Q526" s="7">
        <f>IF(N526&lt;&gt;0,P526*N526,0)</f>
        <v/>
      </c>
      <c r="R526" s="8">
        <f>IF(Q526&lt;&gt;0,Q526+H526+L526,0)</f>
        <v/>
      </c>
      <c r="S526" s="9">
        <f>VLOOKUP(OPERAC[[#This Row],[especie]],[1]!ESPECIES[#Data],9,FALSE)</f>
        <v/>
      </c>
    </row>
    <row r="527">
      <c r="A527" s="4" t="n">
        <v>3728</v>
      </c>
      <c r="B527" s="5" t="n">
        <v>44469</v>
      </c>
      <c r="C527" s="13" t="inlineStr">
        <is>
          <t>VTA</t>
        </is>
      </c>
      <c r="D527" s="13" t="n">
        <v>39</v>
      </c>
      <c r="E527" s="10">
        <f>IF(D527&gt;0,VLOOKUP(OPERAC[[#This Row],[COD CART]],[1]!MatrizCortoLargoCyl[#All],3,0),"")</f>
        <v/>
      </c>
      <c r="F527" s="13" t="inlineStr">
        <is>
          <t>ACB/V/6,00/21-01-22</t>
        </is>
      </c>
      <c r="G527" s="6" t="n">
        <v>-1000</v>
      </c>
      <c r="H527" s="6">
        <f>856.745-0.5*OPERAC[[#This Row],[cantidad]]+0.51*OPERAC[[#This Row],[cantidad]]</f>
        <v/>
      </c>
      <c r="I527" s="7">
        <f>-H527/G527</f>
        <v/>
      </c>
      <c r="J527" s="11" t="n">
        <v>44581</v>
      </c>
      <c r="K527" s="6">
        <f>+OPERAC[[#This Row],[cantidad]]</f>
        <v/>
      </c>
      <c r="L527" s="6">
        <f>-OPERAC[[#This Row],[importe]]</f>
        <v/>
      </c>
      <c r="M527" s="7">
        <f>IF(N527=0,+L527+H527,0)</f>
        <v/>
      </c>
      <c r="N527" s="7">
        <f>IF((+G527-K527)=0,0,+G527-K527)</f>
        <v/>
      </c>
      <c r="O527" s="7">
        <f>IF(N527=0,0,(L527+H527)/-N527)</f>
        <v/>
      </c>
      <c r="P527" s="7">
        <f>VLOOKUP(OPERAC[[#This Row],[especie]],[1]!ESPECIES[#All],6,0)</f>
        <v/>
      </c>
      <c r="Q527" s="7">
        <f>IF(N527&lt;&gt;0,P527*N527,0)</f>
        <v/>
      </c>
      <c r="R527" s="8">
        <f>IF(Q527&lt;&gt;0,Q527+H527+L527,0)</f>
        <v/>
      </c>
      <c r="S527" s="9">
        <f>VLOOKUP(OPERAC[[#This Row],[especie]],[1]!ESPECIES[#Data],9,FALSE)</f>
        <v/>
      </c>
    </row>
    <row r="528">
      <c r="A528" s="4" t="n">
        <v>18690</v>
      </c>
      <c r="B528" s="5" t="n">
        <v>44340</v>
      </c>
      <c r="C528" s="13" t="inlineStr">
        <is>
          <t>VTA</t>
        </is>
      </c>
      <c r="D528" s="13" t="n">
        <v>39</v>
      </c>
      <c r="E528" s="10">
        <f>IF(D528&gt;0,VLOOKUP(OPERAC[[#This Row],[COD CART]],[1]!MatrizCortoLargoCyl[#All],3,0),"")</f>
        <v/>
      </c>
      <c r="F528" s="13" t="inlineStr">
        <is>
          <t>SOLO/V/3,50/21-01-22</t>
        </is>
      </c>
      <c r="G528" s="6" t="n">
        <v>-800</v>
      </c>
      <c r="H528" s="6" t="n">
        <v>846.6839999999999</v>
      </c>
      <c r="I528" s="7">
        <f>-H528/G528</f>
        <v/>
      </c>
      <c r="J528" s="11" t="n">
        <v>44579</v>
      </c>
      <c r="K528" s="6">
        <f>+OPERAC[[#This Row],[cantidad]]</f>
        <v/>
      </c>
      <c r="L528" s="6">
        <f>-OPERAC[[#This Row],[importe]]</f>
        <v/>
      </c>
      <c r="M528" s="7">
        <f>IF(N528=0,+L528+H528,0)</f>
        <v/>
      </c>
      <c r="N528" s="7">
        <f>IF((+G528-K528)=0,0,+G528-K528)</f>
        <v/>
      </c>
      <c r="O528" s="7">
        <f>IF(N528=0,0,(L528+H528)/-N528)</f>
        <v/>
      </c>
      <c r="P528" s="7">
        <f>VLOOKUP(OPERAC[[#This Row],[especie]],[1]!ESPECIES[#All],6,0)</f>
        <v/>
      </c>
      <c r="Q528" s="7">
        <f>IF(N528&lt;&gt;0,P528*N528,0)</f>
        <v/>
      </c>
      <c r="R528" s="8">
        <f>IF(Q528&lt;&gt;0,Q528+H528+L528,0)</f>
        <v/>
      </c>
      <c r="S528" s="9">
        <f>VLOOKUP(OPERAC[[#This Row],[especie]],[1]!ESPECIES[#Data],9,FALSE)</f>
        <v/>
      </c>
    </row>
    <row r="529">
      <c r="A529" s="4" t="n">
        <v>19867</v>
      </c>
      <c r="B529" s="5" t="n">
        <v>44340</v>
      </c>
      <c r="C529" s="13" t="inlineStr">
        <is>
          <t>VTA</t>
        </is>
      </c>
      <c r="D529" s="13" t="n">
        <v>39</v>
      </c>
      <c r="E529" s="10">
        <f>IF(D529&gt;0,VLOOKUP(OPERAC[[#This Row],[COD CART]],[1]!MatrizCortoLargoCyl[#All],3,0),"")</f>
        <v/>
      </c>
      <c r="F529" s="13" t="inlineStr">
        <is>
          <t>SOLO/V/3,50/21-01-22</t>
        </is>
      </c>
      <c r="G529" s="6" t="n">
        <v>-800</v>
      </c>
      <c r="H529" s="6" t="n">
        <v>846.6839999999999</v>
      </c>
      <c r="I529" s="7">
        <f>-H529/G529</f>
        <v/>
      </c>
      <c r="J529" s="11" t="n">
        <v>44579</v>
      </c>
      <c r="K529" s="6">
        <f>+OPERAC[[#This Row],[cantidad]]</f>
        <v/>
      </c>
      <c r="L529" s="6">
        <f>-OPERAC[[#This Row],[importe]]</f>
        <v/>
      </c>
      <c r="M529" s="7">
        <f>IF(N529=0,+L529+H529,0)</f>
        <v/>
      </c>
      <c r="N529" s="7">
        <f>IF((+G529-K529)=0,0,+G529-K529)</f>
        <v/>
      </c>
      <c r="O529" s="7">
        <f>IF(N529=0,0,(L529+H529)/-N529)</f>
        <v/>
      </c>
      <c r="P529" s="7">
        <f>VLOOKUP(OPERAC[[#This Row],[especie]],[1]!ESPECIES[#All],6,0)</f>
        <v/>
      </c>
      <c r="Q529" s="7">
        <f>IF(N529&lt;&gt;0,P529*N529,0)</f>
        <v/>
      </c>
      <c r="R529" s="8">
        <f>IF(Q529&lt;&gt;0,Q529+H529+L529,0)</f>
        <v/>
      </c>
      <c r="S529" s="9">
        <f>VLOOKUP(OPERAC[[#This Row],[especie]],[1]!ESPECIES[#Data],9,FALSE)</f>
        <v/>
      </c>
    </row>
    <row r="530">
      <c r="A530" s="4" t="n">
        <v>19878</v>
      </c>
      <c r="B530" s="5" t="n">
        <v>44340</v>
      </c>
      <c r="C530" s="13" t="inlineStr">
        <is>
          <t>VTA</t>
        </is>
      </c>
      <c r="D530" s="13" t="n">
        <v>39</v>
      </c>
      <c r="E530" s="10">
        <f>IF(D530&gt;0,VLOOKUP(OPERAC[[#This Row],[COD CART]],[1]!MatrizCortoLargoCyl[#All],3,0),"")</f>
        <v/>
      </c>
      <c r="F530" s="13" t="inlineStr">
        <is>
          <t>SOLO/V/3,50/21-01-22</t>
        </is>
      </c>
      <c r="G530" s="6" t="n">
        <v>-800</v>
      </c>
      <c r="H530" s="6" t="n">
        <v>846.6839999999999</v>
      </c>
      <c r="I530" s="7">
        <f>-H530/G530</f>
        <v/>
      </c>
      <c r="J530" s="11" t="n">
        <v>44579</v>
      </c>
      <c r="K530" s="6">
        <f>+OPERAC[[#This Row],[cantidad]]</f>
        <v/>
      </c>
      <c r="L530" s="6">
        <f>-OPERAC[[#This Row],[importe]]</f>
        <v/>
      </c>
      <c r="M530" s="7">
        <f>IF(N530=0,+L530+H530,0)</f>
        <v/>
      </c>
      <c r="N530" s="7">
        <f>IF((+G530-K530)=0,0,+G530-K530)</f>
        <v/>
      </c>
      <c r="O530" s="7">
        <f>IF(N530=0,0,(L530+H530)/-N530)</f>
        <v/>
      </c>
      <c r="P530" s="7">
        <f>VLOOKUP(OPERAC[[#This Row],[especie]],[1]!ESPECIES[#All],6,0)</f>
        <v/>
      </c>
      <c r="Q530" s="7">
        <f>IF(N530&lt;&gt;0,P530*N530,0)</f>
        <v/>
      </c>
      <c r="R530" s="8">
        <f>IF(Q530&lt;&gt;0,Q530+H530+L530,0)</f>
        <v/>
      </c>
      <c r="S530" s="9">
        <f>VLOOKUP(OPERAC[[#This Row],[especie]],[1]!ESPECIES[#Data],9,FALSE)</f>
        <v/>
      </c>
    </row>
    <row r="531">
      <c r="A531" s="4" t="n">
        <v>3728</v>
      </c>
      <c r="B531" s="5" t="n">
        <v>44719</v>
      </c>
      <c r="C531" s="13" t="inlineStr">
        <is>
          <t>VTA</t>
        </is>
      </c>
      <c r="D531" s="13" t="n">
        <v>39</v>
      </c>
      <c r="E531" s="10">
        <f>IF(D531&gt;0,VLOOKUP(OPERAC[[#This Row],[COD CART]],[1]!MatrizCortoLargoCyl[#All],3,0),"")</f>
        <v/>
      </c>
      <c r="F531" s="13" t="inlineStr">
        <is>
          <t>TSLA/P/615,00/10-06-22</t>
        </is>
      </c>
      <c r="G531" s="6" t="n">
        <v>-500</v>
      </c>
      <c r="H531" s="6" t="n">
        <v>841.40775</v>
      </c>
      <c r="I531" s="7">
        <f>-H531/G531</f>
        <v/>
      </c>
      <c r="J531" s="5" t="n">
        <v>44719</v>
      </c>
      <c r="K531" s="6" t="n">
        <v>-500</v>
      </c>
      <c r="L531" s="6" t="n">
        <v>-536.28575</v>
      </c>
      <c r="M531" s="7">
        <f>IF(N531=0,+L531+H531,0)</f>
        <v/>
      </c>
      <c r="N531" s="7">
        <f>IF((+G531-K531)=0,0,+G531-K531)</f>
        <v/>
      </c>
      <c r="O531" s="7">
        <f>IF(N531=0,0,(L531+H531)/-N531)</f>
        <v/>
      </c>
      <c r="P531" s="7">
        <f>VLOOKUP(OPERAC[[#This Row],[especie]],[1]!ESPECIES[#All],6,0)</f>
        <v/>
      </c>
      <c r="Q531" s="7">
        <f>IF(N531&lt;&gt;0,P531*N531,0)</f>
        <v/>
      </c>
      <c r="R531" s="8">
        <f>IF(Q531&lt;&gt;0,Q531+H531+L531,0)</f>
        <v/>
      </c>
      <c r="S531" s="9">
        <f>VLOOKUP(OPERAC[[#This Row],[especie]],[1]!ESPECIES[#Data],9,FALSE)</f>
        <v/>
      </c>
    </row>
    <row r="532">
      <c r="A532" s="4" t="n">
        <v>25070</v>
      </c>
      <c r="B532" s="5" t="n">
        <v>44649</v>
      </c>
      <c r="C532" s="13" t="inlineStr">
        <is>
          <t>VTA</t>
        </is>
      </c>
      <c r="D532" s="13" t="n">
        <v>39</v>
      </c>
      <c r="E532" s="10">
        <f>IF(D532&gt;0,VLOOKUP(OPERAC[[#This Row],[COD CART]],[1]!MatrizCortoLargoCyl[#All],3,0),"")</f>
        <v/>
      </c>
      <c r="F532" s="13" t="inlineStr">
        <is>
          <t>TSLA/V/905,00/01-04-22</t>
        </is>
      </c>
      <c r="G532" s="6" t="n">
        <v>-2000</v>
      </c>
      <c r="H532" s="6" t="n">
        <v>839.21</v>
      </c>
      <c r="I532" s="7">
        <f>-H532/G532</f>
        <v/>
      </c>
      <c r="J532" s="11" t="n">
        <v>44651</v>
      </c>
      <c r="K532" s="6" t="n">
        <v>-2000</v>
      </c>
      <c r="L532" s="6" t="n">
        <v>-356.5</v>
      </c>
      <c r="M532" s="7">
        <f>IF(N532=0,+L532+H532,0)</f>
        <v/>
      </c>
      <c r="N532" s="7">
        <f>IF((+G532-K532)=0,0,+G532-K532)</f>
        <v/>
      </c>
      <c r="O532" s="7">
        <f>IF(N532=0,0,(L532+H532)/-N532)</f>
        <v/>
      </c>
      <c r="P532" s="7">
        <f>VLOOKUP(OPERAC[[#This Row],[especie]],[1]!ESPECIES[#All],6,0)</f>
        <v/>
      </c>
      <c r="Q532" s="7">
        <f>IF(N532&lt;&gt;0,P532*N532,0)</f>
        <v/>
      </c>
      <c r="R532" s="8">
        <f>IF(Q532&lt;&gt;0,Q532+H532+L532,0)</f>
        <v/>
      </c>
      <c r="S532" s="9">
        <f>VLOOKUP(OPERAC[[#This Row],[especie]],[1]!ESPECIES[#Data],9,FALSE)</f>
        <v/>
      </c>
    </row>
    <row r="533">
      <c r="A533" s="4" t="n">
        <v>18713</v>
      </c>
      <c r="B533" s="5" t="n">
        <v>44572</v>
      </c>
      <c r="C533" s="13" t="inlineStr">
        <is>
          <t>VTA</t>
        </is>
      </c>
      <c r="D533" s="13" t="n">
        <v>39</v>
      </c>
      <c r="E533" s="10">
        <f>IF(D533&gt;0,VLOOKUP(OPERAC[[#This Row],[COD CART]],[1]!MatrizCortoLargoCyl[#All],3,0),"")</f>
        <v/>
      </c>
      <c r="F533" s="13" t="inlineStr">
        <is>
          <t>BABA/V/128,00/14-01-22</t>
        </is>
      </c>
      <c r="G533" s="6" t="n">
        <v>-800</v>
      </c>
      <c r="H533" s="6" t="n">
        <v>836.216</v>
      </c>
      <c r="I533" s="7">
        <f>-H533/G533</f>
        <v/>
      </c>
      <c r="J533" s="11" t="n">
        <v>44575</v>
      </c>
      <c r="K533" s="6" t="n">
        <v>-800</v>
      </c>
      <c r="L533" s="6" t="n">
        <v>-247.368</v>
      </c>
      <c r="M533" s="7">
        <f>IF(N533=0,+L533+H533,0)</f>
        <v/>
      </c>
      <c r="N533" s="7">
        <f>IF((+G533-K533)=0,0,+G533-K533)</f>
        <v/>
      </c>
      <c r="O533" s="7">
        <f>IF(N533=0,0,(L533+H533)/-N533)</f>
        <v/>
      </c>
      <c r="P533" s="7">
        <f>VLOOKUP(OPERAC[[#This Row],[especie]],[1]!ESPECIES[#All],6,0)</f>
        <v/>
      </c>
      <c r="Q533" s="7">
        <f>IF(N533&lt;&gt;0,P533*N533,0)</f>
        <v/>
      </c>
      <c r="R533" s="8">
        <f>IF(Q533&lt;&gt;0,Q533+H533+L533,0)</f>
        <v/>
      </c>
      <c r="S533" s="9">
        <f>VLOOKUP(OPERAC[[#This Row],[especie]],[1]!ESPECIES[#Data],9,FALSE)</f>
        <v/>
      </c>
    </row>
    <row r="534">
      <c r="A534" s="4" t="n">
        <v>18690</v>
      </c>
      <c r="B534" s="5" t="n">
        <v>44719</v>
      </c>
      <c r="C534" s="13" t="inlineStr">
        <is>
          <t>VTA</t>
        </is>
      </c>
      <c r="D534" s="13" t="n">
        <v>39</v>
      </c>
      <c r="E534" s="10">
        <f>IF(D534&gt;0,VLOOKUP(OPERAC[[#This Row],[COD CART]],[1]!MatrizCortoLargoCyl[#All],3,0),"")</f>
        <v/>
      </c>
      <c r="F534" s="14" t="inlineStr">
        <is>
          <t>TSLA/P/600,00/10-06-22</t>
        </is>
      </c>
      <c r="G534" s="6" t="n">
        <v>-400</v>
      </c>
      <c r="H534" s="6" t="n">
        <v>835.5599999999999</v>
      </c>
      <c r="I534" s="7">
        <f>-H534/G534</f>
        <v/>
      </c>
      <c r="J534" s="5" t="n">
        <v>44719</v>
      </c>
      <c r="K534" s="6" t="n">
        <v>-400</v>
      </c>
      <c r="L534" s="6" t="n">
        <v>-286.414</v>
      </c>
      <c r="M534" s="7">
        <f>IF(N534=0,+L534+H534,0)</f>
        <v/>
      </c>
      <c r="N534" s="7">
        <f>IF((+G534-K534)=0,0,+G534-K534)</f>
        <v/>
      </c>
      <c r="O534" s="7">
        <f>IF(N534=0,0,(L534+H534)/-N534)</f>
        <v/>
      </c>
      <c r="P534" s="7">
        <f>VLOOKUP(OPERAC[[#This Row],[especie]],[1]!ESPECIES[#All],6,0)</f>
        <v/>
      </c>
      <c r="Q534" s="7">
        <f>IF(N534&lt;&gt;0,P534*N534,0)</f>
        <v/>
      </c>
      <c r="R534" s="8">
        <f>IF(Q534&lt;&gt;0,Q534+H534+L534,0)</f>
        <v/>
      </c>
      <c r="S534" s="9">
        <f>VLOOKUP(OPERAC[[#This Row],[especie]],[1]!ESPECIES[#Data],9,FALSE)</f>
        <v/>
      </c>
    </row>
    <row r="535">
      <c r="A535" s="4" t="n">
        <v>18690</v>
      </c>
      <c r="B535" s="5" t="n">
        <v>44719</v>
      </c>
      <c r="C535" s="13" t="inlineStr">
        <is>
          <t>VTA</t>
        </is>
      </c>
      <c r="D535" s="13" t="n">
        <v>39</v>
      </c>
      <c r="E535" s="10">
        <f>IF(D535&gt;0,VLOOKUP(OPERAC[[#This Row],[COD CART]],[1]!MatrizCortoLargoCyl[#All],3,0),"")</f>
        <v/>
      </c>
      <c r="F535" s="13" t="inlineStr">
        <is>
          <t>TSLA/P/615,00/10-06-22</t>
        </is>
      </c>
      <c r="G535" s="6" t="n">
        <v>-500</v>
      </c>
      <c r="H535" s="6" t="n">
        <v>833.8275</v>
      </c>
      <c r="I535" s="7">
        <f>-H535/G535</f>
        <v/>
      </c>
      <c r="J535" s="5" t="n">
        <v>44719</v>
      </c>
      <c r="K535" s="6" t="n">
        <v>-500</v>
      </c>
      <c r="L535" s="6" t="n">
        <v>-540.3038749999999</v>
      </c>
      <c r="M535" s="7">
        <f>IF(N535=0,+L535+H535,0)</f>
        <v/>
      </c>
      <c r="N535" s="7">
        <f>IF((+G535-K535)=0,0,+G535-K535)</f>
        <v/>
      </c>
      <c r="O535" s="7">
        <f>IF(N535=0,0,(L535+H535)/-N535)</f>
        <v/>
      </c>
      <c r="P535" s="7">
        <f>VLOOKUP(OPERAC[[#This Row],[especie]],[1]!ESPECIES[#All],6,0)</f>
        <v/>
      </c>
      <c r="Q535" s="7">
        <f>IF(N535&lt;&gt;0,P535*N535,0)</f>
        <v/>
      </c>
      <c r="R535" s="8">
        <f>IF(Q535&lt;&gt;0,Q535+H535+L535,0)</f>
        <v/>
      </c>
      <c r="S535" s="9">
        <f>VLOOKUP(OPERAC[[#This Row],[especie]],[1]!ESPECIES[#Data],9,FALSE)</f>
        <v/>
      </c>
    </row>
    <row r="536">
      <c r="A536" s="4" t="n">
        <v>7916</v>
      </c>
      <c r="B536" s="5" t="n">
        <v>44669</v>
      </c>
      <c r="C536" s="13" t="inlineStr">
        <is>
          <t>VTA</t>
        </is>
      </c>
      <c r="D536" s="13" t="n">
        <v>39</v>
      </c>
      <c r="E536" s="10">
        <f>IF(D536&gt;0,VLOOKUP(OPERAC[[#This Row],[COD CART]],[1]!MatrizCortoLargoCyl[#All],3,0),"")</f>
        <v/>
      </c>
      <c r="F536" s="13" t="inlineStr">
        <is>
          <t>UPST/V/80,00/22-04-22</t>
        </is>
      </c>
      <c r="G536" s="6" t="n">
        <v>-200</v>
      </c>
      <c r="H536" s="6" t="n">
        <v>832.86</v>
      </c>
      <c r="I536" s="7">
        <f>-H536/G536</f>
        <v/>
      </c>
      <c r="J536" s="11" t="n">
        <v>44673</v>
      </c>
      <c r="K536" s="6" t="n">
        <v>-200</v>
      </c>
      <c r="L536" s="6" t="n">
        <v>-786.63</v>
      </c>
      <c r="M536" s="7">
        <f>IF(N536=0,+L536+H536,0)</f>
        <v/>
      </c>
      <c r="N536" s="7">
        <f>IF((+G536-K536)=0,0,+G536-K536)</f>
        <v/>
      </c>
      <c r="O536" s="7">
        <f>IF(N536=0,0,(L536+H536)/-N536)</f>
        <v/>
      </c>
      <c r="P536" s="7">
        <f>VLOOKUP(OPERAC[[#This Row],[especie]],[1]!ESPECIES[#All],6,0)</f>
        <v/>
      </c>
      <c r="Q536" s="7">
        <f>IF(N536&lt;&gt;0,P536*N536,0)</f>
        <v/>
      </c>
      <c r="R536" s="8">
        <f>IF(Q536&lt;&gt;0,Q536+H536+L536,0)</f>
        <v/>
      </c>
      <c r="S536" s="9">
        <f>VLOOKUP(OPERAC[[#This Row],[especie]],[1]!ESPECIES[#Data],9,FALSE)</f>
        <v/>
      </c>
    </row>
    <row r="537">
      <c r="A537" s="4" t="n">
        <v>12674</v>
      </c>
      <c r="B537" s="5" t="n">
        <v>44579</v>
      </c>
      <c r="C537" s="13" t="inlineStr">
        <is>
          <t>VTA</t>
        </is>
      </c>
      <c r="D537" s="13" t="n">
        <v>39</v>
      </c>
      <c r="E537" s="10">
        <f>IF(D537&gt;0,VLOOKUP(OPERAC[[#This Row],[COD CART]],[1]!MatrizCortoLargoCyl[#All],3,0),"")</f>
        <v/>
      </c>
      <c r="F537" s="13" t="inlineStr">
        <is>
          <t>ACB/V/5,50/21-01-22</t>
        </is>
      </c>
      <c r="G537" s="6" t="n">
        <v>-2600</v>
      </c>
      <c r="H537" s="6" t="n">
        <v>830.336</v>
      </c>
      <c r="I537" s="7">
        <f>-H537/G537</f>
        <v/>
      </c>
      <c r="J537" s="11" t="n">
        <v>44581</v>
      </c>
      <c r="K537" s="6">
        <f>+OPERAC[[#This Row],[cantidad]]</f>
        <v/>
      </c>
      <c r="L537" s="6">
        <f>-OPERAC[[#This Row],[importe]]</f>
        <v/>
      </c>
      <c r="M537" s="7">
        <f>IF(N537=0,+L537+H537,0)</f>
        <v/>
      </c>
      <c r="N537" s="7">
        <f>IF((+G537-K537)=0,0,+G537-K537)</f>
        <v/>
      </c>
      <c r="O537" s="7">
        <f>IF(N537=0,0,(L537+H537)/-N537)</f>
        <v/>
      </c>
      <c r="P537" s="7">
        <f>VLOOKUP(OPERAC[[#This Row],[especie]],[1]!ESPECIES[#All],6,0)</f>
        <v/>
      </c>
      <c r="Q537" s="7">
        <f>IF(N537&lt;&gt;0,P537*N537,0)</f>
        <v/>
      </c>
      <c r="R537" s="8">
        <f>IF(Q537&lt;&gt;0,Q537+H537+L537,0)</f>
        <v/>
      </c>
      <c r="S537" s="9">
        <f>VLOOKUP(OPERAC[[#This Row],[especie]],[1]!ESPECIES[#Data],9,FALSE)</f>
        <v/>
      </c>
    </row>
    <row r="538">
      <c r="A538" s="4" t="n">
        <v>13185</v>
      </c>
      <c r="B538" s="5" t="n">
        <v>44579</v>
      </c>
      <c r="C538" s="13" t="inlineStr">
        <is>
          <t>VTA</t>
        </is>
      </c>
      <c r="D538" s="13" t="n">
        <v>39</v>
      </c>
      <c r="E538" s="10">
        <f>IF(D538&gt;0,VLOOKUP(OPERAC[[#This Row],[COD CART]],[1]!MatrizCortoLargoCyl[#All],3,0),"")</f>
        <v/>
      </c>
      <c r="F538" s="13" t="inlineStr">
        <is>
          <t>ACB/V/5,50/21-01-22</t>
        </is>
      </c>
      <c r="G538" s="6" t="n">
        <v>-2600</v>
      </c>
      <c r="H538" s="6" t="n">
        <v>830.336</v>
      </c>
      <c r="I538" s="7">
        <f>-H538/G538</f>
        <v/>
      </c>
      <c r="J538" s="11" t="n">
        <v>44581</v>
      </c>
      <c r="K538" s="6">
        <f>+OPERAC[[#This Row],[cantidad]]</f>
        <v/>
      </c>
      <c r="L538" s="6">
        <f>-OPERAC[[#This Row],[importe]]</f>
        <v/>
      </c>
      <c r="M538" s="7">
        <f>IF(N538=0,+L538+H538,0)</f>
        <v/>
      </c>
      <c r="N538" s="7">
        <f>IF((+G538-K538)=0,0,+G538-K538)</f>
        <v/>
      </c>
      <c r="O538" s="7">
        <f>IF(N538=0,0,(L538+H538)/-N538)</f>
        <v/>
      </c>
      <c r="P538" s="7">
        <f>VLOOKUP(OPERAC[[#This Row],[especie]],[1]!ESPECIES[#All],6,0)</f>
        <v/>
      </c>
      <c r="Q538" s="7">
        <f>IF(N538&lt;&gt;0,P538*N538,0)</f>
        <v/>
      </c>
      <c r="R538" s="8">
        <f>IF(Q538&lt;&gt;0,Q538+H538+L538,0)</f>
        <v/>
      </c>
      <c r="S538" s="9">
        <f>VLOOKUP(OPERAC[[#This Row],[especie]],[1]!ESPECIES[#Data],9,FALSE)</f>
        <v/>
      </c>
    </row>
    <row r="539">
      <c r="A539" s="4" t="n">
        <v>18690</v>
      </c>
      <c r="B539" s="5" t="n">
        <v>44579</v>
      </c>
      <c r="C539" s="13" t="inlineStr">
        <is>
          <t>VTA</t>
        </is>
      </c>
      <c r="D539" s="13" t="n">
        <v>39</v>
      </c>
      <c r="E539" s="10">
        <f>IF(D539&gt;0,VLOOKUP(OPERAC[[#This Row],[COD CART]],[1]!MatrizCortoLargoCyl[#All],3,0),"")</f>
        <v/>
      </c>
      <c r="F539" s="13" t="inlineStr">
        <is>
          <t>ACB/V/5,50/21-01-22</t>
        </is>
      </c>
      <c r="G539" s="6" t="n">
        <v>-2600</v>
      </c>
      <c r="H539" s="6" t="n">
        <v>830.336</v>
      </c>
      <c r="I539" s="7">
        <f>-H539/G539</f>
        <v/>
      </c>
      <c r="J539" s="11" t="n">
        <v>44581</v>
      </c>
      <c r="K539" s="6">
        <f>+OPERAC[[#This Row],[cantidad]]</f>
        <v/>
      </c>
      <c r="L539" s="6">
        <f>-OPERAC[[#This Row],[importe]]</f>
        <v/>
      </c>
      <c r="M539" s="7">
        <f>IF(N539=0,+L539+H539,0)</f>
        <v/>
      </c>
      <c r="N539" s="7">
        <f>IF((+G539-K539)=0,0,+G539-K539)</f>
        <v/>
      </c>
      <c r="O539" s="7">
        <f>IF(N539=0,0,(L539+H539)/-N539)</f>
        <v/>
      </c>
      <c r="P539" s="7">
        <f>VLOOKUP(OPERAC[[#This Row],[especie]],[1]!ESPECIES[#All],6,0)</f>
        <v/>
      </c>
      <c r="Q539" s="7">
        <f>IF(N539&lt;&gt;0,P539*N539,0)</f>
        <v/>
      </c>
      <c r="R539" s="8">
        <f>IF(Q539&lt;&gt;0,Q539+H539+L539,0)</f>
        <v/>
      </c>
      <c r="S539" s="9">
        <f>VLOOKUP(OPERAC[[#This Row],[especie]],[1]!ESPECIES[#Data],9,FALSE)</f>
        <v/>
      </c>
    </row>
    <row r="540">
      <c r="A540" s="4" t="n">
        <v>16776</v>
      </c>
      <c r="B540" s="5" t="n">
        <v>44547</v>
      </c>
      <c r="C540" s="13" t="inlineStr">
        <is>
          <t>VTA</t>
        </is>
      </c>
      <c r="D540" s="13" t="n">
        <v>39</v>
      </c>
      <c r="E540" s="10">
        <f>IF(D540&gt;0,VLOOKUP(OPERAC[[#This Row],[COD CART]],[1]!MatrizCortoLargoCyl[#All],3,0),"")</f>
        <v/>
      </c>
      <c r="F540" s="13" t="inlineStr">
        <is>
          <t>TLRY/V/8,00/18-02-22</t>
        </is>
      </c>
      <c r="G540" s="6" t="n">
        <v>-600</v>
      </c>
      <c r="H540" s="6" t="n">
        <v>830.2746</v>
      </c>
      <c r="I540" s="7">
        <f>-H540/G540</f>
        <v/>
      </c>
      <c r="J540" s="11" t="n">
        <v>44601</v>
      </c>
      <c r="K540" s="6" t="n">
        <v>-600</v>
      </c>
      <c r="L540" s="6">
        <f>1.38*OPERAC[[#This Row],[cantidad venta]]</f>
        <v/>
      </c>
      <c r="M540" s="7">
        <f>IF(N540=0,+L540+H540,0)</f>
        <v/>
      </c>
      <c r="N540" s="7">
        <f>IF((+G540-K540)=0,0,+G540-K540)</f>
        <v/>
      </c>
      <c r="O540" s="7">
        <f>IF(N540=0,0,(L540+H540)/-N540)</f>
        <v/>
      </c>
      <c r="P540" s="7">
        <f>VLOOKUP(OPERAC[[#This Row],[especie]],[1]!ESPECIES[#All],6,0)</f>
        <v/>
      </c>
      <c r="Q540" s="7">
        <f>IF(N540&lt;&gt;0,P540*N540,0)</f>
        <v/>
      </c>
      <c r="R540" s="8">
        <f>IF(Q540&lt;&gt;0,Q540+H540+L540,0)</f>
        <v/>
      </c>
      <c r="S540" s="9">
        <f>VLOOKUP(OPERAC[[#This Row],[especie]],[1]!ESPECIES[#Data],9,FALSE)</f>
        <v/>
      </c>
    </row>
    <row r="541">
      <c r="A541" s="4" t="n">
        <v>16824</v>
      </c>
      <c r="B541" s="5" t="n">
        <v>44547</v>
      </c>
      <c r="C541" s="13" t="inlineStr">
        <is>
          <t>VTA</t>
        </is>
      </c>
      <c r="D541" s="13" t="n">
        <v>39</v>
      </c>
      <c r="E541" s="10">
        <f>IF(D541&gt;0,VLOOKUP(OPERAC[[#This Row],[COD CART]],[1]!MatrizCortoLargoCyl[#All],3,0),"")</f>
        <v/>
      </c>
      <c r="F541" s="13" t="inlineStr">
        <is>
          <t>TLRY/V/8,00/18-02-22</t>
        </is>
      </c>
      <c r="G541" s="6" t="n">
        <v>-600</v>
      </c>
      <c r="H541" s="6" t="n">
        <v>830.2746</v>
      </c>
      <c r="I541" s="7">
        <f>-H541/G541</f>
        <v/>
      </c>
      <c r="J541" s="11" t="n">
        <v>44601</v>
      </c>
      <c r="K541" s="6" t="n">
        <v>-600</v>
      </c>
      <c r="L541" s="6">
        <f>1.38*OPERAC[[#This Row],[cantidad venta]]</f>
        <v/>
      </c>
      <c r="M541" s="7">
        <f>IF(N541=0,+L541+H541,0)</f>
        <v/>
      </c>
      <c r="N541" s="7">
        <f>IF((+G541-K541)=0,0,+G541-K541)</f>
        <v/>
      </c>
      <c r="O541" s="7">
        <f>IF(N541=0,0,(L541+H541)/-N541)</f>
        <v/>
      </c>
      <c r="P541" s="7">
        <f>VLOOKUP(OPERAC[[#This Row],[especie]],[1]!ESPECIES[#All],6,0)</f>
        <v/>
      </c>
      <c r="Q541" s="7">
        <f>IF(N541&lt;&gt;0,P541*N541,0)</f>
        <v/>
      </c>
      <c r="R541" s="8">
        <f>IF(Q541&lt;&gt;0,Q541+H541+L541,0)</f>
        <v/>
      </c>
      <c r="S541" s="9">
        <f>VLOOKUP(OPERAC[[#This Row],[especie]],[1]!ESPECIES[#Data],9,FALSE)</f>
        <v/>
      </c>
    </row>
    <row r="542">
      <c r="A542" s="4" t="n">
        <v>19932</v>
      </c>
      <c r="B542" s="5" t="n">
        <v>44579</v>
      </c>
      <c r="C542" s="13" t="inlineStr">
        <is>
          <t>VTA</t>
        </is>
      </c>
      <c r="D542" s="13" t="n">
        <v>39</v>
      </c>
      <c r="E542" s="10">
        <f>IF(D542&gt;0,VLOOKUP(OPERAC[[#This Row],[COD CART]],[1]!MatrizCortoLargoCyl[#All],3,0),"")</f>
        <v/>
      </c>
      <c r="F542" s="13" t="inlineStr">
        <is>
          <t>SOLO/V/3,50/25-02-22</t>
        </is>
      </c>
      <c r="G542" s="6" t="n">
        <v>-600</v>
      </c>
      <c r="H542" s="6" t="n">
        <v>829.1144399999999</v>
      </c>
      <c r="I542" s="7">
        <f>-H542/G542</f>
        <v/>
      </c>
      <c r="J542" s="11" t="n">
        <v>44608</v>
      </c>
      <c r="K542" s="6">
        <f>+OPERAC[[#This Row],[cantidad]]</f>
        <v/>
      </c>
      <c r="L542" s="6" t="n">
        <v>-837.0239999999999</v>
      </c>
      <c r="M542" s="7">
        <f>IF(N542=0,+L542+H542,0)</f>
        <v/>
      </c>
      <c r="N542" s="7">
        <f>IF((+G542-K542)=0,0,+G542-K542)</f>
        <v/>
      </c>
      <c r="O542" s="7">
        <f>IF(N542=0,0,(L542+H542)/-N542)</f>
        <v/>
      </c>
      <c r="P542" s="7">
        <f>VLOOKUP(OPERAC[[#This Row],[especie]],[1]!ESPECIES[#All],6,0)</f>
        <v/>
      </c>
      <c r="Q542" s="7">
        <f>IF(N542&lt;&gt;0,P542*N542,0)</f>
        <v/>
      </c>
      <c r="R542" s="8">
        <f>IF(Q542&lt;&gt;0,Q542+H542+L542,0)</f>
        <v/>
      </c>
      <c r="S542" s="9">
        <f>VLOOKUP(OPERAC[[#This Row],[especie]],[1]!ESPECIES[#Data],9,FALSE)</f>
        <v/>
      </c>
    </row>
    <row r="543">
      <c r="A543" s="4" t="n">
        <v>18690</v>
      </c>
      <c r="B543" s="5" t="n">
        <v>44579</v>
      </c>
      <c r="C543" s="13" t="inlineStr">
        <is>
          <t>VTA</t>
        </is>
      </c>
      <c r="D543" s="13" t="n">
        <v>39</v>
      </c>
      <c r="E543" s="10">
        <f>IF(D543&gt;0,VLOOKUP(OPERAC[[#This Row],[COD CART]],[1]!MatrizCortoLargoCyl[#All],3,0),"")</f>
        <v/>
      </c>
      <c r="F543" s="13" t="inlineStr">
        <is>
          <t>SOLO/V/3,50/25-02-22</t>
        </is>
      </c>
      <c r="G543" s="6" t="n">
        <v>-600</v>
      </c>
      <c r="H543" s="6" t="n">
        <v>829.1144399999999</v>
      </c>
      <c r="I543" s="7">
        <f>-H543/G543</f>
        <v/>
      </c>
      <c r="J543" s="11" t="n">
        <v>44608</v>
      </c>
      <c r="K543" s="6">
        <f>+OPERAC[[#This Row],[cantidad]]</f>
        <v/>
      </c>
      <c r="L543" s="6" t="n">
        <v>-837.0239999999999</v>
      </c>
      <c r="M543" s="7">
        <f>IF(N543=0,+L543+H543,0)</f>
        <v/>
      </c>
      <c r="N543" s="7">
        <f>IF((+G543-K543)=0,0,+G543-K543)</f>
        <v/>
      </c>
      <c r="O543" s="7">
        <f>IF(N543=0,0,(L543+H543)/-N543)</f>
        <v/>
      </c>
      <c r="P543" s="7">
        <f>VLOOKUP(OPERAC[[#This Row],[especie]],[1]!ESPECIES[#All],6,0)</f>
        <v/>
      </c>
      <c r="Q543" s="7">
        <f>IF(N543&lt;&gt;0,P543*N543,0)</f>
        <v/>
      </c>
      <c r="R543" s="8">
        <f>IF(Q543&lt;&gt;0,Q543+H543+L543,0)</f>
        <v/>
      </c>
      <c r="S543" s="9">
        <f>VLOOKUP(OPERAC[[#This Row],[especie]],[1]!ESPECIES[#Data],9,FALSE)</f>
        <v/>
      </c>
    </row>
    <row r="544">
      <c r="A544" s="4" t="n">
        <v>19881</v>
      </c>
      <c r="B544" s="5" t="n">
        <v>44581</v>
      </c>
      <c r="C544" s="13" t="inlineStr">
        <is>
          <t>VTA</t>
        </is>
      </c>
      <c r="D544" s="13" t="n">
        <v>39</v>
      </c>
      <c r="E544" s="10">
        <f>IF(D544&gt;0,VLOOKUP(OPERAC[[#This Row],[COD CART]],[1]!MatrizCortoLargoCyl[#All],3,0),"")</f>
        <v/>
      </c>
      <c r="F544" s="13" t="inlineStr">
        <is>
          <t>ACB/V/5,50/25-02-22</t>
        </is>
      </c>
      <c r="G544" s="6" t="n">
        <v>-1000</v>
      </c>
      <c r="H544" s="6" t="n">
        <v>820.6205</v>
      </c>
      <c r="I544" s="7">
        <f>-H544/G544</f>
        <v/>
      </c>
      <c r="J544" s="11" t="n">
        <v>44614</v>
      </c>
      <c r="K544" s="6" t="n">
        <v>-1000</v>
      </c>
      <c r="L544" s="6" t="n">
        <v>-820</v>
      </c>
      <c r="M544" s="7">
        <f>IF(N544=0,+L544+H544,0)</f>
        <v/>
      </c>
      <c r="N544" s="7">
        <f>IF((+G544-K544)=0,0,+G544-K544)</f>
        <v/>
      </c>
      <c r="O544" s="7">
        <f>IF(N544=0,0,(L544+H544)/-N544)</f>
        <v/>
      </c>
      <c r="P544" s="7">
        <f>VLOOKUP(OPERAC[[#This Row],[especie]],[1]!ESPECIES[#All],6,0)</f>
        <v/>
      </c>
      <c r="Q544" s="7">
        <f>IF(N544&lt;&gt;0,P544*N544,0)</f>
        <v/>
      </c>
      <c r="R544" s="8">
        <f>IF(Q544&lt;&gt;0,Q544+H544+L544,0)</f>
        <v/>
      </c>
      <c r="S544" s="9">
        <f>VLOOKUP(OPERAC[[#This Row],[especie]],[1]!ESPECIES[#Data],9,FALSE)</f>
        <v/>
      </c>
    </row>
    <row r="545">
      <c r="A545" s="4" t="n">
        <v>16829</v>
      </c>
      <c r="B545" s="5" t="n">
        <v>44509</v>
      </c>
      <c r="C545" s="13" t="inlineStr">
        <is>
          <t>VTA</t>
        </is>
      </c>
      <c r="D545" s="13" t="n">
        <v>39</v>
      </c>
      <c r="E545" s="10">
        <f>IF(D545&gt;0,VLOOKUP(OPERAC[[#This Row],[COD CART]],[1]!MatrizCortoLargoCyl[#All],3,0),"")</f>
        <v/>
      </c>
      <c r="F545" s="13" t="inlineStr">
        <is>
          <t>TLRY/V/10,00/19-01-24</t>
        </is>
      </c>
      <c r="G545" s="6" t="n">
        <v>-200</v>
      </c>
      <c r="H545" s="6" t="n">
        <v>816.2199999999999</v>
      </c>
      <c r="I545" s="7">
        <f>-H545/G545</f>
        <v/>
      </c>
      <c r="J545" s="11" t="n">
        <v>44614</v>
      </c>
      <c r="K545" s="6" t="n">
        <v>-200</v>
      </c>
      <c r="L545" s="6" t="n">
        <v>-1165.2</v>
      </c>
      <c r="M545" s="7">
        <f>IF(N545=0,+L545+H545,0)</f>
        <v/>
      </c>
      <c r="N545" s="7">
        <f>IF((+G545-K545)=0,0,+G545-K545)</f>
        <v/>
      </c>
      <c r="O545" s="7">
        <f>IF(N545=0,0,(L545+H545)/-N545)</f>
        <v/>
      </c>
      <c r="P545" s="7">
        <f>VLOOKUP(OPERAC[[#This Row],[especie]],[1]!ESPECIES[#All],6,0)</f>
        <v/>
      </c>
      <c r="Q545" s="7">
        <f>IF(N545&lt;&gt;0,P545*N545,0)</f>
        <v/>
      </c>
      <c r="R545" s="8">
        <f>IF(Q545&lt;&gt;0,Q545+H545+L545,0)</f>
        <v/>
      </c>
      <c r="S545" s="9">
        <f>VLOOKUP(OPERAC[[#This Row],[especie]],[1]!ESPECIES[#Data],9,FALSE)</f>
        <v/>
      </c>
    </row>
    <row r="546">
      <c r="A546" s="4" t="n">
        <v>18677</v>
      </c>
      <c r="B546" s="5" t="n">
        <v>44698</v>
      </c>
      <c r="C546" s="13" t="inlineStr">
        <is>
          <t>VTA</t>
        </is>
      </c>
      <c r="D546" s="13" t="n">
        <v>39</v>
      </c>
      <c r="E546" s="10">
        <f>IF(D546&gt;0,VLOOKUP(OPERAC[[#This Row],[COD CART]],[1]!MatrizCortoLargoCyl[#All],3,0),"")</f>
        <v/>
      </c>
      <c r="F546" s="13" t="inlineStr">
        <is>
          <t>TSLA/P/635,00/27-05-22</t>
        </is>
      </c>
      <c r="G546" s="6" t="n">
        <v>-100</v>
      </c>
      <c r="H546" s="6" t="n">
        <v>793.2</v>
      </c>
      <c r="I546" s="7">
        <f>-H546/G546</f>
        <v/>
      </c>
      <c r="J546" s="11" t="n">
        <v>44701</v>
      </c>
      <c r="K546" s="6" t="n">
        <v>-100</v>
      </c>
      <c r="L546" s="6" t="n">
        <v>-3277.625</v>
      </c>
      <c r="M546" s="7">
        <f>IF(N546=0,+L546+H546,0)</f>
        <v/>
      </c>
      <c r="N546" s="7">
        <f>IF((+G546-K546)=0,0,+G546-K546)</f>
        <v/>
      </c>
      <c r="O546" s="7">
        <f>IF(N546=0,0,(L546+H546)/-N546)</f>
        <v/>
      </c>
      <c r="P546" s="7">
        <f>VLOOKUP(OPERAC[[#This Row],[especie]],[1]!ESPECIES[#All],6,0)</f>
        <v/>
      </c>
      <c r="Q546" s="7">
        <f>IF(N546&lt;&gt;0,P546*N546,0)</f>
        <v/>
      </c>
      <c r="R546" s="8">
        <f>IF(Q546&lt;&gt;0,Q546+H546+L546,0)</f>
        <v/>
      </c>
      <c r="S546" s="9">
        <f>VLOOKUP(OPERAC[[#This Row],[especie]],[1]!ESPECIES[#Data],9,FALSE)</f>
        <v/>
      </c>
    </row>
    <row r="547">
      <c r="A547" s="4" t="n">
        <v>15194</v>
      </c>
      <c r="B547" s="5" t="n">
        <v>44596</v>
      </c>
      <c r="C547" s="13" t="inlineStr">
        <is>
          <t>VTA</t>
        </is>
      </c>
      <c r="D547" s="13" t="n">
        <v>39</v>
      </c>
      <c r="E547" s="10">
        <f>IF(D547&gt;0,VLOOKUP(OPERAC[[#This Row],[COD CART]],[1]!MatrizCortoLargoCyl[#All],3,0),"")</f>
        <v/>
      </c>
      <c r="F547" s="13" t="inlineStr">
        <is>
          <t>MELI/V/850,00/11-02-22</t>
        </is>
      </c>
      <c r="G547" s="6" t="n">
        <v>-200</v>
      </c>
      <c r="H547" s="6" t="n">
        <v>790</v>
      </c>
      <c r="I547" s="7">
        <f>-H547/G547</f>
        <v/>
      </c>
      <c r="J547" s="11" t="n">
        <v>44603</v>
      </c>
      <c r="K547" s="6" t="n">
        <v>-200</v>
      </c>
      <c r="L547" s="6" t="n">
        <v>0</v>
      </c>
      <c r="M547" s="7">
        <f>IF(N547=0,+L547+H547,0)</f>
        <v/>
      </c>
      <c r="N547" s="7">
        <f>IF((+G547-K547)=0,0,+G547-K547)</f>
        <v/>
      </c>
      <c r="O547" s="7">
        <f>IF(N547=0,0,(L547+H547)/-N547)</f>
        <v/>
      </c>
      <c r="P547" s="7">
        <f>VLOOKUP(OPERAC[[#This Row],[especie]],[1]!ESPECIES[#All],6,0)</f>
        <v/>
      </c>
      <c r="Q547" s="7">
        <f>IF(N547&lt;&gt;0,P547*N547,0)</f>
        <v/>
      </c>
      <c r="R547" s="8">
        <f>IF(Q547&lt;&gt;0,Q547+H547+L547,0)</f>
        <v/>
      </c>
      <c r="S547" s="9">
        <f>VLOOKUP(OPERAC[[#This Row],[especie]],[1]!ESPECIES[#Data],9,FALSE)</f>
        <v/>
      </c>
    </row>
    <row r="548">
      <c r="A548" s="4" t="n">
        <v>12627</v>
      </c>
      <c r="B548" s="5" t="n">
        <v>44635</v>
      </c>
      <c r="C548" s="13" t="inlineStr">
        <is>
          <t>VTA</t>
        </is>
      </c>
      <c r="D548" s="13" t="n">
        <v>39</v>
      </c>
      <c r="E548" s="10">
        <f>IF(D548&gt;0,VLOOKUP(OPERAC[[#This Row],[COD CART]],[1]!MatrizCortoLargoCyl[#All],3,0),"")</f>
        <v/>
      </c>
      <c r="F548" s="13" t="inlineStr">
        <is>
          <t>TSLA/V/635,00/18-03-22</t>
        </is>
      </c>
      <c r="G548" s="6" t="n">
        <v>-2000</v>
      </c>
      <c r="H548" s="6" t="n">
        <v>779.5700000000001</v>
      </c>
      <c r="I548" s="7">
        <f>-H548/G548</f>
        <v/>
      </c>
      <c r="J548" s="11" t="n">
        <v>44636</v>
      </c>
      <c r="K548" s="6" t="n">
        <v>-2000</v>
      </c>
      <c r="L548" s="6" t="n">
        <v>-255.9</v>
      </c>
      <c r="M548" s="7">
        <f>IF(N548=0,+L548+H548,0)</f>
        <v/>
      </c>
      <c r="N548" s="7">
        <f>IF((+G548-K548)=0,0,+G548-K548)</f>
        <v/>
      </c>
      <c r="O548" s="7">
        <f>IF(N548=0,0,(L548+H548)/-N548)</f>
        <v/>
      </c>
      <c r="P548" s="7">
        <f>VLOOKUP(OPERAC[[#This Row],[especie]],[1]!ESPECIES[#All],6,0)</f>
        <v/>
      </c>
      <c r="Q548" s="7">
        <f>IF(N548&lt;&gt;0,P548*N548,0)</f>
        <v/>
      </c>
      <c r="R548" s="8">
        <f>IF(Q548&lt;&gt;0,Q548+H548+L548,0)</f>
        <v/>
      </c>
      <c r="S548" s="9">
        <f>VLOOKUP(OPERAC[[#This Row],[especie]],[1]!ESPECIES[#Data],9,FALSE)</f>
        <v/>
      </c>
    </row>
    <row r="549">
      <c r="A549" s="4" t="n">
        <v>3728</v>
      </c>
      <c r="B549" s="5" t="n">
        <v>44719</v>
      </c>
      <c r="C549" s="13" t="inlineStr">
        <is>
          <t>VTA</t>
        </is>
      </c>
      <c r="D549" s="13" t="n">
        <v>39</v>
      </c>
      <c r="E549" s="10">
        <f>IF(D549&gt;0,VLOOKUP(OPERAC[[#This Row],[COD CART]],[1]!MatrizCortoLargoCyl[#All],3,0),"")</f>
        <v/>
      </c>
      <c r="F549" s="13" t="inlineStr">
        <is>
          <t>TSLA/C/800,00/10-06-22</t>
        </is>
      </c>
      <c r="G549" s="6" t="n">
        <v>-500</v>
      </c>
      <c r="H549" s="6" t="n">
        <v>779.22</v>
      </c>
      <c r="I549" s="7">
        <f>-H549/G549</f>
        <v/>
      </c>
      <c r="J549" s="5" t="n">
        <v>44722</v>
      </c>
      <c r="K549" s="6">
        <f>+OPERAC[[#This Row],[cantidad]]</f>
        <v/>
      </c>
      <c r="L549" s="6" t="n">
        <v>0</v>
      </c>
      <c r="M549" s="7">
        <f>IF(N549=0,+L549+H549,0)</f>
        <v/>
      </c>
      <c r="N549" s="7">
        <f>IF((+G549-K549)=0,0,+G549-K549)</f>
        <v/>
      </c>
      <c r="O549" s="7">
        <f>IF(N549=0,0,(L549+H549)/-N549)</f>
        <v/>
      </c>
      <c r="P549" s="7">
        <f>VLOOKUP(OPERAC[[#This Row],[especie]],[1]!ESPECIES[#All],6,0)</f>
        <v/>
      </c>
      <c r="Q549" s="7">
        <f>IF(N549&lt;&gt;0,P549*N549,0)</f>
        <v/>
      </c>
      <c r="R549" s="8">
        <f>IF(Q549&lt;&gt;0,Q549+H549+L549,0)</f>
        <v/>
      </c>
      <c r="S549" s="9">
        <f>VLOOKUP(OPERAC[[#This Row],[especie]],[1]!ESPECIES[#Data],9,FALSE)</f>
        <v/>
      </c>
    </row>
    <row r="550">
      <c r="A550" s="4" t="n">
        <v>3728</v>
      </c>
      <c r="B550" s="5" t="n">
        <v>44680</v>
      </c>
      <c r="C550" s="13" t="inlineStr">
        <is>
          <t>VTA</t>
        </is>
      </c>
      <c r="D550" s="13" t="n">
        <v>39</v>
      </c>
      <c r="E550" s="10">
        <f>IF(D550&gt;0,VLOOKUP(OPERAC[[#This Row],[COD CART]],[1]!MatrizCortoLargoCyl[#All],3,0),"")</f>
        <v/>
      </c>
      <c r="F550" s="13" t="inlineStr">
        <is>
          <t>TSLA/V/650,00/13-05-22</t>
        </is>
      </c>
      <c r="G550" s="6" t="n">
        <v>-500</v>
      </c>
      <c r="H550" s="6" t="n">
        <v>774.225</v>
      </c>
      <c r="I550" s="7">
        <f>-H550/G550</f>
        <v/>
      </c>
      <c r="J550" s="11" t="n">
        <v>44694</v>
      </c>
      <c r="K550" s="6" t="n">
        <v>-500</v>
      </c>
      <c r="L550" s="6" t="n">
        <v>0</v>
      </c>
      <c r="M550" s="7">
        <f>IF(N550=0,+L550+H550,0)</f>
        <v/>
      </c>
      <c r="N550" s="7">
        <f>IF((+G550-K550)=0,0,+G550-K550)</f>
        <v/>
      </c>
      <c r="O550" s="7">
        <f>IF(N550=0,0,(L550+H550)/-N550)</f>
        <v/>
      </c>
      <c r="P550" s="7">
        <f>VLOOKUP(OPERAC[[#This Row],[especie]],[1]!ESPECIES[#All],6,0)</f>
        <v/>
      </c>
      <c r="Q550" s="7">
        <f>IF(N550&lt;&gt;0,P550*N550,0)</f>
        <v/>
      </c>
      <c r="R550" s="8">
        <f>IF(Q550&lt;&gt;0,Q550+H550+L550,0)</f>
        <v/>
      </c>
      <c r="S550" s="9">
        <f>VLOOKUP(OPERAC[[#This Row],[especie]],[1]!ESPECIES[#Data],9,FALSE)</f>
        <v/>
      </c>
    </row>
    <row r="551">
      <c r="A551" s="4" t="n">
        <v>2218</v>
      </c>
      <c r="B551" s="5" t="n">
        <v>44680</v>
      </c>
      <c r="C551" s="13" t="inlineStr">
        <is>
          <t>VTA</t>
        </is>
      </c>
      <c r="D551" s="13" t="n">
        <v>39</v>
      </c>
      <c r="E551" s="10">
        <f>IF(D551&gt;0,VLOOKUP(OPERAC[[#This Row],[COD CART]],[1]!MatrizCortoLargoCyl[#All],3,0),"")</f>
        <v/>
      </c>
      <c r="F551" s="13" t="inlineStr">
        <is>
          <t>TSLA/V/650,00/13-05-22</t>
        </is>
      </c>
      <c r="G551" s="6" t="n">
        <v>-500</v>
      </c>
      <c r="H551" s="6" t="n">
        <v>774.225</v>
      </c>
      <c r="I551" s="7">
        <f>-H551/G551</f>
        <v/>
      </c>
      <c r="J551" s="11" t="n">
        <v>44694</v>
      </c>
      <c r="K551" s="6" t="n">
        <v>-500</v>
      </c>
      <c r="L551" s="6" t="n">
        <v>0</v>
      </c>
      <c r="M551" s="7">
        <f>IF(N551=0,+L551+H551,0)</f>
        <v/>
      </c>
      <c r="N551" s="7">
        <f>IF((+G551-K551)=0,0,+G551-K551)</f>
        <v/>
      </c>
      <c r="O551" s="7">
        <f>IF(N551=0,0,(L551+H551)/-N551)</f>
        <v/>
      </c>
      <c r="P551" s="7">
        <f>VLOOKUP(OPERAC[[#This Row],[especie]],[1]!ESPECIES[#All],6,0)</f>
        <v/>
      </c>
      <c r="Q551" s="7">
        <f>IF(N551&lt;&gt;0,P551*N551,0)</f>
        <v/>
      </c>
      <c r="R551" s="8">
        <f>IF(Q551&lt;&gt;0,Q551+H551+L551,0)</f>
        <v/>
      </c>
      <c r="S551" s="9">
        <f>VLOOKUP(OPERAC[[#This Row],[especie]],[1]!ESPECIES[#Data],9,FALSE)</f>
        <v/>
      </c>
    </row>
    <row r="552">
      <c r="A552" s="4" t="n">
        <v>12627</v>
      </c>
      <c r="B552" s="5" t="n">
        <v>44677</v>
      </c>
      <c r="C552" s="13" t="inlineStr">
        <is>
          <t>VTA</t>
        </is>
      </c>
      <c r="D552" s="13" t="n">
        <v>39</v>
      </c>
      <c r="E552" s="10">
        <f>IF(D552&gt;0,VLOOKUP(OPERAC[[#This Row],[COD CART]],[1]!MatrizCortoLargoCyl[#All],3,0),"")</f>
        <v/>
      </c>
      <c r="F552" s="13" t="inlineStr">
        <is>
          <t>TSLA/V/750,00/29-04-22</t>
        </is>
      </c>
      <c r="G552" s="6" t="n">
        <v>-300</v>
      </c>
      <c r="H552" s="6" t="n">
        <v>773.37</v>
      </c>
      <c r="I552" s="7">
        <f>-H552/G552</f>
        <v/>
      </c>
      <c r="J552" s="11" t="n">
        <v>44680</v>
      </c>
      <c r="K552" s="6" t="n">
        <v>-300</v>
      </c>
      <c r="L552" s="6" t="n">
        <v>-12.1</v>
      </c>
      <c r="M552" s="7">
        <f>IF(N552=0,+L552+H552,0)</f>
        <v/>
      </c>
      <c r="N552" s="7">
        <f>IF((+G552-K552)=0,0,+G552-K552)</f>
        <v/>
      </c>
      <c r="O552" s="7">
        <f>IF(N552=0,0,(L552+H552)/-N552)</f>
        <v/>
      </c>
      <c r="P552" s="7">
        <f>VLOOKUP(OPERAC[[#This Row],[especie]],[1]!ESPECIES[#All],6,0)</f>
        <v/>
      </c>
      <c r="Q552" s="7">
        <f>IF(N552&lt;&gt;0,P552*N552,0)</f>
        <v/>
      </c>
      <c r="R552" s="8">
        <f>IF(Q552&lt;&gt;0,Q552+H552+L552,0)</f>
        <v/>
      </c>
      <c r="S552" s="9">
        <f>VLOOKUP(OPERAC[[#This Row],[especie]],[1]!ESPECIES[#Data],9,FALSE)</f>
        <v/>
      </c>
    </row>
    <row r="553">
      <c r="A553" s="4" t="n">
        <v>1800</v>
      </c>
      <c r="B553" s="5" t="n">
        <v>44719</v>
      </c>
      <c r="C553" s="13" t="inlineStr">
        <is>
          <t>VTA</t>
        </is>
      </c>
      <c r="D553" s="13" t="n">
        <v>39</v>
      </c>
      <c r="E553" s="10">
        <f>IF(D553&gt;0,VLOOKUP(OPERAC[[#This Row],[COD CART]],[1]!MatrizCortoLargoCyl[#All],3,0),"")</f>
        <v/>
      </c>
      <c r="F553" s="13" t="inlineStr">
        <is>
          <t>TSLA/C/800,00/10-06-22</t>
        </is>
      </c>
      <c r="G553" s="6" t="n">
        <v>-500</v>
      </c>
      <c r="H553" s="6" t="n">
        <v>772.2</v>
      </c>
      <c r="I553" s="7">
        <f>-H553/G553</f>
        <v/>
      </c>
      <c r="J553" s="5" t="n">
        <v>44722</v>
      </c>
      <c r="K553" s="6">
        <f>+OPERAC[[#This Row],[cantidad]]</f>
        <v/>
      </c>
      <c r="L553" s="6" t="n">
        <v>0</v>
      </c>
      <c r="M553" s="7">
        <f>IF(N553=0,+L553+H553,0)</f>
        <v/>
      </c>
      <c r="N553" s="7">
        <f>IF((+G553-K553)=0,0,+G553-K553)</f>
        <v/>
      </c>
      <c r="O553" s="7">
        <f>IF(N553=0,0,(L553+H553)/-N553)</f>
        <v/>
      </c>
      <c r="P553" s="7">
        <f>VLOOKUP(OPERAC[[#This Row],[especie]],[1]!ESPECIES[#All],6,0)</f>
        <v/>
      </c>
      <c r="Q553" s="7">
        <f>IF(N553&lt;&gt;0,P553*N553,0)</f>
        <v/>
      </c>
      <c r="R553" s="8">
        <f>IF(Q553&lt;&gt;0,Q553+H553+L553,0)</f>
        <v/>
      </c>
      <c r="S553" s="9">
        <f>VLOOKUP(OPERAC[[#This Row],[especie]],[1]!ESPECIES[#Data],9,FALSE)</f>
        <v/>
      </c>
    </row>
    <row r="554">
      <c r="A554" s="4" t="n">
        <v>22421</v>
      </c>
      <c r="B554" s="5" t="n">
        <v>44636</v>
      </c>
      <c r="C554" s="13" t="inlineStr">
        <is>
          <t>VTA</t>
        </is>
      </c>
      <c r="D554" s="13" t="n">
        <v>39</v>
      </c>
      <c r="E554" s="10">
        <f>IF(D554&gt;0,VLOOKUP(OPERAC[[#This Row],[COD CART]],[1]!MatrizCortoLargoCyl[#All],3,0),"")</f>
        <v/>
      </c>
      <c r="F554" s="13" t="inlineStr">
        <is>
          <t>TSLA/V/700,00/18-03-22</t>
        </is>
      </c>
      <c r="G554" s="6" t="n">
        <v>-2000</v>
      </c>
      <c r="H554" s="6" t="n">
        <v>769.77</v>
      </c>
      <c r="I554" s="7">
        <f>-H554/G554</f>
        <v/>
      </c>
      <c r="J554" s="11" t="n">
        <v>44638</v>
      </c>
      <c r="K554" s="6" t="n">
        <v>-2000</v>
      </c>
      <c r="L554" s="6" t="n">
        <v>0</v>
      </c>
      <c r="M554" s="7">
        <f>IF(N554=0,+L554+H554,0)</f>
        <v/>
      </c>
      <c r="N554" s="7">
        <f>IF((+G554-K554)=0,0,+G554-K554)</f>
        <v/>
      </c>
      <c r="O554" s="7">
        <f>IF(N554=0,0,(L554+H554)/-N554)</f>
        <v/>
      </c>
      <c r="P554" s="7">
        <f>VLOOKUP(OPERAC[[#This Row],[especie]],[1]!ESPECIES[#All],6,0)</f>
        <v/>
      </c>
      <c r="Q554" s="7">
        <f>IF(N554&lt;&gt;0,P554*N554,0)</f>
        <v/>
      </c>
      <c r="R554" s="8">
        <f>IF(Q554&lt;&gt;0,Q554+H554+L554,0)</f>
        <v/>
      </c>
      <c r="S554" s="9">
        <f>VLOOKUP(OPERAC[[#This Row],[especie]],[1]!ESPECIES[#Data],9,FALSE)</f>
        <v/>
      </c>
    </row>
    <row r="555">
      <c r="A555" s="4" t="n">
        <v>3728</v>
      </c>
      <c r="B555" s="5" t="n">
        <v>44678</v>
      </c>
      <c r="C555" s="13" t="inlineStr">
        <is>
          <t>VTA</t>
        </is>
      </c>
      <c r="D555" s="13" t="n">
        <v>39</v>
      </c>
      <c r="E555" s="10">
        <f>IF(D555&gt;0,VLOOKUP(OPERAC[[#This Row],[COD CART]],[1]!MatrizCortoLargoCyl[#All],3,0),"")</f>
        <v/>
      </c>
      <c r="F555" s="13" t="inlineStr">
        <is>
          <t>TSLA/C/980,00/29-04-22</t>
        </is>
      </c>
      <c r="G555" s="6" t="n">
        <v>-500</v>
      </c>
      <c r="H555" s="6" t="n">
        <v>749.25</v>
      </c>
      <c r="I555" s="7">
        <f>-H555/G555</f>
        <v/>
      </c>
      <c r="J555" s="11" t="n">
        <v>44680</v>
      </c>
      <c r="K555" s="6">
        <f>+OPERAC[[#This Row],[cantidad]]</f>
        <v/>
      </c>
      <c r="L555" s="6" t="n">
        <v>0</v>
      </c>
      <c r="M555" s="7">
        <f>IF(N555=0,+L555+H555,0)</f>
        <v/>
      </c>
      <c r="N555" s="7">
        <f>IF((+G555-K555)=0,0,+G555-K555)</f>
        <v/>
      </c>
      <c r="O555" s="7">
        <f>IF(N555=0,0,(L555+H555)/-N555)</f>
        <v/>
      </c>
      <c r="P555" s="7">
        <f>VLOOKUP(OPERAC[[#This Row],[especie]],[1]!ESPECIES[#All],6,0)</f>
        <v/>
      </c>
      <c r="Q555" s="7">
        <f>IF(N555&lt;&gt;0,P555*N555,0)</f>
        <v/>
      </c>
      <c r="R555" s="8">
        <f>IF(Q555&lt;&gt;0,Q555+H555+L555,0)</f>
        <v/>
      </c>
      <c r="S555" s="9">
        <f>VLOOKUP(OPERAC[[#This Row],[especie]],[1]!ESPECIES[#Data],9,FALSE)</f>
        <v/>
      </c>
    </row>
    <row r="556">
      <c r="A556" s="4" t="n">
        <v>2218</v>
      </c>
      <c r="B556" s="5" t="n">
        <v>44678</v>
      </c>
      <c r="C556" s="13" t="inlineStr">
        <is>
          <t>VTA</t>
        </is>
      </c>
      <c r="D556" s="13" t="n">
        <v>39</v>
      </c>
      <c r="E556" s="10">
        <f>IF(D556&gt;0,VLOOKUP(OPERAC[[#This Row],[COD CART]],[1]!MatrizCortoLargoCyl[#All],3,0),"")</f>
        <v/>
      </c>
      <c r="F556" s="13" t="inlineStr">
        <is>
          <t>TSLA/C/980,00/29-04-22</t>
        </is>
      </c>
      <c r="G556" s="6" t="n">
        <v>-500</v>
      </c>
      <c r="H556" s="6" t="n">
        <v>749.25</v>
      </c>
      <c r="I556" s="7">
        <f>-H556/G556</f>
        <v/>
      </c>
      <c r="J556" s="11" t="n">
        <v>44680</v>
      </c>
      <c r="K556" s="6">
        <f>+OPERAC[[#This Row],[cantidad]]</f>
        <v/>
      </c>
      <c r="L556" s="6" t="n">
        <v>0</v>
      </c>
      <c r="M556" s="7">
        <f>IF(N556=0,+L556+H556,0)</f>
        <v/>
      </c>
      <c r="N556" s="7">
        <f>IF((+G556-K556)=0,0,+G556-K556)</f>
        <v/>
      </c>
      <c r="O556" s="7">
        <f>IF(N556=0,0,(L556+H556)/-N556)</f>
        <v/>
      </c>
      <c r="P556" s="7">
        <f>VLOOKUP(OPERAC[[#This Row],[especie]],[1]!ESPECIES[#All],6,0)</f>
        <v/>
      </c>
      <c r="Q556" s="7">
        <f>IF(N556&lt;&gt;0,P556*N556,0)</f>
        <v/>
      </c>
      <c r="R556" s="8">
        <f>IF(Q556&lt;&gt;0,Q556+H556+L556,0)</f>
        <v/>
      </c>
      <c r="S556" s="9">
        <f>VLOOKUP(OPERAC[[#This Row],[especie]],[1]!ESPECIES[#Data],9,FALSE)</f>
        <v/>
      </c>
    </row>
    <row r="557">
      <c r="A557" s="4" t="n">
        <v>2194</v>
      </c>
      <c r="B557" s="5" t="n">
        <v>44581</v>
      </c>
      <c r="C557" s="13" t="inlineStr">
        <is>
          <t>VTA</t>
        </is>
      </c>
      <c r="D557" s="13" t="n">
        <v>39</v>
      </c>
      <c r="E557" s="10">
        <f>IF(D557&gt;0,VLOOKUP(OPERAC[[#This Row],[COD CART]],[1]!MatrizCortoLargoCyl[#All],3,0),"")</f>
        <v/>
      </c>
      <c r="F557" s="13" t="inlineStr">
        <is>
          <t>DIS/V/155,00/18-02-22</t>
        </is>
      </c>
      <c r="G557" s="6" t="n">
        <v>-100</v>
      </c>
      <c r="H557" s="6" t="n">
        <v>743.723</v>
      </c>
      <c r="I557" s="7">
        <f>-H557/G557</f>
        <v/>
      </c>
      <c r="J557" s="11" t="n">
        <v>44607</v>
      </c>
      <c r="K557" s="6" t="n">
        <v>-100</v>
      </c>
      <c r="L557" s="6" t="n">
        <v>-217.42</v>
      </c>
      <c r="M557" s="7">
        <f>IF(N557=0,+L557+H557,0)</f>
        <v/>
      </c>
      <c r="N557" s="7">
        <f>IF((+G557-K557)=0,0,+G557-K557)</f>
        <v/>
      </c>
      <c r="O557" s="7">
        <f>IF(N557=0,0,(L557+H557)/-N557)</f>
        <v/>
      </c>
      <c r="P557" s="7">
        <f>VLOOKUP(OPERAC[[#This Row],[especie]],[1]!ESPECIES[#All],6,0)</f>
        <v/>
      </c>
      <c r="Q557" s="7">
        <f>IF(N557&lt;&gt;0,P557*N557,0)</f>
        <v/>
      </c>
      <c r="R557" s="8">
        <f>IF(Q557&lt;&gt;0,Q557+H557+L557,0)</f>
        <v/>
      </c>
      <c r="S557" s="9">
        <f>VLOOKUP(OPERAC[[#This Row],[especie]],[1]!ESPECIES[#Data],9,FALSE)</f>
        <v/>
      </c>
    </row>
    <row r="558">
      <c r="A558" s="4" t="n">
        <v>3818</v>
      </c>
      <c r="B558" s="5" t="n">
        <v>44595</v>
      </c>
      <c r="C558" s="13" t="inlineStr">
        <is>
          <t>VTA</t>
        </is>
      </c>
      <c r="D558" s="13" t="n">
        <v>39</v>
      </c>
      <c r="E558" s="10">
        <f>IF(D558&gt;0,VLOOKUP(OPERAC[[#This Row],[COD CART]],[1]!MatrizCortoLargoCyl[#All],3,0),"")</f>
        <v/>
      </c>
      <c r="F558" s="13" t="inlineStr">
        <is>
          <t>ROKU/V/145,00/11-02-22</t>
        </is>
      </c>
      <c r="G558" s="6" t="n">
        <v>-100</v>
      </c>
      <c r="H558" s="6" t="n">
        <v>743.593</v>
      </c>
      <c r="I558" s="7">
        <f>-H558/G558</f>
        <v/>
      </c>
      <c r="J558" s="11" t="n">
        <v>44603</v>
      </c>
      <c r="K558" s="6" t="n">
        <v>-100</v>
      </c>
      <c r="L558" s="6" t="n">
        <v>0</v>
      </c>
      <c r="M558" s="7">
        <f>IF(N558=0,+L558+H558,0)</f>
        <v/>
      </c>
      <c r="N558" s="7">
        <f>IF((+G558-K558)=0,0,+G558-K558)</f>
        <v/>
      </c>
      <c r="O558" s="7">
        <f>IF(N558=0,0,(L558+H558)/-N558)</f>
        <v/>
      </c>
      <c r="P558" s="7">
        <f>VLOOKUP(OPERAC[[#This Row],[especie]],[1]!ESPECIES[#All],6,0)</f>
        <v/>
      </c>
      <c r="Q558" s="7">
        <f>IF(N558&lt;&gt;0,P558*N558,0)</f>
        <v/>
      </c>
      <c r="R558" s="8">
        <f>IF(Q558&lt;&gt;0,Q558+H558+L558,0)</f>
        <v/>
      </c>
      <c r="S558" s="9">
        <f>VLOOKUP(OPERAC[[#This Row],[especie]],[1]!ESPECIES[#Data],9,FALSE)</f>
        <v/>
      </c>
    </row>
    <row r="559">
      <c r="A559" s="4" t="n">
        <v>10079</v>
      </c>
      <c r="B559" s="5" t="n">
        <v>44595</v>
      </c>
      <c r="C559" s="13" t="inlineStr">
        <is>
          <t>VTA</t>
        </is>
      </c>
      <c r="D559" s="13" t="n">
        <v>39</v>
      </c>
      <c r="E559" s="10">
        <f>IF(D559&gt;0,VLOOKUP(OPERAC[[#This Row],[COD CART]],[1]!MatrizCortoLargoCyl[#All],3,0),"")</f>
        <v/>
      </c>
      <c r="F559" s="13" t="inlineStr">
        <is>
          <t>ROKU/V/145,00/11-02-22</t>
        </is>
      </c>
      <c r="G559" s="6" t="n">
        <v>-100</v>
      </c>
      <c r="H559" s="6" t="n">
        <v>743.593</v>
      </c>
      <c r="I559" s="7">
        <f>-H559/G559</f>
        <v/>
      </c>
      <c r="J559" s="11" t="n">
        <v>44603</v>
      </c>
      <c r="K559" s="6" t="n">
        <v>-100</v>
      </c>
      <c r="L559" s="6" t="n">
        <v>0</v>
      </c>
      <c r="M559" s="7">
        <f>IF(N559=0,+L559+H559,0)</f>
        <v/>
      </c>
      <c r="N559" s="7">
        <f>IF((+G559-K559)=0,0,+G559-K559)</f>
        <v/>
      </c>
      <c r="O559" s="7">
        <f>IF(N559=0,0,(L559+H559)/-N559)</f>
        <v/>
      </c>
      <c r="P559" s="7">
        <f>VLOOKUP(OPERAC[[#This Row],[especie]],[1]!ESPECIES[#All],6,0)</f>
        <v/>
      </c>
      <c r="Q559" s="7">
        <f>IF(N559&lt;&gt;0,P559*N559,0)</f>
        <v/>
      </c>
      <c r="R559" s="8">
        <f>IF(Q559&lt;&gt;0,Q559+H559+L559,0)</f>
        <v/>
      </c>
      <c r="S559" s="9">
        <f>VLOOKUP(OPERAC[[#This Row],[especie]],[1]!ESPECIES[#Data],9,FALSE)</f>
        <v/>
      </c>
    </row>
    <row r="560">
      <c r="A560" s="4" t="n">
        <v>19881</v>
      </c>
      <c r="B560" s="5" t="n">
        <v>44550</v>
      </c>
      <c r="C560" s="13" t="inlineStr">
        <is>
          <t>VTA</t>
        </is>
      </c>
      <c r="D560" s="13" t="n">
        <v>39</v>
      </c>
      <c r="E560" s="10">
        <f>IF(D560&gt;0,VLOOKUP(OPERAC[[#This Row],[COD CART]],[1]!MatrizCortoLargoCyl[#All],3,0),"")</f>
        <v/>
      </c>
      <c r="F560" s="13" t="inlineStr">
        <is>
          <t>ACB/V/5,50/21-01-22</t>
        </is>
      </c>
      <c r="G560" s="6" t="n">
        <v>-1500</v>
      </c>
      <c r="H560" s="6" t="n">
        <v>742.45</v>
      </c>
      <c r="I560" s="7">
        <f>-H560/G560</f>
        <v/>
      </c>
      <c r="J560" s="11" t="n">
        <v>44581</v>
      </c>
      <c r="K560" s="6">
        <f>+OPERAC[[#This Row],[cantidad]]</f>
        <v/>
      </c>
      <c r="L560" s="6">
        <f>-OPERAC[[#This Row],[importe]]</f>
        <v/>
      </c>
      <c r="M560" s="7">
        <f>IF(N560=0,+L560+H560,0)</f>
        <v/>
      </c>
      <c r="N560" s="7">
        <f>IF((+G560-K560)=0,0,+G560-K560)</f>
        <v/>
      </c>
      <c r="O560" s="7">
        <f>IF(N560=0,0,(L560+H560)/-N560)</f>
        <v/>
      </c>
      <c r="P560" s="7">
        <f>VLOOKUP(OPERAC[[#This Row],[especie]],[1]!ESPECIES[#All],6,0)</f>
        <v/>
      </c>
      <c r="Q560" s="7">
        <f>IF(N560&lt;&gt;0,P560*N560,0)</f>
        <v/>
      </c>
      <c r="R560" s="8">
        <f>IF(Q560&lt;&gt;0,Q560+H560+L560,0)</f>
        <v/>
      </c>
      <c r="S560" s="9">
        <f>VLOOKUP(OPERAC[[#This Row],[especie]],[1]!ESPECIES[#Data],9,FALSE)</f>
        <v/>
      </c>
    </row>
    <row r="561">
      <c r="A561" s="4" t="n">
        <v>13246</v>
      </c>
      <c r="B561" s="5" t="n">
        <v>44341</v>
      </c>
      <c r="C561" s="13" t="inlineStr">
        <is>
          <t>VTA</t>
        </is>
      </c>
      <c r="D561" s="13" t="n">
        <v>39</v>
      </c>
      <c r="E561" s="10">
        <f>IF(D561&gt;0,VLOOKUP(OPERAC[[#This Row],[COD CART]],[1]!MatrizCortoLargoCyl[#All],3,0),"")</f>
        <v/>
      </c>
      <c r="F561" s="13" t="inlineStr">
        <is>
          <t>INO/V/5,00/21-01-22</t>
        </is>
      </c>
      <c r="G561" s="6" t="n">
        <v>-700</v>
      </c>
      <c r="H561" s="6">
        <f>700*1.05</f>
        <v/>
      </c>
      <c r="I561" s="7">
        <f>-H561/G561</f>
        <v/>
      </c>
      <c r="J561" s="11" t="n">
        <v>44580</v>
      </c>
      <c r="K561" s="6" t="n">
        <v>-700</v>
      </c>
      <c r="L561" s="6" t="n">
        <v>-547.127</v>
      </c>
      <c r="M561" s="7">
        <f>IF(N561=0,+L561+H561,0)</f>
        <v/>
      </c>
      <c r="N561" s="7">
        <f>IF((+G561-K561)=0,0,+G561-K561)</f>
        <v/>
      </c>
      <c r="O561" s="7">
        <f>IF(N561=0,0,(L561+H561)/-N561)</f>
        <v/>
      </c>
      <c r="P561" s="7">
        <f>VLOOKUP(OPERAC[[#This Row],[especie]],[1]!ESPECIES[#All],6,0)</f>
        <v/>
      </c>
      <c r="Q561" s="7">
        <f>IF(N561&lt;&gt;0,P561*N561,0)</f>
        <v/>
      </c>
      <c r="R561" s="8">
        <f>IF(Q561&lt;&gt;0,Q561+H561+L561,0)</f>
        <v/>
      </c>
      <c r="S561" s="9">
        <f>VLOOKUP(OPERAC[[#This Row],[especie]],[1]!ESPECIES[#Data],9,FALSE)</f>
        <v/>
      </c>
    </row>
    <row r="562">
      <c r="A562" s="4" t="n">
        <v>12652</v>
      </c>
      <c r="B562" s="5" t="n">
        <v>44669</v>
      </c>
      <c r="C562" s="13" t="inlineStr">
        <is>
          <t>VTA</t>
        </is>
      </c>
      <c r="D562" s="13" t="n">
        <v>39</v>
      </c>
      <c r="E562" s="10">
        <f>IF(D562&gt;0,VLOOKUP(OPERAC[[#This Row],[COD CART]],[1]!MatrizCortoLargoCyl[#All],3,0),"")</f>
        <v/>
      </c>
      <c r="F562" s="13" t="inlineStr">
        <is>
          <t>UPST/V/80,00/22-04-22</t>
        </is>
      </c>
      <c r="G562" s="6" t="n">
        <v>-200</v>
      </c>
      <c r="H562" s="6" t="n">
        <v>733.71</v>
      </c>
      <c r="I562" s="7">
        <f>-H562/G562</f>
        <v/>
      </c>
      <c r="J562" s="11" t="n">
        <v>44673</v>
      </c>
      <c r="K562" s="6" t="n">
        <v>-200</v>
      </c>
      <c r="L562" s="6" t="n">
        <v>-786.63</v>
      </c>
      <c r="M562" s="7">
        <f>IF(N562=0,+L562+H562,0)</f>
        <v/>
      </c>
      <c r="N562" s="7">
        <f>IF((+G562-K562)=0,0,+G562-K562)</f>
        <v/>
      </c>
      <c r="O562" s="7">
        <f>IF(N562=0,0,(L562+H562)/-N562)</f>
        <v/>
      </c>
      <c r="P562" s="7">
        <f>VLOOKUP(OPERAC[[#This Row],[especie]],[1]!ESPECIES[#All],6,0)</f>
        <v/>
      </c>
      <c r="Q562" s="7">
        <f>IF(N562&lt;&gt;0,P562*N562,0)</f>
        <v/>
      </c>
      <c r="R562" s="8">
        <f>IF(Q562&lt;&gt;0,Q562+H562+L562,0)</f>
        <v/>
      </c>
      <c r="S562" s="9">
        <f>VLOOKUP(OPERAC[[#This Row],[especie]],[1]!ESPECIES[#Data],9,FALSE)</f>
        <v/>
      </c>
    </row>
    <row r="563">
      <c r="A563" s="4" t="n">
        <v>6628</v>
      </c>
      <c r="B563" s="5" t="n">
        <v>44616</v>
      </c>
      <c r="C563" s="13" t="inlineStr">
        <is>
          <t>VTA</t>
        </is>
      </c>
      <c r="D563" s="13" t="n">
        <v>39</v>
      </c>
      <c r="E563" s="10">
        <f>IF(D563&gt;0,VLOOKUP(OPERAC[[#This Row],[COD CART]],[1]!MatrizCortoLargoCyl[#All],3,0),"")</f>
        <v/>
      </c>
      <c r="F563" s="13" t="inlineStr">
        <is>
          <t>MELI/V/850,00/25-02-22</t>
        </is>
      </c>
      <c r="G563" s="6" t="n">
        <v>-1000</v>
      </c>
      <c r="H563" s="6" t="n">
        <v>694.4</v>
      </c>
      <c r="I563" s="7">
        <f>-H563/G563</f>
        <v/>
      </c>
      <c r="J563" s="11" t="n">
        <v>44616</v>
      </c>
      <c r="K563" s="6">
        <f>-500-500</f>
        <v/>
      </c>
      <c r="L563" s="6">
        <f>-255.5-100.8</f>
        <v/>
      </c>
      <c r="M563" s="7">
        <f>IF(N563=0,+L563+H563,0)</f>
        <v/>
      </c>
      <c r="N563" s="7">
        <f>IF((+G563-K563)=0,0,+G563-K563)</f>
        <v/>
      </c>
      <c r="O563" s="7">
        <f>IF(N563=0,0,(L563+H563)/-N563)</f>
        <v/>
      </c>
      <c r="P563" s="7">
        <f>VLOOKUP(OPERAC[[#This Row],[especie]],[1]!ESPECIES[#All],6,0)</f>
        <v/>
      </c>
      <c r="Q563" s="7">
        <f>IF(N563&lt;&gt;0,P563*N563,0)</f>
        <v/>
      </c>
      <c r="R563" s="8">
        <f>IF(Q563&lt;&gt;0,Q563+H563+L563,0)</f>
        <v/>
      </c>
      <c r="S563" s="9">
        <f>VLOOKUP(OPERAC[[#This Row],[especie]],[1]!ESPECIES[#Data],9,FALSE)</f>
        <v/>
      </c>
    </row>
    <row r="564">
      <c r="A564" s="4" t="n">
        <v>3728</v>
      </c>
      <c r="B564" s="5" t="n">
        <v>44599</v>
      </c>
      <c r="C564" s="13" t="inlineStr">
        <is>
          <t>VTA</t>
        </is>
      </c>
      <c r="D564" s="13" t="n">
        <v>39</v>
      </c>
      <c r="E564" s="10">
        <f>IF(D564&gt;0,VLOOKUP(OPERAC[[#This Row],[COD CART]],[1]!MatrizCortoLargoCyl[#All],3,0),"")</f>
        <v/>
      </c>
      <c r="F564" s="13" t="inlineStr">
        <is>
          <t>MELI/V/850,00/18-02/22</t>
        </is>
      </c>
      <c r="G564" s="6" t="n">
        <v>-100</v>
      </c>
      <c r="H564" s="6" t="n">
        <v>694</v>
      </c>
      <c r="I564" s="7">
        <f>-H564/G564</f>
        <v/>
      </c>
      <c r="J564" s="11" t="n">
        <v>44610</v>
      </c>
      <c r="K564" s="6" t="n">
        <v>-100</v>
      </c>
      <c r="L564" s="6" t="n">
        <v>0</v>
      </c>
      <c r="M564" s="7">
        <f>IF(N564=0,+L564+H564,0)</f>
        <v/>
      </c>
      <c r="N564" s="7">
        <f>IF((+G564-K564)=0,0,+G564-K564)</f>
        <v/>
      </c>
      <c r="O564" s="7">
        <f>IF(N564=0,0,(L564+H564)/-N564)</f>
        <v/>
      </c>
      <c r="P564" s="7">
        <f>VLOOKUP(OPERAC[[#This Row],[especie]],[1]!ESPECIES[#All],6,0)</f>
        <v/>
      </c>
      <c r="Q564" s="7">
        <f>IF(N564&lt;&gt;0,P564*N564,0)</f>
        <v/>
      </c>
      <c r="R564" s="8">
        <f>IF(Q564&lt;&gt;0,Q564+H564+L564,0)</f>
        <v/>
      </c>
      <c r="S564" s="9">
        <f>VLOOKUP(OPERAC[[#This Row],[especie]],[1]!ESPECIES[#Data],9,FALSE)</f>
        <v/>
      </c>
    </row>
    <row r="565">
      <c r="A565" s="4" t="n">
        <v>12627</v>
      </c>
      <c r="B565" s="5" t="n">
        <v>44547</v>
      </c>
      <c r="C565" s="13" t="inlineStr">
        <is>
          <t>VTA</t>
        </is>
      </c>
      <c r="D565" s="13" t="n">
        <v>39</v>
      </c>
      <c r="E565" s="10">
        <f>IF(D565&gt;0,VLOOKUP(OPERAC[[#This Row],[COD CART]],[1]!MatrizCortoLargoCyl[#All],3,0),"")</f>
        <v/>
      </c>
      <c r="F565" s="13" t="inlineStr">
        <is>
          <t>TLRY/V/8,00/18-02-22</t>
        </is>
      </c>
      <c r="G565" s="6" t="n">
        <v>-500</v>
      </c>
      <c r="H565" s="6" t="n">
        <v>691.8955000000001</v>
      </c>
      <c r="I565" s="7">
        <f>-H565/G565</f>
        <v/>
      </c>
      <c r="J565" s="11" t="n">
        <v>44601</v>
      </c>
      <c r="K565" s="6" t="n">
        <v>-500</v>
      </c>
      <c r="L565" s="6">
        <f>1.38*OPERAC[[#This Row],[cantidad venta]]</f>
        <v/>
      </c>
      <c r="M565" s="7">
        <f>IF(N565=0,+L565+H565,0)</f>
        <v/>
      </c>
      <c r="N565" s="7">
        <f>IF((+G565-K565)=0,0,+G565-K565)</f>
        <v/>
      </c>
      <c r="O565" s="7">
        <f>IF(N565=0,0,(L565+H565)/-N565)</f>
        <v/>
      </c>
      <c r="P565" s="7">
        <f>VLOOKUP(OPERAC[[#This Row],[especie]],[1]!ESPECIES[#All],6,0)</f>
        <v/>
      </c>
      <c r="Q565" s="7">
        <f>IF(N565&lt;&gt;0,P565*N565,0)</f>
        <v/>
      </c>
      <c r="R565" s="8">
        <f>IF(Q565&lt;&gt;0,Q565+H565+L565,0)</f>
        <v/>
      </c>
      <c r="S565" s="9">
        <f>VLOOKUP(OPERAC[[#This Row],[especie]],[1]!ESPECIES[#Data],9,FALSE)</f>
        <v/>
      </c>
    </row>
    <row r="566">
      <c r="A566" s="4" t="n">
        <v>12684</v>
      </c>
      <c r="B566" s="5" t="n">
        <v>44547</v>
      </c>
      <c r="C566" s="13" t="inlineStr">
        <is>
          <t>VTA</t>
        </is>
      </c>
      <c r="D566" s="13" t="n">
        <v>39</v>
      </c>
      <c r="E566" s="10">
        <f>IF(D566&gt;0,VLOOKUP(OPERAC[[#This Row],[COD CART]],[1]!MatrizCortoLargoCyl[#All],3,0),"")</f>
        <v/>
      </c>
      <c r="F566" s="13" t="inlineStr">
        <is>
          <t>TLRY/V/8,00/18-02-22</t>
        </is>
      </c>
      <c r="G566" s="6" t="n">
        <v>-500</v>
      </c>
      <c r="H566" s="6" t="n">
        <v>691.8955000000001</v>
      </c>
      <c r="I566" s="7">
        <f>-H566/G566</f>
        <v/>
      </c>
      <c r="J566" s="11" t="n">
        <v>44601</v>
      </c>
      <c r="K566" s="6" t="n">
        <v>-500</v>
      </c>
      <c r="L566" s="6">
        <f>1.38*OPERAC[[#This Row],[cantidad venta]]</f>
        <v/>
      </c>
      <c r="M566" s="7">
        <f>IF(N566=0,+L566+H566,0)</f>
        <v/>
      </c>
      <c r="N566" s="7">
        <f>IF((+G566-K566)=0,0,+G566-K566)</f>
        <v/>
      </c>
      <c r="O566" s="7">
        <f>IF(N566=0,0,(L566+H566)/-N566)</f>
        <v/>
      </c>
      <c r="P566" s="7">
        <f>VLOOKUP(OPERAC[[#This Row],[especie]],[1]!ESPECIES[#All],6,0)</f>
        <v/>
      </c>
      <c r="Q566" s="7">
        <f>IF(N566&lt;&gt;0,P566*N566,0)</f>
        <v/>
      </c>
      <c r="R566" s="8">
        <f>IF(Q566&lt;&gt;0,Q566+H566+L566,0)</f>
        <v/>
      </c>
      <c r="S566" s="9">
        <f>VLOOKUP(OPERAC[[#This Row],[especie]],[1]!ESPECIES[#Data],9,FALSE)</f>
        <v/>
      </c>
    </row>
    <row r="567">
      <c r="A567" s="4" t="n">
        <v>18697</v>
      </c>
      <c r="B567" s="5" t="n">
        <v>44547</v>
      </c>
      <c r="C567" s="13" t="inlineStr">
        <is>
          <t>VTA</t>
        </is>
      </c>
      <c r="D567" s="13" t="n">
        <v>39</v>
      </c>
      <c r="E567" s="10">
        <f>IF(D567&gt;0,VLOOKUP(OPERAC[[#This Row],[COD CART]],[1]!MatrizCortoLargoCyl[#All],3,0),"")</f>
        <v/>
      </c>
      <c r="F567" s="13" t="inlineStr">
        <is>
          <t>TLRY/V/8,00/18-02-22</t>
        </is>
      </c>
      <c r="G567" s="6" t="n">
        <v>-500</v>
      </c>
      <c r="H567" s="6" t="n">
        <v>691.8955000000001</v>
      </c>
      <c r="I567" s="7">
        <f>-H567/G567</f>
        <v/>
      </c>
      <c r="J567" s="11" t="n">
        <v>44601</v>
      </c>
      <c r="K567" s="6" t="n">
        <v>-500</v>
      </c>
      <c r="L567" s="6">
        <f>1.38*OPERAC[[#This Row],[cantidad venta]]</f>
        <v/>
      </c>
      <c r="M567" s="7">
        <f>IF(N567=0,+L567+H567,0)</f>
        <v/>
      </c>
      <c r="N567" s="7">
        <f>IF((+G567-K567)=0,0,+G567-K567)</f>
        <v/>
      </c>
      <c r="O567" s="7">
        <f>IF(N567=0,0,(L567+H567)/-N567)</f>
        <v/>
      </c>
      <c r="P567" s="7">
        <f>VLOOKUP(OPERAC[[#This Row],[especie]],[1]!ESPECIES[#All],6,0)</f>
        <v/>
      </c>
      <c r="Q567" s="7">
        <f>IF(N567&lt;&gt;0,P567*N567,0)</f>
        <v/>
      </c>
      <c r="R567" s="8">
        <f>IF(Q567&lt;&gt;0,Q567+H567+L567,0)</f>
        <v/>
      </c>
      <c r="S567" s="9">
        <f>VLOOKUP(OPERAC[[#This Row],[especie]],[1]!ESPECIES[#Data],9,FALSE)</f>
        <v/>
      </c>
    </row>
    <row r="568">
      <c r="A568" s="4" t="n">
        <v>13240</v>
      </c>
      <c r="B568" s="5" t="n">
        <v>44589</v>
      </c>
      <c r="C568" s="13" t="inlineStr">
        <is>
          <t>VTA</t>
        </is>
      </c>
      <c r="D568" s="13" t="n">
        <v>39</v>
      </c>
      <c r="E568" s="10">
        <f>IF(D568&gt;0,VLOOKUP(OPERAC[[#This Row],[COD CART]],[1]!MatrizCortoLargoCyl[#All],3,0),"")</f>
        <v/>
      </c>
      <c r="F568" s="13" t="inlineStr">
        <is>
          <t>TSLA/V/680,00/04-02-22</t>
        </is>
      </c>
      <c r="G568" s="6" t="n">
        <v>-300</v>
      </c>
      <c r="H568" s="6" t="n">
        <v>684.477355</v>
      </c>
      <c r="I568" s="7">
        <f>-H568/G568</f>
        <v/>
      </c>
      <c r="J568" s="11" t="n">
        <v>44596</v>
      </c>
      <c r="K568" s="6">
        <f>+OPERAC[[#This Row],[cantidad]]</f>
        <v/>
      </c>
      <c r="L568" s="6" t="n">
        <v>-6.048</v>
      </c>
      <c r="M568" s="7">
        <f>IF(N568=0,+L568+H568,0)</f>
        <v/>
      </c>
      <c r="N568" s="7">
        <f>IF((+G568-K568)=0,0,+G568-K568)</f>
        <v/>
      </c>
      <c r="O568" s="7">
        <f>IF(N568=0,0,(L568+H568)/-N568)</f>
        <v/>
      </c>
      <c r="P568" s="7">
        <f>VLOOKUP(OPERAC[[#This Row],[especie]],[1]!ESPECIES[#All],6,0)</f>
        <v/>
      </c>
      <c r="Q568" s="7">
        <f>IF(N568&lt;&gt;0,P568*N568,0)</f>
        <v/>
      </c>
      <c r="R568" s="8">
        <f>IF(Q568&lt;&gt;0,Q568+H568+L568,0)</f>
        <v/>
      </c>
      <c r="S568" s="9">
        <f>VLOOKUP(OPERAC[[#This Row],[especie]],[1]!ESPECIES[#Data],9,FALSE)</f>
        <v/>
      </c>
    </row>
    <row r="569">
      <c r="A569" s="4" t="n">
        <v>2218</v>
      </c>
      <c r="B569" s="5" t="n">
        <v>44693</v>
      </c>
      <c r="C569" s="13" t="inlineStr">
        <is>
          <t>VTA</t>
        </is>
      </c>
      <c r="D569" s="13" t="n">
        <v>39</v>
      </c>
      <c r="E569" s="10">
        <f>IF(D569&gt;0,VLOOKUP(OPERAC[[#This Row],[COD CART]],[1]!MatrizCortoLargoCyl[#All],3,0),"")</f>
        <v/>
      </c>
      <c r="F569" s="13" t="inlineStr">
        <is>
          <t>TSLA/V/400,00/19-01-24</t>
        </is>
      </c>
      <c r="G569" s="6" t="n">
        <v>-10</v>
      </c>
      <c r="H569" s="6" t="n">
        <v>684.3099999999999</v>
      </c>
      <c r="I569" s="7">
        <f>-H569/G569</f>
        <v/>
      </c>
      <c r="J569" s="11" t="n"/>
      <c r="K569" s="6" t="n"/>
      <c r="L569" s="6" t="n"/>
      <c r="M569" s="7">
        <f>IF(N569=0,+L569+H569,0)</f>
        <v/>
      </c>
      <c r="N569" s="7">
        <f>IF((+G569-K569)=0,0,+G569-K569)</f>
        <v/>
      </c>
      <c r="O569" s="7">
        <f>IF(N569=0,0,(L569+H569)/-N569)</f>
        <v/>
      </c>
      <c r="P569" s="7">
        <f>VLOOKUP(OPERAC[[#This Row],[especie]],[1]!ESPECIES[#All],6,0)</f>
        <v/>
      </c>
      <c r="Q569" s="7">
        <f>IF(N569&lt;&gt;0,P569*N569,0)</f>
        <v/>
      </c>
      <c r="R569" s="8">
        <f>IF(Q569&lt;&gt;0,Q569+H569+L569,0)</f>
        <v/>
      </c>
      <c r="S569" s="9">
        <f>VLOOKUP(OPERAC[[#This Row],[especie]],[1]!ESPECIES[#Data],9,FALSE)</f>
        <v/>
      </c>
    </row>
    <row r="570">
      <c r="A570" s="4" t="n">
        <v>16780</v>
      </c>
      <c r="B570" s="5" t="n">
        <v>44608</v>
      </c>
      <c r="C570" s="13" t="inlineStr">
        <is>
          <t>VTA</t>
        </is>
      </c>
      <c r="D570" s="13" t="n">
        <v>39</v>
      </c>
      <c r="E570" s="10">
        <f>IF(D570&gt;0,VLOOKUP(OPERAC[[#This Row],[COD CART]],[1]!MatrizCortoLargoCyl[#All],3,0),"")</f>
        <v/>
      </c>
      <c r="F570" s="13" t="inlineStr">
        <is>
          <t>SOLO/V/3,00/18-03-22</t>
        </is>
      </c>
      <c r="G570" s="6" t="n">
        <v>-800</v>
      </c>
      <c r="H570" s="6" t="n">
        <v>684.032</v>
      </c>
      <c r="I570" s="7">
        <f>-H570/G570</f>
        <v/>
      </c>
      <c r="J570" s="11" t="n">
        <v>44616</v>
      </c>
      <c r="K570" s="6" t="n">
        <v>-800</v>
      </c>
      <c r="L570" s="6" t="n">
        <v>-970.87</v>
      </c>
      <c r="M570" s="7">
        <f>IF(N570=0,+L570+H570,0)</f>
        <v/>
      </c>
      <c r="N570" s="7">
        <f>IF((+G570-K570)=0,0,+G570-K570)</f>
        <v/>
      </c>
      <c r="O570" s="7">
        <f>IF(N570=0,0,(L570+H570)/-N570)</f>
        <v/>
      </c>
      <c r="P570" s="7">
        <f>VLOOKUP(OPERAC[[#This Row],[especie]],[1]!ESPECIES[#All],6,0)</f>
        <v/>
      </c>
      <c r="Q570" s="7">
        <f>IF(N570&lt;&gt;0,P570*N570,0)</f>
        <v/>
      </c>
      <c r="R570" s="8">
        <f>IF(Q570&lt;&gt;0,Q570+H570+L570,0)</f>
        <v/>
      </c>
      <c r="S570" s="9">
        <f>VLOOKUP(OPERAC[[#This Row],[especie]],[1]!ESPECIES[#Data],9,FALSE)</f>
        <v/>
      </c>
    </row>
    <row r="571">
      <c r="A571" s="4" t="n">
        <v>16795</v>
      </c>
      <c r="B571" s="5" t="n">
        <v>44608</v>
      </c>
      <c r="C571" s="13" t="inlineStr">
        <is>
          <t>VTA</t>
        </is>
      </c>
      <c r="D571" s="13" t="n">
        <v>39</v>
      </c>
      <c r="E571" s="10">
        <f>IF(D571&gt;0,VLOOKUP(OPERAC[[#This Row],[COD CART]],[1]!MatrizCortoLargoCyl[#All],3,0),"")</f>
        <v/>
      </c>
      <c r="F571" s="13" t="inlineStr">
        <is>
          <t>SOLO/V/3,00/18-03-22</t>
        </is>
      </c>
      <c r="G571" s="6" t="n">
        <v>-800</v>
      </c>
      <c r="H571" s="6" t="n">
        <v>684.032</v>
      </c>
      <c r="I571" s="7">
        <f>-H571/G571</f>
        <v/>
      </c>
      <c r="J571" s="11" t="n">
        <v>44634</v>
      </c>
      <c r="K571" s="6" t="n">
        <v>-800</v>
      </c>
      <c r="L571" s="6" t="n">
        <v>-962.808</v>
      </c>
      <c r="M571" s="7">
        <f>IF(N571=0,+L571+H571,0)</f>
        <v/>
      </c>
      <c r="N571" s="7">
        <f>IF((+G571-K571)=0,0,+G571-K571)</f>
        <v/>
      </c>
      <c r="O571" s="7">
        <f>IF(N571=0,0,(L571+H571)/-N571)</f>
        <v/>
      </c>
      <c r="P571" s="7">
        <f>VLOOKUP(OPERAC[[#This Row],[especie]],[1]!ESPECIES[#All],6,0)</f>
        <v/>
      </c>
      <c r="Q571" s="7">
        <f>IF(N571&lt;&gt;0,P571*N571,0)</f>
        <v/>
      </c>
      <c r="R571" s="8">
        <f>IF(Q571&lt;&gt;0,Q571+H571+L571,0)</f>
        <v/>
      </c>
      <c r="S571" s="9">
        <f>VLOOKUP(OPERAC[[#This Row],[especie]],[1]!ESPECIES[#Data],9,FALSE)</f>
        <v/>
      </c>
    </row>
    <row r="572">
      <c r="A572" s="4" t="n">
        <v>18690</v>
      </c>
      <c r="B572" s="5" t="n">
        <v>44608</v>
      </c>
      <c r="C572" s="13" t="inlineStr">
        <is>
          <t>VTA</t>
        </is>
      </c>
      <c r="D572" s="13" t="n">
        <v>39</v>
      </c>
      <c r="E572" s="10">
        <f>IF(D572&gt;0,VLOOKUP(OPERAC[[#This Row],[COD CART]],[1]!MatrizCortoLargoCyl[#All],3,0),"")</f>
        <v/>
      </c>
      <c r="F572" s="13" t="inlineStr">
        <is>
          <t>SOLO/V/3,00/18-03-22</t>
        </is>
      </c>
      <c r="G572" s="6" t="n">
        <v>-800</v>
      </c>
      <c r="H572" s="6" t="n">
        <v>684.032</v>
      </c>
      <c r="I572" s="7">
        <f>-H572/G572</f>
        <v/>
      </c>
      <c r="J572" s="11" t="n">
        <v>44614</v>
      </c>
      <c r="K572" s="6">
        <f>+OPERAC[[#This Row],[cantidad]]</f>
        <v/>
      </c>
      <c r="L572" s="6">
        <f>+OPERAC[[#This Row],[cantidad venta]]*1.113</f>
        <v/>
      </c>
      <c r="M572" s="7">
        <f>IF(N572=0,+L572+H572,0)</f>
        <v/>
      </c>
      <c r="N572" s="7">
        <f>IF((+G572-K572)=0,0,+G572-K572)</f>
        <v/>
      </c>
      <c r="O572" s="7">
        <f>IF(N572=0,0,(L572+H572)/-N572)</f>
        <v/>
      </c>
      <c r="P572" s="7">
        <f>VLOOKUP(OPERAC[[#This Row],[especie]],[1]!ESPECIES[#All],6,0)</f>
        <v/>
      </c>
      <c r="Q572" s="7">
        <f>IF(N572&lt;&gt;0,P572*N572,0)</f>
        <v/>
      </c>
      <c r="R572" s="8">
        <f>IF(Q572&lt;&gt;0,Q572+H572+L572,0)</f>
        <v/>
      </c>
      <c r="S572" s="9">
        <f>VLOOKUP(OPERAC[[#This Row],[especie]],[1]!ESPECIES[#Data],9,FALSE)</f>
        <v/>
      </c>
    </row>
    <row r="573">
      <c r="A573" s="4" t="n">
        <v>19867</v>
      </c>
      <c r="B573" s="5" t="n">
        <v>44608</v>
      </c>
      <c r="C573" s="13" t="inlineStr">
        <is>
          <t>VTA</t>
        </is>
      </c>
      <c r="D573" s="13" t="n">
        <v>39</v>
      </c>
      <c r="E573" s="10">
        <f>IF(D573&gt;0,VLOOKUP(OPERAC[[#This Row],[COD CART]],[1]!MatrizCortoLargoCyl[#All],3,0),"")</f>
        <v/>
      </c>
      <c r="F573" s="13" t="inlineStr">
        <is>
          <t>SOLO/V/3,00/18-03-22</t>
        </is>
      </c>
      <c r="G573" s="6" t="n">
        <v>-800</v>
      </c>
      <c r="H573" s="6" t="n">
        <v>684.032</v>
      </c>
      <c r="I573" s="7">
        <f>-H573/G573</f>
        <v/>
      </c>
      <c r="J573" s="11" t="n">
        <v>44614</v>
      </c>
      <c r="K573" s="6">
        <f>+OPERAC[[#This Row],[cantidad]]</f>
        <v/>
      </c>
      <c r="L573" s="6">
        <f>+OPERAC[[#This Row],[cantidad venta]]*1.113</f>
        <v/>
      </c>
      <c r="M573" s="7">
        <f>IF(N573=0,+L573+H573,0)</f>
        <v/>
      </c>
      <c r="N573" s="7">
        <f>IF((+G573-K573)=0,0,+G573-K573)</f>
        <v/>
      </c>
      <c r="O573" s="7">
        <f>IF(N573=0,0,(L573+H573)/-N573)</f>
        <v/>
      </c>
      <c r="P573" s="7">
        <f>VLOOKUP(OPERAC[[#This Row],[especie]],[1]!ESPECIES[#All],6,0)</f>
        <v/>
      </c>
      <c r="Q573" s="7">
        <f>IF(N573&lt;&gt;0,P573*N573,0)</f>
        <v/>
      </c>
      <c r="R573" s="8">
        <f>IF(Q573&lt;&gt;0,Q573+H573+L573,0)</f>
        <v/>
      </c>
      <c r="S573" s="9">
        <f>VLOOKUP(OPERAC[[#This Row],[especie]],[1]!ESPECIES[#Data],9,FALSE)</f>
        <v/>
      </c>
    </row>
    <row r="574">
      <c r="A574" s="4" t="n">
        <v>19878</v>
      </c>
      <c r="B574" s="5" t="n">
        <v>44608</v>
      </c>
      <c r="C574" s="13" t="inlineStr">
        <is>
          <t>VTA</t>
        </is>
      </c>
      <c r="D574" s="13" t="n">
        <v>39</v>
      </c>
      <c r="E574" s="10">
        <f>IF(D574&gt;0,VLOOKUP(OPERAC[[#This Row],[COD CART]],[1]!MatrizCortoLargoCyl[#All],3,0),"")</f>
        <v/>
      </c>
      <c r="F574" s="13" t="inlineStr">
        <is>
          <t>SOLO/V/3,00/18-03-22</t>
        </is>
      </c>
      <c r="G574" s="6" t="n">
        <v>-800</v>
      </c>
      <c r="H574" s="6" t="n">
        <v>684.032</v>
      </c>
      <c r="I574" s="7">
        <f>-H574/G574</f>
        <v/>
      </c>
      <c r="J574" s="11" t="n">
        <v>44614</v>
      </c>
      <c r="K574" s="6">
        <f>+OPERAC[[#This Row],[cantidad]]</f>
        <v/>
      </c>
      <c r="L574" s="6">
        <f>+OPERAC[[#This Row],[cantidad venta]]*1.113</f>
        <v/>
      </c>
      <c r="M574" s="7">
        <f>IF(N574=0,+L574+H574,0)</f>
        <v/>
      </c>
      <c r="N574" s="7">
        <f>IF((+G574-K574)=0,0,+G574-K574)</f>
        <v/>
      </c>
      <c r="O574" s="7">
        <f>IF(N574=0,0,(L574+H574)/-N574)</f>
        <v/>
      </c>
      <c r="P574" s="7">
        <f>VLOOKUP(OPERAC[[#This Row],[especie]],[1]!ESPECIES[#All],6,0)</f>
        <v/>
      </c>
      <c r="Q574" s="7">
        <f>IF(N574&lt;&gt;0,P574*N574,0)</f>
        <v/>
      </c>
      <c r="R574" s="8">
        <f>IF(Q574&lt;&gt;0,Q574+H574+L574,0)</f>
        <v/>
      </c>
      <c r="S574" s="9">
        <f>VLOOKUP(OPERAC[[#This Row],[especie]],[1]!ESPECIES[#Data],9,FALSE)</f>
        <v/>
      </c>
    </row>
    <row r="575">
      <c r="A575" s="4" t="n">
        <v>18711</v>
      </c>
      <c r="B575" s="5" t="n">
        <v>44676</v>
      </c>
      <c r="C575" s="13" t="inlineStr">
        <is>
          <t>VTA</t>
        </is>
      </c>
      <c r="D575" s="13" t="n">
        <v>39</v>
      </c>
      <c r="E575" s="10">
        <f>IF(D575&gt;0,VLOOKUP(OPERAC[[#This Row],[COD CART]],[1]!MatrizCortoLargoCyl[#All],3,0),"")</f>
        <v/>
      </c>
      <c r="F575" s="13" t="inlineStr">
        <is>
          <t>UPST/V/67,00/06-05-22</t>
        </is>
      </c>
      <c r="G575" s="6" t="n">
        <v>-300</v>
      </c>
      <c r="H575" s="6" t="n">
        <v>669.2625</v>
      </c>
      <c r="I575" s="7">
        <f>-H575/G575</f>
        <v/>
      </c>
      <c r="J575" s="11" t="n">
        <v>44687</v>
      </c>
      <c r="K575" s="6">
        <f>OPERAC[[#This Row],[cantidad]]</f>
        <v/>
      </c>
      <c r="L575" s="6" t="n">
        <v>0</v>
      </c>
      <c r="M575" s="7">
        <f>IF(N575=0,+L575+H575,0)</f>
        <v/>
      </c>
      <c r="N575" s="7">
        <f>IF((+G575-K575)=0,0,+G575-K575)</f>
        <v/>
      </c>
      <c r="O575" s="7">
        <f>IF(N575=0,0,(L575+H575)/-N575)</f>
        <v/>
      </c>
      <c r="P575" s="7">
        <f>VLOOKUP(OPERAC[[#This Row],[especie]],[1]!ESPECIES[#All],6,0)</f>
        <v/>
      </c>
      <c r="Q575" s="7">
        <f>IF(N575&lt;&gt;0,P575*N575,0)</f>
        <v/>
      </c>
      <c r="R575" s="8">
        <f>IF(Q575&lt;&gt;0,Q575+H575+L575,0)</f>
        <v/>
      </c>
      <c r="S575" s="9">
        <f>VLOOKUP(OPERAC[[#This Row],[especie]],[1]!ESPECIES[#Data],9,FALSE)</f>
        <v/>
      </c>
    </row>
    <row r="576">
      <c r="A576" s="4" t="n">
        <v>1800</v>
      </c>
      <c r="B576" s="5" t="n">
        <v>44719</v>
      </c>
      <c r="C576" s="13" t="inlineStr">
        <is>
          <t>VTA</t>
        </is>
      </c>
      <c r="D576" s="13" t="n">
        <v>39</v>
      </c>
      <c r="E576" s="10">
        <f>IF(D576&gt;0,VLOOKUP(OPERAC[[#This Row],[COD CART]],[1]!MatrizCortoLargoCyl[#All],3,0),"")</f>
        <v/>
      </c>
      <c r="F576" s="13" t="inlineStr">
        <is>
          <t>TSLA/P/615,00/10-06-22</t>
        </is>
      </c>
      <c r="G576" s="6" t="n">
        <v>-400</v>
      </c>
      <c r="H576" s="6" t="n">
        <v>667.062</v>
      </c>
      <c r="I576" s="7">
        <f>-H576/G576</f>
        <v/>
      </c>
      <c r="J576" s="5" t="n">
        <v>44719</v>
      </c>
      <c r="K576" s="6" t="n">
        <v>-400</v>
      </c>
      <c r="L576" s="6" t="n">
        <v>-432.2431</v>
      </c>
      <c r="M576" s="7">
        <f>IF(N576=0,+L576+H576,0)</f>
        <v/>
      </c>
      <c r="N576" s="7">
        <f>IF((+G576-K576)=0,0,+G576-K576)</f>
        <v/>
      </c>
      <c r="O576" s="7">
        <f>IF(N576=0,0,(L576+H576)/-N576)</f>
        <v/>
      </c>
      <c r="P576" s="7">
        <f>VLOOKUP(OPERAC[[#This Row],[especie]],[1]!ESPECIES[#All],6,0)</f>
        <v/>
      </c>
      <c r="Q576" s="7">
        <f>IF(N576&lt;&gt;0,P576*N576,0)</f>
        <v/>
      </c>
      <c r="R576" s="8">
        <f>IF(Q576&lt;&gt;0,Q576+H576+L576,0)</f>
        <v/>
      </c>
      <c r="S576" s="9">
        <f>VLOOKUP(OPERAC[[#This Row],[especie]],[1]!ESPECIES[#Data],9,FALSE)</f>
        <v/>
      </c>
    </row>
    <row r="577">
      <c r="A577" s="4" t="n">
        <v>22433</v>
      </c>
      <c r="B577" s="5" t="n">
        <v>44714</v>
      </c>
      <c r="C577" s="13" t="inlineStr">
        <is>
          <t>VTA</t>
        </is>
      </c>
      <c r="D577" s="13" t="n">
        <v>39</v>
      </c>
      <c r="E577" s="10">
        <f>IF(D577&gt;0,VLOOKUP(OPERAC[[#This Row],[COD CART]],[1]!MatrizCortoLargoCyl[#All],3,0),"")</f>
        <v/>
      </c>
      <c r="F577" s="14" t="inlineStr">
        <is>
          <t>TSLA/C/850,00/03-06-22</t>
        </is>
      </c>
      <c r="G577" s="6" t="n">
        <v>-500</v>
      </c>
      <c r="H577" s="6" t="n">
        <v>659.3475</v>
      </c>
      <c r="I577" s="7">
        <f>-H577/G577</f>
        <v/>
      </c>
      <c r="J577" s="5" t="n">
        <v>44715</v>
      </c>
      <c r="K577" s="6">
        <f>+OPERAC[[#This Row],[cantidad]]</f>
        <v/>
      </c>
      <c r="L577" s="6" t="n">
        <v>0</v>
      </c>
      <c r="M577" s="7">
        <f>IF(N577=0,+L577+H577,0)</f>
        <v/>
      </c>
      <c r="N577" s="7">
        <f>IF((+G577-K577)=0,0,+G577-K577)</f>
        <v/>
      </c>
      <c r="O577" s="7">
        <f>IF(N577=0,0,(L577+H577)/-N577)</f>
        <v/>
      </c>
      <c r="P577" s="7">
        <f>VLOOKUP(OPERAC[[#This Row],[especie]],[1]!ESPECIES[#All],6,0)</f>
        <v/>
      </c>
      <c r="Q577" s="7">
        <f>IF(N577&lt;&gt;0,P577*N577,0)</f>
        <v/>
      </c>
      <c r="R577" s="8">
        <f>IF(Q577&lt;&gt;0,Q577+H577+L577,0)</f>
        <v/>
      </c>
      <c r="S577" s="9">
        <f>VLOOKUP(OPERAC[[#This Row],[especie]],[1]!ESPECIES[#Data],9,FALSE)</f>
        <v/>
      </c>
    </row>
    <row r="578">
      <c r="A578" s="4" t="n">
        <v>16818</v>
      </c>
      <c r="B578" s="5" t="n">
        <v>44573</v>
      </c>
      <c r="C578" s="13" t="inlineStr">
        <is>
          <t>VTA</t>
        </is>
      </c>
      <c r="D578" s="13" t="n">
        <v>39</v>
      </c>
      <c r="E578" s="10">
        <f>IF(D578&gt;0,VLOOKUP(OPERAC[[#This Row],[COD CART]],[1]!MatrizCortoLargoCyl[#All],3,0),"")</f>
        <v/>
      </c>
      <c r="F578" s="13" t="inlineStr">
        <is>
          <t>ROKU/V/170,00/21-01-22</t>
        </is>
      </c>
      <c r="G578" s="6" t="n">
        <v>-200</v>
      </c>
      <c r="H578" s="6" t="n">
        <v>656.5599999999999</v>
      </c>
      <c r="I578" s="7">
        <f>-H578/G578</f>
        <v/>
      </c>
      <c r="J578" s="11" t="n">
        <v>44582</v>
      </c>
      <c r="K578" s="6" t="n">
        <v>-200</v>
      </c>
      <c r="L578" s="6">
        <f>-OPERAC[[#This Row],[importe]]</f>
        <v/>
      </c>
      <c r="M578" s="7">
        <f>IF(N578=0,+L578+H578,0)</f>
        <v/>
      </c>
      <c r="N578" s="7">
        <f>IF((+G578-K578)=0,0,+G578-K578)</f>
        <v/>
      </c>
      <c r="O578" s="7">
        <f>IF(N578=0,0,(L578+H578)/-N578)</f>
        <v/>
      </c>
      <c r="P578" s="7">
        <f>VLOOKUP(OPERAC[[#This Row],[especie]],[1]!ESPECIES[#All],6,0)</f>
        <v/>
      </c>
      <c r="Q578" s="7">
        <f>IF(N578&lt;&gt;0,P578*N578,0)</f>
        <v/>
      </c>
      <c r="R578" s="8">
        <f>IF(Q578&lt;&gt;0,Q578+H578+L578,0)</f>
        <v/>
      </c>
      <c r="S578" s="9">
        <f>VLOOKUP(OPERAC[[#This Row],[especie]],[1]!ESPECIES[#Data],9,FALSE)</f>
        <v/>
      </c>
    </row>
    <row r="579">
      <c r="A579" s="4" t="n">
        <v>2194</v>
      </c>
      <c r="B579" s="5" t="n">
        <v>44581</v>
      </c>
      <c r="C579" s="13" t="inlineStr">
        <is>
          <t>VTA</t>
        </is>
      </c>
      <c r="D579" s="13" t="n">
        <v>39</v>
      </c>
      <c r="E579" s="10">
        <f>IF(D579&gt;0,VLOOKUP(OPERAC[[#This Row],[COD CART]],[1]!MatrizCortoLargoCyl[#All],3,0),"")</f>
        <v/>
      </c>
      <c r="F579" s="13" t="inlineStr">
        <is>
          <t>ACB/V/5,50/25-02-22</t>
        </is>
      </c>
      <c r="G579" s="6" t="n">
        <v>-800</v>
      </c>
      <c r="H579" s="6" t="n">
        <v>656.4964</v>
      </c>
      <c r="I579" s="7">
        <f>-H579/G579</f>
        <v/>
      </c>
      <c r="J579" s="11" t="n">
        <v>44614</v>
      </c>
      <c r="K579" s="6" t="n">
        <v>-800</v>
      </c>
      <c r="L579" s="6" t="n">
        <v>-656</v>
      </c>
      <c r="M579" s="7">
        <f>IF(N579=0,+L579+H579,0)</f>
        <v/>
      </c>
      <c r="N579" s="7">
        <f>IF((+G579-K579)=0,0,+G579-K579)</f>
        <v/>
      </c>
      <c r="O579" s="7">
        <f>IF(N579=0,0,(L579+H579)/-N579)</f>
        <v/>
      </c>
      <c r="P579" s="7">
        <f>VLOOKUP(OPERAC[[#This Row],[especie]],[1]!ESPECIES[#All],6,0)</f>
        <v/>
      </c>
      <c r="Q579" s="7">
        <f>IF(N579&lt;&gt;0,P579*N579,0)</f>
        <v/>
      </c>
      <c r="R579" s="8">
        <f>IF(Q579&lt;&gt;0,Q579+H579+L579,0)</f>
        <v/>
      </c>
      <c r="S579" s="9">
        <f>VLOOKUP(OPERAC[[#This Row],[especie]],[1]!ESPECIES[#Data],9,FALSE)</f>
        <v/>
      </c>
    </row>
    <row r="580">
      <c r="A580" s="4" t="n">
        <v>2289</v>
      </c>
      <c r="B580" s="5" t="n">
        <v>44581</v>
      </c>
      <c r="C580" s="13" t="inlineStr">
        <is>
          <t>VTA</t>
        </is>
      </c>
      <c r="D580" s="13" t="n">
        <v>39</v>
      </c>
      <c r="E580" s="10">
        <f>IF(D580&gt;0,VLOOKUP(OPERAC[[#This Row],[COD CART]],[1]!MatrizCortoLargoCyl[#All],3,0),"")</f>
        <v/>
      </c>
      <c r="F580" s="13" t="inlineStr">
        <is>
          <t>ACB/V/5,50/25-02-22</t>
        </is>
      </c>
      <c r="G580" s="6" t="n">
        <v>-800</v>
      </c>
      <c r="H580" s="6" t="n">
        <v>656.4964</v>
      </c>
      <c r="I580" s="7">
        <f>-H580/G580</f>
        <v/>
      </c>
      <c r="J580" s="11" t="n">
        <v>44614</v>
      </c>
      <c r="K580" s="6" t="n">
        <v>-800</v>
      </c>
      <c r="L580" s="6" t="n">
        <v>-656</v>
      </c>
      <c r="M580" s="7">
        <f>IF(N580=0,+L580+H580,0)</f>
        <v/>
      </c>
      <c r="N580" s="7">
        <f>IF((+G580-K580)=0,0,+G580-K580)</f>
        <v/>
      </c>
      <c r="O580" s="7">
        <f>IF(N580=0,0,(L580+H580)/-N580)</f>
        <v/>
      </c>
      <c r="P580" s="7">
        <f>VLOOKUP(OPERAC[[#This Row],[especie]],[1]!ESPECIES[#All],6,0)</f>
        <v/>
      </c>
      <c r="Q580" s="7">
        <f>IF(N580&lt;&gt;0,P580*N580,0)</f>
        <v/>
      </c>
      <c r="R580" s="8">
        <f>IF(Q580&lt;&gt;0,Q580+H580+L580,0)</f>
        <v/>
      </c>
      <c r="S580" s="9">
        <f>VLOOKUP(OPERAC[[#This Row],[especie]],[1]!ESPECIES[#Data],9,FALSE)</f>
        <v/>
      </c>
    </row>
    <row r="581">
      <c r="A581" s="4" t="n">
        <v>7895</v>
      </c>
      <c r="B581" s="5" t="n">
        <v>44581</v>
      </c>
      <c r="C581" s="13" t="inlineStr">
        <is>
          <t>VTA</t>
        </is>
      </c>
      <c r="D581" s="13" t="n">
        <v>39</v>
      </c>
      <c r="E581" s="10">
        <f>IF(D581&gt;0,VLOOKUP(OPERAC[[#This Row],[COD CART]],[1]!MatrizCortoLargoCyl[#All],3,0),"")</f>
        <v/>
      </c>
      <c r="F581" s="13" t="inlineStr">
        <is>
          <t>ACB/V/5,50/25-02-22</t>
        </is>
      </c>
      <c r="G581" s="6" t="n">
        <v>-800</v>
      </c>
      <c r="H581" s="6" t="n">
        <v>656.4964</v>
      </c>
      <c r="I581" s="7">
        <f>-H581/G581</f>
        <v/>
      </c>
      <c r="J581" s="11" t="n">
        <v>44614</v>
      </c>
      <c r="K581" s="6" t="n">
        <v>-800</v>
      </c>
      <c r="L581" s="6" t="n">
        <v>-656</v>
      </c>
      <c r="M581" s="7">
        <f>IF(N581=0,+L581+H581,0)</f>
        <v/>
      </c>
      <c r="N581" s="7">
        <f>IF((+G581-K581)=0,0,+G581-K581)</f>
        <v/>
      </c>
      <c r="O581" s="7">
        <f>IF(N581=0,0,(L581+H581)/-N581)</f>
        <v/>
      </c>
      <c r="P581" s="7">
        <f>VLOOKUP(OPERAC[[#This Row],[especie]],[1]!ESPECIES[#All],6,0)</f>
        <v/>
      </c>
      <c r="Q581" s="7">
        <f>IF(N581&lt;&gt;0,P581*N581,0)</f>
        <v/>
      </c>
      <c r="R581" s="8">
        <f>IF(Q581&lt;&gt;0,Q581+H581+L581,0)</f>
        <v/>
      </c>
      <c r="S581" s="9">
        <f>VLOOKUP(OPERAC[[#This Row],[especie]],[1]!ESPECIES[#Data],9,FALSE)</f>
        <v/>
      </c>
    </row>
    <row r="582">
      <c r="A582" s="4" t="n">
        <v>12690</v>
      </c>
      <c r="B582" s="5" t="n">
        <v>44581</v>
      </c>
      <c r="C582" s="13" t="inlineStr">
        <is>
          <t>VTA</t>
        </is>
      </c>
      <c r="D582" s="13" t="n">
        <v>39</v>
      </c>
      <c r="E582" s="10">
        <f>IF(D582&gt;0,VLOOKUP(OPERAC[[#This Row],[COD CART]],[1]!MatrizCortoLargoCyl[#All],3,0),"")</f>
        <v/>
      </c>
      <c r="F582" s="13" t="inlineStr">
        <is>
          <t>ACB/V/5,50/25-02-22</t>
        </is>
      </c>
      <c r="G582" s="6" t="n">
        <v>-800</v>
      </c>
      <c r="H582" s="6" t="n">
        <v>656.4964</v>
      </c>
      <c r="I582" s="7">
        <f>-H582/G582</f>
        <v/>
      </c>
      <c r="J582" s="11" t="n">
        <v>44614</v>
      </c>
      <c r="K582" s="6" t="n">
        <v>-800</v>
      </c>
      <c r="L582" s="6" t="n">
        <v>-656</v>
      </c>
      <c r="M582" s="7">
        <f>IF(N582=0,+L582+H582,0)</f>
        <v/>
      </c>
      <c r="N582" s="7">
        <f>IF((+G582-K582)=0,0,+G582-K582)</f>
        <v/>
      </c>
      <c r="O582" s="7">
        <f>IF(N582=0,0,(L582+H582)/-N582)</f>
        <v/>
      </c>
      <c r="P582" s="7">
        <f>VLOOKUP(OPERAC[[#This Row],[especie]],[1]!ESPECIES[#All],6,0)</f>
        <v/>
      </c>
      <c r="Q582" s="7">
        <f>IF(N582&lt;&gt;0,P582*N582,0)</f>
        <v/>
      </c>
      <c r="R582" s="8">
        <f>IF(Q582&lt;&gt;0,Q582+H582+L582,0)</f>
        <v/>
      </c>
      <c r="S582" s="9">
        <f>VLOOKUP(OPERAC[[#This Row],[especie]],[1]!ESPECIES[#Data],9,FALSE)</f>
        <v/>
      </c>
    </row>
    <row r="583">
      <c r="A583" s="4" t="n">
        <v>13246</v>
      </c>
      <c r="B583" s="5" t="n">
        <v>44580</v>
      </c>
      <c r="C583" s="13" t="inlineStr">
        <is>
          <t>VTA</t>
        </is>
      </c>
      <c r="D583" s="13" t="n">
        <v>39</v>
      </c>
      <c r="E583" s="10">
        <f>IF(D583&gt;0,VLOOKUP(OPERAC[[#This Row],[COD CART]],[1]!MatrizCortoLargoCyl[#All],3,0),"")</f>
        <v/>
      </c>
      <c r="F583" s="13" t="inlineStr">
        <is>
          <t>INO/V/5,00/18-02-22</t>
        </is>
      </c>
      <c r="G583" s="6" t="n">
        <v>-700</v>
      </c>
      <c r="H583" s="6" t="n">
        <v>654.822</v>
      </c>
      <c r="I583" s="7">
        <f>-H583/G583</f>
        <v/>
      </c>
      <c r="J583" s="11" t="n">
        <v>44600</v>
      </c>
      <c r="K583" s="6" t="n">
        <v>-700</v>
      </c>
      <c r="L583" s="6" t="n">
        <v>-654</v>
      </c>
      <c r="M583" s="7">
        <f>IF(N583=0,+L583+H583,0)</f>
        <v/>
      </c>
      <c r="N583" s="7">
        <f>IF((+G583-K583)=0,0,+G583-K583)</f>
        <v/>
      </c>
      <c r="O583" s="7">
        <f>IF(N583=0,0,(L583+H583)/-N583)</f>
        <v/>
      </c>
      <c r="P583" s="7">
        <f>VLOOKUP(OPERAC[[#This Row],[especie]],[1]!ESPECIES[#All],6,0)</f>
        <v/>
      </c>
      <c r="Q583" s="7">
        <f>IF(N583&lt;&gt;0,P583*N583,0)</f>
        <v/>
      </c>
      <c r="R583" s="8">
        <f>IF(Q583&lt;&gt;0,Q583+H583+L583,0)</f>
        <v/>
      </c>
      <c r="S583" s="9">
        <f>VLOOKUP(OPERAC[[#This Row],[especie]],[1]!ESPECIES[#Data],9,FALSE)</f>
        <v/>
      </c>
    </row>
    <row r="584">
      <c r="A584" s="12" t="n">
        <v>13240</v>
      </c>
      <c r="B584" s="5" t="n">
        <v>44573</v>
      </c>
      <c r="C584" s="13" t="inlineStr">
        <is>
          <t>VTA</t>
        </is>
      </c>
      <c r="D584" s="13" t="n">
        <v>39</v>
      </c>
      <c r="E584" s="10">
        <f>IF(D584&gt;0,VLOOKUP(OPERAC[[#This Row],[COD CART]],[1]!MatrizCortoLargoCyl[#All],3,0),"")</f>
        <v/>
      </c>
      <c r="F584" s="13" t="inlineStr">
        <is>
          <t>ROKU/V/170,00/21-01-22</t>
        </is>
      </c>
      <c r="G584" s="6" t="n">
        <v>-200</v>
      </c>
      <c r="H584" s="6" t="n">
        <v>653.92</v>
      </c>
      <c r="I584" s="7">
        <f>-H584/G584</f>
        <v/>
      </c>
      <c r="J584" s="11" t="n">
        <v>44582</v>
      </c>
      <c r="K584" s="6" t="n">
        <v>-200</v>
      </c>
      <c r="L584" s="6">
        <f>-OPERAC[[#This Row],[importe]]</f>
        <v/>
      </c>
      <c r="M584" s="7">
        <f>IF(N584=0,+L584+H584,0)</f>
        <v/>
      </c>
      <c r="N584" s="7">
        <f>IF((+G584-K584)=0,0,+G584-K584)</f>
        <v/>
      </c>
      <c r="O584" s="7">
        <f>IF(N584=0,0,(L584+H584)/-N584)</f>
        <v/>
      </c>
      <c r="P584" s="7">
        <f>VLOOKUP(OPERAC[[#This Row],[especie]],[1]!ESPECIES[#All],6,0)</f>
        <v/>
      </c>
      <c r="Q584" s="7">
        <f>IF(N584&lt;&gt;0,P584*N584,0)</f>
        <v/>
      </c>
      <c r="R584" s="8">
        <f>IF(Q584&lt;&gt;0,Q584+H584+L584,0)</f>
        <v/>
      </c>
      <c r="S584" s="9">
        <f>VLOOKUP(OPERAC[[#This Row],[especie]],[1]!ESPECIES[#Data],9,FALSE)</f>
        <v/>
      </c>
    </row>
    <row r="585">
      <c r="A585" s="12" t="n">
        <v>6578</v>
      </c>
      <c r="B585" s="5" t="n">
        <v>44573</v>
      </c>
      <c r="C585" s="13" t="inlineStr">
        <is>
          <t>VTA</t>
        </is>
      </c>
      <c r="D585" s="13" t="n">
        <v>39</v>
      </c>
      <c r="E585" s="10">
        <f>IF(D585&gt;0,VLOOKUP(OPERAC[[#This Row],[COD CART]],[1]!MatrizCortoLargoCyl[#All],3,0),"")</f>
        <v/>
      </c>
      <c r="F585" s="13" t="inlineStr">
        <is>
          <t>ROKU/V/170,00/21-01-22</t>
        </is>
      </c>
      <c r="G585" s="6" t="n">
        <v>-200</v>
      </c>
      <c r="H585" s="6" t="n">
        <v>653.92</v>
      </c>
      <c r="I585" s="7">
        <f>-H585/G585</f>
        <v/>
      </c>
      <c r="J585" s="11" t="n">
        <v>44582</v>
      </c>
      <c r="K585" s="6" t="n">
        <v>-200</v>
      </c>
      <c r="L585" s="6">
        <f>-OPERAC[[#This Row],[importe]]</f>
        <v/>
      </c>
      <c r="M585" s="7">
        <f>IF(N585=0,+L585+H585,0)</f>
        <v/>
      </c>
      <c r="N585" s="7">
        <f>IF((+G585-K585)=0,0,+G585-K585)</f>
        <v/>
      </c>
      <c r="O585" s="7">
        <f>IF(N585=0,0,(L585+H585)/-N585)</f>
        <v/>
      </c>
      <c r="P585" s="7">
        <f>VLOOKUP(OPERAC[[#This Row],[especie]],[1]!ESPECIES[#All],6,0)</f>
        <v/>
      </c>
      <c r="Q585" s="7">
        <f>IF(N585&lt;&gt;0,P585*N585,0)</f>
        <v/>
      </c>
      <c r="R585" s="8">
        <f>IF(Q585&lt;&gt;0,Q585+H585+L585,0)</f>
        <v/>
      </c>
      <c r="S585" s="9">
        <f>VLOOKUP(OPERAC[[#This Row],[especie]],[1]!ESPECIES[#Data],9,FALSE)</f>
        <v/>
      </c>
    </row>
    <row r="586">
      <c r="A586" s="12" t="n">
        <v>12674</v>
      </c>
      <c r="B586" s="5" t="n">
        <v>44573</v>
      </c>
      <c r="C586" s="13" t="inlineStr">
        <is>
          <t>VTA</t>
        </is>
      </c>
      <c r="D586" s="13" t="n">
        <v>39</v>
      </c>
      <c r="E586" s="10">
        <f>IF(D586&gt;0,VLOOKUP(OPERAC[[#This Row],[COD CART]],[1]!MatrizCortoLargoCyl[#All],3,0),"")</f>
        <v/>
      </c>
      <c r="F586" s="13" t="inlineStr">
        <is>
          <t>ROKU/V/170,00/21-01-22</t>
        </is>
      </c>
      <c r="G586" s="6" t="n">
        <v>-200</v>
      </c>
      <c r="H586" s="6" t="n">
        <v>653.92</v>
      </c>
      <c r="I586" s="7">
        <f>-H586/G586</f>
        <v/>
      </c>
      <c r="J586" s="11" t="n">
        <v>44582</v>
      </c>
      <c r="K586" s="6" t="n">
        <v>-200</v>
      </c>
      <c r="L586" s="6">
        <f>-OPERAC[[#This Row],[importe]]</f>
        <v/>
      </c>
      <c r="M586" s="7">
        <f>IF(N586=0,+L586+H586,0)</f>
        <v/>
      </c>
      <c r="N586" s="7">
        <f>IF((+G586-K586)=0,0,+G586-K586)</f>
        <v/>
      </c>
      <c r="O586" s="7">
        <f>IF(N586=0,0,(L586+H586)/-N586)</f>
        <v/>
      </c>
      <c r="P586" s="7">
        <f>VLOOKUP(OPERAC[[#This Row],[especie]],[1]!ESPECIES[#All],6,0)</f>
        <v/>
      </c>
      <c r="Q586" s="7">
        <f>IF(N586&lt;&gt;0,P586*N586,0)</f>
        <v/>
      </c>
      <c r="R586" s="8">
        <f>IF(Q586&lt;&gt;0,Q586+H586+L586,0)</f>
        <v/>
      </c>
      <c r="S586" s="9">
        <f>VLOOKUP(OPERAC[[#This Row],[especie]],[1]!ESPECIES[#Data],9,FALSE)</f>
        <v/>
      </c>
    </row>
    <row r="587">
      <c r="A587" s="4" t="n">
        <v>13246</v>
      </c>
      <c r="B587" s="5" t="n">
        <v>44607</v>
      </c>
      <c r="C587" s="13" t="inlineStr">
        <is>
          <t>VTA</t>
        </is>
      </c>
      <c r="D587" s="13" t="n">
        <v>39</v>
      </c>
      <c r="E587" s="10">
        <f>IF(D587&gt;0,VLOOKUP(OPERAC[[#This Row],[COD CART]],[1]!MatrizCortoLargoCyl[#All],3,0),"")</f>
        <v/>
      </c>
      <c r="F587" s="13" t="inlineStr">
        <is>
          <t>ROKU/V/120,00/18-02-22</t>
        </is>
      </c>
      <c r="G587" s="6" t="n">
        <v>-600</v>
      </c>
      <c r="H587" s="6" t="n">
        <v>646.356</v>
      </c>
      <c r="I587" s="7">
        <f>-H587/G587</f>
        <v/>
      </c>
      <c r="J587" s="11" t="n">
        <v>44609</v>
      </c>
      <c r="K587" s="6" t="n">
        <v>-600</v>
      </c>
      <c r="L587" s="6" t="n">
        <v>-2422.56</v>
      </c>
      <c r="M587" s="7">
        <f>IF(N587=0,+L587+H587,0)</f>
        <v/>
      </c>
      <c r="N587" s="7">
        <f>IF((+G587-K587)=0,0,+G587-K587)</f>
        <v/>
      </c>
      <c r="O587" s="7">
        <f>IF(N587=0,0,(L587+H587)/-N587)</f>
        <v/>
      </c>
      <c r="P587" s="7">
        <f>VLOOKUP(OPERAC[[#This Row],[especie]],[1]!ESPECIES[#All],6,0)</f>
        <v/>
      </c>
      <c r="Q587" s="7">
        <f>IF(N587&lt;&gt;0,P587*N587,0)</f>
        <v/>
      </c>
      <c r="R587" s="8">
        <f>IF(Q587&lt;&gt;0,Q587+H587+L587,0)</f>
        <v/>
      </c>
      <c r="S587" s="9">
        <f>VLOOKUP(OPERAC[[#This Row],[especie]],[1]!ESPECIES[#Data],9,FALSE)</f>
        <v/>
      </c>
    </row>
    <row r="588">
      <c r="A588" s="4" t="n">
        <v>16829</v>
      </c>
      <c r="B588" s="5" t="n">
        <v>44441</v>
      </c>
      <c r="C588" s="13" t="inlineStr">
        <is>
          <t>VTA</t>
        </is>
      </c>
      <c r="D588" s="13" t="n">
        <v>39</v>
      </c>
      <c r="E588" s="10">
        <f>IF(D588&gt;0,VLOOKUP(OPERAC[[#This Row],[COD CART]],[1]!MatrizCortoLargoCyl[#All],3,0),"")</f>
        <v/>
      </c>
      <c r="F588" s="13" t="inlineStr">
        <is>
          <t>EDIT/V/35,00/20-01-23</t>
        </is>
      </c>
      <c r="G588" s="6" t="n">
        <v>-100</v>
      </c>
      <c r="H588" s="6" t="n">
        <v>644.8</v>
      </c>
      <c r="I588" s="7">
        <f>-H588/G588</f>
        <v/>
      </c>
      <c r="J588" s="11" t="n">
        <v>44614</v>
      </c>
      <c r="K588" s="6" t="n">
        <v>-100</v>
      </c>
      <c r="L588" s="6" t="n">
        <v>-2128.48</v>
      </c>
      <c r="M588" s="7">
        <f>IF(N588=0,+L588+H588,0)</f>
        <v/>
      </c>
      <c r="N588" s="7">
        <f>IF((+G588-K588)=0,0,+G588-K588)</f>
        <v/>
      </c>
      <c r="O588" s="7">
        <f>IF(N588=0,0,(L588+H588)/-N588)</f>
        <v/>
      </c>
      <c r="P588" s="7">
        <f>VLOOKUP(OPERAC[[#This Row],[especie]],[1]!ESPECIES[#All],6,0)</f>
        <v/>
      </c>
      <c r="Q588" s="7">
        <f>IF(N588&lt;&gt;0,P588*N588,0)</f>
        <v/>
      </c>
      <c r="R588" s="8">
        <f>IF(Q588&lt;&gt;0,Q588+H588+L588,0)</f>
        <v/>
      </c>
      <c r="S588" s="9">
        <f>VLOOKUP(OPERAC[[#This Row],[especie]],[1]!ESPECIES[#Data],9,FALSE)</f>
        <v/>
      </c>
    </row>
    <row r="589">
      <c r="A589" s="4" t="n">
        <v>12627</v>
      </c>
      <c r="B589" s="5" t="n">
        <v>44635</v>
      </c>
      <c r="C589" s="13" t="inlineStr">
        <is>
          <t>VTA</t>
        </is>
      </c>
      <c r="D589" s="13" t="n">
        <v>39</v>
      </c>
      <c r="E589" s="10">
        <f>IF(D589&gt;0,VLOOKUP(OPERAC[[#This Row],[COD CART]],[1]!MatrizCortoLargoCyl[#All],3,0),"")</f>
        <v/>
      </c>
      <c r="F589" s="13" t="inlineStr">
        <is>
          <t>BABA/V/70,00/18-03-22</t>
        </is>
      </c>
      <c r="G589" s="6" t="n">
        <v>-500</v>
      </c>
      <c r="H589" s="6" t="n">
        <v>642.79</v>
      </c>
      <c r="I589" s="7">
        <f>-H589/G589</f>
        <v/>
      </c>
      <c r="J589" s="11" t="n">
        <v>44636</v>
      </c>
      <c r="K589" s="6" t="n">
        <v>-500</v>
      </c>
      <c r="L589" s="6" t="n">
        <v>-32.75</v>
      </c>
      <c r="M589" s="7">
        <f>IF(N589=0,+L589+H589,0)</f>
        <v/>
      </c>
      <c r="N589" s="7">
        <f>IF((+G589-K589)=0,0,+G589-K589)</f>
        <v/>
      </c>
      <c r="O589" s="7">
        <f>IF(N589=0,0,(L589+H589)/-N589)</f>
        <v/>
      </c>
      <c r="P589" s="7">
        <f>VLOOKUP(OPERAC[[#This Row],[especie]],[1]!ESPECIES[#All],6,0)</f>
        <v/>
      </c>
      <c r="Q589" s="7">
        <f>IF(N589&lt;&gt;0,P589*N589,0)</f>
        <v/>
      </c>
      <c r="R589" s="8">
        <f>IF(Q589&lt;&gt;0,Q589+H589+L589,0)</f>
        <v/>
      </c>
      <c r="S589" s="9">
        <f>VLOOKUP(OPERAC[[#This Row],[especie]],[1]!ESPECIES[#Data],9,FALSE)</f>
        <v/>
      </c>
    </row>
    <row r="590">
      <c r="A590" s="4" t="n">
        <v>12684</v>
      </c>
      <c r="B590" s="5" t="n">
        <v>44718</v>
      </c>
      <c r="C590" s="13" t="inlineStr">
        <is>
          <t>VTA</t>
        </is>
      </c>
      <c r="D590" s="13" t="n">
        <v>39</v>
      </c>
      <c r="E590" s="10">
        <f>IF(D590&gt;0,VLOOKUP(OPERAC[[#This Row],[COD CART]],[1]!MatrizCortoLargoCyl[#All],3,0),"")</f>
        <v/>
      </c>
      <c r="F590" s="13" t="inlineStr">
        <is>
          <t>TSLA/C/820,00/10-06-22</t>
        </is>
      </c>
      <c r="G590" s="6" t="n">
        <v>-400</v>
      </c>
      <c r="H590" s="6" t="n">
        <v>634.5599999999999</v>
      </c>
      <c r="I590" s="7">
        <f>-H590/G590</f>
        <v/>
      </c>
      <c r="J590" s="5" t="n">
        <v>44720</v>
      </c>
      <c r="K590" s="6" t="n">
        <v>-400</v>
      </c>
      <c r="L590" s="6" t="n">
        <v>-705.95</v>
      </c>
      <c r="M590" s="7">
        <f>IF(N590=0,+L590+H590,0)</f>
        <v/>
      </c>
      <c r="N590" s="7">
        <f>IF((+G590-K590)=0,0,+G590-K590)</f>
        <v/>
      </c>
      <c r="O590" s="7">
        <f>IF(N590=0,0,(L590+H590)/-N590)</f>
        <v/>
      </c>
      <c r="P590" s="7">
        <f>VLOOKUP(OPERAC[[#This Row],[especie]],[1]!ESPECIES[#All],6,0)</f>
        <v/>
      </c>
      <c r="Q590" s="7">
        <f>IF(N590&lt;&gt;0,P590*N590,0)</f>
        <v/>
      </c>
      <c r="R590" s="8">
        <f>IF(Q590&lt;&gt;0,Q590+H590+L590,0)</f>
        <v/>
      </c>
      <c r="S590" s="9">
        <f>VLOOKUP(OPERAC[[#This Row],[especie]],[1]!ESPECIES[#Data],9,FALSE)</f>
        <v/>
      </c>
    </row>
    <row r="591">
      <c r="A591" s="4" t="n">
        <v>16833</v>
      </c>
      <c r="B591" s="5" t="n">
        <v>44718</v>
      </c>
      <c r="C591" s="13" t="inlineStr">
        <is>
          <t>VTA</t>
        </is>
      </c>
      <c r="D591" s="13" t="n">
        <v>39</v>
      </c>
      <c r="E591" s="10">
        <f>IF(D591&gt;0,VLOOKUP(OPERAC[[#This Row],[COD CART]],[1]!MatrizCortoLargoCyl[#All],3,0),"")</f>
        <v/>
      </c>
      <c r="F591" s="13" t="inlineStr">
        <is>
          <t>TSLA/C/820,00/10-06-22</t>
        </is>
      </c>
      <c r="G591" s="6" t="n">
        <v>-400</v>
      </c>
      <c r="H591" s="6" t="n">
        <v>634.5599999999999</v>
      </c>
      <c r="I591" s="7">
        <f>-H591/G591</f>
        <v/>
      </c>
      <c r="J591" s="5" t="n">
        <v>44720</v>
      </c>
      <c r="K591" s="6" t="n">
        <v>-400</v>
      </c>
      <c r="L591" s="6" t="n">
        <v>-705.95</v>
      </c>
      <c r="M591" s="7">
        <f>IF(N591=0,+L591+H591,0)</f>
        <v/>
      </c>
      <c r="N591" s="7">
        <f>IF((+G591-K591)=0,0,+G591-K591)</f>
        <v/>
      </c>
      <c r="O591" s="7">
        <f>IF(N591=0,0,(L591+H591)/-N591)</f>
        <v/>
      </c>
      <c r="P591" s="7">
        <f>VLOOKUP(OPERAC[[#This Row],[especie]],[1]!ESPECIES[#All],6,0)</f>
        <v/>
      </c>
      <c r="Q591" s="7">
        <f>IF(N591&lt;&gt;0,P591*N591,0)</f>
        <v/>
      </c>
      <c r="R591" s="8">
        <f>IF(Q591&lt;&gt;0,Q591+H591+L591,0)</f>
        <v/>
      </c>
      <c r="S591" s="9">
        <f>VLOOKUP(OPERAC[[#This Row],[especie]],[1]!ESPECIES[#Data],9,FALSE)</f>
        <v/>
      </c>
    </row>
    <row r="592">
      <c r="A592" s="4" t="n">
        <v>18690</v>
      </c>
      <c r="B592" s="5" t="n">
        <v>44690</v>
      </c>
      <c r="C592" s="13" t="inlineStr">
        <is>
          <t>VTA</t>
        </is>
      </c>
      <c r="D592" s="13" t="n">
        <v>39</v>
      </c>
      <c r="E592" s="10">
        <f>IF(D592&gt;0,VLOOKUP(OPERAC[[#This Row],[COD CART]],[1]!MatrizCortoLargoCyl[#All],3,0),"")</f>
        <v/>
      </c>
      <c r="F592" s="13" t="inlineStr">
        <is>
          <t>TSLA/V/700,00/13-05-22</t>
        </is>
      </c>
      <c r="G592" s="6" t="n">
        <v>-200</v>
      </c>
      <c r="H592" s="6" t="n">
        <v>632.577</v>
      </c>
      <c r="I592" s="7">
        <f>-H592/G592</f>
        <v/>
      </c>
      <c r="J592" s="11" t="n">
        <v>44693</v>
      </c>
      <c r="K592" s="6" t="n">
        <v>-200</v>
      </c>
      <c r="L592" s="6" t="n">
        <v>-6425.6</v>
      </c>
      <c r="M592" s="7">
        <f>IF(N592=0,+L592+H592,0)</f>
        <v/>
      </c>
      <c r="N592" s="7">
        <f>IF((+G592-K592)=0,0,+G592-K592)</f>
        <v/>
      </c>
      <c r="O592" s="7">
        <f>IF(N592=0,0,(L592+H592)/-N592)</f>
        <v/>
      </c>
      <c r="P592" s="7">
        <f>VLOOKUP(OPERAC[[#This Row],[especie]],[1]!ESPECIES[#All],6,0)</f>
        <v/>
      </c>
      <c r="Q592" s="7">
        <f>IF(N592&lt;&gt;0,P592*N592,0)</f>
        <v/>
      </c>
      <c r="R592" s="8">
        <f>IF(Q592&lt;&gt;0,Q592+H592+L592,0)</f>
        <v/>
      </c>
      <c r="S592" s="9">
        <f>VLOOKUP(OPERAC[[#This Row],[especie]],[1]!ESPECIES[#Data],9,FALSE)</f>
        <v/>
      </c>
    </row>
    <row r="593">
      <c r="A593" s="4" t="n">
        <v>3728</v>
      </c>
      <c r="B593" s="5" t="n">
        <v>44673</v>
      </c>
      <c r="C593" s="13" t="inlineStr">
        <is>
          <t>VTA</t>
        </is>
      </c>
      <c r="D593" s="13" t="n">
        <v>39</v>
      </c>
      <c r="E593" s="10">
        <f>IF(D593&gt;0,VLOOKUP(OPERAC[[#This Row],[COD CART]],[1]!MatrizCortoLargoCyl[#All],3,0),"")</f>
        <v/>
      </c>
      <c r="F593" s="14" t="inlineStr">
        <is>
          <t>UPST/V/70,00/29-04-22</t>
        </is>
      </c>
      <c r="G593" s="6" t="n">
        <v>-300</v>
      </c>
      <c r="H593" s="6" t="n">
        <v>629.37</v>
      </c>
      <c r="I593" s="7">
        <f>-H593/G593</f>
        <v/>
      </c>
      <c r="J593" s="11" t="n">
        <v>44676</v>
      </c>
      <c r="K593" s="6" t="n">
        <v>-300</v>
      </c>
      <c r="L593" s="6">
        <f>+OPERAC[[#This Row],[cantidad venta]]*1.3214</f>
        <v/>
      </c>
      <c r="M593" s="7">
        <f>IF(N593=0,+L593+H593,0)</f>
        <v/>
      </c>
      <c r="N593" s="7">
        <f>IF((+G593-K593)=0,0,+G593-K593)</f>
        <v/>
      </c>
      <c r="O593" s="7">
        <f>IF(N593=0,0,(L593+H593)/-N593)</f>
        <v/>
      </c>
      <c r="P593" s="7">
        <f>VLOOKUP(OPERAC[[#This Row],[especie]],[1]!ESPECIES[#All],6,0)</f>
        <v/>
      </c>
      <c r="Q593" s="7">
        <f>IF(N593&lt;&gt;0,P593*N593,0)</f>
        <v/>
      </c>
      <c r="R593" s="8">
        <f>IF(Q593&lt;&gt;0,Q593+H593+L593,0)</f>
        <v/>
      </c>
      <c r="S593" s="9">
        <f>VLOOKUP(OPERAC[[#This Row],[especie]],[1]!ESPECIES[#Data],9,FALSE)</f>
        <v/>
      </c>
    </row>
    <row r="594">
      <c r="A594" s="4" t="n">
        <v>19878</v>
      </c>
      <c r="B594" s="5" t="n">
        <v>44594</v>
      </c>
      <c r="C594" s="13" t="inlineStr">
        <is>
          <t>VTA</t>
        </is>
      </c>
      <c r="D594" s="13" t="n">
        <v>39</v>
      </c>
      <c r="E594" s="10">
        <f>IF(D594&gt;0,VLOOKUP(OPERAC[[#This Row],[COD CART]],[1]!MatrizCortoLargoCyl[#All],3,0),"")</f>
        <v/>
      </c>
      <c r="F594" s="13" t="inlineStr">
        <is>
          <t>TSLA/C/1030,00/04-02-22</t>
        </is>
      </c>
      <c r="G594" s="6" t="n">
        <v>-600</v>
      </c>
      <c r="H594" s="6" t="n">
        <v>626.766</v>
      </c>
      <c r="I594" s="7">
        <f>-H594/G594</f>
        <v/>
      </c>
      <c r="J594" s="11" t="n">
        <v>44596</v>
      </c>
      <c r="K594" s="6" t="n">
        <v>-600</v>
      </c>
      <c r="L594" s="6" t="n">
        <v>0</v>
      </c>
      <c r="M594" s="7">
        <f>IF(N594=0,+L594+H594,0)</f>
        <v/>
      </c>
      <c r="N594" s="7">
        <f>IF((+G594-K594)=0,0,+G594-K594)</f>
        <v/>
      </c>
      <c r="O594" s="7">
        <f>IF(N594=0,0,(L594+H594)/-N594)</f>
        <v/>
      </c>
      <c r="P594" s="7">
        <f>VLOOKUP(OPERAC[[#This Row],[especie]],[1]!ESPECIES[#All],6,0)</f>
        <v/>
      </c>
      <c r="Q594" s="7">
        <f>IF(N594&lt;&gt;0,P594*N594,0)</f>
        <v/>
      </c>
      <c r="R594" s="8">
        <f>IF(Q594&lt;&gt;0,Q594+H594+L594,0)</f>
        <v/>
      </c>
      <c r="S594" s="9">
        <f>VLOOKUP(OPERAC[[#This Row],[especie]],[1]!ESPECIES[#Data],9,FALSE)</f>
        <v/>
      </c>
    </row>
    <row r="595">
      <c r="A595" s="4" t="n">
        <v>2194</v>
      </c>
      <c r="B595" s="5" t="n">
        <v>44673</v>
      </c>
      <c r="C595" s="13" t="inlineStr">
        <is>
          <t>VTA</t>
        </is>
      </c>
      <c r="D595" s="13" t="n">
        <v>39</v>
      </c>
      <c r="E595" s="10">
        <f>IF(D595&gt;0,VLOOKUP(OPERAC[[#This Row],[COD CART]],[1]!MatrizCortoLargoCyl[#All],3,0),"")</f>
        <v/>
      </c>
      <c r="F595" s="14" t="inlineStr">
        <is>
          <t>UPST/V/70,00/29-04-22</t>
        </is>
      </c>
      <c r="G595" s="6" t="n">
        <v>-300</v>
      </c>
      <c r="H595" s="6" t="n">
        <v>624.645</v>
      </c>
      <c r="I595" s="7">
        <f>-H595/G595</f>
        <v/>
      </c>
      <c r="J595" s="11" t="n">
        <v>44676</v>
      </c>
      <c r="K595" s="6" t="n">
        <v>-300</v>
      </c>
      <c r="L595" s="6" t="n">
        <v>-399.366</v>
      </c>
      <c r="M595" s="7">
        <f>IF(N595=0,+L595+H595,0)</f>
        <v/>
      </c>
      <c r="N595" s="7">
        <f>IF((+G595-K595)=0,0,+G595-K595)</f>
        <v/>
      </c>
      <c r="O595" s="7">
        <f>IF(N595=0,0,(L595+H595)/-N595)</f>
        <v/>
      </c>
      <c r="P595" s="7">
        <f>VLOOKUP(OPERAC[[#This Row],[especie]],[1]!ESPECIES[#All],6,0)</f>
        <v/>
      </c>
      <c r="Q595" s="7">
        <f>IF(N595&lt;&gt;0,P595*N595,0)</f>
        <v/>
      </c>
      <c r="R595" s="8">
        <f>IF(Q595&lt;&gt;0,Q595+H595+L595,0)</f>
        <v/>
      </c>
      <c r="S595" s="9">
        <f>VLOOKUP(OPERAC[[#This Row],[especie]],[1]!ESPECIES[#Data],9,FALSE)</f>
        <v/>
      </c>
    </row>
    <row r="596">
      <c r="A596" s="4" t="n">
        <v>19897</v>
      </c>
      <c r="B596" s="5" t="n">
        <v>44571</v>
      </c>
      <c r="C596" s="13" t="inlineStr">
        <is>
          <t>VTA</t>
        </is>
      </c>
      <c r="D596" s="13" t="n">
        <v>39</v>
      </c>
      <c r="E596" s="10">
        <f>IF(D596&gt;0,VLOOKUP(OPERAC[[#This Row],[COD CART]],[1]!MatrizCortoLargoCyl[#All],3,0),"")</f>
        <v/>
      </c>
      <c r="F596" s="13" t="inlineStr">
        <is>
          <t>ROKU/V/165,00/14-01-22</t>
        </is>
      </c>
      <c r="G596" s="6" t="n">
        <v>-200</v>
      </c>
      <c r="H596" s="6" t="n">
        <v>624.1706800000001</v>
      </c>
      <c r="I596" s="7">
        <f>-H596/G596</f>
        <v/>
      </c>
      <c r="J596" s="11" t="n">
        <v>44573</v>
      </c>
      <c r="K596" s="6" t="n">
        <v>-200</v>
      </c>
      <c r="L596" s="6" t="n">
        <v>-118.328</v>
      </c>
      <c r="M596" s="7">
        <f>IF(N596=0,+L596+H596,0)</f>
        <v/>
      </c>
      <c r="N596" s="7">
        <f>IF((+G596-K596)=0,0,+G596-K596)</f>
        <v/>
      </c>
      <c r="O596" s="7">
        <f>IF(N596=0,0,(L596+H596)/-N596)</f>
        <v/>
      </c>
      <c r="P596" s="7">
        <f>VLOOKUP(OPERAC[[#This Row],[especie]],[1]!ESPECIES[#All],6,0)</f>
        <v/>
      </c>
      <c r="Q596" s="7">
        <f>IF(N596&lt;&gt;0,P596*N596,0)</f>
        <v/>
      </c>
      <c r="R596" s="8">
        <f>IF(Q596&lt;&gt;0,Q596+H596+L596,0)</f>
        <v/>
      </c>
      <c r="S596" s="9">
        <f>VLOOKUP(OPERAC[[#This Row],[especie]],[1]!ESPECIES[#Data],9,FALSE)</f>
        <v/>
      </c>
    </row>
    <row r="597">
      <c r="A597" s="4" t="n">
        <v>19931</v>
      </c>
      <c r="B597" s="5" t="n">
        <v>44601</v>
      </c>
      <c r="C597" s="13" t="inlineStr">
        <is>
          <t>VTA</t>
        </is>
      </c>
      <c r="D597" s="13" t="n">
        <v>39</v>
      </c>
      <c r="E597" s="10">
        <f>IF(D597&gt;0,VLOOKUP(OPERAC[[#This Row],[COD CART]],[1]!MatrizCortoLargoCyl[#All],3,0),"")</f>
        <v/>
      </c>
      <c r="F597" s="13" t="inlineStr">
        <is>
          <t>ACB/V/5,00/16-09-22</t>
        </is>
      </c>
      <c r="G597" s="6" t="n">
        <v>-400</v>
      </c>
      <c r="H597" s="6">
        <f>-1.56*OPERAC[[#This Row],[cantidad]]</f>
        <v/>
      </c>
      <c r="I597" s="7">
        <f>-H597/G597</f>
        <v/>
      </c>
      <c r="J597" s="11" t="n">
        <v>44615</v>
      </c>
      <c r="K597" s="6" t="n">
        <v>-400</v>
      </c>
      <c r="L597" s="6" t="n">
        <v>-708.4</v>
      </c>
      <c r="M597" s="7">
        <f>IF(N597=0,+L597+H597,0)</f>
        <v/>
      </c>
      <c r="N597" s="7">
        <f>IF((+G597-K597)=0,0,+G597-K597)</f>
        <v/>
      </c>
      <c r="O597" s="7">
        <f>IF(N597=0,0,(L597+H597)/-N597)</f>
        <v/>
      </c>
      <c r="P597" s="7">
        <f>VLOOKUP(OPERAC[[#This Row],[especie]],[1]!ESPECIES[#All],6,0)</f>
        <v/>
      </c>
      <c r="Q597" s="7">
        <f>IF(N597&lt;&gt;0,P597*N597,0)</f>
        <v/>
      </c>
      <c r="R597" s="8">
        <f>IF(Q597&lt;&gt;0,Q597+H597+L597,0)</f>
        <v/>
      </c>
      <c r="S597" s="9">
        <f>VLOOKUP(OPERAC[[#This Row],[especie]],[1]!ESPECIES[#Data],9,FALSE)</f>
        <v/>
      </c>
    </row>
    <row r="598">
      <c r="A598" s="4" t="n">
        <v>19932</v>
      </c>
      <c r="B598" s="5" t="n">
        <v>44340</v>
      </c>
      <c r="C598" s="13" t="inlineStr">
        <is>
          <t>VTA</t>
        </is>
      </c>
      <c r="D598" s="13" t="n">
        <v>39</v>
      </c>
      <c r="E598" s="10">
        <f>IF(D598&gt;0,VLOOKUP(OPERAC[[#This Row],[COD CART]],[1]!MatrizCortoLargoCyl[#All],3,0),"")</f>
        <v/>
      </c>
      <c r="F598" s="13" t="inlineStr">
        <is>
          <t>SOLO/V/3,50/21-01-22</t>
        </is>
      </c>
      <c r="G598" s="6" t="n">
        <v>-600</v>
      </c>
      <c r="H598" s="6" t="n">
        <v>622.5129999999999</v>
      </c>
      <c r="I598" s="7">
        <f>-H598/G598</f>
        <v/>
      </c>
      <c r="J598" s="11" t="n">
        <v>44579</v>
      </c>
      <c r="K598" s="6">
        <f>+OPERAC[[#This Row],[cantidad]]</f>
        <v/>
      </c>
      <c r="L598" s="6">
        <f>-OPERAC[[#This Row],[importe]]</f>
        <v/>
      </c>
      <c r="M598" s="7">
        <f>IF(N598=0,+L598+H598,0)</f>
        <v/>
      </c>
      <c r="N598" s="7">
        <f>IF((+G598-K598)=0,0,+G598-K598)</f>
        <v/>
      </c>
      <c r="O598" s="7">
        <f>IF(N598=0,0,(L598+H598)/-N598)</f>
        <v/>
      </c>
      <c r="P598" s="7">
        <f>VLOOKUP(OPERAC[[#This Row],[especie]],[1]!ESPECIES[#All],6,0)</f>
        <v/>
      </c>
      <c r="Q598" s="7">
        <f>IF(N598&lt;&gt;0,P598*N598,0)</f>
        <v/>
      </c>
      <c r="R598" s="8">
        <f>IF(Q598&lt;&gt;0,Q598+H598+L598,0)</f>
        <v/>
      </c>
      <c r="S598" s="9">
        <f>VLOOKUP(OPERAC[[#This Row],[especie]],[1]!ESPECIES[#Data],9,FALSE)</f>
        <v/>
      </c>
    </row>
    <row r="599">
      <c r="A599" s="4" t="n">
        <v>13240</v>
      </c>
      <c r="B599" s="5" t="n">
        <v>44564</v>
      </c>
      <c r="C599" s="13" t="inlineStr">
        <is>
          <t>VTA</t>
        </is>
      </c>
      <c r="D599" s="13" t="n">
        <v>39</v>
      </c>
      <c r="E599" s="10">
        <f>IF(D599&gt;0,VLOOKUP(OPERAC[[#This Row],[COD CART]],[1]!MatrizCortoLargoCyl[#All],3,0),"")</f>
        <v/>
      </c>
      <c r="F599" s="13" t="inlineStr">
        <is>
          <t>TSLA/V/975,00/07-01-22</t>
        </is>
      </c>
      <c r="G599" s="6" t="n">
        <v>-800</v>
      </c>
      <c r="H599" s="6" t="n">
        <v>618.0624</v>
      </c>
      <c r="I599" s="7">
        <f>-H599/G599</f>
        <v/>
      </c>
      <c r="J599" s="11" t="n">
        <v>44567</v>
      </c>
      <c r="K599" s="6" t="n">
        <v>-800</v>
      </c>
      <c r="L599" s="6" t="n">
        <v>-618.0599999999999</v>
      </c>
      <c r="M599" s="7">
        <f>IF(N599=0,+L599+H599,0)</f>
        <v/>
      </c>
      <c r="N599" s="7">
        <f>IF((+G599-K599)=0,0,+G599-K599)</f>
        <v/>
      </c>
      <c r="O599" s="7">
        <f>IF(N599=0,0,(L599+H599)/-N599)</f>
        <v/>
      </c>
      <c r="P599" s="7">
        <f>VLOOKUP(OPERAC[[#This Row],[especie]],[1]!ESPECIES[#All],6,0)</f>
        <v/>
      </c>
      <c r="Q599" s="7">
        <f>IF(N599&lt;&gt;0,P599*N599,0)</f>
        <v/>
      </c>
      <c r="R599" s="8">
        <f>IF(Q599&lt;&gt;0,Q599+H599+L599,0)</f>
        <v/>
      </c>
      <c r="S599" s="9">
        <f>VLOOKUP(OPERAC[[#This Row],[especie]],[1]!ESPECIES[#Data],9,FALSE)</f>
        <v/>
      </c>
    </row>
    <row r="600">
      <c r="A600" s="4" t="n">
        <v>2218</v>
      </c>
      <c r="B600" s="5" t="n">
        <v>44581</v>
      </c>
      <c r="C600" s="13" t="inlineStr">
        <is>
          <t>VTA</t>
        </is>
      </c>
      <c r="D600" s="13" t="n">
        <v>39</v>
      </c>
      <c r="E600" s="10">
        <f>IF(D600&gt;0,VLOOKUP(OPERAC[[#This Row],[COD CART]],[1]!MatrizCortoLargoCyl[#All],3,0),"")</f>
        <v/>
      </c>
      <c r="F600" s="13" t="inlineStr">
        <is>
          <t>ACB/V/6,00/18-02-22</t>
        </is>
      </c>
      <c r="G600" s="6" t="n">
        <v>-500</v>
      </c>
      <c r="H600" s="6" t="n">
        <v>609.0625</v>
      </c>
      <c r="I600" s="7">
        <f>-H600/G600</f>
        <v/>
      </c>
      <c r="J600" s="11" t="n">
        <v>44601</v>
      </c>
      <c r="K600" s="6" t="n">
        <v>-500</v>
      </c>
      <c r="L600" s="6">
        <f>1.21*OPERAC[[#This Row],[cantidad venta]]</f>
        <v/>
      </c>
      <c r="M600" s="7">
        <f>IF(N600=0,+L600+H600,0)</f>
        <v/>
      </c>
      <c r="N600" s="7">
        <f>IF((+G600-K600)=0,0,+G600-K600)</f>
        <v/>
      </c>
      <c r="O600" s="7">
        <f>IF(N600=0,0,(L600+H600)/-N600)</f>
        <v/>
      </c>
      <c r="P600" s="7">
        <f>VLOOKUP(OPERAC[[#This Row],[especie]],[1]!ESPECIES[#All],6,0)</f>
        <v/>
      </c>
      <c r="Q600" s="7">
        <f>IF(N600&lt;&gt;0,P600*N600,0)</f>
        <v/>
      </c>
      <c r="R600" s="8">
        <f>IF(Q600&lt;&gt;0,Q600+H600+L600,0)</f>
        <v/>
      </c>
      <c r="S600" s="9">
        <f>VLOOKUP(OPERAC[[#This Row],[especie]],[1]!ESPECIES[#Data],9,FALSE)</f>
        <v/>
      </c>
    </row>
    <row r="601">
      <c r="A601" s="4" t="n">
        <v>1807</v>
      </c>
      <c r="B601" s="5" t="n">
        <v>44581</v>
      </c>
      <c r="C601" s="13" t="inlineStr">
        <is>
          <t>VTA</t>
        </is>
      </c>
      <c r="D601" s="13" t="n">
        <v>39</v>
      </c>
      <c r="E601" s="10">
        <f>IF(D601&gt;0,VLOOKUP(OPERAC[[#This Row],[COD CART]],[1]!MatrizCortoLargoCyl[#All],3,0),"")</f>
        <v/>
      </c>
      <c r="F601" s="13" t="inlineStr">
        <is>
          <t>ACB/V/6,00/18-02-22</t>
        </is>
      </c>
      <c r="G601" s="6" t="n">
        <v>-500</v>
      </c>
      <c r="H601" s="6" t="n">
        <v>604.7575000000001</v>
      </c>
      <c r="I601" s="7">
        <f>-H601/G601</f>
        <v/>
      </c>
      <c r="J601" s="11" t="n">
        <v>44601</v>
      </c>
      <c r="K601" s="6" t="n">
        <v>-500</v>
      </c>
      <c r="L601" s="6">
        <f>1.21*OPERAC[[#This Row],[cantidad venta]]</f>
        <v/>
      </c>
      <c r="M601" s="7">
        <f>IF(N601=0,+L601+H601,0)</f>
        <v/>
      </c>
      <c r="N601" s="7">
        <f>IF((+G601-K601)=0,0,+G601-K601)</f>
        <v/>
      </c>
      <c r="O601" s="7">
        <f>IF(N601=0,0,(L601+H601)/-N601)</f>
        <v/>
      </c>
      <c r="P601" s="7">
        <f>VLOOKUP(OPERAC[[#This Row],[especie]],[1]!ESPECIES[#All],6,0)</f>
        <v/>
      </c>
      <c r="Q601" s="7">
        <f>IF(N601&lt;&gt;0,P601*N601,0)</f>
        <v/>
      </c>
      <c r="R601" s="8">
        <f>IF(Q601&lt;&gt;0,Q601+H601+L601,0)</f>
        <v/>
      </c>
      <c r="S601" s="9">
        <f>VLOOKUP(OPERAC[[#This Row],[especie]],[1]!ESPECIES[#Data],9,FALSE)</f>
        <v/>
      </c>
    </row>
    <row r="602">
      <c r="A602" s="4" t="n">
        <v>4561</v>
      </c>
      <c r="B602" s="5" t="n">
        <v>44581</v>
      </c>
      <c r="C602" s="13" t="inlineStr">
        <is>
          <t>VTA</t>
        </is>
      </c>
      <c r="D602" s="13" t="n">
        <v>39</v>
      </c>
      <c r="E602" s="10">
        <f>IF(D602&gt;0,VLOOKUP(OPERAC[[#This Row],[COD CART]],[1]!MatrizCortoLargoCyl[#All],3,0),"")</f>
        <v/>
      </c>
      <c r="F602" s="13" t="inlineStr">
        <is>
          <t>ACB/V/6,00/18-02-22</t>
        </is>
      </c>
      <c r="G602" s="6" t="n">
        <v>-500</v>
      </c>
      <c r="H602" s="6" t="n">
        <v>604.7575000000001</v>
      </c>
      <c r="I602" s="7">
        <f>-H602/G602</f>
        <v/>
      </c>
      <c r="J602" s="11" t="n">
        <v>44601</v>
      </c>
      <c r="K602" s="6" t="n">
        <v>-500</v>
      </c>
      <c r="L602" s="6">
        <f>1.21*OPERAC[[#This Row],[cantidad venta]]</f>
        <v/>
      </c>
      <c r="M602" s="7">
        <f>IF(N602=0,+L602+H602,0)</f>
        <v/>
      </c>
      <c r="N602" s="7">
        <f>IF((+G602-K602)=0,0,+G602-K602)</f>
        <v/>
      </c>
      <c r="O602" s="7">
        <f>IF(N602=0,0,(L602+H602)/-N602)</f>
        <v/>
      </c>
      <c r="P602" s="7">
        <f>VLOOKUP(OPERAC[[#This Row],[especie]],[1]!ESPECIES[#All],6,0)</f>
        <v/>
      </c>
      <c r="Q602" s="7">
        <f>IF(N602&lt;&gt;0,P602*N602,0)</f>
        <v/>
      </c>
      <c r="R602" s="8">
        <f>IF(Q602&lt;&gt;0,Q602+H602+L602,0)</f>
        <v/>
      </c>
      <c r="S602" s="9">
        <f>VLOOKUP(OPERAC[[#This Row],[especie]],[1]!ESPECIES[#Data],9,FALSE)</f>
        <v/>
      </c>
    </row>
    <row r="603">
      <c r="A603" s="4" t="n">
        <v>7895</v>
      </c>
      <c r="B603" s="5" t="n">
        <v>44581</v>
      </c>
      <c r="C603" s="13" t="inlineStr">
        <is>
          <t>VTA</t>
        </is>
      </c>
      <c r="D603" s="13" t="n">
        <v>39</v>
      </c>
      <c r="E603" s="10">
        <f>IF(D603&gt;0,VLOOKUP(OPERAC[[#This Row],[COD CART]],[1]!MatrizCortoLargoCyl[#All],3,0),"")</f>
        <v/>
      </c>
      <c r="F603" s="13" t="inlineStr">
        <is>
          <t>ACB/V/6,00/18-02-22</t>
        </is>
      </c>
      <c r="G603" s="6" t="n">
        <v>-500</v>
      </c>
      <c r="H603" s="6" t="n">
        <v>604.7575000000001</v>
      </c>
      <c r="I603" s="7">
        <f>-H603/G603</f>
        <v/>
      </c>
      <c r="J603" s="11" t="n">
        <v>44601</v>
      </c>
      <c r="K603" s="6" t="n">
        <v>-500</v>
      </c>
      <c r="L603" s="6">
        <f>1.21*OPERAC[[#This Row],[cantidad venta]]</f>
        <v/>
      </c>
      <c r="M603" s="7">
        <f>IF(N603=0,+L603+H603,0)</f>
        <v/>
      </c>
      <c r="N603" s="7">
        <f>IF((+G603-K603)=0,0,+G603-K603)</f>
        <v/>
      </c>
      <c r="O603" s="7">
        <f>IF(N603=0,0,(L603+H603)/-N603)</f>
        <v/>
      </c>
      <c r="P603" s="7">
        <f>VLOOKUP(OPERAC[[#This Row],[especie]],[1]!ESPECIES[#All],6,0)</f>
        <v/>
      </c>
      <c r="Q603" s="7">
        <f>IF(N603&lt;&gt;0,P603*N603,0)</f>
        <v/>
      </c>
      <c r="R603" s="8">
        <f>IF(Q603&lt;&gt;0,Q603+H603+L603,0)</f>
        <v/>
      </c>
      <c r="S603" s="9">
        <f>VLOOKUP(OPERAC[[#This Row],[especie]],[1]!ESPECIES[#Data],9,FALSE)</f>
        <v/>
      </c>
    </row>
    <row r="604">
      <c r="A604" s="4" t="n">
        <v>12662</v>
      </c>
      <c r="B604" s="5" t="n">
        <v>44581</v>
      </c>
      <c r="C604" s="13" t="inlineStr">
        <is>
          <t>VTA</t>
        </is>
      </c>
      <c r="D604" s="13" t="n">
        <v>39</v>
      </c>
      <c r="E604" s="10">
        <f>IF(D604&gt;0,VLOOKUP(OPERAC[[#This Row],[COD CART]],[1]!MatrizCortoLargoCyl[#All],3,0),"")</f>
        <v/>
      </c>
      <c r="F604" s="13" t="inlineStr">
        <is>
          <t>ACB/V/6,00/18-02-22</t>
        </is>
      </c>
      <c r="G604" s="6" t="n">
        <v>-500</v>
      </c>
      <c r="H604" s="6" t="n">
        <v>604.7575000000001</v>
      </c>
      <c r="I604" s="7">
        <f>-H604/G604</f>
        <v/>
      </c>
      <c r="J604" s="11" t="n">
        <v>44601</v>
      </c>
      <c r="K604" s="6" t="n">
        <v>-500</v>
      </c>
      <c r="L604" s="6">
        <f>1.21*OPERAC[[#This Row],[cantidad venta]]</f>
        <v/>
      </c>
      <c r="M604" s="7">
        <f>IF(N604=0,+L604+H604,0)</f>
        <v/>
      </c>
      <c r="N604" s="7">
        <f>IF((+G604-K604)=0,0,+G604-K604)</f>
        <v/>
      </c>
      <c r="O604" s="7">
        <f>IF(N604=0,0,(L604+H604)/-N604)</f>
        <v/>
      </c>
      <c r="P604" s="7">
        <f>VLOOKUP(OPERAC[[#This Row],[especie]],[1]!ESPECIES[#All],6,0)</f>
        <v/>
      </c>
      <c r="Q604" s="7">
        <f>IF(N604&lt;&gt;0,P604*N604,0)</f>
        <v/>
      </c>
      <c r="R604" s="8">
        <f>IF(Q604&lt;&gt;0,Q604+H604+L604,0)</f>
        <v/>
      </c>
      <c r="S604" s="9">
        <f>VLOOKUP(OPERAC[[#This Row],[especie]],[1]!ESPECIES[#Data],9,FALSE)</f>
        <v/>
      </c>
    </row>
    <row r="605">
      <c r="A605" s="4" t="n">
        <v>15192</v>
      </c>
      <c r="B605" s="5" t="n">
        <v>44581</v>
      </c>
      <c r="C605" s="13" t="inlineStr">
        <is>
          <t>VTA</t>
        </is>
      </c>
      <c r="D605" s="13" t="n">
        <v>39</v>
      </c>
      <c r="E605" s="10">
        <f>IF(D605&gt;0,VLOOKUP(OPERAC[[#This Row],[COD CART]],[1]!MatrizCortoLargoCyl[#All],3,0),"")</f>
        <v/>
      </c>
      <c r="F605" s="13" t="inlineStr">
        <is>
          <t>ACB/V/6,00/18-02-22</t>
        </is>
      </c>
      <c r="G605" s="6" t="n">
        <v>-500</v>
      </c>
      <c r="H605" s="6" t="n">
        <v>604.7575000000001</v>
      </c>
      <c r="I605" s="7">
        <f>-H605/G605</f>
        <v/>
      </c>
      <c r="J605" s="11" t="n">
        <v>44601</v>
      </c>
      <c r="K605" s="6" t="n">
        <v>-500</v>
      </c>
      <c r="L605" s="6">
        <f>1.21*OPERAC[[#This Row],[cantidad venta]]</f>
        <v/>
      </c>
      <c r="M605" s="7">
        <f>IF(N605=0,+L605+H605,0)</f>
        <v/>
      </c>
      <c r="N605" s="7">
        <f>IF((+G605-K605)=0,0,+G605-K605)</f>
        <v/>
      </c>
      <c r="O605" s="7">
        <f>IF(N605=0,0,(L605+H605)/-N605)</f>
        <v/>
      </c>
      <c r="P605" s="7">
        <f>VLOOKUP(OPERAC[[#This Row],[especie]],[1]!ESPECIES[#All],6,0)</f>
        <v/>
      </c>
      <c r="Q605" s="7">
        <f>IF(N605&lt;&gt;0,P605*N605,0)</f>
        <v/>
      </c>
      <c r="R605" s="8">
        <f>IF(Q605&lt;&gt;0,Q605+H605+L605,0)</f>
        <v/>
      </c>
      <c r="S605" s="9">
        <f>VLOOKUP(OPERAC[[#This Row],[especie]],[1]!ESPECIES[#Data],9,FALSE)</f>
        <v/>
      </c>
    </row>
    <row r="606">
      <c r="A606" s="4" t="n">
        <v>2194</v>
      </c>
      <c r="B606" s="5" t="n">
        <v>44596</v>
      </c>
      <c r="C606" s="13" t="inlineStr">
        <is>
          <t>VTA</t>
        </is>
      </c>
      <c r="D606" s="13" t="n">
        <v>39</v>
      </c>
      <c r="E606" s="10">
        <f>IF(D606&gt;0,VLOOKUP(OPERAC[[#This Row],[COD CART]],[1]!MatrizCortoLargoCyl[#All],3,0),"")</f>
        <v/>
      </c>
      <c r="F606" s="13" t="inlineStr">
        <is>
          <t>SMH/V/260,00/11-02-22</t>
        </is>
      </c>
      <c r="G606" s="6" t="n">
        <v>-200</v>
      </c>
      <c r="H606" s="6" t="n">
        <v>601.726</v>
      </c>
      <c r="I606" s="7">
        <f>-H606/G606</f>
        <v/>
      </c>
      <c r="J606" s="11" t="n">
        <v>44603</v>
      </c>
      <c r="K606" s="6" t="n">
        <v>-200</v>
      </c>
      <c r="L606" s="6" t="n">
        <v>-20</v>
      </c>
      <c r="M606" s="7">
        <f>IF(N606=0,+L606+H606,0)</f>
        <v/>
      </c>
      <c r="N606" s="7">
        <f>IF((+G606-K606)=0,0,+G606-K606)</f>
        <v/>
      </c>
      <c r="O606" s="7">
        <f>IF(N606=0,0,(L606+H606)/-N606)</f>
        <v/>
      </c>
      <c r="P606" s="7">
        <f>VLOOKUP(OPERAC[[#This Row],[especie]],[1]!ESPECIES[#All],6,0)</f>
        <v/>
      </c>
      <c r="Q606" s="7">
        <f>IF(N606&lt;&gt;0,P606*N606,0)</f>
        <v/>
      </c>
      <c r="R606" s="8">
        <f>IF(Q606&lt;&gt;0,Q606+H606+L606,0)</f>
        <v/>
      </c>
      <c r="S606" s="9">
        <f>VLOOKUP(OPERAC[[#This Row],[especie]],[1]!ESPECIES[#Data],9,FALSE)</f>
        <v/>
      </c>
    </row>
    <row r="607">
      <c r="A607" s="4" t="n">
        <v>2289</v>
      </c>
      <c r="B607" s="5" t="n">
        <v>44596</v>
      </c>
      <c r="C607" s="13" t="inlineStr">
        <is>
          <t>VTA</t>
        </is>
      </c>
      <c r="D607" s="13" t="n">
        <v>39</v>
      </c>
      <c r="E607" s="10">
        <f>IF(D607&gt;0,VLOOKUP(OPERAC[[#This Row],[COD CART]],[1]!MatrizCortoLargoCyl[#All],3,0),"")</f>
        <v/>
      </c>
      <c r="F607" s="13" t="inlineStr">
        <is>
          <t>SMH/V/260,00/11-02-22</t>
        </is>
      </c>
      <c r="G607" s="6" t="n">
        <v>-200</v>
      </c>
      <c r="H607" s="6" t="n">
        <v>601.726</v>
      </c>
      <c r="I607" s="7">
        <f>-H607/G607</f>
        <v/>
      </c>
      <c r="J607" s="11" t="n">
        <v>44603</v>
      </c>
      <c r="K607" s="6" t="n">
        <v>-200</v>
      </c>
      <c r="L607" s="6" t="n">
        <v>-20</v>
      </c>
      <c r="M607" s="7">
        <f>IF(N607=0,+L607+H607,0)</f>
        <v/>
      </c>
      <c r="N607" s="7">
        <f>IF((+G607-K607)=0,0,+G607-K607)</f>
        <v/>
      </c>
      <c r="O607" s="7">
        <f>IF(N607=0,0,(L607+H607)/-N607)</f>
        <v/>
      </c>
      <c r="P607" s="7">
        <f>VLOOKUP(OPERAC[[#This Row],[especie]],[1]!ESPECIES[#All],6,0)</f>
        <v/>
      </c>
      <c r="Q607" s="7">
        <f>IF(N607&lt;&gt;0,P607*N607,0)</f>
        <v/>
      </c>
      <c r="R607" s="8">
        <f>IF(Q607&lt;&gt;0,Q607+H607+L607,0)</f>
        <v/>
      </c>
      <c r="S607" s="9">
        <f>VLOOKUP(OPERAC[[#This Row],[especie]],[1]!ESPECIES[#Data],9,FALSE)</f>
        <v/>
      </c>
    </row>
    <row r="608">
      <c r="A608" s="4" t="n">
        <v>3823</v>
      </c>
      <c r="B608" s="5" t="n">
        <v>44596</v>
      </c>
      <c r="C608" s="13" t="inlineStr">
        <is>
          <t>VTA</t>
        </is>
      </c>
      <c r="D608" s="13" t="n">
        <v>39</v>
      </c>
      <c r="E608" s="10">
        <f>IF(D608&gt;0,VLOOKUP(OPERAC[[#This Row],[COD CART]],[1]!MatrizCortoLargoCyl[#All],3,0),"")</f>
        <v/>
      </c>
      <c r="F608" s="13" t="inlineStr">
        <is>
          <t>SMH/V/260,00/11-02-22</t>
        </is>
      </c>
      <c r="G608" s="6" t="n">
        <v>-200</v>
      </c>
      <c r="H608" s="6" t="n">
        <v>601.726</v>
      </c>
      <c r="I608" s="7">
        <f>-H608/G608</f>
        <v/>
      </c>
      <c r="J608" s="11" t="n">
        <v>44603</v>
      </c>
      <c r="K608" s="6" t="n">
        <v>-200</v>
      </c>
      <c r="L608" s="6" t="n">
        <v>-20</v>
      </c>
      <c r="M608" s="7">
        <f>IF(N608=0,+L608+H608,0)</f>
        <v/>
      </c>
      <c r="N608" s="7">
        <f>IF((+G608-K608)=0,0,+G608-K608)</f>
        <v/>
      </c>
      <c r="O608" s="7">
        <f>IF(N608=0,0,(L608+H608)/-N608)</f>
        <v/>
      </c>
      <c r="P608" s="7">
        <f>VLOOKUP(OPERAC[[#This Row],[especie]],[1]!ESPECIES[#All],6,0)</f>
        <v/>
      </c>
      <c r="Q608" s="7">
        <f>IF(N608&lt;&gt;0,P608*N608,0)</f>
        <v/>
      </c>
      <c r="R608" s="8">
        <f>IF(Q608&lt;&gt;0,Q608+H608+L608,0)</f>
        <v/>
      </c>
      <c r="S608" s="9">
        <f>VLOOKUP(OPERAC[[#This Row],[especie]],[1]!ESPECIES[#Data],9,FALSE)</f>
        <v/>
      </c>
    </row>
    <row r="609">
      <c r="A609" s="4" t="n">
        <v>11170</v>
      </c>
      <c r="B609" s="5" t="n">
        <v>44596</v>
      </c>
      <c r="C609" s="13" t="inlineStr">
        <is>
          <t>VTA</t>
        </is>
      </c>
      <c r="D609" s="13" t="n">
        <v>39</v>
      </c>
      <c r="E609" s="10">
        <f>IF(D609&gt;0,VLOOKUP(OPERAC[[#This Row],[COD CART]],[1]!MatrizCortoLargoCyl[#All],3,0),"")</f>
        <v/>
      </c>
      <c r="F609" s="13" t="inlineStr">
        <is>
          <t>SMH/V/260,00/11-02-22</t>
        </is>
      </c>
      <c r="G609" s="6" t="n">
        <v>-200</v>
      </c>
      <c r="H609" s="6" t="n">
        <v>601.726</v>
      </c>
      <c r="I609" s="7">
        <f>-H609/G609</f>
        <v/>
      </c>
      <c r="J609" s="11" t="n">
        <v>44603</v>
      </c>
      <c r="K609" s="6" t="n">
        <v>-200</v>
      </c>
      <c r="L609" s="6" t="n">
        <v>-20</v>
      </c>
      <c r="M609" s="7">
        <f>IF(N609=0,+L609+H609,0)</f>
        <v/>
      </c>
      <c r="N609" s="7">
        <f>IF((+G609-K609)=0,0,+G609-K609)</f>
        <v/>
      </c>
      <c r="O609" s="7">
        <f>IF(N609=0,0,(L609+H609)/-N609)</f>
        <v/>
      </c>
      <c r="P609" s="7">
        <f>VLOOKUP(OPERAC[[#This Row],[especie]],[1]!ESPECIES[#All],6,0)</f>
        <v/>
      </c>
      <c r="Q609" s="7">
        <f>IF(N609&lt;&gt;0,P609*N609,0)</f>
        <v/>
      </c>
      <c r="R609" s="8">
        <f>IF(Q609&lt;&gt;0,Q609+H609+L609,0)</f>
        <v/>
      </c>
      <c r="S609" s="9">
        <f>VLOOKUP(OPERAC[[#This Row],[especie]],[1]!ESPECIES[#Data],9,FALSE)</f>
        <v/>
      </c>
    </row>
    <row r="610">
      <c r="A610" s="4" t="n">
        <v>12652</v>
      </c>
      <c r="B610" s="5" t="n">
        <v>44441</v>
      </c>
      <c r="C610" s="13" t="inlineStr">
        <is>
          <t>VTA</t>
        </is>
      </c>
      <c r="D610" s="13" t="n">
        <v>39</v>
      </c>
      <c r="E610" s="10">
        <f>IF(D610&gt;0,VLOOKUP(OPERAC[[#This Row],[COD CART]],[1]!MatrizCortoLargoCyl[#All],3,0),"")</f>
        <v/>
      </c>
      <c r="F610" s="13" t="inlineStr">
        <is>
          <t>EDIT/V/35,00/20-01-23</t>
        </is>
      </c>
      <c r="G610" s="6" t="n">
        <v>-100</v>
      </c>
      <c r="H610" s="6" t="n">
        <v>600</v>
      </c>
      <c r="I610" s="7">
        <f>-H610/G610</f>
        <v/>
      </c>
      <c r="J610" s="11" t="n">
        <v>44615</v>
      </c>
      <c r="K610" s="6" t="n">
        <v>-100</v>
      </c>
      <c r="L610" s="6" t="n">
        <v>-2168.25</v>
      </c>
      <c r="M610" s="7">
        <f>IF(N610=0,+L610+H610,0)</f>
        <v/>
      </c>
      <c r="N610" s="7">
        <f>IF((+G610-K610)=0,0,+G610-K610)</f>
        <v/>
      </c>
      <c r="O610" s="7">
        <f>IF(N610=0,0,(L610+H610)/-N610)</f>
        <v/>
      </c>
      <c r="P610" s="7">
        <f>VLOOKUP(OPERAC[[#This Row],[especie]],[1]!ESPECIES[#All],6,0)</f>
        <v/>
      </c>
      <c r="Q610" s="7">
        <f>IF(N610&lt;&gt;0,P610*N610,0)</f>
        <v/>
      </c>
      <c r="R610" s="8">
        <f>IF(Q610&lt;&gt;0,Q610+H610+L610,0)</f>
        <v/>
      </c>
      <c r="S610" s="9">
        <f>VLOOKUP(OPERAC[[#This Row],[especie]],[1]!ESPECIES[#Data],9,FALSE)</f>
        <v/>
      </c>
    </row>
    <row r="611">
      <c r="A611" s="4" t="n">
        <v>18677</v>
      </c>
      <c r="B611" s="5" t="n">
        <v>44441</v>
      </c>
      <c r="C611" s="13" t="inlineStr">
        <is>
          <t>VTA</t>
        </is>
      </c>
      <c r="D611" s="13" t="n">
        <v>39</v>
      </c>
      <c r="E611" s="10">
        <f>IF(D611&gt;0,VLOOKUP(OPERAC[[#This Row],[COD CART]],[1]!MatrizCortoLargoCyl[#All],3,0),"")</f>
        <v/>
      </c>
      <c r="F611" s="13" t="inlineStr">
        <is>
          <t>EDIT/V/35,00/20-01-23</t>
        </is>
      </c>
      <c r="G611" s="6" t="n">
        <v>-100</v>
      </c>
      <c r="H611" s="6" t="n">
        <v>600</v>
      </c>
      <c r="I611" s="7">
        <f>-H611/G611</f>
        <v/>
      </c>
      <c r="J611" s="11" t="n">
        <v>44614</v>
      </c>
      <c r="K611" s="6" t="n">
        <v>-100</v>
      </c>
      <c r="L611" s="6" t="n">
        <v>-2136.96</v>
      </c>
      <c r="M611" s="7">
        <f>IF(N611=0,+L611+H611,0)</f>
        <v/>
      </c>
      <c r="N611" s="7">
        <f>IF((+G611-K611)=0,0,+G611-K611)</f>
        <v/>
      </c>
      <c r="O611" s="7">
        <f>IF(N611=0,0,(L611+H611)/-N611)</f>
        <v/>
      </c>
      <c r="P611" s="7">
        <f>VLOOKUP(OPERAC[[#This Row],[especie]],[1]!ESPECIES[#All],6,0)</f>
        <v/>
      </c>
      <c r="Q611" s="7">
        <f>IF(N611&lt;&gt;0,P611*N611,0)</f>
        <v/>
      </c>
      <c r="R611" s="8">
        <f>IF(Q611&lt;&gt;0,Q611+H611+L611,0)</f>
        <v/>
      </c>
      <c r="S611" s="9">
        <f>VLOOKUP(OPERAC[[#This Row],[especie]],[1]!ESPECIES[#Data],9,FALSE)</f>
        <v/>
      </c>
    </row>
    <row r="612">
      <c r="A612" s="4" t="n">
        <v>6578</v>
      </c>
      <c r="B612" s="5" t="n">
        <v>44531</v>
      </c>
      <c r="C612" s="13" t="inlineStr">
        <is>
          <t>VTA</t>
        </is>
      </c>
      <c r="D612" s="13" t="n">
        <v>39</v>
      </c>
      <c r="E612" s="10">
        <f>IF(D612&gt;0,VLOOKUP(OPERAC[[#This Row],[COD CART]],[1]!MatrizCortoLargoCyl[#All],3,0),"")</f>
        <v/>
      </c>
      <c r="F612" s="13" t="inlineStr">
        <is>
          <t>MELI/V/740,00/16-09-22</t>
        </is>
      </c>
      <c r="G612" s="6" t="n">
        <v>-300</v>
      </c>
      <c r="H612" s="6">
        <f>-2*OPERAC[[#This Row],[cantidad]]</f>
        <v/>
      </c>
      <c r="I612" s="7">
        <f>-H612/G612</f>
        <v/>
      </c>
      <c r="J612" s="11" t="n">
        <v>44614</v>
      </c>
      <c r="K612" s="6">
        <f>+OPERAC[[#This Row],[cantidad]]</f>
        <v/>
      </c>
      <c r="L612" s="6" t="n">
        <v>-600</v>
      </c>
      <c r="M612" s="7">
        <f>IF(N612=0,+L612+H612,0)</f>
        <v/>
      </c>
      <c r="N612" s="7">
        <f>IF((+G612-K612)=0,0,+G612-K612)</f>
        <v/>
      </c>
      <c r="O612" s="7">
        <f>IF(N612=0,0,(L612+H612)/-N612)</f>
        <v/>
      </c>
      <c r="P612" s="7">
        <f>VLOOKUP(OPERAC[[#This Row],[especie]],[1]!ESPECIES[#All],6,0)</f>
        <v/>
      </c>
      <c r="Q612" s="7">
        <f>IF(N612&lt;&gt;0,P612*N612,0)</f>
        <v/>
      </c>
      <c r="R612" s="8">
        <f>IF(Q612&lt;&gt;0,Q612+H612+L612,0)</f>
        <v/>
      </c>
      <c r="S612" s="9">
        <f>VLOOKUP(OPERAC[[#This Row],[especie]],[1]!ESPECIES[#Data],9,FALSE)</f>
        <v/>
      </c>
    </row>
    <row r="613">
      <c r="A613" s="4" t="n">
        <v>16780</v>
      </c>
      <c r="B613" s="5" t="n">
        <v>44538</v>
      </c>
      <c r="C613" s="13" t="inlineStr">
        <is>
          <t>VTA</t>
        </is>
      </c>
      <c r="D613" s="13" t="n">
        <v>39</v>
      </c>
      <c r="E613" s="10">
        <f>IF(D613&gt;0,VLOOKUP(OPERAC[[#This Row],[COD CART]],[1]!MatrizCortoLargoCyl[#All],3,0),"")</f>
        <v/>
      </c>
      <c r="F613" s="13" t="inlineStr">
        <is>
          <t>MELI/V/810,00/21-10-22</t>
        </is>
      </c>
      <c r="G613" s="6" t="n">
        <v>-300</v>
      </c>
      <c r="H613" s="6">
        <f>-2*OPERAC[[#This Row],[cantidad]]</f>
        <v/>
      </c>
      <c r="I613" s="7">
        <f>-H613/G613</f>
        <v/>
      </c>
      <c r="J613" s="11" t="n">
        <v>44614</v>
      </c>
      <c r="K613" s="6" t="n">
        <v>-300</v>
      </c>
      <c r="L613" s="6" t="n">
        <v>-600</v>
      </c>
      <c r="M613" s="7">
        <f>IF(N613=0,+L613+H613,0)</f>
        <v/>
      </c>
      <c r="N613" s="7">
        <f>IF((+G613-K613)=0,0,+G613-K613)</f>
        <v/>
      </c>
      <c r="O613" s="7">
        <f>IF(N613=0,0,(L613+H613)/-N613)</f>
        <v/>
      </c>
      <c r="P613" s="7">
        <f>VLOOKUP(OPERAC[[#This Row],[especie]],[1]!ESPECIES[#All],6,0)</f>
        <v/>
      </c>
      <c r="Q613" s="7">
        <f>IF(N613&lt;&gt;0,P613*N613,0)</f>
        <v/>
      </c>
      <c r="R613" s="8">
        <f>IF(Q613&lt;&gt;0,Q613+H613+L613,0)</f>
        <v/>
      </c>
      <c r="S613" s="9">
        <f>VLOOKUP(OPERAC[[#This Row],[especie]],[1]!ESPECIES[#Data],9,FALSE)</f>
        <v/>
      </c>
    </row>
    <row r="614">
      <c r="A614" s="4" t="n">
        <v>3728</v>
      </c>
      <c r="B614" s="5" t="n">
        <v>44664</v>
      </c>
      <c r="C614" s="13" t="inlineStr">
        <is>
          <t>VTA</t>
        </is>
      </c>
      <c r="D614" s="13" t="n">
        <v>39</v>
      </c>
      <c r="E614" s="10">
        <f>IF(D614&gt;0,VLOOKUP(OPERAC[[#This Row],[COD CART]],[1]!MatrizCortoLargoCyl[#All],3,0),"")</f>
        <v/>
      </c>
      <c r="F614" s="13" t="inlineStr">
        <is>
          <t>UPST/V/80,00/14-04-22</t>
        </is>
      </c>
      <c r="G614" s="6" t="n">
        <v>-1000</v>
      </c>
      <c r="H614" s="6" t="n">
        <v>599.4</v>
      </c>
      <c r="I614" s="7">
        <f>-H614/G614</f>
        <v/>
      </c>
      <c r="J614" s="11" t="n">
        <v>44665</v>
      </c>
      <c r="K614" s="6" t="n">
        <v>-1000</v>
      </c>
      <c r="L614" s="6" t="n">
        <v>0</v>
      </c>
      <c r="M614" s="7">
        <f>IF(N614=0,+L614+H614,0)</f>
        <v/>
      </c>
      <c r="N614" s="7">
        <f>IF((+G614-K614)=0,0,+G614-K614)</f>
        <v/>
      </c>
      <c r="O614" s="7">
        <f>IF(N614=0,0,(L614+H614)/-N614)</f>
        <v/>
      </c>
      <c r="P614" s="7">
        <f>VLOOKUP(OPERAC[[#This Row],[especie]],[1]!ESPECIES[#All],6,0)</f>
        <v/>
      </c>
      <c r="Q614" s="7">
        <f>IF(N614&lt;&gt;0,P614*N614,0)</f>
        <v/>
      </c>
      <c r="R614" s="8">
        <f>IF(Q614&lt;&gt;0,Q614+H614+L614,0)</f>
        <v/>
      </c>
      <c r="S614" s="9">
        <f>VLOOKUP(OPERAC[[#This Row],[especie]],[1]!ESPECIES[#Data],9,FALSE)</f>
        <v/>
      </c>
    </row>
    <row r="615">
      <c r="A615" s="4" t="n">
        <v>13204</v>
      </c>
      <c r="B615" s="5" t="n">
        <v>44567</v>
      </c>
      <c r="C615" s="13" t="inlineStr">
        <is>
          <t>VTA</t>
        </is>
      </c>
      <c r="D615" s="13" t="n">
        <v>39</v>
      </c>
      <c r="E615" s="10">
        <f>IF(D615&gt;0,VLOOKUP(OPERAC[[#This Row],[COD CART]],[1]!MatrizCortoLargoCyl[#All],3,0),"")</f>
        <v/>
      </c>
      <c r="F615" s="13" t="inlineStr">
        <is>
          <t>TSLA/V/880,00/14-01-22</t>
        </is>
      </c>
      <c r="G615" s="6" t="n">
        <v>-100</v>
      </c>
      <c r="H615" s="6" t="n">
        <v>594.9337</v>
      </c>
      <c r="I615" s="7">
        <f>-H615/G615</f>
        <v/>
      </c>
      <c r="J615" s="11" t="n">
        <v>44571</v>
      </c>
      <c r="K615" s="6" t="n">
        <v>-100</v>
      </c>
      <c r="L615" s="6" t="n">
        <v>-336.3553</v>
      </c>
      <c r="M615" s="7">
        <f>IF(N615=0,+L615+H615,0)</f>
        <v/>
      </c>
      <c r="N615" s="7">
        <f>IF((+G615-K615)=0,0,+G615-K615)</f>
        <v/>
      </c>
      <c r="O615" s="7">
        <f>IF(N615=0,0,(L615+H615)/-N615)</f>
        <v/>
      </c>
      <c r="P615" s="7">
        <f>VLOOKUP(OPERAC[[#This Row],[especie]],[1]!ESPECIES[#All],6,0)</f>
        <v/>
      </c>
      <c r="Q615" s="7">
        <f>IF(N615&lt;&gt;0,P615*N615,0)</f>
        <v/>
      </c>
      <c r="R615" s="8">
        <f>IF(Q615&lt;&gt;0,Q615+H615+L615,0)</f>
        <v/>
      </c>
      <c r="S615" s="9">
        <f>VLOOKUP(OPERAC[[#This Row],[especie]],[1]!ESPECIES[#Data],9,FALSE)</f>
        <v/>
      </c>
    </row>
    <row r="616">
      <c r="A616" s="4" t="n">
        <v>6599</v>
      </c>
      <c r="B616" s="5" t="n">
        <v>44567</v>
      </c>
      <c r="C616" s="13" t="inlineStr">
        <is>
          <t>VTA</t>
        </is>
      </c>
      <c r="D616" s="13" t="n">
        <v>39</v>
      </c>
      <c r="E616" s="10">
        <f>IF(D616&gt;0,VLOOKUP(OPERAC[[#This Row],[COD CART]],[1]!MatrizCortoLargoCyl[#All],3,0),"")</f>
        <v/>
      </c>
      <c r="F616" s="13" t="inlineStr">
        <is>
          <t>TSLA/V/880,00/14-01-22</t>
        </is>
      </c>
      <c r="G616" s="6" t="n">
        <v>-100</v>
      </c>
      <c r="H616" s="6" t="n">
        <v>594.9337</v>
      </c>
      <c r="I616" s="7">
        <f>-H616/G616</f>
        <v/>
      </c>
      <c r="J616" s="11" t="n">
        <v>44571</v>
      </c>
      <c r="K616" s="6" t="n">
        <v>-100</v>
      </c>
      <c r="L616" s="6" t="n">
        <v>-336.3553</v>
      </c>
      <c r="M616" s="7">
        <f>IF(N616=0,+L616+H616,0)</f>
        <v/>
      </c>
      <c r="N616" s="7">
        <f>IF((+G616-K616)=0,0,+G616-K616)</f>
        <v/>
      </c>
      <c r="O616" s="7">
        <f>IF(N616=0,0,(L616+H616)/-N616)</f>
        <v/>
      </c>
      <c r="P616" s="7">
        <f>VLOOKUP(OPERAC[[#This Row],[especie]],[1]!ESPECIES[#All],6,0)</f>
        <v/>
      </c>
      <c r="Q616" s="7">
        <f>IF(N616&lt;&gt;0,P616*N616,0)</f>
        <v/>
      </c>
      <c r="R616" s="8">
        <f>IF(Q616&lt;&gt;0,Q616+H616+L616,0)</f>
        <v/>
      </c>
      <c r="S616" s="9">
        <f>VLOOKUP(OPERAC[[#This Row],[especie]],[1]!ESPECIES[#Data],9,FALSE)</f>
        <v/>
      </c>
    </row>
    <row r="617">
      <c r="A617" s="4" t="n">
        <v>22407</v>
      </c>
      <c r="B617" s="5" t="n">
        <v>44567</v>
      </c>
      <c r="C617" s="13" t="inlineStr">
        <is>
          <t>VTA</t>
        </is>
      </c>
      <c r="D617" s="13" t="n">
        <v>39</v>
      </c>
      <c r="E617" s="10">
        <f>IF(D617&gt;0,VLOOKUP(OPERAC[[#This Row],[COD CART]],[1]!MatrizCortoLargoCyl[#All],3,0),"")</f>
        <v/>
      </c>
      <c r="F617" s="13" t="inlineStr">
        <is>
          <t>TSLA/V/880,00/14-01-22</t>
        </is>
      </c>
      <c r="G617" s="6" t="n">
        <v>-100</v>
      </c>
      <c r="H617" s="6" t="n">
        <v>594.9337</v>
      </c>
      <c r="I617" s="7">
        <f>-H617/G617</f>
        <v/>
      </c>
      <c r="J617" s="11" t="n">
        <v>44571</v>
      </c>
      <c r="K617" s="6" t="n">
        <v>-100</v>
      </c>
      <c r="L617" s="6" t="n">
        <v>-336.3553</v>
      </c>
      <c r="M617" s="7">
        <f>IF(N617=0,+L617+H617,0)</f>
        <v/>
      </c>
      <c r="N617" s="7">
        <f>IF((+G617-K617)=0,0,+G617-K617)</f>
        <v/>
      </c>
      <c r="O617" s="7">
        <f>IF(N617=0,0,(L617+H617)/-N617)</f>
        <v/>
      </c>
      <c r="P617" s="7">
        <f>VLOOKUP(OPERAC[[#This Row],[especie]],[1]!ESPECIES[#All],6,0)</f>
        <v/>
      </c>
      <c r="Q617" s="7">
        <f>IF(N617&lt;&gt;0,P617*N617,0)</f>
        <v/>
      </c>
      <c r="R617" s="8">
        <f>IF(Q617&lt;&gt;0,Q617+H617+L617,0)</f>
        <v/>
      </c>
      <c r="S617" s="9">
        <f>VLOOKUP(OPERAC[[#This Row],[especie]],[1]!ESPECIES[#Data],9,FALSE)</f>
        <v/>
      </c>
    </row>
    <row r="618">
      <c r="A618" s="4" t="n">
        <v>22421</v>
      </c>
      <c r="B618" s="5" t="n">
        <v>44567</v>
      </c>
      <c r="C618" s="13" t="inlineStr">
        <is>
          <t>VTA</t>
        </is>
      </c>
      <c r="D618" s="13" t="n">
        <v>39</v>
      </c>
      <c r="E618" s="10">
        <f>IF(D618&gt;0,VLOOKUP(OPERAC[[#This Row],[COD CART]],[1]!MatrizCortoLargoCyl[#All],3,0),"")</f>
        <v/>
      </c>
      <c r="F618" s="13" t="inlineStr">
        <is>
          <t>TSLA/V/880,00/14-01-22</t>
        </is>
      </c>
      <c r="G618" s="6" t="n">
        <v>-100</v>
      </c>
      <c r="H618" s="6" t="n">
        <v>594.9337</v>
      </c>
      <c r="I618" s="7">
        <f>-H618/G618</f>
        <v/>
      </c>
      <c r="J618" s="11" t="n">
        <v>44571</v>
      </c>
      <c r="K618" s="6" t="n">
        <v>-100</v>
      </c>
      <c r="L618" s="6" t="n">
        <v>-336.3553</v>
      </c>
      <c r="M618" s="7">
        <f>IF(N618=0,+L618+H618,0)</f>
        <v/>
      </c>
      <c r="N618" s="7">
        <f>IF((+G618-K618)=0,0,+G618-K618)</f>
        <v/>
      </c>
      <c r="O618" s="7">
        <f>IF(N618=0,0,(L618+H618)/-N618)</f>
        <v/>
      </c>
      <c r="P618" s="7">
        <f>VLOOKUP(OPERAC[[#This Row],[especie]],[1]!ESPECIES[#All],6,0)</f>
        <v/>
      </c>
      <c r="Q618" s="7">
        <f>IF(N618&lt;&gt;0,P618*N618,0)</f>
        <v/>
      </c>
      <c r="R618" s="8">
        <f>IF(Q618&lt;&gt;0,Q618+H618+L618,0)</f>
        <v/>
      </c>
      <c r="S618" s="9">
        <f>VLOOKUP(OPERAC[[#This Row],[especie]],[1]!ESPECIES[#Data],9,FALSE)</f>
        <v/>
      </c>
    </row>
    <row r="619">
      <c r="A619" s="4" t="n">
        <v>2289</v>
      </c>
      <c r="B619" s="5" t="n">
        <v>44720</v>
      </c>
      <c r="C619" s="13" t="inlineStr">
        <is>
          <t>VTA</t>
        </is>
      </c>
      <c r="D619" s="13" t="n">
        <v>39</v>
      </c>
      <c r="E619" s="10">
        <f>IF(D619&gt;0,VLOOKUP(OPERAC[[#This Row],[COD CART]],[1]!MatrizCortoLargoCyl[#All],3,0),"")</f>
        <v/>
      </c>
      <c r="F619" s="14" t="inlineStr">
        <is>
          <t>TSLA/C/800,00/10-06-22</t>
        </is>
      </c>
      <c r="G619" s="6" t="n">
        <v>-200</v>
      </c>
      <c r="H619" s="6" t="n">
        <v>594.9</v>
      </c>
      <c r="I619" s="7">
        <f>-H619/G619</f>
        <v/>
      </c>
      <c r="J619" s="5" t="n">
        <v>44722</v>
      </c>
      <c r="K619" s="6">
        <f>+OPERAC[[#This Row],[cantidad]]</f>
        <v/>
      </c>
      <c r="L619" s="6" t="n">
        <v>0</v>
      </c>
      <c r="M619" s="7">
        <f>IF(N619=0,+L619+H619,0)</f>
        <v/>
      </c>
      <c r="N619" s="7">
        <f>IF((+G619-K619)=0,0,+G619-K619)</f>
        <v/>
      </c>
      <c r="O619" s="7">
        <f>IF(N619=0,0,(L619+H619)/-N619)</f>
        <v/>
      </c>
      <c r="P619" s="7">
        <f>VLOOKUP(OPERAC[[#This Row],[especie]],[1]!ESPECIES[#All],6,0)</f>
        <v/>
      </c>
      <c r="Q619" s="7">
        <f>IF(N619&lt;&gt;0,P619*N619,0)</f>
        <v/>
      </c>
      <c r="R619" s="8">
        <f>IF(Q619&lt;&gt;0,Q619+H619+L619,0)</f>
        <v/>
      </c>
      <c r="S619" s="9">
        <f>VLOOKUP(OPERAC[[#This Row],[especie]],[1]!ESPECIES[#Data],9,FALSE)</f>
        <v/>
      </c>
    </row>
    <row r="620">
      <c r="A620" s="4" t="n">
        <v>16783</v>
      </c>
      <c r="B620" s="5" t="n">
        <v>44167</v>
      </c>
      <c r="C620" s="13" t="inlineStr">
        <is>
          <t>VTA</t>
        </is>
      </c>
      <c r="D620" s="13" t="n">
        <v>39</v>
      </c>
      <c r="E620" s="10">
        <f>IF(D620&gt;0,VLOOKUP(OPERAC[[#This Row],[COD CART]],[1]!MatrizCortoLargoCyl[#All],3,0),"")</f>
        <v/>
      </c>
      <c r="F620" s="13" t="inlineStr">
        <is>
          <t>PBR/V/8,00/21-01-22</t>
        </is>
      </c>
      <c r="G620" s="6" t="n">
        <v>-600</v>
      </c>
      <c r="H620" s="6" t="n">
        <v>592.5700000000001</v>
      </c>
      <c r="I620" s="7">
        <f>-H620/G620</f>
        <v/>
      </c>
      <c r="J620" s="11" t="n">
        <v>44582</v>
      </c>
      <c r="K620" s="6" t="n">
        <v>-600</v>
      </c>
      <c r="L620" s="6" t="n">
        <v>0</v>
      </c>
      <c r="M620" s="7">
        <f>IF(N620=0,+L620+H620,0)</f>
        <v/>
      </c>
      <c r="N620" s="7">
        <f>IF((+G620-K620)=0,0,+G620-K620)</f>
        <v/>
      </c>
      <c r="O620" s="7">
        <f>IF(N620=0,0,(L620+H620)/-N620)</f>
        <v/>
      </c>
      <c r="P620" s="7">
        <f>VLOOKUP(OPERAC[[#This Row],[especie]],[1]!ESPECIES[#All],6,0)</f>
        <v/>
      </c>
      <c r="Q620" s="7">
        <f>IF(N620&lt;&gt;0,P620*N620,0)</f>
        <v/>
      </c>
      <c r="R620" s="8">
        <f>IF(Q620&lt;&gt;0,Q620+H620+L620,0)</f>
        <v/>
      </c>
      <c r="S620" s="9">
        <f>VLOOKUP(OPERAC[[#This Row],[especie]],[1]!ESPECIES[#Data],9,FALSE)</f>
        <v/>
      </c>
    </row>
    <row r="621">
      <c r="A621" s="4" t="n">
        <v>3728</v>
      </c>
      <c r="B621" s="5" t="n">
        <v>44596</v>
      </c>
      <c r="C621" s="13" t="inlineStr">
        <is>
          <t>VTA</t>
        </is>
      </c>
      <c r="D621" s="13" t="n">
        <v>39</v>
      </c>
      <c r="E621" s="10">
        <f>IF(D621&gt;0,VLOOKUP(OPERAC[[#This Row],[COD CART]],[1]!MatrizCortoLargoCyl[#All],3,0),"")</f>
        <v/>
      </c>
      <c r="F621" s="13" t="inlineStr">
        <is>
          <t>TSLA/V/760,00/11-02-22</t>
        </is>
      </c>
      <c r="G621" s="6" t="n">
        <v>-300</v>
      </c>
      <c r="H621" s="6" t="n">
        <v>583.415</v>
      </c>
      <c r="I621" s="7">
        <f>-H621/G621</f>
        <v/>
      </c>
      <c r="J621" s="11" t="n">
        <v>44601</v>
      </c>
      <c r="K621" s="6" t="n">
        <v>-300</v>
      </c>
      <c r="L621" s="6">
        <f>0.1*OPERAC[[#This Row],[cantidad venta]]</f>
        <v/>
      </c>
      <c r="M621" s="7">
        <f>IF(N621=0,+L621+H621,0)</f>
        <v/>
      </c>
      <c r="N621" s="7">
        <f>IF((+G621-K621)=0,0,+G621-K621)</f>
        <v/>
      </c>
      <c r="O621" s="7">
        <f>IF(N621=0,0,(L621+H621)/-N621)</f>
        <v/>
      </c>
      <c r="P621" s="7">
        <f>VLOOKUP(OPERAC[[#This Row],[especie]],[1]!ESPECIES[#All],6,0)</f>
        <v/>
      </c>
      <c r="Q621" s="7">
        <f>IF(N621&lt;&gt;0,P621*N621,0)</f>
        <v/>
      </c>
      <c r="R621" s="8">
        <f>IF(Q621&lt;&gt;0,Q621+H621+L621,0)</f>
        <v/>
      </c>
      <c r="S621" s="9">
        <f>VLOOKUP(OPERAC[[#This Row],[especie]],[1]!ESPECIES[#Data],9,FALSE)</f>
        <v/>
      </c>
    </row>
    <row r="622">
      <c r="A622" s="4" t="n">
        <v>2218</v>
      </c>
      <c r="B622" s="5" t="n">
        <v>44719</v>
      </c>
      <c r="C622" s="13" t="inlineStr">
        <is>
          <t>VTA</t>
        </is>
      </c>
      <c r="D622" s="13" t="n">
        <v>39</v>
      </c>
      <c r="E622" s="10">
        <f>IF(D622&gt;0,VLOOKUP(OPERAC[[#This Row],[COD CART]],[1]!MatrizCortoLargoCyl[#All],3,0),"")</f>
        <v/>
      </c>
      <c r="F622" s="13" t="inlineStr">
        <is>
          <t>TSLA/V/625,00/10-06-22</t>
        </is>
      </c>
      <c r="G622" s="6" t="n">
        <v>-400</v>
      </c>
      <c r="H622" s="6" t="n">
        <v>579.42</v>
      </c>
      <c r="I622" s="7">
        <f>-H622/G622</f>
        <v/>
      </c>
      <c r="J622" s="5" t="n">
        <v>44721</v>
      </c>
      <c r="K622" s="6" t="n">
        <v>-400</v>
      </c>
      <c r="L622" s="6" t="n">
        <v>-92.092</v>
      </c>
      <c r="M622" s="7">
        <f>IF(N622=0,+L622+H622,0)</f>
        <v/>
      </c>
      <c r="N622" s="7">
        <f>IF((+G622-K622)=0,0,+G622-K622)</f>
        <v/>
      </c>
      <c r="O622" s="7">
        <f>IF(N622=0,0,(L622+H622)/-N622)</f>
        <v/>
      </c>
      <c r="P622" s="7">
        <f>VLOOKUP(OPERAC[[#This Row],[especie]],[1]!ESPECIES[#All],6,0)</f>
        <v/>
      </c>
      <c r="Q622" s="7">
        <f>IF(N622&lt;&gt;0,P622*N622,0)</f>
        <v/>
      </c>
      <c r="R622" s="8">
        <f>IF(Q622&lt;&gt;0,Q622+H622+L622,0)</f>
        <v/>
      </c>
      <c r="S622" s="9">
        <f>VLOOKUP(OPERAC[[#This Row],[especie]],[1]!ESPECIES[#Data],9,FALSE)</f>
        <v/>
      </c>
    </row>
    <row r="623">
      <c r="A623" s="4" t="n">
        <v>3728</v>
      </c>
      <c r="B623" s="5" t="n">
        <v>44719</v>
      </c>
      <c r="C623" s="13" t="inlineStr">
        <is>
          <t>VTA</t>
        </is>
      </c>
      <c r="D623" s="13" t="n">
        <v>39</v>
      </c>
      <c r="E623" s="10">
        <f>IF(D623&gt;0,VLOOKUP(OPERAC[[#This Row],[COD CART]],[1]!MatrizCortoLargoCyl[#All],3,0),"")</f>
        <v/>
      </c>
      <c r="F623" s="13" t="inlineStr">
        <is>
          <t>TSLA/V/625,00/10-06-22</t>
        </is>
      </c>
      <c r="G623" s="6" t="n">
        <v>-400</v>
      </c>
      <c r="H623" s="6" t="n">
        <v>579.42</v>
      </c>
      <c r="I623" s="7">
        <f>-H623/G623</f>
        <v/>
      </c>
      <c r="J623" s="5" t="n">
        <v>44721</v>
      </c>
      <c r="K623" s="6" t="n">
        <v>-400</v>
      </c>
      <c r="L623" s="6" t="n">
        <v>-92.092</v>
      </c>
      <c r="M623" s="7">
        <f>IF(N623=0,+L623+H623,0)</f>
        <v/>
      </c>
      <c r="N623" s="7">
        <f>IF((+G623-K623)=0,0,+G623-K623)</f>
        <v/>
      </c>
      <c r="O623" s="7">
        <f>IF(N623=0,0,(L623+H623)/-N623)</f>
        <v/>
      </c>
      <c r="P623" s="7">
        <f>VLOOKUP(OPERAC[[#This Row],[especie]],[1]!ESPECIES[#All],6,0)</f>
        <v/>
      </c>
      <c r="Q623" s="7">
        <f>IF(N623&lt;&gt;0,P623*N623,0)</f>
        <v/>
      </c>
      <c r="R623" s="8">
        <f>IF(Q623&lt;&gt;0,Q623+H623+L623,0)</f>
        <v/>
      </c>
      <c r="S623" s="9">
        <f>VLOOKUP(OPERAC[[#This Row],[especie]],[1]!ESPECIES[#Data],9,FALSE)</f>
        <v/>
      </c>
    </row>
    <row r="624">
      <c r="A624" s="4" t="n">
        <v>19878</v>
      </c>
      <c r="B624" s="5" t="n">
        <v>44594</v>
      </c>
      <c r="C624" s="13" t="inlineStr">
        <is>
          <t>VTA</t>
        </is>
      </c>
      <c r="D624" s="13" t="n">
        <v>39</v>
      </c>
      <c r="E624" s="10">
        <f>IF(D624&gt;0,VLOOKUP(OPERAC[[#This Row],[COD CART]],[1]!MatrizCortoLargoCyl[#All],3,0),"")</f>
        <v/>
      </c>
      <c r="F624" s="13" t="inlineStr">
        <is>
          <t>TSLA/V/830,00/04-02-22</t>
        </is>
      </c>
      <c r="G624" s="6" t="n">
        <v>-600</v>
      </c>
      <c r="H624" s="6" t="n">
        <v>579.1319999999999</v>
      </c>
      <c r="I624" s="7">
        <f>-H624/G624</f>
        <v/>
      </c>
      <c r="J624" s="11" t="n">
        <v>44596</v>
      </c>
      <c r="K624" s="6" t="n">
        <v>-600</v>
      </c>
      <c r="L624" s="6" t="n">
        <v>0</v>
      </c>
      <c r="M624" s="7">
        <f>IF(N624=0,+L624+H624,0)</f>
        <v/>
      </c>
      <c r="N624" s="7">
        <f>IF((+G624-K624)=0,0,+G624-K624)</f>
        <v/>
      </c>
      <c r="O624" s="7">
        <f>IF(N624=0,0,(L624+H624)/-N624)</f>
        <v/>
      </c>
      <c r="P624" s="7">
        <f>VLOOKUP(OPERAC[[#This Row],[especie]],[1]!ESPECIES[#All],6,0)</f>
        <v/>
      </c>
      <c r="Q624" s="7">
        <f>IF(N624&lt;&gt;0,P624*N624,0)</f>
        <v/>
      </c>
      <c r="R624" s="8">
        <f>IF(Q624&lt;&gt;0,Q624+H624+L624,0)</f>
        <v/>
      </c>
      <c r="S624" s="9">
        <f>VLOOKUP(OPERAC[[#This Row],[especie]],[1]!ESPECIES[#Data],9,FALSE)</f>
        <v/>
      </c>
    </row>
    <row r="625">
      <c r="A625" s="4" t="n">
        <v>13204</v>
      </c>
      <c r="B625" s="5" t="n">
        <v>44571</v>
      </c>
      <c r="C625" s="13" t="inlineStr">
        <is>
          <t>VTA</t>
        </is>
      </c>
      <c r="D625" s="13" t="n">
        <v>39</v>
      </c>
      <c r="E625" s="10">
        <f>IF(D625&gt;0,VLOOKUP(OPERAC[[#This Row],[COD CART]],[1]!MatrizCortoLargoCyl[#All],3,0),"")</f>
        <v/>
      </c>
      <c r="F625" s="13" t="inlineStr">
        <is>
          <t>TSLA/V/870,00/21-01-22</t>
        </is>
      </c>
      <c r="G625" s="6" t="n">
        <v>-100</v>
      </c>
      <c r="H625" s="6" t="n">
        <v>575.0937</v>
      </c>
      <c r="I625" s="7">
        <f>-H625/G625</f>
        <v/>
      </c>
      <c r="J625" s="11" t="n">
        <v>44574</v>
      </c>
      <c r="K625" s="6" t="n">
        <v>-100</v>
      </c>
      <c r="L625" s="6" t="n">
        <v>-166.5813</v>
      </c>
      <c r="M625" s="7">
        <f>IF(N625=0,+L625+H625,0)</f>
        <v/>
      </c>
      <c r="N625" s="7">
        <f>IF((+G625-K625)=0,0,+G625-K625)</f>
        <v/>
      </c>
      <c r="O625" s="7">
        <f>IF(N625=0,0,(L625+H625)/-N625)</f>
        <v/>
      </c>
      <c r="P625" s="7">
        <f>VLOOKUP(OPERAC[[#This Row],[especie]],[1]!ESPECIES[#All],6,0)</f>
        <v/>
      </c>
      <c r="Q625" s="7">
        <f>IF(N625&lt;&gt;0,P625*N625,0)</f>
        <v/>
      </c>
      <c r="R625" s="8">
        <f>IF(Q625&lt;&gt;0,Q625+H625+L625,0)</f>
        <v/>
      </c>
      <c r="S625" s="9">
        <f>VLOOKUP(OPERAC[[#This Row],[especie]],[1]!ESPECIES[#Data],9,FALSE)</f>
        <v/>
      </c>
    </row>
    <row r="626">
      <c r="A626" s="4" t="n">
        <v>22407</v>
      </c>
      <c r="B626" s="5" t="n">
        <v>44571</v>
      </c>
      <c r="C626" s="13" t="inlineStr">
        <is>
          <t>VTA</t>
        </is>
      </c>
      <c r="D626" s="13" t="n">
        <v>39</v>
      </c>
      <c r="E626" s="10">
        <f>IF(D626&gt;0,VLOOKUP(OPERAC[[#This Row],[COD CART]],[1]!MatrizCortoLargoCyl[#All],3,0),"")</f>
        <v/>
      </c>
      <c r="F626" s="13" t="inlineStr">
        <is>
          <t>TSLA/V/870,00/21-01-22</t>
        </is>
      </c>
      <c r="G626" s="6" t="n">
        <v>-100</v>
      </c>
      <c r="H626" s="6" t="n">
        <v>575.0937</v>
      </c>
      <c r="I626" s="7">
        <f>-H626/G626</f>
        <v/>
      </c>
      <c r="J626" s="11" t="n">
        <v>44574</v>
      </c>
      <c r="K626" s="6" t="n">
        <v>-100</v>
      </c>
      <c r="L626" s="6" t="n">
        <v>-166.5813</v>
      </c>
      <c r="M626" s="7">
        <f>IF(N626=0,+L626+H626,0)</f>
        <v/>
      </c>
      <c r="N626" s="7">
        <f>IF((+G626-K626)=0,0,+G626-K626)</f>
        <v/>
      </c>
      <c r="O626" s="7">
        <f>IF(N626=0,0,(L626+H626)/-N626)</f>
        <v/>
      </c>
      <c r="P626" s="7">
        <f>VLOOKUP(OPERAC[[#This Row],[especie]],[1]!ESPECIES[#All],6,0)</f>
        <v/>
      </c>
      <c r="Q626" s="7">
        <f>IF(N626&lt;&gt;0,P626*N626,0)</f>
        <v/>
      </c>
      <c r="R626" s="8">
        <f>IF(Q626&lt;&gt;0,Q626+H626+L626,0)</f>
        <v/>
      </c>
      <c r="S626" s="9">
        <f>VLOOKUP(OPERAC[[#This Row],[especie]],[1]!ESPECIES[#Data],9,FALSE)</f>
        <v/>
      </c>
    </row>
    <row r="627">
      <c r="A627" s="4" t="n">
        <v>22421</v>
      </c>
      <c r="B627" s="5" t="n">
        <v>44571</v>
      </c>
      <c r="C627" s="13" t="inlineStr">
        <is>
          <t>VTA</t>
        </is>
      </c>
      <c r="D627" s="13" t="n">
        <v>39</v>
      </c>
      <c r="E627" s="10">
        <f>IF(D627&gt;0,VLOOKUP(OPERAC[[#This Row],[COD CART]],[1]!MatrizCortoLargoCyl[#All],3,0),"")</f>
        <v/>
      </c>
      <c r="F627" s="13" t="inlineStr">
        <is>
          <t>TSLA/V/870,00/21-01-22</t>
        </is>
      </c>
      <c r="G627" s="6" t="n">
        <v>-100</v>
      </c>
      <c r="H627" s="6" t="n">
        <v>575.0937</v>
      </c>
      <c r="I627" s="7">
        <f>-H627/G627</f>
        <v/>
      </c>
      <c r="J627" s="11" t="n">
        <v>44574</v>
      </c>
      <c r="K627" s="6" t="n">
        <v>-100</v>
      </c>
      <c r="L627" s="6" t="n">
        <v>-166.5813</v>
      </c>
      <c r="M627" s="7">
        <f>IF(N627=0,+L627+H627,0)</f>
        <v/>
      </c>
      <c r="N627" s="7">
        <f>IF((+G627-K627)=0,0,+G627-K627)</f>
        <v/>
      </c>
      <c r="O627" s="7">
        <f>IF(N627=0,0,(L627+H627)/-N627)</f>
        <v/>
      </c>
      <c r="P627" s="7">
        <f>VLOOKUP(OPERAC[[#This Row],[especie]],[1]!ESPECIES[#All],6,0)</f>
        <v/>
      </c>
      <c r="Q627" s="7">
        <f>IF(N627&lt;&gt;0,P627*N627,0)</f>
        <v/>
      </c>
      <c r="R627" s="8">
        <f>IF(Q627&lt;&gt;0,Q627+H627+L627,0)</f>
        <v/>
      </c>
      <c r="S627" s="9">
        <f>VLOOKUP(OPERAC[[#This Row],[especie]],[1]!ESPECIES[#Data],9,FALSE)</f>
        <v/>
      </c>
    </row>
    <row r="628">
      <c r="A628" s="4" t="n">
        <v>16786</v>
      </c>
      <c r="B628" s="5" t="n">
        <v>44571</v>
      </c>
      <c r="C628" s="13" t="inlineStr">
        <is>
          <t>VTA</t>
        </is>
      </c>
      <c r="D628" s="13" t="n">
        <v>39</v>
      </c>
      <c r="E628" s="10">
        <f>IF(D628&gt;0,VLOOKUP(OPERAC[[#This Row],[COD CART]],[1]!MatrizCortoLargoCyl[#All],3,0),"")</f>
        <v/>
      </c>
      <c r="F628" s="13" t="inlineStr">
        <is>
          <t>TSLA/V/870,00/21-01-22</t>
        </is>
      </c>
      <c r="G628" s="6" t="n">
        <v>-100</v>
      </c>
      <c r="H628" s="6" t="n">
        <v>575.0937</v>
      </c>
      <c r="I628" s="7">
        <f>-H628/G628</f>
        <v/>
      </c>
      <c r="J628" s="11" t="n">
        <v>44574</v>
      </c>
      <c r="K628" s="6" t="n">
        <v>-100</v>
      </c>
      <c r="L628" s="6" t="n">
        <v>-166.5813</v>
      </c>
      <c r="M628" s="7">
        <f>IF(N628=0,+L628+H628,0)</f>
        <v/>
      </c>
      <c r="N628" s="7">
        <f>IF((+G628-K628)=0,0,+G628-K628)</f>
        <v/>
      </c>
      <c r="O628" s="7">
        <f>IF(N628=0,0,(L628+H628)/-N628)</f>
        <v/>
      </c>
      <c r="P628" s="7">
        <f>VLOOKUP(OPERAC[[#This Row],[especie]],[1]!ESPECIES[#All],6,0)</f>
        <v/>
      </c>
      <c r="Q628" s="7">
        <f>IF(N628&lt;&gt;0,P628*N628,0)</f>
        <v/>
      </c>
      <c r="R628" s="8">
        <f>IF(Q628&lt;&gt;0,Q628+H628+L628,0)</f>
        <v/>
      </c>
      <c r="S628" s="9">
        <f>VLOOKUP(OPERAC[[#This Row],[especie]],[1]!ESPECIES[#Data],9,FALSE)</f>
        <v/>
      </c>
    </row>
    <row r="629">
      <c r="A629" s="4" t="n">
        <v>13230</v>
      </c>
      <c r="B629" s="5" t="n">
        <v>44719</v>
      </c>
      <c r="C629" s="13" t="inlineStr">
        <is>
          <t>VTA</t>
        </is>
      </c>
      <c r="D629" s="13" t="n">
        <v>39</v>
      </c>
      <c r="E629" s="10">
        <f>IF(D629&gt;0,VLOOKUP(OPERAC[[#This Row],[COD CART]],[1]!MatrizCortoLargoCyl[#All],3,0),"")</f>
        <v/>
      </c>
      <c r="F629" s="13" t="inlineStr">
        <is>
          <t>TSLA/V/625,00/10-06-22</t>
        </is>
      </c>
      <c r="G629" s="6" t="n">
        <v>-400</v>
      </c>
      <c r="H629" s="6" t="n">
        <v>575.0700000000001</v>
      </c>
      <c r="I629" s="7">
        <f>-H629/G629</f>
        <v/>
      </c>
      <c r="J629" s="5" t="n">
        <v>44721</v>
      </c>
      <c r="K629" s="6" t="n">
        <v>-400</v>
      </c>
      <c r="L629" s="6" t="n">
        <v>-92.092</v>
      </c>
      <c r="M629" s="7">
        <f>IF(N629=0,+L629+H629,0)</f>
        <v/>
      </c>
      <c r="N629" s="7">
        <f>IF((+G629-K629)=0,0,+G629-K629)</f>
        <v/>
      </c>
      <c r="O629" s="7">
        <f>IF(N629=0,0,(L629+H629)/-N629)</f>
        <v/>
      </c>
      <c r="P629" s="7">
        <f>VLOOKUP(OPERAC[[#This Row],[especie]],[1]!ESPECIES[#All],6,0)</f>
        <v/>
      </c>
      <c r="Q629" s="7">
        <f>IF(N629&lt;&gt;0,P629*N629,0)</f>
        <v/>
      </c>
      <c r="R629" s="8">
        <f>IF(Q629&lt;&gt;0,Q629+H629+L629,0)</f>
        <v/>
      </c>
      <c r="S629" s="9">
        <f>VLOOKUP(OPERAC[[#This Row],[especie]],[1]!ESPECIES[#Data],9,FALSE)</f>
        <v/>
      </c>
    </row>
    <row r="630">
      <c r="A630" s="4" t="n">
        <v>1760</v>
      </c>
      <c r="B630" s="5" t="n">
        <v>44567</v>
      </c>
      <c r="C630" s="13" t="inlineStr">
        <is>
          <t>VTA</t>
        </is>
      </c>
      <c r="D630" s="13" t="n">
        <v>39</v>
      </c>
      <c r="E630" s="10">
        <f>IF(D630&gt;0,VLOOKUP(OPERAC[[#This Row],[COD CART]],[1]!MatrizCortoLargoCyl[#All],3,0),"")</f>
        <v/>
      </c>
      <c r="F630" s="13" t="inlineStr">
        <is>
          <t>ACB/V/6,00/14-01-22</t>
        </is>
      </c>
      <c r="G630" s="6" t="n">
        <v>-900</v>
      </c>
      <c r="H630" s="6" t="n">
        <v>572.4099</v>
      </c>
      <c r="I630" s="7">
        <f>-H630/G630</f>
        <v/>
      </c>
      <c r="J630" s="11" t="n">
        <v>44574</v>
      </c>
      <c r="K630" s="6">
        <f>+OPERAC[[#This Row],[cantidad]]</f>
        <v/>
      </c>
      <c r="L630" s="6" t="n">
        <v>-416.267</v>
      </c>
      <c r="M630" s="7">
        <f>IF(N630=0,+L630+H630,0)</f>
        <v/>
      </c>
      <c r="N630" s="7">
        <f>IF((+G630-K630)=0,0,+G630-K630)</f>
        <v/>
      </c>
      <c r="O630" s="7">
        <f>IF(N630=0,0,(L630+H630)/-N630)</f>
        <v/>
      </c>
      <c r="P630" s="7">
        <f>VLOOKUP(OPERAC[[#This Row],[especie]],[1]!ESPECIES[#All],6,0)</f>
        <v/>
      </c>
      <c r="Q630" s="7">
        <f>IF(N630&lt;&gt;0,P630*N630,0)</f>
        <v/>
      </c>
      <c r="R630" s="8">
        <f>IF(Q630&lt;&gt;0,Q630+H630+L630,0)</f>
        <v/>
      </c>
      <c r="S630" s="9">
        <f>VLOOKUP(OPERAC[[#This Row],[especie]],[1]!ESPECIES[#Data],9,FALSE)</f>
        <v/>
      </c>
    </row>
    <row r="631">
      <c r="A631" s="4" t="n">
        <v>18663</v>
      </c>
      <c r="B631" s="5" t="n">
        <v>44475</v>
      </c>
      <c r="C631" s="13" t="inlineStr">
        <is>
          <t>VTA</t>
        </is>
      </c>
      <c r="D631" s="13" t="n">
        <v>41</v>
      </c>
      <c r="E631" s="10">
        <f>IF(D631&gt;0,VLOOKUP(OPERAC[[#This Row],[COD CART]],[1]!MatrizCortoLargoCyl[#All],3,0),"")</f>
        <v/>
      </c>
      <c r="F631" s="13" t="inlineStr">
        <is>
          <t>TLRY/V/8,00/19-01-24</t>
        </is>
      </c>
      <c r="G631" s="6" t="n">
        <v>-200</v>
      </c>
      <c r="H631" s="6" t="n">
        <v>571.5</v>
      </c>
      <c r="I631" s="7">
        <f>-H631/G631</f>
        <v/>
      </c>
      <c r="J631" s="11" t="n"/>
      <c r="K631" s="6" t="n"/>
      <c r="L631" s="6" t="n"/>
      <c r="M631" s="7">
        <f>IF(N631=0,+L631+H631,0)</f>
        <v/>
      </c>
      <c r="N631" s="7">
        <f>IF((+G631-K631)=0,0,+G631-K631)</f>
        <v/>
      </c>
      <c r="O631" s="7">
        <f>IF(N631=0,0,(L631+H631)/-N631)</f>
        <v/>
      </c>
      <c r="P631" s="7">
        <f>VLOOKUP(OPERAC[[#This Row],[especie]],[1]!ESPECIES[#All],6,0)</f>
        <v/>
      </c>
      <c r="Q631" s="7">
        <f>IF(N631&lt;&gt;0,P631*N631,0)</f>
        <v/>
      </c>
      <c r="R631" s="8">
        <f>IF(Q631&lt;&gt;0,Q631+H631+L631,0)</f>
        <v/>
      </c>
      <c r="S631" s="9">
        <f>VLOOKUP(OPERAC[[#This Row],[especie]],[1]!ESPECIES[#Data],9,FALSE)</f>
        <v/>
      </c>
    </row>
    <row r="632">
      <c r="A632" s="4" t="n">
        <v>1807</v>
      </c>
      <c r="B632" s="5" t="n">
        <v>44706</v>
      </c>
      <c r="C632" s="13" t="inlineStr">
        <is>
          <t>VTA</t>
        </is>
      </c>
      <c r="D632" s="13" t="n">
        <v>39</v>
      </c>
      <c r="E632" s="10">
        <f>IF(D632&gt;0,VLOOKUP(OPERAC[[#This Row],[COD CART]],[1]!MatrizCortoLargoCyl[#All],3,0),"")</f>
        <v/>
      </c>
      <c r="F632" s="13" t="inlineStr">
        <is>
          <t>BABA/P/60,00/20-01-23</t>
        </is>
      </c>
      <c r="G632" s="6" t="n">
        <v>-100</v>
      </c>
      <c r="H632" s="6" t="n">
        <v>570.1130000000001</v>
      </c>
      <c r="I632" s="7">
        <f>-H632/G632</f>
        <v/>
      </c>
      <c r="J632" s="5" t="n"/>
      <c r="K632" s="6" t="n"/>
      <c r="L632" s="6" t="n"/>
      <c r="M632" s="7">
        <f>IF(N632=0,+L632+H632,0)</f>
        <v/>
      </c>
      <c r="N632" s="7">
        <f>IF((+G632-K632)=0,0,+G632-K632)</f>
        <v/>
      </c>
      <c r="O632" s="7">
        <f>IF(N632=0,0,(L632+H632)/-N632)</f>
        <v/>
      </c>
      <c r="P632" s="7">
        <f>VLOOKUP(OPERAC[[#This Row],[especie]],[1]!ESPECIES[#All],6,0)</f>
        <v/>
      </c>
      <c r="Q632" s="7">
        <f>IF(N632&lt;&gt;0,P632*N632,0)</f>
        <v/>
      </c>
      <c r="R632" s="8">
        <f>IF(Q632&lt;&gt;0,Q632+H632+L632,0)</f>
        <v/>
      </c>
      <c r="S632" s="9">
        <f>VLOOKUP(OPERAC[[#This Row],[especie]],[1]!ESPECIES[#Data],9,FALSE)</f>
        <v/>
      </c>
    </row>
    <row r="633">
      <c r="A633" s="4" t="n">
        <v>12671</v>
      </c>
      <c r="B633" s="5" t="n">
        <v>44637</v>
      </c>
      <c r="C633" s="13" t="inlineStr">
        <is>
          <t>VTA</t>
        </is>
      </c>
      <c r="D633" s="13" t="n">
        <v>39</v>
      </c>
      <c r="E633" s="10">
        <f>IF(D633&gt;0,VLOOKUP(OPERAC[[#This Row],[COD CART]],[1]!MatrizCortoLargoCyl[#All],3,0),"")</f>
        <v/>
      </c>
      <c r="F633" s="13" t="inlineStr">
        <is>
          <t>TSLA/V/765,00/18-03-22</t>
        </is>
      </c>
      <c r="G633" s="6" t="n">
        <v>-600</v>
      </c>
      <c r="H633" s="6" t="n">
        <v>564.9480000000001</v>
      </c>
      <c r="I633" s="7">
        <f>-H633/G633</f>
        <v/>
      </c>
      <c r="J633" s="11" t="n">
        <v>44638</v>
      </c>
      <c r="K633" s="6" t="n">
        <v>-600</v>
      </c>
      <c r="L633" s="6" t="n">
        <v>-118.884</v>
      </c>
      <c r="M633" s="7">
        <f>IF(N633=0,+L633+H633,0)</f>
        <v/>
      </c>
      <c r="N633" s="7">
        <f>IF((+G633-K633)=0,0,+G633-K633)</f>
        <v/>
      </c>
      <c r="O633" s="7">
        <f>IF(N633=0,0,(L633+H633)/-N633)</f>
        <v/>
      </c>
      <c r="P633" s="7">
        <f>VLOOKUP(OPERAC[[#This Row],[especie]],[1]!ESPECIES[#All],6,0)</f>
        <v/>
      </c>
      <c r="Q633" s="7">
        <f>IF(N633&lt;&gt;0,P633*N633,0)</f>
        <v/>
      </c>
      <c r="R633" s="8">
        <f>IF(Q633&lt;&gt;0,Q633+H633+L633,0)</f>
        <v/>
      </c>
      <c r="S633" s="9">
        <f>VLOOKUP(OPERAC[[#This Row],[especie]],[1]!ESPECIES[#Data],9,FALSE)</f>
        <v/>
      </c>
    </row>
    <row r="634">
      <c r="A634" s="4" t="n">
        <v>13185</v>
      </c>
      <c r="B634" s="5" t="n">
        <v>44643</v>
      </c>
      <c r="C634" s="13" t="inlineStr">
        <is>
          <t>VTA</t>
        </is>
      </c>
      <c r="D634" s="13" t="n">
        <v>39</v>
      </c>
      <c r="E634" s="10">
        <f>IF(D634&gt;0,VLOOKUP(OPERAC[[#This Row],[COD CART]],[1]!MatrizCortoLargoCyl[#All],3,0),"")</f>
        <v/>
      </c>
      <c r="F634" s="13" t="inlineStr">
        <is>
          <t>TSLA/C/1290,00/25-03-22</t>
        </is>
      </c>
      <c r="G634" s="6" t="n">
        <v>-2000</v>
      </c>
      <c r="H634" s="6" t="n">
        <v>561.53</v>
      </c>
      <c r="I634" s="7">
        <f>-H634/G634</f>
        <v/>
      </c>
      <c r="J634" s="11" t="n">
        <v>44645</v>
      </c>
      <c r="K634" s="6" t="n">
        <v>-2000</v>
      </c>
      <c r="L634" s="6" t="n">
        <v>0</v>
      </c>
      <c r="M634" s="7">
        <f>IF(N634=0,+L634+H634,0)</f>
        <v/>
      </c>
      <c r="N634" s="7">
        <f>IF((+G634-K634)=0,0,+G634-K634)</f>
        <v/>
      </c>
      <c r="O634" s="7">
        <f>IF(N634=0,0,(L634+H634)/-N634)</f>
        <v/>
      </c>
      <c r="P634" s="7">
        <f>VLOOKUP(OPERAC[[#This Row],[especie]],[1]!ESPECIES[#All],6,0)</f>
        <v/>
      </c>
      <c r="Q634" s="7">
        <f>IF(N634&lt;&gt;0,P634*N634,0)</f>
        <v/>
      </c>
      <c r="R634" s="8">
        <f>IF(Q634&lt;&gt;0,Q634+H634+L634,0)</f>
        <v/>
      </c>
      <c r="S634" s="9">
        <f>VLOOKUP(OPERAC[[#This Row],[especie]],[1]!ESPECIES[#Data],9,FALSE)</f>
        <v/>
      </c>
    </row>
    <row r="635">
      <c r="A635" s="4" t="n">
        <v>2194</v>
      </c>
      <c r="B635" s="5" t="n">
        <v>44609</v>
      </c>
      <c r="C635" s="13" t="inlineStr">
        <is>
          <t>VTA</t>
        </is>
      </c>
      <c r="D635" s="13" t="n">
        <v>39</v>
      </c>
      <c r="E635" s="10">
        <f>IF(D635&gt;0,VLOOKUP(OPERAC[[#This Row],[COD CART]],[1]!MatrizCortoLargoCyl[#All],3,0),"")</f>
        <v/>
      </c>
      <c r="F635" s="13" t="inlineStr">
        <is>
          <t>MELI/V/850,00/25-02-22</t>
        </is>
      </c>
      <c r="G635" s="6" t="n">
        <v>-100</v>
      </c>
      <c r="H635" s="6" t="n">
        <v>555.52</v>
      </c>
      <c r="I635" s="7">
        <f>-H635/G635</f>
        <v/>
      </c>
      <c r="J635" s="11" t="n">
        <v>44610</v>
      </c>
      <c r="K635" s="6" t="n">
        <v>-100</v>
      </c>
      <c r="L635" s="6" t="n">
        <v>-2419.899</v>
      </c>
      <c r="M635" s="7">
        <f>IF(N635=0,+L635+H635,0)</f>
        <v/>
      </c>
      <c r="N635" s="7">
        <f>IF((+G635-K635)=0,0,+G635-K635)</f>
        <v/>
      </c>
      <c r="O635" s="7">
        <f>IF(N635=0,0,(L635+H635)/-N635)</f>
        <v/>
      </c>
      <c r="P635" s="7">
        <f>VLOOKUP(OPERAC[[#This Row],[especie]],[1]!ESPECIES[#All],6,0)</f>
        <v/>
      </c>
      <c r="Q635" s="7">
        <f>IF(N635&lt;&gt;0,P635*N635,0)</f>
        <v/>
      </c>
      <c r="R635" s="8">
        <f>IF(Q635&lt;&gt;0,Q635+H635+L635,0)</f>
        <v/>
      </c>
      <c r="S635" s="9">
        <f>VLOOKUP(OPERAC[[#This Row],[especie]],[1]!ESPECIES[#Data],9,FALSE)</f>
        <v/>
      </c>
    </row>
    <row r="636">
      <c r="A636" s="4" t="n">
        <v>18662</v>
      </c>
      <c r="B636" s="5" t="n">
        <v>44580</v>
      </c>
      <c r="C636" s="13" t="inlineStr">
        <is>
          <t>VTA</t>
        </is>
      </c>
      <c r="D636" s="13" t="n">
        <v>39</v>
      </c>
      <c r="E636" s="10">
        <f>IF(D636&gt;0,VLOOKUP(OPERAC[[#This Row],[COD CART]],[1]!MatrizCortoLargoCyl[#All],3,0),"")</f>
        <v/>
      </c>
      <c r="F636" s="13" t="inlineStr">
        <is>
          <t>INO/V/7,00/18-02-22</t>
        </is>
      </c>
      <c r="G636" s="6" t="n">
        <v>-200</v>
      </c>
      <c r="H636" s="6" t="n">
        <v>554.13</v>
      </c>
      <c r="I636" s="7">
        <f>-H636/G636</f>
        <v/>
      </c>
      <c r="J636" s="11" t="n">
        <v>44600</v>
      </c>
      <c r="K636" s="6" t="n">
        <v>-200</v>
      </c>
      <c r="L636" s="6" t="n">
        <v>-554</v>
      </c>
      <c r="M636" s="7">
        <f>IF(N636=0,+L636+H636,0)</f>
        <v/>
      </c>
      <c r="N636" s="7">
        <f>IF((+G636-K636)=0,0,+G636-K636)</f>
        <v/>
      </c>
      <c r="O636" s="7">
        <f>IF(N636=0,0,(L636+H636)/-N636)</f>
        <v/>
      </c>
      <c r="P636" s="7">
        <f>VLOOKUP(OPERAC[[#This Row],[especie]],[1]!ESPECIES[#All],6,0)</f>
        <v/>
      </c>
      <c r="Q636" s="7">
        <f>IF(N636&lt;&gt;0,P636*N636,0)</f>
        <v/>
      </c>
      <c r="R636" s="8">
        <f>IF(Q636&lt;&gt;0,Q636+H636+L636,0)</f>
        <v/>
      </c>
      <c r="S636" s="9">
        <f>VLOOKUP(OPERAC[[#This Row],[especie]],[1]!ESPECIES[#Data],9,FALSE)</f>
        <v/>
      </c>
    </row>
    <row r="637">
      <c r="A637" s="4" t="n">
        <v>19931</v>
      </c>
      <c r="B637" s="5" t="n">
        <v>44547</v>
      </c>
      <c r="C637" s="13" t="inlineStr">
        <is>
          <t>VTA</t>
        </is>
      </c>
      <c r="D637" s="13" t="n">
        <v>39</v>
      </c>
      <c r="E637" s="10">
        <f>IF(D637&gt;0,VLOOKUP(OPERAC[[#This Row],[COD CART]],[1]!MatrizCortoLargoCyl[#All],3,0),"")</f>
        <v/>
      </c>
      <c r="F637" s="13" t="inlineStr">
        <is>
          <t>TLRY/V/8,00/18-02-22</t>
        </is>
      </c>
      <c r="G637" s="6" t="n">
        <v>-400</v>
      </c>
      <c r="H637" s="6" t="n">
        <v>553.5164</v>
      </c>
      <c r="I637" s="7">
        <f>-H637/G637</f>
        <v/>
      </c>
      <c r="J637" s="11" t="n">
        <v>44601</v>
      </c>
      <c r="K637" s="6" t="n">
        <v>-400</v>
      </c>
      <c r="L637" s="6">
        <f>1.38*OPERAC[[#This Row],[cantidad venta]]</f>
        <v/>
      </c>
      <c r="M637" s="7">
        <f>IF(N637=0,+L637+H637,0)</f>
        <v/>
      </c>
      <c r="N637" s="7">
        <f>IF((+G637-K637)=0,0,+G637-K637)</f>
        <v/>
      </c>
      <c r="O637" s="7">
        <f>IF(N637=0,0,(L637+H637)/-N637)</f>
        <v/>
      </c>
      <c r="P637" s="7">
        <f>VLOOKUP(OPERAC[[#This Row],[especie]],[1]!ESPECIES[#All],6,0)</f>
        <v/>
      </c>
      <c r="Q637" s="7">
        <f>IF(N637&lt;&gt;0,P637*N637,0)</f>
        <v/>
      </c>
      <c r="R637" s="8">
        <f>IF(Q637&lt;&gt;0,Q637+H637+L637,0)</f>
        <v/>
      </c>
      <c r="S637" s="9">
        <f>VLOOKUP(OPERAC[[#This Row],[especie]],[1]!ESPECIES[#Data],9,FALSE)</f>
        <v/>
      </c>
    </row>
    <row r="638">
      <c r="A638" s="4" t="n">
        <v>4561</v>
      </c>
      <c r="B638" s="5" t="n">
        <v>44579</v>
      </c>
      <c r="C638" s="13" t="inlineStr">
        <is>
          <t>VTA</t>
        </is>
      </c>
      <c r="D638" s="13" t="n">
        <v>39</v>
      </c>
      <c r="E638" s="10">
        <f>IF(D638&gt;0,VLOOKUP(OPERAC[[#This Row],[COD CART]],[1]!MatrizCortoLargoCyl[#All],3,0),"")</f>
        <v/>
      </c>
      <c r="F638" s="13" t="inlineStr">
        <is>
          <t>SOLO/V/3,50/25-02-22</t>
        </is>
      </c>
      <c r="G638" s="6" t="n">
        <v>-400</v>
      </c>
      <c r="H638" s="6" t="n">
        <v>552.7429599999999</v>
      </c>
      <c r="I638" s="7">
        <f>-H638/G638</f>
        <v/>
      </c>
      <c r="J638" s="11" t="n">
        <v>44608</v>
      </c>
      <c r="K638" s="6">
        <f>+OPERAC[[#This Row],[cantidad]]</f>
        <v/>
      </c>
      <c r="L638" s="6" t="n">
        <v>-558.0160000000001</v>
      </c>
      <c r="M638" s="7">
        <f>IF(N638=0,+L638+H638,0)</f>
        <v/>
      </c>
      <c r="N638" s="7">
        <f>IF((+G638-K638)=0,0,+G638-K638)</f>
        <v/>
      </c>
      <c r="O638" s="7">
        <f>IF(N638=0,0,(L638+H638)/-N638)</f>
        <v/>
      </c>
      <c r="P638" s="7">
        <f>VLOOKUP(OPERAC[[#This Row],[especie]],[1]!ESPECIES[#All],6,0)</f>
        <v/>
      </c>
      <c r="Q638" s="7">
        <f>IF(N638&lt;&gt;0,P638*N638,0)</f>
        <v/>
      </c>
      <c r="R638" s="8">
        <f>IF(Q638&lt;&gt;0,Q638+H638+L638,0)</f>
        <v/>
      </c>
      <c r="S638" s="9">
        <f>VLOOKUP(OPERAC[[#This Row],[especie]],[1]!ESPECIES[#Data],9,FALSE)</f>
        <v/>
      </c>
    </row>
    <row r="639">
      <c r="A639" s="4" t="n">
        <v>16776</v>
      </c>
      <c r="B639" s="5" t="n">
        <v>44547</v>
      </c>
      <c r="C639" s="13" t="inlineStr">
        <is>
          <t>VTA</t>
        </is>
      </c>
      <c r="D639" s="13" t="n">
        <v>39</v>
      </c>
      <c r="E639" s="10">
        <f>IF(D639&gt;0,VLOOKUP(OPERAC[[#This Row],[COD CART]],[1]!MatrizCortoLargoCyl[#All],3,0),"")</f>
        <v/>
      </c>
      <c r="F639" s="13" t="inlineStr">
        <is>
          <t>INO/V/7,00/21-01-22</t>
        </is>
      </c>
      <c r="G639" s="6" t="n">
        <v>-600</v>
      </c>
      <c r="H639" s="6" t="n">
        <v>546.2639999999999</v>
      </c>
      <c r="I639" s="7">
        <f>-H639/G639</f>
        <v/>
      </c>
      <c r="J639" s="11" t="n">
        <v>44580</v>
      </c>
      <c r="K639" s="6">
        <f>+OPERAC[[#This Row],[cantidad]]</f>
        <v/>
      </c>
      <c r="L639" s="6">
        <f>-OPERAC[[#This Row],[importe]]</f>
        <v/>
      </c>
      <c r="M639" s="7">
        <f>IF(N639=0,+L639+H639,0)</f>
        <v/>
      </c>
      <c r="N639" s="7">
        <f>IF((+G639-K639)=0,0,+G639-K639)</f>
        <v/>
      </c>
      <c r="O639" s="7">
        <f>IF(N639=0,0,(L639+H639)/-N639)</f>
        <v/>
      </c>
      <c r="P639" s="7">
        <f>VLOOKUP(OPERAC[[#This Row],[especie]],[1]!ESPECIES[#All],6,0)</f>
        <v/>
      </c>
      <c r="Q639" s="7">
        <f>IF(N639&lt;&gt;0,P639*N639,0)</f>
        <v/>
      </c>
      <c r="R639" s="8">
        <f>IF(Q639&lt;&gt;0,Q639+H639+L639,0)</f>
        <v/>
      </c>
      <c r="S639" s="9">
        <f>VLOOKUP(OPERAC[[#This Row],[especie]],[1]!ESPECIES[#Data],9,FALSE)</f>
        <v/>
      </c>
    </row>
    <row r="640">
      <c r="A640" s="4" t="n">
        <v>18677</v>
      </c>
      <c r="B640" s="5" t="n">
        <v>44642</v>
      </c>
      <c r="C640" s="13" t="inlineStr">
        <is>
          <t>VTA</t>
        </is>
      </c>
      <c r="D640" s="13" t="n">
        <v>39</v>
      </c>
      <c r="E640" s="10">
        <f>IF(D640&gt;0,VLOOKUP(OPERAC[[#This Row],[COD CART]],[1]!MatrizCortoLargoCyl[#All],3,0),"")</f>
        <v/>
      </c>
      <c r="F640" s="13" t="inlineStr">
        <is>
          <t>TSLA/V/810,00/25-03-22</t>
        </is>
      </c>
      <c r="G640" s="6" t="n">
        <v>-1000</v>
      </c>
      <c r="H640" s="6" t="n">
        <v>542.88</v>
      </c>
      <c r="I640" s="7">
        <f>-H640/G640</f>
        <v/>
      </c>
      <c r="J640" s="11" t="n">
        <v>44645</v>
      </c>
      <c r="K640" s="6" t="n">
        <v>-1000</v>
      </c>
      <c r="L640" s="6" t="n">
        <v>0</v>
      </c>
      <c r="M640" s="7">
        <f>IF(N640=0,+L640+H640,0)</f>
        <v/>
      </c>
      <c r="N640" s="7">
        <f>IF((+G640-K640)=0,0,+G640-K640)</f>
        <v/>
      </c>
      <c r="O640" s="7">
        <f>IF(N640=0,0,(L640+H640)/-N640)</f>
        <v/>
      </c>
      <c r="P640" s="7">
        <f>VLOOKUP(OPERAC[[#This Row],[especie]],[1]!ESPECIES[#All],6,0)</f>
        <v/>
      </c>
      <c r="Q640" s="7">
        <f>IF(N640&lt;&gt;0,P640*N640,0)</f>
        <v/>
      </c>
      <c r="R640" s="8">
        <f>IF(Q640&lt;&gt;0,Q640+H640+L640,0)</f>
        <v/>
      </c>
      <c r="S640" s="9">
        <f>VLOOKUP(OPERAC[[#This Row],[especie]],[1]!ESPECIES[#Data],9,FALSE)</f>
        <v/>
      </c>
    </row>
    <row r="641">
      <c r="A641" s="4" t="n">
        <v>13240</v>
      </c>
      <c r="B641" s="5" t="n">
        <v>44574</v>
      </c>
      <c r="C641" s="13" t="inlineStr">
        <is>
          <t>VTA</t>
        </is>
      </c>
      <c r="D641" s="13" t="n">
        <v>39</v>
      </c>
      <c r="E641" s="10">
        <f>IF(D641&gt;0,VLOOKUP(OPERAC[[#This Row],[COD CART]],[1]!MatrizCortoLargoCyl[#All],3,0),"")</f>
        <v/>
      </c>
      <c r="F641" s="13" t="inlineStr">
        <is>
          <t>TSLA/V/900,00/21-01-22</t>
        </is>
      </c>
      <c r="G641" s="6" t="n">
        <v>-200</v>
      </c>
      <c r="H641" s="6" t="n">
        <v>535.1504</v>
      </c>
      <c r="I641" s="7">
        <f>-H641/G641</f>
        <v/>
      </c>
      <c r="J641" s="11" t="n">
        <v>44582</v>
      </c>
      <c r="K641" s="6">
        <f>+OPERAC[[#This Row],[cantidad]]</f>
        <v/>
      </c>
      <c r="L641" s="6" t="n">
        <v>0</v>
      </c>
      <c r="M641" s="7">
        <f>IF(N641=0,+L641+H641,0)</f>
        <v/>
      </c>
      <c r="N641" s="7">
        <f>IF((+G641-K641)=0,0,+G641-K641)</f>
        <v/>
      </c>
      <c r="O641" s="7">
        <f>IF(N641=0,0,(L641+H641)/-N641)</f>
        <v/>
      </c>
      <c r="P641" s="7">
        <f>VLOOKUP(OPERAC[[#This Row],[especie]],[1]!ESPECIES[#All],6,0)</f>
        <v/>
      </c>
      <c r="Q641" s="7">
        <f>IF(N641&lt;&gt;0,P641*N641,0)</f>
        <v/>
      </c>
      <c r="R641" s="8">
        <f>IF(Q641&lt;&gt;0,Q641+H641+L641,0)</f>
        <v/>
      </c>
      <c r="S641" s="9">
        <f>VLOOKUP(OPERAC[[#This Row],[especie]],[1]!ESPECIES[#Data],9,FALSE)</f>
        <v/>
      </c>
    </row>
    <row r="642">
      <c r="A642" s="4" t="n">
        <v>12627</v>
      </c>
      <c r="B642" s="5" t="n">
        <v>44574</v>
      </c>
      <c r="C642" s="13" t="inlineStr">
        <is>
          <t>VTA</t>
        </is>
      </c>
      <c r="D642" s="13" t="n">
        <v>39</v>
      </c>
      <c r="E642" s="10">
        <f>IF(D642&gt;0,VLOOKUP(OPERAC[[#This Row],[COD CART]],[1]!MatrizCortoLargoCyl[#All],3,0),"")</f>
        <v/>
      </c>
      <c r="F642" s="13" t="inlineStr">
        <is>
          <t>TSLA/V/900,00/21-01-22</t>
        </is>
      </c>
      <c r="G642" s="6" t="n">
        <v>-200</v>
      </c>
      <c r="H642" s="6" t="n">
        <v>535.1504</v>
      </c>
      <c r="I642" s="7">
        <f>-H642/G642</f>
        <v/>
      </c>
      <c r="J642" s="11" t="n">
        <v>44582</v>
      </c>
      <c r="K642" s="6">
        <f>+OPERAC[[#This Row],[cantidad]]</f>
        <v/>
      </c>
      <c r="L642" s="6" t="n">
        <v>0</v>
      </c>
      <c r="M642" s="7">
        <f>IF(N642=0,+L642+H642,0)</f>
        <v/>
      </c>
      <c r="N642" s="7">
        <f>IF((+G642-K642)=0,0,+G642-K642)</f>
        <v/>
      </c>
      <c r="O642" s="7">
        <f>IF(N642=0,0,(L642+H642)/-N642)</f>
        <v/>
      </c>
      <c r="P642" s="7">
        <f>VLOOKUP(OPERAC[[#This Row],[especie]],[1]!ESPECIES[#All],6,0)</f>
        <v/>
      </c>
      <c r="Q642" s="7">
        <f>IF(N642&lt;&gt;0,P642*N642,0)</f>
        <v/>
      </c>
      <c r="R642" s="8">
        <f>IF(Q642&lt;&gt;0,Q642+H642+L642,0)</f>
        <v/>
      </c>
      <c r="S642" s="9">
        <f>VLOOKUP(OPERAC[[#This Row],[especie]],[1]!ESPECIES[#Data],9,FALSE)</f>
        <v/>
      </c>
    </row>
    <row r="643">
      <c r="A643" s="4" t="n">
        <v>13190</v>
      </c>
      <c r="B643" s="5" t="n">
        <v>44574</v>
      </c>
      <c r="C643" s="13" t="inlineStr">
        <is>
          <t>VTA</t>
        </is>
      </c>
      <c r="D643" s="13" t="n">
        <v>39</v>
      </c>
      <c r="E643" s="10">
        <f>IF(D643&gt;0,VLOOKUP(OPERAC[[#This Row],[COD CART]],[1]!MatrizCortoLargoCyl[#All],3,0),"")</f>
        <v/>
      </c>
      <c r="F643" s="13" t="inlineStr">
        <is>
          <t>TSLA/V/900,00/21-01-22</t>
        </is>
      </c>
      <c r="G643" s="6" t="n">
        <v>-200</v>
      </c>
      <c r="H643" s="6" t="n">
        <v>535.1504</v>
      </c>
      <c r="I643" s="7">
        <f>-H643/G643</f>
        <v/>
      </c>
      <c r="J643" s="11" t="n">
        <v>44582</v>
      </c>
      <c r="K643" s="6">
        <f>+OPERAC[[#This Row],[cantidad]]</f>
        <v/>
      </c>
      <c r="L643" s="6" t="n">
        <v>0</v>
      </c>
      <c r="M643" s="7">
        <f>IF(N643=0,+L643+H643,0)</f>
        <v/>
      </c>
      <c r="N643" s="7">
        <f>IF((+G643-K643)=0,0,+G643-K643)</f>
        <v/>
      </c>
      <c r="O643" s="7">
        <f>IF(N643=0,0,(L643+H643)/-N643)</f>
        <v/>
      </c>
      <c r="P643" s="7">
        <f>VLOOKUP(OPERAC[[#This Row],[especie]],[1]!ESPECIES[#All],6,0)</f>
        <v/>
      </c>
      <c r="Q643" s="7">
        <f>IF(N643&lt;&gt;0,P643*N643,0)</f>
        <v/>
      </c>
      <c r="R643" s="8">
        <f>IF(Q643&lt;&gt;0,Q643+H643+L643,0)</f>
        <v/>
      </c>
      <c r="S643" s="9">
        <f>VLOOKUP(OPERAC[[#This Row],[especie]],[1]!ESPECIES[#Data],9,FALSE)</f>
        <v/>
      </c>
    </row>
    <row r="644">
      <c r="A644" s="4" t="n">
        <v>16795</v>
      </c>
      <c r="B644" s="5" t="n">
        <v>44574</v>
      </c>
      <c r="C644" s="13" t="inlineStr">
        <is>
          <t>VTA</t>
        </is>
      </c>
      <c r="D644" s="13" t="n">
        <v>39</v>
      </c>
      <c r="E644" s="10">
        <f>IF(D644&gt;0,VLOOKUP(OPERAC[[#This Row],[COD CART]],[1]!MatrizCortoLargoCyl[#All],3,0),"")</f>
        <v/>
      </c>
      <c r="F644" s="13" t="inlineStr">
        <is>
          <t>TSLA/V/900,00/21-01-22</t>
        </is>
      </c>
      <c r="G644" s="6" t="n">
        <v>-200</v>
      </c>
      <c r="H644" s="6" t="n">
        <v>535.1504</v>
      </c>
      <c r="I644" s="7">
        <f>-H644/G644</f>
        <v/>
      </c>
      <c r="J644" s="11" t="n">
        <v>44582</v>
      </c>
      <c r="K644" s="6">
        <f>+OPERAC[[#This Row],[cantidad]]</f>
        <v/>
      </c>
      <c r="L644" s="6" t="n">
        <v>0</v>
      </c>
      <c r="M644" s="7">
        <f>IF(N644=0,+L644+H644,0)</f>
        <v/>
      </c>
      <c r="N644" s="7">
        <f>IF((+G644-K644)=0,0,+G644-K644)</f>
        <v/>
      </c>
      <c r="O644" s="7">
        <f>IF(N644=0,0,(L644+H644)/-N644)</f>
        <v/>
      </c>
      <c r="P644" s="7">
        <f>VLOOKUP(OPERAC[[#This Row],[especie]],[1]!ESPECIES[#All],6,0)</f>
        <v/>
      </c>
      <c r="Q644" s="7">
        <f>IF(N644&lt;&gt;0,P644*N644,0)</f>
        <v/>
      </c>
      <c r="R644" s="8">
        <f>IF(Q644&lt;&gt;0,Q644+H644+L644,0)</f>
        <v/>
      </c>
      <c r="S644" s="9">
        <f>VLOOKUP(OPERAC[[#This Row],[especie]],[1]!ESPECIES[#Data],9,FALSE)</f>
        <v/>
      </c>
    </row>
    <row r="645">
      <c r="A645" s="4" t="n">
        <v>3832</v>
      </c>
      <c r="B645" s="5" t="n">
        <v>44581</v>
      </c>
      <c r="C645" s="13" t="inlineStr">
        <is>
          <t>VTA</t>
        </is>
      </c>
      <c r="D645" s="13" t="n">
        <v>39</v>
      </c>
      <c r="E645" s="10">
        <f>IF(D645&gt;0,VLOOKUP(OPERAC[[#This Row],[COD CART]],[1]!MatrizCortoLargoCyl[#All],3,0),"")</f>
        <v/>
      </c>
      <c r="F645" s="13" t="inlineStr">
        <is>
          <t>ROKU/V/170,00/28-01-22</t>
        </is>
      </c>
      <c r="G645" s="6" t="n">
        <v>-100</v>
      </c>
      <c r="H645" s="6" t="n">
        <v>529.0740000000001</v>
      </c>
      <c r="I645" s="7">
        <f>-H645/G645</f>
        <v/>
      </c>
      <c r="J645" s="11" t="n">
        <v>44587</v>
      </c>
      <c r="K645" s="6">
        <f>+OPERAC[[#This Row],[cantidad]]</f>
        <v/>
      </c>
      <c r="L645" s="6">
        <f>-OPERAC[[#This Row],[importe]]</f>
        <v/>
      </c>
      <c r="M645" s="7">
        <f>IF(N645=0,+L645+H645,0)</f>
        <v/>
      </c>
      <c r="N645" s="7">
        <f>IF((+G645-K645)=0,0,+G645-K645)</f>
        <v/>
      </c>
      <c r="O645" s="7">
        <f>IF(N645=0,0,(L645+H645)/-N645)</f>
        <v/>
      </c>
      <c r="P645" s="7">
        <f>VLOOKUP(OPERAC[[#This Row],[especie]],[1]!ESPECIES[#All],6,0)</f>
        <v/>
      </c>
      <c r="Q645" s="7">
        <f>IF(N645&lt;&gt;0,P645*N645,0)</f>
        <v/>
      </c>
      <c r="R645" s="8">
        <f>IF(Q645&lt;&gt;0,Q645+H645+L645,0)</f>
        <v/>
      </c>
      <c r="S645" s="9">
        <f>VLOOKUP(OPERAC[[#This Row],[especie]],[1]!ESPECIES[#Data],9,FALSE)</f>
        <v/>
      </c>
    </row>
    <row r="646">
      <c r="A646" s="4" t="n">
        <v>19888</v>
      </c>
      <c r="B646" s="5" t="n">
        <v>44655</v>
      </c>
      <c r="C646" s="13" t="inlineStr">
        <is>
          <t>VTA</t>
        </is>
      </c>
      <c r="D646" s="13" t="n">
        <v>39</v>
      </c>
      <c r="E646" s="10">
        <f>IF(D646&gt;0,VLOOKUP(OPERAC[[#This Row],[COD CART]],[1]!MatrizCortoLargoCyl[#All],3,0),"")</f>
        <v/>
      </c>
      <c r="F646" s="13" t="inlineStr">
        <is>
          <t>TSLA/V/950,00/08-04-22</t>
        </is>
      </c>
      <c r="G646" s="6" t="n">
        <v>-1000</v>
      </c>
      <c r="H646" s="6" t="n">
        <v>527.8150000000001</v>
      </c>
      <c r="I646" s="7">
        <f>-H646/G646</f>
        <v/>
      </c>
      <c r="J646" s="11" t="n">
        <v>44659</v>
      </c>
      <c r="K646" s="6">
        <f>+OPERAC[[#This Row],[cantidad]]</f>
        <v/>
      </c>
      <c r="L646" s="6" t="n">
        <v>0</v>
      </c>
      <c r="M646" s="7">
        <f>IF(N646=0,+L646+H646,0)</f>
        <v/>
      </c>
      <c r="N646" s="7">
        <f>IF((+G646-K646)=0,0,+G646-K646)</f>
        <v/>
      </c>
      <c r="O646" s="7">
        <f>IF(N646=0,0,(L646+H646)/-N646)</f>
        <v/>
      </c>
      <c r="P646" s="7">
        <f>VLOOKUP(OPERAC[[#This Row],[especie]],[1]!ESPECIES[#All],6,0)</f>
        <v/>
      </c>
      <c r="Q646" s="7">
        <f>IF(N646&lt;&gt;0,P646*N646,0)</f>
        <v/>
      </c>
      <c r="R646" s="8">
        <f>IF(Q646&lt;&gt;0,Q646+H646+L646,0)</f>
        <v/>
      </c>
      <c r="S646" s="9">
        <f>VLOOKUP(OPERAC[[#This Row],[especie]],[1]!ESPECIES[#Data],9,FALSE)</f>
        <v/>
      </c>
    </row>
    <row r="647">
      <c r="A647" s="4" t="n">
        <v>9195</v>
      </c>
      <c r="B647" s="5" t="n">
        <v>44581</v>
      </c>
      <c r="C647" s="13" t="inlineStr">
        <is>
          <t>VTA</t>
        </is>
      </c>
      <c r="D647" s="13" t="n">
        <v>39</v>
      </c>
      <c r="E647" s="10">
        <f>IF(D647&gt;0,VLOOKUP(OPERAC[[#This Row],[COD CART]],[1]!MatrizCortoLargoCyl[#All],3,0),"")</f>
        <v/>
      </c>
      <c r="F647" s="13" t="inlineStr">
        <is>
          <t>ROKU/V/170,00/28-01-22</t>
        </is>
      </c>
      <c r="G647" s="6" t="n">
        <v>-100</v>
      </c>
      <c r="H647" s="6" t="n">
        <v>527.484</v>
      </c>
      <c r="I647" s="7">
        <f>-H647/G647</f>
        <v/>
      </c>
      <c r="J647" s="11" t="n">
        <v>44587</v>
      </c>
      <c r="K647" s="6">
        <f>+OPERAC[[#This Row],[cantidad]]</f>
        <v/>
      </c>
      <c r="L647" s="6">
        <f>-OPERAC[[#This Row],[importe]]</f>
        <v/>
      </c>
      <c r="M647" s="7">
        <f>IF(N647=0,+L647+H647,0)</f>
        <v/>
      </c>
      <c r="N647" s="7">
        <f>IF((+G647-K647)=0,0,+G647-K647)</f>
        <v/>
      </c>
      <c r="O647" s="7">
        <f>IF(N647=0,0,(L647+H647)/-N647)</f>
        <v/>
      </c>
      <c r="P647" s="7">
        <f>VLOOKUP(OPERAC[[#This Row],[especie]],[1]!ESPECIES[#All],6,0)</f>
        <v/>
      </c>
      <c r="Q647" s="7">
        <f>IF(N647&lt;&gt;0,P647*N647,0)</f>
        <v/>
      </c>
      <c r="R647" s="8">
        <f>IF(Q647&lt;&gt;0,Q647+H647+L647,0)</f>
        <v/>
      </c>
      <c r="S647" s="9">
        <f>VLOOKUP(OPERAC[[#This Row],[especie]],[1]!ESPECIES[#Data],9,FALSE)</f>
        <v/>
      </c>
    </row>
    <row r="648">
      <c r="A648" s="4" t="n">
        <v>2253</v>
      </c>
      <c r="B648" s="5" t="n">
        <v>44581</v>
      </c>
      <c r="C648" s="13" t="inlineStr">
        <is>
          <t>VTA</t>
        </is>
      </c>
      <c r="D648" s="13" t="n">
        <v>39</v>
      </c>
      <c r="E648" s="10">
        <f>IF(D648&gt;0,VLOOKUP(OPERAC[[#This Row],[COD CART]],[1]!MatrizCortoLargoCyl[#All],3,0),"")</f>
        <v/>
      </c>
      <c r="F648" s="13" t="inlineStr">
        <is>
          <t>ROKU/V/170,00/28-01-22</t>
        </is>
      </c>
      <c r="G648" s="6" t="n">
        <v>-100</v>
      </c>
      <c r="H648" s="6" t="n">
        <v>525.364</v>
      </c>
      <c r="I648" s="7">
        <f>-H648/G648</f>
        <v/>
      </c>
      <c r="J648" s="11" t="n">
        <v>44587</v>
      </c>
      <c r="K648" s="6">
        <f>+OPERAC[[#This Row],[cantidad]]</f>
        <v/>
      </c>
      <c r="L648" s="6">
        <f>-OPERAC[[#This Row],[importe]]</f>
        <v/>
      </c>
      <c r="M648" s="7">
        <f>IF(N648=0,+L648+H648,0)</f>
        <v/>
      </c>
      <c r="N648" s="7">
        <f>IF((+G648-K648)=0,0,+G648-K648)</f>
        <v/>
      </c>
      <c r="O648" s="7">
        <f>IF(N648=0,0,(L648+H648)/-N648)</f>
        <v/>
      </c>
      <c r="P648" s="7">
        <f>VLOOKUP(OPERAC[[#This Row],[especie]],[1]!ESPECIES[#All],6,0)</f>
        <v/>
      </c>
      <c r="Q648" s="7">
        <f>IF(N648&lt;&gt;0,P648*N648,0)</f>
        <v/>
      </c>
      <c r="R648" s="8">
        <f>IF(Q648&lt;&gt;0,Q648+H648+L648,0)</f>
        <v/>
      </c>
      <c r="S648" s="9">
        <f>VLOOKUP(OPERAC[[#This Row],[especie]],[1]!ESPECIES[#Data],9,FALSE)</f>
        <v/>
      </c>
    </row>
    <row r="649">
      <c r="A649" s="4" t="n">
        <v>2279</v>
      </c>
      <c r="B649" s="5" t="n">
        <v>44581</v>
      </c>
      <c r="C649" s="13" t="inlineStr">
        <is>
          <t>VTA</t>
        </is>
      </c>
      <c r="D649" s="13" t="n">
        <v>39</v>
      </c>
      <c r="E649" s="10">
        <f>IF(D649&gt;0,VLOOKUP(OPERAC[[#This Row],[COD CART]],[1]!MatrizCortoLargoCyl[#All],3,0),"")</f>
        <v/>
      </c>
      <c r="F649" s="13" t="inlineStr">
        <is>
          <t>ROKU/V/170,00/28-01-22</t>
        </is>
      </c>
      <c r="G649" s="6" t="n">
        <v>-100</v>
      </c>
      <c r="H649" s="6" t="n">
        <v>525.364</v>
      </c>
      <c r="I649" s="7">
        <f>-H649/G649</f>
        <v/>
      </c>
      <c r="J649" s="11" t="n">
        <v>44587</v>
      </c>
      <c r="K649" s="6">
        <f>+OPERAC[[#This Row],[cantidad]]</f>
        <v/>
      </c>
      <c r="L649" s="6">
        <f>-OPERAC[[#This Row],[importe]]</f>
        <v/>
      </c>
      <c r="M649" s="7">
        <f>IF(N649=0,+L649+H649,0)</f>
        <v/>
      </c>
      <c r="N649" s="7">
        <f>IF((+G649-K649)=0,0,+G649-K649)</f>
        <v/>
      </c>
      <c r="O649" s="7">
        <f>IF(N649=0,0,(L649+H649)/-N649)</f>
        <v/>
      </c>
      <c r="P649" s="7">
        <f>VLOOKUP(OPERAC[[#This Row],[especie]],[1]!ESPECIES[#All],6,0)</f>
        <v/>
      </c>
      <c r="Q649" s="7">
        <f>IF(N649&lt;&gt;0,P649*N649,0)</f>
        <v/>
      </c>
      <c r="R649" s="8">
        <f>IF(Q649&lt;&gt;0,Q649+H649+L649,0)</f>
        <v/>
      </c>
      <c r="S649" s="9">
        <f>VLOOKUP(OPERAC[[#This Row],[especie]],[1]!ESPECIES[#Data],9,FALSE)</f>
        <v/>
      </c>
    </row>
    <row r="650">
      <c r="A650" s="4" t="n">
        <v>16786</v>
      </c>
      <c r="B650" s="5" t="n">
        <v>44495</v>
      </c>
      <c r="C650" s="13" t="inlineStr">
        <is>
          <t>VTA</t>
        </is>
      </c>
      <c r="D650" s="13" t="n">
        <v>39</v>
      </c>
      <c r="E650" s="10">
        <f>IF(D650&gt;0,VLOOKUP(OPERAC[[#This Row],[COD CART]],[1]!MatrizCortoLargoCyl[#All],3,0),"")</f>
        <v/>
      </c>
      <c r="F650" s="13" t="inlineStr">
        <is>
          <t>TLRY/V/11,00/21-01-22</t>
        </is>
      </c>
      <c r="G650" s="6" t="n">
        <v>-300</v>
      </c>
      <c r="H650" s="6" t="n">
        <v>517.8599999999999</v>
      </c>
      <c r="I650" s="7">
        <f>-H650/G650</f>
        <v/>
      </c>
      <c r="J650" s="11" t="n">
        <v>44571</v>
      </c>
      <c r="K650" s="6">
        <f>+OPERAC[[#This Row],[cantidad]]</f>
        <v/>
      </c>
      <c r="L650" s="6">
        <f>-OPERAC[[#This Row],[importe]]</f>
        <v/>
      </c>
      <c r="M650" s="7">
        <f>IF(N650=0,+L650+H650,0)</f>
        <v/>
      </c>
      <c r="N650" s="7">
        <f>IF((+G650-K650)=0,0,+G650-K650)</f>
        <v/>
      </c>
      <c r="O650" s="7">
        <f>IF(N650=0,0,(L650+H650)/-N650)</f>
        <v/>
      </c>
      <c r="P650" s="7">
        <f>VLOOKUP(OPERAC[[#This Row],[especie]],[1]!ESPECIES[#All],6,0)</f>
        <v/>
      </c>
      <c r="Q650" s="7">
        <f>IF(N650&lt;&gt;0,P650*N650,0)</f>
        <v/>
      </c>
      <c r="R650" s="8">
        <f>IF(Q650&lt;&gt;0,Q650+H650+L650,0)</f>
        <v/>
      </c>
      <c r="S650" s="9">
        <f>VLOOKUP(OPERAC[[#This Row],[especie]],[1]!ESPECIES[#Data],9,FALSE)</f>
        <v/>
      </c>
    </row>
    <row r="651">
      <c r="A651" s="4" t="n">
        <v>19932</v>
      </c>
      <c r="B651" s="5" t="n">
        <v>44608</v>
      </c>
      <c r="C651" s="13" t="inlineStr">
        <is>
          <t>VTA</t>
        </is>
      </c>
      <c r="D651" s="13" t="n">
        <v>39</v>
      </c>
      <c r="E651" s="10">
        <f>IF(D651&gt;0,VLOOKUP(OPERAC[[#This Row],[COD CART]],[1]!MatrizCortoLargoCyl[#All],3,0),"")</f>
        <v/>
      </c>
      <c r="F651" s="13" t="inlineStr">
        <is>
          <t>SOLO/V/3,00/18-03-22</t>
        </is>
      </c>
      <c r="G651" s="6" t="n">
        <v>-600</v>
      </c>
      <c r="H651" s="6" t="n">
        <v>513.024</v>
      </c>
      <c r="I651" s="7">
        <f>-H651/G651</f>
        <v/>
      </c>
      <c r="J651" s="11" t="n">
        <v>44629</v>
      </c>
      <c r="K651" s="6" t="n">
        <v>-600</v>
      </c>
      <c r="L651" s="6" t="n">
        <v>-625.3339999999999</v>
      </c>
      <c r="M651" s="7">
        <f>IF(N651=0,+L651+H651,0)</f>
        <v/>
      </c>
      <c r="N651" s="7">
        <f>IF((+G651-K651)=0,0,+G651-K651)</f>
        <v/>
      </c>
      <c r="O651" s="7">
        <f>IF(N651=0,0,(L651+H651)/-N651)</f>
        <v/>
      </c>
      <c r="P651" s="7">
        <f>VLOOKUP(OPERAC[[#This Row],[especie]],[1]!ESPECIES[#All],6,0)</f>
        <v/>
      </c>
      <c r="Q651" s="7">
        <f>IF(N651&lt;&gt;0,P651*N651,0)</f>
        <v/>
      </c>
      <c r="R651" s="8">
        <f>IF(Q651&lt;&gt;0,Q651+H651+L651,0)</f>
        <v/>
      </c>
      <c r="S651" s="9">
        <f>VLOOKUP(OPERAC[[#This Row],[especie]],[1]!ESPECIES[#Data],9,FALSE)</f>
        <v/>
      </c>
    </row>
    <row r="652">
      <c r="A652" s="4" t="n">
        <v>18690</v>
      </c>
      <c r="B652" s="5" t="n">
        <v>44608</v>
      </c>
      <c r="C652" s="13" t="inlineStr">
        <is>
          <t>VTA</t>
        </is>
      </c>
      <c r="D652" s="13" t="n">
        <v>39</v>
      </c>
      <c r="E652" s="10">
        <f>IF(D652&gt;0,VLOOKUP(OPERAC[[#This Row],[COD CART]],[1]!MatrizCortoLargoCyl[#All],3,0),"")</f>
        <v/>
      </c>
      <c r="F652" s="13" t="inlineStr">
        <is>
          <t>SOLO/V/3,00/18-03-22</t>
        </is>
      </c>
      <c r="G652" s="6" t="n">
        <v>-600</v>
      </c>
      <c r="H652" s="6" t="n">
        <v>513.024</v>
      </c>
      <c r="I652" s="7">
        <f>-H652/G652</f>
        <v/>
      </c>
      <c r="J652" s="11" t="n">
        <v>44614</v>
      </c>
      <c r="K652" s="6">
        <f>+OPERAC[[#This Row],[cantidad]]</f>
        <v/>
      </c>
      <c r="L652" s="6">
        <f>+OPERAC[[#This Row],[cantidad venta]]*1.113</f>
        <v/>
      </c>
      <c r="M652" s="7">
        <f>IF(N652=0,+L652+H652,0)</f>
        <v/>
      </c>
      <c r="N652" s="7">
        <f>IF((+G652-K652)=0,0,+G652-K652)</f>
        <v/>
      </c>
      <c r="O652" s="7">
        <f>IF(N652=0,0,(L652+H652)/-N652)</f>
        <v/>
      </c>
      <c r="P652" s="7">
        <f>VLOOKUP(OPERAC[[#This Row],[especie]],[1]!ESPECIES[#All],6,0)</f>
        <v/>
      </c>
      <c r="Q652" s="7">
        <f>IF(N652&lt;&gt;0,P652*N652,0)</f>
        <v/>
      </c>
      <c r="R652" s="8">
        <f>IF(Q652&lt;&gt;0,Q652+H652+L652,0)</f>
        <v/>
      </c>
      <c r="S652" s="9">
        <f>VLOOKUP(OPERAC[[#This Row],[especie]],[1]!ESPECIES[#Data],9,FALSE)</f>
        <v/>
      </c>
    </row>
    <row r="653">
      <c r="A653" s="4" t="n">
        <v>1792</v>
      </c>
      <c r="B653" s="5" t="n">
        <v>44424</v>
      </c>
      <c r="C653" s="13" t="inlineStr">
        <is>
          <t>VTA</t>
        </is>
      </c>
      <c r="D653" s="13" t="n">
        <v>39</v>
      </c>
      <c r="E653" s="10">
        <f>IF(D653&gt;0,VLOOKUP(OPERAC[[#This Row],[COD CART]],[1]!MatrizCortoLargoCyl[#All],3,0),"")</f>
        <v/>
      </c>
      <c r="F653" s="13" t="inlineStr">
        <is>
          <t>TLRY/V/11,00/21-01-22</t>
        </is>
      </c>
      <c r="G653" s="6" t="n">
        <v>-300</v>
      </c>
      <c r="H653" s="6" t="n">
        <v>503.8026</v>
      </c>
      <c r="I653" s="7">
        <f>-H653/G653</f>
        <v/>
      </c>
      <c r="J653" s="11" t="n">
        <v>44571</v>
      </c>
      <c r="K653" s="6" t="n">
        <v>-300</v>
      </c>
      <c r="L653" s="6" t="n">
        <v>-503.8</v>
      </c>
      <c r="M653" s="7">
        <f>IF(N653=0,+L653+H653,0)</f>
        <v/>
      </c>
      <c r="N653" s="7">
        <f>IF((+G653-K653)=0,0,+G653-K653)</f>
        <v/>
      </c>
      <c r="O653" s="7">
        <f>IF(N653=0,0,(L653+H653)/-N653)</f>
        <v/>
      </c>
      <c r="P653" s="7">
        <f>VLOOKUP(OPERAC[[#This Row],[especie]],[1]!ESPECIES[#All],6,0)</f>
        <v/>
      </c>
      <c r="Q653" s="7">
        <f>IF(N653&lt;&gt;0,P653*N653,0)</f>
        <v/>
      </c>
      <c r="R653" s="8">
        <f>IF(Q653&lt;&gt;0,Q653+H653+L653,0)</f>
        <v/>
      </c>
      <c r="S653" s="9">
        <f>VLOOKUP(OPERAC[[#This Row],[especie]],[1]!ESPECIES[#Data],9,FALSE)</f>
        <v/>
      </c>
    </row>
    <row r="654">
      <c r="A654" s="4" t="n">
        <v>3728</v>
      </c>
      <c r="B654" s="5" t="n">
        <v>44636</v>
      </c>
      <c r="C654" s="13" t="inlineStr">
        <is>
          <t>VTA</t>
        </is>
      </c>
      <c r="D654" s="13" t="n">
        <v>39</v>
      </c>
      <c r="E654" s="10">
        <f>IF(D654&gt;0,VLOOKUP(OPERAC[[#This Row],[COD CART]],[1]!MatrizCortoLargoCyl[#All],3,0),"")</f>
        <v/>
      </c>
      <c r="F654" s="13" t="inlineStr">
        <is>
          <t>TSLA/V/695,00/18-03-22</t>
        </is>
      </c>
      <c r="G654" s="6" t="n">
        <v>-2000</v>
      </c>
      <c r="H654" s="6" t="n">
        <v>496.776</v>
      </c>
      <c r="I654" s="7">
        <f>-H654/G654</f>
        <v/>
      </c>
      <c r="J654" s="11" t="n">
        <v>44638</v>
      </c>
      <c r="K654" s="6" t="n">
        <v>-2000</v>
      </c>
      <c r="L654" s="6" t="n">
        <v>0</v>
      </c>
      <c r="M654" s="7">
        <f>IF(N654=0,+L654+H654,0)</f>
        <v/>
      </c>
      <c r="N654" s="7">
        <f>IF((+G654-K654)=0,0,+G654-K654)</f>
        <v/>
      </c>
      <c r="O654" s="7">
        <f>IF(N654=0,0,(L654+H654)/-N654)</f>
        <v/>
      </c>
      <c r="P654" s="7">
        <f>VLOOKUP(OPERAC[[#This Row],[especie]],[1]!ESPECIES[#All],6,0)</f>
        <v/>
      </c>
      <c r="Q654" s="7">
        <f>IF(N654&lt;&gt;0,P654*N654,0)</f>
        <v/>
      </c>
      <c r="R654" s="8">
        <f>IF(Q654&lt;&gt;0,Q654+H654+L654,0)</f>
        <v/>
      </c>
      <c r="S654" s="9">
        <f>VLOOKUP(OPERAC[[#This Row],[especie]],[1]!ESPECIES[#Data],9,FALSE)</f>
        <v/>
      </c>
    </row>
    <row r="655">
      <c r="A655" s="4" t="n">
        <v>18716</v>
      </c>
      <c r="B655" s="5" t="n">
        <v>44606</v>
      </c>
      <c r="C655" s="13" t="inlineStr">
        <is>
          <t>VTA</t>
        </is>
      </c>
      <c r="D655" s="13" t="n">
        <v>39</v>
      </c>
      <c r="E655" s="10">
        <f>IF(D655&gt;0,VLOOKUP(OPERAC[[#This Row],[COD CART]],[1]!MatrizCortoLargoCyl[#All],3,0),"")</f>
        <v/>
      </c>
      <c r="F655" s="13" t="inlineStr">
        <is>
          <t>SMH/V/240,00/18-02-22</t>
        </is>
      </c>
      <c r="G655" s="6" t="n">
        <v>-500</v>
      </c>
      <c r="H655" s="6" t="n">
        <v>493.34</v>
      </c>
      <c r="I655" s="7">
        <f>-H655/G655</f>
        <v/>
      </c>
      <c r="J655" s="11" t="n">
        <v>44609</v>
      </c>
      <c r="K655" s="6" t="n">
        <v>-500</v>
      </c>
      <c r="L655" s="6" t="n">
        <v>-45.898</v>
      </c>
      <c r="M655" s="7">
        <f>IF(N655=0,+L655+H655,0)</f>
        <v/>
      </c>
      <c r="N655" s="7">
        <f>IF((+G655-K655)=0,0,+G655-K655)</f>
        <v/>
      </c>
      <c r="O655" s="7">
        <f>IF(N655=0,0,(L655+H655)/-N655)</f>
        <v/>
      </c>
      <c r="P655" s="7">
        <f>VLOOKUP(OPERAC[[#This Row],[especie]],[1]!ESPECIES[#All],6,0)</f>
        <v/>
      </c>
      <c r="Q655" s="7">
        <f>IF(N655&lt;&gt;0,P655*N655,0)</f>
        <v/>
      </c>
      <c r="R655" s="8">
        <f>IF(Q655&lt;&gt;0,Q655+H655+L655,0)</f>
        <v/>
      </c>
      <c r="S655" s="9">
        <f>VLOOKUP(OPERAC[[#This Row],[especie]],[1]!ESPECIES[#Data],9,FALSE)</f>
        <v/>
      </c>
    </row>
    <row r="656">
      <c r="A656" s="4" t="n">
        <v>3838</v>
      </c>
      <c r="B656" s="5" t="n">
        <v>44495</v>
      </c>
      <c r="C656" s="13" t="inlineStr">
        <is>
          <t>VTA</t>
        </is>
      </c>
      <c r="D656" s="13" t="n">
        <v>39</v>
      </c>
      <c r="E656" s="10">
        <f>IF(D656&gt;0,VLOOKUP(OPERAC[[#This Row],[COD CART]],[1]!MatrizCortoLargoCyl[#All],3,0),"")</f>
        <v/>
      </c>
      <c r="F656" s="13" t="inlineStr">
        <is>
          <t>YPF/CC10/LP7/CP3/19-01-24</t>
        </is>
      </c>
      <c r="G656" s="6" t="n">
        <v>-200</v>
      </c>
      <c r="H656" s="6" t="n">
        <v>482</v>
      </c>
      <c r="I656" s="7">
        <f>-H656/G656</f>
        <v/>
      </c>
      <c r="J656" s="11" t="n"/>
      <c r="K656" s="6" t="n"/>
      <c r="L656" s="6" t="n"/>
      <c r="M656" s="7">
        <f>IF(N656=0,+L656+H656,0)</f>
        <v/>
      </c>
      <c r="N656" s="7">
        <f>IF((+G656-K656)=0,0,+G656-K656)</f>
        <v/>
      </c>
      <c r="O656" s="7">
        <f>IF(N656=0,0,(L656+H656)/-N656)</f>
        <v/>
      </c>
      <c r="P656" s="7">
        <f>VLOOKUP(OPERAC[[#This Row],[especie]],[1]!ESPECIES[#All],6,0)</f>
        <v/>
      </c>
      <c r="Q656" s="7">
        <f>IF(N656&lt;&gt;0,P656*N656,0)</f>
        <v/>
      </c>
      <c r="R656" s="8">
        <f>IF(Q656&lt;&gt;0,Q656+H656+L656,0)</f>
        <v/>
      </c>
      <c r="S656" s="9">
        <f>VLOOKUP(OPERAC[[#This Row],[especie]],[1]!ESPECIES[#Data],9,FALSE)</f>
        <v/>
      </c>
    </row>
    <row r="657">
      <c r="A657" s="4" t="n">
        <v>3728</v>
      </c>
      <c r="B657" s="5" t="n">
        <v>44658</v>
      </c>
      <c r="C657" s="13" t="inlineStr">
        <is>
          <t>VTA</t>
        </is>
      </c>
      <c r="D657" s="13" t="n">
        <v>39</v>
      </c>
      <c r="E657" s="10">
        <f>IF(D657&gt;0,VLOOKUP(OPERAC[[#This Row],[COD CART]],[1]!MatrizCortoLargoCyl[#All],3,0),"")</f>
        <v/>
      </c>
      <c r="F657" s="13" t="inlineStr">
        <is>
          <t>TSLA/C/1200,00/08-04-22</t>
        </is>
      </c>
      <c r="G657" s="6" t="n">
        <v>-2000</v>
      </c>
      <c r="H657" s="6" t="n">
        <v>474.09</v>
      </c>
      <c r="I657" s="7">
        <f>-H657/G657</f>
        <v/>
      </c>
      <c r="J657" s="11" t="n">
        <v>44659</v>
      </c>
      <c r="K657" s="6">
        <f>+OPERAC[[#This Row],[cantidad]]</f>
        <v/>
      </c>
      <c r="L657" s="6" t="n">
        <v>0</v>
      </c>
      <c r="M657" s="7">
        <f>IF(N657=0,+L657+H657,0)</f>
        <v/>
      </c>
      <c r="N657" s="7">
        <f>IF((+G657-K657)=0,0,+G657-K657)</f>
        <v/>
      </c>
      <c r="O657" s="7">
        <f>IF(N657=0,0,(L657+H657)/-N657)</f>
        <v/>
      </c>
      <c r="P657" s="7">
        <f>VLOOKUP(OPERAC[[#This Row],[especie]],[1]!ESPECIES[#All],6,0)</f>
        <v/>
      </c>
      <c r="Q657" s="7">
        <f>IF(N657&lt;&gt;0,P657*N657,0)</f>
        <v/>
      </c>
      <c r="R657" s="8">
        <f>IF(Q657&lt;&gt;0,Q657+H657+L657,0)</f>
        <v/>
      </c>
      <c r="S657" s="9">
        <f>VLOOKUP(OPERAC[[#This Row],[especie]],[1]!ESPECIES[#Data],9,FALSE)</f>
        <v/>
      </c>
    </row>
    <row r="658">
      <c r="A658" s="4" t="n">
        <v>3728</v>
      </c>
      <c r="B658" s="5" t="n">
        <v>44517</v>
      </c>
      <c r="C658" s="13" t="inlineStr">
        <is>
          <t>VTA</t>
        </is>
      </c>
      <c r="D658" s="13" t="n">
        <v>39</v>
      </c>
      <c r="E658" s="10">
        <f>IF(D658&gt;0,VLOOKUP(OPERAC[[#This Row],[COD CART]],[1]!MatrizCortoLargoCyl[#All],3,0),"")</f>
        <v/>
      </c>
      <c r="F658" s="13" t="inlineStr">
        <is>
          <t>CL/V/60,00/58 DÍAS</t>
        </is>
      </c>
      <c r="G658" s="6" t="n">
        <v>-1000</v>
      </c>
      <c r="H658" s="6" t="n">
        <v>473.79</v>
      </c>
      <c r="I658" s="7">
        <f>-H658/G658</f>
        <v/>
      </c>
      <c r="J658" s="11" t="n">
        <v>44621</v>
      </c>
      <c r="K658" s="6" t="n">
        <v>-1000</v>
      </c>
      <c r="L658" s="6" t="n">
        <v>0</v>
      </c>
      <c r="M658" s="7">
        <f>IF(N658=0,+L658+H658,0)</f>
        <v/>
      </c>
      <c r="N658" s="7">
        <f>IF((+G658-K658)=0,0,+G658-K658)</f>
        <v/>
      </c>
      <c r="O658" s="7">
        <f>IF(N658=0,0,(L658+H658)/-N658)</f>
        <v/>
      </c>
      <c r="P658" s="7">
        <f>VLOOKUP(OPERAC[[#This Row],[especie]],[1]!ESPECIES[#All],6,0)</f>
        <v/>
      </c>
      <c r="Q658" s="7">
        <f>IF(N658&lt;&gt;0,P658*N658,0)</f>
        <v/>
      </c>
      <c r="R658" s="8">
        <f>IF(Q658&lt;&gt;0,Q658+H658+L658,0)</f>
        <v/>
      </c>
      <c r="S658" s="9">
        <f>VLOOKUP(OPERAC[[#This Row],[especie]],[1]!ESPECIES[#Data],9,FALSE)</f>
        <v/>
      </c>
    </row>
    <row r="659">
      <c r="A659" s="4" t="n">
        <v>3728</v>
      </c>
      <c r="B659" s="5" t="n">
        <v>44670</v>
      </c>
      <c r="C659" s="13" t="inlineStr">
        <is>
          <t>VTA</t>
        </is>
      </c>
      <c r="D659" s="13" t="n">
        <v>39</v>
      </c>
      <c r="E659" s="10">
        <f>IF(D659&gt;0,VLOOKUP(OPERAC[[#This Row],[COD CART]],[1]!MatrizCortoLargoCyl[#All],3,0),"")</f>
        <v/>
      </c>
      <c r="F659" s="13" t="inlineStr">
        <is>
          <t>UPST/V/80,00/22-04-22</t>
        </is>
      </c>
      <c r="G659" s="6" t="n">
        <v>-500</v>
      </c>
      <c r="H659" s="6" t="n">
        <v>470.963</v>
      </c>
      <c r="I659" s="7">
        <f>-H659/G659</f>
        <v/>
      </c>
      <c r="J659" s="11" t="n">
        <v>44673</v>
      </c>
      <c r="K659" s="6" t="n">
        <v>-500</v>
      </c>
      <c r="L659" s="6" t="n">
        <v>-1951.95</v>
      </c>
      <c r="M659" s="7">
        <f>IF(N659=0,+L659+H659,0)</f>
        <v/>
      </c>
      <c r="N659" s="7">
        <f>IF((+G659-K659)=0,0,+G659-K659)</f>
        <v/>
      </c>
      <c r="O659" s="7">
        <f>IF(N659=0,0,(L659+H659)/-N659)</f>
        <v/>
      </c>
      <c r="P659" s="7">
        <f>VLOOKUP(OPERAC[[#This Row],[especie]],[1]!ESPECIES[#All],6,0)</f>
        <v/>
      </c>
      <c r="Q659" s="7">
        <f>IF(N659&lt;&gt;0,P659*N659,0)</f>
        <v/>
      </c>
      <c r="R659" s="8">
        <f>IF(Q659&lt;&gt;0,Q659+H659+L659,0)</f>
        <v/>
      </c>
      <c r="S659" s="9">
        <f>VLOOKUP(OPERAC[[#This Row],[especie]],[1]!ESPECIES[#Data],9,FALSE)</f>
        <v/>
      </c>
    </row>
    <row r="660">
      <c r="A660" s="4" t="n">
        <v>18711</v>
      </c>
      <c r="B660" s="5" t="n">
        <v>44670</v>
      </c>
      <c r="C660" s="13" t="inlineStr">
        <is>
          <t>VTA</t>
        </is>
      </c>
      <c r="D660" s="13" t="n">
        <v>39</v>
      </c>
      <c r="E660" s="10">
        <f>IF(D660&gt;0,VLOOKUP(OPERAC[[#This Row],[COD CART]],[1]!MatrizCortoLargoCyl[#All],3,0),"")</f>
        <v/>
      </c>
      <c r="F660" s="13" t="inlineStr">
        <is>
          <t>UPST/V/80,00/22-04-22</t>
        </is>
      </c>
      <c r="G660" s="6" t="n">
        <v>-500</v>
      </c>
      <c r="H660" s="6" t="n">
        <v>470.963</v>
      </c>
      <c r="I660" s="7">
        <f>-H660/G660</f>
        <v/>
      </c>
      <c r="J660" s="11" t="n">
        <v>44673</v>
      </c>
      <c r="K660" s="6" t="n">
        <v>-500</v>
      </c>
      <c r="L660" s="6" t="n">
        <v>-1966.575</v>
      </c>
      <c r="M660" s="7">
        <f>IF(N660=0,+L660+H660,0)</f>
        <v/>
      </c>
      <c r="N660" s="7">
        <f>IF((+G660-K660)=0,0,+G660-K660)</f>
        <v/>
      </c>
      <c r="O660" s="7">
        <f>IF(N660=0,0,(L660+H660)/-N660)</f>
        <v/>
      </c>
      <c r="P660" s="7">
        <f>VLOOKUP(OPERAC[[#This Row],[especie]],[1]!ESPECIES[#All],6,0)</f>
        <v/>
      </c>
      <c r="Q660" s="7">
        <f>IF(N660&lt;&gt;0,P660*N660,0)</f>
        <v/>
      </c>
      <c r="R660" s="8">
        <f>IF(Q660&lt;&gt;0,Q660+H660+L660,0)</f>
        <v/>
      </c>
      <c r="S660" s="9">
        <f>VLOOKUP(OPERAC[[#This Row],[especie]],[1]!ESPECIES[#Data],9,FALSE)</f>
        <v/>
      </c>
    </row>
    <row r="661">
      <c r="A661" s="4" t="n">
        <v>12688</v>
      </c>
      <c r="B661" s="5" t="n">
        <v>44698</v>
      </c>
      <c r="C661" s="13" t="inlineStr">
        <is>
          <t>VTA</t>
        </is>
      </c>
      <c r="D661" s="13" t="n">
        <v>39</v>
      </c>
      <c r="E661" s="10">
        <f>IF(D661&gt;0,VLOOKUP(OPERAC[[#This Row],[COD CART]],[1]!MatrizCortoLargoCyl[#All],3,0),"")</f>
        <v/>
      </c>
      <c r="F661" s="13" t="inlineStr">
        <is>
          <t>TSLA/V/550,00/27-05-22</t>
        </is>
      </c>
      <c r="G661" s="6" t="n">
        <v>-200</v>
      </c>
      <c r="H661" s="6" t="n">
        <v>466.005</v>
      </c>
      <c r="I661" s="7">
        <f>-H661/G661</f>
        <v/>
      </c>
      <c r="J661" s="11" t="n">
        <v>44706</v>
      </c>
      <c r="K661" s="6">
        <f>+OPERAC[[#This Row],[cantidad]]</f>
        <v/>
      </c>
      <c r="L661" s="6" t="n">
        <v>-90.765</v>
      </c>
      <c r="M661" s="7">
        <f>IF(N661=0,+L661+H661,0)</f>
        <v/>
      </c>
      <c r="N661" s="7">
        <f>IF((+G661-K661)=0,0,+G661-K661)</f>
        <v/>
      </c>
      <c r="O661" s="7">
        <f>IF(N661=0,0,(L661+H661)/-N661)</f>
        <v/>
      </c>
      <c r="P661" s="7">
        <f>VLOOKUP(OPERAC[[#This Row],[especie]],[1]!ESPECIES[#All],6,0)</f>
        <v/>
      </c>
      <c r="Q661" s="7">
        <f>IF(N661&lt;&gt;0,P661*N661,0)</f>
        <v/>
      </c>
      <c r="R661" s="8">
        <f>IF(Q661&lt;&gt;0,Q661+H661+L661,0)</f>
        <v/>
      </c>
      <c r="S661" s="9">
        <f>VLOOKUP(OPERAC[[#This Row],[especie]],[1]!ESPECIES[#Data],9,FALSE)</f>
        <v/>
      </c>
    </row>
    <row r="662">
      <c r="A662" s="4" t="n">
        <v>2255</v>
      </c>
      <c r="B662" s="5" t="n">
        <v>44547</v>
      </c>
      <c r="C662" s="13" t="inlineStr">
        <is>
          <t>VTA</t>
        </is>
      </c>
      <c r="D662" s="13" t="n">
        <v>39</v>
      </c>
      <c r="E662" s="10">
        <f>IF(D662&gt;0,VLOOKUP(OPERAC[[#This Row],[COD CART]],[1]!MatrizCortoLargoCyl[#All],3,0),"")</f>
        <v/>
      </c>
      <c r="F662" s="13" t="inlineStr">
        <is>
          <t>INO/V/7,00/21-01-22</t>
        </is>
      </c>
      <c r="G662" s="6" t="n">
        <v>-500</v>
      </c>
      <c r="H662" s="6" t="n">
        <v>457.06</v>
      </c>
      <c r="I662" s="7">
        <f>-H662/G662</f>
        <v/>
      </c>
      <c r="J662" s="11" t="n">
        <v>44580</v>
      </c>
      <c r="K662" s="6">
        <f>+OPERAC[[#This Row],[cantidad]]</f>
        <v/>
      </c>
      <c r="L662" s="6">
        <f>-OPERAC[[#This Row],[importe]]</f>
        <v/>
      </c>
      <c r="M662" s="7">
        <f>IF(N662=0,+L662+H662,0)</f>
        <v/>
      </c>
      <c r="N662" s="7">
        <f>IF((+G662-K662)=0,0,+G662-K662)</f>
        <v/>
      </c>
      <c r="O662" s="7">
        <f>IF(N662=0,0,(L662+H662)/-N662)</f>
        <v/>
      </c>
      <c r="P662" s="7">
        <f>VLOOKUP(OPERAC[[#This Row],[especie]],[1]!ESPECIES[#All],6,0)</f>
        <v/>
      </c>
      <c r="Q662" s="7">
        <f>IF(N662&lt;&gt;0,P662*N662,0)</f>
        <v/>
      </c>
      <c r="R662" s="8">
        <f>IF(Q662&lt;&gt;0,Q662+H662+L662,0)</f>
        <v/>
      </c>
      <c r="S662" s="9">
        <f>VLOOKUP(OPERAC[[#This Row],[especie]],[1]!ESPECIES[#Data],9,FALSE)</f>
        <v/>
      </c>
    </row>
    <row r="663">
      <c r="A663" s="4" t="n">
        <v>7916</v>
      </c>
      <c r="B663" s="5" t="n">
        <v>44589</v>
      </c>
      <c r="C663" s="13" t="inlineStr">
        <is>
          <t>VTA</t>
        </is>
      </c>
      <c r="D663" s="13" t="n">
        <v>39</v>
      </c>
      <c r="E663" s="10">
        <f>IF(D663&gt;0,VLOOKUP(OPERAC[[#This Row],[COD CART]],[1]!MatrizCortoLargoCyl[#All],3,0),"")</f>
        <v/>
      </c>
      <c r="F663" s="13" t="inlineStr">
        <is>
          <t>TSLA/V/680,00/04-02-22</t>
        </is>
      </c>
      <c r="G663" s="6" t="n">
        <v>-200</v>
      </c>
      <c r="H663" s="6" t="n">
        <v>456.317355</v>
      </c>
      <c r="I663" s="7">
        <f>-H663/G663</f>
        <v/>
      </c>
      <c r="J663" s="11" t="n">
        <v>44596</v>
      </c>
      <c r="K663" s="6">
        <f>+OPERAC[[#This Row],[cantidad]]</f>
        <v/>
      </c>
      <c r="L663" s="6" t="n">
        <v>-4.032</v>
      </c>
      <c r="M663" s="7">
        <f>IF(N663=0,+L663+H663,0)</f>
        <v/>
      </c>
      <c r="N663" s="7">
        <f>IF((+G663-K663)=0,0,+G663-K663)</f>
        <v/>
      </c>
      <c r="O663" s="7">
        <f>IF(N663=0,0,(L663+H663)/-N663)</f>
        <v/>
      </c>
      <c r="P663" s="7">
        <f>VLOOKUP(OPERAC[[#This Row],[especie]],[1]!ESPECIES[#All],6,0)</f>
        <v/>
      </c>
      <c r="Q663" s="7">
        <f>IF(N663&lt;&gt;0,P663*N663,0)</f>
        <v/>
      </c>
      <c r="R663" s="8">
        <f>IF(Q663&lt;&gt;0,Q663+H663+L663,0)</f>
        <v/>
      </c>
      <c r="S663" s="9">
        <f>VLOOKUP(OPERAC[[#This Row],[especie]],[1]!ESPECIES[#Data],9,FALSE)</f>
        <v/>
      </c>
    </row>
    <row r="664">
      <c r="A664" s="4" t="n">
        <v>12022</v>
      </c>
      <c r="B664" s="5" t="n">
        <v>44589</v>
      </c>
      <c r="C664" s="13" t="inlineStr">
        <is>
          <t>VTA</t>
        </is>
      </c>
      <c r="D664" s="13" t="n">
        <v>39</v>
      </c>
      <c r="E664" s="10">
        <f>IF(D664&gt;0,VLOOKUP(OPERAC[[#This Row],[COD CART]],[1]!MatrizCortoLargoCyl[#All],3,0),"")</f>
        <v/>
      </c>
      <c r="F664" s="13" t="inlineStr">
        <is>
          <t>TSLA/V/680,00/04-02-22</t>
        </is>
      </c>
      <c r="G664" s="6" t="n">
        <v>-200</v>
      </c>
      <c r="H664" s="6" t="n">
        <v>456.317355</v>
      </c>
      <c r="I664" s="7">
        <f>-H664/G664</f>
        <v/>
      </c>
      <c r="J664" s="11" t="n">
        <v>44596</v>
      </c>
      <c r="K664" s="6">
        <f>+OPERAC[[#This Row],[cantidad]]</f>
        <v/>
      </c>
      <c r="L664" s="6" t="n">
        <v>-4.032</v>
      </c>
      <c r="M664" s="7">
        <f>IF(N664=0,+L664+H664,0)</f>
        <v/>
      </c>
      <c r="N664" s="7">
        <f>IF((+G664-K664)=0,0,+G664-K664)</f>
        <v/>
      </c>
      <c r="O664" s="7">
        <f>IF(N664=0,0,(L664+H664)/-N664)</f>
        <v/>
      </c>
      <c r="P664" s="7">
        <f>VLOOKUP(OPERAC[[#This Row],[especie]],[1]!ESPECIES[#All],6,0)</f>
        <v/>
      </c>
      <c r="Q664" s="7">
        <f>IF(N664&lt;&gt;0,P664*N664,0)</f>
        <v/>
      </c>
      <c r="R664" s="8">
        <f>IF(Q664&lt;&gt;0,Q664+H664+L664,0)</f>
        <v/>
      </c>
      <c r="S664" s="9">
        <f>VLOOKUP(OPERAC[[#This Row],[especie]],[1]!ESPECIES[#Data],9,FALSE)</f>
        <v/>
      </c>
    </row>
    <row r="665">
      <c r="A665" s="4" t="n">
        <v>12690</v>
      </c>
      <c r="B665" s="5" t="n">
        <v>44589</v>
      </c>
      <c r="C665" s="13" t="inlineStr">
        <is>
          <t>VTA</t>
        </is>
      </c>
      <c r="D665" s="13" t="n">
        <v>39</v>
      </c>
      <c r="E665" s="10">
        <f>IF(D665&gt;0,VLOOKUP(OPERAC[[#This Row],[COD CART]],[1]!MatrizCortoLargoCyl[#All],3,0),"")</f>
        <v/>
      </c>
      <c r="F665" s="13" t="inlineStr">
        <is>
          <t>TSLA/V/680,00/04-02-22</t>
        </is>
      </c>
      <c r="G665" s="6" t="n">
        <v>-200</v>
      </c>
      <c r="H665" s="6" t="n">
        <v>456.317355</v>
      </c>
      <c r="I665" s="7">
        <f>-H665/G665</f>
        <v/>
      </c>
      <c r="J665" s="11" t="n">
        <v>44596</v>
      </c>
      <c r="K665" s="6">
        <f>+OPERAC[[#This Row],[cantidad]]</f>
        <v/>
      </c>
      <c r="L665" s="6" t="n">
        <v>-4.032</v>
      </c>
      <c r="M665" s="7">
        <f>IF(N665=0,+L665+H665,0)</f>
        <v/>
      </c>
      <c r="N665" s="7">
        <f>IF((+G665-K665)=0,0,+G665-K665)</f>
        <v/>
      </c>
      <c r="O665" s="7">
        <f>IF(N665=0,0,(L665+H665)/-N665)</f>
        <v/>
      </c>
      <c r="P665" s="7">
        <f>VLOOKUP(OPERAC[[#This Row],[especie]],[1]!ESPECIES[#All],6,0)</f>
        <v/>
      </c>
      <c r="Q665" s="7">
        <f>IF(N665&lt;&gt;0,P665*N665,0)</f>
        <v/>
      </c>
      <c r="R665" s="8">
        <f>IF(Q665&lt;&gt;0,Q665+H665+L665,0)</f>
        <v/>
      </c>
      <c r="S665" s="9">
        <f>VLOOKUP(OPERAC[[#This Row],[especie]],[1]!ESPECIES[#Data],9,FALSE)</f>
        <v/>
      </c>
    </row>
    <row r="666">
      <c r="A666" s="4" t="n">
        <v>15194</v>
      </c>
      <c r="B666" s="5" t="n">
        <v>44589</v>
      </c>
      <c r="C666" s="13" t="inlineStr">
        <is>
          <t>VTA</t>
        </is>
      </c>
      <c r="D666" s="13" t="n">
        <v>39</v>
      </c>
      <c r="E666" s="10">
        <f>IF(D666&gt;0,VLOOKUP(OPERAC[[#This Row],[COD CART]],[1]!MatrizCortoLargoCyl[#All],3,0),"")</f>
        <v/>
      </c>
      <c r="F666" s="13" t="inlineStr">
        <is>
          <t>TSLA/V/680,00/04-02-22</t>
        </is>
      </c>
      <c r="G666" s="6" t="n">
        <v>-200</v>
      </c>
      <c r="H666" s="6" t="n">
        <v>456.317355</v>
      </c>
      <c r="I666" s="7">
        <f>-H666/G666</f>
        <v/>
      </c>
      <c r="J666" s="11" t="n">
        <v>44596</v>
      </c>
      <c r="K666" s="6">
        <f>+OPERAC[[#This Row],[cantidad]]</f>
        <v/>
      </c>
      <c r="L666" s="6" t="n">
        <v>-4.032</v>
      </c>
      <c r="M666" s="7">
        <f>IF(N666=0,+L666+H666,0)</f>
        <v/>
      </c>
      <c r="N666" s="7">
        <f>IF((+G666-K666)=0,0,+G666-K666)</f>
        <v/>
      </c>
      <c r="O666" s="7">
        <f>IF(N666=0,0,(L666+H666)/-N666)</f>
        <v/>
      </c>
      <c r="P666" s="7">
        <f>VLOOKUP(OPERAC[[#This Row],[especie]],[1]!ESPECIES[#All],6,0)</f>
        <v/>
      </c>
      <c r="Q666" s="7">
        <f>IF(N666&lt;&gt;0,P666*N666,0)</f>
        <v/>
      </c>
      <c r="R666" s="8">
        <f>IF(Q666&lt;&gt;0,Q666+H666+L666,0)</f>
        <v/>
      </c>
      <c r="S666" s="9">
        <f>VLOOKUP(OPERAC[[#This Row],[especie]],[1]!ESPECIES[#Data],9,FALSE)</f>
        <v/>
      </c>
    </row>
    <row r="667">
      <c r="A667" s="4" t="n">
        <v>16780</v>
      </c>
      <c r="B667" s="5" t="n">
        <v>44589</v>
      </c>
      <c r="C667" s="13" t="inlineStr">
        <is>
          <t>VTA</t>
        </is>
      </c>
      <c r="D667" s="13" t="n">
        <v>39</v>
      </c>
      <c r="E667" s="10">
        <f>IF(D667&gt;0,VLOOKUP(OPERAC[[#This Row],[COD CART]],[1]!MatrizCortoLargoCyl[#All],3,0),"")</f>
        <v/>
      </c>
      <c r="F667" s="13" t="inlineStr">
        <is>
          <t>TSLA/V/680,00/04-02-22</t>
        </is>
      </c>
      <c r="G667" s="6" t="n">
        <v>-200</v>
      </c>
      <c r="H667" s="6" t="n">
        <v>456.317355</v>
      </c>
      <c r="I667" s="7">
        <f>-H667/G667</f>
        <v/>
      </c>
      <c r="J667" s="11" t="n">
        <v>44596</v>
      </c>
      <c r="K667" s="6">
        <f>+OPERAC[[#This Row],[cantidad]]</f>
        <v/>
      </c>
      <c r="L667" s="6" t="n">
        <v>-4.032</v>
      </c>
      <c r="M667" s="7">
        <f>IF(N667=0,+L667+H667,0)</f>
        <v/>
      </c>
      <c r="N667" s="7">
        <f>IF((+G667-K667)=0,0,+G667-K667)</f>
        <v/>
      </c>
      <c r="O667" s="7">
        <f>IF(N667=0,0,(L667+H667)/-N667)</f>
        <v/>
      </c>
      <c r="P667" s="7">
        <f>VLOOKUP(OPERAC[[#This Row],[especie]],[1]!ESPECIES[#All],6,0)</f>
        <v/>
      </c>
      <c r="Q667" s="7">
        <f>IF(N667&lt;&gt;0,P667*N667,0)</f>
        <v/>
      </c>
      <c r="R667" s="8">
        <f>IF(Q667&lt;&gt;0,Q667+H667+L667,0)</f>
        <v/>
      </c>
      <c r="S667" s="9">
        <f>VLOOKUP(OPERAC[[#This Row],[especie]],[1]!ESPECIES[#Data],9,FALSE)</f>
        <v/>
      </c>
    </row>
    <row r="668">
      <c r="A668" s="4" t="n">
        <v>18651</v>
      </c>
      <c r="B668" s="5" t="n">
        <v>44607</v>
      </c>
      <c r="C668" s="13" t="inlineStr">
        <is>
          <t>VTA</t>
        </is>
      </c>
      <c r="D668" s="13" t="n">
        <v>39</v>
      </c>
      <c r="E668" s="10">
        <f>IF(D668&gt;0,VLOOKUP(OPERAC[[#This Row],[COD CART]],[1]!MatrizCortoLargoCyl[#All],3,0),"")</f>
        <v/>
      </c>
      <c r="F668" s="13" t="inlineStr">
        <is>
          <t>TSLA/V/820,00/18-02-22</t>
        </is>
      </c>
      <c r="G668" s="6" t="n">
        <v>-300</v>
      </c>
      <c r="H668" s="6" t="n">
        <v>449.948</v>
      </c>
      <c r="I668" s="7">
        <f>-H668/G668</f>
        <v/>
      </c>
      <c r="J668" s="11" t="n">
        <v>44609</v>
      </c>
      <c r="K668" s="6" t="n">
        <v>-300</v>
      </c>
      <c r="L668" s="6" t="n">
        <v>-127.815</v>
      </c>
      <c r="M668" s="7">
        <f>IF(N668=0,+L668+H668,0)</f>
        <v/>
      </c>
      <c r="N668" s="7">
        <f>IF((+G668-K668)=0,0,+G668-K668)</f>
        <v/>
      </c>
      <c r="O668" s="7">
        <f>IF(N668=0,0,(L668+H668)/-N668)</f>
        <v/>
      </c>
      <c r="P668" s="7">
        <f>VLOOKUP(OPERAC[[#This Row],[especie]],[1]!ESPECIES[#All],6,0)</f>
        <v/>
      </c>
      <c r="Q668" s="7">
        <f>IF(N668&lt;&gt;0,P668*N668,0)</f>
        <v/>
      </c>
      <c r="R668" s="8">
        <f>IF(Q668&lt;&gt;0,Q668+H668+L668,0)</f>
        <v/>
      </c>
      <c r="S668" s="9">
        <f>VLOOKUP(OPERAC[[#This Row],[especie]],[1]!ESPECIES[#Data],9,FALSE)</f>
        <v/>
      </c>
    </row>
    <row r="669">
      <c r="A669" s="4" t="n">
        <v>2211</v>
      </c>
      <c r="B669" s="5" t="n">
        <v>44705</v>
      </c>
      <c r="C669" s="13" t="inlineStr">
        <is>
          <t>VTA</t>
        </is>
      </c>
      <c r="D669" s="13" t="n">
        <v>41</v>
      </c>
      <c r="E669" s="10">
        <f>IF(D669&gt;0,VLOOKUP(OPERAC[[#This Row],[COD CART]],[1]!MatrizCortoLargoCyl[#All],3,0),"")</f>
        <v/>
      </c>
      <c r="F669" s="13" t="inlineStr">
        <is>
          <t>FDX/P/192.50/17-06-22</t>
        </is>
      </c>
      <c r="G669" s="6" t="n">
        <v>-100</v>
      </c>
      <c r="H669" s="6" t="n">
        <v>447.167</v>
      </c>
      <c r="I669" s="7">
        <f>-H669/G669</f>
        <v/>
      </c>
      <c r="J669" s="5" t="n">
        <v>44726</v>
      </c>
      <c r="K669" s="6" t="n">
        <v>-100</v>
      </c>
      <c r="L669" s="6" t="n">
        <v>-19.162</v>
      </c>
      <c r="M669" s="7">
        <f>IF(N669=0,+L669+H669,0)</f>
        <v/>
      </c>
      <c r="N669" s="7">
        <f>IF((+G669-K669)=0,0,+G669-K669)</f>
        <v/>
      </c>
      <c r="O669" s="7">
        <f>IF(N669=0,0,(L669+H669)/-N669)</f>
        <v/>
      </c>
      <c r="P669" s="7">
        <f>VLOOKUP(OPERAC[[#This Row],[especie]],[1]!ESPECIES[#All],6,0)</f>
        <v/>
      </c>
      <c r="Q669" s="7">
        <f>IF(N669&lt;&gt;0,P669*N669,0)</f>
        <v/>
      </c>
      <c r="R669" s="8">
        <f>IF(Q669&lt;&gt;0,Q669+H669+L669,0)</f>
        <v/>
      </c>
      <c r="S669" s="9">
        <f>VLOOKUP(OPERAC[[#This Row],[especie]],[1]!ESPECIES[#Data],9,FALSE)</f>
        <v/>
      </c>
    </row>
    <row r="670">
      <c r="A670" s="4" t="n">
        <v>1801</v>
      </c>
      <c r="B670" s="5" t="n">
        <v>44571</v>
      </c>
      <c r="C670" s="13" t="inlineStr">
        <is>
          <t>VTA</t>
        </is>
      </c>
      <c r="D670" s="13" t="n">
        <v>39</v>
      </c>
      <c r="E670" s="10">
        <f>IF(D670&gt;0,VLOOKUP(OPERAC[[#This Row],[COD CART]],[1]!MatrizCortoLargoCyl[#All],3,0),"")</f>
        <v/>
      </c>
      <c r="F670" s="13" t="inlineStr">
        <is>
          <t>MELI/V/850,00/14-01-22</t>
        </is>
      </c>
      <c r="G670" s="6" t="n">
        <v>-100</v>
      </c>
      <c r="H670" s="6" t="n">
        <v>446.4</v>
      </c>
      <c r="I670" s="7">
        <f>-H670/G670</f>
        <v/>
      </c>
      <c r="J670" s="11" t="n">
        <v>44572</v>
      </c>
      <c r="K670" s="6" t="n">
        <v>-100</v>
      </c>
      <c r="L670" s="6" t="n">
        <v>-50.392</v>
      </c>
      <c r="M670" s="7">
        <f>IF(N670=0,+L670+H670,0)</f>
        <v/>
      </c>
      <c r="N670" s="7">
        <f>IF((+G670-K670)=0,0,+G670-K670)</f>
        <v/>
      </c>
      <c r="O670" s="7">
        <f>IF(N670=0,0,(L670+H670)/-N670)</f>
        <v/>
      </c>
      <c r="P670" s="7">
        <f>VLOOKUP(OPERAC[[#This Row],[especie]],[1]!ESPECIES[#All],6,0)</f>
        <v/>
      </c>
      <c r="Q670" s="7">
        <f>IF(N670&lt;&gt;0,P670*N670,0)</f>
        <v/>
      </c>
      <c r="R670" s="8">
        <f>IF(Q670&lt;&gt;0,Q670+H670+L670,0)</f>
        <v/>
      </c>
      <c r="S670" s="9">
        <f>VLOOKUP(OPERAC[[#This Row],[especie]],[1]!ESPECIES[#Data],9,FALSE)</f>
        <v/>
      </c>
    </row>
    <row r="671">
      <c r="A671" s="4" t="n">
        <v>26137</v>
      </c>
      <c r="B671" s="5" t="n">
        <v>44571</v>
      </c>
      <c r="C671" s="13" t="inlineStr">
        <is>
          <t>VTA</t>
        </is>
      </c>
      <c r="D671" s="13" t="n">
        <v>39</v>
      </c>
      <c r="E671" s="10">
        <f>IF(D671&gt;0,VLOOKUP(OPERAC[[#This Row],[COD CART]],[1]!MatrizCortoLargoCyl[#All],3,0),"")</f>
        <v/>
      </c>
      <c r="F671" s="13" t="inlineStr">
        <is>
          <t>MELI/V/850,00/14-01-22</t>
        </is>
      </c>
      <c r="G671" s="6" t="n">
        <v>-100</v>
      </c>
      <c r="H671" s="6" t="n">
        <v>446.4</v>
      </c>
      <c r="I671" s="7">
        <f>-H671/G671</f>
        <v/>
      </c>
      <c r="J671" s="11" t="n">
        <v>44575</v>
      </c>
      <c r="K671" s="6" t="n">
        <v>-100</v>
      </c>
      <c r="L671" s="6" t="n">
        <v>0</v>
      </c>
      <c r="M671" s="7">
        <f>IF(N671=0,+L671+H671,0)</f>
        <v/>
      </c>
      <c r="N671" s="7">
        <f>IF((+G671-K671)=0,0,+G671-K671)</f>
        <v/>
      </c>
      <c r="O671" s="7">
        <f>IF(N671=0,0,(L671+H671)/-N671)</f>
        <v/>
      </c>
      <c r="P671" s="7">
        <f>VLOOKUP(OPERAC[[#This Row],[especie]],[1]!ESPECIES[#All],6,0)</f>
        <v/>
      </c>
      <c r="Q671" s="7">
        <f>IF(N671&lt;&gt;0,P671*N671,0)</f>
        <v/>
      </c>
      <c r="R671" s="8">
        <f>IF(Q671&lt;&gt;0,Q671+H671+L671,0)</f>
        <v/>
      </c>
      <c r="S671" s="9">
        <f>VLOOKUP(OPERAC[[#This Row],[especie]],[1]!ESPECIES[#Data],9,FALSE)</f>
        <v/>
      </c>
    </row>
    <row r="672">
      <c r="A672" s="4" t="n">
        <v>11168</v>
      </c>
      <c r="B672" s="5" t="n">
        <v>44571</v>
      </c>
      <c r="C672" s="13" t="inlineStr">
        <is>
          <t>VTA</t>
        </is>
      </c>
      <c r="D672" s="13" t="n">
        <v>39</v>
      </c>
      <c r="E672" s="10">
        <f>IF(D672&gt;0,VLOOKUP(OPERAC[[#This Row],[COD CART]],[1]!MatrizCortoLargoCyl[#All],3,0),"")</f>
        <v/>
      </c>
      <c r="F672" s="13" t="inlineStr">
        <is>
          <t>MELI/V/850,00/14-01-22</t>
        </is>
      </c>
      <c r="G672" s="6" t="n">
        <v>-100</v>
      </c>
      <c r="H672" s="6" t="n">
        <v>446.4</v>
      </c>
      <c r="I672" s="7">
        <f>-H672/G672</f>
        <v/>
      </c>
      <c r="J672" s="11" t="n">
        <v>44575</v>
      </c>
      <c r="K672" s="6" t="n">
        <v>-100</v>
      </c>
      <c r="L672" s="6" t="n">
        <v>0</v>
      </c>
      <c r="M672" s="7">
        <f>IF(N672=0,+L672+H672,0)</f>
        <v/>
      </c>
      <c r="N672" s="7">
        <f>IF((+G672-K672)=0,0,+G672-K672)</f>
        <v/>
      </c>
      <c r="O672" s="7">
        <f>IF(N672=0,0,(L672+H672)/-N672)</f>
        <v/>
      </c>
      <c r="P672" s="7">
        <f>VLOOKUP(OPERAC[[#This Row],[especie]],[1]!ESPECIES[#All],6,0)</f>
        <v/>
      </c>
      <c r="Q672" s="7">
        <f>IF(N672&lt;&gt;0,P672*N672,0)</f>
        <v/>
      </c>
      <c r="R672" s="8">
        <f>IF(Q672&lt;&gt;0,Q672+H672+L672,0)</f>
        <v/>
      </c>
      <c r="S672" s="9">
        <f>VLOOKUP(OPERAC[[#This Row],[especie]],[1]!ESPECIES[#Data],9,FALSE)</f>
        <v/>
      </c>
    </row>
    <row r="673">
      <c r="A673" s="4" t="n">
        <v>2194</v>
      </c>
      <c r="B673" s="5" t="n">
        <v>44676</v>
      </c>
      <c r="C673" s="13" t="inlineStr">
        <is>
          <t>VTA</t>
        </is>
      </c>
      <c r="D673" s="13" t="n">
        <v>39</v>
      </c>
      <c r="E673" s="10">
        <f>IF(D673&gt;0,VLOOKUP(OPERAC[[#This Row],[COD CART]],[1]!MatrizCortoLargoCyl[#All],3,0),"")</f>
        <v/>
      </c>
      <c r="F673" s="13" t="inlineStr">
        <is>
          <t>UPST/V/67,00/06-05-22</t>
        </is>
      </c>
      <c r="G673" s="6" t="n">
        <v>-200</v>
      </c>
      <c r="H673" s="6" t="n">
        <v>446.175</v>
      </c>
      <c r="I673" s="7">
        <f>-H673/G673</f>
        <v/>
      </c>
      <c r="J673" s="11" t="n">
        <v>44687</v>
      </c>
      <c r="K673" s="6">
        <f>OPERAC[[#This Row],[cantidad]]</f>
        <v/>
      </c>
      <c r="L673" s="6" t="n">
        <v>0</v>
      </c>
      <c r="M673" s="7">
        <f>IF(N673=0,+L673+H673,0)</f>
        <v/>
      </c>
      <c r="N673" s="7">
        <f>IF((+G673-K673)=0,0,+G673-K673)</f>
        <v/>
      </c>
      <c r="O673" s="7">
        <f>IF(N673=0,0,(L673+H673)/-N673)</f>
        <v/>
      </c>
      <c r="P673" s="7">
        <f>VLOOKUP(OPERAC[[#This Row],[especie]],[1]!ESPECIES[#All],6,0)</f>
        <v/>
      </c>
      <c r="Q673" s="7">
        <f>IF(N673&lt;&gt;0,P673*N673,0)</f>
        <v/>
      </c>
      <c r="R673" s="8">
        <f>IF(Q673&lt;&gt;0,Q673+H673+L673,0)</f>
        <v/>
      </c>
      <c r="S673" s="9">
        <f>VLOOKUP(OPERAC[[#This Row],[especie]],[1]!ESPECIES[#Data],9,FALSE)</f>
        <v/>
      </c>
    </row>
    <row r="674">
      <c r="A674" s="4" t="n">
        <v>1760</v>
      </c>
      <c r="B674" s="5" t="n">
        <v>44574</v>
      </c>
      <c r="C674" s="13" t="inlineStr">
        <is>
          <t>VTA</t>
        </is>
      </c>
      <c r="D674" s="13" t="n">
        <v>39</v>
      </c>
      <c r="E674" s="10">
        <f>IF(D674&gt;0,VLOOKUP(OPERAC[[#This Row],[COD CART]],[1]!MatrizCortoLargoCyl[#All],3,0),"")</f>
        <v/>
      </c>
      <c r="F674" s="13" t="inlineStr">
        <is>
          <t>ACB/V/6,00/21-01-22</t>
        </is>
      </c>
      <c r="G674" s="6" t="n">
        <v>-900</v>
      </c>
      <c r="H674" s="6" t="n">
        <v>438.373</v>
      </c>
      <c r="I674" s="7">
        <f>-H674/G674</f>
        <v/>
      </c>
      <c r="J674" s="11" t="n">
        <v>44581</v>
      </c>
      <c r="K674" s="6">
        <f>+OPERAC[[#This Row],[cantidad]]</f>
        <v/>
      </c>
      <c r="L674" s="6">
        <f>-OPERAC[[#This Row],[importe]]</f>
        <v/>
      </c>
      <c r="M674" s="7">
        <f>IF(N674=0,+L674+H674,0)</f>
        <v/>
      </c>
      <c r="N674" s="7">
        <f>IF((+G674-K674)=0,0,+G674-K674)</f>
        <v/>
      </c>
      <c r="O674" s="7">
        <f>IF(N674=0,0,(L674+H674)/-N674)</f>
        <v/>
      </c>
      <c r="P674" s="7">
        <f>VLOOKUP(OPERAC[[#This Row],[especie]],[1]!ESPECIES[#All],6,0)</f>
        <v/>
      </c>
      <c r="Q674" s="7">
        <f>IF(N674&lt;&gt;0,P674*N674,0)</f>
        <v/>
      </c>
      <c r="R674" s="8">
        <f>IF(Q674&lt;&gt;0,Q674+H674+L674,0)</f>
        <v/>
      </c>
      <c r="S674" s="9">
        <f>VLOOKUP(OPERAC[[#This Row],[especie]],[1]!ESPECIES[#Data],9,FALSE)</f>
        <v/>
      </c>
    </row>
    <row r="675">
      <c r="A675" s="4" t="n">
        <v>1760</v>
      </c>
      <c r="B675" s="5" t="n">
        <v>44692</v>
      </c>
      <c r="C675" s="13" t="inlineStr">
        <is>
          <t>VTA</t>
        </is>
      </c>
      <c r="D675" s="13" t="n">
        <v>39</v>
      </c>
      <c r="E675" s="10">
        <f>IF(D675&gt;0,VLOOKUP(OPERAC[[#This Row],[COD CART]],[1]!MatrizCortoLargoCyl[#All],3,0),"")</f>
        <v/>
      </c>
      <c r="F675" s="13" t="inlineStr">
        <is>
          <t>TSLA/V/450,00/20-01-23</t>
        </is>
      </c>
      <c r="G675" s="6" t="n">
        <v>-10</v>
      </c>
      <c r="H675" s="6" t="n">
        <v>437.8</v>
      </c>
      <c r="I675" s="7">
        <f>-H675/G675</f>
        <v/>
      </c>
      <c r="J675" s="11" t="n"/>
      <c r="K675" s="6" t="n"/>
      <c r="L675" s="6" t="n"/>
      <c r="M675" s="7">
        <f>IF(N675=0,+L675+H675,0)</f>
        <v/>
      </c>
      <c r="N675" s="7">
        <f>IF((+G675-K675)=0,0,+G675-K675)</f>
        <v/>
      </c>
      <c r="O675" s="7">
        <f>IF(N675=0,0,(L675+H675)/-N675)</f>
        <v/>
      </c>
      <c r="P675" s="7">
        <f>VLOOKUP(OPERAC[[#This Row],[especie]],[1]!ESPECIES[#All],6,0)</f>
        <v/>
      </c>
      <c r="Q675" s="7">
        <f>IF(N675&lt;&gt;0,P675*N675,0)</f>
        <v/>
      </c>
      <c r="R675" s="8">
        <f>IF(Q675&lt;&gt;0,Q675+H675+L675,0)</f>
        <v/>
      </c>
      <c r="S675" s="9">
        <f>VLOOKUP(OPERAC[[#This Row],[especie]],[1]!ESPECIES[#Data],9,FALSE)</f>
        <v/>
      </c>
    </row>
    <row r="676">
      <c r="A676" s="4" t="n">
        <v>19878</v>
      </c>
      <c r="B676" s="5" t="n">
        <v>44714</v>
      </c>
      <c r="C676" s="13" t="inlineStr">
        <is>
          <t>VTA</t>
        </is>
      </c>
      <c r="D676" s="13" t="n">
        <v>39</v>
      </c>
      <c r="E676" s="10">
        <f>IF(D676&gt;0,VLOOKUP(OPERAC[[#This Row],[COD CART]],[1]!MatrizCortoLargoCyl[#All],3,0),"")</f>
        <v/>
      </c>
      <c r="F676" s="13" t="inlineStr">
        <is>
          <t>TSLA/V/685,00/03-06-22</t>
        </is>
      </c>
      <c r="G676" s="6" t="n">
        <v>-1000</v>
      </c>
      <c r="H676" s="6" t="n">
        <v>437.14</v>
      </c>
      <c r="I676" s="7">
        <f>-H676/G676</f>
        <v/>
      </c>
      <c r="J676" s="5" t="n">
        <v>44715</v>
      </c>
      <c r="K676" s="6" t="n">
        <v>-1000</v>
      </c>
      <c r="L676" s="6" t="n">
        <v>-100.85</v>
      </c>
      <c r="M676" s="7">
        <f>IF(N676=0,+L676+H676,0)</f>
        <v/>
      </c>
      <c r="N676" s="7">
        <f>IF((+G676-K676)=0,0,+G676-K676)</f>
        <v/>
      </c>
      <c r="O676" s="7">
        <f>IF(N676=0,0,(L676+H676)/-N676)</f>
        <v/>
      </c>
      <c r="P676" s="7">
        <f>VLOOKUP(OPERAC[[#This Row],[especie]],[1]!ESPECIES[#All],6,0)</f>
        <v/>
      </c>
      <c r="Q676" s="7">
        <f>IF(N676&lt;&gt;0,P676*N676,0)</f>
        <v/>
      </c>
      <c r="R676" s="8">
        <f>IF(Q676&lt;&gt;0,Q676+H676+L676,0)</f>
        <v/>
      </c>
      <c r="S676" s="9">
        <f>VLOOKUP(OPERAC[[#This Row],[especie]],[1]!ESPECIES[#Data],9,FALSE)</f>
        <v/>
      </c>
    </row>
    <row r="677">
      <c r="A677" s="4" t="n">
        <v>13269</v>
      </c>
      <c r="B677" s="5" t="n">
        <v>44714</v>
      </c>
      <c r="C677" s="13" t="inlineStr">
        <is>
          <t>VTA</t>
        </is>
      </c>
      <c r="D677" s="13" t="n">
        <v>39</v>
      </c>
      <c r="E677" s="10">
        <f>IF(D677&gt;0,VLOOKUP(OPERAC[[#This Row],[COD CART]],[1]!MatrizCortoLargoCyl[#All],3,0),"")</f>
        <v/>
      </c>
      <c r="F677" s="13" t="inlineStr">
        <is>
          <t>TSLA/V/685,00/03-06-22</t>
        </is>
      </c>
      <c r="G677" s="6" t="n">
        <v>-1000</v>
      </c>
      <c r="H677" s="6" t="n">
        <v>436.26</v>
      </c>
      <c r="I677" s="7">
        <f>-H677/G677</f>
        <v/>
      </c>
      <c r="J677" s="5" t="n">
        <v>44715</v>
      </c>
      <c r="K677" s="6" t="n">
        <v>-1000</v>
      </c>
      <c r="L677" s="6" t="n">
        <v>-100.85</v>
      </c>
      <c r="M677" s="7">
        <f>IF(N677=0,+L677+H677,0)</f>
        <v/>
      </c>
      <c r="N677" s="7">
        <f>IF((+G677-K677)=0,0,+G677-K677)</f>
        <v/>
      </c>
      <c r="O677" s="7">
        <f>IF(N677=0,0,(L677+H677)/-N677)</f>
        <v/>
      </c>
      <c r="P677" s="7">
        <f>VLOOKUP(OPERAC[[#This Row],[especie]],[1]!ESPECIES[#All],6,0)</f>
        <v/>
      </c>
      <c r="Q677" s="7">
        <f>IF(N677&lt;&gt;0,P677*N677,0)</f>
        <v/>
      </c>
      <c r="R677" s="8">
        <f>IF(Q677&lt;&gt;0,Q677+H677+L677,0)</f>
        <v/>
      </c>
      <c r="S677" s="9">
        <f>VLOOKUP(OPERAC[[#This Row],[especie]],[1]!ESPECIES[#Data],9,FALSE)</f>
        <v/>
      </c>
    </row>
    <row r="678">
      <c r="A678" s="4" t="n">
        <v>13180</v>
      </c>
      <c r="B678" s="5" t="n">
        <v>44714</v>
      </c>
      <c r="C678" s="13" t="inlineStr">
        <is>
          <t>VTA</t>
        </is>
      </c>
      <c r="D678" s="13" t="n">
        <v>39</v>
      </c>
      <c r="E678" s="10">
        <f>IF(D678&gt;0,VLOOKUP(OPERAC[[#This Row],[COD CART]],[1]!MatrizCortoLargoCyl[#All],3,0),"")</f>
        <v/>
      </c>
      <c r="F678" s="13" t="inlineStr">
        <is>
          <t>TSLA/V/685,00/03-06-22</t>
        </is>
      </c>
      <c r="G678" s="6" t="n">
        <v>-1000</v>
      </c>
      <c r="H678" s="6" t="n">
        <v>436.26</v>
      </c>
      <c r="I678" s="7">
        <f>-H678/G678</f>
        <v/>
      </c>
      <c r="J678" s="5" t="n">
        <v>44715</v>
      </c>
      <c r="K678" s="6" t="n">
        <v>-1000</v>
      </c>
      <c r="L678" s="6" t="n">
        <v>-100.85</v>
      </c>
      <c r="M678" s="7">
        <f>IF(N678=0,+L678+H678,0)</f>
        <v/>
      </c>
      <c r="N678" s="7">
        <f>IF((+G678-K678)=0,0,+G678-K678)</f>
        <v/>
      </c>
      <c r="O678" s="7">
        <f>IF(N678=0,0,(L678+H678)/-N678)</f>
        <v/>
      </c>
      <c r="P678" s="7">
        <f>VLOOKUP(OPERAC[[#This Row],[especie]],[1]!ESPECIES[#All],6,0)</f>
        <v/>
      </c>
      <c r="Q678" s="7">
        <f>IF(N678&lt;&gt;0,P678*N678,0)</f>
        <v/>
      </c>
      <c r="R678" s="8">
        <f>IF(Q678&lt;&gt;0,Q678+H678+L678,0)</f>
        <v/>
      </c>
      <c r="S678" s="9">
        <f>VLOOKUP(OPERAC[[#This Row],[especie]],[1]!ESPECIES[#Data],9,FALSE)</f>
        <v/>
      </c>
    </row>
    <row r="679">
      <c r="A679" s="4" t="n">
        <v>15189</v>
      </c>
      <c r="B679" s="5" t="n">
        <v>44718</v>
      </c>
      <c r="C679" s="13" t="inlineStr">
        <is>
          <t>VTA</t>
        </is>
      </c>
      <c r="D679" s="13" t="n">
        <v>39</v>
      </c>
      <c r="E679" s="10">
        <f>IF(D679&gt;0,VLOOKUP(OPERAC[[#This Row],[COD CART]],[1]!MatrizCortoLargoCyl[#All],3,0),"")</f>
        <v/>
      </c>
      <c r="F679" s="13" t="inlineStr">
        <is>
          <t>TSLA/V/580,00/10-06-22</t>
        </is>
      </c>
      <c r="G679" s="6" t="n">
        <v>-400</v>
      </c>
      <c r="H679" s="6" t="n">
        <v>435.6</v>
      </c>
      <c r="I679" s="7">
        <f>-H679/G679</f>
        <v/>
      </c>
      <c r="J679" s="5" t="n">
        <v>44720</v>
      </c>
      <c r="K679" s="6" t="n">
        <v>-400</v>
      </c>
      <c r="L679" s="6" t="n">
        <v>-72.34</v>
      </c>
      <c r="M679" s="7">
        <f>IF(N679=0,+L679+H679,0)</f>
        <v/>
      </c>
      <c r="N679" s="7">
        <f>IF((+G679-K679)=0,0,+G679-K679)</f>
        <v/>
      </c>
      <c r="O679" s="7">
        <f>IF(N679=0,0,(L679+H679)/-N679)</f>
        <v/>
      </c>
      <c r="P679" s="7">
        <f>VLOOKUP(OPERAC[[#This Row],[especie]],[1]!ESPECIES[#All],6,0)</f>
        <v/>
      </c>
      <c r="Q679" s="7">
        <f>IF(N679&lt;&gt;0,P679*N679,0)</f>
        <v/>
      </c>
      <c r="R679" s="8">
        <f>IF(Q679&lt;&gt;0,Q679+H679+L679,0)</f>
        <v/>
      </c>
      <c r="S679" s="9">
        <f>VLOOKUP(OPERAC[[#This Row],[especie]],[1]!ESPECIES[#Data],9,FALSE)</f>
        <v/>
      </c>
    </row>
    <row r="680">
      <c r="A680" s="4" t="n">
        <v>13188</v>
      </c>
      <c r="B680" s="5" t="n">
        <v>44585</v>
      </c>
      <c r="C680" s="13" t="inlineStr">
        <is>
          <t>VTA</t>
        </is>
      </c>
      <c r="D680" s="13" t="n">
        <v>39</v>
      </c>
      <c r="E680" s="10">
        <f>IF(D680&gt;0,VLOOKUP(OPERAC[[#This Row],[COD CART]],[1]!MatrizCortoLargoCyl[#All],3,0),"")</f>
        <v/>
      </c>
      <c r="F680" s="13" t="inlineStr">
        <is>
          <t>TSLA/V/510,00/28-01-22</t>
        </is>
      </c>
      <c r="G680" s="6" t="n">
        <v>-400</v>
      </c>
      <c r="H680" s="6" t="n">
        <v>435.424</v>
      </c>
      <c r="I680" s="7">
        <f>-H680/G680</f>
        <v/>
      </c>
      <c r="J680" s="11" t="n">
        <v>44587</v>
      </c>
      <c r="K680" s="6" t="n">
        <v>-400</v>
      </c>
      <c r="L680" s="6" t="n">
        <v>-43.55</v>
      </c>
      <c r="M680" s="7">
        <f>IF(N680=0,+L680+H680,0)</f>
        <v/>
      </c>
      <c r="N680" s="7">
        <f>IF((+G680-K680)=0,0,+G680-K680)</f>
        <v/>
      </c>
      <c r="O680" s="7">
        <f>IF(N680=0,0,(L680+H680)/-N680)</f>
        <v/>
      </c>
      <c r="P680" s="7">
        <f>VLOOKUP(OPERAC[[#This Row],[especie]],[1]!ESPECIES[#All],6,0)</f>
        <v/>
      </c>
      <c r="Q680" s="7">
        <f>IF(N680&lt;&gt;0,P680*N680,0)</f>
        <v/>
      </c>
      <c r="R680" s="8">
        <f>IF(Q680&lt;&gt;0,Q680+H680+L680,0)</f>
        <v/>
      </c>
      <c r="S680" s="9">
        <f>VLOOKUP(OPERAC[[#This Row],[especie]],[1]!ESPECIES[#Data],9,FALSE)</f>
        <v/>
      </c>
    </row>
    <row r="681">
      <c r="A681" s="4" t="n">
        <v>13204</v>
      </c>
      <c r="B681" s="5" t="n">
        <v>44557</v>
      </c>
      <c r="C681" s="13" t="inlineStr">
        <is>
          <t>VTA</t>
        </is>
      </c>
      <c r="D681" s="13" t="n">
        <v>39</v>
      </c>
      <c r="E681" s="10">
        <f>IF(D681&gt;0,VLOOKUP(OPERAC[[#This Row],[COD CART]],[1]!MatrizCortoLargoCyl[#All],3,0),"")</f>
        <v/>
      </c>
      <c r="F681" s="13" t="inlineStr">
        <is>
          <t>TSLA/V/850,00/07-01-22</t>
        </is>
      </c>
      <c r="G681" s="6" t="n">
        <v>-300</v>
      </c>
      <c r="H681" s="6" t="n">
        <v>434.166</v>
      </c>
      <c r="I681" s="7">
        <f>-H681/G681</f>
        <v/>
      </c>
      <c r="J681" s="11" t="n">
        <v>44564</v>
      </c>
      <c r="K681" s="6" t="n">
        <v>-300</v>
      </c>
      <c r="L681" s="6" t="n">
        <v>-84.71299999999999</v>
      </c>
      <c r="M681" s="7">
        <f>IF(N681=0,+L681+H681,0)</f>
        <v/>
      </c>
      <c r="N681" s="7">
        <f>IF((+G681-K681)=0,0,+G681-K681)</f>
        <v/>
      </c>
      <c r="O681" s="7">
        <f>IF(N681=0,0,(L681+H681)/-N681)</f>
        <v/>
      </c>
      <c r="P681" s="7">
        <f>VLOOKUP(OPERAC[[#This Row],[especie]],[1]!ESPECIES[#All],6,0)</f>
        <v/>
      </c>
      <c r="Q681" s="7">
        <f>IF(N681&lt;&gt;0,P681*N681,0)</f>
        <v/>
      </c>
      <c r="R681" s="8">
        <f>IF(Q681&lt;&gt;0,Q681+H681+L681,0)</f>
        <v/>
      </c>
      <c r="S681" s="9">
        <f>VLOOKUP(OPERAC[[#This Row],[especie]],[1]!ESPECIES[#Data],9,FALSE)</f>
        <v/>
      </c>
    </row>
    <row r="682">
      <c r="A682" s="4" t="n">
        <v>6599</v>
      </c>
      <c r="B682" s="5" t="n">
        <v>44557</v>
      </c>
      <c r="C682" s="13" t="inlineStr">
        <is>
          <t>VTA</t>
        </is>
      </c>
      <c r="D682" s="13" t="n">
        <v>39</v>
      </c>
      <c r="E682" s="10">
        <f>IF(D682&gt;0,VLOOKUP(OPERAC[[#This Row],[COD CART]],[1]!MatrizCortoLargoCyl[#All],3,0),"")</f>
        <v/>
      </c>
      <c r="F682" s="13" t="inlineStr">
        <is>
          <t>TSLA/V/850,00/07-01-22</t>
        </is>
      </c>
      <c r="G682" s="6" t="n">
        <v>-300</v>
      </c>
      <c r="H682" s="6" t="n">
        <v>434.166</v>
      </c>
      <c r="I682" s="7">
        <f>-H682/G682</f>
        <v/>
      </c>
      <c r="J682" s="11" t="n">
        <v>44564</v>
      </c>
      <c r="K682" s="6" t="n">
        <v>-300</v>
      </c>
      <c r="L682" s="6" t="n">
        <v>-84.71299999999999</v>
      </c>
      <c r="M682" s="7">
        <f>IF(N682=0,+L682+H682,0)</f>
        <v/>
      </c>
      <c r="N682" s="7">
        <f>IF((+G682-K682)=0,0,+G682-K682)</f>
        <v/>
      </c>
      <c r="O682" s="7">
        <f>IF(N682=0,0,(L682+H682)/-N682)</f>
        <v/>
      </c>
      <c r="P682" s="7">
        <f>VLOOKUP(OPERAC[[#This Row],[especie]],[1]!ESPECIES[#All],6,0)</f>
        <v/>
      </c>
      <c r="Q682" s="7">
        <f>IF(N682&lt;&gt;0,P682*N682,0)</f>
        <v/>
      </c>
      <c r="R682" s="8">
        <f>IF(Q682&lt;&gt;0,Q682+H682+L682,0)</f>
        <v/>
      </c>
      <c r="S682" s="9">
        <f>VLOOKUP(OPERAC[[#This Row],[especie]],[1]!ESPECIES[#Data],9,FALSE)</f>
        <v/>
      </c>
    </row>
    <row r="683">
      <c r="A683" s="4" t="n">
        <v>22407</v>
      </c>
      <c r="B683" s="5" t="n">
        <v>44557</v>
      </c>
      <c r="C683" s="13" t="inlineStr">
        <is>
          <t>VTA</t>
        </is>
      </c>
      <c r="D683" s="13" t="n">
        <v>39</v>
      </c>
      <c r="E683" s="10">
        <f>IF(D683&gt;0,VLOOKUP(OPERAC[[#This Row],[COD CART]],[1]!MatrizCortoLargoCyl[#All],3,0),"")</f>
        <v/>
      </c>
      <c r="F683" s="13" t="inlineStr">
        <is>
          <t>TSLA/V/850,00/07-01-22</t>
        </is>
      </c>
      <c r="G683" s="6" t="n">
        <v>-300</v>
      </c>
      <c r="H683" s="6" t="n">
        <v>434.166</v>
      </c>
      <c r="I683" s="7">
        <f>-H683/G683</f>
        <v/>
      </c>
      <c r="J683" s="11" t="n">
        <v>44564</v>
      </c>
      <c r="K683" s="6" t="n">
        <v>-300</v>
      </c>
      <c r="L683" s="6" t="n">
        <v>-84.71299999999999</v>
      </c>
      <c r="M683" s="7">
        <f>IF(N683=0,+L683+H683,0)</f>
        <v/>
      </c>
      <c r="N683" s="7">
        <f>IF((+G683-K683)=0,0,+G683-K683)</f>
        <v/>
      </c>
      <c r="O683" s="7">
        <f>IF(N683=0,0,(L683+H683)/-N683)</f>
        <v/>
      </c>
      <c r="P683" s="7">
        <f>VLOOKUP(OPERAC[[#This Row],[especie]],[1]!ESPECIES[#All],6,0)</f>
        <v/>
      </c>
      <c r="Q683" s="7">
        <f>IF(N683&lt;&gt;0,P683*N683,0)</f>
        <v/>
      </c>
      <c r="R683" s="8">
        <f>IF(Q683&lt;&gt;0,Q683+H683+L683,0)</f>
        <v/>
      </c>
      <c r="S683" s="9">
        <f>VLOOKUP(OPERAC[[#This Row],[especie]],[1]!ESPECIES[#Data],9,FALSE)</f>
        <v/>
      </c>
    </row>
    <row r="684">
      <c r="A684" s="4" t="n">
        <v>1760</v>
      </c>
      <c r="B684" s="5" t="n">
        <v>44719</v>
      </c>
      <c r="C684" s="13" t="inlineStr">
        <is>
          <t>VTA</t>
        </is>
      </c>
      <c r="D684" s="13" t="n">
        <v>39</v>
      </c>
      <c r="E684" s="10">
        <f>IF(D684&gt;0,VLOOKUP(OPERAC[[#This Row],[COD CART]],[1]!MatrizCortoLargoCyl[#All],3,0),"")</f>
        <v/>
      </c>
      <c r="F684" s="13" t="inlineStr">
        <is>
          <t>TSLA/V/625,00/10-06-22</t>
        </is>
      </c>
      <c r="G684" s="6" t="n">
        <v>-300</v>
      </c>
      <c r="H684" s="6" t="n">
        <v>431.303</v>
      </c>
      <c r="I684" s="7">
        <f>-H684/G684</f>
        <v/>
      </c>
      <c r="J684" s="5" t="n">
        <v>44721</v>
      </c>
      <c r="K684" s="6" t="n">
        <v>-300</v>
      </c>
      <c r="L684" s="6" t="n">
        <v>-69.587</v>
      </c>
      <c r="M684" s="7">
        <f>IF(N684=0,+L684+H684,0)</f>
        <v/>
      </c>
      <c r="N684" s="7">
        <f>IF((+G684-K684)=0,0,+G684-K684)</f>
        <v/>
      </c>
      <c r="O684" s="7">
        <f>IF(N684=0,0,(L684+H684)/-N684)</f>
        <v/>
      </c>
      <c r="P684" s="7">
        <f>VLOOKUP(OPERAC[[#This Row],[especie]],[1]!ESPECIES[#All],6,0)</f>
        <v/>
      </c>
      <c r="Q684" s="7">
        <f>IF(N684&lt;&gt;0,P684*N684,0)</f>
        <v/>
      </c>
      <c r="R684" s="8">
        <f>IF(Q684&lt;&gt;0,Q684+H684+L684,0)</f>
        <v/>
      </c>
      <c r="S684" s="9">
        <f>VLOOKUP(OPERAC[[#This Row],[especie]],[1]!ESPECIES[#Data],9,FALSE)</f>
        <v/>
      </c>
    </row>
    <row r="685">
      <c r="A685" s="4" t="n">
        <v>1800</v>
      </c>
      <c r="B685" s="5" t="n">
        <v>44719</v>
      </c>
      <c r="C685" s="13" t="inlineStr">
        <is>
          <t>VTA</t>
        </is>
      </c>
      <c r="D685" s="13" t="n">
        <v>39</v>
      </c>
      <c r="E685" s="10">
        <f>IF(D685&gt;0,VLOOKUP(OPERAC[[#This Row],[COD CART]],[1]!MatrizCortoLargoCyl[#All],3,0),"")</f>
        <v/>
      </c>
      <c r="F685" s="13" t="inlineStr">
        <is>
          <t>TSLA/V/625,00/10-06-22</t>
        </is>
      </c>
      <c r="G685" s="6" t="n">
        <v>-300</v>
      </c>
      <c r="H685" s="6" t="n">
        <v>431.3025</v>
      </c>
      <c r="I685" s="7">
        <f>-H685/G685</f>
        <v/>
      </c>
      <c r="J685" s="5" t="n">
        <v>44721</v>
      </c>
      <c r="K685" s="6" t="n">
        <v>-300</v>
      </c>
      <c r="L685" s="6" t="n">
        <v>-69.587</v>
      </c>
      <c r="M685" s="7">
        <f>IF(N685=0,+L685+H685,0)</f>
        <v/>
      </c>
      <c r="N685" s="7">
        <f>IF((+G685-K685)=0,0,+G685-K685)</f>
        <v/>
      </c>
      <c r="O685" s="7">
        <f>IF(N685=0,0,(L685+H685)/-N685)</f>
        <v/>
      </c>
      <c r="P685" s="7">
        <f>VLOOKUP(OPERAC[[#This Row],[especie]],[1]!ESPECIES[#All],6,0)</f>
        <v/>
      </c>
      <c r="Q685" s="7">
        <f>IF(N685&lt;&gt;0,P685*N685,0)</f>
        <v/>
      </c>
      <c r="R685" s="8">
        <f>IF(Q685&lt;&gt;0,Q685+H685+L685,0)</f>
        <v/>
      </c>
      <c r="S685" s="9">
        <f>VLOOKUP(OPERAC[[#This Row],[especie]],[1]!ESPECIES[#Data],9,FALSE)</f>
        <v/>
      </c>
    </row>
    <row r="686">
      <c r="A686" s="4" t="n">
        <v>1760</v>
      </c>
      <c r="B686" s="5" t="n">
        <v>44560</v>
      </c>
      <c r="C686" s="13" t="inlineStr">
        <is>
          <t>VTA</t>
        </is>
      </c>
      <c r="D686" s="13" t="n">
        <v>39</v>
      </c>
      <c r="E686" s="10">
        <f>IF(D686&gt;0,VLOOKUP(OPERAC[[#This Row],[COD CART]],[1]!MatrizCortoLargoCyl[#All],3,0),"")</f>
        <v/>
      </c>
      <c r="F686" s="13" t="inlineStr">
        <is>
          <t>ACB/V/6,00/07-01-22</t>
        </is>
      </c>
      <c r="G686" s="6" t="n">
        <v>-900</v>
      </c>
      <c r="H686" s="6" t="n">
        <v>431.2935</v>
      </c>
      <c r="I686" s="7">
        <f>-H686/G686</f>
        <v/>
      </c>
      <c r="J686" s="11" t="n">
        <v>44567</v>
      </c>
      <c r="K686" s="6" t="n">
        <v>-900</v>
      </c>
      <c r="L686" s="6" t="n">
        <v>-431.29</v>
      </c>
      <c r="M686" s="7">
        <f>IF(N686=0,+L686+H686,0)</f>
        <v/>
      </c>
      <c r="N686" s="7">
        <f>IF((+G686-K686)=0,0,+G686-K686)</f>
        <v/>
      </c>
      <c r="O686" s="7">
        <f>IF(N686=0,0,(L686+H686)/-N686)</f>
        <v/>
      </c>
      <c r="P686" s="7">
        <f>VLOOKUP(OPERAC[[#This Row],[especie]],[1]!ESPECIES[#All],6,0)</f>
        <v/>
      </c>
      <c r="Q686" s="7">
        <f>IF(N686&lt;&gt;0,P686*N686,0)</f>
        <v/>
      </c>
      <c r="R686" s="8">
        <f>IF(Q686&lt;&gt;0,Q686+H686+L686,0)</f>
        <v/>
      </c>
      <c r="S686" s="9">
        <f>VLOOKUP(OPERAC[[#This Row],[especie]],[1]!ESPECIES[#Data],9,FALSE)</f>
        <v/>
      </c>
    </row>
    <row r="687">
      <c r="A687" s="4" t="n">
        <v>2253</v>
      </c>
      <c r="B687" s="5" t="n">
        <v>44719</v>
      </c>
      <c r="C687" s="13" t="inlineStr">
        <is>
          <t>VTA</t>
        </is>
      </c>
      <c r="D687" s="13" t="n">
        <v>39</v>
      </c>
      <c r="E687" s="10">
        <f>IF(D687&gt;0,VLOOKUP(OPERAC[[#This Row],[COD CART]],[1]!MatrizCortoLargoCyl[#All],3,0),"")</f>
        <v/>
      </c>
      <c r="F687" s="13" t="inlineStr">
        <is>
          <t>TSLA/C/790,00/10-06-22</t>
        </is>
      </c>
      <c r="G687" s="6" t="n">
        <v>-200</v>
      </c>
      <c r="H687" s="6" t="n">
        <v>425.7</v>
      </c>
      <c r="I687" s="7">
        <f>-H687/G687</f>
        <v/>
      </c>
      <c r="J687" s="5" t="n">
        <v>44722</v>
      </c>
      <c r="K687" s="6">
        <f>+OPERAC[[#This Row],[cantidad]]</f>
        <v/>
      </c>
      <c r="L687" s="6" t="n">
        <v>0</v>
      </c>
      <c r="M687" s="7">
        <f>IF(N687=0,+L687+H687,0)</f>
        <v/>
      </c>
      <c r="N687" s="7">
        <f>IF((+G687-K687)=0,0,+G687-K687)</f>
        <v/>
      </c>
      <c r="O687" s="7">
        <f>IF(N687=0,0,(L687+H687)/-N687)</f>
        <v/>
      </c>
      <c r="P687" s="7">
        <f>VLOOKUP(OPERAC[[#This Row],[especie]],[1]!ESPECIES[#All],6,0)</f>
        <v/>
      </c>
      <c r="Q687" s="7">
        <f>IF(N687&lt;&gt;0,P687*N687,0)</f>
        <v/>
      </c>
      <c r="R687" s="8">
        <f>IF(Q687&lt;&gt;0,Q687+H687+L687,0)</f>
        <v/>
      </c>
      <c r="S687" s="9">
        <f>VLOOKUP(OPERAC[[#This Row],[especie]],[1]!ESPECIES[#Data],9,FALSE)</f>
        <v/>
      </c>
    </row>
    <row r="688">
      <c r="A688" s="4" t="n">
        <v>2218</v>
      </c>
      <c r="B688" s="5" t="n">
        <v>44469</v>
      </c>
      <c r="C688" s="13" t="inlineStr">
        <is>
          <t>VTA</t>
        </is>
      </c>
      <c r="D688" s="13" t="n">
        <v>39</v>
      </c>
      <c r="E688" s="10">
        <f>IF(D688&gt;0,VLOOKUP(OPERAC[[#This Row],[COD CART]],[1]!MatrizCortoLargoCyl[#All],3,0),"")</f>
        <v/>
      </c>
      <c r="F688" s="13" t="inlineStr">
        <is>
          <t>ACB/V/6,00/21-01-22</t>
        </is>
      </c>
      <c r="G688" s="6" t="n">
        <v>-500</v>
      </c>
      <c r="H688" s="6">
        <f>428.3725-0.5*OPERAC[[#This Row],[cantidad]]+0.51*OPERAC[[#This Row],[cantidad]]</f>
        <v/>
      </c>
      <c r="I688" s="7">
        <f>-H688/G688</f>
        <v/>
      </c>
      <c r="J688" s="11" t="n">
        <v>44581</v>
      </c>
      <c r="K688" s="6">
        <f>+OPERAC[[#This Row],[cantidad]]</f>
        <v/>
      </c>
      <c r="L688" s="6">
        <f>-OPERAC[[#This Row],[importe]]</f>
        <v/>
      </c>
      <c r="M688" s="7">
        <f>IF(N688=0,+L688+H688,0)</f>
        <v/>
      </c>
      <c r="N688" s="7">
        <f>IF((+G688-K688)=0,0,+G688-K688)</f>
        <v/>
      </c>
      <c r="O688" s="7">
        <f>IF(N688=0,0,(L688+H688)/-N688)</f>
        <v/>
      </c>
      <c r="P688" s="7">
        <f>VLOOKUP(OPERAC[[#This Row],[especie]],[1]!ESPECIES[#All],6,0)</f>
        <v/>
      </c>
      <c r="Q688" s="7">
        <f>IF(N688&lt;&gt;0,P688*N688,0)</f>
        <v/>
      </c>
      <c r="R688" s="8">
        <f>IF(Q688&lt;&gt;0,Q688+H688+L688,0)</f>
        <v/>
      </c>
      <c r="S688" s="9">
        <f>VLOOKUP(OPERAC[[#This Row],[especie]],[1]!ESPECIES[#Data],9,FALSE)</f>
        <v/>
      </c>
    </row>
    <row r="689">
      <c r="A689" s="4" t="n">
        <v>4561</v>
      </c>
      <c r="B689" s="5" t="n">
        <v>44469</v>
      </c>
      <c r="C689" s="13" t="inlineStr">
        <is>
          <t>VTA</t>
        </is>
      </c>
      <c r="D689" s="13" t="n">
        <v>39</v>
      </c>
      <c r="E689" s="10">
        <f>IF(D689&gt;0,VLOOKUP(OPERAC[[#This Row],[COD CART]],[1]!MatrizCortoLargoCyl[#All],3,0),"")</f>
        <v/>
      </c>
      <c r="F689" s="13" t="inlineStr">
        <is>
          <t>ACB/V/6,00/21-01-22</t>
        </is>
      </c>
      <c r="G689" s="6" t="n">
        <v>-500</v>
      </c>
      <c r="H689" s="6">
        <f>428.3725-0.5*OPERAC[[#This Row],[cantidad]]+0.51*OPERAC[[#This Row],[cantidad]]</f>
        <v/>
      </c>
      <c r="I689" s="7">
        <f>-H689/G689</f>
        <v/>
      </c>
      <c r="J689" s="11" t="n">
        <v>44581</v>
      </c>
      <c r="K689" s="6">
        <f>+OPERAC[[#This Row],[cantidad]]</f>
        <v/>
      </c>
      <c r="L689" s="6">
        <f>-OPERAC[[#This Row],[importe]]</f>
        <v/>
      </c>
      <c r="M689" s="7">
        <f>IF(N689=0,+L689+H689,0)</f>
        <v/>
      </c>
      <c r="N689" s="7">
        <f>IF((+G689-K689)=0,0,+G689-K689)</f>
        <v/>
      </c>
      <c r="O689" s="7">
        <f>IF(N689=0,0,(L689+H689)/-N689)</f>
        <v/>
      </c>
      <c r="P689" s="7">
        <f>VLOOKUP(OPERAC[[#This Row],[especie]],[1]!ESPECIES[#All],6,0)</f>
        <v/>
      </c>
      <c r="Q689" s="7">
        <f>IF(N689&lt;&gt;0,P689*N689,0)</f>
        <v/>
      </c>
      <c r="R689" s="8">
        <f>IF(Q689&lt;&gt;0,Q689+H689+L689,0)</f>
        <v/>
      </c>
      <c r="S689" s="9">
        <f>VLOOKUP(OPERAC[[#This Row],[especie]],[1]!ESPECIES[#Data],9,FALSE)</f>
        <v/>
      </c>
    </row>
    <row r="690">
      <c r="A690" s="4" t="n">
        <v>7895</v>
      </c>
      <c r="B690" s="5" t="n">
        <v>44469</v>
      </c>
      <c r="C690" s="13" t="inlineStr">
        <is>
          <t>VTA</t>
        </is>
      </c>
      <c r="D690" s="13" t="n">
        <v>39</v>
      </c>
      <c r="E690" s="10">
        <f>IF(D690&gt;0,VLOOKUP(OPERAC[[#This Row],[COD CART]],[1]!MatrizCortoLargoCyl[#All],3,0),"")</f>
        <v/>
      </c>
      <c r="F690" s="13" t="inlineStr">
        <is>
          <t>ACB/V/6,00/21-01-22</t>
        </is>
      </c>
      <c r="G690" s="6" t="n">
        <v>-500</v>
      </c>
      <c r="H690" s="6">
        <f>428.3725-0.5*OPERAC[[#This Row],[cantidad]]+0.51*OPERAC[[#This Row],[cantidad]]</f>
        <v/>
      </c>
      <c r="I690" s="7">
        <f>-H690/G690</f>
        <v/>
      </c>
      <c r="J690" s="11" t="n">
        <v>44581</v>
      </c>
      <c r="K690" s="6">
        <f>+OPERAC[[#This Row],[cantidad]]</f>
        <v/>
      </c>
      <c r="L690" s="6">
        <f>-OPERAC[[#This Row],[importe]]</f>
        <v/>
      </c>
      <c r="M690" s="7">
        <f>IF(N690=0,+L690+H690,0)</f>
        <v/>
      </c>
      <c r="N690" s="7">
        <f>IF((+G690-K690)=0,0,+G690-K690)</f>
        <v/>
      </c>
      <c r="O690" s="7">
        <f>IF(N690=0,0,(L690+H690)/-N690)</f>
        <v/>
      </c>
      <c r="P690" s="7">
        <f>VLOOKUP(OPERAC[[#This Row],[especie]],[1]!ESPECIES[#All],6,0)</f>
        <v/>
      </c>
      <c r="Q690" s="7">
        <f>IF(N690&lt;&gt;0,P690*N690,0)</f>
        <v/>
      </c>
      <c r="R690" s="8">
        <f>IF(Q690&lt;&gt;0,Q690+H690+L690,0)</f>
        <v/>
      </c>
      <c r="S690" s="9">
        <f>VLOOKUP(OPERAC[[#This Row],[especie]],[1]!ESPECIES[#Data],9,FALSE)</f>
        <v/>
      </c>
    </row>
    <row r="691">
      <c r="A691" s="4" t="n">
        <v>12662</v>
      </c>
      <c r="B691" s="5" t="n">
        <v>44469</v>
      </c>
      <c r="C691" s="13" t="inlineStr">
        <is>
          <t>VTA</t>
        </is>
      </c>
      <c r="D691" s="13" t="n">
        <v>39</v>
      </c>
      <c r="E691" s="10">
        <f>IF(D691&gt;0,VLOOKUP(OPERAC[[#This Row],[COD CART]],[1]!MatrizCortoLargoCyl[#All],3,0),"")</f>
        <v/>
      </c>
      <c r="F691" s="13" t="inlineStr">
        <is>
          <t>ACB/V/6,00/21-01-22</t>
        </is>
      </c>
      <c r="G691" s="6" t="n">
        <v>-500</v>
      </c>
      <c r="H691" s="6">
        <f>428.3725-0.5*OPERAC[[#This Row],[cantidad]]+0.51*OPERAC[[#This Row],[cantidad]]</f>
        <v/>
      </c>
      <c r="I691" s="7">
        <f>-H691/G691</f>
        <v/>
      </c>
      <c r="J691" s="11" t="n">
        <v>44581</v>
      </c>
      <c r="K691" s="6">
        <f>+OPERAC[[#This Row],[cantidad]]</f>
        <v/>
      </c>
      <c r="L691" s="6">
        <f>-OPERAC[[#This Row],[importe]]</f>
        <v/>
      </c>
      <c r="M691" s="7">
        <f>IF(N691=0,+L691+H691,0)</f>
        <v/>
      </c>
      <c r="N691" s="7">
        <f>IF((+G691-K691)=0,0,+G691-K691)</f>
        <v/>
      </c>
      <c r="O691" s="7">
        <f>IF(N691=0,0,(L691+H691)/-N691)</f>
        <v/>
      </c>
      <c r="P691" s="7">
        <f>VLOOKUP(OPERAC[[#This Row],[especie]],[1]!ESPECIES[#All],6,0)</f>
        <v/>
      </c>
      <c r="Q691" s="7">
        <f>IF(N691&lt;&gt;0,P691*N691,0)</f>
        <v/>
      </c>
      <c r="R691" s="8">
        <f>IF(Q691&lt;&gt;0,Q691+H691+L691,0)</f>
        <v/>
      </c>
      <c r="S691" s="9">
        <f>VLOOKUP(OPERAC[[#This Row],[especie]],[1]!ESPECIES[#Data],9,FALSE)</f>
        <v/>
      </c>
    </row>
    <row r="692">
      <c r="A692" s="4" t="n">
        <v>15192</v>
      </c>
      <c r="B692" s="5" t="n">
        <v>44469</v>
      </c>
      <c r="C692" s="13" t="inlineStr">
        <is>
          <t>VTA</t>
        </is>
      </c>
      <c r="D692" s="13" t="n">
        <v>39</v>
      </c>
      <c r="E692" s="10">
        <f>IF(D692&gt;0,VLOOKUP(OPERAC[[#This Row],[COD CART]],[1]!MatrizCortoLargoCyl[#All],3,0),"")</f>
        <v/>
      </c>
      <c r="F692" s="13" t="inlineStr">
        <is>
          <t>ACB/V/6,00/21-01-22</t>
        </is>
      </c>
      <c r="G692" s="6" t="n">
        <v>-500</v>
      </c>
      <c r="H692" s="6">
        <f>428.3725-0.5*OPERAC[[#This Row],[cantidad]]+0.51*OPERAC[[#This Row],[cantidad]]</f>
        <v/>
      </c>
      <c r="I692" s="7">
        <f>-H692/G692</f>
        <v/>
      </c>
      <c r="J692" s="11" t="n">
        <v>44581</v>
      </c>
      <c r="K692" s="6">
        <f>+OPERAC[[#This Row],[cantidad]]</f>
        <v/>
      </c>
      <c r="L692" s="6">
        <f>-OPERAC[[#This Row],[importe]]</f>
        <v/>
      </c>
      <c r="M692" s="7">
        <f>IF(N692=0,+L692+H692,0)</f>
        <v/>
      </c>
      <c r="N692" s="7">
        <f>IF((+G692-K692)=0,0,+G692-K692)</f>
        <v/>
      </c>
      <c r="O692" s="7">
        <f>IF(N692=0,0,(L692+H692)/-N692)</f>
        <v/>
      </c>
      <c r="P692" s="7">
        <f>VLOOKUP(OPERAC[[#This Row],[especie]],[1]!ESPECIES[#All],6,0)</f>
        <v/>
      </c>
      <c r="Q692" s="7">
        <f>IF(N692&lt;&gt;0,P692*N692,0)</f>
        <v/>
      </c>
      <c r="R692" s="8">
        <f>IF(Q692&lt;&gt;0,Q692+H692+L692,0)</f>
        <v/>
      </c>
      <c r="S692" s="9">
        <f>VLOOKUP(OPERAC[[#This Row],[especie]],[1]!ESPECIES[#Data],9,FALSE)</f>
        <v/>
      </c>
    </row>
    <row r="693">
      <c r="A693" s="4" t="n">
        <v>4561</v>
      </c>
      <c r="B693" s="5" t="n">
        <v>44340</v>
      </c>
      <c r="C693" s="13" t="inlineStr">
        <is>
          <t>VTA</t>
        </is>
      </c>
      <c r="D693" s="13" t="n">
        <v>39</v>
      </c>
      <c r="E693" s="10">
        <f>IF(D693&gt;0,VLOOKUP(OPERAC[[#This Row],[COD CART]],[1]!MatrizCortoLargoCyl[#All],3,0),"")</f>
        <v/>
      </c>
      <c r="F693" s="13" t="inlineStr">
        <is>
          <t>SOLO/V/3,50/21-01-22</t>
        </is>
      </c>
      <c r="G693" s="6" t="n">
        <v>-400</v>
      </c>
      <c r="H693" s="6" t="n">
        <v>423.3419999999999</v>
      </c>
      <c r="I693" s="7">
        <f>-H693/G693</f>
        <v/>
      </c>
      <c r="J693" s="11" t="n">
        <v>44579</v>
      </c>
      <c r="K693" s="6">
        <f>+OPERAC[[#This Row],[cantidad]]</f>
        <v/>
      </c>
      <c r="L693" s="6">
        <f>-OPERAC[[#This Row],[importe]]</f>
        <v/>
      </c>
      <c r="M693" s="7">
        <f>IF(N693=0,+L693+H693,0)</f>
        <v/>
      </c>
      <c r="N693" s="7">
        <f>IF((+G693-K693)=0,0,+G693-K693)</f>
        <v/>
      </c>
      <c r="O693" s="7">
        <f>IF(N693=0,0,(L693+H693)/-N693)</f>
        <v/>
      </c>
      <c r="P693" s="7">
        <f>VLOOKUP(OPERAC[[#This Row],[especie]],[1]!ESPECIES[#All],6,0)</f>
        <v/>
      </c>
      <c r="Q693" s="7">
        <f>IF(N693&lt;&gt;0,P693*N693,0)</f>
        <v/>
      </c>
      <c r="R693" s="8">
        <f>IF(Q693&lt;&gt;0,Q693+H693+L693,0)</f>
        <v/>
      </c>
      <c r="S693" s="9">
        <f>VLOOKUP(OPERAC[[#This Row],[especie]],[1]!ESPECIES[#Data],9,FALSE)</f>
        <v/>
      </c>
    </row>
    <row r="694">
      <c r="A694" s="4" t="n">
        <v>15189</v>
      </c>
      <c r="B694" s="5" t="n">
        <v>44594</v>
      </c>
      <c r="C694" s="13" t="inlineStr">
        <is>
          <t>VTA</t>
        </is>
      </c>
      <c r="D694" s="13" t="n">
        <v>39</v>
      </c>
      <c r="E694" s="10">
        <f>IF(D694&gt;0,VLOOKUP(OPERAC[[#This Row],[COD CART]],[1]!MatrizCortoLargoCyl[#All],3,0),"")</f>
        <v/>
      </c>
      <c r="F694" s="13" t="inlineStr">
        <is>
          <t>TSLA/C/1030,00/04-02-22</t>
        </is>
      </c>
      <c r="G694" s="6" t="n">
        <v>-400</v>
      </c>
      <c r="H694" s="6" t="n">
        <v>417.844</v>
      </c>
      <c r="I694" s="7">
        <f>-H694/G694</f>
        <v/>
      </c>
      <c r="J694" s="11" t="n">
        <v>44596</v>
      </c>
      <c r="K694" s="6" t="n">
        <v>-400</v>
      </c>
      <c r="L694" s="6" t="n">
        <v>0</v>
      </c>
      <c r="M694" s="7">
        <f>IF(N694=0,+L694+H694,0)</f>
        <v/>
      </c>
      <c r="N694" s="7">
        <f>IF((+G694-K694)=0,0,+G694-K694)</f>
        <v/>
      </c>
      <c r="O694" s="7">
        <f>IF(N694=0,0,(L694+H694)/-N694)</f>
        <v/>
      </c>
      <c r="P694" s="7">
        <f>VLOOKUP(OPERAC[[#This Row],[especie]],[1]!ESPECIES[#All],6,0)</f>
        <v/>
      </c>
      <c r="Q694" s="7">
        <f>IF(N694&lt;&gt;0,P694*N694,0)</f>
        <v/>
      </c>
      <c r="R694" s="8">
        <f>IF(Q694&lt;&gt;0,Q694+H694+L694,0)</f>
        <v/>
      </c>
      <c r="S694" s="9">
        <f>VLOOKUP(OPERAC[[#This Row],[especie]],[1]!ESPECIES[#Data],9,FALSE)</f>
        <v/>
      </c>
    </row>
    <row r="695">
      <c r="A695" s="4" t="n">
        <v>7916</v>
      </c>
      <c r="B695" s="5" t="n">
        <v>44672</v>
      </c>
      <c r="C695" s="13" t="inlineStr">
        <is>
          <t>VTA</t>
        </is>
      </c>
      <c r="D695" s="13" t="n">
        <v>39</v>
      </c>
      <c r="E695" s="10">
        <f>IF(D695&gt;0,VLOOKUP(OPERAC[[#This Row],[COD CART]],[1]!MatrizCortoLargoCyl[#All],3,0),"")</f>
        <v/>
      </c>
      <c r="F695" s="13" t="inlineStr">
        <is>
          <t>UPST/V/75,00/22-04-22</t>
        </is>
      </c>
      <c r="G695" s="6" t="n">
        <v>-200</v>
      </c>
      <c r="H695" s="6" t="n">
        <v>416.43</v>
      </c>
      <c r="I695" s="7">
        <f>-H695/G695</f>
        <v/>
      </c>
      <c r="J695" s="11" t="n">
        <v>44673</v>
      </c>
      <c r="K695" s="6" t="n">
        <v>-200</v>
      </c>
      <c r="L695" s="6" t="n">
        <v>-423.57</v>
      </c>
      <c r="M695" s="7">
        <f>IF(N695=0,+L695+H695,0)</f>
        <v/>
      </c>
      <c r="N695" s="7">
        <f>IF((+G695-K695)=0,0,+G695-K695)</f>
        <v/>
      </c>
      <c r="O695" s="7">
        <f>IF(N695=0,0,(L695+H695)/-N695)</f>
        <v/>
      </c>
      <c r="P695" s="7">
        <f>VLOOKUP(OPERAC[[#This Row],[especie]],[1]!ESPECIES[#All],6,0)</f>
        <v/>
      </c>
      <c r="Q695" s="7">
        <f>IF(N695&lt;&gt;0,P695*N695,0)</f>
        <v/>
      </c>
      <c r="R695" s="8">
        <f>IF(Q695&lt;&gt;0,Q695+H695+L695,0)</f>
        <v/>
      </c>
      <c r="S695" s="9">
        <f>VLOOKUP(OPERAC[[#This Row],[especie]],[1]!ESPECIES[#Data],9,FALSE)</f>
        <v/>
      </c>
    </row>
    <row r="696">
      <c r="A696" s="4" t="n">
        <v>12652</v>
      </c>
      <c r="B696" s="5" t="n">
        <v>44672</v>
      </c>
      <c r="C696" s="13" t="inlineStr">
        <is>
          <t>VTA</t>
        </is>
      </c>
      <c r="D696" s="13" t="n">
        <v>39</v>
      </c>
      <c r="E696" s="10">
        <f>IF(D696&gt;0,VLOOKUP(OPERAC[[#This Row],[COD CART]],[1]!MatrizCortoLargoCyl[#All],3,0),"")</f>
        <v/>
      </c>
      <c r="F696" s="13" t="inlineStr">
        <is>
          <t>UPST/V/75,00/22-04-22</t>
        </is>
      </c>
      <c r="G696" s="6" t="n">
        <v>-200</v>
      </c>
      <c r="H696" s="6" t="n">
        <v>416.43</v>
      </c>
      <c r="I696" s="7">
        <f>-H696/G696</f>
        <v/>
      </c>
      <c r="J696" s="11" t="n">
        <v>44673</v>
      </c>
      <c r="K696" s="6" t="n">
        <v>-200</v>
      </c>
      <c r="L696" s="6" t="n">
        <v>-423.57</v>
      </c>
      <c r="M696" s="7">
        <f>IF(N696=0,+L696+H696,0)</f>
        <v/>
      </c>
      <c r="N696" s="7">
        <f>IF((+G696-K696)=0,0,+G696-K696)</f>
        <v/>
      </c>
      <c r="O696" s="7">
        <f>IF(N696=0,0,(L696+H696)/-N696)</f>
        <v/>
      </c>
      <c r="P696" s="7">
        <f>VLOOKUP(OPERAC[[#This Row],[especie]],[1]!ESPECIES[#All],6,0)</f>
        <v/>
      </c>
      <c r="Q696" s="7">
        <f>IF(N696&lt;&gt;0,P696*N696,0)</f>
        <v/>
      </c>
      <c r="R696" s="8">
        <f>IF(Q696&lt;&gt;0,Q696+H696+L696,0)</f>
        <v/>
      </c>
      <c r="S696" s="9">
        <f>VLOOKUP(OPERAC[[#This Row],[especie]],[1]!ESPECIES[#Data],9,FALSE)</f>
        <v/>
      </c>
    </row>
    <row r="697">
      <c r="A697" s="4" t="n">
        <v>26138</v>
      </c>
      <c r="B697" s="5" t="n">
        <v>44672</v>
      </c>
      <c r="C697" s="13" t="inlineStr">
        <is>
          <t>VTA</t>
        </is>
      </c>
      <c r="D697" s="13" t="n">
        <v>39</v>
      </c>
      <c r="E697" s="10">
        <f>IF(D697&gt;0,VLOOKUP(OPERAC[[#This Row],[COD CART]],[1]!MatrizCortoLargoCyl[#All],3,0),"")</f>
        <v/>
      </c>
      <c r="F697" s="13" t="inlineStr">
        <is>
          <t>UPST/V/75,00/22-04-22</t>
        </is>
      </c>
      <c r="G697" s="6" t="n">
        <v>-200</v>
      </c>
      <c r="H697" s="6" t="n">
        <v>416.43</v>
      </c>
      <c r="I697" s="7">
        <f>-H697/G697</f>
        <v/>
      </c>
      <c r="J697" s="11" t="n">
        <v>44673</v>
      </c>
      <c r="K697" s="6" t="n">
        <v>-200</v>
      </c>
      <c r="L697" s="6" t="n">
        <v>-423.57</v>
      </c>
      <c r="M697" s="7">
        <f>IF(N697=0,+L697+H697,0)</f>
        <v/>
      </c>
      <c r="N697" s="7">
        <f>IF((+G697-K697)=0,0,+G697-K697)</f>
        <v/>
      </c>
      <c r="O697" s="7">
        <f>IF(N697=0,0,(L697+H697)/-N697)</f>
        <v/>
      </c>
      <c r="P697" s="7">
        <f>VLOOKUP(OPERAC[[#This Row],[especie]],[1]!ESPECIES[#All],6,0)</f>
        <v/>
      </c>
      <c r="Q697" s="7">
        <f>IF(N697&lt;&gt;0,P697*N697,0)</f>
        <v/>
      </c>
      <c r="R697" s="8">
        <f>IF(Q697&lt;&gt;0,Q697+H697+L697,0)</f>
        <v/>
      </c>
      <c r="S697" s="9">
        <f>VLOOKUP(OPERAC[[#This Row],[especie]],[1]!ESPECIES[#Data],9,FALSE)</f>
        <v/>
      </c>
    </row>
    <row r="698">
      <c r="A698" s="4" t="n">
        <v>7916</v>
      </c>
      <c r="B698" s="5" t="n">
        <v>44673</v>
      </c>
      <c r="C698" s="13" t="inlineStr">
        <is>
          <t>VTA</t>
        </is>
      </c>
      <c r="D698" s="13" t="n">
        <v>39</v>
      </c>
      <c r="E698" s="10">
        <f>IF(D698&gt;0,VLOOKUP(OPERAC[[#This Row],[COD CART]],[1]!MatrizCortoLargoCyl[#All],3,0),"")</f>
        <v/>
      </c>
      <c r="F698" s="14" t="inlineStr">
        <is>
          <t>UPST/V/70,00/29-04-22</t>
        </is>
      </c>
      <c r="G698" s="6" t="n">
        <v>-200</v>
      </c>
      <c r="H698" s="6" t="n">
        <v>416.43</v>
      </c>
      <c r="I698" s="7">
        <f>-H698/G698</f>
        <v/>
      </c>
      <c r="J698" s="11" t="n">
        <v>44676</v>
      </c>
      <c r="K698" s="6" t="n">
        <v>-200</v>
      </c>
      <c r="L698" s="6" t="n">
        <v>-266.244</v>
      </c>
      <c r="M698" s="7">
        <f>IF(N698=0,+L698+H698,0)</f>
        <v/>
      </c>
      <c r="N698" s="7">
        <f>IF((+G698-K698)=0,0,+G698-K698)</f>
        <v/>
      </c>
      <c r="O698" s="7">
        <f>IF(N698=0,0,(L698+H698)/-N698)</f>
        <v/>
      </c>
      <c r="P698" s="7">
        <f>VLOOKUP(OPERAC[[#This Row],[especie]],[1]!ESPECIES[#All],6,0)</f>
        <v/>
      </c>
      <c r="Q698" s="7">
        <f>IF(N698&lt;&gt;0,P698*N698,0)</f>
        <v/>
      </c>
      <c r="R698" s="8">
        <f>IF(Q698&lt;&gt;0,Q698+H698+L698,0)</f>
        <v/>
      </c>
      <c r="S698" s="9">
        <f>VLOOKUP(OPERAC[[#This Row],[especie]],[1]!ESPECIES[#Data],9,FALSE)</f>
        <v/>
      </c>
    </row>
    <row r="699">
      <c r="A699" s="4" t="n">
        <v>12652</v>
      </c>
      <c r="B699" s="5" t="n">
        <v>44673</v>
      </c>
      <c r="C699" s="13" t="inlineStr">
        <is>
          <t>VTA</t>
        </is>
      </c>
      <c r="D699" s="13" t="n">
        <v>39</v>
      </c>
      <c r="E699" s="10">
        <f>IF(D699&gt;0,VLOOKUP(OPERAC[[#This Row],[COD CART]],[1]!MatrizCortoLargoCyl[#All],3,0),"")</f>
        <v/>
      </c>
      <c r="F699" s="14" t="inlineStr">
        <is>
          <t>UPST/V/70,00/29-04-22</t>
        </is>
      </c>
      <c r="G699" s="6" t="n">
        <v>-200</v>
      </c>
      <c r="H699" s="6" t="n">
        <v>416.43</v>
      </c>
      <c r="I699" s="7">
        <f>-H699/G699</f>
        <v/>
      </c>
      <c r="J699" s="11" t="n">
        <v>44676</v>
      </c>
      <c r="K699" s="6" t="n">
        <v>-200</v>
      </c>
      <c r="L699" s="6" t="n">
        <v>-266.244</v>
      </c>
      <c r="M699" s="7">
        <f>IF(N699=0,+L699+H699,0)</f>
        <v/>
      </c>
      <c r="N699" s="7">
        <f>IF((+G699-K699)=0,0,+G699-K699)</f>
        <v/>
      </c>
      <c r="O699" s="7">
        <f>IF(N699=0,0,(L699+H699)/-N699)</f>
        <v/>
      </c>
      <c r="P699" s="7">
        <f>VLOOKUP(OPERAC[[#This Row],[especie]],[1]!ESPECIES[#All],6,0)</f>
        <v/>
      </c>
      <c r="Q699" s="7">
        <f>IF(N699&lt;&gt;0,P699*N699,0)</f>
        <v/>
      </c>
      <c r="R699" s="8">
        <f>IF(Q699&lt;&gt;0,Q699+H699+L699,0)</f>
        <v/>
      </c>
      <c r="S699" s="9">
        <f>VLOOKUP(OPERAC[[#This Row],[especie]],[1]!ESPECIES[#Data],9,FALSE)</f>
        <v/>
      </c>
    </row>
    <row r="700">
      <c r="A700" s="4" t="n">
        <v>26138</v>
      </c>
      <c r="B700" s="5" t="n">
        <v>44673</v>
      </c>
      <c r="C700" s="13" t="inlineStr">
        <is>
          <t>VTA</t>
        </is>
      </c>
      <c r="D700" s="13" t="n">
        <v>39</v>
      </c>
      <c r="E700" s="10">
        <f>IF(D700&gt;0,VLOOKUP(OPERAC[[#This Row],[COD CART]],[1]!MatrizCortoLargoCyl[#All],3,0),"")</f>
        <v/>
      </c>
      <c r="F700" s="14" t="inlineStr">
        <is>
          <t>UPST/V/70,00/29-04-22</t>
        </is>
      </c>
      <c r="G700" s="6" t="n">
        <v>-200</v>
      </c>
      <c r="H700" s="6" t="n">
        <v>416.43</v>
      </c>
      <c r="I700" s="7">
        <f>-H700/G700</f>
        <v/>
      </c>
      <c r="J700" s="11" t="n">
        <v>44676</v>
      </c>
      <c r="K700" s="6" t="n">
        <v>-200</v>
      </c>
      <c r="L700" s="6" t="n">
        <v>-266.244</v>
      </c>
      <c r="M700" s="7">
        <f>IF(N700=0,+L700+H700,0)</f>
        <v/>
      </c>
      <c r="N700" s="7">
        <f>IF((+G700-K700)=0,0,+G700-K700)</f>
        <v/>
      </c>
      <c r="O700" s="7">
        <f>IF(N700=0,0,(L700+H700)/-N700)</f>
        <v/>
      </c>
      <c r="P700" s="7">
        <f>VLOOKUP(OPERAC[[#This Row],[especie]],[1]!ESPECIES[#All],6,0)</f>
        <v/>
      </c>
      <c r="Q700" s="7">
        <f>IF(N700&lt;&gt;0,P700*N700,0)</f>
        <v/>
      </c>
      <c r="R700" s="8">
        <f>IF(Q700&lt;&gt;0,Q700+H700+L700,0)</f>
        <v/>
      </c>
      <c r="S700" s="9">
        <f>VLOOKUP(OPERAC[[#This Row],[especie]],[1]!ESPECIES[#Data],9,FALSE)</f>
        <v/>
      </c>
    </row>
    <row r="701">
      <c r="A701" s="4" t="n">
        <v>13230</v>
      </c>
      <c r="B701" s="5" t="n">
        <v>44579</v>
      </c>
      <c r="C701" s="13" t="inlineStr">
        <is>
          <t>VTA</t>
        </is>
      </c>
      <c r="D701" s="13" t="n">
        <v>39</v>
      </c>
      <c r="E701" s="10">
        <f>IF(D701&gt;0,VLOOKUP(OPERAC[[#This Row],[COD CART]],[1]!MatrizCortoLargoCyl[#All],3,0),"")</f>
        <v/>
      </c>
      <c r="F701" s="13" t="inlineStr">
        <is>
          <t>TSLA/V/865,00/21-01-22</t>
        </is>
      </c>
      <c r="G701" s="6" t="n">
        <v>-400</v>
      </c>
      <c r="H701" s="6" t="n">
        <v>415.584</v>
      </c>
      <c r="I701" s="7">
        <f>-H701/G701</f>
        <v/>
      </c>
      <c r="J701" s="11" t="n">
        <v>44582</v>
      </c>
      <c r="K701" s="6" t="n">
        <v>-400</v>
      </c>
      <c r="L701" s="6" t="n">
        <v>0</v>
      </c>
      <c r="M701" s="7">
        <f>IF(N701=0,+L701+H701,0)</f>
        <v/>
      </c>
      <c r="N701" s="7">
        <f>IF((+G701-K701)=0,0,+G701-K701)</f>
        <v/>
      </c>
      <c r="O701" s="7">
        <f>IF(N701=0,0,(L701+H701)/-N701)</f>
        <v/>
      </c>
      <c r="P701" s="7">
        <f>VLOOKUP(OPERAC[[#This Row],[especie]],[1]!ESPECIES[#All],6,0)</f>
        <v/>
      </c>
      <c r="Q701" s="7">
        <f>IF(N701&lt;&gt;0,P701*N701,0)</f>
        <v/>
      </c>
      <c r="R701" s="8">
        <f>IF(Q701&lt;&gt;0,Q701+H701+L701,0)</f>
        <v/>
      </c>
      <c r="S701" s="9">
        <f>VLOOKUP(OPERAC[[#This Row],[especie]],[1]!ESPECIES[#Data],9,FALSE)</f>
        <v/>
      </c>
    </row>
    <row r="702">
      <c r="A702" s="4" t="n">
        <v>2194</v>
      </c>
      <c r="B702" s="5" t="n">
        <v>44579</v>
      </c>
      <c r="C702" s="13" t="inlineStr">
        <is>
          <t>VTA</t>
        </is>
      </c>
      <c r="D702" s="13" t="n">
        <v>39</v>
      </c>
      <c r="E702" s="10">
        <f>IF(D702&gt;0,VLOOKUP(OPERAC[[#This Row],[COD CART]],[1]!MatrizCortoLargoCyl[#All],3,0),"")</f>
        <v/>
      </c>
      <c r="F702" s="13" t="inlineStr">
        <is>
          <t>ACB/V/5,50/21-01-22</t>
        </is>
      </c>
      <c r="G702" s="6" t="n">
        <v>-1300</v>
      </c>
      <c r="H702" s="6" t="n">
        <v>415.168</v>
      </c>
      <c r="I702" s="7">
        <f>-H702/G702</f>
        <v/>
      </c>
      <c r="J702" s="11" t="n">
        <v>44581</v>
      </c>
      <c r="K702" s="6">
        <f>+OPERAC[[#This Row],[cantidad]]</f>
        <v/>
      </c>
      <c r="L702" s="6">
        <f>-OPERAC[[#This Row],[importe]]</f>
        <v/>
      </c>
      <c r="M702" s="7">
        <f>IF(N702=0,+L702+H702,0)</f>
        <v/>
      </c>
      <c r="N702" s="7">
        <f>IF((+G702-K702)=0,0,+G702-K702)</f>
        <v/>
      </c>
      <c r="O702" s="7">
        <f>IF(N702=0,0,(L702+H702)/-N702)</f>
        <v/>
      </c>
      <c r="P702" s="7">
        <f>VLOOKUP(OPERAC[[#This Row],[especie]],[1]!ESPECIES[#All],6,0)</f>
        <v/>
      </c>
      <c r="Q702" s="7">
        <f>IF(N702&lt;&gt;0,P702*N702,0)</f>
        <v/>
      </c>
      <c r="R702" s="8">
        <f>IF(Q702&lt;&gt;0,Q702+H702+L702,0)</f>
        <v/>
      </c>
      <c r="S702" s="9">
        <f>VLOOKUP(OPERAC[[#This Row],[especie]],[1]!ESPECIES[#Data],9,FALSE)</f>
        <v/>
      </c>
    </row>
    <row r="703">
      <c r="A703" s="4" t="n">
        <v>2289</v>
      </c>
      <c r="B703" s="5" t="n">
        <v>44579</v>
      </c>
      <c r="C703" s="13" t="inlineStr">
        <is>
          <t>VTA</t>
        </is>
      </c>
      <c r="D703" s="13" t="n">
        <v>39</v>
      </c>
      <c r="E703" s="10">
        <f>IF(D703&gt;0,VLOOKUP(OPERAC[[#This Row],[COD CART]],[1]!MatrizCortoLargoCyl[#All],3,0),"")</f>
        <v/>
      </c>
      <c r="F703" s="13" t="inlineStr">
        <is>
          <t>ACB/V/5,50/21-01-22</t>
        </is>
      </c>
      <c r="G703" s="6" t="n">
        <v>-1300</v>
      </c>
      <c r="H703" s="6" t="n">
        <v>415.168</v>
      </c>
      <c r="I703" s="7">
        <f>-H703/G703</f>
        <v/>
      </c>
      <c r="J703" s="11" t="n">
        <v>44581</v>
      </c>
      <c r="K703" s="6">
        <f>+OPERAC[[#This Row],[cantidad]]</f>
        <v/>
      </c>
      <c r="L703" s="6">
        <f>-OPERAC[[#This Row],[importe]]</f>
        <v/>
      </c>
      <c r="M703" s="7">
        <f>IF(N703=0,+L703+H703,0)</f>
        <v/>
      </c>
      <c r="N703" s="7">
        <f>IF((+G703-K703)=0,0,+G703-K703)</f>
        <v/>
      </c>
      <c r="O703" s="7">
        <f>IF(N703=0,0,(L703+H703)/-N703)</f>
        <v/>
      </c>
      <c r="P703" s="7">
        <f>VLOOKUP(OPERAC[[#This Row],[especie]],[1]!ESPECIES[#All],6,0)</f>
        <v/>
      </c>
      <c r="Q703" s="7">
        <f>IF(N703&lt;&gt;0,P703*N703,0)</f>
        <v/>
      </c>
      <c r="R703" s="8">
        <f>IF(Q703&lt;&gt;0,Q703+H703+L703,0)</f>
        <v/>
      </c>
      <c r="S703" s="9">
        <f>VLOOKUP(OPERAC[[#This Row],[especie]],[1]!ESPECIES[#Data],9,FALSE)</f>
        <v/>
      </c>
    </row>
    <row r="704">
      <c r="A704" s="4" t="n">
        <v>7895</v>
      </c>
      <c r="B704" s="5" t="n">
        <v>44579</v>
      </c>
      <c r="C704" s="13" t="inlineStr">
        <is>
          <t>VTA</t>
        </is>
      </c>
      <c r="D704" s="13" t="n">
        <v>39</v>
      </c>
      <c r="E704" s="10">
        <f>IF(D704&gt;0,VLOOKUP(OPERAC[[#This Row],[COD CART]],[1]!MatrizCortoLargoCyl[#All],3,0),"")</f>
        <v/>
      </c>
      <c r="F704" s="13" t="inlineStr">
        <is>
          <t>ACB/V/5,50/21-01-22</t>
        </is>
      </c>
      <c r="G704" s="6" t="n">
        <v>-1300</v>
      </c>
      <c r="H704" s="6" t="n">
        <v>415.168</v>
      </c>
      <c r="I704" s="7">
        <f>-H704/G704</f>
        <v/>
      </c>
      <c r="J704" s="11" t="n">
        <v>44581</v>
      </c>
      <c r="K704" s="6">
        <f>+OPERAC[[#This Row],[cantidad]]</f>
        <v/>
      </c>
      <c r="L704" s="6">
        <f>-OPERAC[[#This Row],[importe]]</f>
        <v/>
      </c>
      <c r="M704" s="7">
        <f>IF(N704=0,+L704+H704,0)</f>
        <v/>
      </c>
      <c r="N704" s="7">
        <f>IF((+G704-K704)=0,0,+G704-K704)</f>
        <v/>
      </c>
      <c r="O704" s="7">
        <f>IF(N704=0,0,(L704+H704)/-N704)</f>
        <v/>
      </c>
      <c r="P704" s="7">
        <f>VLOOKUP(OPERAC[[#This Row],[especie]],[1]!ESPECIES[#All],6,0)</f>
        <v/>
      </c>
      <c r="Q704" s="7">
        <f>IF(N704&lt;&gt;0,P704*N704,0)</f>
        <v/>
      </c>
      <c r="R704" s="8">
        <f>IF(Q704&lt;&gt;0,Q704+H704+L704,0)</f>
        <v/>
      </c>
      <c r="S704" s="9">
        <f>VLOOKUP(OPERAC[[#This Row],[especie]],[1]!ESPECIES[#Data],9,FALSE)</f>
        <v/>
      </c>
    </row>
    <row r="705">
      <c r="A705" s="4" t="n">
        <v>12690</v>
      </c>
      <c r="B705" s="5" t="n">
        <v>44579</v>
      </c>
      <c r="C705" s="13" t="inlineStr">
        <is>
          <t>VTA</t>
        </is>
      </c>
      <c r="D705" s="13" t="n">
        <v>39</v>
      </c>
      <c r="E705" s="10">
        <f>IF(D705&gt;0,VLOOKUP(OPERAC[[#This Row],[COD CART]],[1]!MatrizCortoLargoCyl[#All],3,0),"")</f>
        <v/>
      </c>
      <c r="F705" s="13" t="inlineStr">
        <is>
          <t>ACB/V/5,50/21-01-22</t>
        </is>
      </c>
      <c r="G705" s="6" t="n">
        <v>-1300</v>
      </c>
      <c r="H705" s="6" t="n">
        <v>415.168</v>
      </c>
      <c r="I705" s="7">
        <f>-H705/G705</f>
        <v/>
      </c>
      <c r="J705" s="11" t="n">
        <v>44581</v>
      </c>
      <c r="K705" s="6">
        <f>+OPERAC[[#This Row],[cantidad]]</f>
        <v/>
      </c>
      <c r="L705" s="6">
        <f>-OPERAC[[#This Row],[importe]]</f>
        <v/>
      </c>
      <c r="M705" s="7">
        <f>IF(N705=0,+L705+H705,0)</f>
        <v/>
      </c>
      <c r="N705" s="7">
        <f>IF((+G705-K705)=0,0,+G705-K705)</f>
        <v/>
      </c>
      <c r="O705" s="7">
        <f>IF(N705=0,0,(L705+H705)/-N705)</f>
        <v/>
      </c>
      <c r="P705" s="7">
        <f>VLOOKUP(OPERAC[[#This Row],[especie]],[1]!ESPECIES[#All],6,0)</f>
        <v/>
      </c>
      <c r="Q705" s="7">
        <f>IF(N705&lt;&gt;0,P705*N705,0)</f>
        <v/>
      </c>
      <c r="R705" s="8">
        <f>IF(Q705&lt;&gt;0,Q705+H705+L705,0)</f>
        <v/>
      </c>
      <c r="S705" s="9">
        <f>VLOOKUP(OPERAC[[#This Row],[especie]],[1]!ESPECIES[#Data],9,FALSE)</f>
        <v/>
      </c>
    </row>
    <row r="706">
      <c r="A706" s="4" t="n">
        <v>18716</v>
      </c>
      <c r="B706" s="5" t="n">
        <v>44453</v>
      </c>
      <c r="C706" s="13" t="inlineStr">
        <is>
          <t>VTA</t>
        </is>
      </c>
      <c r="D706" s="13" t="n">
        <v>39</v>
      </c>
      <c r="E706" s="10">
        <f>IF(D706&gt;0,VLOOKUP(OPERAC[[#This Row],[COD CART]],[1]!MatrizCortoLargoCyl[#All],3,0),"")</f>
        <v/>
      </c>
      <c r="F706" s="13" t="inlineStr">
        <is>
          <t>EDIT/V/20,00/20-01-23</t>
        </is>
      </c>
      <c r="G706" s="6" t="n">
        <v>-200</v>
      </c>
      <c r="H706" s="6" t="n">
        <v>414.94</v>
      </c>
      <c r="I706" s="7">
        <f>-H706/G706</f>
        <v/>
      </c>
      <c r="J706" s="11" t="n">
        <v>44628</v>
      </c>
      <c r="K706" s="6" t="n">
        <v>-200</v>
      </c>
      <c r="L706" s="6" t="n">
        <v>-1512</v>
      </c>
      <c r="M706" s="7">
        <f>IF(N706=0,+L706+H706,0)</f>
        <v/>
      </c>
      <c r="N706" s="7">
        <f>IF((+G706-K706)=0,0,+G706-K706)</f>
        <v/>
      </c>
      <c r="O706" s="7">
        <f>IF(N706=0,0,(L706+H706)/-N706)</f>
        <v/>
      </c>
      <c r="P706" s="7">
        <f>VLOOKUP(OPERAC[[#This Row],[especie]],[1]!ESPECIES[#All],6,0)</f>
        <v/>
      </c>
      <c r="Q706" s="7">
        <f>IF(N706&lt;&gt;0,P706*N706,0)</f>
        <v/>
      </c>
      <c r="R706" s="8">
        <f>IF(Q706&lt;&gt;0,Q706+H706+L706,0)</f>
        <v/>
      </c>
      <c r="S706" s="9">
        <f>VLOOKUP(OPERAC[[#This Row],[especie]],[1]!ESPECIES[#Data],9,FALSE)</f>
        <v/>
      </c>
    </row>
    <row r="707">
      <c r="A707" s="4" t="n">
        <v>18662</v>
      </c>
      <c r="B707" s="5" t="n">
        <v>44579</v>
      </c>
      <c r="C707" s="13" t="inlineStr">
        <is>
          <t>VTA</t>
        </is>
      </c>
      <c r="D707" s="13" t="n">
        <v>39</v>
      </c>
      <c r="E707" s="10">
        <f>IF(D707&gt;0,VLOOKUP(OPERAC[[#This Row],[COD CART]],[1]!MatrizCortoLargoCyl[#All],3,0),"")</f>
        <v/>
      </c>
      <c r="F707" s="13" t="inlineStr">
        <is>
          <t>SOLO/V/3,50/25-02-22</t>
        </is>
      </c>
      <c r="G707" s="6" t="n">
        <v>-300</v>
      </c>
      <c r="H707" s="6" t="n">
        <v>414.55722</v>
      </c>
      <c r="I707" s="7">
        <f>-H707/G707</f>
        <v/>
      </c>
      <c r="J707" s="11" t="n">
        <v>44608</v>
      </c>
      <c r="K707" s="6">
        <f>+OPERAC[[#This Row],[cantidad]]</f>
        <v/>
      </c>
      <c r="L707" s="6" t="n">
        <v>-418.5119999999999</v>
      </c>
      <c r="M707" s="7">
        <f>IF(N707=0,+L707+H707,0)</f>
        <v/>
      </c>
      <c r="N707" s="7">
        <f>IF((+G707-K707)=0,0,+G707-K707)</f>
        <v/>
      </c>
      <c r="O707" s="7">
        <f>IF(N707=0,0,(L707+H707)/-N707)</f>
        <v/>
      </c>
      <c r="P707" s="7">
        <f>VLOOKUP(OPERAC[[#This Row],[especie]],[1]!ESPECIES[#All],6,0)</f>
        <v/>
      </c>
      <c r="Q707" s="7">
        <f>IF(N707&lt;&gt;0,P707*N707,0)</f>
        <v/>
      </c>
      <c r="R707" s="8">
        <f>IF(Q707&lt;&gt;0,Q707+H707+L707,0)</f>
        <v/>
      </c>
      <c r="S707" s="9">
        <f>VLOOKUP(OPERAC[[#This Row],[especie]],[1]!ESPECIES[#Data],9,FALSE)</f>
        <v/>
      </c>
    </row>
    <row r="708">
      <c r="A708" s="4" t="n">
        <v>26138</v>
      </c>
      <c r="B708" s="5" t="n">
        <v>44579</v>
      </c>
      <c r="C708" s="13" t="inlineStr">
        <is>
          <t>VTA</t>
        </is>
      </c>
      <c r="D708" s="13" t="n">
        <v>39</v>
      </c>
      <c r="E708" s="10">
        <f>IF(D708&gt;0,VLOOKUP(OPERAC[[#This Row],[COD CART]],[1]!MatrizCortoLargoCyl[#All],3,0),"")</f>
        <v/>
      </c>
      <c r="F708" s="13" t="inlineStr">
        <is>
          <t>SOLO/V/3,50/25-02-22</t>
        </is>
      </c>
      <c r="G708" s="6" t="n">
        <v>-300</v>
      </c>
      <c r="H708" s="6" t="n">
        <v>414.55722</v>
      </c>
      <c r="I708" s="7">
        <f>-H708/G708</f>
        <v/>
      </c>
      <c r="J708" s="11" t="n">
        <v>44608</v>
      </c>
      <c r="K708" s="6">
        <f>+OPERAC[[#This Row],[cantidad]]</f>
        <v/>
      </c>
      <c r="L708" s="6" t="n">
        <v>-418.5119999999999</v>
      </c>
      <c r="M708" s="7">
        <f>IF(N708=0,+L708+H708,0)</f>
        <v/>
      </c>
      <c r="N708" s="7">
        <f>IF((+G708-K708)=0,0,+G708-K708)</f>
        <v/>
      </c>
      <c r="O708" s="7">
        <f>IF(N708=0,0,(L708+H708)/-N708)</f>
        <v/>
      </c>
      <c r="P708" s="7">
        <f>VLOOKUP(OPERAC[[#This Row],[especie]],[1]!ESPECIES[#All],6,0)</f>
        <v/>
      </c>
      <c r="Q708" s="7">
        <f>IF(N708&lt;&gt;0,P708*N708,0)</f>
        <v/>
      </c>
      <c r="R708" s="8">
        <f>IF(Q708&lt;&gt;0,Q708+H708+L708,0)</f>
        <v/>
      </c>
      <c r="S708" s="9">
        <f>VLOOKUP(OPERAC[[#This Row],[especie]],[1]!ESPECIES[#Data],9,FALSE)</f>
        <v/>
      </c>
    </row>
    <row r="709">
      <c r="A709" s="4" t="n">
        <v>13230</v>
      </c>
      <c r="B709" s="5" t="n">
        <v>44579</v>
      </c>
      <c r="C709" s="13" t="inlineStr">
        <is>
          <t>VTA</t>
        </is>
      </c>
      <c r="D709" s="13" t="n">
        <v>39</v>
      </c>
      <c r="E709" s="10">
        <f>IF(D709&gt;0,VLOOKUP(OPERAC[[#This Row],[COD CART]],[1]!MatrizCortoLargoCyl[#All],3,0),"")</f>
        <v/>
      </c>
      <c r="F709" s="13" t="inlineStr">
        <is>
          <t>TSLA/C/1215,00/21-01-22</t>
        </is>
      </c>
      <c r="G709" s="6" t="n">
        <v>-400</v>
      </c>
      <c r="H709" s="6" t="n">
        <v>413.904</v>
      </c>
      <c r="I709" s="7">
        <f>-H709/G709</f>
        <v/>
      </c>
      <c r="J709" s="11" t="n">
        <v>44582</v>
      </c>
      <c r="K709" s="6" t="n">
        <v>-400</v>
      </c>
      <c r="L709" s="6" t="n">
        <v>0</v>
      </c>
      <c r="M709" s="7">
        <f>IF(N709=0,+L709+H709,0)</f>
        <v/>
      </c>
      <c r="N709" s="7">
        <f>IF((+G709-K709)=0,0,+G709-K709)</f>
        <v/>
      </c>
      <c r="O709" s="7">
        <f>IF(N709=0,0,(L709+H709)/-N709)</f>
        <v/>
      </c>
      <c r="P709" s="7">
        <f>VLOOKUP(OPERAC[[#This Row],[especie]],[1]!ESPECIES[#All],6,0)</f>
        <v/>
      </c>
      <c r="Q709" s="7">
        <f>IF(N709&lt;&gt;0,P709*N709,0)</f>
        <v/>
      </c>
      <c r="R709" s="8">
        <f>IF(Q709&lt;&gt;0,Q709+H709+L709,0)</f>
        <v/>
      </c>
      <c r="S709" s="9">
        <f>VLOOKUP(OPERAC[[#This Row],[especie]],[1]!ESPECIES[#Data],9,FALSE)</f>
        <v/>
      </c>
    </row>
    <row r="710">
      <c r="A710" s="4" t="n">
        <v>21070</v>
      </c>
      <c r="B710" s="5" t="n">
        <v>44581</v>
      </c>
      <c r="C710" s="13" t="inlineStr">
        <is>
          <t>VTA</t>
        </is>
      </c>
      <c r="D710" s="13" t="n">
        <v>39</v>
      </c>
      <c r="E710" s="10">
        <f>IF(D710&gt;0,VLOOKUP(OPERAC[[#This Row],[COD CART]],[1]!MatrizCortoLargoCyl[#All],3,0),"")</f>
        <v/>
      </c>
      <c r="F710" s="13" t="inlineStr">
        <is>
          <t>ACB/V/5,50/25-02-22</t>
        </is>
      </c>
      <c r="G710" s="6" t="n">
        <v>-500</v>
      </c>
      <c r="H710" s="6" t="n">
        <v>410.31025</v>
      </c>
      <c r="I710" s="7">
        <f>-H710/G710</f>
        <v/>
      </c>
      <c r="J710" s="11" t="n">
        <v>44614</v>
      </c>
      <c r="K710" s="6" t="n">
        <v>-500</v>
      </c>
      <c r="L710" s="6" t="n">
        <v>-410</v>
      </c>
      <c r="M710" s="7">
        <f>IF(N710=0,+L710+H710,0)</f>
        <v/>
      </c>
      <c r="N710" s="7">
        <f>IF((+G710-K710)=0,0,+G710-K710)</f>
        <v/>
      </c>
      <c r="O710" s="7">
        <f>IF(N710=0,0,(L710+H710)/-N710)</f>
        <v/>
      </c>
      <c r="P710" s="7">
        <f>VLOOKUP(OPERAC[[#This Row],[especie]],[1]!ESPECIES[#All],6,0)</f>
        <v/>
      </c>
      <c r="Q710" s="7">
        <f>IF(N710&lt;&gt;0,P710*N710,0)</f>
        <v/>
      </c>
      <c r="R710" s="8">
        <f>IF(Q710&lt;&gt;0,Q710+H710+L710,0)</f>
        <v/>
      </c>
      <c r="S710" s="9">
        <f>VLOOKUP(OPERAC[[#This Row],[especie]],[1]!ESPECIES[#Data],9,FALSE)</f>
        <v/>
      </c>
    </row>
    <row r="711">
      <c r="A711" s="4" t="n">
        <v>20312</v>
      </c>
      <c r="B711" s="5" t="n">
        <v>44581</v>
      </c>
      <c r="C711" s="13" t="inlineStr">
        <is>
          <t>VTA</t>
        </is>
      </c>
      <c r="D711" s="13" t="n">
        <v>39</v>
      </c>
      <c r="E711" s="10">
        <f>IF(D711&gt;0,VLOOKUP(OPERAC[[#This Row],[COD CART]],[1]!MatrizCortoLargoCyl[#All],3,0),"")</f>
        <v/>
      </c>
      <c r="F711" s="13" t="inlineStr">
        <is>
          <t>ACB/V/5,50/25-02-22</t>
        </is>
      </c>
      <c r="G711" s="6" t="n">
        <v>-500</v>
      </c>
      <c r="H711" s="6" t="n">
        <v>410.31025</v>
      </c>
      <c r="I711" s="7">
        <f>-H711/G711</f>
        <v/>
      </c>
      <c r="J711" s="11" t="n">
        <v>44614</v>
      </c>
      <c r="K711" s="6" t="n">
        <v>-500</v>
      </c>
      <c r="L711" s="6" t="n">
        <v>-410</v>
      </c>
      <c r="M711" s="7">
        <f>IF(N711=0,+L711+H711,0)</f>
        <v/>
      </c>
      <c r="N711" s="7">
        <f>IF((+G711-K711)=0,0,+G711-K711)</f>
        <v/>
      </c>
      <c r="O711" s="7">
        <f>IF(N711=0,0,(L711+H711)/-N711)</f>
        <v/>
      </c>
      <c r="P711" s="7">
        <f>VLOOKUP(OPERAC[[#This Row],[especie]],[1]!ESPECIES[#All],6,0)</f>
        <v/>
      </c>
      <c r="Q711" s="7">
        <f>IF(N711&lt;&gt;0,P711*N711,0)</f>
        <v/>
      </c>
      <c r="R711" s="8">
        <f>IF(Q711&lt;&gt;0,Q711+H711+L711,0)</f>
        <v/>
      </c>
      <c r="S711" s="9">
        <f>VLOOKUP(OPERAC[[#This Row],[especie]],[1]!ESPECIES[#Data],9,FALSE)</f>
        <v/>
      </c>
    </row>
    <row r="712">
      <c r="A712" s="4" t="n">
        <v>6628</v>
      </c>
      <c r="B712" s="5" t="n">
        <v>44616</v>
      </c>
      <c r="C712" s="13" t="inlineStr">
        <is>
          <t>VTA</t>
        </is>
      </c>
      <c r="D712" s="13" t="n">
        <v>39</v>
      </c>
      <c r="E712" s="10">
        <f>IF(D712&gt;0,VLOOKUP(OPERAC[[#This Row],[COD CART]],[1]!MatrizCortoLargoCyl[#All],3,0),"")</f>
        <v/>
      </c>
      <c r="F712" s="13" t="inlineStr">
        <is>
          <t>TSLA/V/620,00/25-02-22</t>
        </is>
      </c>
      <c r="G712" s="6" t="n">
        <v>-2000</v>
      </c>
      <c r="H712" s="6" t="n">
        <v>402.99</v>
      </c>
      <c r="I712" s="7">
        <f>-H712/G712</f>
        <v/>
      </c>
      <c r="J712" s="11" t="n">
        <v>44616</v>
      </c>
      <c r="K712" s="6" t="n">
        <v>-2000</v>
      </c>
      <c r="L712" s="6" t="n">
        <v>-86.42</v>
      </c>
      <c r="M712" s="7">
        <f>IF(N712=0,+L712+H712,0)</f>
        <v/>
      </c>
      <c r="N712" s="7">
        <f>IF((+G712-K712)=0,0,+G712-K712)</f>
        <v/>
      </c>
      <c r="O712" s="7">
        <f>IF(N712=0,0,(L712+H712)/-N712)</f>
        <v/>
      </c>
      <c r="P712" s="7">
        <f>VLOOKUP(OPERAC[[#This Row],[especie]],[1]!ESPECIES[#All],6,0)</f>
        <v/>
      </c>
      <c r="Q712" s="7">
        <f>IF(N712&lt;&gt;0,P712*N712,0)</f>
        <v/>
      </c>
      <c r="R712" s="8">
        <f>IF(Q712&lt;&gt;0,Q712+H712+L712,0)</f>
        <v/>
      </c>
      <c r="S712" s="9">
        <f>VLOOKUP(OPERAC[[#This Row],[especie]],[1]!ESPECIES[#Data],9,FALSE)</f>
        <v/>
      </c>
    </row>
    <row r="713">
      <c r="A713" s="4" t="n">
        <v>18703</v>
      </c>
      <c r="B713" s="5" t="n">
        <v>44237</v>
      </c>
      <c r="C713" s="13" t="inlineStr">
        <is>
          <t>VTA</t>
        </is>
      </c>
      <c r="D713" s="13" t="n">
        <v>39</v>
      </c>
      <c r="E713" s="10">
        <f>IF(D713&gt;0,VLOOKUP(OPERAC[[#This Row],[COD CART]],[1]!MatrizCortoLargoCyl[#All],3,0),"")</f>
        <v/>
      </c>
      <c r="F713" s="13" t="inlineStr">
        <is>
          <t>TLRY1/V/10,00/20-01-23</t>
        </is>
      </c>
      <c r="G713" s="6" t="n">
        <v>-400</v>
      </c>
      <c r="H713" s="6" t="n">
        <v>400</v>
      </c>
      <c r="I713" s="7">
        <f>-H713/G713</f>
        <v/>
      </c>
      <c r="J713" s="11" t="n">
        <v>44614</v>
      </c>
      <c r="K713" s="6" t="n">
        <v>-400</v>
      </c>
      <c r="L713" s="6" t="n">
        <v>-2341.358</v>
      </c>
      <c r="M713" s="7">
        <f>IF(N713=0,+L713+H713,0)</f>
        <v/>
      </c>
      <c r="N713" s="7">
        <f>IF((+G713-K713)=0,0,+G713-K713)</f>
        <v/>
      </c>
      <c r="O713" s="7">
        <f>IF(N713=0,0,(L713+H713)/-N713)</f>
        <v/>
      </c>
      <c r="P713" s="7">
        <f>VLOOKUP(OPERAC[[#This Row],[especie]],[1]!ESPECIES[#All],6,0)</f>
        <v/>
      </c>
      <c r="Q713" s="7">
        <f>IF(N713&lt;&gt;0,P713*N713,0)</f>
        <v/>
      </c>
      <c r="R713" s="8">
        <f>IF(Q713&lt;&gt;0,Q713+H713+L713,0)</f>
        <v/>
      </c>
      <c r="S713" s="9">
        <f>VLOOKUP(OPERAC[[#This Row],[especie]],[1]!ESPECIES[#Data],9,FALSE)</f>
        <v/>
      </c>
    </row>
    <row r="714">
      <c r="A714" s="4" t="n">
        <v>2257</v>
      </c>
      <c r="B714" s="5" t="n">
        <v>44277</v>
      </c>
      <c r="C714" s="13" t="inlineStr">
        <is>
          <t>VTA</t>
        </is>
      </c>
      <c r="D714" s="13" t="n">
        <v>39</v>
      </c>
      <c r="E714" s="10">
        <f>IF(D714&gt;0,VLOOKUP(OPERAC[[#This Row],[COD CART]],[1]!MatrizCortoLargoCyl[#All],3,0),"")</f>
        <v/>
      </c>
      <c r="F714" s="13" t="inlineStr">
        <is>
          <t>TLRY1/V/10,00/20-01-23</t>
        </is>
      </c>
      <c r="G714" s="6" t="n">
        <v>-400</v>
      </c>
      <c r="H714" s="6" t="n">
        <v>400</v>
      </c>
      <c r="I714" s="7">
        <f>-H714/G714</f>
        <v/>
      </c>
      <c r="J714" s="11" t="n">
        <v>44614</v>
      </c>
      <c r="K714" s="6" t="n">
        <v>-400</v>
      </c>
      <c r="L714" s="6" t="n">
        <v>-2341.358</v>
      </c>
      <c r="M714" s="7">
        <f>IF(N714=0,+L714+H714,0)</f>
        <v/>
      </c>
      <c r="N714" s="7">
        <f>IF((+G714-K714)=0,0,+G714-K714)</f>
        <v/>
      </c>
      <c r="O714" s="7">
        <f>IF(N714=0,0,(L714+H714)/-N714)</f>
        <v/>
      </c>
      <c r="P714" s="7">
        <f>VLOOKUP(OPERAC[[#This Row],[especie]],[1]!ESPECIES[#All],6,0)</f>
        <v/>
      </c>
      <c r="Q714" s="7">
        <f>IF(N714&lt;&gt;0,P714*N714,0)</f>
        <v/>
      </c>
      <c r="R714" s="8">
        <f>IF(Q714&lt;&gt;0,Q714+H714+L714,0)</f>
        <v/>
      </c>
      <c r="S714" s="9">
        <f>VLOOKUP(OPERAC[[#This Row],[especie]],[1]!ESPECIES[#Data],9,FALSE)</f>
        <v/>
      </c>
    </row>
    <row r="715">
      <c r="A715" s="4" t="n">
        <v>1760</v>
      </c>
      <c r="B715" s="5" t="n">
        <v>44531</v>
      </c>
      <c r="C715" s="13" t="inlineStr">
        <is>
          <t>VTA</t>
        </is>
      </c>
      <c r="D715" s="13" t="n">
        <v>39</v>
      </c>
      <c r="E715" s="10">
        <f>IF(D715&gt;0,VLOOKUP(OPERAC[[#This Row],[COD CART]],[1]!MatrizCortoLargoCyl[#All],3,0),"")</f>
        <v/>
      </c>
      <c r="F715" s="13" t="inlineStr">
        <is>
          <t>MELI/V/740,00/16-09-22</t>
        </is>
      </c>
      <c r="G715" s="6" t="n">
        <v>-200</v>
      </c>
      <c r="H715" s="6">
        <f>-2*OPERAC[[#This Row],[cantidad]]</f>
        <v/>
      </c>
      <c r="I715" s="7">
        <f>-H715/G715</f>
        <v/>
      </c>
      <c r="J715" s="11" t="n">
        <v>44614</v>
      </c>
      <c r="K715" s="6">
        <f>+OPERAC[[#This Row],[cantidad]]</f>
        <v/>
      </c>
      <c r="L715" s="6" t="n">
        <v>-400</v>
      </c>
      <c r="M715" s="7">
        <f>IF(N715=0,+L715+H715,0)</f>
        <v/>
      </c>
      <c r="N715" s="7">
        <f>IF((+G715-K715)=0,0,+G715-K715)</f>
        <v/>
      </c>
      <c r="O715" s="7">
        <f>IF(N715=0,0,(L715+H715)/-N715)</f>
        <v/>
      </c>
      <c r="P715" s="7">
        <f>VLOOKUP(OPERAC[[#This Row],[especie]],[1]!ESPECIES[#All],6,0)</f>
        <v/>
      </c>
      <c r="Q715" s="7">
        <f>IF(N715&lt;&gt;0,P715*N715,0)</f>
        <v/>
      </c>
      <c r="R715" s="8">
        <f>IF(Q715&lt;&gt;0,Q715+H715+L715,0)</f>
        <v/>
      </c>
      <c r="S715" s="9">
        <f>VLOOKUP(OPERAC[[#This Row],[especie]],[1]!ESPECIES[#Data],9,FALSE)</f>
        <v/>
      </c>
    </row>
    <row r="716">
      <c r="A716" s="4" t="n">
        <v>6628</v>
      </c>
      <c r="B716" s="5" t="n">
        <v>44531</v>
      </c>
      <c r="C716" s="13" t="inlineStr">
        <is>
          <t>VTA</t>
        </is>
      </c>
      <c r="D716" s="13" t="n">
        <v>39</v>
      </c>
      <c r="E716" s="10">
        <f>IF(D716&gt;0,VLOOKUP(OPERAC[[#This Row],[COD CART]],[1]!MatrizCortoLargoCyl[#All],3,0),"")</f>
        <v/>
      </c>
      <c r="F716" s="13" t="inlineStr">
        <is>
          <t>MELI/V/740,00/16-09-22</t>
        </is>
      </c>
      <c r="G716" s="6" t="n">
        <v>-200</v>
      </c>
      <c r="H716" s="6">
        <f>-2*OPERAC[[#This Row],[cantidad]]</f>
        <v/>
      </c>
      <c r="I716" s="7">
        <f>-H716/G716</f>
        <v/>
      </c>
      <c r="J716" s="11" t="n">
        <v>44614</v>
      </c>
      <c r="K716" s="6">
        <f>+OPERAC[[#This Row],[cantidad]]</f>
        <v/>
      </c>
      <c r="L716" s="6" t="n">
        <v>-400</v>
      </c>
      <c r="M716" s="7">
        <f>IF(N716=0,+L716+H716,0)</f>
        <v/>
      </c>
      <c r="N716" s="7">
        <f>IF((+G716-K716)=0,0,+G716-K716)</f>
        <v/>
      </c>
      <c r="O716" s="7">
        <f>IF(N716=0,0,(L716+H716)/-N716)</f>
        <v/>
      </c>
      <c r="P716" s="7">
        <f>VLOOKUP(OPERAC[[#This Row],[especie]],[1]!ESPECIES[#All],6,0)</f>
        <v/>
      </c>
      <c r="Q716" s="7">
        <f>IF(N716&lt;&gt;0,P716*N716,0)</f>
        <v/>
      </c>
      <c r="R716" s="8">
        <f>IF(Q716&lt;&gt;0,Q716+H716+L716,0)</f>
        <v/>
      </c>
      <c r="S716" s="9">
        <f>VLOOKUP(OPERAC[[#This Row],[especie]],[1]!ESPECIES[#Data],9,FALSE)</f>
        <v/>
      </c>
    </row>
    <row r="717">
      <c r="A717" s="4" t="n">
        <v>10079</v>
      </c>
      <c r="B717" s="5" t="n">
        <v>44531</v>
      </c>
      <c r="C717" s="13" t="inlineStr">
        <is>
          <t>VTA</t>
        </is>
      </c>
      <c r="D717" s="13" t="n">
        <v>39</v>
      </c>
      <c r="E717" s="10">
        <f>IF(D717&gt;0,VLOOKUP(OPERAC[[#This Row],[COD CART]],[1]!MatrizCortoLargoCyl[#All],3,0),"")</f>
        <v/>
      </c>
      <c r="F717" s="13" t="inlineStr">
        <is>
          <t>MELI/V/740,00/16-09-22</t>
        </is>
      </c>
      <c r="G717" s="6" t="n">
        <v>-200</v>
      </c>
      <c r="H717" s="6">
        <f>-2*OPERAC[[#This Row],[cantidad]]</f>
        <v/>
      </c>
      <c r="I717" s="7">
        <f>-H717/G717</f>
        <v/>
      </c>
      <c r="J717" s="11" t="n">
        <v>44614</v>
      </c>
      <c r="K717" s="6">
        <f>+OPERAC[[#This Row],[cantidad]]</f>
        <v/>
      </c>
      <c r="L717" s="6" t="n">
        <v>-400</v>
      </c>
      <c r="M717" s="7">
        <f>IF(N717=0,+L717+H717,0)</f>
        <v/>
      </c>
      <c r="N717" s="7">
        <f>IF((+G717-K717)=0,0,+G717-K717)</f>
        <v/>
      </c>
      <c r="O717" s="7">
        <f>IF(N717=0,0,(L717+H717)/-N717)</f>
        <v/>
      </c>
      <c r="P717" s="7">
        <f>VLOOKUP(OPERAC[[#This Row],[especie]],[1]!ESPECIES[#All],6,0)</f>
        <v/>
      </c>
      <c r="Q717" s="7">
        <f>IF(N717&lt;&gt;0,P717*N717,0)</f>
        <v/>
      </c>
      <c r="R717" s="8">
        <f>IF(Q717&lt;&gt;0,Q717+H717+L717,0)</f>
        <v/>
      </c>
      <c r="S717" s="9">
        <f>VLOOKUP(OPERAC[[#This Row],[especie]],[1]!ESPECIES[#Data],9,FALSE)</f>
        <v/>
      </c>
    </row>
    <row r="718">
      <c r="A718" s="4" t="n">
        <v>19878</v>
      </c>
      <c r="B718" s="5" t="n">
        <v>44531</v>
      </c>
      <c r="C718" s="13" t="inlineStr">
        <is>
          <t>VTA</t>
        </is>
      </c>
      <c r="D718" s="13" t="n">
        <v>39</v>
      </c>
      <c r="E718" s="10">
        <f>IF(D718&gt;0,VLOOKUP(OPERAC[[#This Row],[COD CART]],[1]!MatrizCortoLargoCyl[#All],3,0),"")</f>
        <v/>
      </c>
      <c r="F718" s="13" t="inlineStr">
        <is>
          <t>MELI/V/740,00/16-09-22</t>
        </is>
      </c>
      <c r="G718" s="6" t="n">
        <v>-200</v>
      </c>
      <c r="H718" s="6">
        <f>-2*OPERAC[[#This Row],[cantidad]]</f>
        <v/>
      </c>
      <c r="I718" s="7">
        <f>-H718/G718</f>
        <v/>
      </c>
      <c r="J718" s="11" t="n">
        <v>44614</v>
      </c>
      <c r="K718" s="6">
        <f>+OPERAC[[#This Row],[cantidad]]</f>
        <v/>
      </c>
      <c r="L718" s="6" t="n">
        <v>-400</v>
      </c>
      <c r="M718" s="7">
        <f>IF(N718=0,+L718+H718,0)</f>
        <v/>
      </c>
      <c r="N718" s="7">
        <f>IF((+G718-K718)=0,0,+G718-K718)</f>
        <v/>
      </c>
      <c r="O718" s="7">
        <f>IF(N718=0,0,(L718+H718)/-N718)</f>
        <v/>
      </c>
      <c r="P718" s="7">
        <f>VLOOKUP(OPERAC[[#This Row],[especie]],[1]!ESPECIES[#All],6,0)</f>
        <v/>
      </c>
      <c r="Q718" s="7">
        <f>IF(N718&lt;&gt;0,P718*N718,0)</f>
        <v/>
      </c>
      <c r="R718" s="8">
        <f>IF(Q718&lt;&gt;0,Q718+H718+L718,0)</f>
        <v/>
      </c>
      <c r="S718" s="9">
        <f>VLOOKUP(OPERAC[[#This Row],[especie]],[1]!ESPECIES[#Data],9,FALSE)</f>
        <v/>
      </c>
    </row>
    <row r="719">
      <c r="A719" s="4" t="n">
        <v>16824</v>
      </c>
      <c r="B719" s="5" t="n">
        <v>44439</v>
      </c>
      <c r="C719" s="13" t="inlineStr">
        <is>
          <t>VTA</t>
        </is>
      </c>
      <c r="D719" s="13" t="n">
        <v>39</v>
      </c>
      <c r="E719" s="10">
        <f>IF(D719&gt;0,VLOOKUP(OPERAC[[#This Row],[COD CART]],[1]!MatrizCortoLargoCyl[#All],3,0),"")</f>
        <v/>
      </c>
      <c r="F719" s="13" t="inlineStr">
        <is>
          <t>SKLZ/P/7,50/20-01-23</t>
        </is>
      </c>
      <c r="G719" s="6" t="n">
        <v>-200</v>
      </c>
      <c r="H719" s="6" t="n">
        <v>396.8</v>
      </c>
      <c r="I719" s="7">
        <f>-H719/G719</f>
        <v/>
      </c>
      <c r="J719" s="11" t="n">
        <v>44614</v>
      </c>
      <c r="K719" s="6">
        <f>+OPERAC[[#This Row],[cantidad]]</f>
        <v/>
      </c>
      <c r="L719" s="6">
        <f>+OPERAC[[#This Row],[cantidad venta]]*4.488</f>
        <v/>
      </c>
      <c r="M719" s="7">
        <f>IF(N719=0,+L719+H719,0)</f>
        <v/>
      </c>
      <c r="N719" s="7">
        <f>IF((+G719-K719)=0,0,+G719-K719)</f>
        <v/>
      </c>
      <c r="O719" s="7">
        <f>IF(N719=0,0,(L719+H719)/-N719)</f>
        <v/>
      </c>
      <c r="P719" s="7">
        <f>VLOOKUP(OPERAC[[#This Row],[especie]],[1]!ESPECIES[#All],6,0)</f>
        <v/>
      </c>
      <c r="Q719" s="7">
        <f>IF(N719&lt;&gt;0,P719*N719,0)</f>
        <v/>
      </c>
      <c r="R719" s="8">
        <f>IF(Q719&lt;&gt;0,Q719+H719+L719,0)</f>
        <v/>
      </c>
      <c r="S719" s="9">
        <f>VLOOKUP(OPERAC[[#This Row],[especie]],[1]!ESPECIES[#Data],9,FALSE)</f>
        <v/>
      </c>
    </row>
    <row r="720">
      <c r="A720" s="4" t="n">
        <v>7916</v>
      </c>
      <c r="B720" s="5" t="n">
        <v>44673</v>
      </c>
      <c r="C720" s="13" t="inlineStr">
        <is>
          <t>VTA</t>
        </is>
      </c>
      <c r="D720" s="13" t="n">
        <v>39</v>
      </c>
      <c r="E720" s="10">
        <f>IF(D720&gt;0,VLOOKUP(OPERAC[[#This Row],[COD CART]],[1]!MatrizCortoLargoCyl[#All],3,0),"")</f>
        <v/>
      </c>
      <c r="F720" s="13" t="inlineStr">
        <is>
          <t>UPST/V/68,00/29-04-22</t>
        </is>
      </c>
      <c r="G720" s="6" t="n">
        <v>-200</v>
      </c>
      <c r="H720" s="6" t="n">
        <v>396.6</v>
      </c>
      <c r="I720" s="7">
        <f>-H720/G720</f>
        <v/>
      </c>
      <c r="J720" s="11" t="n">
        <v>44679</v>
      </c>
      <c r="K720" s="6">
        <f>+OPERAC[[#This Row],[cantidad]]</f>
        <v/>
      </c>
      <c r="L720" s="6" t="n">
        <v>-100.85</v>
      </c>
      <c r="M720" s="7">
        <f>IF(N720=0,+L720+H720,0)</f>
        <v/>
      </c>
      <c r="N720" s="7">
        <f>IF((+G720-K720)=0,0,+G720-K720)</f>
        <v/>
      </c>
      <c r="O720" s="7">
        <f>IF(N720=0,0,(L720+H720)/-N720)</f>
        <v/>
      </c>
      <c r="P720" s="7">
        <f>VLOOKUP(OPERAC[[#This Row],[especie]],[1]!ESPECIES[#All],6,0)</f>
        <v/>
      </c>
      <c r="Q720" s="7">
        <f>IF(N720&lt;&gt;0,P720*N720,0)</f>
        <v/>
      </c>
      <c r="R720" s="8">
        <f>IF(Q720&lt;&gt;0,Q720+H720+L720,0)</f>
        <v/>
      </c>
      <c r="S720" s="9">
        <f>VLOOKUP(OPERAC[[#This Row],[especie]],[1]!ESPECIES[#Data],9,FALSE)</f>
        <v/>
      </c>
    </row>
    <row r="721">
      <c r="A721" s="4" t="n">
        <v>12652</v>
      </c>
      <c r="B721" s="5" t="n">
        <v>44673</v>
      </c>
      <c r="C721" s="13" t="inlineStr">
        <is>
          <t>VTA</t>
        </is>
      </c>
      <c r="D721" s="13" t="n">
        <v>39</v>
      </c>
      <c r="E721" s="10">
        <f>IF(D721&gt;0,VLOOKUP(OPERAC[[#This Row],[COD CART]],[1]!MatrizCortoLargoCyl[#All],3,0),"")</f>
        <v/>
      </c>
      <c r="F721" s="13" t="inlineStr">
        <is>
          <t>UPST/V/68,00/29-04-22</t>
        </is>
      </c>
      <c r="G721" s="6" t="n">
        <v>-200</v>
      </c>
      <c r="H721" s="6" t="n">
        <v>396.6</v>
      </c>
      <c r="I721" s="7">
        <f>-H721/G721</f>
        <v/>
      </c>
      <c r="J721" s="11" t="n">
        <v>44679</v>
      </c>
      <c r="K721" s="6">
        <f>+OPERAC[[#This Row],[cantidad]]</f>
        <v/>
      </c>
      <c r="L721" s="6" t="n">
        <v>-100.85</v>
      </c>
      <c r="M721" s="7">
        <f>IF(N721=0,+L721+H721,0)</f>
        <v/>
      </c>
      <c r="N721" s="7">
        <f>IF((+G721-K721)=0,0,+G721-K721)</f>
        <v/>
      </c>
      <c r="O721" s="7">
        <f>IF(N721=0,0,(L721+H721)/-N721)</f>
        <v/>
      </c>
      <c r="P721" s="7">
        <f>VLOOKUP(OPERAC[[#This Row],[especie]],[1]!ESPECIES[#All],6,0)</f>
        <v/>
      </c>
      <c r="Q721" s="7">
        <f>IF(N721&lt;&gt;0,P721*N721,0)</f>
        <v/>
      </c>
      <c r="R721" s="8">
        <f>IF(Q721&lt;&gt;0,Q721+H721+L721,0)</f>
        <v/>
      </c>
      <c r="S721" s="9">
        <f>VLOOKUP(OPERAC[[#This Row],[especie]],[1]!ESPECIES[#Data],9,FALSE)</f>
        <v/>
      </c>
    </row>
    <row r="722">
      <c r="A722" s="4" t="n">
        <v>26138</v>
      </c>
      <c r="B722" s="5" t="n">
        <v>44673</v>
      </c>
      <c r="C722" s="13" t="inlineStr">
        <is>
          <t>VTA</t>
        </is>
      </c>
      <c r="D722" s="13" t="n">
        <v>39</v>
      </c>
      <c r="E722" s="10">
        <f>IF(D722&gt;0,VLOOKUP(OPERAC[[#This Row],[COD CART]],[1]!MatrizCortoLargoCyl[#All],3,0),"")</f>
        <v/>
      </c>
      <c r="F722" s="13" t="inlineStr">
        <is>
          <t>UPST/V/68,00/29-04-22</t>
        </is>
      </c>
      <c r="G722" s="6" t="n">
        <v>-200</v>
      </c>
      <c r="H722" s="6" t="n">
        <v>396.6</v>
      </c>
      <c r="I722" s="7">
        <f>-H722/G722</f>
        <v/>
      </c>
      <c r="J722" s="11" t="n">
        <v>44679</v>
      </c>
      <c r="K722" s="6">
        <f>+OPERAC[[#This Row],[cantidad]]</f>
        <v/>
      </c>
      <c r="L722" s="6" t="n">
        <v>-100.85</v>
      </c>
      <c r="M722" s="7">
        <f>IF(N722=0,+L722+H722,0)</f>
        <v/>
      </c>
      <c r="N722" s="7">
        <f>IF((+G722-K722)=0,0,+G722-K722)</f>
        <v/>
      </c>
      <c r="O722" s="7">
        <f>IF(N722=0,0,(L722+H722)/-N722)</f>
        <v/>
      </c>
      <c r="P722" s="7">
        <f>VLOOKUP(OPERAC[[#This Row],[especie]],[1]!ESPECIES[#All],6,0)</f>
        <v/>
      </c>
      <c r="Q722" s="7">
        <f>IF(N722&lt;&gt;0,P722*N722,0)</f>
        <v/>
      </c>
      <c r="R722" s="8">
        <f>IF(Q722&lt;&gt;0,Q722+H722+L722,0)</f>
        <v/>
      </c>
      <c r="S722" s="9">
        <f>VLOOKUP(OPERAC[[#This Row],[especie]],[1]!ESPECIES[#Data],9,FALSE)</f>
        <v/>
      </c>
    </row>
    <row r="723">
      <c r="A723" s="4" t="n">
        <v>26137</v>
      </c>
      <c r="B723" s="5" t="n">
        <v>44714</v>
      </c>
      <c r="C723" s="13" t="inlineStr">
        <is>
          <t>VTA</t>
        </is>
      </c>
      <c r="D723" s="13" t="n">
        <v>39</v>
      </c>
      <c r="E723" s="10">
        <f>IF(D723&gt;0,VLOOKUP(OPERAC[[#This Row],[COD CART]],[1]!MatrizCortoLargoCyl[#All],3,0),"")</f>
        <v/>
      </c>
      <c r="F723" s="14" t="inlineStr">
        <is>
          <t>TSLA/C/850,00/03-06-22</t>
        </is>
      </c>
      <c r="G723" s="6" t="n">
        <v>-300</v>
      </c>
      <c r="H723" s="6" t="n">
        <v>395.6085</v>
      </c>
      <c r="I723" s="7">
        <f>-H723/G723</f>
        <v/>
      </c>
      <c r="J723" s="5" t="n">
        <v>44715</v>
      </c>
      <c r="K723" s="6">
        <f>+OPERAC[[#This Row],[cantidad]]</f>
        <v/>
      </c>
      <c r="L723" s="6" t="n">
        <v>0</v>
      </c>
      <c r="M723" s="7">
        <f>IF(N723=0,+L723+H723,0)</f>
        <v/>
      </c>
      <c r="N723" s="7">
        <f>IF((+G723-K723)=0,0,+G723-K723)</f>
        <v/>
      </c>
      <c r="O723" s="7">
        <f>IF(N723=0,0,(L723+H723)/-N723)</f>
        <v/>
      </c>
      <c r="P723" s="7">
        <f>VLOOKUP(OPERAC[[#This Row],[especie]],[1]!ESPECIES[#All],6,0)</f>
        <v/>
      </c>
      <c r="Q723" s="7">
        <f>IF(N723&lt;&gt;0,P723*N723,0)</f>
        <v/>
      </c>
      <c r="R723" s="8">
        <f>IF(Q723&lt;&gt;0,Q723+H723+L723,0)</f>
        <v/>
      </c>
      <c r="S723" s="9">
        <f>VLOOKUP(OPERAC[[#This Row],[especie]],[1]!ESPECIES[#Data],9,FALSE)</f>
        <v/>
      </c>
    </row>
    <row r="724">
      <c r="A724" s="4" t="n">
        <v>16776</v>
      </c>
      <c r="B724" s="5" t="n">
        <v>44543</v>
      </c>
      <c r="C724" s="13" t="inlineStr">
        <is>
          <t>VTA</t>
        </is>
      </c>
      <c r="D724" s="13" t="n">
        <v>39</v>
      </c>
      <c r="E724" s="10">
        <f>IF(D724&gt;0,VLOOKUP(OPERAC[[#This Row],[COD CART]],[1]!MatrizCortoLargoCyl[#All],3,0),"")</f>
        <v/>
      </c>
      <c r="F724" s="13" t="inlineStr">
        <is>
          <t>NKE/V/145,00/07-01-22</t>
        </is>
      </c>
      <c r="G724" s="6" t="n">
        <v>-400</v>
      </c>
      <c r="H724" s="6" t="n">
        <v>395.304</v>
      </c>
      <c r="I724" s="7">
        <f>-H724/G724</f>
        <v/>
      </c>
      <c r="J724" s="11" t="n">
        <v>44566</v>
      </c>
      <c r="K724" s="6" t="n">
        <v>-400</v>
      </c>
      <c r="L724" s="6" t="n">
        <v>-8.064</v>
      </c>
      <c r="M724" s="7">
        <f>IF(N724=0,+L724+H724,0)</f>
        <v/>
      </c>
      <c r="N724" s="7">
        <f>IF((+G724-K724)=0,0,+G724-K724)</f>
        <v/>
      </c>
      <c r="O724" s="7">
        <f>IF(N724=0,0,(L724+H724)/-N724)</f>
        <v/>
      </c>
      <c r="P724" s="7">
        <f>VLOOKUP(OPERAC[[#This Row],[especie]],[1]!ESPECIES[#All],6,0)</f>
        <v/>
      </c>
      <c r="Q724" s="7">
        <f>IF(N724&lt;&gt;0,P724*N724,0)</f>
        <v/>
      </c>
      <c r="R724" s="8">
        <f>IF(Q724&lt;&gt;0,Q724+H724+L724,0)</f>
        <v/>
      </c>
      <c r="S724" s="9">
        <f>VLOOKUP(OPERAC[[#This Row],[especie]],[1]!ESPECIES[#Data],9,FALSE)</f>
        <v/>
      </c>
    </row>
    <row r="725">
      <c r="A725" s="4" t="n">
        <v>1807</v>
      </c>
      <c r="B725" s="5" t="n">
        <v>44623</v>
      </c>
      <c r="C725" s="13" t="inlineStr">
        <is>
          <t>VTA</t>
        </is>
      </c>
      <c r="D725" s="13" t="n">
        <v>39</v>
      </c>
      <c r="E725" s="10">
        <f>IF(D725&gt;0,VLOOKUP(OPERAC[[#This Row],[COD CART]],[1]!MatrizCortoLargoCyl[#All],3,0),"")</f>
        <v/>
      </c>
      <c r="F725" s="13" t="inlineStr">
        <is>
          <t>TSLA/C/970,00/04-03-22</t>
        </is>
      </c>
      <c r="G725" s="6" t="n">
        <v>-1000</v>
      </c>
      <c r="H725" s="6" t="n">
        <v>394.08</v>
      </c>
      <c r="I725" s="7">
        <f>-H725/G725</f>
        <v/>
      </c>
      <c r="J725" s="11" t="n">
        <v>44624</v>
      </c>
      <c r="K725" s="6" t="n">
        <v>-1000</v>
      </c>
      <c r="L725" s="6" t="n">
        <v>0</v>
      </c>
      <c r="M725" s="7">
        <f>IF(N725=0,+L725+H725,0)</f>
        <v/>
      </c>
      <c r="N725" s="7">
        <f>IF((+G725-K725)=0,0,+G725-K725)</f>
        <v/>
      </c>
      <c r="O725" s="7">
        <f>IF(N725=0,0,(L725+H725)/-N725)</f>
        <v/>
      </c>
      <c r="P725" s="7">
        <f>VLOOKUP(OPERAC[[#This Row],[especie]],[1]!ESPECIES[#All],6,0)</f>
        <v/>
      </c>
      <c r="Q725" s="7">
        <f>IF(N725&lt;&gt;0,P725*N725,0)</f>
        <v/>
      </c>
      <c r="R725" s="8">
        <f>IF(Q725&lt;&gt;0,Q725+H725+L725,0)</f>
        <v/>
      </c>
      <c r="S725" s="9">
        <f>VLOOKUP(OPERAC[[#This Row],[especie]],[1]!ESPECIES[#Data],9,FALSE)</f>
        <v/>
      </c>
    </row>
    <row r="726">
      <c r="A726" s="4" t="n">
        <v>18713</v>
      </c>
      <c r="B726" s="5" t="n">
        <v>44459</v>
      </c>
      <c r="C726" s="13" t="inlineStr">
        <is>
          <t>VTA</t>
        </is>
      </c>
      <c r="D726" s="13" t="n">
        <v>39</v>
      </c>
      <c r="E726" s="10">
        <f>IF(D726&gt;0,VLOOKUP(OPERAC[[#This Row],[COD CART]],[1]!MatrizCortoLargoCyl[#All],3,0),"")</f>
        <v/>
      </c>
      <c r="F726" s="13" t="inlineStr">
        <is>
          <t>SOLO/P/3,00/21-01-22</t>
        </is>
      </c>
      <c r="G726" s="6" t="n">
        <v>-1000</v>
      </c>
      <c r="H726" s="6" t="n">
        <v>393.96</v>
      </c>
      <c r="I726" s="7">
        <f>-H726/G726</f>
        <v/>
      </c>
      <c r="J726" s="11" t="n">
        <v>44572</v>
      </c>
      <c r="K726" s="6" t="n">
        <v>-1000</v>
      </c>
      <c r="L726" s="6" t="n">
        <v>-393.96</v>
      </c>
      <c r="M726" s="7">
        <f>IF(N726=0,+L726+H726,0)</f>
        <v/>
      </c>
      <c r="N726" s="7">
        <f>IF((+G726-K726)=0,0,+G726-K726)</f>
        <v/>
      </c>
      <c r="O726" s="7">
        <f>IF(N726=0,0,(L726+H726)/-N726)</f>
        <v/>
      </c>
      <c r="P726" s="7">
        <f>VLOOKUP(OPERAC[[#This Row],[especie]],[1]!ESPECIES[#All],6,0)</f>
        <v/>
      </c>
      <c r="Q726" s="7">
        <f>IF(N726&lt;&gt;0,P726*N726,0)</f>
        <v/>
      </c>
      <c r="R726" s="8">
        <f>IF(Q726&lt;&gt;0,Q726+H726+L726,0)</f>
        <v/>
      </c>
      <c r="S726" s="9">
        <f>VLOOKUP(OPERAC[[#This Row],[especie]],[1]!ESPECIES[#Data],9,FALSE)</f>
        <v/>
      </c>
    </row>
    <row r="727">
      <c r="A727" s="4" t="n">
        <v>12655</v>
      </c>
      <c r="B727" s="5" t="n">
        <v>44596</v>
      </c>
      <c r="C727" s="13" t="inlineStr">
        <is>
          <t>VTA</t>
        </is>
      </c>
      <c r="D727" s="13" t="n">
        <v>39</v>
      </c>
      <c r="E727" s="10">
        <f>IF(D727&gt;0,VLOOKUP(OPERAC[[#This Row],[COD CART]],[1]!MatrizCortoLargoCyl[#All],3,0),"")</f>
        <v/>
      </c>
      <c r="F727" s="13" t="inlineStr">
        <is>
          <t>MELI/V/850,00/11-02-22</t>
        </is>
      </c>
      <c r="G727" s="6" t="n">
        <v>-100</v>
      </c>
      <c r="H727" s="6" t="n">
        <v>390</v>
      </c>
      <c r="I727" s="7">
        <f>-H727/G727</f>
        <v/>
      </c>
      <c r="J727" s="11" t="n">
        <v>44603</v>
      </c>
      <c r="K727" s="6" t="n">
        <v>-100</v>
      </c>
      <c r="L727" s="6" t="n">
        <v>0</v>
      </c>
      <c r="M727" s="7">
        <f>IF(N727=0,+L727+H727,0)</f>
        <v/>
      </c>
      <c r="N727" s="7">
        <f>IF((+G727-K727)=0,0,+G727-K727)</f>
        <v/>
      </c>
      <c r="O727" s="7">
        <f>IF(N727=0,0,(L727+H727)/-N727)</f>
        <v/>
      </c>
      <c r="P727" s="7">
        <f>VLOOKUP(OPERAC[[#This Row],[especie]],[1]!ESPECIES[#All],6,0)</f>
        <v/>
      </c>
      <c r="Q727" s="7">
        <f>IF(N727&lt;&gt;0,P727*N727,0)</f>
        <v/>
      </c>
      <c r="R727" s="8">
        <f>IF(Q727&lt;&gt;0,Q727+H727+L727,0)</f>
        <v/>
      </c>
      <c r="S727" s="9">
        <f>VLOOKUP(OPERAC[[#This Row],[especie]],[1]!ESPECIES[#Data],9,FALSE)</f>
        <v/>
      </c>
    </row>
    <row r="728">
      <c r="A728" s="4" t="n">
        <v>12674</v>
      </c>
      <c r="B728" s="5" t="n">
        <v>44596</v>
      </c>
      <c r="C728" s="13" t="inlineStr">
        <is>
          <t>VTA</t>
        </is>
      </c>
      <c r="D728" s="13" t="n">
        <v>39</v>
      </c>
      <c r="E728" s="10">
        <f>IF(D728&gt;0,VLOOKUP(OPERAC[[#This Row],[COD CART]],[1]!MatrizCortoLargoCyl[#All],3,0),"")</f>
        <v/>
      </c>
      <c r="F728" s="13" t="inlineStr">
        <is>
          <t>MELI/V/850,00/11-02-22</t>
        </is>
      </c>
      <c r="G728" s="6" t="n">
        <v>-100</v>
      </c>
      <c r="H728" s="6" t="n">
        <v>390</v>
      </c>
      <c r="I728" s="7">
        <f>-H728/G728</f>
        <v/>
      </c>
      <c r="J728" s="11" t="n">
        <v>44603</v>
      </c>
      <c r="K728" s="6" t="n">
        <v>-100</v>
      </c>
      <c r="L728" s="6" t="n">
        <v>0</v>
      </c>
      <c r="M728" s="7">
        <f>IF(N728=0,+L728+H728,0)</f>
        <v/>
      </c>
      <c r="N728" s="7">
        <f>IF((+G728-K728)=0,0,+G728-K728)</f>
        <v/>
      </c>
      <c r="O728" s="7">
        <f>IF(N728=0,0,(L728+H728)/-N728)</f>
        <v/>
      </c>
      <c r="P728" s="7">
        <f>VLOOKUP(OPERAC[[#This Row],[especie]],[1]!ESPECIES[#All],6,0)</f>
        <v/>
      </c>
      <c r="Q728" s="7">
        <f>IF(N728&lt;&gt;0,P728*N728,0)</f>
        <v/>
      </c>
      <c r="R728" s="8">
        <f>IF(Q728&lt;&gt;0,Q728+H728+L728,0)</f>
        <v/>
      </c>
      <c r="S728" s="9">
        <f>VLOOKUP(OPERAC[[#This Row],[especie]],[1]!ESPECIES[#Data],9,FALSE)</f>
        <v/>
      </c>
    </row>
    <row r="729">
      <c r="A729" s="4" t="n">
        <v>15195</v>
      </c>
      <c r="B729" s="5" t="n">
        <v>44596</v>
      </c>
      <c r="C729" s="13" t="inlineStr">
        <is>
          <t>VTA</t>
        </is>
      </c>
      <c r="D729" s="13" t="n">
        <v>39</v>
      </c>
      <c r="E729" s="10">
        <f>IF(D729&gt;0,VLOOKUP(OPERAC[[#This Row],[COD CART]],[1]!MatrizCortoLargoCyl[#All],3,0),"")</f>
        <v/>
      </c>
      <c r="F729" s="13" t="inlineStr">
        <is>
          <t>MELI/V/850,00/11-02-22</t>
        </is>
      </c>
      <c r="G729" s="6" t="n">
        <v>-100</v>
      </c>
      <c r="H729" s="6" t="n">
        <v>390</v>
      </c>
      <c r="I729" s="7">
        <f>-H729/G729</f>
        <v/>
      </c>
      <c r="J729" s="11" t="n">
        <v>44603</v>
      </c>
      <c r="K729" s="6" t="n">
        <v>-100</v>
      </c>
      <c r="L729" s="6" t="n">
        <v>0</v>
      </c>
      <c r="M729" s="7">
        <f>IF(N729=0,+L729+H729,0)</f>
        <v/>
      </c>
      <c r="N729" s="7">
        <f>IF((+G729-K729)=0,0,+G729-K729)</f>
        <v/>
      </c>
      <c r="O729" s="7">
        <f>IF(N729=0,0,(L729+H729)/-N729)</f>
        <v/>
      </c>
      <c r="P729" s="7">
        <f>VLOOKUP(OPERAC[[#This Row],[especie]],[1]!ESPECIES[#All],6,0)</f>
        <v/>
      </c>
      <c r="Q729" s="7">
        <f>IF(N729&lt;&gt;0,P729*N729,0)</f>
        <v/>
      </c>
      <c r="R729" s="8">
        <f>IF(Q729&lt;&gt;0,Q729+H729+L729,0)</f>
        <v/>
      </c>
      <c r="S729" s="9">
        <f>VLOOKUP(OPERAC[[#This Row],[especie]],[1]!ESPECIES[#Data],9,FALSE)</f>
        <v/>
      </c>
    </row>
    <row r="730">
      <c r="A730" s="4" t="n">
        <v>18662</v>
      </c>
      <c r="B730" s="5" t="n">
        <v>44596</v>
      </c>
      <c r="C730" s="13" t="inlineStr">
        <is>
          <t>VTA</t>
        </is>
      </c>
      <c r="D730" s="13" t="n">
        <v>39</v>
      </c>
      <c r="E730" s="10">
        <f>IF(D730&gt;0,VLOOKUP(OPERAC[[#This Row],[COD CART]],[1]!MatrizCortoLargoCyl[#All],3,0),"")</f>
        <v/>
      </c>
      <c r="F730" s="13" t="inlineStr">
        <is>
          <t>MELI/V/850,00/11-02-22</t>
        </is>
      </c>
      <c r="G730" s="6" t="n">
        <v>-100</v>
      </c>
      <c r="H730" s="6" t="n">
        <v>390</v>
      </c>
      <c r="I730" s="7">
        <f>-H730/G730</f>
        <v/>
      </c>
      <c r="J730" s="11" t="n">
        <v>44603</v>
      </c>
      <c r="K730" s="6" t="n">
        <v>-100</v>
      </c>
      <c r="L730" s="6" t="n">
        <v>0</v>
      </c>
      <c r="M730" s="7">
        <f>IF(N730=0,+L730+H730,0)</f>
        <v/>
      </c>
      <c r="N730" s="7">
        <f>IF((+G730-K730)=0,0,+G730-K730)</f>
        <v/>
      </c>
      <c r="O730" s="7">
        <f>IF(N730=0,0,(L730+H730)/-N730)</f>
        <v/>
      </c>
      <c r="P730" s="7">
        <f>VLOOKUP(OPERAC[[#This Row],[especie]],[1]!ESPECIES[#All],6,0)</f>
        <v/>
      </c>
      <c r="Q730" s="7">
        <f>IF(N730&lt;&gt;0,P730*N730,0)</f>
        <v/>
      </c>
      <c r="R730" s="8">
        <f>IF(Q730&lt;&gt;0,Q730+H730+L730,0)</f>
        <v/>
      </c>
      <c r="S730" s="9">
        <f>VLOOKUP(OPERAC[[#This Row],[especie]],[1]!ESPECIES[#Data],9,FALSE)</f>
        <v/>
      </c>
    </row>
    <row r="731">
      <c r="A731" s="4" t="n">
        <v>22439</v>
      </c>
      <c r="B731" s="5" t="n">
        <v>44596</v>
      </c>
      <c r="C731" s="13" t="inlineStr">
        <is>
          <t>VTA</t>
        </is>
      </c>
      <c r="D731" s="13" t="n">
        <v>39</v>
      </c>
      <c r="E731" s="10">
        <f>IF(D731&gt;0,VLOOKUP(OPERAC[[#This Row],[COD CART]],[1]!MatrizCortoLargoCyl[#All],3,0),"")</f>
        <v/>
      </c>
      <c r="F731" s="13" t="inlineStr">
        <is>
          <t>MELI/V/850,00/11-02-22</t>
        </is>
      </c>
      <c r="G731" s="6" t="n">
        <v>-100</v>
      </c>
      <c r="H731" s="6" t="n">
        <v>390</v>
      </c>
      <c r="I731" s="7">
        <f>-H731/G731</f>
        <v/>
      </c>
      <c r="J731" s="11" t="n">
        <v>44603</v>
      </c>
      <c r="K731" s="6" t="n">
        <v>-100</v>
      </c>
      <c r="L731" s="6" t="n">
        <v>0</v>
      </c>
      <c r="M731" s="7">
        <f>IF(N731=0,+L731+H731,0)</f>
        <v/>
      </c>
      <c r="N731" s="7">
        <f>IF((+G731-K731)=0,0,+G731-K731)</f>
        <v/>
      </c>
      <c r="O731" s="7">
        <f>IF(N731=0,0,(L731+H731)/-N731)</f>
        <v/>
      </c>
      <c r="P731" s="7">
        <f>VLOOKUP(OPERAC[[#This Row],[especie]],[1]!ESPECIES[#All],6,0)</f>
        <v/>
      </c>
      <c r="Q731" s="7">
        <f>IF(N731&lt;&gt;0,P731*N731,0)</f>
        <v/>
      </c>
      <c r="R731" s="8">
        <f>IF(Q731&lt;&gt;0,Q731+H731+L731,0)</f>
        <v/>
      </c>
      <c r="S731" s="9">
        <f>VLOOKUP(OPERAC[[#This Row],[especie]],[1]!ESPECIES[#Data],9,FALSE)</f>
        <v/>
      </c>
    </row>
    <row r="732">
      <c r="A732" s="4" t="n">
        <v>12611</v>
      </c>
      <c r="B732" s="5" t="n">
        <v>44564</v>
      </c>
      <c r="C732" s="13" t="inlineStr">
        <is>
          <t>VTA</t>
        </is>
      </c>
      <c r="D732" s="13" t="n">
        <v>39</v>
      </c>
      <c r="E732" s="10">
        <f>IF(D732&gt;0,VLOOKUP(OPERAC[[#This Row],[COD CART]],[1]!MatrizCortoLargoCyl[#All],3,0),"")</f>
        <v/>
      </c>
      <c r="F732" s="13" t="inlineStr">
        <is>
          <t>TSLA/V/975,00/07-01-22</t>
        </is>
      </c>
      <c r="G732" s="6" t="n">
        <v>-500</v>
      </c>
      <c r="H732" s="6" t="n">
        <v>386.289</v>
      </c>
      <c r="I732" s="7">
        <f>-H732/G732</f>
        <v/>
      </c>
      <c r="J732" s="11" t="n">
        <v>44567</v>
      </c>
      <c r="K732" s="6" t="n">
        <v>-500</v>
      </c>
      <c r="L732" s="6" t="n">
        <v>-386.29</v>
      </c>
      <c r="M732" s="7">
        <f>IF(N732=0,+L732+H732,0)</f>
        <v/>
      </c>
      <c r="N732" s="7">
        <f>IF((+G732-K732)=0,0,+G732-K732)</f>
        <v/>
      </c>
      <c r="O732" s="7">
        <f>IF(N732=0,0,(L732+H732)/-N732)</f>
        <v/>
      </c>
      <c r="P732" s="7">
        <f>VLOOKUP(OPERAC[[#This Row],[especie]],[1]!ESPECIES[#All],6,0)</f>
        <v/>
      </c>
      <c r="Q732" s="7">
        <f>IF(N732&lt;&gt;0,P732*N732,0)</f>
        <v/>
      </c>
      <c r="R732" s="8">
        <f>IF(Q732&lt;&gt;0,Q732+H732+L732,0)</f>
        <v/>
      </c>
      <c r="S732" s="9">
        <f>VLOOKUP(OPERAC[[#This Row],[especie]],[1]!ESPECIES[#Data],9,FALSE)</f>
        <v/>
      </c>
    </row>
    <row r="733">
      <c r="A733" s="4" t="n">
        <v>15189</v>
      </c>
      <c r="B733" s="5" t="n">
        <v>44594</v>
      </c>
      <c r="C733" s="13" t="inlineStr">
        <is>
          <t>VTA</t>
        </is>
      </c>
      <c r="D733" s="13" t="n">
        <v>39</v>
      </c>
      <c r="E733" s="10">
        <f>IF(D733&gt;0,VLOOKUP(OPERAC[[#This Row],[COD CART]],[1]!MatrizCortoLargoCyl[#All],3,0),"")</f>
        <v/>
      </c>
      <c r="F733" s="13" t="inlineStr">
        <is>
          <t>TSLA/V/830,00/04-02-22</t>
        </is>
      </c>
      <c r="G733" s="6" t="n">
        <v>-400</v>
      </c>
      <c r="H733" s="6" t="n">
        <v>386.088</v>
      </c>
      <c r="I733" s="7">
        <f>-H733/G733</f>
        <v/>
      </c>
      <c r="J733" s="11" t="n">
        <v>44596</v>
      </c>
      <c r="K733" s="6" t="n">
        <v>-400</v>
      </c>
      <c r="L733" s="6" t="n">
        <v>0</v>
      </c>
      <c r="M733" s="7">
        <f>IF(N733=0,+L733+H733,0)</f>
        <v/>
      </c>
      <c r="N733" s="7">
        <f>IF((+G733-K733)=0,0,+G733-K733)</f>
        <v/>
      </c>
      <c r="O733" s="7">
        <f>IF(N733=0,0,(L733+H733)/-N733)</f>
        <v/>
      </c>
      <c r="P733" s="7">
        <f>VLOOKUP(OPERAC[[#This Row],[especie]],[1]!ESPECIES[#All],6,0)</f>
        <v/>
      </c>
      <c r="Q733" s="7">
        <f>IF(N733&lt;&gt;0,P733*N733,0)</f>
        <v/>
      </c>
      <c r="R733" s="8">
        <f>IF(Q733&lt;&gt;0,Q733+H733+L733,0)</f>
        <v/>
      </c>
      <c r="S733" s="9">
        <f>VLOOKUP(OPERAC[[#This Row],[especie]],[1]!ESPECIES[#Data],9,FALSE)</f>
        <v/>
      </c>
    </row>
    <row r="734">
      <c r="A734" s="4" t="n">
        <v>13185</v>
      </c>
      <c r="B734" s="5" t="n">
        <v>44607</v>
      </c>
      <c r="C734" s="13" t="inlineStr">
        <is>
          <t>VTA</t>
        </is>
      </c>
      <c r="D734" s="13" t="n">
        <v>39</v>
      </c>
      <c r="E734" s="10">
        <f>IF(D734&gt;0,VLOOKUP(OPERAC[[#This Row],[COD CART]],[1]!MatrizCortoLargoCyl[#All],3,0),"")</f>
        <v/>
      </c>
      <c r="F734" s="13" t="inlineStr">
        <is>
          <t>TSLA/V/830,00/18-02-22</t>
        </is>
      </c>
      <c r="G734" s="6" t="n">
        <v>-200</v>
      </c>
      <c r="H734" s="6" t="n">
        <v>385.4955</v>
      </c>
      <c r="I734" s="7">
        <f>-H734/G734</f>
        <v/>
      </c>
      <c r="J734" s="11" t="n">
        <v>44609</v>
      </c>
      <c r="K734" s="6" t="n">
        <v>-200</v>
      </c>
      <c r="L734" s="6" t="n">
        <v>-384.418</v>
      </c>
      <c r="M734" s="7">
        <f>IF(N734=0,+L734+H734,0)</f>
        <v/>
      </c>
      <c r="N734" s="7">
        <f>IF((+G734-K734)=0,0,+G734-K734)</f>
        <v/>
      </c>
      <c r="O734" s="7">
        <f>IF(N734=0,0,(L734+H734)/-N734)</f>
        <v/>
      </c>
      <c r="P734" s="7">
        <f>VLOOKUP(OPERAC[[#This Row],[especie]],[1]!ESPECIES[#All],6,0)</f>
        <v/>
      </c>
      <c r="Q734" s="7">
        <f>IF(N734&lt;&gt;0,P734*N734,0)</f>
        <v/>
      </c>
      <c r="R734" s="8">
        <f>IF(Q734&lt;&gt;0,Q734+H734+L734,0)</f>
        <v/>
      </c>
      <c r="S734" s="9">
        <f>VLOOKUP(OPERAC[[#This Row],[especie]],[1]!ESPECIES[#Data],9,FALSE)</f>
        <v/>
      </c>
    </row>
    <row r="735">
      <c r="A735" s="4" t="n">
        <v>26137</v>
      </c>
      <c r="B735" s="5" t="n">
        <v>44607</v>
      </c>
      <c r="C735" s="13" t="inlineStr">
        <is>
          <t>VTA</t>
        </is>
      </c>
      <c r="D735" s="13" t="n">
        <v>39</v>
      </c>
      <c r="E735" s="10">
        <f>IF(D735&gt;0,VLOOKUP(OPERAC[[#This Row],[COD CART]],[1]!MatrizCortoLargoCyl[#All],3,0),"")</f>
        <v/>
      </c>
      <c r="F735" s="13" t="inlineStr">
        <is>
          <t>TSLA/V/830,00/18-02-22</t>
        </is>
      </c>
      <c r="G735" s="6" t="n">
        <v>-200</v>
      </c>
      <c r="H735" s="6" t="n">
        <v>385.4955</v>
      </c>
      <c r="I735" s="7">
        <f>-H735/G735</f>
        <v/>
      </c>
      <c r="J735" s="11" t="n">
        <v>44609</v>
      </c>
      <c r="K735" s="6" t="n">
        <v>-200</v>
      </c>
      <c r="L735" s="6" t="n">
        <v>-384.418</v>
      </c>
      <c r="M735" s="7">
        <f>IF(N735=0,+L735+H735,0)</f>
        <v/>
      </c>
      <c r="N735" s="7">
        <f>IF((+G735-K735)=0,0,+G735-K735)</f>
        <v/>
      </c>
      <c r="O735" s="7">
        <f>IF(N735=0,0,(L735+H735)/-N735)</f>
        <v/>
      </c>
      <c r="P735" s="7">
        <f>VLOOKUP(OPERAC[[#This Row],[especie]],[1]!ESPECIES[#All],6,0)</f>
        <v/>
      </c>
      <c r="Q735" s="7">
        <f>IF(N735&lt;&gt;0,P735*N735,0)</f>
        <v/>
      </c>
      <c r="R735" s="8">
        <f>IF(Q735&lt;&gt;0,Q735+H735+L735,0)</f>
        <v/>
      </c>
      <c r="S735" s="9">
        <f>VLOOKUP(OPERAC[[#This Row],[especie]],[1]!ESPECIES[#Data],9,FALSE)</f>
        <v/>
      </c>
    </row>
    <row r="736">
      <c r="A736" s="4" t="n">
        <v>1792</v>
      </c>
      <c r="B736" s="5" t="n">
        <v>44581</v>
      </c>
      <c r="C736" s="13" t="inlineStr">
        <is>
          <t>VTA</t>
        </is>
      </c>
      <c r="D736" s="13" t="n">
        <v>39</v>
      </c>
      <c r="E736" s="10">
        <f>IF(D736&gt;0,VLOOKUP(OPERAC[[#This Row],[COD CART]],[1]!MatrizCortoLargoCyl[#All],3,0),"")</f>
        <v/>
      </c>
      <c r="F736" s="13" t="inlineStr">
        <is>
          <t>SMH/V/260,00/28-01-22</t>
        </is>
      </c>
      <c r="G736" s="6" t="n">
        <v>-400</v>
      </c>
      <c r="H736" s="6" t="n">
        <v>383.8</v>
      </c>
      <c r="I736" s="7">
        <f>-H736/G736</f>
        <v/>
      </c>
      <c r="J736" s="11" t="n">
        <v>44588</v>
      </c>
      <c r="K736" s="6">
        <f>+OPERAC[[#This Row],[cantidad]]</f>
        <v/>
      </c>
      <c r="L736" s="6">
        <f>-OPERAC[[#This Row],[importe]]</f>
        <v/>
      </c>
      <c r="M736" s="7">
        <f>IF(N736=0,+L736+H736,0)</f>
        <v/>
      </c>
      <c r="N736" s="7">
        <f>IF((+G736-K736)=0,0,+G736-K736)</f>
        <v/>
      </c>
      <c r="O736" s="7">
        <f>IF(N736=0,0,(L736+H736)/-N736)</f>
        <v/>
      </c>
      <c r="P736" s="7">
        <f>VLOOKUP(OPERAC[[#This Row],[especie]],[1]!ESPECIES[#All],6,0)</f>
        <v/>
      </c>
      <c r="Q736" s="7">
        <f>IF(N736&lt;&gt;0,P736*N736,0)</f>
        <v/>
      </c>
      <c r="R736" s="8">
        <f>IF(Q736&lt;&gt;0,Q736+H736+L736,0)</f>
        <v/>
      </c>
      <c r="S736" s="9">
        <f>VLOOKUP(OPERAC[[#This Row],[especie]],[1]!ESPECIES[#Data],9,FALSE)</f>
        <v/>
      </c>
    </row>
    <row r="737">
      <c r="A737" s="4" t="n">
        <v>7879</v>
      </c>
      <c r="B737" s="5" t="n">
        <v>44581</v>
      </c>
      <c r="C737" s="13" t="inlineStr">
        <is>
          <t>VTA</t>
        </is>
      </c>
      <c r="D737" s="13" t="n">
        <v>39</v>
      </c>
      <c r="E737" s="10">
        <f>IF(D737&gt;0,VLOOKUP(OPERAC[[#This Row],[COD CART]],[1]!MatrizCortoLargoCyl[#All],3,0),"")</f>
        <v/>
      </c>
      <c r="F737" s="13" t="inlineStr">
        <is>
          <t>SMH/V/260,00/28-01-22</t>
        </is>
      </c>
      <c r="G737" s="6" t="n">
        <v>-400</v>
      </c>
      <c r="H737" s="6" t="n">
        <v>383.8</v>
      </c>
      <c r="I737" s="7">
        <f>-H737/G737</f>
        <v/>
      </c>
      <c r="J737" s="11" t="n">
        <v>44588</v>
      </c>
      <c r="K737" s="6">
        <f>+OPERAC[[#This Row],[cantidad]]</f>
        <v/>
      </c>
      <c r="L737" s="6">
        <f>-OPERAC[[#This Row],[importe]]</f>
        <v/>
      </c>
      <c r="M737" s="7">
        <f>IF(N737=0,+L737+H737,0)</f>
        <v/>
      </c>
      <c r="N737" s="7">
        <f>IF((+G737-K737)=0,0,+G737-K737)</f>
        <v/>
      </c>
      <c r="O737" s="7">
        <f>IF(N737=0,0,(L737+H737)/-N737)</f>
        <v/>
      </c>
      <c r="P737" s="7">
        <f>VLOOKUP(OPERAC[[#This Row],[especie]],[1]!ESPECIES[#All],6,0)</f>
        <v/>
      </c>
      <c r="Q737" s="7">
        <f>IF(N737&lt;&gt;0,P737*N737,0)</f>
        <v/>
      </c>
      <c r="R737" s="8">
        <f>IF(Q737&lt;&gt;0,Q737+H737+L737,0)</f>
        <v/>
      </c>
      <c r="S737" s="9">
        <f>VLOOKUP(OPERAC[[#This Row],[especie]],[1]!ESPECIES[#Data],9,FALSE)</f>
        <v/>
      </c>
    </row>
    <row r="738">
      <c r="A738" s="4" t="n">
        <v>11168</v>
      </c>
      <c r="B738" s="5" t="n">
        <v>44581</v>
      </c>
      <c r="C738" s="13" t="inlineStr">
        <is>
          <t>VTA</t>
        </is>
      </c>
      <c r="D738" s="13" t="n">
        <v>39</v>
      </c>
      <c r="E738" s="10">
        <f>IF(D738&gt;0,VLOOKUP(OPERAC[[#This Row],[COD CART]],[1]!MatrizCortoLargoCyl[#All],3,0),"")</f>
        <v/>
      </c>
      <c r="F738" s="13" t="inlineStr">
        <is>
          <t>SMH/V/260,00/28-01-22</t>
        </is>
      </c>
      <c r="G738" s="6" t="n">
        <v>-400</v>
      </c>
      <c r="H738" s="6" t="n">
        <v>383.8</v>
      </c>
      <c r="I738" s="7">
        <f>-H738/G738</f>
        <v/>
      </c>
      <c r="J738" s="11" t="n">
        <v>44588</v>
      </c>
      <c r="K738" s="6">
        <f>+OPERAC[[#This Row],[cantidad]]</f>
        <v/>
      </c>
      <c r="L738" s="6">
        <f>-OPERAC[[#This Row],[importe]]</f>
        <v/>
      </c>
      <c r="M738" s="7">
        <f>IF(N738=0,+L738+H738,0)</f>
        <v/>
      </c>
      <c r="N738" s="7">
        <f>IF((+G738-K738)=0,0,+G738-K738)</f>
        <v/>
      </c>
      <c r="O738" s="7">
        <f>IF(N738=0,0,(L738+H738)/-N738)</f>
        <v/>
      </c>
      <c r="P738" s="7">
        <f>VLOOKUP(OPERAC[[#This Row],[especie]],[1]!ESPECIES[#All],6,0)</f>
        <v/>
      </c>
      <c r="Q738" s="7">
        <f>IF(N738&lt;&gt;0,P738*N738,0)</f>
        <v/>
      </c>
      <c r="R738" s="8">
        <f>IF(Q738&lt;&gt;0,Q738+H738+L738,0)</f>
        <v/>
      </c>
      <c r="S738" s="9">
        <f>VLOOKUP(OPERAC[[#This Row],[especie]],[1]!ESPECIES[#Data],9,FALSE)</f>
        <v/>
      </c>
    </row>
    <row r="739">
      <c r="A739" s="4" t="n">
        <v>16786</v>
      </c>
      <c r="B739" s="5" t="n">
        <v>44581</v>
      </c>
      <c r="C739" s="13" t="inlineStr">
        <is>
          <t>VTA</t>
        </is>
      </c>
      <c r="D739" s="13" t="n">
        <v>39</v>
      </c>
      <c r="E739" s="10">
        <f>IF(D739&gt;0,VLOOKUP(OPERAC[[#This Row],[COD CART]],[1]!MatrizCortoLargoCyl[#All],3,0),"")</f>
        <v/>
      </c>
      <c r="F739" s="13" t="inlineStr">
        <is>
          <t>SMH/V/260,00/28-01-22</t>
        </is>
      </c>
      <c r="G739" s="6" t="n">
        <v>-400</v>
      </c>
      <c r="H739" s="6" t="n">
        <v>383.8</v>
      </c>
      <c r="I739" s="7">
        <f>-H739/G739</f>
        <v/>
      </c>
      <c r="J739" s="11" t="n">
        <v>44588</v>
      </c>
      <c r="K739" s="6">
        <f>+OPERAC[[#This Row],[cantidad]]</f>
        <v/>
      </c>
      <c r="L739" s="6">
        <f>-OPERAC[[#This Row],[importe]]</f>
        <v/>
      </c>
      <c r="M739" s="7">
        <f>IF(N739=0,+L739+H739,0)</f>
        <v/>
      </c>
      <c r="N739" s="7">
        <f>IF((+G739-K739)=0,0,+G739-K739)</f>
        <v/>
      </c>
      <c r="O739" s="7">
        <f>IF(N739=0,0,(L739+H739)/-N739)</f>
        <v/>
      </c>
      <c r="P739" s="7">
        <f>VLOOKUP(OPERAC[[#This Row],[especie]],[1]!ESPECIES[#All],6,0)</f>
        <v/>
      </c>
      <c r="Q739" s="7">
        <f>IF(N739&lt;&gt;0,P739*N739,0)</f>
        <v/>
      </c>
      <c r="R739" s="8">
        <f>IF(Q739&lt;&gt;0,Q739+H739+L739,0)</f>
        <v/>
      </c>
      <c r="S739" s="9">
        <f>VLOOKUP(OPERAC[[#This Row],[especie]],[1]!ESPECIES[#Data],9,FALSE)</f>
        <v/>
      </c>
    </row>
    <row r="740">
      <c r="A740" s="4" t="n">
        <v>16833</v>
      </c>
      <c r="B740" s="5" t="n">
        <v>44581</v>
      </c>
      <c r="C740" s="13" t="inlineStr">
        <is>
          <t>VTA</t>
        </is>
      </c>
      <c r="D740" s="13" t="n">
        <v>39</v>
      </c>
      <c r="E740" s="10">
        <f>IF(D740&gt;0,VLOOKUP(OPERAC[[#This Row],[COD CART]],[1]!MatrizCortoLargoCyl[#All],3,0),"")</f>
        <v/>
      </c>
      <c r="F740" s="13" t="inlineStr">
        <is>
          <t>SMH/V/260,00/28-01-22</t>
        </is>
      </c>
      <c r="G740" s="6" t="n">
        <v>-400</v>
      </c>
      <c r="H740" s="6" t="n">
        <v>383.8</v>
      </c>
      <c r="I740" s="7">
        <f>-H740/G740</f>
        <v/>
      </c>
      <c r="J740" s="11" t="n">
        <v>44588</v>
      </c>
      <c r="K740" s="6">
        <f>+OPERAC[[#This Row],[cantidad]]</f>
        <v/>
      </c>
      <c r="L740" s="6">
        <f>-OPERAC[[#This Row],[importe]]</f>
        <v/>
      </c>
      <c r="M740" s="7">
        <f>IF(N740=0,+L740+H740,0)</f>
        <v/>
      </c>
      <c r="N740" s="7">
        <f>IF((+G740-K740)=0,0,+G740-K740)</f>
        <v/>
      </c>
      <c r="O740" s="7">
        <f>IF(N740=0,0,(L740+H740)/-N740)</f>
        <v/>
      </c>
      <c r="P740" s="7">
        <f>VLOOKUP(OPERAC[[#This Row],[especie]],[1]!ESPECIES[#All],6,0)</f>
        <v/>
      </c>
      <c r="Q740" s="7">
        <f>IF(N740&lt;&gt;0,P740*N740,0)</f>
        <v/>
      </c>
      <c r="R740" s="8">
        <f>IF(Q740&lt;&gt;0,Q740+H740+L740,0)</f>
        <v/>
      </c>
      <c r="S740" s="9">
        <f>VLOOKUP(OPERAC[[#This Row],[especie]],[1]!ESPECIES[#Data],9,FALSE)</f>
        <v/>
      </c>
    </row>
    <row r="741">
      <c r="A741" s="4" t="n">
        <v>1807</v>
      </c>
      <c r="B741" s="5" t="n">
        <v>44567</v>
      </c>
      <c r="C741" s="13" t="inlineStr">
        <is>
          <t>VTA</t>
        </is>
      </c>
      <c r="D741" s="13" t="n">
        <v>39</v>
      </c>
      <c r="E741" s="10">
        <f>IF(D741&gt;0,VLOOKUP(OPERAC[[#This Row],[COD CART]],[1]!MatrizCortoLargoCyl[#All],3,0),"")</f>
        <v/>
      </c>
      <c r="F741" s="13" t="inlineStr">
        <is>
          <t>ACB/V/6,00/14-01-22</t>
        </is>
      </c>
      <c r="G741" s="6" t="n">
        <v>-600</v>
      </c>
      <c r="H741" s="6" t="n">
        <v>381.6066</v>
      </c>
      <c r="I741" s="7">
        <f>-H741/G741</f>
        <v/>
      </c>
      <c r="J741" s="11" t="n">
        <v>44574</v>
      </c>
      <c r="K741" s="6">
        <f>+OPERAC[[#This Row],[cantidad]]</f>
        <v/>
      </c>
      <c r="L741" s="6" t="n">
        <v>-277.511</v>
      </c>
      <c r="M741" s="7">
        <f>IF(N741=0,+L741+H741,0)</f>
        <v/>
      </c>
      <c r="N741" s="7">
        <f>IF((+G741-K741)=0,0,+G741-K741)</f>
        <v/>
      </c>
      <c r="O741" s="7">
        <f>IF(N741=0,0,(L741+H741)/-N741)</f>
        <v/>
      </c>
      <c r="P741" s="7">
        <f>VLOOKUP(OPERAC[[#This Row],[especie]],[1]!ESPECIES[#All],6,0)</f>
        <v/>
      </c>
      <c r="Q741" s="7">
        <f>IF(N741&lt;&gt;0,P741*N741,0)</f>
        <v/>
      </c>
      <c r="R741" s="8">
        <f>IF(Q741&lt;&gt;0,Q741+H741+L741,0)</f>
        <v/>
      </c>
      <c r="S741" s="9">
        <f>VLOOKUP(OPERAC[[#This Row],[especie]],[1]!ESPECIES[#Data],9,FALSE)</f>
        <v/>
      </c>
    </row>
    <row r="742">
      <c r="A742" s="4" t="n">
        <v>19888</v>
      </c>
      <c r="B742" s="5" t="n">
        <v>44657</v>
      </c>
      <c r="C742" s="13" t="inlineStr">
        <is>
          <t>VTA</t>
        </is>
      </c>
      <c r="D742" s="13" t="n">
        <v>39</v>
      </c>
      <c r="E742" s="10">
        <f>IF(D742&gt;0,VLOOKUP(OPERAC[[#This Row],[COD CART]],[1]!MatrizCortoLargoCyl[#All],3,0),"")</f>
        <v/>
      </c>
      <c r="F742" s="13" t="inlineStr">
        <is>
          <t>TSLA/V/850,00/14-04-22</t>
        </is>
      </c>
      <c r="G742" s="6" t="n">
        <v>-300</v>
      </c>
      <c r="H742" s="6" t="n">
        <v>378.208</v>
      </c>
      <c r="I742" s="7">
        <f>-H742/G742</f>
        <v/>
      </c>
      <c r="J742" s="11" t="n">
        <v>44665</v>
      </c>
      <c r="K742" s="6" t="n">
        <v>-300</v>
      </c>
      <c r="L742" s="6" t="n">
        <v>0</v>
      </c>
      <c r="M742" s="7">
        <f>IF(N742=0,+L742+H742,0)</f>
        <v/>
      </c>
      <c r="N742" s="7">
        <f>IF((+G742-K742)=0,0,+G742-K742)</f>
        <v/>
      </c>
      <c r="O742" s="7">
        <f>IF(N742=0,0,(L742+H742)/-N742)</f>
        <v/>
      </c>
      <c r="P742" s="7">
        <f>VLOOKUP(OPERAC[[#This Row],[especie]],[1]!ESPECIES[#All],6,0)</f>
        <v/>
      </c>
      <c r="Q742" s="7">
        <f>IF(N742&lt;&gt;0,P742*N742,0)</f>
        <v/>
      </c>
      <c r="R742" s="8">
        <f>IF(Q742&lt;&gt;0,Q742+H742+L742,0)</f>
        <v/>
      </c>
      <c r="S742" s="9">
        <f>VLOOKUP(OPERAC[[#This Row],[especie]],[1]!ESPECIES[#Data],9,FALSE)</f>
        <v/>
      </c>
    </row>
    <row r="743">
      <c r="A743" s="4" t="n">
        <v>19934</v>
      </c>
      <c r="B743" s="5" t="n">
        <v>44637</v>
      </c>
      <c r="C743" s="13" t="inlineStr">
        <is>
          <t>VTA</t>
        </is>
      </c>
      <c r="D743" s="13" t="n">
        <v>39</v>
      </c>
      <c r="E743" s="10">
        <f>IF(D743&gt;0,VLOOKUP(OPERAC[[#This Row],[COD CART]],[1]!MatrizCortoLargoCyl[#All],3,0),"")</f>
        <v/>
      </c>
      <c r="F743" s="13" t="inlineStr">
        <is>
          <t>TSLA/V/765,00/18-03-22</t>
        </is>
      </c>
      <c r="G743" s="6" t="n">
        <v>-400</v>
      </c>
      <c r="H743" s="6" t="n">
        <v>375.872</v>
      </c>
      <c r="I743" s="7">
        <f>-H743/G743</f>
        <v/>
      </c>
      <c r="J743" s="11" t="n">
        <v>44638</v>
      </c>
      <c r="K743" s="6" t="n">
        <v>-400</v>
      </c>
      <c r="L743" s="6" t="n">
        <v>-79.408</v>
      </c>
      <c r="M743" s="7">
        <f>IF(N743=0,+L743+H743,0)</f>
        <v/>
      </c>
      <c r="N743" s="7">
        <f>IF((+G743-K743)=0,0,+G743-K743)</f>
        <v/>
      </c>
      <c r="O743" s="7">
        <f>IF(N743=0,0,(L743+H743)/-N743)</f>
        <v/>
      </c>
      <c r="P743" s="7">
        <f>VLOOKUP(OPERAC[[#This Row],[especie]],[1]!ESPECIES[#All],6,0)</f>
        <v/>
      </c>
      <c r="Q743" s="7">
        <f>IF(N743&lt;&gt;0,P743*N743,0)</f>
        <v/>
      </c>
      <c r="R743" s="8">
        <f>IF(Q743&lt;&gt;0,Q743+H743+L743,0)</f>
        <v/>
      </c>
      <c r="S743" s="9">
        <f>VLOOKUP(OPERAC[[#This Row],[especie]],[1]!ESPECIES[#Data],9,FALSE)</f>
        <v/>
      </c>
    </row>
    <row r="744">
      <c r="A744" s="4" t="n">
        <v>12627</v>
      </c>
      <c r="B744" s="5" t="n">
        <v>44566</v>
      </c>
      <c r="C744" s="13" t="inlineStr">
        <is>
          <t>VTA</t>
        </is>
      </c>
      <c r="D744" s="13" t="n">
        <v>39</v>
      </c>
      <c r="E744" s="10">
        <f>IF(D744&gt;0,VLOOKUP(OPERAC[[#This Row],[COD CART]],[1]!MatrizCortoLargoCyl[#All],3,0),"")</f>
        <v/>
      </c>
      <c r="F744" s="13" t="inlineStr">
        <is>
          <t>TSLA/V/975,00/07-01-22</t>
        </is>
      </c>
      <c r="G744" s="6" t="n">
        <v>-1000</v>
      </c>
      <c r="H744" s="6" t="n">
        <v>374.32</v>
      </c>
      <c r="I744" s="7">
        <f>-H744/G744</f>
        <v/>
      </c>
      <c r="J744" s="11" t="n">
        <v>44567</v>
      </c>
      <c r="K744" s="6" t="n">
        <v>-1000</v>
      </c>
      <c r="L744" s="6" t="n">
        <v>-374.32</v>
      </c>
      <c r="M744" s="7">
        <f>IF(N744=0,+L744+H744,0)</f>
        <v/>
      </c>
      <c r="N744" s="7">
        <f>IF((+G744-K744)=0,0,+G744-K744)</f>
        <v/>
      </c>
      <c r="O744" s="7">
        <f>IF(N744=0,0,(L744+H744)/-N744)</f>
        <v/>
      </c>
      <c r="P744" s="7">
        <f>VLOOKUP(OPERAC[[#This Row],[especie]],[1]!ESPECIES[#All],6,0)</f>
        <v/>
      </c>
      <c r="Q744" s="7">
        <f>IF(N744&lt;&gt;0,P744*N744,0)</f>
        <v/>
      </c>
      <c r="R744" s="8">
        <f>IF(Q744&lt;&gt;0,Q744+H744+L744,0)</f>
        <v/>
      </c>
      <c r="S744" s="9">
        <f>VLOOKUP(OPERAC[[#This Row],[especie]],[1]!ESPECIES[#Data],9,FALSE)</f>
        <v/>
      </c>
    </row>
    <row r="745">
      <c r="A745" s="4" t="n">
        <v>1792</v>
      </c>
      <c r="B745" s="5" t="n">
        <v>44497</v>
      </c>
      <c r="C745" s="13" t="inlineStr">
        <is>
          <t>VTA</t>
        </is>
      </c>
      <c r="D745" s="13" t="n">
        <v>39</v>
      </c>
      <c r="E745" s="10">
        <f>IF(D745&gt;0,VLOOKUP(OPERAC[[#This Row],[COD CART]],[1]!MatrizCortoLargoCyl[#All],3,0),"")</f>
        <v/>
      </c>
      <c r="F745" s="13" t="inlineStr">
        <is>
          <t>YPF/V/5,00/21-01-22</t>
        </is>
      </c>
      <c r="G745" s="6" t="n">
        <v>-500</v>
      </c>
      <c r="H745" s="6" t="n">
        <v>373.03</v>
      </c>
      <c r="I745" s="7">
        <f>-H745/G745</f>
        <v/>
      </c>
      <c r="J745" s="11" t="n">
        <v>44579</v>
      </c>
      <c r="K745" s="6" t="n">
        <v>-500</v>
      </c>
      <c r="L745" s="6" t="n">
        <v>-371.377</v>
      </c>
      <c r="M745" s="7">
        <f>IF(N745=0,+L745+H745,0)</f>
        <v/>
      </c>
      <c r="N745" s="7">
        <f>IF((+G745-K745)=0,0,+G745-K745)</f>
        <v/>
      </c>
      <c r="O745" s="7">
        <f>IF(N745=0,0,(L745+H745)/-N745)</f>
        <v/>
      </c>
      <c r="P745" s="7">
        <f>VLOOKUP(OPERAC[[#This Row],[especie]],[1]!ESPECIES[#All],6,0)</f>
        <v/>
      </c>
      <c r="Q745" s="7">
        <f>IF(N745&lt;&gt;0,P745*N745,0)</f>
        <v/>
      </c>
      <c r="R745" s="8">
        <f>IF(Q745&lt;&gt;0,Q745+H745+L745,0)</f>
        <v/>
      </c>
      <c r="S745" s="9">
        <f>VLOOKUP(OPERAC[[#This Row],[especie]],[1]!ESPECIES[#Data],9,FALSE)</f>
        <v/>
      </c>
    </row>
    <row r="746">
      <c r="A746" s="4" t="n">
        <v>25070</v>
      </c>
      <c r="B746" s="5" t="n">
        <v>44692</v>
      </c>
      <c r="C746" s="13" t="inlineStr">
        <is>
          <t>VTA</t>
        </is>
      </c>
      <c r="D746" s="13" t="n">
        <v>39</v>
      </c>
      <c r="E746" s="10">
        <f>IF(D746&gt;0,VLOOKUP(OPERAC[[#This Row],[COD CART]],[1]!MatrizCortoLargoCyl[#All],3,0),"")</f>
        <v/>
      </c>
      <c r="F746" s="13" t="inlineStr">
        <is>
          <t>MELI/V/500,00/20-01-23</t>
        </is>
      </c>
      <c r="G746" s="6" t="n">
        <v>-5</v>
      </c>
      <c r="H746" s="6" t="n">
        <v>371.8125</v>
      </c>
      <c r="I746" s="7">
        <f>-H746/G746</f>
        <v/>
      </c>
      <c r="J746" s="11" t="n"/>
      <c r="K746" s="6" t="n"/>
      <c r="L746" s="6" t="n"/>
      <c r="M746" s="7">
        <f>IF(N746=0,+L746+H746,0)</f>
        <v/>
      </c>
      <c r="N746" s="7">
        <f>IF((+G746-K746)=0,0,+G746-K746)</f>
        <v/>
      </c>
      <c r="O746" s="7">
        <f>IF(N746=0,0,(L746+H746)/-N746)</f>
        <v/>
      </c>
      <c r="P746" s="7">
        <f>VLOOKUP(OPERAC[[#This Row],[especie]],[1]!ESPECIES[#All],6,0)</f>
        <v/>
      </c>
      <c r="Q746" s="7">
        <f>IF(N746&lt;&gt;0,P746*N746,0)</f>
        <v/>
      </c>
      <c r="R746" s="8">
        <f>IF(Q746&lt;&gt;0,Q746+H746+L746,0)</f>
        <v/>
      </c>
      <c r="S746" s="9">
        <f>VLOOKUP(OPERAC[[#This Row],[especie]],[1]!ESPECIES[#Data],9,FALSE)</f>
        <v/>
      </c>
    </row>
    <row r="747">
      <c r="A747" s="4" t="n">
        <v>3853</v>
      </c>
      <c r="B747" s="5" t="n">
        <v>44725</v>
      </c>
      <c r="C747" s="13" t="inlineStr">
        <is>
          <t>VTA</t>
        </is>
      </c>
      <c r="D747" s="13" t="n">
        <v>39</v>
      </c>
      <c r="E747" s="10">
        <f>IF(D747&gt;0,VLOOKUP(OPERAC[[#This Row],[COD CART]],[1]!MatrizCortoLargoCyl[#All],3,0),"")</f>
        <v/>
      </c>
      <c r="F747" s="13" t="inlineStr">
        <is>
          <t>MELI/P/360,00/19-01-24</t>
        </is>
      </c>
      <c r="G747" s="6" t="n">
        <v>-6</v>
      </c>
      <c r="H747" s="6" t="n">
        <v>368.838</v>
      </c>
      <c r="I747" s="7">
        <f>-H747/G747</f>
        <v/>
      </c>
      <c r="J747" s="5" t="n"/>
      <c r="K747" s="6" t="n"/>
      <c r="L747" s="6" t="n"/>
      <c r="M747" s="7">
        <f>IF(N747=0,+L747+H747,0)</f>
        <v/>
      </c>
      <c r="N747" s="7">
        <f>IF((+G747-K747)=0,0,+G747-K747)</f>
        <v/>
      </c>
      <c r="O747" s="7">
        <f>IF(N747=0,0,(L747+H747)/-N747)</f>
        <v/>
      </c>
      <c r="P747" s="7">
        <f>VLOOKUP(OPERAC[[#This Row],[especie]],[1]!ESPECIES[#All],6,0)</f>
        <v/>
      </c>
      <c r="Q747" s="7">
        <f>IF(N747&lt;&gt;0,P747*N747,0)</f>
        <v/>
      </c>
      <c r="R747" s="8">
        <f>IF(Q747&lt;&gt;0,Q747+H747+L747,0)</f>
        <v/>
      </c>
      <c r="S747" s="9">
        <f>VLOOKUP(OPERAC[[#This Row],[especie]],[1]!ESPECIES[#Data],9,FALSE)</f>
        <v/>
      </c>
    </row>
    <row r="748">
      <c r="A748" s="4" t="n">
        <v>22407</v>
      </c>
      <c r="B748" s="5" t="n">
        <v>44547</v>
      </c>
      <c r="C748" s="13" t="inlineStr">
        <is>
          <t>VTA</t>
        </is>
      </c>
      <c r="D748" s="13" t="n">
        <v>39</v>
      </c>
      <c r="E748" s="10">
        <f>IF(D748&gt;0,VLOOKUP(OPERAC[[#This Row],[COD CART]],[1]!MatrizCortoLargoCyl[#All],3,0),"")</f>
        <v/>
      </c>
      <c r="F748" s="13" t="inlineStr">
        <is>
          <t>INO/V/7,00/21-01-22</t>
        </is>
      </c>
      <c r="G748" s="6" t="n">
        <v>-400</v>
      </c>
      <c r="H748" s="6" t="n">
        <v>364.176</v>
      </c>
      <c r="I748" s="7">
        <f>-H748/G748</f>
        <v/>
      </c>
      <c r="J748" s="11" t="n">
        <v>44580</v>
      </c>
      <c r="K748" s="6">
        <f>+OPERAC[[#This Row],[cantidad]]</f>
        <v/>
      </c>
      <c r="L748" s="6">
        <f>-OPERAC[[#This Row],[importe]]</f>
        <v/>
      </c>
      <c r="M748" s="7">
        <f>IF(N748=0,+L748+H748,0)</f>
        <v/>
      </c>
      <c r="N748" s="7">
        <f>IF((+G748-K748)=0,0,+G748-K748)</f>
        <v/>
      </c>
      <c r="O748" s="7">
        <f>IF(N748=0,0,(L748+H748)/-N748)</f>
        <v/>
      </c>
      <c r="P748" s="7">
        <f>VLOOKUP(OPERAC[[#This Row],[especie]],[1]!ESPECIES[#All],6,0)</f>
        <v/>
      </c>
      <c r="Q748" s="7">
        <f>IF(N748&lt;&gt;0,P748*N748,0)</f>
        <v/>
      </c>
      <c r="R748" s="8">
        <f>IF(Q748&lt;&gt;0,Q748+H748+L748,0)</f>
        <v/>
      </c>
      <c r="S748" s="9">
        <f>VLOOKUP(OPERAC[[#This Row],[especie]],[1]!ESPECIES[#Data],9,FALSE)</f>
        <v/>
      </c>
    </row>
    <row r="749">
      <c r="A749" s="4" t="n">
        <v>26137</v>
      </c>
      <c r="B749" s="5" t="n">
        <v>44547</v>
      </c>
      <c r="C749" s="13" t="inlineStr">
        <is>
          <t>VTA</t>
        </is>
      </c>
      <c r="D749" s="13" t="n">
        <v>39</v>
      </c>
      <c r="E749" s="10">
        <f>IF(D749&gt;0,VLOOKUP(OPERAC[[#This Row],[COD CART]],[1]!MatrizCortoLargoCyl[#All],3,0),"")</f>
        <v/>
      </c>
      <c r="F749" s="13" t="inlineStr">
        <is>
          <t>INO/V/7,00/21-01-22</t>
        </is>
      </c>
      <c r="G749" s="6" t="n">
        <v>-400</v>
      </c>
      <c r="H749" s="6" t="n">
        <v>364.176</v>
      </c>
      <c r="I749" s="7">
        <f>-H749/G749</f>
        <v/>
      </c>
      <c r="J749" s="11" t="n">
        <v>44580</v>
      </c>
      <c r="K749" s="6">
        <f>+OPERAC[[#This Row],[cantidad]]</f>
        <v/>
      </c>
      <c r="L749" s="6">
        <f>-OPERAC[[#This Row],[importe]]</f>
        <v/>
      </c>
      <c r="M749" s="7">
        <f>IF(N749=0,+L749+H749,0)</f>
        <v/>
      </c>
      <c r="N749" s="7">
        <f>IF((+G749-K749)=0,0,+G749-K749)</f>
        <v/>
      </c>
      <c r="O749" s="7">
        <f>IF(N749=0,0,(L749+H749)/-N749)</f>
        <v/>
      </c>
      <c r="P749" s="7">
        <f>VLOOKUP(OPERAC[[#This Row],[especie]],[1]!ESPECIES[#All],6,0)</f>
        <v/>
      </c>
      <c r="Q749" s="7">
        <f>IF(N749&lt;&gt;0,P749*N749,0)</f>
        <v/>
      </c>
      <c r="R749" s="8">
        <f>IF(Q749&lt;&gt;0,Q749+H749+L749,0)</f>
        <v/>
      </c>
      <c r="S749" s="9">
        <f>VLOOKUP(OPERAC[[#This Row],[especie]],[1]!ESPECIES[#Data],9,FALSE)</f>
        <v/>
      </c>
    </row>
    <row r="750">
      <c r="A750" s="4" t="n">
        <v>4543</v>
      </c>
      <c r="B750" s="5" t="n">
        <v>44581</v>
      </c>
      <c r="C750" s="13" t="inlineStr">
        <is>
          <t>VTA</t>
        </is>
      </c>
      <c r="D750" s="13" t="n">
        <v>39</v>
      </c>
      <c r="E750" s="10">
        <f>IF(D750&gt;0,VLOOKUP(OPERAC[[#This Row],[COD CART]],[1]!MatrizCortoLargoCyl[#All],3,0),"")</f>
        <v/>
      </c>
      <c r="F750" s="13" t="inlineStr">
        <is>
          <t>ACB/V/6,00/18-02-22</t>
        </is>
      </c>
      <c r="G750" s="6" t="n">
        <v>-300</v>
      </c>
      <c r="H750" s="6" t="n">
        <v>362.8545</v>
      </c>
      <c r="I750" s="7">
        <f>-H750/G750</f>
        <v/>
      </c>
      <c r="J750" s="11" t="n">
        <v>44601</v>
      </c>
      <c r="K750" s="6" t="n">
        <v>-300</v>
      </c>
      <c r="L750" s="6">
        <f>1.21*OPERAC[[#This Row],[cantidad venta]]</f>
        <v/>
      </c>
      <c r="M750" s="7">
        <f>IF(N750=0,+L750+H750,0)</f>
        <v/>
      </c>
      <c r="N750" s="7">
        <f>IF((+G750-K750)=0,0,+G750-K750)</f>
        <v/>
      </c>
      <c r="O750" s="7">
        <f>IF(N750=0,0,(L750+H750)/-N750)</f>
        <v/>
      </c>
      <c r="P750" s="7">
        <f>VLOOKUP(OPERAC[[#This Row],[especie]],[1]!ESPECIES[#All],6,0)</f>
        <v/>
      </c>
      <c r="Q750" s="7">
        <f>IF(N750&lt;&gt;0,P750*N750,0)</f>
        <v/>
      </c>
      <c r="R750" s="8">
        <f>IF(Q750&lt;&gt;0,Q750+H750+L750,0)</f>
        <v/>
      </c>
      <c r="S750" s="9">
        <f>VLOOKUP(OPERAC[[#This Row],[especie]],[1]!ESPECIES[#Data],9,FALSE)</f>
        <v/>
      </c>
    </row>
    <row r="751">
      <c r="A751" s="4" t="n">
        <v>7916</v>
      </c>
      <c r="B751" s="5" t="n">
        <v>44581</v>
      </c>
      <c r="C751" s="13" t="inlineStr">
        <is>
          <t>VTA</t>
        </is>
      </c>
      <c r="D751" s="13" t="n">
        <v>39</v>
      </c>
      <c r="E751" s="10">
        <f>IF(D751&gt;0,VLOOKUP(OPERAC[[#This Row],[COD CART]],[1]!MatrizCortoLargoCyl[#All],3,0),"")</f>
        <v/>
      </c>
      <c r="F751" s="13" t="inlineStr">
        <is>
          <t>ACB/V/6,00/18-02-22</t>
        </is>
      </c>
      <c r="G751" s="6" t="n">
        <v>-300</v>
      </c>
      <c r="H751" s="6" t="n">
        <v>362.8545</v>
      </c>
      <c r="I751" s="7">
        <f>-H751/G751</f>
        <v/>
      </c>
      <c r="J751" s="11" t="n">
        <v>44601</v>
      </c>
      <c r="K751" s="6" t="n">
        <v>-300</v>
      </c>
      <c r="L751" s="6">
        <f>1.21*OPERAC[[#This Row],[cantidad venta]]</f>
        <v/>
      </c>
      <c r="M751" s="7">
        <f>IF(N751=0,+L751+H751,0)</f>
        <v/>
      </c>
      <c r="N751" s="7">
        <f>IF((+G751-K751)=0,0,+G751-K751)</f>
        <v/>
      </c>
      <c r="O751" s="7">
        <f>IF(N751=0,0,(L751+H751)/-N751)</f>
        <v/>
      </c>
      <c r="P751" s="7">
        <f>VLOOKUP(OPERAC[[#This Row],[especie]],[1]!ESPECIES[#All],6,0)</f>
        <v/>
      </c>
      <c r="Q751" s="7">
        <f>IF(N751&lt;&gt;0,P751*N751,0)</f>
        <v/>
      </c>
      <c r="R751" s="8">
        <f>IF(Q751&lt;&gt;0,Q751+H751+L751,0)</f>
        <v/>
      </c>
      <c r="S751" s="9">
        <f>VLOOKUP(OPERAC[[#This Row],[especie]],[1]!ESPECIES[#Data],9,FALSE)</f>
        <v/>
      </c>
    </row>
    <row r="752">
      <c r="A752" s="4" t="n">
        <v>12655</v>
      </c>
      <c r="B752" s="5" t="n">
        <v>44581</v>
      </c>
      <c r="C752" s="13" t="inlineStr">
        <is>
          <t>VTA</t>
        </is>
      </c>
      <c r="D752" s="13" t="n">
        <v>39</v>
      </c>
      <c r="E752" s="10">
        <f>IF(D752&gt;0,VLOOKUP(OPERAC[[#This Row],[COD CART]],[1]!MatrizCortoLargoCyl[#All],3,0),"")</f>
        <v/>
      </c>
      <c r="F752" s="13" t="inlineStr">
        <is>
          <t>ACB/V/6,00/18-02-22</t>
        </is>
      </c>
      <c r="G752" s="6" t="n">
        <v>-300</v>
      </c>
      <c r="H752" s="6" t="n">
        <v>362.8545</v>
      </c>
      <c r="I752" s="7">
        <f>-H752/G752</f>
        <v/>
      </c>
      <c r="J752" s="11" t="n">
        <v>44601</v>
      </c>
      <c r="K752" s="6" t="n">
        <v>-300</v>
      </c>
      <c r="L752" s="6">
        <f>1.21*OPERAC[[#This Row],[cantidad venta]]</f>
        <v/>
      </c>
      <c r="M752" s="7">
        <f>IF(N752=0,+L752+H752,0)</f>
        <v/>
      </c>
      <c r="N752" s="7">
        <f>IF((+G752-K752)=0,0,+G752-K752)</f>
        <v/>
      </c>
      <c r="O752" s="7">
        <f>IF(N752=0,0,(L752+H752)/-N752)</f>
        <v/>
      </c>
      <c r="P752" s="7">
        <f>VLOOKUP(OPERAC[[#This Row],[especie]],[1]!ESPECIES[#All],6,0)</f>
        <v/>
      </c>
      <c r="Q752" s="7">
        <f>IF(N752&lt;&gt;0,P752*N752,0)</f>
        <v/>
      </c>
      <c r="R752" s="8">
        <f>IF(Q752&lt;&gt;0,Q752+H752+L752,0)</f>
        <v/>
      </c>
      <c r="S752" s="9">
        <f>VLOOKUP(OPERAC[[#This Row],[especie]],[1]!ESPECIES[#Data],9,FALSE)</f>
        <v/>
      </c>
    </row>
    <row r="753">
      <c r="A753" s="4" t="n">
        <v>15195</v>
      </c>
      <c r="B753" s="5" t="n">
        <v>44581</v>
      </c>
      <c r="C753" s="13" t="inlineStr">
        <is>
          <t>VTA</t>
        </is>
      </c>
      <c r="D753" s="13" t="n">
        <v>39</v>
      </c>
      <c r="E753" s="10">
        <f>IF(D753&gt;0,VLOOKUP(OPERAC[[#This Row],[COD CART]],[1]!MatrizCortoLargoCyl[#All],3,0),"")</f>
        <v/>
      </c>
      <c r="F753" s="13" t="inlineStr">
        <is>
          <t>ACB/V/6,00/18-02-22</t>
        </is>
      </c>
      <c r="G753" s="6" t="n">
        <v>-300</v>
      </c>
      <c r="H753" s="6" t="n">
        <v>362.8545</v>
      </c>
      <c r="I753" s="7">
        <f>-H753/G753</f>
        <v/>
      </c>
      <c r="J753" s="11" t="n">
        <v>44601</v>
      </c>
      <c r="K753" s="6" t="n">
        <v>-300</v>
      </c>
      <c r="L753" s="6">
        <f>1.21*OPERAC[[#This Row],[cantidad venta]]</f>
        <v/>
      </c>
      <c r="M753" s="7">
        <f>IF(N753=0,+L753+H753,0)</f>
        <v/>
      </c>
      <c r="N753" s="7">
        <f>IF((+G753-K753)=0,0,+G753-K753)</f>
        <v/>
      </c>
      <c r="O753" s="7">
        <f>IF(N753=0,0,(L753+H753)/-N753)</f>
        <v/>
      </c>
      <c r="P753" s="7">
        <f>VLOOKUP(OPERAC[[#This Row],[especie]],[1]!ESPECIES[#All],6,0)</f>
        <v/>
      </c>
      <c r="Q753" s="7">
        <f>IF(N753&lt;&gt;0,P753*N753,0)</f>
        <v/>
      </c>
      <c r="R753" s="8">
        <f>IF(Q753&lt;&gt;0,Q753+H753+L753,0)</f>
        <v/>
      </c>
      <c r="S753" s="9">
        <f>VLOOKUP(OPERAC[[#This Row],[especie]],[1]!ESPECIES[#Data],9,FALSE)</f>
        <v/>
      </c>
    </row>
    <row r="754">
      <c r="A754" s="4" t="n">
        <v>19932</v>
      </c>
      <c r="B754" s="5" t="n">
        <v>44581</v>
      </c>
      <c r="C754" s="13" t="inlineStr">
        <is>
          <t>VTA</t>
        </is>
      </c>
      <c r="D754" s="13" t="n">
        <v>39</v>
      </c>
      <c r="E754" s="10">
        <f>IF(D754&gt;0,VLOOKUP(OPERAC[[#This Row],[COD CART]],[1]!MatrizCortoLargoCyl[#All],3,0),"")</f>
        <v/>
      </c>
      <c r="F754" s="13" t="inlineStr">
        <is>
          <t>ACB/V/6,00/18-02-22</t>
        </is>
      </c>
      <c r="G754" s="6" t="n">
        <v>-300</v>
      </c>
      <c r="H754" s="6" t="n">
        <v>362.8545</v>
      </c>
      <c r="I754" s="7">
        <f>-H754/G754</f>
        <v/>
      </c>
      <c r="J754" s="11" t="n">
        <v>44601</v>
      </c>
      <c r="K754" s="6" t="n">
        <v>-300</v>
      </c>
      <c r="L754" s="6">
        <f>1.21*OPERAC[[#This Row],[cantidad venta]]</f>
        <v/>
      </c>
      <c r="M754" s="7">
        <f>IF(N754=0,+L754+H754,0)</f>
        <v/>
      </c>
      <c r="N754" s="7">
        <f>IF((+G754-K754)=0,0,+G754-K754)</f>
        <v/>
      </c>
      <c r="O754" s="7">
        <f>IF(N754=0,0,(L754+H754)/-N754)</f>
        <v/>
      </c>
      <c r="P754" s="7">
        <f>VLOOKUP(OPERAC[[#This Row],[especie]],[1]!ESPECIES[#All],6,0)</f>
        <v/>
      </c>
      <c r="Q754" s="7">
        <f>IF(N754&lt;&gt;0,P754*N754,0)</f>
        <v/>
      </c>
      <c r="R754" s="8">
        <f>IF(Q754&lt;&gt;0,Q754+H754+L754,0)</f>
        <v/>
      </c>
      <c r="S754" s="9">
        <f>VLOOKUP(OPERAC[[#This Row],[especie]],[1]!ESPECIES[#Data],9,FALSE)</f>
        <v/>
      </c>
    </row>
    <row r="755">
      <c r="A755" s="4" t="n">
        <v>3728</v>
      </c>
      <c r="B755" s="5" t="n">
        <v>44671</v>
      </c>
      <c r="C755" s="13" t="inlineStr">
        <is>
          <t>VTA</t>
        </is>
      </c>
      <c r="D755" s="13" t="n">
        <v>39</v>
      </c>
      <c r="E755" s="10">
        <f>IF(D755&gt;0,VLOOKUP(OPERAC[[#This Row],[COD CART]],[1]!MatrizCortoLargoCyl[#All],3,0),"")</f>
        <v/>
      </c>
      <c r="F755" s="13" t="inlineStr">
        <is>
          <t>NFLX/C/250,00/22-04-22</t>
        </is>
      </c>
      <c r="G755" s="6" t="n">
        <v>-400</v>
      </c>
      <c r="H755" s="6" t="n">
        <v>361.638</v>
      </c>
      <c r="I755" s="7">
        <f>-H755/G755</f>
        <v/>
      </c>
      <c r="J755" s="11" t="n">
        <v>44673</v>
      </c>
      <c r="K755" s="6" t="n">
        <v>-400</v>
      </c>
      <c r="L755" s="6" t="n">
        <v>0</v>
      </c>
      <c r="M755" s="7">
        <f>IF(N755=0,+L755+H755,0)</f>
        <v/>
      </c>
      <c r="N755" s="7">
        <f>IF((+G755-K755)=0,0,+G755-K755)</f>
        <v/>
      </c>
      <c r="O755" s="7">
        <f>IF(N755=0,0,(L755+H755)/-N755)</f>
        <v/>
      </c>
      <c r="P755" s="7">
        <f>VLOOKUP(OPERAC[[#This Row],[especie]],[1]!ESPECIES[#All],6,0)</f>
        <v/>
      </c>
      <c r="Q755" s="7">
        <f>IF(N755&lt;&gt;0,P755*N755,0)</f>
        <v/>
      </c>
      <c r="R755" s="8">
        <f>IF(Q755&lt;&gt;0,Q755+H755+L755,0)</f>
        <v/>
      </c>
      <c r="S755" s="9">
        <f>VLOOKUP(OPERAC[[#This Row],[especie]],[1]!ESPECIES[#Data],9,FALSE)</f>
        <v/>
      </c>
    </row>
    <row r="756">
      <c r="A756" s="4" t="n">
        <v>18663</v>
      </c>
      <c r="B756" s="5" t="n">
        <v>44411</v>
      </c>
      <c r="C756" s="13" t="inlineStr">
        <is>
          <t>VTA</t>
        </is>
      </c>
      <c r="D756" s="13" t="n">
        <v>41</v>
      </c>
      <c r="E756" s="10">
        <f>IF(D756&gt;0,VLOOKUP(OPERAC[[#This Row],[COD CART]],[1]!MatrizCortoLargoCyl[#All],3,0),"")</f>
        <v/>
      </c>
      <c r="F756" s="13" t="inlineStr">
        <is>
          <t>EDU/V/25,00/20-01-23</t>
        </is>
      </c>
      <c r="G756" s="6" t="n">
        <v>-300</v>
      </c>
      <c r="H756" s="6" t="n">
        <v>357.12</v>
      </c>
      <c r="I756" s="7">
        <f>-H756/G756</f>
        <v/>
      </c>
      <c r="J756" s="11" t="n"/>
      <c r="K756" s="6" t="n"/>
      <c r="L756" s="6" t="n"/>
      <c r="M756" s="7">
        <f>IF(N756=0,+L756+H756,0)</f>
        <v/>
      </c>
      <c r="N756" s="7">
        <f>IF((+G756-K756)=0,0,+G756-K756)</f>
        <v/>
      </c>
      <c r="O756" s="7">
        <f>IF(N756=0,0,(L756+H756)/-N756)</f>
        <v/>
      </c>
      <c r="P756" s="7">
        <f>VLOOKUP(OPERAC[[#This Row],[especie]],[1]!ESPECIES[#All],6,0)</f>
        <v/>
      </c>
      <c r="Q756" s="7">
        <f>IF(N756&lt;&gt;0,P756*N756,0)</f>
        <v/>
      </c>
      <c r="R756" s="8">
        <f>IF(Q756&lt;&gt;0,Q756+H756+L756,0)</f>
        <v/>
      </c>
      <c r="S756" s="9">
        <f>VLOOKUP(OPERAC[[#This Row],[especie]],[1]!ESPECIES[#Data],9,FALSE)</f>
        <v/>
      </c>
    </row>
    <row r="757">
      <c r="A757" s="4" t="n">
        <v>16795</v>
      </c>
      <c r="B757" s="5" t="n">
        <v>44701</v>
      </c>
      <c r="C757" s="13" t="inlineStr">
        <is>
          <t>VTA</t>
        </is>
      </c>
      <c r="D757" s="13" t="n">
        <v>39</v>
      </c>
      <c r="E757" s="10">
        <f>IF(D757&gt;0,VLOOKUP(OPERAC[[#This Row],[COD CART]],[1]!MatrizCortoLargoCyl[#All],3,0),"")</f>
        <v/>
      </c>
      <c r="F757" s="13" t="inlineStr">
        <is>
          <t>TSLA/P/360,00/20-01-23</t>
        </is>
      </c>
      <c r="G757" s="6" t="n">
        <v>-10</v>
      </c>
      <c r="H757" s="6" t="n">
        <v>351.9825</v>
      </c>
      <c r="I757" s="7">
        <f>-H757/G757</f>
        <v/>
      </c>
      <c r="J757" s="11" t="n"/>
      <c r="K757" s="6" t="n"/>
      <c r="L757" s="6" t="n"/>
      <c r="M757" s="7">
        <f>IF(N757=0,+L757+H757,0)</f>
        <v/>
      </c>
      <c r="N757" s="7">
        <f>IF((+G757-K757)=0,0,+G757-K757)</f>
        <v/>
      </c>
      <c r="O757" s="7">
        <f>IF(N757=0,0,(L757+H757)/-N757)</f>
        <v/>
      </c>
      <c r="P757" s="7">
        <f>VLOOKUP(OPERAC[[#This Row],[especie]],[1]!ESPECIES[#All],6,0)</f>
        <v/>
      </c>
      <c r="Q757" s="7">
        <f>IF(N757&lt;&gt;0,P757*N757,0)</f>
        <v/>
      </c>
      <c r="R757" s="8">
        <f>IF(Q757&lt;&gt;0,Q757+H757+L757,0)</f>
        <v/>
      </c>
      <c r="S757" s="9">
        <f>VLOOKUP(OPERAC[[#This Row],[especie]],[1]!ESPECIES[#Data],9,FALSE)</f>
        <v/>
      </c>
    </row>
    <row r="758">
      <c r="A758" s="4" t="n">
        <v>3728</v>
      </c>
      <c r="B758" s="5" t="n">
        <v>44670</v>
      </c>
      <c r="C758" s="13" t="inlineStr">
        <is>
          <t>VTA</t>
        </is>
      </c>
      <c r="D758" s="13" t="n">
        <v>39</v>
      </c>
      <c r="E758" s="10">
        <f>IF(D758&gt;0,VLOOKUP(OPERAC[[#This Row],[COD CART]],[1]!MatrizCortoLargoCyl[#All],3,0),"")</f>
        <v/>
      </c>
      <c r="F758" s="13" t="inlineStr">
        <is>
          <t>FCX/V/46,00/29-04-22</t>
        </is>
      </c>
      <c r="G758" s="6" t="n">
        <v>-1000</v>
      </c>
      <c r="H758" s="6" t="n">
        <v>347.025</v>
      </c>
      <c r="I758" s="7">
        <f>-H758/G758</f>
        <v/>
      </c>
      <c r="J758" s="11" t="n">
        <v>44679</v>
      </c>
      <c r="K758" s="6" t="n">
        <v>-1000</v>
      </c>
      <c r="L758" s="6" t="n">
        <v>-5295.29</v>
      </c>
      <c r="M758" s="7">
        <f>IF(N758=0,+L758+H758,0)</f>
        <v/>
      </c>
      <c r="N758" s="7">
        <f>IF((+G758-K758)=0,0,+G758-K758)</f>
        <v/>
      </c>
      <c r="O758" s="7">
        <f>IF(N758=0,0,(L758+H758)/-N758)</f>
        <v/>
      </c>
      <c r="P758" s="7">
        <f>VLOOKUP(OPERAC[[#This Row],[especie]],[1]!ESPECIES[#All],6,0)</f>
        <v/>
      </c>
      <c r="Q758" s="7">
        <f>IF(N758&lt;&gt;0,P758*N758,0)</f>
        <v/>
      </c>
      <c r="R758" s="8">
        <f>IF(Q758&lt;&gt;0,Q758+H758+L758,0)</f>
        <v/>
      </c>
      <c r="S758" s="9">
        <f>VLOOKUP(OPERAC[[#This Row],[especie]],[1]!ESPECIES[#Data],9,FALSE)</f>
        <v/>
      </c>
    </row>
    <row r="759">
      <c r="A759" s="4" t="n">
        <v>3820</v>
      </c>
      <c r="B759" s="5" t="n">
        <v>44495</v>
      </c>
      <c r="C759" s="13" t="inlineStr">
        <is>
          <t>VTA</t>
        </is>
      </c>
      <c r="D759" s="13" t="n">
        <v>39</v>
      </c>
      <c r="E759" s="10">
        <f>IF(D759&gt;0,VLOOKUP(OPERAC[[#This Row],[COD CART]],[1]!MatrizCortoLargoCyl[#All],3,0),"")</f>
        <v/>
      </c>
      <c r="F759" s="13" t="inlineStr">
        <is>
          <t>TLRY/V/11,00/21-01-22</t>
        </is>
      </c>
      <c r="G759" s="6" t="n">
        <v>-200</v>
      </c>
      <c r="H759" s="6" t="n">
        <v>345.24</v>
      </c>
      <c r="I759" s="7">
        <f>-H759/G759</f>
        <v/>
      </c>
      <c r="J759" s="11" t="n">
        <v>44571</v>
      </c>
      <c r="K759" s="6">
        <f>+OPERAC[[#This Row],[cantidad]]</f>
        <v/>
      </c>
      <c r="L759" s="6">
        <f>-OPERAC[[#This Row],[importe]]</f>
        <v/>
      </c>
      <c r="M759" s="7">
        <f>IF(N759=0,+L759+H759,0)</f>
        <v/>
      </c>
      <c r="N759" s="7">
        <f>IF((+G759-K759)=0,0,+G759-K759)</f>
        <v/>
      </c>
      <c r="O759" s="7">
        <f>IF(N759=0,0,(L759+H759)/-N759)</f>
        <v/>
      </c>
      <c r="P759" s="7">
        <f>VLOOKUP(OPERAC[[#This Row],[especie]],[1]!ESPECIES[#All],6,0)</f>
        <v/>
      </c>
      <c r="Q759" s="7">
        <f>IF(N759&lt;&gt;0,P759*N759,0)</f>
        <v/>
      </c>
      <c r="R759" s="8">
        <f>IF(Q759&lt;&gt;0,Q759+H759+L759,0)</f>
        <v/>
      </c>
      <c r="S759" s="9">
        <f>VLOOKUP(OPERAC[[#This Row],[especie]],[1]!ESPECIES[#Data],9,FALSE)</f>
        <v/>
      </c>
    </row>
    <row r="760">
      <c r="A760" s="4" t="n">
        <v>4561</v>
      </c>
      <c r="B760" s="5" t="n">
        <v>44608</v>
      </c>
      <c r="C760" s="13" t="inlineStr">
        <is>
          <t>VTA</t>
        </is>
      </c>
      <c r="D760" s="13" t="n">
        <v>39</v>
      </c>
      <c r="E760" s="10">
        <f>IF(D760&gt;0,VLOOKUP(OPERAC[[#This Row],[COD CART]],[1]!MatrizCortoLargoCyl[#All],3,0),"")</f>
        <v/>
      </c>
      <c r="F760" s="13" t="inlineStr">
        <is>
          <t>SOLO/V/3,00/18-03-22</t>
        </is>
      </c>
      <c r="G760" s="6" t="n">
        <v>-400</v>
      </c>
      <c r="H760" s="6" t="n">
        <v>342.016</v>
      </c>
      <c r="I760" s="7">
        <f>-H760/G760</f>
        <v/>
      </c>
      <c r="J760" s="11" t="n">
        <v>44628</v>
      </c>
      <c r="K760" s="6" t="n">
        <v>-400</v>
      </c>
      <c r="L760" s="6" t="n">
        <v>-424.96</v>
      </c>
      <c r="M760" s="7">
        <f>IF(N760=0,+L760+H760,0)</f>
        <v/>
      </c>
      <c r="N760" s="7">
        <f>IF((+G760-K760)=0,0,+G760-K760)</f>
        <v/>
      </c>
      <c r="O760" s="7">
        <f>IF(N760=0,0,(L760+H760)/-N760)</f>
        <v/>
      </c>
      <c r="P760" s="7">
        <f>VLOOKUP(OPERAC[[#This Row],[especie]],[1]!ESPECIES[#All],6,0)</f>
        <v/>
      </c>
      <c r="Q760" s="7">
        <f>IF(N760&lt;&gt;0,P760*N760,0)</f>
        <v/>
      </c>
      <c r="R760" s="8">
        <f>IF(Q760&lt;&gt;0,Q760+H760+L760,0)</f>
        <v/>
      </c>
      <c r="S760" s="9">
        <f>VLOOKUP(OPERAC[[#This Row],[especie]],[1]!ESPECIES[#Data],9,FALSE)</f>
        <v/>
      </c>
    </row>
    <row r="761">
      <c r="A761" s="4" t="n">
        <v>3728</v>
      </c>
      <c r="B761" s="5" t="n">
        <v>44693</v>
      </c>
      <c r="C761" s="13" t="inlineStr">
        <is>
          <t>VTA</t>
        </is>
      </c>
      <c r="D761" s="13" t="n">
        <v>39</v>
      </c>
      <c r="E761" s="10">
        <f>IF(D761&gt;0,VLOOKUP(OPERAC[[#This Row],[COD CART]],[1]!MatrizCortoLargoCyl[#All],3,0),"")</f>
        <v/>
      </c>
      <c r="F761" s="13" t="inlineStr">
        <is>
          <t>MELI/V/460,00/20-01-2023</t>
        </is>
      </c>
      <c r="G761" s="6" t="n">
        <v>-5</v>
      </c>
      <c r="H761" s="6" t="n">
        <v>329.67</v>
      </c>
      <c r="I761" s="7">
        <f>-H761/G761</f>
        <v/>
      </c>
      <c r="J761" s="11" t="n"/>
      <c r="K761" s="6" t="n"/>
      <c r="L761" s="6" t="n"/>
      <c r="M761" s="7">
        <f>IF(N761=0,+L761+H761,0)</f>
        <v/>
      </c>
      <c r="N761" s="7">
        <f>IF((+G761-K761)=0,0,+G761-K761)</f>
        <v/>
      </c>
      <c r="O761" s="7">
        <f>IF(N761=0,0,(L761+H761)/-N761)</f>
        <v/>
      </c>
      <c r="P761" s="7">
        <f>VLOOKUP(OPERAC[[#This Row],[especie]],[1]!ESPECIES[#All],6,0)</f>
        <v/>
      </c>
      <c r="Q761" s="7">
        <f>IF(N761&lt;&gt;0,P761*N761,0)</f>
        <v/>
      </c>
      <c r="R761" s="8">
        <f>IF(Q761&lt;&gt;0,Q761+H761+L761,0)</f>
        <v/>
      </c>
      <c r="S761" s="9">
        <f>VLOOKUP(OPERAC[[#This Row],[especie]],[1]!ESPECIES[#Data],9,FALSE)</f>
        <v/>
      </c>
    </row>
    <row r="762">
      <c r="A762" s="4" t="n">
        <v>3820</v>
      </c>
      <c r="B762" s="5" t="n">
        <v>44573</v>
      </c>
      <c r="C762" s="13" t="inlineStr">
        <is>
          <t>VTA</t>
        </is>
      </c>
      <c r="D762" s="13" t="n">
        <v>39</v>
      </c>
      <c r="E762" s="10">
        <f>IF(D762&gt;0,VLOOKUP(OPERAC[[#This Row],[COD CART]],[1]!MatrizCortoLargoCyl[#All],3,0),"")</f>
        <v/>
      </c>
      <c r="F762" s="13" t="inlineStr">
        <is>
          <t>ROKU/V/170,00/21-01-22</t>
        </is>
      </c>
      <c r="G762" s="6" t="n">
        <v>-100</v>
      </c>
      <c r="H762" s="6" t="n">
        <v>326.96</v>
      </c>
      <c r="I762" s="7">
        <f>-H762/G762</f>
        <v/>
      </c>
      <c r="J762" s="11" t="n">
        <v>44582</v>
      </c>
      <c r="K762" s="6" t="n">
        <v>-100</v>
      </c>
      <c r="L762" s="6">
        <f>-OPERAC[[#This Row],[importe]]</f>
        <v/>
      </c>
      <c r="M762" s="7">
        <f>IF(N762=0,+L762+H762,0)</f>
        <v/>
      </c>
      <c r="N762" s="7">
        <f>IF((+G762-K762)=0,0,+G762-K762)</f>
        <v/>
      </c>
      <c r="O762" s="7">
        <f>IF(N762=0,0,(L762+H762)/-N762)</f>
        <v/>
      </c>
      <c r="P762" s="7">
        <f>VLOOKUP(OPERAC[[#This Row],[especie]],[1]!ESPECIES[#All],6,0)</f>
        <v/>
      </c>
      <c r="Q762" s="7">
        <f>IF(N762&lt;&gt;0,P762*N762,0)</f>
        <v/>
      </c>
      <c r="R762" s="8">
        <f>IF(Q762&lt;&gt;0,Q762+H762+L762,0)</f>
        <v/>
      </c>
      <c r="S762" s="9">
        <f>VLOOKUP(OPERAC[[#This Row],[especie]],[1]!ESPECIES[#Data],9,FALSE)</f>
        <v/>
      </c>
    </row>
    <row r="763">
      <c r="A763" s="4" t="n">
        <v>4543</v>
      </c>
      <c r="B763" s="5" t="n">
        <v>44573</v>
      </c>
      <c r="C763" s="13" t="inlineStr">
        <is>
          <t>VTA</t>
        </is>
      </c>
      <c r="D763" s="13" t="n">
        <v>39</v>
      </c>
      <c r="E763" s="10">
        <f>IF(D763&gt;0,VLOOKUP(OPERAC[[#This Row],[COD CART]],[1]!MatrizCortoLargoCyl[#All],3,0),"")</f>
        <v/>
      </c>
      <c r="F763" s="13" t="inlineStr">
        <is>
          <t>ROKU/V/170,00/21-01-22</t>
        </is>
      </c>
      <c r="G763" s="6" t="n">
        <v>-100</v>
      </c>
      <c r="H763" s="6" t="n">
        <v>326.96</v>
      </c>
      <c r="I763" s="7">
        <f>-H763/G763</f>
        <v/>
      </c>
      <c r="J763" s="11" t="n">
        <v>44582</v>
      </c>
      <c r="K763" s="6" t="n">
        <v>-100</v>
      </c>
      <c r="L763" s="6">
        <f>-OPERAC[[#This Row],[importe]]</f>
        <v/>
      </c>
      <c r="M763" s="7">
        <f>IF(N763=0,+L763+H763,0)</f>
        <v/>
      </c>
      <c r="N763" s="7">
        <f>IF((+G763-K763)=0,0,+G763-K763)</f>
        <v/>
      </c>
      <c r="O763" s="7">
        <f>IF(N763=0,0,(L763+H763)/-N763)</f>
        <v/>
      </c>
      <c r="P763" s="7">
        <f>VLOOKUP(OPERAC[[#This Row],[especie]],[1]!ESPECIES[#All],6,0)</f>
        <v/>
      </c>
      <c r="Q763" s="7">
        <f>IF(N763&lt;&gt;0,P763*N763,0)</f>
        <v/>
      </c>
      <c r="R763" s="8">
        <f>IF(Q763&lt;&gt;0,Q763+H763+L763,0)</f>
        <v/>
      </c>
      <c r="S763" s="9">
        <f>VLOOKUP(OPERAC[[#This Row],[especie]],[1]!ESPECIES[#Data],9,FALSE)</f>
        <v/>
      </c>
    </row>
    <row r="764">
      <c r="A764" s="4" t="n">
        <v>7895</v>
      </c>
      <c r="B764" s="5" t="n">
        <v>44573</v>
      </c>
      <c r="C764" s="13" t="inlineStr">
        <is>
          <t>VTA</t>
        </is>
      </c>
      <c r="D764" s="13" t="n">
        <v>39</v>
      </c>
      <c r="E764" s="10">
        <f>IF(D764&gt;0,VLOOKUP(OPERAC[[#This Row],[COD CART]],[1]!MatrizCortoLargoCyl[#All],3,0),"")</f>
        <v/>
      </c>
      <c r="F764" s="13" t="inlineStr">
        <is>
          <t>ROKU/V/170,00/21-01-22</t>
        </is>
      </c>
      <c r="G764" s="6" t="n">
        <v>-100</v>
      </c>
      <c r="H764" s="6" t="n">
        <v>326.96</v>
      </c>
      <c r="I764" s="7">
        <f>-H764/G764</f>
        <v/>
      </c>
      <c r="J764" s="11" t="n">
        <v>44582</v>
      </c>
      <c r="K764" s="6" t="n">
        <v>-100</v>
      </c>
      <c r="L764" s="6">
        <f>-OPERAC[[#This Row],[importe]]</f>
        <v/>
      </c>
      <c r="M764" s="7">
        <f>IF(N764=0,+L764+H764,0)</f>
        <v/>
      </c>
      <c r="N764" s="7">
        <f>IF((+G764-K764)=0,0,+G764-K764)</f>
        <v/>
      </c>
      <c r="O764" s="7">
        <f>IF(N764=0,0,(L764+H764)/-N764)</f>
        <v/>
      </c>
      <c r="P764" s="7">
        <f>VLOOKUP(OPERAC[[#This Row],[especie]],[1]!ESPECIES[#All],6,0)</f>
        <v/>
      </c>
      <c r="Q764" s="7">
        <f>IF(N764&lt;&gt;0,P764*N764,0)</f>
        <v/>
      </c>
      <c r="R764" s="8">
        <f>IF(Q764&lt;&gt;0,Q764+H764+L764,0)</f>
        <v/>
      </c>
      <c r="S764" s="9">
        <f>VLOOKUP(OPERAC[[#This Row],[especie]],[1]!ESPECIES[#Data],9,FALSE)</f>
        <v/>
      </c>
    </row>
    <row r="765">
      <c r="A765" s="12" t="n">
        <v>20312</v>
      </c>
      <c r="B765" s="5" t="n">
        <v>44573</v>
      </c>
      <c r="C765" s="13" t="inlineStr">
        <is>
          <t>VTA</t>
        </is>
      </c>
      <c r="D765" s="13" t="n">
        <v>39</v>
      </c>
      <c r="E765" s="10">
        <f>IF(D765&gt;0,VLOOKUP(OPERAC[[#This Row],[COD CART]],[1]!MatrizCortoLargoCyl[#All],3,0),"")</f>
        <v/>
      </c>
      <c r="F765" s="13" t="inlineStr">
        <is>
          <t>ROKU/V/170,00/21-01-22</t>
        </is>
      </c>
      <c r="G765" s="6" t="n">
        <v>-100</v>
      </c>
      <c r="H765" s="6" t="n">
        <v>326.96</v>
      </c>
      <c r="I765" s="7">
        <f>-H765/G765</f>
        <v/>
      </c>
      <c r="J765" s="11" t="n">
        <v>44582</v>
      </c>
      <c r="K765" s="6" t="n">
        <v>-100</v>
      </c>
      <c r="L765" s="6">
        <f>-OPERAC[[#This Row],[importe]]</f>
        <v/>
      </c>
      <c r="M765" s="7">
        <f>IF(N765=0,+L765+H765,0)</f>
        <v/>
      </c>
      <c r="N765" s="7">
        <f>IF((+G765-K765)=0,0,+G765-K765)</f>
        <v/>
      </c>
      <c r="O765" s="7">
        <f>IF(N765=0,0,(L765+H765)/-N765)</f>
        <v/>
      </c>
      <c r="P765" s="7">
        <f>VLOOKUP(OPERAC[[#This Row],[especie]],[1]!ESPECIES[#All],6,0)</f>
        <v/>
      </c>
      <c r="Q765" s="7">
        <f>IF(N765&lt;&gt;0,P765*N765,0)</f>
        <v/>
      </c>
      <c r="R765" s="8">
        <f>IF(Q765&lt;&gt;0,Q765+H765+L765,0)</f>
        <v/>
      </c>
      <c r="S765" s="9">
        <f>VLOOKUP(OPERAC[[#This Row],[especie]],[1]!ESPECIES[#Data],9,FALSE)</f>
        <v/>
      </c>
    </row>
    <row r="766">
      <c r="A766" s="4" t="n">
        <v>2255</v>
      </c>
      <c r="B766" s="5" t="n">
        <v>44614</v>
      </c>
      <c r="C766" s="13" t="inlineStr">
        <is>
          <t>VTA</t>
        </is>
      </c>
      <c r="D766" s="13" t="n">
        <v>39</v>
      </c>
      <c r="E766" s="10">
        <f>IF(D766&gt;0,VLOOKUP(OPERAC[[#This Row],[COD CART]],[1]!MatrizCortoLargoCyl[#All],3,0),"")</f>
        <v/>
      </c>
      <c r="F766" s="13" t="inlineStr">
        <is>
          <t>MELI/V/500,00/19-01-24</t>
        </is>
      </c>
      <c r="G766" s="6" t="n">
        <v>-5</v>
      </c>
      <c r="H766" s="6" t="n">
        <v>323.7</v>
      </c>
      <c r="I766" s="7">
        <f>-H766/G766</f>
        <v/>
      </c>
      <c r="J766" s="11" t="n"/>
      <c r="K766" s="6" t="n"/>
      <c r="L766" s="6" t="n"/>
      <c r="M766" s="7">
        <f>IF(N766=0,+L766+H766,0)</f>
        <v/>
      </c>
      <c r="N766" s="7">
        <f>IF((+G766-K766)=0,0,+G766-K766)</f>
        <v/>
      </c>
      <c r="O766" s="7">
        <f>IF(N766=0,0,(L766+H766)/-N766)</f>
        <v/>
      </c>
      <c r="P766" s="7">
        <f>VLOOKUP(OPERAC[[#This Row],[especie]],[1]!ESPECIES[#All],6,0)</f>
        <v/>
      </c>
      <c r="Q766" s="7">
        <f>IF(N766&lt;&gt;0,P766*N766,0)</f>
        <v/>
      </c>
      <c r="R766" s="8">
        <f>IF(Q766&lt;&gt;0,Q766+H766+L766,0)</f>
        <v/>
      </c>
      <c r="S766" s="9">
        <f>VLOOKUP(OPERAC[[#This Row],[especie]],[1]!ESPECIES[#Data],9,FALSE)</f>
        <v/>
      </c>
    </row>
    <row r="767">
      <c r="A767" s="4" t="n">
        <v>19878</v>
      </c>
      <c r="B767" s="5" t="n">
        <v>44714</v>
      </c>
      <c r="C767" s="13" t="inlineStr">
        <is>
          <t>VTA</t>
        </is>
      </c>
      <c r="D767" s="13" t="n">
        <v>39</v>
      </c>
      <c r="E767" s="10">
        <f>IF(D767&gt;0,VLOOKUP(OPERAC[[#This Row],[COD CART]],[1]!MatrizCortoLargoCyl[#All],3,0),"")</f>
        <v/>
      </c>
      <c r="F767" s="13" t="inlineStr">
        <is>
          <t>TSLA/C/855,00/03-06-22</t>
        </is>
      </c>
      <c r="G767" s="6" t="n">
        <v>-1000</v>
      </c>
      <c r="H767" s="6" t="n">
        <v>317.92</v>
      </c>
      <c r="I767" s="7">
        <f>-H767/G767</f>
        <v/>
      </c>
      <c r="J767" s="5" t="n">
        <v>44715</v>
      </c>
      <c r="K767" s="6">
        <f>+OPERAC[[#This Row],[cantidad]]</f>
        <v/>
      </c>
      <c r="L767" s="6" t="n">
        <v>0</v>
      </c>
      <c r="M767" s="7">
        <f>IF(N767=0,+L767+H767,0)</f>
        <v/>
      </c>
      <c r="N767" s="7">
        <f>IF((+G767-K767)=0,0,+G767-K767)</f>
        <v/>
      </c>
      <c r="O767" s="7">
        <f>IF(N767=0,0,(L767+H767)/-N767)</f>
        <v/>
      </c>
      <c r="P767" s="7">
        <f>VLOOKUP(OPERAC[[#This Row],[especie]],[1]!ESPECIES[#All],6,0)</f>
        <v/>
      </c>
      <c r="Q767" s="7">
        <f>IF(N767&lt;&gt;0,P767*N767,0)</f>
        <v/>
      </c>
      <c r="R767" s="8">
        <f>IF(Q767&lt;&gt;0,Q767+H767+L767,0)</f>
        <v/>
      </c>
      <c r="S767" s="9">
        <f>VLOOKUP(OPERAC[[#This Row],[especie]],[1]!ESPECIES[#Data],9,FALSE)</f>
        <v/>
      </c>
    </row>
    <row r="768">
      <c r="A768" s="4" t="n">
        <v>13269</v>
      </c>
      <c r="B768" s="5" t="n">
        <v>44714</v>
      </c>
      <c r="C768" s="13" t="inlineStr">
        <is>
          <t>VTA</t>
        </is>
      </c>
      <c r="D768" s="13" t="n">
        <v>39</v>
      </c>
      <c r="E768" s="10">
        <f>IF(D768&gt;0,VLOOKUP(OPERAC[[#This Row],[COD CART]],[1]!MatrizCortoLargoCyl[#All],3,0),"")</f>
        <v/>
      </c>
      <c r="F768" s="13" t="inlineStr">
        <is>
          <t>TSLA/C/855,00/03-06-22</t>
        </is>
      </c>
      <c r="G768" s="6" t="n">
        <v>-1000</v>
      </c>
      <c r="H768" s="6" t="n">
        <v>317.28</v>
      </c>
      <c r="I768" s="7">
        <f>-H768/G768</f>
        <v/>
      </c>
      <c r="J768" s="5" t="n">
        <v>44715</v>
      </c>
      <c r="K768" s="6">
        <f>+OPERAC[[#This Row],[cantidad]]</f>
        <v/>
      </c>
      <c r="L768" s="6" t="n">
        <v>0</v>
      </c>
      <c r="M768" s="7">
        <f>IF(N768=0,+L768+H768,0)</f>
        <v/>
      </c>
      <c r="N768" s="7">
        <f>IF((+G768-K768)=0,0,+G768-K768)</f>
        <v/>
      </c>
      <c r="O768" s="7">
        <f>IF(N768=0,0,(L768+H768)/-N768)</f>
        <v/>
      </c>
      <c r="P768" s="7">
        <f>VLOOKUP(OPERAC[[#This Row],[especie]],[1]!ESPECIES[#All],6,0)</f>
        <v/>
      </c>
      <c r="Q768" s="7">
        <f>IF(N768&lt;&gt;0,P768*N768,0)</f>
        <v/>
      </c>
      <c r="R768" s="8">
        <f>IF(Q768&lt;&gt;0,Q768+H768+L768,0)</f>
        <v/>
      </c>
      <c r="S768" s="9">
        <f>VLOOKUP(OPERAC[[#This Row],[especie]],[1]!ESPECIES[#Data],9,FALSE)</f>
        <v/>
      </c>
    </row>
    <row r="769">
      <c r="A769" s="4" t="n">
        <v>13180</v>
      </c>
      <c r="B769" s="5" t="n">
        <v>44714</v>
      </c>
      <c r="C769" s="13" t="inlineStr">
        <is>
          <t>VTA</t>
        </is>
      </c>
      <c r="D769" s="13" t="n">
        <v>39</v>
      </c>
      <c r="E769" s="10">
        <f>IF(D769&gt;0,VLOOKUP(OPERAC[[#This Row],[COD CART]],[1]!MatrizCortoLargoCyl[#All],3,0),"")</f>
        <v/>
      </c>
      <c r="F769" s="13" t="inlineStr">
        <is>
          <t>TSLA/C/855,00/03-06-22</t>
        </is>
      </c>
      <c r="G769" s="6" t="n">
        <v>-1000</v>
      </c>
      <c r="H769" s="6" t="n">
        <v>317.28</v>
      </c>
      <c r="I769" s="7">
        <f>-H769/G769</f>
        <v/>
      </c>
      <c r="J769" s="5" t="n">
        <v>44715</v>
      </c>
      <c r="K769" s="6">
        <f>+OPERAC[[#This Row],[cantidad]]</f>
        <v/>
      </c>
      <c r="L769" s="6" t="n">
        <v>0</v>
      </c>
      <c r="M769" s="7">
        <f>IF(N769=0,+L769+H769,0)</f>
        <v/>
      </c>
      <c r="N769" s="7">
        <f>IF((+G769-K769)=0,0,+G769-K769)</f>
        <v/>
      </c>
      <c r="O769" s="7">
        <f>IF(N769=0,0,(L769+H769)/-N769)</f>
        <v/>
      </c>
      <c r="P769" s="7">
        <f>VLOOKUP(OPERAC[[#This Row],[especie]],[1]!ESPECIES[#All],6,0)</f>
        <v/>
      </c>
      <c r="Q769" s="7">
        <f>IF(N769&lt;&gt;0,P769*N769,0)</f>
        <v/>
      </c>
      <c r="R769" s="8">
        <f>IF(Q769&lt;&gt;0,Q769+H769+L769,0)</f>
        <v/>
      </c>
      <c r="S769" s="9">
        <f>VLOOKUP(OPERAC[[#This Row],[especie]],[1]!ESPECIES[#Data],9,FALSE)</f>
        <v/>
      </c>
    </row>
    <row r="770">
      <c r="A770" s="4" t="n">
        <v>2289</v>
      </c>
      <c r="B770" s="5" t="n">
        <v>44718</v>
      </c>
      <c r="C770" s="13" t="inlineStr">
        <is>
          <t>VTA</t>
        </is>
      </c>
      <c r="D770" s="13" t="n">
        <v>39</v>
      </c>
      <c r="E770" s="10">
        <f>IF(D770&gt;0,VLOOKUP(OPERAC[[#This Row],[COD CART]],[1]!MatrizCortoLargoCyl[#All],3,0),"")</f>
        <v/>
      </c>
      <c r="F770" s="13" t="inlineStr">
        <is>
          <t>TSLA/C/820,00/10-06-22</t>
        </is>
      </c>
      <c r="G770" s="6" t="n">
        <v>-200</v>
      </c>
      <c r="H770" s="6" t="n">
        <v>317.28</v>
      </c>
      <c r="I770" s="7">
        <f>-H770/G770</f>
        <v/>
      </c>
      <c r="J770" s="5" t="n">
        <v>44720</v>
      </c>
      <c r="K770" s="6" t="n">
        <v>-200</v>
      </c>
      <c r="L770" s="6" t="n">
        <v>-352.975</v>
      </c>
      <c r="M770" s="7">
        <f>IF(N770=0,+L770+H770,0)</f>
        <v/>
      </c>
      <c r="N770" s="7">
        <f>IF((+G770-K770)=0,0,+G770-K770)</f>
        <v/>
      </c>
      <c r="O770" s="7">
        <f>IF(N770=0,0,(L770+H770)/-N770)</f>
        <v/>
      </c>
      <c r="P770" s="7">
        <f>VLOOKUP(OPERAC[[#This Row],[especie]],[1]!ESPECIES[#All],6,0)</f>
        <v/>
      </c>
      <c r="Q770" s="7">
        <f>IF(N770&lt;&gt;0,P770*N770,0)</f>
        <v/>
      </c>
      <c r="R770" s="8">
        <f>IF(Q770&lt;&gt;0,Q770+H770+L770,0)</f>
        <v/>
      </c>
      <c r="S770" s="9">
        <f>VLOOKUP(OPERAC[[#This Row],[especie]],[1]!ESPECIES[#Data],9,FALSE)</f>
        <v/>
      </c>
    </row>
    <row r="771">
      <c r="A771" s="4" t="n">
        <v>18677</v>
      </c>
      <c r="B771" s="5" t="n">
        <v>44690</v>
      </c>
      <c r="C771" s="13" t="inlineStr">
        <is>
          <t>VTA</t>
        </is>
      </c>
      <c r="D771" s="13" t="n">
        <v>39</v>
      </c>
      <c r="E771" s="10">
        <f>IF(D771&gt;0,VLOOKUP(OPERAC[[#This Row],[COD CART]],[1]!MatrizCortoLargoCyl[#All],3,0),"")</f>
        <v/>
      </c>
      <c r="F771" s="13" t="inlineStr">
        <is>
          <t>TSLA/V/700,00/13-05-22</t>
        </is>
      </c>
      <c r="G771" s="6" t="n">
        <v>-100</v>
      </c>
      <c r="H771" s="6" t="n">
        <v>316.2885</v>
      </c>
      <c r="I771" s="7">
        <f>-H771/G771</f>
        <v/>
      </c>
      <c r="J771" s="11" t="n">
        <v>44693</v>
      </c>
      <c r="K771" s="6" t="n">
        <v>-100</v>
      </c>
      <c r="L771" s="6" t="n">
        <v>-3212.8</v>
      </c>
      <c r="M771" s="7">
        <f>IF(N771=0,+L771+H771,0)</f>
        <v/>
      </c>
      <c r="N771" s="7">
        <f>IF((+G771-K771)=0,0,+G771-K771)</f>
        <v/>
      </c>
      <c r="O771" s="7">
        <f>IF(N771=0,0,(L771+H771)/-N771)</f>
        <v/>
      </c>
      <c r="P771" s="7">
        <f>VLOOKUP(OPERAC[[#This Row],[especie]],[1]!ESPECIES[#All],6,0)</f>
        <v/>
      </c>
      <c r="Q771" s="7">
        <f>IF(N771&lt;&gt;0,P771*N771,0)</f>
        <v/>
      </c>
      <c r="R771" s="8">
        <f>IF(Q771&lt;&gt;0,Q771+H771+L771,0)</f>
        <v/>
      </c>
      <c r="S771" s="9">
        <f>VLOOKUP(OPERAC[[#This Row],[especie]],[1]!ESPECIES[#Data],9,FALSE)</f>
        <v/>
      </c>
    </row>
    <row r="772">
      <c r="A772" s="4" t="n">
        <v>18662</v>
      </c>
      <c r="B772" s="5" t="n">
        <v>44340</v>
      </c>
      <c r="C772" s="13" t="inlineStr">
        <is>
          <t>VTA</t>
        </is>
      </c>
      <c r="D772" s="13" t="n">
        <v>39</v>
      </c>
      <c r="E772" s="10">
        <f>IF(D772&gt;0,VLOOKUP(OPERAC[[#This Row],[COD CART]],[1]!MatrizCortoLargoCyl[#All],3,0),"")</f>
        <v/>
      </c>
      <c r="F772" s="13" t="inlineStr">
        <is>
          <t>SOLO/V/3,50/21-01-22</t>
        </is>
      </c>
      <c r="G772" s="6" t="n">
        <v>-300</v>
      </c>
      <c r="H772" s="6" t="n">
        <v>316.2565</v>
      </c>
      <c r="I772" s="7">
        <f>-H772/G772</f>
        <v/>
      </c>
      <c r="J772" s="11" t="n">
        <v>44579</v>
      </c>
      <c r="K772" s="6">
        <f>+OPERAC[[#This Row],[cantidad]]</f>
        <v/>
      </c>
      <c r="L772" s="6">
        <f>-OPERAC[[#This Row],[importe]]</f>
        <v/>
      </c>
      <c r="M772" s="7">
        <f>IF(N772=0,+L772+H772,0)</f>
        <v/>
      </c>
      <c r="N772" s="7">
        <f>IF((+G772-K772)=0,0,+G772-K772)</f>
        <v/>
      </c>
      <c r="O772" s="7">
        <f>IF(N772=0,0,(L772+H772)/-N772)</f>
        <v/>
      </c>
      <c r="P772" s="7">
        <f>VLOOKUP(OPERAC[[#This Row],[especie]],[1]!ESPECIES[#All],6,0)</f>
        <v/>
      </c>
      <c r="Q772" s="7">
        <f>IF(N772&lt;&gt;0,P772*N772,0)</f>
        <v/>
      </c>
      <c r="R772" s="8">
        <f>IF(Q772&lt;&gt;0,Q772+H772+L772,0)</f>
        <v/>
      </c>
      <c r="S772" s="9">
        <f>VLOOKUP(OPERAC[[#This Row],[especie]],[1]!ESPECIES[#Data],9,FALSE)</f>
        <v/>
      </c>
    </row>
    <row r="773">
      <c r="A773" s="4" t="n">
        <v>3728</v>
      </c>
      <c r="B773" s="5" t="n">
        <v>44531</v>
      </c>
      <c r="C773" s="13" t="inlineStr">
        <is>
          <t>VTA</t>
        </is>
      </c>
      <c r="D773" s="13" t="n">
        <v>39</v>
      </c>
      <c r="E773" s="10">
        <f>IF(D773&gt;0,VLOOKUP(OPERAC[[#This Row],[COD CART]],[1]!MatrizCortoLargoCyl[#All],3,0),"")</f>
        <v/>
      </c>
      <c r="F773" s="13" t="inlineStr">
        <is>
          <t>MELI/V/740,00/20-01-23</t>
        </is>
      </c>
      <c r="G773" s="6" t="n">
        <v>-5</v>
      </c>
      <c r="H773" s="6" t="n">
        <v>314.68</v>
      </c>
      <c r="I773" s="7">
        <f>-H773/G773</f>
        <v/>
      </c>
      <c r="J773" s="11" t="n"/>
      <c r="K773" s="6" t="n"/>
      <c r="L773" s="6" t="n"/>
      <c r="M773" s="7">
        <f>IF(N773=0,+L773+H773,0)</f>
        <v/>
      </c>
      <c r="N773" s="7">
        <f>IF((+G773-K773)=0,0,+G773-K773)</f>
        <v/>
      </c>
      <c r="O773" s="7">
        <f>IF(N773=0,0,(L773+H773)/-N773)</f>
        <v/>
      </c>
      <c r="P773" s="7">
        <f>VLOOKUP(OPERAC[[#This Row],[especie]],[1]!ESPECIES[#All],6,0)</f>
        <v/>
      </c>
      <c r="Q773" s="7">
        <f>IF(N773&lt;&gt;0,P773*N773,0)</f>
        <v/>
      </c>
      <c r="R773" s="8">
        <f>IF(Q773&lt;&gt;0,Q773+H773+L773,0)</f>
        <v/>
      </c>
      <c r="S773" s="9">
        <f>VLOOKUP(OPERAC[[#This Row],[especie]],[1]!ESPECIES[#Data],9,FALSE)</f>
        <v/>
      </c>
    </row>
    <row r="774">
      <c r="A774" s="4" t="n">
        <v>3728</v>
      </c>
      <c r="B774" s="5" t="n">
        <v>44474</v>
      </c>
      <c r="C774" s="13" t="inlineStr">
        <is>
          <t>VTA</t>
        </is>
      </c>
      <c r="D774" s="13" t="n">
        <v>39</v>
      </c>
      <c r="E774" s="10">
        <f>IF(D774&gt;0,VLOOKUP(OPERAC[[#This Row],[COD CART]],[1]!MatrizCortoLargoCyl[#All],3,0),"")</f>
        <v/>
      </c>
      <c r="F774" s="13" t="inlineStr">
        <is>
          <t>NKE/V/115,00/21-01-22</t>
        </is>
      </c>
      <c r="G774" s="6" t="n">
        <v>-300</v>
      </c>
      <c r="H774" s="6" t="n">
        <v>312.339</v>
      </c>
      <c r="I774" s="7">
        <f>-H774/G774</f>
        <v/>
      </c>
      <c r="J774" s="11" t="n">
        <v>44582</v>
      </c>
      <c r="K774" s="6">
        <f>+OPERAC[[#This Row],[cantidad]]</f>
        <v/>
      </c>
      <c r="L774" s="6" t="n">
        <v>0</v>
      </c>
      <c r="M774" s="7">
        <f>IF(N774=0,+L774+H774,0)</f>
        <v/>
      </c>
      <c r="N774" s="7">
        <f>IF((+G774-K774)=0,0,+G774-K774)</f>
        <v/>
      </c>
      <c r="O774" s="7">
        <f>IF(N774=0,0,(L774+H774)/-N774)</f>
        <v/>
      </c>
      <c r="P774" s="7">
        <f>VLOOKUP(OPERAC[[#This Row],[especie]],[1]!ESPECIES[#All],6,0)</f>
        <v/>
      </c>
      <c r="Q774" s="7">
        <f>IF(N774&lt;&gt;0,P774*N774,0)</f>
        <v/>
      </c>
      <c r="R774" s="8">
        <f>IF(Q774&lt;&gt;0,Q774+H774+L774,0)</f>
        <v/>
      </c>
      <c r="S774" s="9">
        <f>VLOOKUP(OPERAC[[#This Row],[especie]],[1]!ESPECIES[#Data],9,FALSE)</f>
        <v/>
      </c>
    </row>
    <row r="775">
      <c r="A775" s="4" t="n">
        <v>26138</v>
      </c>
      <c r="B775" s="5" t="n">
        <v>44340</v>
      </c>
      <c r="C775" s="13" t="inlineStr">
        <is>
          <t>VTA</t>
        </is>
      </c>
      <c r="D775" s="13" t="n">
        <v>39</v>
      </c>
      <c r="E775" s="10">
        <f>IF(D775&gt;0,VLOOKUP(OPERAC[[#This Row],[COD CART]],[1]!MatrizCortoLargoCyl[#All],3,0),"")</f>
        <v/>
      </c>
      <c r="F775" s="13" t="inlineStr">
        <is>
          <t>SOLO/V/3,50/21-01-22</t>
        </is>
      </c>
      <c r="G775" s="6" t="n">
        <v>-300</v>
      </c>
      <c r="H775" s="6" t="n">
        <v>311.2565</v>
      </c>
      <c r="I775" s="7">
        <f>-H775/G775</f>
        <v/>
      </c>
      <c r="J775" s="11" t="n">
        <v>44579</v>
      </c>
      <c r="K775" s="6">
        <f>+OPERAC[[#This Row],[cantidad]]</f>
        <v/>
      </c>
      <c r="L775" s="6">
        <f>-OPERAC[[#This Row],[importe]]</f>
        <v/>
      </c>
      <c r="M775" s="7">
        <f>IF(N775=0,+L775+H775,0)</f>
        <v/>
      </c>
      <c r="N775" s="7">
        <f>IF((+G775-K775)=0,0,+G775-K775)</f>
        <v/>
      </c>
      <c r="O775" s="7">
        <f>IF(N775=0,0,(L775+H775)/-N775)</f>
        <v/>
      </c>
      <c r="P775" s="7">
        <f>VLOOKUP(OPERAC[[#This Row],[especie]],[1]!ESPECIES[#All],6,0)</f>
        <v/>
      </c>
      <c r="Q775" s="7">
        <f>IF(N775&lt;&gt;0,P775*N775,0)</f>
        <v/>
      </c>
      <c r="R775" s="8">
        <f>IF(Q775&lt;&gt;0,Q775+H775+L775,0)</f>
        <v/>
      </c>
      <c r="S775" s="9">
        <f>VLOOKUP(OPERAC[[#This Row],[especie]],[1]!ESPECIES[#Data],9,FALSE)</f>
        <v/>
      </c>
    </row>
    <row r="776">
      <c r="A776" s="4" t="n">
        <v>3835</v>
      </c>
      <c r="B776" s="5" t="n">
        <v>44572</v>
      </c>
      <c r="C776" s="13" t="inlineStr">
        <is>
          <t>VTA</t>
        </is>
      </c>
      <c r="D776" s="13" t="n">
        <v>39</v>
      </c>
      <c r="E776" s="10">
        <f>IF(D776&gt;0,VLOOKUP(OPERAC[[#This Row],[COD CART]],[1]!MatrizCortoLargoCyl[#All],3,0),"")</f>
        <v/>
      </c>
      <c r="F776" s="13" t="inlineStr">
        <is>
          <t>ROKU/V/165,00/14-01-22</t>
        </is>
      </c>
      <c r="G776" s="6" t="n">
        <v>-1000</v>
      </c>
      <c r="H776" s="6" t="n">
        <v>307.79</v>
      </c>
      <c r="I776" s="7">
        <f>-H776/G776</f>
        <v/>
      </c>
      <c r="J776" s="11" t="n">
        <v>44575</v>
      </c>
      <c r="K776" s="6" t="n">
        <v>-1000</v>
      </c>
      <c r="L776" s="6" t="n">
        <v>-307.79</v>
      </c>
      <c r="M776" s="7">
        <f>IF(N776=0,+L776+H776,0)</f>
        <v/>
      </c>
      <c r="N776" s="7">
        <f>IF((+G776-K776)=0,0,+G776-K776)</f>
        <v/>
      </c>
      <c r="O776" s="7">
        <f>IF(N776=0,0,(L776+H776)/-N776)</f>
        <v/>
      </c>
      <c r="P776" s="7">
        <f>VLOOKUP(OPERAC[[#This Row],[especie]],[1]!ESPECIES[#All],6,0)</f>
        <v/>
      </c>
      <c r="Q776" s="7">
        <f>IF(N776&lt;&gt;0,P776*N776,0)</f>
        <v/>
      </c>
      <c r="R776" s="8">
        <f>IF(Q776&lt;&gt;0,Q776+H776+L776,0)</f>
        <v/>
      </c>
      <c r="S776" s="9">
        <f>VLOOKUP(OPERAC[[#This Row],[especie]],[1]!ESPECIES[#Data],9,FALSE)</f>
        <v/>
      </c>
    </row>
    <row r="777">
      <c r="A777" s="4" t="n">
        <v>3835</v>
      </c>
      <c r="B777" s="5" t="n">
        <v>44572</v>
      </c>
      <c r="C777" s="13" t="inlineStr">
        <is>
          <t>VTA</t>
        </is>
      </c>
      <c r="D777" s="13" t="n">
        <v>39</v>
      </c>
      <c r="E777" s="10">
        <f>IF(D777&gt;0,VLOOKUP(OPERAC[[#This Row],[COD CART]],[1]!MatrizCortoLargoCyl[#All],3,0),"")</f>
        <v/>
      </c>
      <c r="F777" s="13" t="inlineStr">
        <is>
          <t>ROKU/V/165,00/14-01-22</t>
        </is>
      </c>
      <c r="G777" s="6" t="n">
        <v>-1000</v>
      </c>
      <c r="H777" s="6" t="n">
        <v>307.79</v>
      </c>
      <c r="I777" s="7">
        <f>-H777/G777</f>
        <v/>
      </c>
      <c r="J777" s="11" t="n">
        <v>44575</v>
      </c>
      <c r="K777" s="6" t="n">
        <v>-1000</v>
      </c>
      <c r="L777" s="6" t="n">
        <v>-307.79</v>
      </c>
      <c r="M777" s="7">
        <f>IF(N777=0,+L777+H777,0)</f>
        <v/>
      </c>
      <c r="N777" s="7">
        <f>IF((+G777-K777)=0,0,+G777-K777)</f>
        <v/>
      </c>
      <c r="O777" s="7">
        <f>IF(N777=0,0,(L777+H777)/-N777)</f>
        <v/>
      </c>
      <c r="P777" s="7">
        <f>VLOOKUP(OPERAC[[#This Row],[especie]],[1]!ESPECIES[#All],6,0)</f>
        <v/>
      </c>
      <c r="Q777" s="7">
        <f>IF(N777&lt;&gt;0,P777*N777,0)</f>
        <v/>
      </c>
      <c r="R777" s="8">
        <f>IF(Q777&lt;&gt;0,Q777+H777+L777,0)</f>
        <v/>
      </c>
      <c r="S777" s="9">
        <f>VLOOKUP(OPERAC[[#This Row],[especie]],[1]!ESPECIES[#Data],9,FALSE)</f>
        <v/>
      </c>
    </row>
    <row r="778">
      <c r="A778" s="4" t="n">
        <v>18677</v>
      </c>
      <c r="B778" s="5" t="n">
        <v>44698</v>
      </c>
      <c r="C778" s="13" t="inlineStr">
        <is>
          <t>VTA</t>
        </is>
      </c>
      <c r="D778" s="13" t="n">
        <v>39</v>
      </c>
      <c r="E778" s="10">
        <f>IF(D778&gt;0,VLOOKUP(OPERAC[[#This Row],[COD CART]],[1]!MatrizCortoLargoCyl[#All],3,0),"")</f>
        <v/>
      </c>
      <c r="F778" s="13" t="inlineStr">
        <is>
          <t>TSLA/P/655,00/20-05-22</t>
        </is>
      </c>
      <c r="G778" s="6" t="n">
        <v>-100</v>
      </c>
      <c r="H778" s="6" t="n">
        <v>302.4075</v>
      </c>
      <c r="I778" s="7">
        <f>-H778/G778</f>
        <v/>
      </c>
      <c r="J778" s="11" t="n">
        <v>44700</v>
      </c>
      <c r="K778" s="6" t="n">
        <v>-100</v>
      </c>
      <c r="L778" s="6" t="n">
        <v>-130.197</v>
      </c>
      <c r="M778" s="7">
        <f>IF(N778=0,+L778+H778,0)</f>
        <v/>
      </c>
      <c r="N778" s="7">
        <f>IF((+G778-K778)=0,0,+G778-K778)</f>
        <v/>
      </c>
      <c r="O778" s="7">
        <f>IF(N778=0,0,(L778+H778)/-N778)</f>
        <v/>
      </c>
      <c r="P778" s="7">
        <f>VLOOKUP(OPERAC[[#This Row],[especie]],[1]!ESPECIES[#All],6,0)</f>
        <v/>
      </c>
      <c r="Q778" s="7">
        <f>IF(N778&lt;&gt;0,P778*N778,0)</f>
        <v/>
      </c>
      <c r="R778" s="8">
        <f>IF(Q778&lt;&gt;0,Q778+H778+L778,0)</f>
        <v/>
      </c>
      <c r="S778" s="9">
        <f>VLOOKUP(OPERAC[[#This Row],[especie]],[1]!ESPECIES[#Data],9,FALSE)</f>
        <v/>
      </c>
    </row>
    <row r="779">
      <c r="A779" s="4" t="n">
        <v>4543</v>
      </c>
      <c r="B779" s="5" t="n">
        <v>44596</v>
      </c>
      <c r="C779" s="13" t="inlineStr">
        <is>
          <t>VTA</t>
        </is>
      </c>
      <c r="D779" s="13" t="n">
        <v>39</v>
      </c>
      <c r="E779" s="10">
        <f>IF(D779&gt;0,VLOOKUP(OPERAC[[#This Row],[COD CART]],[1]!MatrizCortoLargoCyl[#All],3,0),"")</f>
        <v/>
      </c>
      <c r="F779" s="13" t="inlineStr">
        <is>
          <t>SMH/V/260,00/11-02-22</t>
        </is>
      </c>
      <c r="G779" s="6" t="n">
        <v>-100</v>
      </c>
      <c r="H779" s="6" t="n">
        <v>300.863</v>
      </c>
      <c r="I779" s="7">
        <f>-H779/G779</f>
        <v/>
      </c>
      <c r="J779" s="11" t="n">
        <v>44603</v>
      </c>
      <c r="K779" s="6" t="n">
        <v>-100</v>
      </c>
      <c r="L779" s="6" t="n">
        <v>-10</v>
      </c>
      <c r="M779" s="7">
        <f>IF(N779=0,+L779+H779,0)</f>
        <v/>
      </c>
      <c r="N779" s="7">
        <f>IF((+G779-K779)=0,0,+G779-K779)</f>
        <v/>
      </c>
      <c r="O779" s="7">
        <f>IF(N779=0,0,(L779+H779)/-N779)</f>
        <v/>
      </c>
      <c r="P779" s="7">
        <f>VLOOKUP(OPERAC[[#This Row],[especie]],[1]!ESPECIES[#All],6,0)</f>
        <v/>
      </c>
      <c r="Q779" s="7">
        <f>IF(N779&lt;&gt;0,P779*N779,0)</f>
        <v/>
      </c>
      <c r="R779" s="8">
        <f>IF(Q779&lt;&gt;0,Q779+H779+L779,0)</f>
        <v/>
      </c>
      <c r="S779" s="9">
        <f>VLOOKUP(OPERAC[[#This Row],[especie]],[1]!ESPECIES[#Data],9,FALSE)</f>
        <v/>
      </c>
    </row>
    <row r="780">
      <c r="A780" s="4" t="n">
        <v>6628</v>
      </c>
      <c r="B780" s="5" t="n">
        <v>44596</v>
      </c>
      <c r="C780" s="13" t="inlineStr">
        <is>
          <t>VTA</t>
        </is>
      </c>
      <c r="D780" s="13" t="n">
        <v>39</v>
      </c>
      <c r="E780" s="10">
        <f>IF(D780&gt;0,VLOOKUP(OPERAC[[#This Row],[COD CART]],[1]!MatrizCortoLargoCyl[#All],3,0),"")</f>
        <v/>
      </c>
      <c r="F780" s="13" t="inlineStr">
        <is>
          <t>SMH/V/260,00/11-02-22</t>
        </is>
      </c>
      <c r="G780" s="6" t="n">
        <v>-100</v>
      </c>
      <c r="H780" s="6" t="n">
        <v>300.863</v>
      </c>
      <c r="I780" s="7">
        <f>-H780/G780</f>
        <v/>
      </c>
      <c r="J780" s="11" t="n">
        <v>44603</v>
      </c>
      <c r="K780" s="6" t="n">
        <v>-100</v>
      </c>
      <c r="L780" s="6" t="n">
        <v>-10</v>
      </c>
      <c r="M780" s="7">
        <f>IF(N780=0,+L780+H780,0)</f>
        <v/>
      </c>
      <c r="N780" s="7">
        <f>IF((+G780-K780)=0,0,+G780-K780)</f>
        <v/>
      </c>
      <c r="O780" s="7">
        <f>IF(N780=0,0,(L780+H780)/-N780)</f>
        <v/>
      </c>
      <c r="P780" s="7">
        <f>VLOOKUP(OPERAC[[#This Row],[especie]],[1]!ESPECIES[#All],6,0)</f>
        <v/>
      </c>
      <c r="Q780" s="7">
        <f>IF(N780&lt;&gt;0,P780*N780,0)</f>
        <v/>
      </c>
      <c r="R780" s="8">
        <f>IF(Q780&lt;&gt;0,Q780+H780+L780,0)</f>
        <v/>
      </c>
      <c r="S780" s="9">
        <f>VLOOKUP(OPERAC[[#This Row],[especie]],[1]!ESPECIES[#Data],9,FALSE)</f>
        <v/>
      </c>
    </row>
    <row r="781">
      <c r="A781" s="4" t="n">
        <v>7493</v>
      </c>
      <c r="B781" s="5" t="n">
        <v>44596</v>
      </c>
      <c r="C781" s="13" t="inlineStr">
        <is>
          <t>VTA</t>
        </is>
      </c>
      <c r="D781" s="13" t="n">
        <v>39</v>
      </c>
      <c r="E781" s="10">
        <f>IF(D781&gt;0,VLOOKUP(OPERAC[[#This Row],[COD CART]],[1]!MatrizCortoLargoCyl[#All],3,0),"")</f>
        <v/>
      </c>
      <c r="F781" s="13" t="inlineStr">
        <is>
          <t>SMH/V/260,00/11-02-22</t>
        </is>
      </c>
      <c r="G781" s="6" t="n">
        <v>-100</v>
      </c>
      <c r="H781" s="6" t="n">
        <v>300.863</v>
      </c>
      <c r="I781" s="7">
        <f>-H781/G781</f>
        <v/>
      </c>
      <c r="J781" s="11" t="n">
        <v>44603</v>
      </c>
      <c r="K781" s="6" t="n">
        <v>-100</v>
      </c>
      <c r="L781" s="6" t="n">
        <v>-10</v>
      </c>
      <c r="M781" s="7">
        <f>IF(N781=0,+L781+H781,0)</f>
        <v/>
      </c>
      <c r="N781" s="7">
        <f>IF((+G781-K781)=0,0,+G781-K781)</f>
        <v/>
      </c>
      <c r="O781" s="7">
        <f>IF(N781=0,0,(L781+H781)/-N781)</f>
        <v/>
      </c>
      <c r="P781" s="7">
        <f>VLOOKUP(OPERAC[[#This Row],[especie]],[1]!ESPECIES[#All],6,0)</f>
        <v/>
      </c>
      <c r="Q781" s="7">
        <f>IF(N781&lt;&gt;0,P781*N781,0)</f>
        <v/>
      </c>
      <c r="R781" s="8">
        <f>IF(Q781&lt;&gt;0,Q781+H781+L781,0)</f>
        <v/>
      </c>
      <c r="S781" s="9">
        <f>VLOOKUP(OPERAC[[#This Row],[especie]],[1]!ESPECIES[#Data],9,FALSE)</f>
        <v/>
      </c>
    </row>
    <row r="782">
      <c r="A782" s="4" t="n">
        <v>18663</v>
      </c>
      <c r="B782" s="5" t="n">
        <v>44406</v>
      </c>
      <c r="C782" s="13" t="inlineStr">
        <is>
          <t>VTA</t>
        </is>
      </c>
      <c r="D782" s="13" t="n">
        <v>41</v>
      </c>
      <c r="E782" s="10">
        <f>IF(D782&gt;0,VLOOKUP(OPERAC[[#This Row],[COD CART]],[1]!MatrizCortoLargoCyl[#All],3,0),"")</f>
        <v/>
      </c>
      <c r="F782" s="13" t="inlineStr">
        <is>
          <t>NRZ</t>
        </is>
      </c>
      <c r="G782" s="6" t="n">
        <v>30</v>
      </c>
      <c r="H782" s="6" t="n">
        <v>297.503</v>
      </c>
      <c r="I782" s="7">
        <f>-H782/G782</f>
        <v/>
      </c>
      <c r="J782" s="11" t="n"/>
      <c r="K782" s="6" t="n"/>
      <c r="L782" s="6" t="n"/>
      <c r="M782" s="7">
        <f>IF(N782=0,+L782+H782,0)</f>
        <v/>
      </c>
      <c r="N782" s="7">
        <f>IF((+G782-K782)=0,0,+G782-K782)</f>
        <v/>
      </c>
      <c r="O782" s="7">
        <f>IF(N782=0,0,(L782+H782)/-N782)</f>
        <v/>
      </c>
      <c r="P782" s="7">
        <f>VLOOKUP(OPERAC[[#This Row],[especie]],[1]!ESPECIES[#All],6,0)</f>
        <v/>
      </c>
      <c r="Q782" s="7">
        <f>IF(N782&lt;&gt;0,P782*N782,0)</f>
        <v/>
      </c>
      <c r="R782" s="8">
        <f>IF(Q782&lt;&gt;0,Q782+H782+L782,0)</f>
        <v/>
      </c>
      <c r="S782" s="9">
        <f>VLOOKUP(OPERAC[[#This Row],[especie]],[1]!ESPECIES[#Data],9,FALSE)</f>
        <v/>
      </c>
    </row>
    <row r="783">
      <c r="A783" s="4" t="n">
        <v>16795</v>
      </c>
      <c r="B783" s="5" t="n">
        <v>44543</v>
      </c>
      <c r="C783" s="13" t="inlineStr">
        <is>
          <t>VTA</t>
        </is>
      </c>
      <c r="D783" s="13" t="n">
        <v>39</v>
      </c>
      <c r="E783" s="10">
        <f>IF(D783&gt;0,VLOOKUP(OPERAC[[#This Row],[COD CART]],[1]!MatrizCortoLargoCyl[#All],3,0),"")</f>
        <v/>
      </c>
      <c r="F783" s="13" t="inlineStr">
        <is>
          <t>NKE/V/145,00/07-01-22</t>
        </is>
      </c>
      <c r="G783" s="6" t="n">
        <v>-300</v>
      </c>
      <c r="H783" s="6" t="n">
        <v>296.478</v>
      </c>
      <c r="I783" s="7">
        <f>-H783/G783</f>
        <v/>
      </c>
      <c r="J783" s="11" t="n">
        <v>44566</v>
      </c>
      <c r="K783" s="6" t="n">
        <v>-300</v>
      </c>
      <c r="L783" s="6" t="n">
        <v>-6.048</v>
      </c>
      <c r="M783" s="7">
        <f>IF(N783=0,+L783+H783,0)</f>
        <v/>
      </c>
      <c r="N783" s="7">
        <f>IF((+G783-K783)=0,0,+G783-K783)</f>
        <v/>
      </c>
      <c r="O783" s="7">
        <f>IF(N783=0,0,(L783+H783)/-N783)</f>
        <v/>
      </c>
      <c r="P783" s="7">
        <f>VLOOKUP(OPERAC[[#This Row],[especie]],[1]!ESPECIES[#All],6,0)</f>
        <v/>
      </c>
      <c r="Q783" s="7">
        <f>IF(N783&lt;&gt;0,P783*N783,0)</f>
        <v/>
      </c>
      <c r="R783" s="8">
        <f>IF(Q783&lt;&gt;0,Q783+H783+L783,0)</f>
        <v/>
      </c>
      <c r="S783" s="9">
        <f>VLOOKUP(OPERAC[[#This Row],[especie]],[1]!ESPECIES[#Data],9,FALSE)</f>
        <v/>
      </c>
    </row>
    <row r="784">
      <c r="A784" s="4" t="n">
        <v>1807</v>
      </c>
      <c r="B784" s="5" t="n">
        <v>44574</v>
      </c>
      <c r="C784" s="13" t="inlineStr">
        <is>
          <t>VTA</t>
        </is>
      </c>
      <c r="D784" s="13" t="n">
        <v>39</v>
      </c>
      <c r="E784" s="10">
        <f>IF(D784&gt;0,VLOOKUP(OPERAC[[#This Row],[COD CART]],[1]!MatrizCortoLargoCyl[#All],3,0),"")</f>
        <v/>
      </c>
      <c r="F784" s="13" t="inlineStr">
        <is>
          <t>ACB/V/6,00/21-01-22</t>
        </is>
      </c>
      <c r="G784" s="6" t="n">
        <v>-600</v>
      </c>
      <c r="H784" s="6" t="n">
        <v>292.249</v>
      </c>
      <c r="I784" s="7">
        <f>-H784/G784</f>
        <v/>
      </c>
      <c r="J784" s="11" t="n">
        <v>44581</v>
      </c>
      <c r="K784" s="6">
        <f>+OPERAC[[#This Row],[cantidad]]</f>
        <v/>
      </c>
      <c r="L784" s="6">
        <f>-OPERAC[[#This Row],[importe]]</f>
        <v/>
      </c>
      <c r="M784" s="7">
        <f>IF(N784=0,+L784+H784,0)</f>
        <v/>
      </c>
      <c r="N784" s="7">
        <f>IF((+G784-K784)=0,0,+G784-K784)</f>
        <v/>
      </c>
      <c r="O784" s="7">
        <f>IF(N784=0,0,(L784+H784)/-N784)</f>
        <v/>
      </c>
      <c r="P784" s="7">
        <f>VLOOKUP(OPERAC[[#This Row],[especie]],[1]!ESPECIES[#All],6,0)</f>
        <v/>
      </c>
      <c r="Q784" s="7">
        <f>IF(N784&lt;&gt;0,P784*N784,0)</f>
        <v/>
      </c>
      <c r="R784" s="8">
        <f>IF(Q784&lt;&gt;0,Q784+H784+L784,0)</f>
        <v/>
      </c>
      <c r="S784" s="9">
        <f>VLOOKUP(OPERAC[[#This Row],[especie]],[1]!ESPECIES[#Data],9,FALSE)</f>
        <v/>
      </c>
    </row>
    <row r="785">
      <c r="A785" s="4" t="n">
        <v>12619</v>
      </c>
      <c r="B785" s="5" t="n">
        <v>44424</v>
      </c>
      <c r="C785" s="13" t="inlineStr">
        <is>
          <t>VTA</t>
        </is>
      </c>
      <c r="D785" s="13" t="n">
        <v>39</v>
      </c>
      <c r="E785" s="10">
        <f>IF(D785&gt;0,VLOOKUP(OPERAC[[#This Row],[COD CART]],[1]!MatrizCortoLargoCyl[#All],3,0),"")</f>
        <v/>
      </c>
      <c r="F785" s="13" t="inlineStr">
        <is>
          <t>ACB/V/5,00/20-01-23</t>
        </is>
      </c>
      <c r="G785" s="6" t="n">
        <v>-200</v>
      </c>
      <c r="H785" s="6" t="n">
        <v>287.5606</v>
      </c>
      <c r="I785" s="7">
        <f>-H785/G785</f>
        <v/>
      </c>
      <c r="J785" s="11" t="n">
        <v>44582</v>
      </c>
      <c r="K785" s="6" t="n">
        <v>-200</v>
      </c>
      <c r="L785" s="6">
        <f>-OPERAC[[#This Row],[importe]]</f>
        <v/>
      </c>
      <c r="M785" s="7">
        <f>IF(N785=0,+L785+H785,0)</f>
        <v/>
      </c>
      <c r="N785" s="7">
        <f>IF((+G785-K785)=0,0,+G785-K785)</f>
        <v/>
      </c>
      <c r="O785" s="7">
        <f>IF(N785=0,0,(L785+H785)/-N785)</f>
        <v/>
      </c>
      <c r="P785" s="7">
        <f>VLOOKUP(OPERAC[[#This Row],[especie]],[1]!ESPECIES[#All],6,0)</f>
        <v/>
      </c>
      <c r="Q785" s="7">
        <f>IF(N785&lt;&gt;0,P785*N785,0)</f>
        <v/>
      </c>
      <c r="R785" s="8">
        <f>IF(Q785&lt;&gt;0,Q785+H785+L785,0)</f>
        <v/>
      </c>
      <c r="S785" s="9">
        <f>VLOOKUP(OPERAC[[#This Row],[especie]],[1]!ESPECIES[#Data],9,FALSE)</f>
        <v/>
      </c>
    </row>
    <row r="786">
      <c r="A786" s="4" t="n">
        <v>1807</v>
      </c>
      <c r="B786" s="5" t="n">
        <v>44560</v>
      </c>
      <c r="C786" s="13" t="inlineStr">
        <is>
          <t>VTA</t>
        </is>
      </c>
      <c r="D786" s="13" t="n">
        <v>39</v>
      </c>
      <c r="E786" s="10">
        <f>IF(D786&gt;0,VLOOKUP(OPERAC[[#This Row],[COD CART]],[1]!MatrizCortoLargoCyl[#All],3,0),"")</f>
        <v/>
      </c>
      <c r="F786" s="13" t="inlineStr">
        <is>
          <t>ACB/V/6,00/07-01-22</t>
        </is>
      </c>
      <c r="G786" s="6" t="n">
        <v>-600</v>
      </c>
      <c r="H786" s="6" t="n">
        <v>287.529</v>
      </c>
      <c r="I786" s="7">
        <f>-H786/G786</f>
        <v/>
      </c>
      <c r="J786" s="11" t="n">
        <v>44567</v>
      </c>
      <c r="K786" s="6" t="n">
        <v>-600</v>
      </c>
      <c r="L786" s="6" t="n">
        <v>-287.53</v>
      </c>
      <c r="M786" s="7">
        <f>IF(N786=0,+L786+H786,0)</f>
        <v/>
      </c>
      <c r="N786" s="7">
        <f>IF((+G786-K786)=0,0,+G786-K786)</f>
        <v/>
      </c>
      <c r="O786" s="7">
        <f>IF(N786=0,0,(L786+H786)/-N786)</f>
        <v/>
      </c>
      <c r="P786" s="7">
        <f>VLOOKUP(OPERAC[[#This Row],[especie]],[1]!ESPECIES[#All],6,0)</f>
        <v/>
      </c>
      <c r="Q786" s="7">
        <f>IF(N786&lt;&gt;0,P786*N786,0)</f>
        <v/>
      </c>
      <c r="R786" s="8">
        <f>IF(Q786&lt;&gt;0,Q786+H786+L786,0)</f>
        <v/>
      </c>
      <c r="S786" s="9">
        <f>VLOOKUP(OPERAC[[#This Row],[especie]],[1]!ESPECIES[#Data],9,FALSE)</f>
        <v/>
      </c>
    </row>
    <row r="787">
      <c r="A787" s="4" t="n">
        <v>2211</v>
      </c>
      <c r="B787" s="5" t="n">
        <v>44718</v>
      </c>
      <c r="C787" s="13" t="inlineStr">
        <is>
          <t>VTA</t>
        </is>
      </c>
      <c r="D787" s="13" t="n">
        <v>41</v>
      </c>
      <c r="E787" s="10">
        <f>IF(D787&gt;0,VLOOKUP(OPERAC[[#This Row],[COD CART]],[1]!MatrizCortoLargoCyl[#All],3,0),"")</f>
        <v/>
      </c>
      <c r="F787" s="13" t="inlineStr">
        <is>
          <t>SPY/C/412,00/08-06-22</t>
        </is>
      </c>
      <c r="G787" s="6" t="n">
        <v>-100</v>
      </c>
      <c r="H787" s="6" t="n">
        <v>286.544</v>
      </c>
      <c r="I787" s="7">
        <f>-H787/G787</f>
        <v/>
      </c>
      <c r="J787" s="5" t="n">
        <v>44719</v>
      </c>
      <c r="K787" s="6" t="n">
        <v>-100</v>
      </c>
      <c r="L787" s="6" t="n">
        <v>-269.99</v>
      </c>
      <c r="M787" s="7">
        <f>IF(N787=0,+L787+H787,0)</f>
        <v/>
      </c>
      <c r="N787" s="7">
        <f>IF((+G787-K787)=0,0,+G787-K787)</f>
        <v/>
      </c>
      <c r="O787" s="7">
        <f>IF(N787=0,0,(L787+H787)/-N787)</f>
        <v/>
      </c>
      <c r="P787" s="7">
        <f>VLOOKUP(OPERAC[[#This Row],[especie]],[1]!ESPECIES[#All],6,0)</f>
        <v/>
      </c>
      <c r="Q787" s="7">
        <f>IF(N787&lt;&gt;0,P787*N787,0)</f>
        <v/>
      </c>
      <c r="R787" s="8">
        <f>IF(Q787&lt;&gt;0,Q787+H787+L787,0)</f>
        <v/>
      </c>
      <c r="S787" s="9">
        <f>VLOOKUP(OPERAC[[#This Row],[especie]],[1]!ESPECIES[#Data],9,FALSE)</f>
        <v/>
      </c>
    </row>
    <row r="788">
      <c r="A788" s="4" t="n">
        <v>12652</v>
      </c>
      <c r="B788" s="5" t="n">
        <v>44579</v>
      </c>
      <c r="C788" s="13" t="inlineStr">
        <is>
          <t>VTA</t>
        </is>
      </c>
      <c r="D788" s="13" t="n">
        <v>39</v>
      </c>
      <c r="E788" s="10">
        <f>IF(D788&gt;0,VLOOKUP(OPERAC[[#This Row],[COD CART]],[1]!MatrizCortoLargoCyl[#All],3,0),"")</f>
        <v/>
      </c>
      <c r="F788" s="13" t="inlineStr">
        <is>
          <t>SOLO/V/3,50/25-02-22</t>
        </is>
      </c>
      <c r="G788" s="6" t="n">
        <v>-200</v>
      </c>
      <c r="H788" s="6" t="n">
        <v>276.37148</v>
      </c>
      <c r="I788" s="7">
        <f>-H788/G788</f>
        <v/>
      </c>
      <c r="J788" s="11" t="n">
        <v>44608</v>
      </c>
      <c r="K788" s="6">
        <f>+OPERAC[[#This Row],[cantidad]]</f>
        <v/>
      </c>
      <c r="L788" s="6" t="n">
        <v>-279.008</v>
      </c>
      <c r="M788" s="7">
        <f>IF(N788=0,+L788+H788,0)</f>
        <v/>
      </c>
      <c r="N788" s="7">
        <f>IF((+G788-K788)=0,0,+G788-K788)</f>
        <v/>
      </c>
      <c r="O788" s="7">
        <f>IF(N788=0,0,(L788+H788)/-N788)</f>
        <v/>
      </c>
      <c r="P788" s="7">
        <f>VLOOKUP(OPERAC[[#This Row],[especie]],[1]!ESPECIES[#All],6,0)</f>
        <v/>
      </c>
      <c r="Q788" s="7">
        <f>IF(N788&lt;&gt;0,P788*N788,0)</f>
        <v/>
      </c>
      <c r="R788" s="8">
        <f>IF(Q788&lt;&gt;0,Q788+H788+L788,0)</f>
        <v/>
      </c>
      <c r="S788" s="9">
        <f>VLOOKUP(OPERAC[[#This Row],[especie]],[1]!ESPECIES[#Data],9,FALSE)</f>
        <v/>
      </c>
    </row>
    <row r="789">
      <c r="A789" s="4" t="n">
        <v>19934</v>
      </c>
      <c r="B789" s="5" t="n">
        <v>44579</v>
      </c>
      <c r="C789" s="13" t="inlineStr">
        <is>
          <t>VTA</t>
        </is>
      </c>
      <c r="D789" s="13" t="n">
        <v>39</v>
      </c>
      <c r="E789" s="10">
        <f>IF(D789&gt;0,VLOOKUP(OPERAC[[#This Row],[COD CART]],[1]!MatrizCortoLargoCyl[#All],3,0),"")</f>
        <v/>
      </c>
      <c r="F789" s="13" t="inlineStr">
        <is>
          <t>SOLO/V/3,50/25-02-22</t>
        </is>
      </c>
      <c r="G789" s="6" t="n">
        <v>-200</v>
      </c>
      <c r="H789" s="6" t="n">
        <v>276.37148</v>
      </c>
      <c r="I789" s="7">
        <f>-H789/G789</f>
        <v/>
      </c>
      <c r="J789" s="11" t="n">
        <v>44608</v>
      </c>
      <c r="K789" s="6">
        <f>+OPERAC[[#This Row],[cantidad]]</f>
        <v/>
      </c>
      <c r="L789" s="6" t="n">
        <v>-279.008</v>
      </c>
      <c r="M789" s="7">
        <f>IF(N789=0,+L789+H789,0)</f>
        <v/>
      </c>
      <c r="N789" s="7">
        <f>IF((+G789-K789)=0,0,+G789-K789)</f>
        <v/>
      </c>
      <c r="O789" s="7">
        <f>IF(N789=0,0,(L789+H789)/-N789)</f>
        <v/>
      </c>
      <c r="P789" s="7">
        <f>VLOOKUP(OPERAC[[#This Row],[especie]],[1]!ESPECIES[#All],6,0)</f>
        <v/>
      </c>
      <c r="Q789" s="7">
        <f>IF(N789&lt;&gt;0,P789*N789,0)</f>
        <v/>
      </c>
      <c r="R789" s="8">
        <f>IF(Q789&lt;&gt;0,Q789+H789+L789,0)</f>
        <v/>
      </c>
      <c r="S789" s="9">
        <f>VLOOKUP(OPERAC[[#This Row],[especie]],[1]!ESPECIES[#Data],9,FALSE)</f>
        <v/>
      </c>
    </row>
    <row r="790">
      <c r="A790" s="4" t="n">
        <v>12655</v>
      </c>
      <c r="B790" s="5" t="n">
        <v>44574</v>
      </c>
      <c r="C790" s="13" t="inlineStr">
        <is>
          <t>VTA</t>
        </is>
      </c>
      <c r="D790" s="13" t="n">
        <v>39</v>
      </c>
      <c r="E790" s="10">
        <f>IF(D790&gt;0,VLOOKUP(OPERAC[[#This Row],[COD CART]],[1]!MatrizCortoLargoCyl[#All],3,0),"")</f>
        <v/>
      </c>
      <c r="F790" s="13" t="inlineStr">
        <is>
          <t>ROKU/V/150,00/14-01-22</t>
        </is>
      </c>
      <c r="G790" s="6" t="n">
        <v>-2000</v>
      </c>
      <c r="H790" s="6" t="n">
        <v>274.6</v>
      </c>
      <c r="I790" s="7">
        <f>-H790/G790</f>
        <v/>
      </c>
      <c r="J790" s="11" t="n">
        <v>44575</v>
      </c>
      <c r="K790" s="6" t="n">
        <v>-2000</v>
      </c>
      <c r="L790" s="6" t="n">
        <v>0</v>
      </c>
      <c r="M790" s="7">
        <f>IF(N790=0,+L790+H790,0)</f>
        <v/>
      </c>
      <c r="N790" s="7">
        <f>IF((+G790-K790)=0,0,+G790-K790)</f>
        <v/>
      </c>
      <c r="O790" s="7">
        <f>IF(N790=0,0,(L790+H790)/-N790)</f>
        <v/>
      </c>
      <c r="P790" s="7">
        <f>VLOOKUP(OPERAC[[#This Row],[especie]],[1]!ESPECIES[#All],6,0)</f>
        <v/>
      </c>
      <c r="Q790" s="7">
        <f>IF(N790&lt;&gt;0,P790*N790,0)</f>
        <v/>
      </c>
      <c r="R790" s="8">
        <f>IF(Q790&lt;&gt;0,Q790+H790+L790,0)</f>
        <v/>
      </c>
      <c r="S790" s="9">
        <f>VLOOKUP(OPERAC[[#This Row],[especie]],[1]!ESPECIES[#Data],9,FALSE)</f>
        <v/>
      </c>
    </row>
    <row r="791">
      <c r="A791" s="4" t="n">
        <v>12611</v>
      </c>
      <c r="B791" s="5" t="n">
        <v>44574</v>
      </c>
      <c r="C791" s="13" t="inlineStr">
        <is>
          <t>VTA</t>
        </is>
      </c>
      <c r="D791" s="13" t="n">
        <v>39</v>
      </c>
      <c r="E791" s="10">
        <f>IF(D791&gt;0,VLOOKUP(OPERAC[[#This Row],[COD CART]],[1]!MatrizCortoLargoCyl[#All],3,0),"")</f>
        <v/>
      </c>
      <c r="F791" s="13" t="inlineStr">
        <is>
          <t>TSLA/V/900,00/21-01-22</t>
        </is>
      </c>
      <c r="G791" s="6" t="n">
        <v>-100</v>
      </c>
      <c r="H791" s="6" t="n">
        <v>267.5752</v>
      </c>
      <c r="I791" s="7">
        <f>-H791/G791</f>
        <v/>
      </c>
      <c r="J791" s="11" t="n">
        <v>44582</v>
      </c>
      <c r="K791" s="6">
        <f>+OPERAC[[#This Row],[cantidad]]</f>
        <v/>
      </c>
      <c r="L791" s="6" t="n">
        <v>0</v>
      </c>
      <c r="M791" s="7">
        <f>IF(N791=0,+L791+H791,0)</f>
        <v/>
      </c>
      <c r="N791" s="7">
        <f>IF((+G791-K791)=0,0,+G791-K791)</f>
        <v/>
      </c>
      <c r="O791" s="7">
        <f>IF(N791=0,0,(L791+H791)/-N791)</f>
        <v/>
      </c>
      <c r="P791" s="7">
        <f>VLOOKUP(OPERAC[[#This Row],[especie]],[1]!ESPECIES[#All],6,0)</f>
        <v/>
      </c>
      <c r="Q791" s="7">
        <f>IF(N791&lt;&gt;0,P791*N791,0)</f>
        <v/>
      </c>
      <c r="R791" s="8">
        <f>IF(Q791&lt;&gt;0,Q791+H791+L791,0)</f>
        <v/>
      </c>
      <c r="S791" s="9">
        <f>VLOOKUP(OPERAC[[#This Row],[especie]],[1]!ESPECIES[#Data],9,FALSE)</f>
        <v/>
      </c>
    </row>
    <row r="792">
      <c r="A792" s="4" t="n">
        <v>12652</v>
      </c>
      <c r="B792" s="5" t="n">
        <v>44574</v>
      </c>
      <c r="C792" s="13" t="inlineStr">
        <is>
          <t>VTA</t>
        </is>
      </c>
      <c r="D792" s="13" t="n">
        <v>39</v>
      </c>
      <c r="E792" s="10">
        <f>IF(D792&gt;0,VLOOKUP(OPERAC[[#This Row],[COD CART]],[1]!MatrizCortoLargoCyl[#All],3,0),"")</f>
        <v/>
      </c>
      <c r="F792" s="13" t="inlineStr">
        <is>
          <t>TSLA/V/900,00/21-01-22</t>
        </is>
      </c>
      <c r="G792" s="6" t="n">
        <v>-100</v>
      </c>
      <c r="H792" s="6" t="n">
        <v>267.5752</v>
      </c>
      <c r="I792" s="7">
        <f>-H792/G792</f>
        <v/>
      </c>
      <c r="J792" s="11" t="n">
        <v>44582</v>
      </c>
      <c r="K792" s="6">
        <f>+OPERAC[[#This Row],[cantidad]]</f>
        <v/>
      </c>
      <c r="L792" s="6" t="n">
        <v>0</v>
      </c>
      <c r="M792" s="7">
        <f>IF(N792=0,+L792+H792,0)</f>
        <v/>
      </c>
      <c r="N792" s="7">
        <f>IF((+G792-K792)=0,0,+G792-K792)</f>
        <v/>
      </c>
      <c r="O792" s="7">
        <f>IF(N792=0,0,(L792+H792)/-N792)</f>
        <v/>
      </c>
      <c r="P792" s="7">
        <f>VLOOKUP(OPERAC[[#This Row],[especie]],[1]!ESPECIES[#All],6,0)</f>
        <v/>
      </c>
      <c r="Q792" s="7">
        <f>IF(N792&lt;&gt;0,P792*N792,0)</f>
        <v/>
      </c>
      <c r="R792" s="8">
        <f>IF(Q792&lt;&gt;0,Q792+H792+L792,0)</f>
        <v/>
      </c>
      <c r="S792" s="9">
        <f>VLOOKUP(OPERAC[[#This Row],[especie]],[1]!ESPECIES[#Data],9,FALSE)</f>
        <v/>
      </c>
    </row>
    <row r="793">
      <c r="A793" s="4" t="n">
        <v>12655</v>
      </c>
      <c r="B793" s="5" t="n">
        <v>44574</v>
      </c>
      <c r="C793" s="13" t="inlineStr">
        <is>
          <t>VTA</t>
        </is>
      </c>
      <c r="D793" s="13" t="n">
        <v>39</v>
      </c>
      <c r="E793" s="10">
        <f>IF(D793&gt;0,VLOOKUP(OPERAC[[#This Row],[COD CART]],[1]!MatrizCortoLargoCyl[#All],3,0),"")</f>
        <v/>
      </c>
      <c r="F793" s="13" t="inlineStr">
        <is>
          <t>TSLA/V/900,00/21-01-22</t>
        </is>
      </c>
      <c r="G793" s="6" t="n">
        <v>-100</v>
      </c>
      <c r="H793" s="6" t="n">
        <v>267.5752</v>
      </c>
      <c r="I793" s="7">
        <f>-H793/G793</f>
        <v/>
      </c>
      <c r="J793" s="11" t="n">
        <v>44582</v>
      </c>
      <c r="K793" s="6">
        <f>+OPERAC[[#This Row],[cantidad]]</f>
        <v/>
      </c>
      <c r="L793" s="6" t="n">
        <v>0</v>
      </c>
      <c r="M793" s="7">
        <f>IF(N793=0,+L793+H793,0)</f>
        <v/>
      </c>
      <c r="N793" s="7">
        <f>IF((+G793-K793)=0,0,+G793-K793)</f>
        <v/>
      </c>
      <c r="O793" s="7">
        <f>IF(N793=0,0,(L793+H793)/-N793)</f>
        <v/>
      </c>
      <c r="P793" s="7">
        <f>VLOOKUP(OPERAC[[#This Row],[especie]],[1]!ESPECIES[#All],6,0)</f>
        <v/>
      </c>
      <c r="Q793" s="7">
        <f>IF(N793&lt;&gt;0,P793*N793,0)</f>
        <v/>
      </c>
      <c r="R793" s="8">
        <f>IF(Q793&lt;&gt;0,Q793+H793+L793,0)</f>
        <v/>
      </c>
      <c r="S793" s="9">
        <f>VLOOKUP(OPERAC[[#This Row],[especie]],[1]!ESPECIES[#Data],9,FALSE)</f>
        <v/>
      </c>
    </row>
    <row r="794">
      <c r="A794" s="4" t="n">
        <v>16786</v>
      </c>
      <c r="B794" s="5" t="n">
        <v>44574</v>
      </c>
      <c r="C794" s="13" t="inlineStr">
        <is>
          <t>VTA</t>
        </is>
      </c>
      <c r="D794" s="13" t="n">
        <v>39</v>
      </c>
      <c r="E794" s="10">
        <f>IF(D794&gt;0,VLOOKUP(OPERAC[[#This Row],[COD CART]],[1]!MatrizCortoLargoCyl[#All],3,0),"")</f>
        <v/>
      </c>
      <c r="F794" s="13" t="inlineStr">
        <is>
          <t>TSLA/V/900,00/21-01-22</t>
        </is>
      </c>
      <c r="G794" s="6" t="n">
        <v>-100</v>
      </c>
      <c r="H794" s="6" t="n">
        <v>267.5752</v>
      </c>
      <c r="I794" s="7">
        <f>-H794/G794</f>
        <v/>
      </c>
      <c r="J794" s="11" t="n">
        <v>44582</v>
      </c>
      <c r="K794" s="6">
        <f>+OPERAC[[#This Row],[cantidad]]</f>
        <v/>
      </c>
      <c r="L794" s="6" t="n">
        <v>0</v>
      </c>
      <c r="M794" s="7">
        <f>IF(N794=0,+L794+H794,0)</f>
        <v/>
      </c>
      <c r="N794" s="7">
        <f>IF((+G794-K794)=0,0,+G794-K794)</f>
        <v/>
      </c>
      <c r="O794" s="7">
        <f>IF(N794=0,0,(L794+H794)/-N794)</f>
        <v/>
      </c>
      <c r="P794" s="7">
        <f>VLOOKUP(OPERAC[[#This Row],[especie]],[1]!ESPECIES[#All],6,0)</f>
        <v/>
      </c>
      <c r="Q794" s="7">
        <f>IF(N794&lt;&gt;0,P794*N794,0)</f>
        <v/>
      </c>
      <c r="R794" s="8">
        <f>IF(Q794&lt;&gt;0,Q794+H794+L794,0)</f>
        <v/>
      </c>
      <c r="S794" s="9">
        <f>VLOOKUP(OPERAC[[#This Row],[especie]],[1]!ESPECIES[#Data],9,FALSE)</f>
        <v/>
      </c>
    </row>
    <row r="795">
      <c r="A795" s="4" t="n">
        <v>20312</v>
      </c>
      <c r="B795" s="5" t="n">
        <v>44714</v>
      </c>
      <c r="C795" s="13" t="inlineStr">
        <is>
          <t>VTA</t>
        </is>
      </c>
      <c r="D795" s="13" t="n">
        <v>39</v>
      </c>
      <c r="E795" s="10">
        <f>IF(D795&gt;0,VLOOKUP(OPERAC[[#This Row],[COD CART]],[1]!MatrizCortoLargoCyl[#All],3,0),"")</f>
        <v/>
      </c>
      <c r="F795" s="14" t="inlineStr">
        <is>
          <t>TSLA/C/850,00/03-06-22</t>
        </is>
      </c>
      <c r="G795" s="6" t="n">
        <v>-200</v>
      </c>
      <c r="H795" s="6" t="n">
        <v>263.739</v>
      </c>
      <c r="I795" s="7">
        <f>-H795/G795</f>
        <v/>
      </c>
      <c r="J795" s="5" t="n">
        <v>44715</v>
      </c>
      <c r="K795" s="6">
        <f>+OPERAC[[#This Row],[cantidad]]</f>
        <v/>
      </c>
      <c r="L795" s="6" t="n">
        <v>0</v>
      </c>
      <c r="M795" s="7">
        <f>IF(N795=0,+L795+H795,0)</f>
        <v/>
      </c>
      <c r="N795" s="7">
        <f>IF((+G795-K795)=0,0,+G795-K795)</f>
        <v/>
      </c>
      <c r="O795" s="7">
        <f>IF(N795=0,0,(L795+H795)/-N795)</f>
        <v/>
      </c>
      <c r="P795" s="7">
        <f>VLOOKUP(OPERAC[[#This Row],[especie]],[1]!ESPECIES[#All],6,0)</f>
        <v/>
      </c>
      <c r="Q795" s="7">
        <f>IF(N795&lt;&gt;0,P795*N795,0)</f>
        <v/>
      </c>
      <c r="R795" s="8">
        <f>IF(Q795&lt;&gt;0,Q795+H795+L795,0)</f>
        <v/>
      </c>
      <c r="S795" s="9">
        <f>VLOOKUP(OPERAC[[#This Row],[especie]],[1]!ESPECIES[#Data],9,FALSE)</f>
        <v/>
      </c>
    </row>
    <row r="796">
      <c r="A796" s="4" t="n">
        <v>16786</v>
      </c>
      <c r="B796" s="5" t="n">
        <v>44693</v>
      </c>
      <c r="C796" s="13" t="inlineStr">
        <is>
          <t>VTA</t>
        </is>
      </c>
      <c r="D796" s="13" t="n">
        <v>39</v>
      </c>
      <c r="E796" s="10">
        <f>IF(D796&gt;0,VLOOKUP(OPERAC[[#This Row],[COD CART]],[1]!MatrizCortoLargoCyl[#All],3,0),"")</f>
        <v/>
      </c>
      <c r="F796" s="13" t="inlineStr">
        <is>
          <t>MELI/V/460,00/20-01-2023</t>
        </is>
      </c>
      <c r="G796" s="6" t="n">
        <v>-4</v>
      </c>
      <c r="H796" s="6" t="n">
        <v>262.94</v>
      </c>
      <c r="I796" s="7">
        <f>-H796/G796</f>
        <v/>
      </c>
      <c r="J796" s="11" t="n"/>
      <c r="K796" s="6" t="n"/>
      <c r="L796" s="6" t="n"/>
      <c r="M796" s="7">
        <f>IF(N796=0,+L796+H796,0)</f>
        <v/>
      </c>
      <c r="N796" s="7">
        <f>IF((+G796-K796)=0,0,+G796-K796)</f>
        <v/>
      </c>
      <c r="O796" s="7">
        <f>IF(N796=0,0,(L796+H796)/-N796)</f>
        <v/>
      </c>
      <c r="P796" s="7">
        <f>VLOOKUP(OPERAC[[#This Row],[especie]],[1]!ESPECIES[#All],6,0)</f>
        <v/>
      </c>
      <c r="Q796" s="7">
        <f>IF(N796&lt;&gt;0,P796*N796,0)</f>
        <v/>
      </c>
      <c r="R796" s="8">
        <f>IF(Q796&lt;&gt;0,Q796+H796+L796,0)</f>
        <v/>
      </c>
      <c r="S796" s="9">
        <f>VLOOKUP(OPERAC[[#This Row],[especie]],[1]!ESPECIES[#Data],9,FALSE)</f>
        <v/>
      </c>
    </row>
    <row r="797">
      <c r="A797" s="4" t="n">
        <v>16780</v>
      </c>
      <c r="B797" s="5" t="n">
        <v>44679</v>
      </c>
      <c r="C797" s="13" t="inlineStr">
        <is>
          <t>VTA</t>
        </is>
      </c>
      <c r="D797" s="13" t="n">
        <v>39</v>
      </c>
      <c r="E797" s="10">
        <f>IF(D797&gt;0,VLOOKUP(OPERAC[[#This Row],[COD CART]],[1]!MatrizCortoLargoCyl[#All],3,0),"")</f>
        <v/>
      </c>
      <c r="F797" s="13" t="inlineStr">
        <is>
          <t>TSLA/V/650,00/17-06-22</t>
        </is>
      </c>
      <c r="G797" s="6" t="n">
        <v>-10</v>
      </c>
      <c r="H797" s="6" t="n">
        <v>259.17</v>
      </c>
      <c r="I797" s="7">
        <f>-H797/G797</f>
        <v/>
      </c>
      <c r="J797" s="11" t="n">
        <v>44706</v>
      </c>
      <c r="K797" s="6">
        <f>-3-7</f>
        <v/>
      </c>
      <c r="L797" s="6">
        <f>-12968.4-28.49-171.42</f>
        <v/>
      </c>
      <c r="M797" s="7">
        <f>IF(N797=0,+L797+H797,0)</f>
        <v/>
      </c>
      <c r="N797" s="7">
        <f>IF((+G797-K797)=0,0,+G797-K797)</f>
        <v/>
      </c>
      <c r="O797" s="7">
        <f>IF(N797=0,0,(L797+H797)/-N797)</f>
        <v/>
      </c>
      <c r="P797" s="7">
        <f>VLOOKUP(OPERAC[[#This Row],[especie]],[1]!ESPECIES[#All],6,0)</f>
        <v/>
      </c>
      <c r="Q797" s="7">
        <f>IF(N797&lt;&gt;0,P797*N797,0)</f>
        <v/>
      </c>
      <c r="R797" s="8">
        <f>IF(Q797&lt;&gt;0,Q797+H797+L797,0)</f>
        <v/>
      </c>
      <c r="S797" s="9">
        <f>VLOOKUP(OPERAC[[#This Row],[especie]],[1]!ESPECIES[#Data],9,FALSE)</f>
        <v/>
      </c>
    </row>
    <row r="798">
      <c r="A798" s="4" t="n">
        <v>9195</v>
      </c>
      <c r="B798" s="5" t="n">
        <v>44614</v>
      </c>
      <c r="C798" s="13" t="inlineStr">
        <is>
          <t>VTA</t>
        </is>
      </c>
      <c r="D798" s="13" t="n">
        <v>39</v>
      </c>
      <c r="E798" s="10">
        <f>IF(D798&gt;0,VLOOKUP(OPERAC[[#This Row],[COD CART]],[1]!MatrizCortoLargoCyl[#All],3,0),"")</f>
        <v/>
      </c>
      <c r="F798" s="13" t="inlineStr">
        <is>
          <t>TSLA/V/430,00/20-01-23</t>
        </is>
      </c>
      <c r="G798" s="6" t="n">
        <v>-10</v>
      </c>
      <c r="H798" s="6" t="n">
        <v>258.93</v>
      </c>
      <c r="I798" s="7">
        <f>-H798/G798</f>
        <v/>
      </c>
      <c r="J798" s="11" t="n"/>
      <c r="K798" s="6" t="n"/>
      <c r="L798" s="6" t="n"/>
      <c r="M798" s="7">
        <f>IF(N798=0,+L798+H798,0)</f>
        <v/>
      </c>
      <c r="N798" s="7">
        <f>IF((+G798-K798)=0,0,+G798-K798)</f>
        <v/>
      </c>
      <c r="O798" s="7">
        <f>IF(N798=0,0,(L798+H798)/-N798)</f>
        <v/>
      </c>
      <c r="P798" s="7">
        <f>VLOOKUP(OPERAC[[#This Row],[especie]],[1]!ESPECIES[#All],6,0)</f>
        <v/>
      </c>
      <c r="Q798" s="7">
        <f>IF(N798&lt;&gt;0,P798*N798,0)</f>
        <v/>
      </c>
      <c r="R798" s="8">
        <f>IF(Q798&lt;&gt;0,Q798+H798+L798,0)</f>
        <v/>
      </c>
      <c r="S798" s="9">
        <f>VLOOKUP(OPERAC[[#This Row],[especie]],[1]!ESPECIES[#Data],9,FALSE)</f>
        <v/>
      </c>
    </row>
    <row r="799">
      <c r="A799" s="4" t="n">
        <v>18662</v>
      </c>
      <c r="B799" s="5" t="n">
        <v>44608</v>
      </c>
      <c r="C799" s="13" t="inlineStr">
        <is>
          <t>VTA</t>
        </is>
      </c>
      <c r="D799" s="13" t="n">
        <v>39</v>
      </c>
      <c r="E799" s="10">
        <f>IF(D799&gt;0,VLOOKUP(OPERAC[[#This Row],[COD CART]],[1]!MatrizCortoLargoCyl[#All],3,0),"")</f>
        <v/>
      </c>
      <c r="F799" s="13" t="inlineStr">
        <is>
          <t>SOLO/V/3,00/18-03-22</t>
        </is>
      </c>
      <c r="G799" s="6" t="n">
        <v>-300</v>
      </c>
      <c r="H799" s="6" t="n">
        <v>256.512</v>
      </c>
      <c r="I799" s="7">
        <f>-H799/G799</f>
        <v/>
      </c>
      <c r="J799" s="11" t="n">
        <v>44616</v>
      </c>
      <c r="K799" s="6" t="n">
        <v>-300</v>
      </c>
      <c r="L799" s="6" t="n">
        <v>-364.08</v>
      </c>
      <c r="M799" s="7">
        <f>IF(N799=0,+L799+H799,0)</f>
        <v/>
      </c>
      <c r="N799" s="7">
        <f>IF((+G799-K799)=0,0,+G799-K799)</f>
        <v/>
      </c>
      <c r="O799" s="7">
        <f>IF(N799=0,0,(L799+H799)/-N799)</f>
        <v/>
      </c>
      <c r="P799" s="7">
        <f>VLOOKUP(OPERAC[[#This Row],[especie]],[1]!ESPECIES[#All],6,0)</f>
        <v/>
      </c>
      <c r="Q799" s="7">
        <f>IF(N799&lt;&gt;0,P799*N799,0)</f>
        <v/>
      </c>
      <c r="R799" s="8">
        <f>IF(Q799&lt;&gt;0,Q799+H799+L799,0)</f>
        <v/>
      </c>
      <c r="S799" s="9">
        <f>VLOOKUP(OPERAC[[#This Row],[especie]],[1]!ESPECIES[#Data],9,FALSE)</f>
        <v/>
      </c>
    </row>
    <row r="800">
      <c r="A800" s="4" t="n">
        <v>26138</v>
      </c>
      <c r="B800" s="5" t="n">
        <v>44608</v>
      </c>
      <c r="C800" s="13" t="inlineStr">
        <is>
          <t>VTA</t>
        </is>
      </c>
      <c r="D800" s="13" t="n">
        <v>39</v>
      </c>
      <c r="E800" s="10">
        <f>IF(D800&gt;0,VLOOKUP(OPERAC[[#This Row],[COD CART]],[1]!MatrizCortoLargoCyl[#All],3,0),"")</f>
        <v/>
      </c>
      <c r="F800" s="13" t="inlineStr">
        <is>
          <t>SOLO/V/3,00/18-03-22</t>
        </is>
      </c>
      <c r="G800" s="6" t="n">
        <v>-300</v>
      </c>
      <c r="H800" s="6" t="n">
        <v>256.512</v>
      </c>
      <c r="I800" s="7">
        <f>-H800/G800</f>
        <v/>
      </c>
      <c r="J800" s="11" t="n">
        <v>44616</v>
      </c>
      <c r="K800" s="6" t="n">
        <v>-300</v>
      </c>
      <c r="L800" s="6" t="n">
        <v>-348.96</v>
      </c>
      <c r="M800" s="7">
        <f>IF(N800=0,+L800+H800,0)</f>
        <v/>
      </c>
      <c r="N800" s="7">
        <f>IF((+G800-K800)=0,0,+G800-K800)</f>
        <v/>
      </c>
      <c r="O800" s="7">
        <f>IF(N800=0,0,(L800+H800)/-N800)</f>
        <v/>
      </c>
      <c r="P800" s="7">
        <f>VLOOKUP(OPERAC[[#This Row],[especie]],[1]!ESPECIES[#All],6,0)</f>
        <v/>
      </c>
      <c r="Q800" s="7">
        <f>IF(N800&lt;&gt;0,P800*N800,0)</f>
        <v/>
      </c>
      <c r="R800" s="8">
        <f>IF(Q800&lt;&gt;0,Q800+H800+L800,0)</f>
        <v/>
      </c>
      <c r="S800" s="9">
        <f>VLOOKUP(OPERAC[[#This Row],[especie]],[1]!ESPECIES[#Data],9,FALSE)</f>
        <v/>
      </c>
    </row>
    <row r="801">
      <c r="A801" s="4" t="n">
        <v>21070</v>
      </c>
      <c r="B801" s="5" t="n">
        <v>44579</v>
      </c>
      <c r="C801" s="13" t="inlineStr">
        <is>
          <t>VTA</t>
        </is>
      </c>
      <c r="D801" s="13" t="n">
        <v>39</v>
      </c>
      <c r="E801" s="10">
        <f>IF(D801&gt;0,VLOOKUP(OPERAC[[#This Row],[COD CART]],[1]!MatrizCortoLargoCyl[#All],3,0),"")</f>
        <v/>
      </c>
      <c r="F801" s="13" t="inlineStr">
        <is>
          <t>ACB/V/5,50/21-01-22</t>
        </is>
      </c>
      <c r="G801" s="6" t="n">
        <v>-800</v>
      </c>
      <c r="H801" s="6" t="n">
        <v>255.488</v>
      </c>
      <c r="I801" s="7">
        <f>-H801/G801</f>
        <v/>
      </c>
      <c r="J801" s="11" t="n">
        <v>44581</v>
      </c>
      <c r="K801" s="6">
        <f>+OPERAC[[#This Row],[cantidad]]</f>
        <v/>
      </c>
      <c r="L801" s="6">
        <f>-OPERAC[[#This Row],[importe]]</f>
        <v/>
      </c>
      <c r="M801" s="7">
        <f>IF(N801=0,+L801+H801,0)</f>
        <v/>
      </c>
      <c r="N801" s="7">
        <f>IF((+G801-K801)=0,0,+G801-K801)</f>
        <v/>
      </c>
      <c r="O801" s="7">
        <f>IF(N801=0,0,(L801+H801)/-N801)</f>
        <v/>
      </c>
      <c r="P801" s="7">
        <f>VLOOKUP(OPERAC[[#This Row],[especie]],[1]!ESPECIES[#All],6,0)</f>
        <v/>
      </c>
      <c r="Q801" s="7">
        <f>IF(N801&lt;&gt;0,P801*N801,0)</f>
        <v/>
      </c>
      <c r="R801" s="8">
        <f>IF(Q801&lt;&gt;0,Q801+H801+L801,0)</f>
        <v/>
      </c>
      <c r="S801" s="9">
        <f>VLOOKUP(OPERAC[[#This Row],[especie]],[1]!ESPECIES[#Data],9,FALSE)</f>
        <v/>
      </c>
    </row>
    <row r="802">
      <c r="A802" s="4" t="n">
        <v>20312</v>
      </c>
      <c r="B802" s="5" t="n">
        <v>44579</v>
      </c>
      <c r="C802" s="13" t="inlineStr">
        <is>
          <t>VTA</t>
        </is>
      </c>
      <c r="D802" s="13" t="n">
        <v>39</v>
      </c>
      <c r="E802" s="10">
        <f>IF(D802&gt;0,VLOOKUP(OPERAC[[#This Row],[COD CART]],[1]!MatrizCortoLargoCyl[#All],3,0),"")</f>
        <v/>
      </c>
      <c r="F802" s="13" t="inlineStr">
        <is>
          <t>ACB/V/5,50/21-01-22</t>
        </is>
      </c>
      <c r="G802" s="6" t="n">
        <v>-800</v>
      </c>
      <c r="H802" s="6" t="n">
        <v>255.488</v>
      </c>
      <c r="I802" s="7">
        <f>-H802/G802</f>
        <v/>
      </c>
      <c r="J802" s="11" t="n">
        <v>44581</v>
      </c>
      <c r="K802" s="6">
        <f>+OPERAC[[#This Row],[cantidad]]</f>
        <v/>
      </c>
      <c r="L802" s="6">
        <f>-OPERAC[[#This Row],[importe]]</f>
        <v/>
      </c>
      <c r="M802" s="7">
        <f>IF(N802=0,+L802+H802,0)</f>
        <v/>
      </c>
      <c r="N802" s="7">
        <f>IF((+G802-K802)=0,0,+G802-K802)</f>
        <v/>
      </c>
      <c r="O802" s="7">
        <f>IF(N802=0,0,(L802+H802)/-N802)</f>
        <v/>
      </c>
      <c r="P802" s="7">
        <f>VLOOKUP(OPERAC[[#This Row],[especie]],[1]!ESPECIES[#All],6,0)</f>
        <v/>
      </c>
      <c r="Q802" s="7">
        <f>IF(N802&lt;&gt;0,P802*N802,0)</f>
        <v/>
      </c>
      <c r="R802" s="8">
        <f>IF(Q802&lt;&gt;0,Q802+H802+L802,0)</f>
        <v/>
      </c>
      <c r="S802" s="9">
        <f>VLOOKUP(OPERAC[[#This Row],[especie]],[1]!ESPECIES[#Data],9,FALSE)</f>
        <v/>
      </c>
    </row>
    <row r="803">
      <c r="A803" s="4" t="n">
        <v>3728</v>
      </c>
      <c r="B803" s="5" t="n">
        <v>44637</v>
      </c>
      <c r="C803" s="13" t="inlineStr">
        <is>
          <t>VTA</t>
        </is>
      </c>
      <c r="D803" s="13" t="n">
        <v>39</v>
      </c>
      <c r="E803" s="10">
        <f>IF(D803&gt;0,VLOOKUP(OPERAC[[#This Row],[COD CART]],[1]!MatrizCortoLargoCyl[#All],3,0),"")</f>
        <v/>
      </c>
      <c r="F803" s="13" t="inlineStr">
        <is>
          <t>MELI/V/540,00/20-01-23</t>
        </is>
      </c>
      <c r="G803" s="6" t="n">
        <v>-10</v>
      </c>
      <c r="H803" s="6" t="n">
        <v>254.745</v>
      </c>
      <c r="I803" s="7">
        <f>-H803/G803</f>
        <v/>
      </c>
      <c r="J803" s="11" t="n"/>
      <c r="K803" s="6" t="n"/>
      <c r="L803" s="6" t="n"/>
      <c r="M803" s="7">
        <f>IF(N803=0,+L803+H803,0)</f>
        <v/>
      </c>
      <c r="N803" s="7">
        <f>IF((+G803-K803)=0,0,+G803-K803)</f>
        <v/>
      </c>
      <c r="O803" s="7">
        <f>IF(N803=0,0,(L803+H803)/-N803)</f>
        <v/>
      </c>
      <c r="P803" s="7">
        <f>VLOOKUP(OPERAC[[#This Row],[especie]],[1]!ESPECIES[#All],6,0)</f>
        <v/>
      </c>
      <c r="Q803" s="7">
        <f>IF(N803&lt;&gt;0,P803*N803,0)</f>
        <v/>
      </c>
      <c r="R803" s="8">
        <f>IF(Q803&lt;&gt;0,Q803+H803+L803,0)</f>
        <v/>
      </c>
      <c r="S803" s="9">
        <f>VLOOKUP(OPERAC[[#This Row],[especie]],[1]!ESPECIES[#Data],9,FALSE)</f>
        <v/>
      </c>
    </row>
    <row r="804">
      <c r="A804" s="4" t="n">
        <v>4543</v>
      </c>
      <c r="B804" s="5" t="n">
        <v>44469</v>
      </c>
      <c r="C804" s="13" t="inlineStr">
        <is>
          <t>VTA</t>
        </is>
      </c>
      <c r="D804" s="13" t="n">
        <v>39</v>
      </c>
      <c r="E804" s="10">
        <f>IF(D804&gt;0,VLOOKUP(OPERAC[[#This Row],[COD CART]],[1]!MatrizCortoLargoCyl[#All],3,0),"")</f>
        <v/>
      </c>
      <c r="F804" s="13" t="inlineStr">
        <is>
          <t>ACB/V/6,00/21-01-22</t>
        </is>
      </c>
      <c r="G804" s="6" t="n">
        <v>-300</v>
      </c>
      <c r="H804" s="6">
        <f>255.207-0.5*OPERAC[[#This Row],[cantidad]]+0.51*OPERAC[[#This Row],[cantidad]]</f>
        <v/>
      </c>
      <c r="I804" s="7">
        <f>-H804/G804</f>
        <v/>
      </c>
      <c r="J804" s="11" t="n">
        <v>44581</v>
      </c>
      <c r="K804" s="6">
        <f>+OPERAC[[#This Row],[cantidad]]</f>
        <v/>
      </c>
      <c r="L804" s="6">
        <f>-OPERAC[[#This Row],[importe]]</f>
        <v/>
      </c>
      <c r="M804" s="7">
        <f>IF(N804=0,+L804+H804,0)</f>
        <v/>
      </c>
      <c r="N804" s="7">
        <f>IF((+G804-K804)=0,0,+G804-K804)</f>
        <v/>
      </c>
      <c r="O804" s="7">
        <f>IF(N804=0,0,(L804+H804)/-N804)</f>
        <v/>
      </c>
      <c r="P804" s="7">
        <f>VLOOKUP(OPERAC[[#This Row],[especie]],[1]!ESPECIES[#All],6,0)</f>
        <v/>
      </c>
      <c r="Q804" s="7">
        <f>IF(N804&lt;&gt;0,P804*N804,0)</f>
        <v/>
      </c>
      <c r="R804" s="8">
        <f>IF(Q804&lt;&gt;0,Q804+H804+L804,0)</f>
        <v/>
      </c>
      <c r="S804" s="9">
        <f>VLOOKUP(OPERAC[[#This Row],[especie]],[1]!ESPECIES[#Data],9,FALSE)</f>
        <v/>
      </c>
    </row>
    <row r="805">
      <c r="A805" s="4" t="n">
        <v>7916</v>
      </c>
      <c r="B805" s="5" t="n">
        <v>44469</v>
      </c>
      <c r="C805" s="13" t="inlineStr">
        <is>
          <t>VTA</t>
        </is>
      </c>
      <c r="D805" s="13" t="n">
        <v>39</v>
      </c>
      <c r="E805" s="10">
        <f>IF(D805&gt;0,VLOOKUP(OPERAC[[#This Row],[COD CART]],[1]!MatrizCortoLargoCyl[#All],3,0),"")</f>
        <v/>
      </c>
      <c r="F805" s="13" t="inlineStr">
        <is>
          <t>ACB/V/6,00/21-01-22</t>
        </is>
      </c>
      <c r="G805" s="6" t="n">
        <v>-300</v>
      </c>
      <c r="H805" s="6">
        <f>255.207-0.5*OPERAC[[#This Row],[cantidad]]+0.51*OPERAC[[#This Row],[cantidad]]</f>
        <v/>
      </c>
      <c r="I805" s="7">
        <f>-H805/G805</f>
        <v/>
      </c>
      <c r="J805" s="11" t="n">
        <v>44581</v>
      </c>
      <c r="K805" s="6">
        <f>+OPERAC[[#This Row],[cantidad]]</f>
        <v/>
      </c>
      <c r="L805" s="6">
        <f>-OPERAC[[#This Row],[importe]]</f>
        <v/>
      </c>
      <c r="M805" s="7">
        <f>IF(N805=0,+L805+H805,0)</f>
        <v/>
      </c>
      <c r="N805" s="7">
        <f>IF((+G805-K805)=0,0,+G805-K805)</f>
        <v/>
      </c>
      <c r="O805" s="7">
        <f>IF(N805=0,0,(L805+H805)/-N805)</f>
        <v/>
      </c>
      <c r="P805" s="7">
        <f>VLOOKUP(OPERAC[[#This Row],[especie]],[1]!ESPECIES[#All],6,0)</f>
        <v/>
      </c>
      <c r="Q805" s="7">
        <f>IF(N805&lt;&gt;0,P805*N805,0)</f>
        <v/>
      </c>
      <c r="R805" s="8">
        <f>IF(Q805&lt;&gt;0,Q805+H805+L805,0)</f>
        <v/>
      </c>
      <c r="S805" s="9">
        <f>VLOOKUP(OPERAC[[#This Row],[especie]],[1]!ESPECIES[#Data],9,FALSE)</f>
        <v/>
      </c>
    </row>
    <row r="806">
      <c r="A806" s="4" t="n">
        <v>12655</v>
      </c>
      <c r="B806" s="5" t="n">
        <v>44469</v>
      </c>
      <c r="C806" s="13" t="inlineStr">
        <is>
          <t>VTA</t>
        </is>
      </c>
      <c r="D806" s="13" t="n">
        <v>39</v>
      </c>
      <c r="E806" s="10">
        <f>IF(D806&gt;0,VLOOKUP(OPERAC[[#This Row],[COD CART]],[1]!MatrizCortoLargoCyl[#All],3,0),"")</f>
        <v/>
      </c>
      <c r="F806" s="13" t="inlineStr">
        <is>
          <t>ACB/V/6,00/21-01-22</t>
        </is>
      </c>
      <c r="G806" s="6" t="n">
        <v>-300</v>
      </c>
      <c r="H806" s="6">
        <f>255.207-0.5*OPERAC[[#This Row],[cantidad]]+0.51*OPERAC[[#This Row],[cantidad]]</f>
        <v/>
      </c>
      <c r="I806" s="7">
        <f>-H806/G806</f>
        <v/>
      </c>
      <c r="J806" s="11" t="n">
        <v>44581</v>
      </c>
      <c r="K806" s="6">
        <f>+OPERAC[[#This Row],[cantidad]]</f>
        <v/>
      </c>
      <c r="L806" s="6">
        <f>-OPERAC[[#This Row],[importe]]</f>
        <v/>
      </c>
      <c r="M806" s="7">
        <f>IF(N806=0,+L806+H806,0)</f>
        <v/>
      </c>
      <c r="N806" s="7">
        <f>IF((+G806-K806)=0,0,+G806-K806)</f>
        <v/>
      </c>
      <c r="O806" s="7">
        <f>IF(N806=0,0,(L806+H806)/-N806)</f>
        <v/>
      </c>
      <c r="P806" s="7">
        <f>VLOOKUP(OPERAC[[#This Row],[especie]],[1]!ESPECIES[#All],6,0)</f>
        <v/>
      </c>
      <c r="Q806" s="7">
        <f>IF(N806&lt;&gt;0,P806*N806,0)</f>
        <v/>
      </c>
      <c r="R806" s="8">
        <f>IF(Q806&lt;&gt;0,Q806+H806+L806,0)</f>
        <v/>
      </c>
      <c r="S806" s="9">
        <f>VLOOKUP(OPERAC[[#This Row],[especie]],[1]!ESPECIES[#Data],9,FALSE)</f>
        <v/>
      </c>
    </row>
    <row r="807">
      <c r="A807" s="4" t="n">
        <v>15195</v>
      </c>
      <c r="B807" s="5" t="n">
        <v>44469</v>
      </c>
      <c r="C807" s="13" t="inlineStr">
        <is>
          <t>VTA</t>
        </is>
      </c>
      <c r="D807" s="13" t="n">
        <v>39</v>
      </c>
      <c r="E807" s="10">
        <f>IF(D807&gt;0,VLOOKUP(OPERAC[[#This Row],[COD CART]],[1]!MatrizCortoLargoCyl[#All],3,0),"")</f>
        <v/>
      </c>
      <c r="F807" s="13" t="inlineStr">
        <is>
          <t>ACB/V/6,00/21-01-22</t>
        </is>
      </c>
      <c r="G807" s="6" t="n">
        <v>-300</v>
      </c>
      <c r="H807" s="6">
        <f>255.207-0.5*OPERAC[[#This Row],[cantidad]]+0.51*OPERAC[[#This Row],[cantidad]]</f>
        <v/>
      </c>
      <c r="I807" s="7">
        <f>-H807/G807</f>
        <v/>
      </c>
      <c r="J807" s="11" t="n">
        <v>44581</v>
      </c>
      <c r="K807" s="6">
        <f>+OPERAC[[#This Row],[cantidad]]</f>
        <v/>
      </c>
      <c r="L807" s="6">
        <f>-OPERAC[[#This Row],[importe]]</f>
        <v/>
      </c>
      <c r="M807" s="7">
        <f>IF(N807=0,+L807+H807,0)</f>
        <v/>
      </c>
      <c r="N807" s="7">
        <f>IF((+G807-K807)=0,0,+G807-K807)</f>
        <v/>
      </c>
      <c r="O807" s="7">
        <f>IF(N807=0,0,(L807+H807)/-N807)</f>
        <v/>
      </c>
      <c r="P807" s="7">
        <f>VLOOKUP(OPERAC[[#This Row],[especie]],[1]!ESPECIES[#All],6,0)</f>
        <v/>
      </c>
      <c r="Q807" s="7">
        <f>IF(N807&lt;&gt;0,P807*N807,0)</f>
        <v/>
      </c>
      <c r="R807" s="8">
        <f>IF(Q807&lt;&gt;0,Q807+H807+L807,0)</f>
        <v/>
      </c>
      <c r="S807" s="9">
        <f>VLOOKUP(OPERAC[[#This Row],[especie]],[1]!ESPECIES[#Data],9,FALSE)</f>
        <v/>
      </c>
    </row>
    <row r="808">
      <c r="A808" s="4" t="n">
        <v>19932</v>
      </c>
      <c r="B808" s="5" t="n">
        <v>44469</v>
      </c>
      <c r="C808" s="13" t="inlineStr">
        <is>
          <t>VTA</t>
        </is>
      </c>
      <c r="D808" s="13" t="n">
        <v>39</v>
      </c>
      <c r="E808" s="10">
        <f>IF(D808&gt;0,VLOOKUP(OPERAC[[#This Row],[COD CART]],[1]!MatrizCortoLargoCyl[#All],3,0),"")</f>
        <v/>
      </c>
      <c r="F808" s="13" t="inlineStr">
        <is>
          <t>ACB/V/6,00/21-01-22</t>
        </is>
      </c>
      <c r="G808" s="6" t="n">
        <v>-300</v>
      </c>
      <c r="H808" s="6">
        <f>255.207-0.5*OPERAC[[#This Row],[cantidad]]+0.51*OPERAC[[#This Row],[cantidad]]</f>
        <v/>
      </c>
      <c r="I808" s="7">
        <f>-H808/G808</f>
        <v/>
      </c>
      <c r="J808" s="11" t="n">
        <v>44581</v>
      </c>
      <c r="K808" s="6">
        <f>+OPERAC[[#This Row],[cantidad]]</f>
        <v/>
      </c>
      <c r="L808" s="6">
        <f>-OPERAC[[#This Row],[importe]]</f>
        <v/>
      </c>
      <c r="M808" s="7">
        <f>IF(N808=0,+L808+H808,0)</f>
        <v/>
      </c>
      <c r="N808" s="7">
        <f>IF((+G808-K808)=0,0,+G808-K808)</f>
        <v/>
      </c>
      <c r="O808" s="7">
        <f>IF(N808=0,0,(L808+H808)/-N808)</f>
        <v/>
      </c>
      <c r="P808" s="7">
        <f>VLOOKUP(OPERAC[[#This Row],[especie]],[1]!ESPECIES[#All],6,0)</f>
        <v/>
      </c>
      <c r="Q808" s="7">
        <f>IF(N808&lt;&gt;0,P808*N808,0)</f>
        <v/>
      </c>
      <c r="R808" s="8">
        <f>IF(Q808&lt;&gt;0,Q808+H808+L808,0)</f>
        <v/>
      </c>
      <c r="S808" s="9">
        <f>VLOOKUP(OPERAC[[#This Row],[especie]],[1]!ESPECIES[#Data],9,FALSE)</f>
        <v/>
      </c>
    </row>
    <row r="809">
      <c r="A809" s="4" t="n">
        <v>2218</v>
      </c>
      <c r="B809" s="5" t="n">
        <v>44725</v>
      </c>
      <c r="C809" s="13" t="inlineStr">
        <is>
          <t>VTA</t>
        </is>
      </c>
      <c r="D809" s="13" t="n">
        <v>39</v>
      </c>
      <c r="E809" s="10">
        <f>IF(D809&gt;0,VLOOKUP(OPERAC[[#This Row],[COD CART]],[1]!MatrizCortoLargoCyl[#All],3,0),"")</f>
        <v/>
      </c>
      <c r="F809" s="13" t="inlineStr">
        <is>
          <t>MELI/P/360,00/19-01-24</t>
        </is>
      </c>
      <c r="G809" s="6" t="n">
        <v>-4</v>
      </c>
      <c r="H809" s="6" t="n">
        <v>247.752</v>
      </c>
      <c r="I809" s="7">
        <f>-H809/G809</f>
        <v/>
      </c>
      <c r="J809" s="5" t="n"/>
      <c r="K809" s="6" t="n"/>
      <c r="L809" s="6" t="n"/>
      <c r="M809" s="7">
        <f>IF(N809=0,+L809+H809,0)</f>
        <v/>
      </c>
      <c r="N809" s="7">
        <f>IF((+G809-K809)=0,0,+G809-K809)</f>
        <v/>
      </c>
      <c r="O809" s="7">
        <f>IF(N809=0,0,(L809+H809)/-N809)</f>
        <v/>
      </c>
      <c r="P809" s="7">
        <f>VLOOKUP(OPERAC[[#This Row],[especie]],[1]!ESPECIES[#All],6,0)</f>
        <v/>
      </c>
      <c r="Q809" s="7">
        <f>IF(N809&lt;&gt;0,P809*N809,0)</f>
        <v/>
      </c>
      <c r="R809" s="8">
        <f>IF(Q809&lt;&gt;0,Q809+H809+L809,0)</f>
        <v/>
      </c>
      <c r="S809" s="9">
        <f>VLOOKUP(OPERAC[[#This Row],[especie]],[1]!ESPECIES[#Data],9,FALSE)</f>
        <v/>
      </c>
    </row>
    <row r="810">
      <c r="A810" s="4" t="n">
        <v>21070</v>
      </c>
      <c r="B810" s="5" t="n">
        <v>44581</v>
      </c>
      <c r="C810" s="13" t="inlineStr">
        <is>
          <t>VTA</t>
        </is>
      </c>
      <c r="D810" s="13" t="n">
        <v>39</v>
      </c>
      <c r="E810" s="10">
        <f>IF(D810&gt;0,VLOOKUP(OPERAC[[#This Row],[COD CART]],[1]!MatrizCortoLargoCyl[#All],3,0),"")</f>
        <v/>
      </c>
      <c r="F810" s="13" t="inlineStr">
        <is>
          <t>ACB/V/6,00/18-02-22</t>
        </is>
      </c>
      <c r="G810" s="6" t="n">
        <v>-200</v>
      </c>
      <c r="H810" s="6" t="n">
        <v>241.903</v>
      </c>
      <c r="I810" s="7">
        <f>-H810/G810</f>
        <v/>
      </c>
      <c r="J810" s="11" t="n">
        <v>44601</v>
      </c>
      <c r="K810" s="6" t="n">
        <v>-200</v>
      </c>
      <c r="L810" s="6">
        <f>1.21*OPERAC[[#This Row],[cantidad venta]]</f>
        <v/>
      </c>
      <c r="M810" s="7">
        <f>IF(N810=0,+L810+H810,0)</f>
        <v/>
      </c>
      <c r="N810" s="7">
        <f>IF((+G810-K810)=0,0,+G810-K810)</f>
        <v/>
      </c>
      <c r="O810" s="7">
        <f>IF(N810=0,0,(L810+H810)/-N810)</f>
        <v/>
      </c>
      <c r="P810" s="7">
        <f>VLOOKUP(OPERAC[[#This Row],[especie]],[1]!ESPECIES[#All],6,0)</f>
        <v/>
      </c>
      <c r="Q810" s="7">
        <f>IF(N810&lt;&gt;0,P810*N810,0)</f>
        <v/>
      </c>
      <c r="R810" s="8">
        <f>IF(Q810&lt;&gt;0,Q810+H810+L810,0)</f>
        <v/>
      </c>
      <c r="S810" s="9">
        <f>VLOOKUP(OPERAC[[#This Row],[especie]],[1]!ESPECIES[#Data],9,FALSE)</f>
        <v/>
      </c>
    </row>
    <row r="811">
      <c r="A811" s="4" t="n">
        <v>22399</v>
      </c>
      <c r="B811" s="5" t="n">
        <v>44495</v>
      </c>
      <c r="C811" s="13" t="inlineStr">
        <is>
          <t>VTA</t>
        </is>
      </c>
      <c r="D811" s="13" t="n">
        <v>39</v>
      </c>
      <c r="E811" s="10">
        <f>IF(D811&gt;0,VLOOKUP(OPERAC[[#This Row],[COD CART]],[1]!MatrizCortoLargoCyl[#All],3,0),"")</f>
        <v/>
      </c>
      <c r="F811" s="13" t="inlineStr">
        <is>
          <t>YPF/CC10/LP7/CP3/19-01-24</t>
        </is>
      </c>
      <c r="G811" s="6" t="n">
        <v>-100</v>
      </c>
      <c r="H811" s="6">
        <f>-2.41*OPERAC[[#This Row],[cantidad]]</f>
        <v/>
      </c>
      <c r="I811" s="7">
        <f>-H811/G811</f>
        <v/>
      </c>
      <c r="J811" s="11" t="n"/>
      <c r="K811" s="6" t="n"/>
      <c r="L811" s="6" t="n"/>
      <c r="M811" s="7">
        <f>IF(N811=0,+L811+H811,0)</f>
        <v/>
      </c>
      <c r="N811" s="7">
        <f>IF((+G811-K811)=0,0,+G811-K811)</f>
        <v/>
      </c>
      <c r="O811" s="7">
        <f>IF(N811=0,0,(L811+H811)/-N811)</f>
        <v/>
      </c>
      <c r="P811" s="7">
        <f>VLOOKUP(OPERAC[[#This Row],[especie]],[1]!ESPECIES[#All],6,0)</f>
        <v/>
      </c>
      <c r="Q811" s="7">
        <f>IF(N811&lt;&gt;0,P811*N811,0)</f>
        <v/>
      </c>
      <c r="R811" s="8">
        <f>IF(Q811&lt;&gt;0,Q811+H811+L811,0)</f>
        <v/>
      </c>
      <c r="S811" s="9">
        <f>VLOOKUP(OPERAC[[#This Row],[especie]],[1]!ESPECIES[#Data],9,FALSE)</f>
        <v/>
      </c>
    </row>
    <row r="812">
      <c r="A812" s="4" t="n">
        <v>13180</v>
      </c>
      <c r="B812" s="5" t="n">
        <v>44574</v>
      </c>
      <c r="C812" s="13" t="inlineStr">
        <is>
          <t>VTA</t>
        </is>
      </c>
      <c r="D812" s="13" t="n">
        <v>39</v>
      </c>
      <c r="E812" s="10">
        <f>IF(D812&gt;0,VLOOKUP(OPERAC[[#This Row],[COD CART]],[1]!MatrizCortoLargoCyl[#All],3,0),"")</f>
        <v/>
      </c>
      <c r="F812" s="13" t="inlineStr">
        <is>
          <t>ROKU/C/200,00/14-01-22</t>
        </is>
      </c>
      <c r="G812" s="6" t="n">
        <v>-2000</v>
      </c>
      <c r="H812" s="6" t="n">
        <v>233.7</v>
      </c>
      <c r="I812" s="7">
        <f>-H812/G812</f>
        <v/>
      </c>
      <c r="J812" s="11" t="n">
        <v>44575</v>
      </c>
      <c r="K812" s="6" t="n">
        <v>-2000</v>
      </c>
      <c r="L812" s="6" t="n">
        <v>0</v>
      </c>
      <c r="M812" s="7">
        <f>IF(N812=0,+L812+H812,0)</f>
        <v/>
      </c>
      <c r="N812" s="7">
        <f>IF((+G812-K812)=0,0,+G812-K812)</f>
        <v/>
      </c>
      <c r="O812" s="7">
        <f>IF(N812=0,0,(L812+H812)/-N812)</f>
        <v/>
      </c>
      <c r="P812" s="7">
        <f>VLOOKUP(OPERAC[[#This Row],[especie]],[1]!ESPECIES[#All],6,0)</f>
        <v/>
      </c>
      <c r="Q812" s="7">
        <f>IF(N812&lt;&gt;0,P812*N812,0)</f>
        <v/>
      </c>
      <c r="R812" s="8">
        <f>IF(Q812&lt;&gt;0,Q812+H812+L812,0)</f>
        <v/>
      </c>
      <c r="S812" s="9">
        <f>VLOOKUP(OPERAC[[#This Row],[especie]],[1]!ESPECIES[#Data],9,FALSE)</f>
        <v/>
      </c>
    </row>
    <row r="813">
      <c r="A813" s="4" t="n">
        <v>19867</v>
      </c>
      <c r="B813" s="5" t="n">
        <v>44629</v>
      </c>
      <c r="C813" s="13" t="inlineStr">
        <is>
          <t>VTA</t>
        </is>
      </c>
      <c r="D813" s="13" t="n">
        <v>39</v>
      </c>
      <c r="E813" s="10">
        <f>IF(D813&gt;0,VLOOKUP(OPERAC[[#This Row],[COD CART]],[1]!MatrizCortoLargoCyl[#All],3,0),"")</f>
        <v/>
      </c>
      <c r="F813" s="13" t="inlineStr">
        <is>
          <t>TSLA/V/300,00/19-01-24</t>
        </is>
      </c>
      <c r="G813" s="6" t="n">
        <v>-10</v>
      </c>
      <c r="H813" s="6" t="n">
        <v>230.61</v>
      </c>
      <c r="I813" s="7">
        <f>-H813/G813</f>
        <v/>
      </c>
      <c r="J813" s="11" t="n"/>
      <c r="K813" s="6" t="n"/>
      <c r="L813" s="6" t="n"/>
      <c r="M813" s="7">
        <f>IF(N813=0,+L813+H813,0)</f>
        <v/>
      </c>
      <c r="N813" s="7">
        <f>IF((+G813-K813)=0,0,+G813-K813)</f>
        <v/>
      </c>
      <c r="O813" s="7">
        <f>IF(N813=0,0,(L813+H813)/-N813)</f>
        <v/>
      </c>
      <c r="P813" s="7">
        <f>VLOOKUP(OPERAC[[#This Row],[especie]],[1]!ESPECIES[#All],6,0)</f>
        <v/>
      </c>
      <c r="Q813" s="7">
        <f>IF(N813&lt;&gt;0,P813*N813,0)</f>
        <v/>
      </c>
      <c r="R813" s="8">
        <f>IF(Q813&lt;&gt;0,Q813+H813+L813,0)</f>
        <v/>
      </c>
      <c r="S813" s="9">
        <f>VLOOKUP(OPERAC[[#This Row],[especie]],[1]!ESPECIES[#Data],9,FALSE)</f>
        <v/>
      </c>
    </row>
    <row r="814">
      <c r="A814" s="4" t="n">
        <v>3728</v>
      </c>
      <c r="B814" s="5" t="n">
        <v>44678</v>
      </c>
      <c r="C814" s="13" t="inlineStr">
        <is>
          <t>VTA</t>
        </is>
      </c>
      <c r="D814" s="13" t="n">
        <v>39</v>
      </c>
      <c r="E814" s="10">
        <f>IF(D814&gt;0,VLOOKUP(OPERAC[[#This Row],[COD CART]],[1]!MatrizCortoLargoCyl[#All],3,0),"")</f>
        <v/>
      </c>
      <c r="F814" s="13" t="inlineStr">
        <is>
          <t>MELI/V/480,00/19-01-24</t>
        </is>
      </c>
      <c r="G814" s="6" t="n">
        <v>-5</v>
      </c>
      <c r="H814" s="6" t="n">
        <v>229.77</v>
      </c>
      <c r="I814" s="7">
        <f>-H814/G814</f>
        <v/>
      </c>
      <c r="J814" s="11" t="n"/>
      <c r="K814" s="6" t="n"/>
      <c r="L814" s="6" t="n"/>
      <c r="M814" s="7">
        <f>IF(N814=0,+L814+H814,0)</f>
        <v/>
      </c>
      <c r="N814" s="7">
        <f>IF((+G814-K814)=0,0,+G814-K814)</f>
        <v/>
      </c>
      <c r="O814" s="7">
        <f>IF(N814=0,0,(L814+H814)/-N814)</f>
        <v/>
      </c>
      <c r="P814" s="7">
        <f>VLOOKUP(OPERAC[[#This Row],[especie]],[1]!ESPECIES[#All],6,0)</f>
        <v/>
      </c>
      <c r="Q814" s="7">
        <f>IF(N814&lt;&gt;0,P814*N814,0)</f>
        <v/>
      </c>
      <c r="R814" s="8">
        <f>IF(Q814&lt;&gt;0,Q814+H814+L814,0)</f>
        <v/>
      </c>
      <c r="S814" s="9">
        <f>VLOOKUP(OPERAC[[#This Row],[especie]],[1]!ESPECIES[#Data],9,FALSE)</f>
        <v/>
      </c>
    </row>
    <row r="815">
      <c r="A815" s="4" t="n">
        <v>2218</v>
      </c>
      <c r="B815" s="5" t="n">
        <v>44678</v>
      </c>
      <c r="C815" s="13" t="inlineStr">
        <is>
          <t>VTA</t>
        </is>
      </c>
      <c r="D815" s="13" t="n">
        <v>39</v>
      </c>
      <c r="E815" s="10">
        <f>IF(D815&gt;0,VLOOKUP(OPERAC[[#This Row],[COD CART]],[1]!MatrizCortoLargoCyl[#All],3,0),"")</f>
        <v/>
      </c>
      <c r="F815" s="13" t="inlineStr">
        <is>
          <t>MELI/V/480,00/19-01-24</t>
        </is>
      </c>
      <c r="G815" s="6" t="n">
        <v>-5</v>
      </c>
      <c r="H815" s="6" t="n">
        <v>229.77</v>
      </c>
      <c r="I815" s="7">
        <f>-H815/G815</f>
        <v/>
      </c>
      <c r="J815" s="11" t="n"/>
      <c r="K815" s="6" t="n"/>
      <c r="L815" s="6" t="n"/>
      <c r="M815" s="7">
        <f>IF(N815=0,+L815+H815,0)</f>
        <v/>
      </c>
      <c r="N815" s="7">
        <f>IF((+G815-K815)=0,0,+G815-K815)</f>
        <v/>
      </c>
      <c r="O815" s="7">
        <f>IF(N815=0,0,(L815+H815)/-N815)</f>
        <v/>
      </c>
      <c r="P815" s="7">
        <f>VLOOKUP(OPERAC[[#This Row],[especie]],[1]!ESPECIES[#All],6,0)</f>
        <v/>
      </c>
      <c r="Q815" s="7">
        <f>IF(N815&lt;&gt;0,P815*N815,0)</f>
        <v/>
      </c>
      <c r="R815" s="8">
        <f>IF(Q815&lt;&gt;0,Q815+H815+L815,0)</f>
        <v/>
      </c>
      <c r="S815" s="9">
        <f>VLOOKUP(OPERAC[[#This Row],[especie]],[1]!ESPECIES[#Data],9,FALSE)</f>
        <v/>
      </c>
    </row>
    <row r="816">
      <c r="A816" s="4" t="n">
        <v>3728</v>
      </c>
      <c r="B816" s="5" t="n">
        <v>44614</v>
      </c>
      <c r="C816" s="13" t="inlineStr">
        <is>
          <t>VTA</t>
        </is>
      </c>
      <c r="D816" s="13" t="n">
        <v>39</v>
      </c>
      <c r="E816" s="10">
        <f>IF(D816&gt;0,VLOOKUP(OPERAC[[#This Row],[COD CART]],[1]!MatrizCortoLargoCyl[#All],3,0),"")</f>
        <v/>
      </c>
      <c r="F816" s="13" t="inlineStr">
        <is>
          <t>TSLA/V/300,00/19-01-24</t>
        </is>
      </c>
      <c r="G816" s="6" t="n">
        <v>-10</v>
      </c>
      <c r="H816" s="6" t="n">
        <v>229.74</v>
      </c>
      <c r="I816" s="7">
        <f>-H816/G816</f>
        <v/>
      </c>
      <c r="J816" s="11" t="n"/>
      <c r="K816" s="6" t="n"/>
      <c r="L816" s="6" t="n"/>
      <c r="M816" s="7">
        <f>IF(N816=0,+L816+H816,0)</f>
        <v/>
      </c>
      <c r="N816" s="7">
        <f>IF((+G816-K816)=0,0,+G816-K816)</f>
        <v/>
      </c>
      <c r="O816" s="7">
        <f>IF(N816=0,0,(L816+H816)/-N816)</f>
        <v/>
      </c>
      <c r="P816" s="7">
        <f>VLOOKUP(OPERAC[[#This Row],[especie]],[1]!ESPECIES[#All],6,0)</f>
        <v/>
      </c>
      <c r="Q816" s="7">
        <f>IF(N816&lt;&gt;0,P816*N816,0)</f>
        <v/>
      </c>
      <c r="R816" s="8">
        <f>IF(Q816&lt;&gt;0,Q816+H816+L816,0)</f>
        <v/>
      </c>
      <c r="S816" s="9">
        <f>VLOOKUP(OPERAC[[#This Row],[especie]],[1]!ESPECIES[#Data],9,FALSE)</f>
        <v/>
      </c>
    </row>
    <row r="817">
      <c r="A817" s="4" t="n">
        <v>2255</v>
      </c>
      <c r="B817" s="5" t="n">
        <v>44720</v>
      </c>
      <c r="C817" s="13" t="inlineStr">
        <is>
          <t>VTA</t>
        </is>
      </c>
      <c r="D817" s="13" t="n">
        <v>39</v>
      </c>
      <c r="E817" s="10">
        <f>IF(D817&gt;0,VLOOKUP(OPERAC[[#This Row],[COD CART]],[1]!MatrizCortoLargoCyl[#All],3,0),"")</f>
        <v/>
      </c>
      <c r="F817" s="14" t="inlineStr">
        <is>
          <t>TSLA/P/660,00/10-06-22</t>
        </is>
      </c>
      <c r="G817" s="6" t="n">
        <v>-200</v>
      </c>
      <c r="H817" s="6" t="n">
        <v>228.965</v>
      </c>
      <c r="I817" s="7">
        <f>-H817/G817</f>
        <v/>
      </c>
      <c r="J817" s="5" t="n">
        <v>44722</v>
      </c>
      <c r="K817" s="6">
        <f>+OPERAC[[#This Row],[cantidad]]</f>
        <v/>
      </c>
      <c r="L817" s="6" t="n">
        <v>0</v>
      </c>
      <c r="M817" s="7">
        <f>IF(N817=0,+L817+H817,0)</f>
        <v/>
      </c>
      <c r="N817" s="7">
        <f>IF((+G817-K817)=0,0,+G817-K817)</f>
        <v/>
      </c>
      <c r="O817" s="7">
        <f>IF(N817=0,0,(L817+H817)/-N817)</f>
        <v/>
      </c>
      <c r="P817" s="7">
        <f>VLOOKUP(OPERAC[[#This Row],[especie]],[1]!ESPECIES[#All],6,0)</f>
        <v/>
      </c>
      <c r="Q817" s="7">
        <f>IF(N817&lt;&gt;0,P817*N817,0)</f>
        <v/>
      </c>
      <c r="R817" s="8">
        <f>IF(Q817&lt;&gt;0,Q817+H817+L817,0)</f>
        <v/>
      </c>
      <c r="S817" s="9">
        <f>VLOOKUP(OPERAC[[#This Row],[especie]],[1]!ESPECIES[#Data],9,FALSE)</f>
        <v/>
      </c>
    </row>
    <row r="818">
      <c r="A818" s="4" t="n">
        <v>19931</v>
      </c>
      <c r="B818" s="5" t="n">
        <v>44714</v>
      </c>
      <c r="C818" s="13" t="inlineStr">
        <is>
          <t>VTA</t>
        </is>
      </c>
      <c r="D818" s="13" t="n">
        <v>39</v>
      </c>
      <c r="E818" s="10">
        <f>IF(D818&gt;0,VLOOKUP(OPERAC[[#This Row],[COD CART]],[1]!MatrizCortoLargoCyl[#All],3,0),"")</f>
        <v/>
      </c>
      <c r="F818" s="13" t="inlineStr">
        <is>
          <t>TSLA/C/870,00/03-06-22</t>
        </is>
      </c>
      <c r="G818" s="6" t="n">
        <v>-1000</v>
      </c>
      <c r="H818" s="6" t="n">
        <v>228.045</v>
      </c>
      <c r="I818" s="7">
        <f>-H818/G818</f>
        <v/>
      </c>
      <c r="J818" s="5" t="n">
        <v>44715</v>
      </c>
      <c r="K818" s="6">
        <f>+OPERAC[[#This Row],[cantidad]]</f>
        <v/>
      </c>
      <c r="L818" s="6" t="n">
        <v>0</v>
      </c>
      <c r="M818" s="7">
        <f>IF(N818=0,+L818+H818,0)</f>
        <v/>
      </c>
      <c r="N818" s="7">
        <f>IF((+G818-K818)=0,0,+G818-K818)</f>
        <v/>
      </c>
      <c r="O818" s="7">
        <f>IF(N818=0,0,(L818+H818)/-N818)</f>
        <v/>
      </c>
      <c r="P818" s="7">
        <f>VLOOKUP(OPERAC[[#This Row],[especie]],[1]!ESPECIES[#All],6,0)</f>
        <v/>
      </c>
      <c r="Q818" s="7">
        <f>IF(N818&lt;&gt;0,P818*N818,0)</f>
        <v/>
      </c>
      <c r="R818" s="8">
        <f>IF(Q818&lt;&gt;0,Q818+H818+L818,0)</f>
        <v/>
      </c>
      <c r="S818" s="9">
        <f>VLOOKUP(OPERAC[[#This Row],[especie]],[1]!ESPECIES[#Data],9,FALSE)</f>
        <v/>
      </c>
    </row>
    <row r="819">
      <c r="A819" s="4" t="n">
        <v>13180</v>
      </c>
      <c r="B819" s="5" t="n">
        <v>44720</v>
      </c>
      <c r="C819" s="13" t="inlineStr">
        <is>
          <t>VTA</t>
        </is>
      </c>
      <c r="D819" s="13" t="n">
        <v>39</v>
      </c>
      <c r="E819" s="10">
        <f>IF(D819&gt;0,VLOOKUP(OPERAC[[#This Row],[COD CART]],[1]!MatrizCortoLargoCyl[#All],3,0),"")</f>
        <v/>
      </c>
      <c r="F819" s="14" t="inlineStr">
        <is>
          <t>TSLA/P/660,00/10-06-22</t>
        </is>
      </c>
      <c r="G819" s="6" t="n">
        <v>-200</v>
      </c>
      <c r="H819" s="6" t="n">
        <v>228.045</v>
      </c>
      <c r="I819" s="7">
        <f>-H819/G819</f>
        <v/>
      </c>
      <c r="J819" s="5" t="n">
        <v>44722</v>
      </c>
      <c r="K819" s="6">
        <f>+OPERAC[[#This Row],[cantidad]]</f>
        <v/>
      </c>
      <c r="L819" s="6" t="n">
        <v>0</v>
      </c>
      <c r="M819" s="7">
        <f>IF(N819=0,+L819+H819,0)</f>
        <v/>
      </c>
      <c r="N819" s="7">
        <f>IF((+G819-K819)=0,0,+G819-K819)</f>
        <v/>
      </c>
      <c r="O819" s="7">
        <f>IF(N819=0,0,(L819+H819)/-N819)</f>
        <v/>
      </c>
      <c r="P819" s="7">
        <f>VLOOKUP(OPERAC[[#This Row],[especie]],[1]!ESPECIES[#All],6,0)</f>
        <v/>
      </c>
      <c r="Q819" s="7">
        <f>IF(N819&lt;&gt;0,P819*N819,0)</f>
        <v/>
      </c>
      <c r="R819" s="8">
        <f>IF(Q819&lt;&gt;0,Q819+H819+L819,0)</f>
        <v/>
      </c>
      <c r="S819" s="9">
        <f>VLOOKUP(OPERAC[[#This Row],[especie]],[1]!ESPECIES[#Data],9,FALSE)</f>
        <v/>
      </c>
    </row>
    <row r="820">
      <c r="A820" s="4" t="n">
        <v>7916</v>
      </c>
      <c r="B820" s="5" t="n">
        <v>44676</v>
      </c>
      <c r="C820" s="13" t="inlineStr">
        <is>
          <t>VTA</t>
        </is>
      </c>
      <c r="D820" s="13" t="n">
        <v>39</v>
      </c>
      <c r="E820" s="10">
        <f>IF(D820&gt;0,VLOOKUP(OPERAC[[#This Row],[COD CART]],[1]!MatrizCortoLargoCyl[#All],3,0),"")</f>
        <v/>
      </c>
      <c r="F820" s="13" t="inlineStr">
        <is>
          <t>UPST/V/67,00/06-05-22</t>
        </is>
      </c>
      <c r="G820" s="6" t="n">
        <v>-100</v>
      </c>
      <c r="H820" s="6" t="n">
        <v>223.0875</v>
      </c>
      <c r="I820" s="7">
        <f>-H820/G820</f>
        <v/>
      </c>
      <c r="J820" s="11" t="n">
        <v>44687</v>
      </c>
      <c r="K820" s="6">
        <f>OPERAC[[#This Row],[cantidad]]</f>
        <v/>
      </c>
      <c r="L820" s="6" t="n">
        <v>0</v>
      </c>
      <c r="M820" s="7">
        <f>IF(N820=0,+L820+H820,0)</f>
        <v/>
      </c>
      <c r="N820" s="7">
        <f>IF((+G820-K820)=0,0,+G820-K820)</f>
        <v/>
      </c>
      <c r="O820" s="7">
        <f>IF(N820=0,0,(L820+H820)/-N820)</f>
        <v/>
      </c>
      <c r="P820" s="7">
        <f>VLOOKUP(OPERAC[[#This Row],[especie]],[1]!ESPECIES[#All],6,0)</f>
        <v/>
      </c>
      <c r="Q820" s="7">
        <f>IF(N820&lt;&gt;0,P820*N820,0)</f>
        <v/>
      </c>
      <c r="R820" s="8">
        <f>IF(Q820&lt;&gt;0,Q820+H820+L820,0)</f>
        <v/>
      </c>
      <c r="S820" s="9">
        <f>VLOOKUP(OPERAC[[#This Row],[especie]],[1]!ESPECIES[#Data],9,FALSE)</f>
        <v/>
      </c>
    </row>
    <row r="821">
      <c r="A821" s="4" t="n">
        <v>12652</v>
      </c>
      <c r="B821" s="5" t="n">
        <v>44676</v>
      </c>
      <c r="C821" s="13" t="inlineStr">
        <is>
          <t>VTA</t>
        </is>
      </c>
      <c r="D821" s="13" t="n">
        <v>39</v>
      </c>
      <c r="E821" s="10">
        <f>IF(D821&gt;0,VLOOKUP(OPERAC[[#This Row],[COD CART]],[1]!MatrizCortoLargoCyl[#All],3,0),"")</f>
        <v/>
      </c>
      <c r="F821" s="13" t="inlineStr">
        <is>
          <t>UPST/V/67,00/06-05-22</t>
        </is>
      </c>
      <c r="G821" s="6" t="n">
        <v>-100</v>
      </c>
      <c r="H821" s="6" t="n">
        <v>223.0875</v>
      </c>
      <c r="I821" s="7">
        <f>-H821/G821</f>
        <v/>
      </c>
      <c r="J821" s="11" t="n">
        <v>44687</v>
      </c>
      <c r="K821" s="6">
        <f>OPERAC[[#This Row],[cantidad]]</f>
        <v/>
      </c>
      <c r="L821" s="6" t="n">
        <v>0</v>
      </c>
      <c r="M821" s="7">
        <f>IF(N821=0,+L821+H821,0)</f>
        <v/>
      </c>
      <c r="N821" s="7">
        <f>IF((+G821-K821)=0,0,+G821-K821)</f>
        <v/>
      </c>
      <c r="O821" s="7">
        <f>IF(N821=0,0,(L821+H821)/-N821)</f>
        <v/>
      </c>
      <c r="P821" s="7">
        <f>VLOOKUP(OPERAC[[#This Row],[especie]],[1]!ESPECIES[#All],6,0)</f>
        <v/>
      </c>
      <c r="Q821" s="7">
        <f>IF(N821&lt;&gt;0,P821*N821,0)</f>
        <v/>
      </c>
      <c r="R821" s="8">
        <f>IF(Q821&lt;&gt;0,Q821+H821+L821,0)</f>
        <v/>
      </c>
      <c r="S821" s="9">
        <f>VLOOKUP(OPERAC[[#This Row],[especie]],[1]!ESPECIES[#Data],9,FALSE)</f>
        <v/>
      </c>
    </row>
    <row r="822">
      <c r="A822" s="4" t="n">
        <v>26138</v>
      </c>
      <c r="B822" s="5" t="n">
        <v>44676</v>
      </c>
      <c r="C822" s="13" t="inlineStr">
        <is>
          <t>VTA</t>
        </is>
      </c>
      <c r="D822" s="13" t="n">
        <v>39</v>
      </c>
      <c r="E822" s="10">
        <f>IF(D822&gt;0,VLOOKUP(OPERAC[[#This Row],[COD CART]],[1]!MatrizCortoLargoCyl[#All],3,0),"")</f>
        <v/>
      </c>
      <c r="F822" s="13" t="inlineStr">
        <is>
          <t>UPST/V/67,00/06-05-22</t>
        </is>
      </c>
      <c r="G822" s="6" t="n">
        <v>-100</v>
      </c>
      <c r="H822" s="6" t="n">
        <v>223.0875</v>
      </c>
      <c r="I822" s="7">
        <f>-H822/G822</f>
        <v/>
      </c>
      <c r="J822" s="11" t="n">
        <v>44687</v>
      </c>
      <c r="K822" s="6">
        <f>OPERAC[[#This Row],[cantidad]]</f>
        <v/>
      </c>
      <c r="L822" s="6" t="n">
        <v>0</v>
      </c>
      <c r="M822" s="7">
        <f>IF(N822=0,+L822+H822,0)</f>
        <v/>
      </c>
      <c r="N822" s="7">
        <f>IF((+G822-K822)=0,0,+G822-K822)</f>
        <v/>
      </c>
      <c r="O822" s="7">
        <f>IF(N822=0,0,(L822+H822)/-N822)</f>
        <v/>
      </c>
      <c r="P822" s="7">
        <f>VLOOKUP(OPERAC[[#This Row],[especie]],[1]!ESPECIES[#All],6,0)</f>
        <v/>
      </c>
      <c r="Q822" s="7">
        <f>IF(N822&lt;&gt;0,P822*N822,0)</f>
        <v/>
      </c>
      <c r="R822" s="8">
        <f>IF(Q822&lt;&gt;0,Q822+H822+L822,0)</f>
        <v/>
      </c>
      <c r="S822" s="9">
        <f>VLOOKUP(OPERAC[[#This Row],[especie]],[1]!ESPECIES[#Data],9,FALSE)</f>
        <v/>
      </c>
    </row>
    <row r="823">
      <c r="A823" s="4" t="n">
        <v>18663</v>
      </c>
      <c r="B823" s="5" t="n">
        <v>44616</v>
      </c>
      <c r="C823" s="13" t="inlineStr">
        <is>
          <t>VTA</t>
        </is>
      </c>
      <c r="D823" s="13" t="n">
        <v>41</v>
      </c>
      <c r="E823" s="10">
        <f>IF(D823&gt;0,VLOOKUP(OPERAC[[#This Row],[COD CART]],[1]!MatrizCortoLargoCyl[#All],3,0),"")</f>
        <v/>
      </c>
      <c r="F823" s="13" t="inlineStr">
        <is>
          <t>SPWR/V/10,00/19-01-24</t>
        </is>
      </c>
      <c r="G823" s="6" t="n">
        <v>-100</v>
      </c>
      <c r="H823" s="6" t="n">
        <v>217.83767</v>
      </c>
      <c r="I823" s="7">
        <f>-H823/G823</f>
        <v/>
      </c>
      <c r="J823" s="11" t="n"/>
      <c r="K823" s="6" t="n"/>
      <c r="L823" s="6" t="n"/>
      <c r="M823" s="7">
        <f>IF(N823=0,+L823+H823,0)</f>
        <v/>
      </c>
      <c r="N823" s="7">
        <f>IF((+G823-K823)=0,0,+G823-K823)</f>
        <v/>
      </c>
      <c r="O823" s="7">
        <f>IF(N823=0,0,(L823+H823)/-N823)</f>
        <v/>
      </c>
      <c r="P823" s="7">
        <f>VLOOKUP(OPERAC[[#This Row],[especie]],[1]!ESPECIES[#All],6,0)</f>
        <v/>
      </c>
      <c r="Q823" s="7">
        <f>IF(N823&lt;&gt;0,P823*N823,0)</f>
        <v/>
      </c>
      <c r="R823" s="8">
        <f>IF(Q823&lt;&gt;0,Q823+H823+L823,0)</f>
        <v/>
      </c>
      <c r="S823" s="9">
        <f>VLOOKUP(OPERAC[[#This Row],[especie]],[1]!ESPECIES[#Data],9,FALSE)</f>
        <v/>
      </c>
    </row>
    <row r="824">
      <c r="A824" s="4" t="n">
        <v>15189</v>
      </c>
      <c r="B824" s="5" t="n">
        <v>44585</v>
      </c>
      <c r="C824" s="13" t="inlineStr">
        <is>
          <t>VTA</t>
        </is>
      </c>
      <c r="D824" s="13" t="n">
        <v>39</v>
      </c>
      <c r="E824" s="10">
        <f>IF(D824&gt;0,VLOOKUP(OPERAC[[#This Row],[COD CART]],[1]!MatrizCortoLargoCyl[#All],3,0),"")</f>
        <v/>
      </c>
      <c r="F824" s="13" t="inlineStr">
        <is>
          <t>TSLA/V/510,00/28-01-22</t>
        </is>
      </c>
      <c r="G824" s="6" t="n">
        <v>-200</v>
      </c>
      <c r="H824" s="6" t="n">
        <v>217.712</v>
      </c>
      <c r="I824" s="7">
        <f>-H824/G824</f>
        <v/>
      </c>
      <c r="J824" s="11" t="n">
        <v>44587</v>
      </c>
      <c r="K824" s="6" t="n">
        <v>-200</v>
      </c>
      <c r="L824" s="6" t="n">
        <v>-21.776</v>
      </c>
      <c r="M824" s="7">
        <f>IF(N824=0,+L824+H824,0)</f>
        <v/>
      </c>
      <c r="N824" s="7">
        <f>IF((+G824-K824)=0,0,+G824-K824)</f>
        <v/>
      </c>
      <c r="O824" s="7">
        <f>IF(N824=0,0,(L824+H824)/-N824)</f>
        <v/>
      </c>
      <c r="P824" s="7">
        <f>VLOOKUP(OPERAC[[#This Row],[especie]],[1]!ESPECIES[#All],6,0)</f>
        <v/>
      </c>
      <c r="Q824" s="7">
        <f>IF(N824&lt;&gt;0,P824*N824,0)</f>
        <v/>
      </c>
      <c r="R824" s="8">
        <f>IF(Q824&lt;&gt;0,Q824+H824+L824,0)</f>
        <v/>
      </c>
      <c r="S824" s="9">
        <f>VLOOKUP(OPERAC[[#This Row],[especie]],[1]!ESPECIES[#Data],9,FALSE)</f>
        <v/>
      </c>
    </row>
    <row r="825">
      <c r="A825" s="4" t="n">
        <v>15195</v>
      </c>
      <c r="B825" s="5" t="n">
        <v>44585</v>
      </c>
      <c r="C825" s="13" t="inlineStr">
        <is>
          <t>VTA</t>
        </is>
      </c>
      <c r="D825" s="13" t="n">
        <v>39</v>
      </c>
      <c r="E825" s="10">
        <f>IF(D825&gt;0,VLOOKUP(OPERAC[[#This Row],[COD CART]],[1]!MatrizCortoLargoCyl[#All],3,0),"")</f>
        <v/>
      </c>
      <c r="F825" s="13" t="inlineStr">
        <is>
          <t>TSLA/V/510,00/28-01-22</t>
        </is>
      </c>
      <c r="G825" s="6" t="n">
        <v>-200</v>
      </c>
      <c r="H825" s="6" t="n">
        <v>217.712</v>
      </c>
      <c r="I825" s="7">
        <f>-H825/G825</f>
        <v/>
      </c>
      <c r="J825" s="11" t="n">
        <v>44587</v>
      </c>
      <c r="K825" s="6" t="n">
        <v>-200</v>
      </c>
      <c r="L825" s="6" t="n">
        <v>-21.776</v>
      </c>
      <c r="M825" s="7">
        <f>IF(N825=0,+L825+H825,0)</f>
        <v/>
      </c>
      <c r="N825" s="7">
        <f>IF((+G825-K825)=0,0,+G825-K825)</f>
        <v/>
      </c>
      <c r="O825" s="7">
        <f>IF(N825=0,0,(L825+H825)/-N825)</f>
        <v/>
      </c>
      <c r="P825" s="7">
        <f>VLOOKUP(OPERAC[[#This Row],[especie]],[1]!ESPECIES[#All],6,0)</f>
        <v/>
      </c>
      <c r="Q825" s="7">
        <f>IF(N825&lt;&gt;0,P825*N825,0)</f>
        <v/>
      </c>
      <c r="R825" s="8">
        <f>IF(Q825&lt;&gt;0,Q825+H825+L825,0)</f>
        <v/>
      </c>
      <c r="S825" s="9">
        <f>VLOOKUP(OPERAC[[#This Row],[especie]],[1]!ESPECIES[#Data],9,FALSE)</f>
        <v/>
      </c>
    </row>
    <row r="826">
      <c r="A826" s="4" t="n">
        <v>16786</v>
      </c>
      <c r="B826" s="5" t="n">
        <v>44585</v>
      </c>
      <c r="C826" s="13" t="inlineStr">
        <is>
          <t>VTA</t>
        </is>
      </c>
      <c r="D826" s="13" t="n">
        <v>39</v>
      </c>
      <c r="E826" s="10">
        <f>IF(D826&gt;0,VLOOKUP(OPERAC[[#This Row],[COD CART]],[1]!MatrizCortoLargoCyl[#All],3,0),"")</f>
        <v/>
      </c>
      <c r="F826" s="13" t="inlineStr">
        <is>
          <t>TSLA/V/510,00/28-01-22</t>
        </is>
      </c>
      <c r="G826" s="6" t="n">
        <v>-200</v>
      </c>
      <c r="H826" s="6" t="n">
        <v>217.712</v>
      </c>
      <c r="I826" s="7">
        <f>-H826/G826</f>
        <v/>
      </c>
      <c r="J826" s="11" t="n">
        <v>44587</v>
      </c>
      <c r="K826" s="6" t="n">
        <v>-200</v>
      </c>
      <c r="L826" s="6" t="n">
        <v>-21.776</v>
      </c>
      <c r="M826" s="7">
        <f>IF(N826=0,+L826+H826,0)</f>
        <v/>
      </c>
      <c r="N826" s="7">
        <f>IF((+G826-K826)=0,0,+G826-K826)</f>
        <v/>
      </c>
      <c r="O826" s="7">
        <f>IF(N826=0,0,(L826+H826)/-N826)</f>
        <v/>
      </c>
      <c r="P826" s="7">
        <f>VLOOKUP(OPERAC[[#This Row],[especie]],[1]!ESPECIES[#All],6,0)</f>
        <v/>
      </c>
      <c r="Q826" s="7">
        <f>IF(N826&lt;&gt;0,P826*N826,0)</f>
        <v/>
      </c>
      <c r="R826" s="8">
        <f>IF(Q826&lt;&gt;0,Q826+H826+L826,0)</f>
        <v/>
      </c>
      <c r="S826" s="9">
        <f>VLOOKUP(OPERAC[[#This Row],[especie]],[1]!ESPECIES[#Data],9,FALSE)</f>
        <v/>
      </c>
    </row>
    <row r="827">
      <c r="A827" s="4" t="n">
        <v>18651</v>
      </c>
      <c r="B827" s="5" t="n">
        <v>44585</v>
      </c>
      <c r="C827" s="13" t="inlineStr">
        <is>
          <t>VTA</t>
        </is>
      </c>
      <c r="D827" s="13" t="n">
        <v>39</v>
      </c>
      <c r="E827" s="10">
        <f>IF(D827&gt;0,VLOOKUP(OPERAC[[#This Row],[COD CART]],[1]!MatrizCortoLargoCyl[#All],3,0),"")</f>
        <v/>
      </c>
      <c r="F827" s="13" t="inlineStr">
        <is>
          <t>TSLA/V/510,00/28-01-22</t>
        </is>
      </c>
      <c r="G827" s="6" t="n">
        <v>-200</v>
      </c>
      <c r="H827" s="6" t="n">
        <v>217.712</v>
      </c>
      <c r="I827" s="7">
        <f>-H827/G827</f>
        <v/>
      </c>
      <c r="J827" s="11" t="n">
        <v>44587</v>
      </c>
      <c r="K827" s="6" t="n">
        <v>-200</v>
      </c>
      <c r="L827" s="6" t="n">
        <v>-21.776</v>
      </c>
      <c r="M827" s="7">
        <f>IF(N827=0,+L827+H827,0)</f>
        <v/>
      </c>
      <c r="N827" s="7">
        <f>IF((+G827-K827)=0,0,+G827-K827)</f>
        <v/>
      </c>
      <c r="O827" s="7">
        <f>IF(N827=0,0,(L827+H827)/-N827)</f>
        <v/>
      </c>
      <c r="P827" s="7">
        <f>VLOOKUP(OPERAC[[#This Row],[especie]],[1]!ESPECIES[#All],6,0)</f>
        <v/>
      </c>
      <c r="Q827" s="7">
        <f>IF(N827&lt;&gt;0,P827*N827,0)</f>
        <v/>
      </c>
      <c r="R827" s="8">
        <f>IF(Q827&lt;&gt;0,Q827+H827+L827,0)</f>
        <v/>
      </c>
      <c r="S827" s="9">
        <f>VLOOKUP(OPERAC[[#This Row],[especie]],[1]!ESPECIES[#Data],9,FALSE)</f>
        <v/>
      </c>
    </row>
    <row r="828">
      <c r="A828" s="4" t="n">
        <v>18713</v>
      </c>
      <c r="B828" s="5" t="n">
        <v>44585</v>
      </c>
      <c r="C828" s="13" t="inlineStr">
        <is>
          <t>VTA</t>
        </is>
      </c>
      <c r="D828" s="13" t="n">
        <v>39</v>
      </c>
      <c r="E828" s="10">
        <f>IF(D828&gt;0,VLOOKUP(OPERAC[[#This Row],[COD CART]],[1]!MatrizCortoLargoCyl[#All],3,0),"")</f>
        <v/>
      </c>
      <c r="F828" s="13" t="inlineStr">
        <is>
          <t>TSLA/V/510,00/28-01-22</t>
        </is>
      </c>
      <c r="G828" s="6" t="n">
        <v>-200</v>
      </c>
      <c r="H828" s="6" t="n">
        <v>217.712</v>
      </c>
      <c r="I828" s="7">
        <f>-H828/G828</f>
        <v/>
      </c>
      <c r="J828" s="11" t="n">
        <v>44587</v>
      </c>
      <c r="K828" s="6" t="n">
        <v>-200</v>
      </c>
      <c r="L828" s="6" t="n">
        <v>-21.776</v>
      </c>
      <c r="M828" s="7">
        <f>IF(N828=0,+L828+H828,0)</f>
        <v/>
      </c>
      <c r="N828" s="7">
        <f>IF((+G828-K828)=0,0,+G828-K828)</f>
        <v/>
      </c>
      <c r="O828" s="7">
        <f>IF(N828=0,0,(L828+H828)/-N828)</f>
        <v/>
      </c>
      <c r="P828" s="7">
        <f>VLOOKUP(OPERAC[[#This Row],[especie]],[1]!ESPECIES[#All],6,0)</f>
        <v/>
      </c>
      <c r="Q828" s="7">
        <f>IF(N828&lt;&gt;0,P828*N828,0)</f>
        <v/>
      </c>
      <c r="R828" s="8">
        <f>IF(Q828&lt;&gt;0,Q828+H828+L828,0)</f>
        <v/>
      </c>
      <c r="S828" s="9">
        <f>VLOOKUP(OPERAC[[#This Row],[especie]],[1]!ESPECIES[#Data],9,FALSE)</f>
        <v/>
      </c>
    </row>
    <row r="829">
      <c r="A829" s="4" t="n">
        <v>19888</v>
      </c>
      <c r="B829" s="5" t="n">
        <v>44585</v>
      </c>
      <c r="C829" s="13" t="inlineStr">
        <is>
          <t>VTA</t>
        </is>
      </c>
      <c r="D829" s="13" t="n">
        <v>39</v>
      </c>
      <c r="E829" s="10">
        <f>IF(D829&gt;0,VLOOKUP(OPERAC[[#This Row],[COD CART]],[1]!MatrizCortoLargoCyl[#All],3,0),"")</f>
        <v/>
      </c>
      <c r="F829" s="13" t="inlineStr">
        <is>
          <t>TSLA/V/510,00/28-01-22</t>
        </is>
      </c>
      <c r="G829" s="6" t="n">
        <v>-200</v>
      </c>
      <c r="H829" s="6" t="n">
        <v>217.712</v>
      </c>
      <c r="I829" s="7">
        <f>-H829/G829</f>
        <v/>
      </c>
      <c r="J829" s="11" t="n">
        <v>44587</v>
      </c>
      <c r="K829" s="6" t="n">
        <v>-200</v>
      </c>
      <c r="L829" s="6" t="n">
        <v>-21.776</v>
      </c>
      <c r="M829" s="7">
        <f>IF(N829=0,+L829+H829,0)</f>
        <v/>
      </c>
      <c r="N829" s="7">
        <f>IF((+G829-K829)=0,0,+G829-K829)</f>
        <v/>
      </c>
      <c r="O829" s="7">
        <f>IF(N829=0,0,(L829+H829)/-N829)</f>
        <v/>
      </c>
      <c r="P829" s="7">
        <f>VLOOKUP(OPERAC[[#This Row],[especie]],[1]!ESPECIES[#All],6,0)</f>
        <v/>
      </c>
      <c r="Q829" s="7">
        <f>IF(N829&lt;&gt;0,P829*N829,0)</f>
        <v/>
      </c>
      <c r="R829" s="8">
        <f>IF(Q829&lt;&gt;0,Q829+H829+L829,0)</f>
        <v/>
      </c>
      <c r="S829" s="9">
        <f>VLOOKUP(OPERAC[[#This Row],[especie]],[1]!ESPECIES[#Data],9,FALSE)</f>
        <v/>
      </c>
    </row>
    <row r="830">
      <c r="A830" s="4" t="n">
        <v>22407</v>
      </c>
      <c r="B830" s="5" t="n">
        <v>44585</v>
      </c>
      <c r="C830" s="13" t="inlineStr">
        <is>
          <t>VTA</t>
        </is>
      </c>
      <c r="D830" s="13" t="n">
        <v>39</v>
      </c>
      <c r="E830" s="10">
        <f>IF(D830&gt;0,VLOOKUP(OPERAC[[#This Row],[COD CART]],[1]!MatrizCortoLargoCyl[#All],3,0),"")</f>
        <v/>
      </c>
      <c r="F830" s="13" t="inlineStr">
        <is>
          <t>TSLA/V/510,00/28-01-22</t>
        </is>
      </c>
      <c r="G830" s="6" t="n">
        <v>-200</v>
      </c>
      <c r="H830" s="6" t="n">
        <v>217.712</v>
      </c>
      <c r="I830" s="7">
        <f>-H830/G830</f>
        <v/>
      </c>
      <c r="J830" s="11" t="n">
        <v>44587</v>
      </c>
      <c r="K830" s="6" t="n">
        <v>-200</v>
      </c>
      <c r="L830" s="6" t="n">
        <v>-21.776</v>
      </c>
      <c r="M830" s="7">
        <f>IF(N830=0,+L830+H830,0)</f>
        <v/>
      </c>
      <c r="N830" s="7">
        <f>IF((+G830-K830)=0,0,+G830-K830)</f>
        <v/>
      </c>
      <c r="O830" s="7">
        <f>IF(N830=0,0,(L830+H830)/-N830)</f>
        <v/>
      </c>
      <c r="P830" s="7">
        <f>VLOOKUP(OPERAC[[#This Row],[especie]],[1]!ESPECIES[#All],6,0)</f>
        <v/>
      </c>
      <c r="Q830" s="7">
        <f>IF(N830&lt;&gt;0,P830*N830,0)</f>
        <v/>
      </c>
      <c r="R830" s="8">
        <f>IF(Q830&lt;&gt;0,Q830+H830+L830,0)</f>
        <v/>
      </c>
      <c r="S830" s="9">
        <f>VLOOKUP(OPERAC[[#This Row],[especie]],[1]!ESPECIES[#Data],9,FALSE)</f>
        <v/>
      </c>
    </row>
    <row r="831">
      <c r="A831" s="4" t="n">
        <v>25070</v>
      </c>
      <c r="B831" s="5" t="n">
        <v>44585</v>
      </c>
      <c r="C831" s="13" t="inlineStr">
        <is>
          <t>VTA</t>
        </is>
      </c>
      <c r="D831" s="13" t="n">
        <v>39</v>
      </c>
      <c r="E831" s="10">
        <f>IF(D831&gt;0,VLOOKUP(OPERAC[[#This Row],[COD CART]],[1]!MatrizCortoLargoCyl[#All],3,0),"")</f>
        <v/>
      </c>
      <c r="F831" s="13" t="inlineStr">
        <is>
          <t>TSLA/V/510,00/28-01-22</t>
        </is>
      </c>
      <c r="G831" s="6" t="n">
        <v>-200</v>
      </c>
      <c r="H831" s="6" t="n">
        <v>217.712</v>
      </c>
      <c r="I831" s="7">
        <f>-H831/G831</f>
        <v/>
      </c>
      <c r="J831" s="11" t="n">
        <v>44587</v>
      </c>
      <c r="K831" s="6" t="n">
        <v>-200</v>
      </c>
      <c r="L831" s="6" t="n">
        <v>-21.776</v>
      </c>
      <c r="M831" s="7">
        <f>IF(N831=0,+L831+H831,0)</f>
        <v/>
      </c>
      <c r="N831" s="7">
        <f>IF((+G831-K831)=0,0,+G831-K831)</f>
        <v/>
      </c>
      <c r="O831" s="7">
        <f>IF(N831=0,0,(L831+H831)/-N831)</f>
        <v/>
      </c>
      <c r="P831" s="7">
        <f>VLOOKUP(OPERAC[[#This Row],[especie]],[1]!ESPECIES[#All],6,0)</f>
        <v/>
      </c>
      <c r="Q831" s="7">
        <f>IF(N831&lt;&gt;0,P831*N831,0)</f>
        <v/>
      </c>
      <c r="R831" s="8">
        <f>IF(Q831&lt;&gt;0,Q831+H831+L831,0)</f>
        <v/>
      </c>
      <c r="S831" s="9">
        <f>VLOOKUP(OPERAC[[#This Row],[especie]],[1]!ESPECIES[#Data],9,FALSE)</f>
        <v/>
      </c>
    </row>
    <row r="832">
      <c r="A832" s="4" t="n">
        <v>3728</v>
      </c>
      <c r="B832" s="5" t="n">
        <v>44701</v>
      </c>
      <c r="C832" s="13" t="inlineStr">
        <is>
          <t>VTA</t>
        </is>
      </c>
      <c r="D832" s="13" t="n">
        <v>39</v>
      </c>
      <c r="E832" s="10">
        <f>IF(D832&gt;0,VLOOKUP(OPERAC[[#This Row],[COD CART]],[1]!MatrizCortoLargoCyl[#All],3,0),"")</f>
        <v/>
      </c>
      <c r="F832" s="13" t="inlineStr">
        <is>
          <t>TSLA/P/300,00/19-01-24</t>
        </is>
      </c>
      <c r="G832" s="6" t="n">
        <v>-5</v>
      </c>
      <c r="H832" s="6" t="n">
        <v>217.2825</v>
      </c>
      <c r="I832" s="7">
        <f>-H832/G832</f>
        <v/>
      </c>
      <c r="J832" s="11" t="n"/>
      <c r="K832" s="6" t="n"/>
      <c r="L832" s="6" t="n"/>
      <c r="M832" s="7">
        <f>IF(N832=0,+L832+H832,0)</f>
        <v/>
      </c>
      <c r="N832" s="7">
        <f>IF((+G832-K832)=0,0,+G832-K832)</f>
        <v/>
      </c>
      <c r="O832" s="7">
        <f>IF(N832=0,0,(L832+H832)/-N832)</f>
        <v/>
      </c>
      <c r="P832" s="7">
        <f>VLOOKUP(OPERAC[[#This Row],[especie]],[1]!ESPECIES[#All],6,0)</f>
        <v/>
      </c>
      <c r="Q832" s="7">
        <f>IF(N832&lt;&gt;0,P832*N832,0)</f>
        <v/>
      </c>
      <c r="R832" s="8">
        <f>IF(Q832&lt;&gt;0,Q832+H832+L832,0)</f>
        <v/>
      </c>
      <c r="S832" s="9">
        <f>VLOOKUP(OPERAC[[#This Row],[especie]],[1]!ESPECIES[#Data],9,FALSE)</f>
        <v/>
      </c>
    </row>
    <row r="833">
      <c r="A833" s="4" t="n">
        <v>2194</v>
      </c>
      <c r="B833" s="5" t="n">
        <v>44607</v>
      </c>
      <c r="C833" s="13" t="inlineStr">
        <is>
          <t>VTA</t>
        </is>
      </c>
      <c r="D833" s="13" t="n">
        <v>39</v>
      </c>
      <c r="E833" s="10">
        <f>IF(D833&gt;0,VLOOKUP(OPERAC[[#This Row],[COD CART]],[1]!MatrizCortoLargoCyl[#All],3,0),"")</f>
        <v/>
      </c>
      <c r="F833" s="13" t="inlineStr">
        <is>
          <t>ROKU/V/120,00/18-02-22</t>
        </is>
      </c>
      <c r="G833" s="6" t="n">
        <v>-200</v>
      </c>
      <c r="H833" s="6" t="n">
        <v>215.452</v>
      </c>
      <c r="I833" s="7">
        <f>-H833/G833</f>
        <v/>
      </c>
      <c r="J833" s="11" t="n">
        <v>44609</v>
      </c>
      <c r="K833" s="6" t="n">
        <v>-200</v>
      </c>
      <c r="L833" s="6" t="n">
        <v>-807.52</v>
      </c>
      <c r="M833" s="7">
        <f>IF(N833=0,+L833+H833,0)</f>
        <v/>
      </c>
      <c r="N833" s="7">
        <f>IF((+G833-K833)=0,0,+G833-K833)</f>
        <v/>
      </c>
      <c r="O833" s="7">
        <f>IF(N833=0,0,(L833+H833)/-N833)</f>
        <v/>
      </c>
      <c r="P833" s="7">
        <f>VLOOKUP(OPERAC[[#This Row],[especie]],[1]!ESPECIES[#All],6,0)</f>
        <v/>
      </c>
      <c r="Q833" s="7">
        <f>IF(N833&lt;&gt;0,P833*N833,0)</f>
        <v/>
      </c>
      <c r="R833" s="8">
        <f>IF(Q833&lt;&gt;0,Q833+H833+L833,0)</f>
        <v/>
      </c>
      <c r="S833" s="9">
        <f>VLOOKUP(OPERAC[[#This Row],[especie]],[1]!ESPECIES[#Data],9,FALSE)</f>
        <v/>
      </c>
    </row>
    <row r="834">
      <c r="A834" s="4" t="n">
        <v>3728</v>
      </c>
      <c r="B834" s="5" t="n">
        <v>44637</v>
      </c>
      <c r="C834" s="13" t="inlineStr">
        <is>
          <t>VTA</t>
        </is>
      </c>
      <c r="D834" s="13" t="n">
        <v>39</v>
      </c>
      <c r="E834" s="10">
        <f>IF(D834&gt;0,VLOOKUP(OPERAC[[#This Row],[COD CART]],[1]!MatrizCortoLargoCyl[#All],3,0),"")</f>
        <v/>
      </c>
      <c r="F834" s="13" t="inlineStr">
        <is>
          <t>TSLA/V/300,00/19-01-24</t>
        </is>
      </c>
      <c r="G834" s="6" t="n">
        <v>-10</v>
      </c>
      <c r="H834" s="6" t="n">
        <v>210.71</v>
      </c>
      <c r="I834" s="7">
        <f>-H834/G834</f>
        <v/>
      </c>
      <c r="J834" s="11" t="n"/>
      <c r="K834" s="6" t="n"/>
      <c r="L834" s="6" t="n"/>
      <c r="M834" s="7">
        <f>IF(N834=0,+L834+H834,0)</f>
        <v/>
      </c>
      <c r="N834" s="7">
        <f>IF((+G834-K834)=0,0,+G834-K834)</f>
        <v/>
      </c>
      <c r="O834" s="7">
        <f>IF(N834=0,0,(L834+H834)/-N834)</f>
        <v/>
      </c>
      <c r="P834" s="7">
        <f>VLOOKUP(OPERAC[[#This Row],[especie]],[1]!ESPECIES[#All],6,0)</f>
        <v/>
      </c>
      <c r="Q834" s="7">
        <f>IF(N834&lt;&gt;0,P834*N834,0)</f>
        <v/>
      </c>
      <c r="R834" s="8">
        <f>IF(Q834&lt;&gt;0,Q834+H834+L834,0)</f>
        <v/>
      </c>
      <c r="S834" s="9">
        <f>VLOOKUP(OPERAC[[#This Row],[especie]],[1]!ESPECIES[#Data],9,FALSE)</f>
        <v/>
      </c>
    </row>
    <row r="835">
      <c r="A835" s="4" t="n">
        <v>2194</v>
      </c>
      <c r="B835" s="5" t="n">
        <v>44341</v>
      </c>
      <c r="C835" s="13" t="inlineStr">
        <is>
          <t>VTA</t>
        </is>
      </c>
      <c r="D835" s="13" t="n">
        <v>39</v>
      </c>
      <c r="E835" s="10">
        <f>IF(D835&gt;0,VLOOKUP(OPERAC[[#This Row],[COD CART]],[1]!MatrizCortoLargoCyl[#All],3,0),"")</f>
        <v/>
      </c>
      <c r="F835" s="13" t="inlineStr">
        <is>
          <t>INO/V/5,00/21-01-22</t>
        </is>
      </c>
      <c r="G835" s="6" t="n">
        <v>-200</v>
      </c>
      <c r="H835" s="6">
        <f>200*1.05</f>
        <v/>
      </c>
      <c r="I835" s="7">
        <f>-H835/G835</f>
        <v/>
      </c>
      <c r="J835" s="11" t="n">
        <v>44580</v>
      </c>
      <c r="K835" s="6" t="n">
        <v>-200</v>
      </c>
      <c r="L835" s="6" t="n">
        <v>-156.322</v>
      </c>
      <c r="M835" s="7">
        <f>IF(N835=0,+L835+H835,0)</f>
        <v/>
      </c>
      <c r="N835" s="7">
        <f>IF((+G835-K835)=0,0,+G835-K835)</f>
        <v/>
      </c>
      <c r="O835" s="7">
        <f>IF(N835=0,0,(L835+H835)/-N835)</f>
        <v/>
      </c>
      <c r="P835" s="7">
        <f>VLOOKUP(OPERAC[[#This Row],[especie]],[1]!ESPECIES[#All],6,0)</f>
        <v/>
      </c>
      <c r="Q835" s="7">
        <f>IF(N835&lt;&gt;0,P835*N835,0)</f>
        <v/>
      </c>
      <c r="R835" s="8">
        <f>IF(Q835&lt;&gt;0,Q835+H835+L835,0)</f>
        <v/>
      </c>
      <c r="S835" s="9">
        <f>VLOOKUP(OPERAC[[#This Row],[especie]],[1]!ESPECIES[#Data],9,FALSE)</f>
        <v/>
      </c>
    </row>
    <row r="836">
      <c r="A836" s="4" t="n">
        <v>19934</v>
      </c>
      <c r="B836" s="5" t="n">
        <v>44340</v>
      </c>
      <c r="C836" s="13" t="inlineStr">
        <is>
          <t>VTA</t>
        </is>
      </c>
      <c r="D836" s="13" t="n">
        <v>39</v>
      </c>
      <c r="E836" s="10">
        <f>IF(D836&gt;0,VLOOKUP(OPERAC[[#This Row],[COD CART]],[1]!MatrizCortoLargoCyl[#All],3,0),"")</f>
        <v/>
      </c>
      <c r="F836" s="13" t="inlineStr">
        <is>
          <t>SOLO/V/3,50/21-01-22</t>
        </is>
      </c>
      <c r="G836" s="6" t="n">
        <v>-200</v>
      </c>
      <c r="H836" s="6" t="n">
        <v>209.171</v>
      </c>
      <c r="I836" s="7">
        <f>-H836/G836</f>
        <v/>
      </c>
      <c r="J836" s="11" t="n">
        <v>44579</v>
      </c>
      <c r="K836" s="6">
        <f>+OPERAC[[#This Row],[cantidad]]</f>
        <v/>
      </c>
      <c r="L836" s="6">
        <f>-OPERAC[[#This Row],[importe]]</f>
        <v/>
      </c>
      <c r="M836" s="7">
        <f>IF(N836=0,+L836+H836,0)</f>
        <v/>
      </c>
      <c r="N836" s="7">
        <f>IF((+G836-K836)=0,0,+G836-K836)</f>
        <v/>
      </c>
      <c r="O836" s="7">
        <f>IF(N836=0,0,(L836+H836)/-N836)</f>
        <v/>
      </c>
      <c r="P836" s="7">
        <f>VLOOKUP(OPERAC[[#This Row],[especie]],[1]!ESPECIES[#All],6,0)</f>
        <v/>
      </c>
      <c r="Q836" s="7">
        <f>IF(N836&lt;&gt;0,P836*N836,0)</f>
        <v/>
      </c>
      <c r="R836" s="8">
        <f>IF(Q836&lt;&gt;0,Q836+H836+L836,0)</f>
        <v/>
      </c>
      <c r="S836" s="9">
        <f>VLOOKUP(OPERAC[[#This Row],[especie]],[1]!ESPECIES[#Data],9,FALSE)</f>
        <v/>
      </c>
    </row>
    <row r="837">
      <c r="A837" s="4" t="n">
        <v>2253</v>
      </c>
      <c r="B837" s="5" t="n">
        <v>44719</v>
      </c>
      <c r="C837" s="13" t="inlineStr">
        <is>
          <t>VTA</t>
        </is>
      </c>
      <c r="D837" s="13" t="n">
        <v>39</v>
      </c>
      <c r="E837" s="10">
        <f>IF(D837&gt;0,VLOOKUP(OPERAC[[#This Row],[COD CART]],[1]!MatrizCortoLargoCyl[#All],3,0),"")</f>
        <v/>
      </c>
      <c r="F837" s="14" t="inlineStr">
        <is>
          <t>TSLA/P/600,00/10-06-22</t>
        </is>
      </c>
      <c r="G837" s="6" t="n">
        <v>-100</v>
      </c>
      <c r="H837" s="6" t="n">
        <v>208.89</v>
      </c>
      <c r="I837" s="7">
        <f>-H837/G837</f>
        <v/>
      </c>
      <c r="J837" s="5" t="n">
        <v>44719</v>
      </c>
      <c r="K837" s="6" t="n">
        <v>-100</v>
      </c>
      <c r="L837" s="6" t="n">
        <v>-71.6035</v>
      </c>
      <c r="M837" s="7">
        <f>IF(N837=0,+L837+H837,0)</f>
        <v/>
      </c>
      <c r="N837" s="7">
        <f>IF((+G837-K837)=0,0,+G837-K837)</f>
        <v/>
      </c>
      <c r="O837" s="7">
        <f>IF(N837=0,0,(L837+H837)/-N837)</f>
        <v/>
      </c>
      <c r="P837" s="7">
        <f>VLOOKUP(OPERAC[[#This Row],[especie]],[1]!ESPECIES[#All],6,0)</f>
        <v/>
      </c>
      <c r="Q837" s="7">
        <f>IF(N837&lt;&gt;0,P837*N837,0)</f>
        <v/>
      </c>
      <c r="R837" s="8">
        <f>IF(Q837&lt;&gt;0,Q837+H837+L837,0)</f>
        <v/>
      </c>
      <c r="S837" s="9">
        <f>VLOOKUP(OPERAC[[#This Row],[especie]],[1]!ESPECIES[#Data],9,FALSE)</f>
        <v/>
      </c>
    </row>
    <row r="838">
      <c r="A838" s="4" t="n">
        <v>13246</v>
      </c>
      <c r="B838" s="5" t="n">
        <v>44572</v>
      </c>
      <c r="C838" s="13" t="inlineStr">
        <is>
          <t>VTA</t>
        </is>
      </c>
      <c r="D838" s="13" t="n">
        <v>39</v>
      </c>
      <c r="E838" s="10">
        <f>IF(D838&gt;0,VLOOKUP(OPERAC[[#This Row],[COD CART]],[1]!MatrizCortoLargoCyl[#All],3,0),"")</f>
        <v/>
      </c>
      <c r="F838" s="13" t="inlineStr">
        <is>
          <t>BABA/V/128,00/14-01-22</t>
        </is>
      </c>
      <c r="G838" s="6" t="n">
        <v>-200</v>
      </c>
      <c r="H838" s="6" t="n">
        <v>208.364</v>
      </c>
      <c r="I838" s="7">
        <f>-H838/G838</f>
        <v/>
      </c>
      <c r="J838" s="11" t="n">
        <v>44575</v>
      </c>
      <c r="K838" s="6" t="n">
        <v>-200</v>
      </c>
      <c r="L838" s="6" t="n">
        <v>-61.842</v>
      </c>
      <c r="M838" s="7">
        <f>IF(N838=0,+L838+H838,0)</f>
        <v/>
      </c>
      <c r="N838" s="7">
        <f>IF((+G838-K838)=0,0,+G838-K838)</f>
        <v/>
      </c>
      <c r="O838" s="7">
        <f>IF(N838=0,0,(L838+H838)/-N838)</f>
        <v/>
      </c>
      <c r="P838" s="7">
        <f>VLOOKUP(OPERAC[[#This Row],[especie]],[1]!ESPECIES[#All],6,0)</f>
        <v/>
      </c>
      <c r="Q838" s="7">
        <f>IF(N838&lt;&gt;0,P838*N838,0)</f>
        <v/>
      </c>
      <c r="R838" s="8">
        <f>IF(Q838&lt;&gt;0,Q838+H838+L838,0)</f>
        <v/>
      </c>
      <c r="S838" s="9">
        <f>VLOOKUP(OPERAC[[#This Row],[especie]],[1]!ESPECIES[#Data],9,FALSE)</f>
        <v/>
      </c>
    </row>
    <row r="839">
      <c r="A839" s="4" t="n">
        <v>2218</v>
      </c>
      <c r="B839" s="5" t="n">
        <v>44474</v>
      </c>
      <c r="C839" s="13" t="inlineStr">
        <is>
          <t>VTA</t>
        </is>
      </c>
      <c r="D839" s="13" t="n">
        <v>39</v>
      </c>
      <c r="E839" s="10">
        <f>IF(D839&gt;0,VLOOKUP(OPERAC[[#This Row],[COD CART]],[1]!MatrizCortoLargoCyl[#All],3,0),"")</f>
        <v/>
      </c>
      <c r="F839" s="13" t="inlineStr">
        <is>
          <t>NKE/V/115,00/21-01-22</t>
        </is>
      </c>
      <c r="G839" s="6" t="n">
        <v>-200</v>
      </c>
      <c r="H839" s="6" t="n">
        <v>208.226</v>
      </c>
      <c r="I839" s="7">
        <f>-H839/G839</f>
        <v/>
      </c>
      <c r="J839" s="11" t="n">
        <v>44582</v>
      </c>
      <c r="K839" s="6">
        <f>+OPERAC[[#This Row],[cantidad]]</f>
        <v/>
      </c>
      <c r="L839" s="6" t="n">
        <v>0</v>
      </c>
      <c r="M839" s="7">
        <f>IF(N839=0,+L839+H839,0)</f>
        <v/>
      </c>
      <c r="N839" s="7">
        <f>IF((+G839-K839)=0,0,+G839-K839)</f>
        <v/>
      </c>
      <c r="O839" s="7">
        <f>IF(N839=0,0,(L839+H839)/-N839)</f>
        <v/>
      </c>
      <c r="P839" s="7">
        <f>VLOOKUP(OPERAC[[#This Row],[especie]],[1]!ESPECIES[#All],6,0)</f>
        <v/>
      </c>
      <c r="Q839" s="7">
        <f>IF(N839&lt;&gt;0,P839*N839,0)</f>
        <v/>
      </c>
      <c r="R839" s="8">
        <f>IF(Q839&lt;&gt;0,Q839+H839+L839,0)</f>
        <v/>
      </c>
      <c r="S839" s="9">
        <f>VLOOKUP(OPERAC[[#This Row],[especie]],[1]!ESPECIES[#Data],9,FALSE)</f>
        <v/>
      </c>
    </row>
    <row r="840">
      <c r="A840" s="4" t="n">
        <v>2218</v>
      </c>
      <c r="B840" s="5" t="n">
        <v>44677</v>
      </c>
      <c r="C840" s="13" t="inlineStr">
        <is>
          <t>VTA</t>
        </is>
      </c>
      <c r="D840" s="13" t="n">
        <v>39</v>
      </c>
      <c r="E840" s="10">
        <f>IF(D840&gt;0,VLOOKUP(OPERAC[[#This Row],[COD CART]],[1]!MatrizCortoLargoCyl[#All],3,0),"")</f>
        <v/>
      </c>
      <c r="F840" s="13" t="inlineStr">
        <is>
          <t>TSLA/V/750,00/20-05-2022</t>
        </is>
      </c>
      <c r="G840" s="6" t="n">
        <v>-10</v>
      </c>
      <c r="H840" s="6" t="n">
        <v>205.2965</v>
      </c>
      <c r="I840" s="7">
        <f>-H840/G840</f>
        <v/>
      </c>
      <c r="J840" s="11" t="n">
        <v>44692</v>
      </c>
      <c r="K840" s="6" t="n">
        <v>-10</v>
      </c>
      <c r="L840" s="6" t="n">
        <v>-455.45</v>
      </c>
      <c r="M840" s="7">
        <f>IF(N840=0,+L840+H840,0)</f>
        <v/>
      </c>
      <c r="N840" s="7">
        <f>IF((+G840-K840)=0,0,+G840-K840)</f>
        <v/>
      </c>
      <c r="O840" s="7">
        <f>IF(N840=0,0,(L840+H840)/-N840)</f>
        <v/>
      </c>
      <c r="P840" s="7">
        <f>VLOOKUP(OPERAC[[#This Row],[especie]],[1]!ESPECIES[#All],6,0)</f>
        <v/>
      </c>
      <c r="Q840" s="7">
        <f>IF(N840&lt;&gt;0,P840*N840,0)</f>
        <v/>
      </c>
      <c r="R840" s="8">
        <f>IF(Q840&lt;&gt;0,Q840+H840+L840,0)</f>
        <v/>
      </c>
      <c r="S840" s="9">
        <f>VLOOKUP(OPERAC[[#This Row],[especie]],[1]!ESPECIES[#Data],9,FALSE)</f>
        <v/>
      </c>
    </row>
    <row r="841">
      <c r="A841" s="4" t="n">
        <v>2218</v>
      </c>
      <c r="B841" s="5" t="n">
        <v>44585</v>
      </c>
      <c r="C841" s="13" t="inlineStr">
        <is>
          <t>VTA</t>
        </is>
      </c>
      <c r="D841" s="13" t="n">
        <v>39</v>
      </c>
      <c r="E841" s="10">
        <f>IF(D841&gt;0,VLOOKUP(OPERAC[[#This Row],[COD CART]],[1]!MatrizCortoLargoCyl[#All],3,0),"")</f>
        <v/>
      </c>
      <c r="F841" s="13" t="inlineStr">
        <is>
          <t>TSLA/C/1200,00/28-01-22</t>
        </is>
      </c>
      <c r="G841" s="6" t="n">
        <v>-200</v>
      </c>
      <c r="H841" s="6" t="n">
        <v>203.268</v>
      </c>
      <c r="I841" s="7">
        <f>-H841/G841</f>
        <v/>
      </c>
      <c r="J841" s="11" t="n">
        <v>44589</v>
      </c>
      <c r="K841" s="6" t="n">
        <v>-200</v>
      </c>
      <c r="L841" s="6" t="n">
        <v>0</v>
      </c>
      <c r="M841" s="7">
        <f>IF(N841=0,+L841+H841,0)</f>
        <v/>
      </c>
      <c r="N841" s="7">
        <f>IF((+G841-K841)=0,0,+G841-K841)</f>
        <v/>
      </c>
      <c r="O841" s="7">
        <f>IF(N841=0,0,(L841+H841)/-N841)</f>
        <v/>
      </c>
      <c r="P841" s="7">
        <f>VLOOKUP(OPERAC[[#This Row],[especie]],[1]!ESPECIES[#All],6,0)</f>
        <v/>
      </c>
      <c r="Q841" s="7">
        <f>IF(N841&lt;&gt;0,P841*N841,0)</f>
        <v/>
      </c>
      <c r="R841" s="8">
        <f>IF(Q841&lt;&gt;0,Q841+H841+L841,0)</f>
        <v/>
      </c>
      <c r="S841" s="9">
        <f>VLOOKUP(OPERAC[[#This Row],[especie]],[1]!ESPECIES[#Data],9,FALSE)</f>
        <v/>
      </c>
    </row>
    <row r="842">
      <c r="A842" s="4" t="n">
        <v>3021</v>
      </c>
      <c r="B842" s="5" t="n">
        <v>44585</v>
      </c>
      <c r="C842" s="13" t="inlineStr">
        <is>
          <t>VTA</t>
        </is>
      </c>
      <c r="D842" s="13" t="n">
        <v>39</v>
      </c>
      <c r="E842" s="10">
        <f>IF(D842&gt;0,VLOOKUP(OPERAC[[#This Row],[COD CART]],[1]!MatrizCortoLargoCyl[#All],3,0),"")</f>
        <v/>
      </c>
      <c r="F842" s="13" t="inlineStr">
        <is>
          <t>TSLA/C/1200,00/28-01-22</t>
        </is>
      </c>
      <c r="G842" s="6" t="n">
        <v>-200</v>
      </c>
      <c r="H842" s="6" t="n">
        <v>203.268</v>
      </c>
      <c r="I842" s="7">
        <f>-H842/G842</f>
        <v/>
      </c>
      <c r="J842" s="11" t="n">
        <v>44589</v>
      </c>
      <c r="K842" s="6" t="n">
        <v>-200</v>
      </c>
      <c r="L842" s="6" t="n">
        <v>0</v>
      </c>
      <c r="M842" s="7">
        <f>IF(N842=0,+L842+H842,0)</f>
        <v/>
      </c>
      <c r="N842" s="7">
        <f>IF((+G842-K842)=0,0,+G842-K842)</f>
        <v/>
      </c>
      <c r="O842" s="7">
        <f>IF(N842=0,0,(L842+H842)/-N842)</f>
        <v/>
      </c>
      <c r="P842" s="7">
        <f>VLOOKUP(OPERAC[[#This Row],[especie]],[1]!ESPECIES[#All],6,0)</f>
        <v/>
      </c>
      <c r="Q842" s="7">
        <f>IF(N842&lt;&gt;0,P842*N842,0)</f>
        <v/>
      </c>
      <c r="R842" s="8">
        <f>IF(Q842&lt;&gt;0,Q842+H842+L842,0)</f>
        <v/>
      </c>
      <c r="S842" s="9">
        <f>VLOOKUP(OPERAC[[#This Row],[especie]],[1]!ESPECIES[#Data],9,FALSE)</f>
        <v/>
      </c>
    </row>
    <row r="843">
      <c r="A843" s="4" t="n">
        <v>3728</v>
      </c>
      <c r="B843" s="5" t="n">
        <v>44585</v>
      </c>
      <c r="C843" s="13" t="inlineStr">
        <is>
          <t>VTA</t>
        </is>
      </c>
      <c r="D843" s="13" t="n">
        <v>39</v>
      </c>
      <c r="E843" s="10">
        <f>IF(D843&gt;0,VLOOKUP(OPERAC[[#This Row],[COD CART]],[1]!MatrizCortoLargoCyl[#All],3,0),"")</f>
        <v/>
      </c>
      <c r="F843" s="13" t="inlineStr">
        <is>
          <t>TSLA/C/1200,00/28-01-22</t>
        </is>
      </c>
      <c r="G843" s="6" t="n">
        <v>-200</v>
      </c>
      <c r="H843" s="6" t="n">
        <v>203.268</v>
      </c>
      <c r="I843" s="7">
        <f>-H843/G843</f>
        <v/>
      </c>
      <c r="J843" s="11" t="n">
        <v>44589</v>
      </c>
      <c r="K843" s="6" t="n">
        <v>-200</v>
      </c>
      <c r="L843" s="6" t="n">
        <v>0</v>
      </c>
      <c r="M843" s="7">
        <f>IF(N843=0,+L843+H843,0)</f>
        <v/>
      </c>
      <c r="N843" s="7">
        <f>IF((+G843-K843)=0,0,+G843-K843)</f>
        <v/>
      </c>
      <c r="O843" s="7">
        <f>IF(N843=0,0,(L843+H843)/-N843)</f>
        <v/>
      </c>
      <c r="P843" s="7">
        <f>VLOOKUP(OPERAC[[#This Row],[especie]],[1]!ESPECIES[#All],6,0)</f>
        <v/>
      </c>
      <c r="Q843" s="7">
        <f>IF(N843&lt;&gt;0,P843*N843,0)</f>
        <v/>
      </c>
      <c r="R843" s="8">
        <f>IF(Q843&lt;&gt;0,Q843+H843+L843,0)</f>
        <v/>
      </c>
      <c r="S843" s="9">
        <f>VLOOKUP(OPERAC[[#This Row],[especie]],[1]!ESPECIES[#Data],9,FALSE)</f>
        <v/>
      </c>
    </row>
    <row r="844">
      <c r="A844" s="4" t="n">
        <v>2255</v>
      </c>
      <c r="B844" s="5" t="n">
        <v>44585</v>
      </c>
      <c r="C844" s="13" t="inlineStr">
        <is>
          <t>VTA</t>
        </is>
      </c>
      <c r="D844" s="13" t="n">
        <v>39</v>
      </c>
      <c r="E844" s="10">
        <f>IF(D844&gt;0,VLOOKUP(OPERAC[[#This Row],[COD CART]],[1]!MatrizCortoLargoCyl[#All],3,0),"")</f>
        <v/>
      </c>
      <c r="F844" s="13" t="inlineStr">
        <is>
          <t>TSLA/C/1200,00/28-01-22</t>
        </is>
      </c>
      <c r="G844" s="6" t="n">
        <v>-200</v>
      </c>
      <c r="H844" s="6" t="n">
        <v>202.656</v>
      </c>
      <c r="I844" s="7">
        <f>-H844/G844</f>
        <v/>
      </c>
      <c r="J844" s="11" t="n">
        <v>44589</v>
      </c>
      <c r="K844" s="6" t="n">
        <v>-200</v>
      </c>
      <c r="L844" s="6" t="n">
        <v>0</v>
      </c>
      <c r="M844" s="7">
        <f>IF(N844=0,+L844+H844,0)</f>
        <v/>
      </c>
      <c r="N844" s="7">
        <f>IF((+G844-K844)=0,0,+G844-K844)</f>
        <v/>
      </c>
      <c r="O844" s="7">
        <f>IF(N844=0,0,(L844+H844)/-N844)</f>
        <v/>
      </c>
      <c r="P844" s="7">
        <f>VLOOKUP(OPERAC[[#This Row],[especie]],[1]!ESPECIES[#All],6,0)</f>
        <v/>
      </c>
      <c r="Q844" s="7">
        <f>IF(N844&lt;&gt;0,P844*N844,0)</f>
        <v/>
      </c>
      <c r="R844" s="8">
        <f>IF(Q844&lt;&gt;0,Q844+H844+L844,0)</f>
        <v/>
      </c>
      <c r="S844" s="9">
        <f>VLOOKUP(OPERAC[[#This Row],[especie]],[1]!ESPECIES[#Data],9,FALSE)</f>
        <v/>
      </c>
    </row>
    <row r="845">
      <c r="A845" s="4" t="n">
        <v>1792</v>
      </c>
      <c r="B845" s="5" t="n">
        <v>44585</v>
      </c>
      <c r="C845" s="13" t="inlineStr">
        <is>
          <t>VTA</t>
        </is>
      </c>
      <c r="D845" s="13" t="n">
        <v>39</v>
      </c>
      <c r="E845" s="10">
        <f>IF(D845&gt;0,VLOOKUP(OPERAC[[#This Row],[COD CART]],[1]!MatrizCortoLargoCyl[#All],3,0),"")</f>
        <v/>
      </c>
      <c r="F845" s="13" t="inlineStr">
        <is>
          <t>TSLA/C/1200,00/28-01-22</t>
        </is>
      </c>
      <c r="G845" s="6" t="n">
        <v>-200</v>
      </c>
      <c r="H845" s="6" t="n">
        <v>201.84</v>
      </c>
      <c r="I845" s="7">
        <f>-H845/G845</f>
        <v/>
      </c>
      <c r="J845" s="11" t="n">
        <v>44589</v>
      </c>
      <c r="K845" s="6" t="n">
        <v>-200</v>
      </c>
      <c r="L845" s="6" t="n">
        <v>0</v>
      </c>
      <c r="M845" s="7">
        <f>IF(N845=0,+L845+H845,0)</f>
        <v/>
      </c>
      <c r="N845" s="7">
        <f>IF((+G845-K845)=0,0,+G845-K845)</f>
        <v/>
      </c>
      <c r="O845" s="7">
        <f>IF(N845=0,0,(L845+H845)/-N845)</f>
        <v/>
      </c>
      <c r="P845" s="7">
        <f>VLOOKUP(OPERAC[[#This Row],[especie]],[1]!ESPECIES[#All],6,0)</f>
        <v/>
      </c>
      <c r="Q845" s="7">
        <f>IF(N845&lt;&gt;0,P845*N845,0)</f>
        <v/>
      </c>
      <c r="R845" s="8">
        <f>IF(Q845&lt;&gt;0,Q845+H845+L845,0)</f>
        <v/>
      </c>
      <c r="S845" s="9">
        <f>VLOOKUP(OPERAC[[#This Row],[especie]],[1]!ESPECIES[#Data],9,FALSE)</f>
        <v/>
      </c>
    </row>
    <row r="846">
      <c r="A846" s="4" t="n">
        <v>3787</v>
      </c>
      <c r="B846" s="5" t="n">
        <v>44585</v>
      </c>
      <c r="C846" s="13" t="inlineStr">
        <is>
          <t>VTA</t>
        </is>
      </c>
      <c r="D846" s="13" t="n">
        <v>39</v>
      </c>
      <c r="E846" s="10">
        <f>IF(D846&gt;0,VLOOKUP(OPERAC[[#This Row],[COD CART]],[1]!MatrizCortoLargoCyl[#All],3,0),"")</f>
        <v/>
      </c>
      <c r="F846" s="13" t="inlineStr">
        <is>
          <t>TSLA/C/1200,00/28-01-22</t>
        </is>
      </c>
      <c r="G846" s="6" t="n">
        <v>-200</v>
      </c>
      <c r="H846" s="6" t="n">
        <v>201.84</v>
      </c>
      <c r="I846" s="7">
        <f>-H846/G846</f>
        <v/>
      </c>
      <c r="J846" s="11" t="n">
        <v>44589</v>
      </c>
      <c r="K846" s="6" t="n">
        <v>-200</v>
      </c>
      <c r="L846" s="6" t="n">
        <v>0</v>
      </c>
      <c r="M846" s="7">
        <f>IF(N846=0,+L846+H846,0)</f>
        <v/>
      </c>
      <c r="N846" s="7">
        <f>IF((+G846-K846)=0,0,+G846-K846)</f>
        <v/>
      </c>
      <c r="O846" s="7">
        <f>IF(N846=0,0,(L846+H846)/-N846)</f>
        <v/>
      </c>
      <c r="P846" s="7">
        <f>VLOOKUP(OPERAC[[#This Row],[especie]],[1]!ESPECIES[#All],6,0)</f>
        <v/>
      </c>
      <c r="Q846" s="7">
        <f>IF(N846&lt;&gt;0,P846*N846,0)</f>
        <v/>
      </c>
      <c r="R846" s="8">
        <f>IF(Q846&lt;&gt;0,Q846+H846+L846,0)</f>
        <v/>
      </c>
      <c r="S846" s="9">
        <f>VLOOKUP(OPERAC[[#This Row],[especie]],[1]!ESPECIES[#Data],9,FALSE)</f>
        <v/>
      </c>
    </row>
    <row r="847">
      <c r="A847" s="4" t="n">
        <v>12652</v>
      </c>
      <c r="B847" s="5" t="n">
        <v>44585</v>
      </c>
      <c r="C847" s="13" t="inlineStr">
        <is>
          <t>VTA</t>
        </is>
      </c>
      <c r="D847" s="13" t="n">
        <v>39</v>
      </c>
      <c r="E847" s="10">
        <f>IF(D847&gt;0,VLOOKUP(OPERAC[[#This Row],[COD CART]],[1]!MatrizCortoLargoCyl[#All],3,0),"")</f>
        <v/>
      </c>
      <c r="F847" s="13" t="inlineStr">
        <is>
          <t>TSLA/C/1200,00/28-01-22</t>
        </is>
      </c>
      <c r="G847" s="6" t="n">
        <v>-200</v>
      </c>
      <c r="H847" s="6" t="n">
        <v>201.84</v>
      </c>
      <c r="I847" s="7">
        <f>-H847/G847</f>
        <v/>
      </c>
      <c r="J847" s="11" t="n">
        <v>44589</v>
      </c>
      <c r="K847" s="6" t="n">
        <v>-200</v>
      </c>
      <c r="L847" s="6" t="n">
        <v>0</v>
      </c>
      <c r="M847" s="7">
        <f>IF(N847=0,+L847+H847,0)</f>
        <v/>
      </c>
      <c r="N847" s="7">
        <f>IF((+G847-K847)=0,0,+G847-K847)</f>
        <v/>
      </c>
      <c r="O847" s="7">
        <f>IF(N847=0,0,(L847+H847)/-N847)</f>
        <v/>
      </c>
      <c r="P847" s="7">
        <f>VLOOKUP(OPERAC[[#This Row],[especie]],[1]!ESPECIES[#All],6,0)</f>
        <v/>
      </c>
      <c r="Q847" s="7">
        <f>IF(N847&lt;&gt;0,P847*N847,0)</f>
        <v/>
      </c>
      <c r="R847" s="8">
        <f>IF(Q847&lt;&gt;0,Q847+H847+L847,0)</f>
        <v/>
      </c>
      <c r="S847" s="9">
        <f>VLOOKUP(OPERAC[[#This Row],[especie]],[1]!ESPECIES[#Data],9,FALSE)</f>
        <v/>
      </c>
    </row>
    <row r="848">
      <c r="A848" s="4" t="n">
        <v>12662</v>
      </c>
      <c r="B848" s="5" t="n">
        <v>44585</v>
      </c>
      <c r="C848" s="13" t="inlineStr">
        <is>
          <t>VTA</t>
        </is>
      </c>
      <c r="D848" s="13" t="n">
        <v>39</v>
      </c>
      <c r="E848" s="10">
        <f>IF(D848&gt;0,VLOOKUP(OPERAC[[#This Row],[COD CART]],[1]!MatrizCortoLargoCyl[#All],3,0),"")</f>
        <v/>
      </c>
      <c r="F848" s="13" t="inlineStr">
        <is>
          <t>TSLA/C/1200,00/28-01-22</t>
        </is>
      </c>
      <c r="G848" s="6" t="n">
        <v>-200</v>
      </c>
      <c r="H848" s="6" t="n">
        <v>201.84</v>
      </c>
      <c r="I848" s="7">
        <f>-H848/G848</f>
        <v/>
      </c>
      <c r="J848" s="11" t="n">
        <v>44589</v>
      </c>
      <c r="K848" s="6" t="n">
        <v>-200</v>
      </c>
      <c r="L848" s="6" t="n">
        <v>0</v>
      </c>
      <c r="M848" s="7">
        <f>IF(N848=0,+L848+H848,0)</f>
        <v/>
      </c>
      <c r="N848" s="7">
        <f>IF((+G848-K848)=0,0,+G848-K848)</f>
        <v/>
      </c>
      <c r="O848" s="7">
        <f>IF(N848=0,0,(L848+H848)/-N848)</f>
        <v/>
      </c>
      <c r="P848" s="7">
        <f>VLOOKUP(OPERAC[[#This Row],[especie]],[1]!ESPECIES[#All],6,0)</f>
        <v/>
      </c>
      <c r="Q848" s="7">
        <f>IF(N848&lt;&gt;0,P848*N848,0)</f>
        <v/>
      </c>
      <c r="R848" s="8">
        <f>IF(Q848&lt;&gt;0,Q848+H848+L848,0)</f>
        <v/>
      </c>
      <c r="S848" s="9">
        <f>VLOOKUP(OPERAC[[#This Row],[especie]],[1]!ESPECIES[#Data],9,FALSE)</f>
        <v/>
      </c>
    </row>
    <row r="849">
      <c r="A849" s="4" t="n">
        <v>12672</v>
      </c>
      <c r="B849" s="5" t="n">
        <v>44585</v>
      </c>
      <c r="C849" s="13" t="inlineStr">
        <is>
          <t>VTA</t>
        </is>
      </c>
      <c r="D849" s="13" t="n">
        <v>39</v>
      </c>
      <c r="E849" s="10">
        <f>IF(D849&gt;0,VLOOKUP(OPERAC[[#This Row],[COD CART]],[1]!MatrizCortoLargoCyl[#All],3,0),"")</f>
        <v/>
      </c>
      <c r="F849" s="13" t="inlineStr">
        <is>
          <t>TSLA/C/1200,00/28-01-22</t>
        </is>
      </c>
      <c r="G849" s="6" t="n">
        <v>-200</v>
      </c>
      <c r="H849" s="6" t="n">
        <v>201.84</v>
      </c>
      <c r="I849" s="7">
        <f>-H849/G849</f>
        <v/>
      </c>
      <c r="J849" s="11" t="n">
        <v>44589</v>
      </c>
      <c r="K849" s="6" t="n">
        <v>-200</v>
      </c>
      <c r="L849" s="6" t="n">
        <v>0</v>
      </c>
      <c r="M849" s="7">
        <f>IF(N849=0,+L849+H849,0)</f>
        <v/>
      </c>
      <c r="N849" s="7">
        <f>IF((+G849-K849)=0,0,+G849-K849)</f>
        <v/>
      </c>
      <c r="O849" s="7">
        <f>IF(N849=0,0,(L849+H849)/-N849)</f>
        <v/>
      </c>
      <c r="P849" s="7">
        <f>VLOOKUP(OPERAC[[#This Row],[especie]],[1]!ESPECIES[#All],6,0)</f>
        <v/>
      </c>
      <c r="Q849" s="7">
        <f>IF(N849&lt;&gt;0,P849*N849,0)</f>
        <v/>
      </c>
      <c r="R849" s="8">
        <f>IF(Q849&lt;&gt;0,Q849+H849+L849,0)</f>
        <v/>
      </c>
      <c r="S849" s="9">
        <f>VLOOKUP(OPERAC[[#This Row],[especie]],[1]!ESPECIES[#Data],9,FALSE)</f>
        <v/>
      </c>
    </row>
    <row r="850">
      <c r="A850" s="4" t="n">
        <v>13230</v>
      </c>
      <c r="B850" s="5" t="n">
        <v>44585</v>
      </c>
      <c r="C850" s="13" t="inlineStr">
        <is>
          <t>VTA</t>
        </is>
      </c>
      <c r="D850" s="13" t="n">
        <v>39</v>
      </c>
      <c r="E850" s="10">
        <f>IF(D850&gt;0,VLOOKUP(OPERAC[[#This Row],[COD CART]],[1]!MatrizCortoLargoCyl[#All],3,0),"")</f>
        <v/>
      </c>
      <c r="F850" s="13" t="inlineStr">
        <is>
          <t>TSLA/C/1200,00/28-01-22</t>
        </is>
      </c>
      <c r="G850" s="6" t="n">
        <v>-200</v>
      </c>
      <c r="H850" s="6" t="n">
        <v>201.84</v>
      </c>
      <c r="I850" s="7">
        <f>-H850/G850</f>
        <v/>
      </c>
      <c r="J850" s="11" t="n">
        <v>44589</v>
      </c>
      <c r="K850" s="6" t="n">
        <v>-200</v>
      </c>
      <c r="L850" s="6" t="n">
        <v>0</v>
      </c>
      <c r="M850" s="7">
        <f>IF(N850=0,+L850+H850,0)</f>
        <v/>
      </c>
      <c r="N850" s="7">
        <f>IF((+G850-K850)=0,0,+G850-K850)</f>
        <v/>
      </c>
      <c r="O850" s="7">
        <f>IF(N850=0,0,(L850+H850)/-N850)</f>
        <v/>
      </c>
      <c r="P850" s="7">
        <f>VLOOKUP(OPERAC[[#This Row],[especie]],[1]!ESPECIES[#All],6,0)</f>
        <v/>
      </c>
      <c r="Q850" s="7">
        <f>IF(N850&lt;&gt;0,P850*N850,0)</f>
        <v/>
      </c>
      <c r="R850" s="8">
        <f>IF(Q850&lt;&gt;0,Q850+H850+L850,0)</f>
        <v/>
      </c>
      <c r="S850" s="9">
        <f>VLOOKUP(OPERAC[[#This Row],[especie]],[1]!ESPECIES[#Data],9,FALSE)</f>
        <v/>
      </c>
    </row>
    <row r="851">
      <c r="A851" s="4" t="n">
        <v>13230</v>
      </c>
      <c r="B851" s="5" t="n">
        <v>44237</v>
      </c>
      <c r="C851" s="13" t="inlineStr">
        <is>
          <t>VTA</t>
        </is>
      </c>
      <c r="D851" s="13" t="n">
        <v>39</v>
      </c>
      <c r="E851" s="10">
        <f>IF(D851&gt;0,VLOOKUP(OPERAC[[#This Row],[COD CART]],[1]!MatrizCortoLargoCyl[#All],3,0),"")</f>
        <v/>
      </c>
      <c r="F851" s="13" t="inlineStr">
        <is>
          <t>TLRY1/V/10,00/20-01-23</t>
        </is>
      </c>
      <c r="G851" s="6" t="n">
        <v>-200</v>
      </c>
      <c r="H851" s="6" t="n">
        <v>200</v>
      </c>
      <c r="I851" s="7">
        <f>-H851/G851</f>
        <v/>
      </c>
      <c r="J851" s="11" t="n">
        <v>44614</v>
      </c>
      <c r="K851" s="6" t="n">
        <v>-200</v>
      </c>
      <c r="L851" s="6" t="n">
        <v>-1170.679</v>
      </c>
      <c r="M851" s="7">
        <f>IF(N851=0,+L851+H851,0)</f>
        <v/>
      </c>
      <c r="N851" s="7">
        <f>IF((+G851-K851)=0,0,+G851-K851)</f>
        <v/>
      </c>
      <c r="O851" s="7">
        <f>IF(N851=0,0,(L851+H851)/-N851)</f>
        <v/>
      </c>
      <c r="P851" s="7">
        <f>VLOOKUP(OPERAC[[#This Row],[especie]],[1]!ESPECIES[#All],6,0)</f>
        <v/>
      </c>
      <c r="Q851" s="7">
        <f>IF(N851&lt;&gt;0,P851*N851,0)</f>
        <v/>
      </c>
      <c r="R851" s="8">
        <f>IF(Q851&lt;&gt;0,Q851+H851+L851,0)</f>
        <v/>
      </c>
      <c r="S851" s="9">
        <f>VLOOKUP(OPERAC[[#This Row],[especie]],[1]!ESPECIES[#Data],9,FALSE)</f>
        <v/>
      </c>
    </row>
    <row r="852">
      <c r="A852" s="4" t="n">
        <v>4561</v>
      </c>
      <c r="B852" s="5" t="n">
        <v>44277</v>
      </c>
      <c r="C852" s="13" t="inlineStr">
        <is>
          <t>VTA</t>
        </is>
      </c>
      <c r="D852" s="13" t="n">
        <v>39</v>
      </c>
      <c r="E852" s="10">
        <f>IF(D852&gt;0,VLOOKUP(OPERAC[[#This Row],[COD CART]],[1]!MatrizCortoLargoCyl[#All],3,0),"")</f>
        <v/>
      </c>
      <c r="F852" s="13" t="inlineStr">
        <is>
          <t>TLRY1/V/10,00/20-01-23</t>
        </is>
      </c>
      <c r="G852" s="6" t="n">
        <v>-200</v>
      </c>
      <c r="H852" s="6" t="n">
        <v>200</v>
      </c>
      <c r="I852" s="7">
        <f>-H852/G852</f>
        <v/>
      </c>
      <c r="J852" s="11" t="n">
        <v>44614</v>
      </c>
      <c r="K852" s="6" t="n">
        <v>-200</v>
      </c>
      <c r="L852" s="6">
        <f>-2341.358+1230.08</f>
        <v/>
      </c>
      <c r="M852" s="7">
        <f>IF(N852=0,+L852+H852,0)</f>
        <v/>
      </c>
      <c r="N852" s="7">
        <f>IF((+G852-K852)=0,0,+G852-K852)</f>
        <v/>
      </c>
      <c r="O852" s="7">
        <f>IF(N852=0,0,(L852+H852)/-N852)</f>
        <v/>
      </c>
      <c r="P852" s="7">
        <f>VLOOKUP(OPERAC[[#This Row],[especie]],[1]!ESPECIES[#All],6,0)</f>
        <v/>
      </c>
      <c r="Q852" s="7">
        <f>IF(N852&lt;&gt;0,P852*N852,0)</f>
        <v/>
      </c>
      <c r="R852" s="8">
        <f>IF(Q852&lt;&gt;0,Q852+H852+L852,0)</f>
        <v/>
      </c>
      <c r="S852" s="9">
        <f>VLOOKUP(OPERAC[[#This Row],[especie]],[1]!ESPECIES[#Data],9,FALSE)</f>
        <v/>
      </c>
    </row>
    <row r="853">
      <c r="A853" s="4" t="n">
        <v>2203</v>
      </c>
      <c r="B853" s="5" t="n">
        <v>44531</v>
      </c>
      <c r="C853" s="13" t="inlineStr">
        <is>
          <t>VTA</t>
        </is>
      </c>
      <c r="D853" s="13" t="n">
        <v>39</v>
      </c>
      <c r="E853" s="10">
        <f>IF(D853&gt;0,VLOOKUP(OPERAC[[#This Row],[COD CART]],[1]!MatrizCortoLargoCyl[#All],3,0),"")</f>
        <v/>
      </c>
      <c r="F853" s="13" t="inlineStr">
        <is>
          <t>MELI/V/740,00/16-09-22</t>
        </is>
      </c>
      <c r="G853" s="6" t="n">
        <v>-100</v>
      </c>
      <c r="H853" s="6">
        <f>-2*OPERAC[[#This Row],[cantidad]]</f>
        <v/>
      </c>
      <c r="I853" s="7">
        <f>-H853/G853</f>
        <v/>
      </c>
      <c r="J853" s="11" t="n">
        <v>44614</v>
      </c>
      <c r="K853" s="6">
        <f>+OPERAC[[#This Row],[cantidad]]</f>
        <v/>
      </c>
      <c r="L853" s="6" t="n">
        <v>-200</v>
      </c>
      <c r="M853" s="7">
        <f>IF(N853=0,+L853+H853,0)</f>
        <v/>
      </c>
      <c r="N853" s="7">
        <f>IF((+G853-K853)=0,0,+G853-K853)</f>
        <v/>
      </c>
      <c r="O853" s="7">
        <f>IF(N853=0,0,(L853+H853)/-N853)</f>
        <v/>
      </c>
      <c r="P853" s="7">
        <f>VLOOKUP(OPERAC[[#This Row],[especie]],[1]!ESPECIES[#All],6,0)</f>
        <v/>
      </c>
      <c r="Q853" s="7">
        <f>IF(N853&lt;&gt;0,P853*N853,0)</f>
        <v/>
      </c>
      <c r="R853" s="8">
        <f>IF(Q853&lt;&gt;0,Q853+H853+L853,0)</f>
        <v/>
      </c>
      <c r="S853" s="9">
        <f>VLOOKUP(OPERAC[[#This Row],[especie]],[1]!ESPECIES[#Data],9,FALSE)</f>
        <v/>
      </c>
    </row>
    <row r="854">
      <c r="A854" s="4" t="n">
        <v>19888</v>
      </c>
      <c r="B854" s="5" t="n">
        <v>44531</v>
      </c>
      <c r="C854" s="13" t="inlineStr">
        <is>
          <t>VTA</t>
        </is>
      </c>
      <c r="D854" s="13" t="n">
        <v>39</v>
      </c>
      <c r="E854" s="10">
        <f>IF(D854&gt;0,VLOOKUP(OPERAC[[#This Row],[COD CART]],[1]!MatrizCortoLargoCyl[#All],3,0),"")</f>
        <v/>
      </c>
      <c r="F854" s="13" t="inlineStr">
        <is>
          <t>MELI/V/740,00/16-09-22</t>
        </is>
      </c>
      <c r="G854" s="6" t="n">
        <v>-100</v>
      </c>
      <c r="H854" s="6">
        <f>-2*OPERAC[[#This Row],[cantidad]]</f>
        <v/>
      </c>
      <c r="I854" s="7">
        <f>-H854/G854</f>
        <v/>
      </c>
      <c r="J854" s="11" t="n">
        <v>44614</v>
      </c>
      <c r="K854" s="6">
        <f>+OPERAC[[#This Row],[cantidad]]</f>
        <v/>
      </c>
      <c r="L854" s="6" t="n">
        <v>-200</v>
      </c>
      <c r="M854" s="7">
        <f>IF(N854=0,+L854+H854,0)</f>
        <v/>
      </c>
      <c r="N854" s="7">
        <f>IF((+G854-K854)=0,0,+G854-K854)</f>
        <v/>
      </c>
      <c r="O854" s="7">
        <f>IF(N854=0,0,(L854+H854)/-N854)</f>
        <v/>
      </c>
      <c r="P854" s="7">
        <f>VLOOKUP(OPERAC[[#This Row],[especie]],[1]!ESPECIES[#All],6,0)</f>
        <v/>
      </c>
      <c r="Q854" s="7">
        <f>IF(N854&lt;&gt;0,P854*N854,0)</f>
        <v/>
      </c>
      <c r="R854" s="8">
        <f>IF(Q854&lt;&gt;0,Q854+H854+L854,0)</f>
        <v/>
      </c>
      <c r="S854" s="9">
        <f>VLOOKUP(OPERAC[[#This Row],[especie]],[1]!ESPECIES[#Data],9,FALSE)</f>
        <v/>
      </c>
    </row>
    <row r="855">
      <c r="A855" s="4" t="n">
        <v>1760</v>
      </c>
      <c r="B855" s="5" t="n">
        <v>44474</v>
      </c>
      <c r="C855" s="13" t="inlineStr">
        <is>
          <t>VTA</t>
        </is>
      </c>
      <c r="D855" s="13" t="n">
        <v>39</v>
      </c>
      <c r="E855" s="10">
        <f>IF(D855&gt;0,VLOOKUP(OPERAC[[#This Row],[COD CART]],[1]!MatrizCortoLargoCyl[#All],3,0),"")</f>
        <v/>
      </c>
      <c r="F855" s="13" t="inlineStr">
        <is>
          <t>NKE/V/115,00/21-01-22</t>
        </is>
      </c>
      <c r="G855" s="6" t="n">
        <v>-200</v>
      </c>
      <c r="H855" s="6" t="n">
        <v>199.914</v>
      </c>
      <c r="I855" s="7">
        <f>-H855/G855</f>
        <v/>
      </c>
      <c r="J855" s="11" t="n">
        <v>44582</v>
      </c>
      <c r="K855" s="6" t="n">
        <v>-200</v>
      </c>
      <c r="L855" s="6" t="n">
        <v>0</v>
      </c>
      <c r="M855" s="7">
        <f>IF(N855=0,+L855+H855,0)</f>
        <v/>
      </c>
      <c r="N855" s="7">
        <f>IF((+G855-K855)=0,0,+G855-K855)</f>
        <v/>
      </c>
      <c r="O855" s="7">
        <f>IF(N855=0,0,(L855+H855)/-N855)</f>
        <v/>
      </c>
      <c r="P855" s="7">
        <f>VLOOKUP(OPERAC[[#This Row],[especie]],[1]!ESPECIES[#All],6,0)</f>
        <v/>
      </c>
      <c r="Q855" s="7">
        <f>IF(N855&lt;&gt;0,P855*N855,0)</f>
        <v/>
      </c>
      <c r="R855" s="8">
        <f>IF(Q855&lt;&gt;0,Q855+H855+L855,0)</f>
        <v/>
      </c>
      <c r="S855" s="9">
        <f>VLOOKUP(OPERAC[[#This Row],[especie]],[1]!ESPECIES[#Data],9,FALSE)</f>
        <v/>
      </c>
    </row>
    <row r="856">
      <c r="A856" s="4" t="n">
        <v>10079</v>
      </c>
      <c r="B856" s="5" t="n">
        <v>44474</v>
      </c>
      <c r="C856" s="13" t="inlineStr">
        <is>
          <t>VTA</t>
        </is>
      </c>
      <c r="D856" s="13" t="n">
        <v>39</v>
      </c>
      <c r="E856" s="10">
        <f>IF(D856&gt;0,VLOOKUP(OPERAC[[#This Row],[COD CART]],[1]!MatrizCortoLargoCyl[#All],3,0),"")</f>
        <v/>
      </c>
      <c r="F856" s="13" t="inlineStr">
        <is>
          <t>NKE/V/115,00/21-01-22</t>
        </is>
      </c>
      <c r="G856" s="6" t="n">
        <v>-200</v>
      </c>
      <c r="H856" s="6" t="n">
        <v>199.914</v>
      </c>
      <c r="I856" s="7">
        <f>-H856/G856</f>
        <v/>
      </c>
      <c r="J856" s="11" t="n">
        <v>44582</v>
      </c>
      <c r="K856" s="6">
        <f>+OPERAC[[#This Row],[cantidad]]</f>
        <v/>
      </c>
      <c r="L856" s="6" t="n">
        <v>0</v>
      </c>
      <c r="M856" s="7">
        <f>IF(N856=0,+L856+H856,0)</f>
        <v/>
      </c>
      <c r="N856" s="7">
        <f>IF((+G856-K856)=0,0,+G856-K856)</f>
        <v/>
      </c>
      <c r="O856" s="7">
        <f>IF(N856=0,0,(L856+H856)/-N856)</f>
        <v/>
      </c>
      <c r="P856" s="7">
        <f>VLOOKUP(OPERAC[[#This Row],[especie]],[1]!ESPECIES[#All],6,0)</f>
        <v/>
      </c>
      <c r="Q856" s="7">
        <f>IF(N856&lt;&gt;0,P856*N856,0)</f>
        <v/>
      </c>
      <c r="R856" s="8">
        <f>IF(Q856&lt;&gt;0,Q856+H856+L856,0)</f>
        <v/>
      </c>
      <c r="S856" s="9">
        <f>VLOOKUP(OPERAC[[#This Row],[especie]],[1]!ESPECIES[#Data],9,FALSE)</f>
        <v/>
      </c>
    </row>
    <row r="857">
      <c r="A857" s="4" t="n">
        <v>16783</v>
      </c>
      <c r="B857" s="5" t="n">
        <v>44474</v>
      </c>
      <c r="C857" s="13" t="inlineStr">
        <is>
          <t>VTA</t>
        </is>
      </c>
      <c r="D857" s="13" t="n">
        <v>39</v>
      </c>
      <c r="E857" s="10">
        <f>IF(D857&gt;0,VLOOKUP(OPERAC[[#This Row],[COD CART]],[1]!MatrizCortoLargoCyl[#All],3,0),"")</f>
        <v/>
      </c>
      <c r="F857" s="13" t="inlineStr">
        <is>
          <t>NKE/V/115,00/21-01-22</t>
        </is>
      </c>
      <c r="G857" s="6" t="n">
        <v>-200</v>
      </c>
      <c r="H857" s="6" t="n">
        <v>199.914</v>
      </c>
      <c r="I857" s="7">
        <f>-H857/G857</f>
        <v/>
      </c>
      <c r="J857" s="11" t="n">
        <v>44582</v>
      </c>
      <c r="K857" s="6">
        <f>+OPERAC[[#This Row],[cantidad]]</f>
        <v/>
      </c>
      <c r="L857" s="6" t="n">
        <v>0</v>
      </c>
      <c r="M857" s="7">
        <f>IF(N857=0,+L857+H857,0)</f>
        <v/>
      </c>
      <c r="N857" s="7">
        <f>IF((+G857-K857)=0,0,+G857-K857)</f>
        <v/>
      </c>
      <c r="O857" s="7">
        <f>IF(N857=0,0,(L857+H857)/-N857)</f>
        <v/>
      </c>
      <c r="P857" s="7">
        <f>VLOOKUP(OPERAC[[#This Row],[especie]],[1]!ESPECIES[#All],6,0)</f>
        <v/>
      </c>
      <c r="Q857" s="7">
        <f>IF(N857&lt;&gt;0,P857*N857,0)</f>
        <v/>
      </c>
      <c r="R857" s="8">
        <f>IF(Q857&lt;&gt;0,Q857+H857+L857,0)</f>
        <v/>
      </c>
      <c r="S857" s="9">
        <f>VLOOKUP(OPERAC[[#This Row],[especie]],[1]!ESPECIES[#Data],9,FALSE)</f>
        <v/>
      </c>
    </row>
    <row r="858">
      <c r="A858" s="4" t="n">
        <v>18651</v>
      </c>
      <c r="B858" s="5" t="n">
        <v>44474</v>
      </c>
      <c r="C858" s="13" t="inlineStr">
        <is>
          <t>VTA</t>
        </is>
      </c>
      <c r="D858" s="13" t="n">
        <v>39</v>
      </c>
      <c r="E858" s="10">
        <f>IF(D858&gt;0,VLOOKUP(OPERAC[[#This Row],[COD CART]],[1]!MatrizCortoLargoCyl[#All],3,0),"")</f>
        <v/>
      </c>
      <c r="F858" s="13" t="inlineStr">
        <is>
          <t>NKE/V/115,00/21-01-22</t>
        </is>
      </c>
      <c r="G858" s="6" t="n">
        <v>-200</v>
      </c>
      <c r="H858" s="6" t="n">
        <v>199.914</v>
      </c>
      <c r="I858" s="7">
        <f>-H858/G858</f>
        <v/>
      </c>
      <c r="J858" s="11" t="n">
        <v>44582</v>
      </c>
      <c r="K858" s="6">
        <f>+OPERAC[[#This Row],[cantidad]]</f>
        <v/>
      </c>
      <c r="L858" s="6" t="n">
        <v>0</v>
      </c>
      <c r="M858" s="7">
        <f>IF(N858=0,+L858+H858,0)</f>
        <v/>
      </c>
      <c r="N858" s="7">
        <f>IF((+G858-K858)=0,0,+G858-K858)</f>
        <v/>
      </c>
      <c r="O858" s="7">
        <f>IF(N858=0,0,(L858+H858)/-N858)</f>
        <v/>
      </c>
      <c r="P858" s="7">
        <f>VLOOKUP(OPERAC[[#This Row],[especie]],[1]!ESPECIES[#All],6,0)</f>
        <v/>
      </c>
      <c r="Q858" s="7">
        <f>IF(N858&lt;&gt;0,P858*N858,0)</f>
        <v/>
      </c>
      <c r="R858" s="8">
        <f>IF(Q858&lt;&gt;0,Q858+H858+L858,0)</f>
        <v/>
      </c>
      <c r="S858" s="9">
        <f>VLOOKUP(OPERAC[[#This Row],[especie]],[1]!ESPECIES[#Data],9,FALSE)</f>
        <v/>
      </c>
    </row>
    <row r="859">
      <c r="A859" s="4" t="n">
        <v>19867</v>
      </c>
      <c r="B859" s="5" t="n">
        <v>44474</v>
      </c>
      <c r="C859" s="13" t="inlineStr">
        <is>
          <t>VTA</t>
        </is>
      </c>
      <c r="D859" s="13" t="n">
        <v>39</v>
      </c>
      <c r="E859" s="10">
        <f>IF(D859&gt;0,VLOOKUP(OPERAC[[#This Row],[COD CART]],[1]!MatrizCortoLargoCyl[#All],3,0),"")</f>
        <v/>
      </c>
      <c r="F859" s="13" t="inlineStr">
        <is>
          <t>NKE/V/115,00/21-01-22</t>
        </is>
      </c>
      <c r="G859" s="6" t="n">
        <v>-200</v>
      </c>
      <c r="H859" s="6" t="n">
        <v>199.914</v>
      </c>
      <c r="I859" s="7">
        <f>-H859/G859</f>
        <v/>
      </c>
      <c r="J859" s="11" t="n">
        <v>44582</v>
      </c>
      <c r="K859" s="6">
        <f>+OPERAC[[#This Row],[cantidad]]</f>
        <v/>
      </c>
      <c r="L859" s="6" t="n">
        <v>0</v>
      </c>
      <c r="M859" s="7">
        <f>IF(N859=0,+L859+H859,0)</f>
        <v/>
      </c>
      <c r="N859" s="7">
        <f>IF((+G859-K859)=0,0,+G859-K859)</f>
        <v/>
      </c>
      <c r="O859" s="7">
        <f>IF(N859=0,0,(L859+H859)/-N859)</f>
        <v/>
      </c>
      <c r="P859" s="7">
        <f>VLOOKUP(OPERAC[[#This Row],[especie]],[1]!ESPECIES[#All],6,0)</f>
        <v/>
      </c>
      <c r="Q859" s="7">
        <f>IF(N859&lt;&gt;0,P859*N859,0)</f>
        <v/>
      </c>
      <c r="R859" s="8">
        <f>IF(Q859&lt;&gt;0,Q859+H859+L859,0)</f>
        <v/>
      </c>
      <c r="S859" s="9">
        <f>VLOOKUP(OPERAC[[#This Row],[especie]],[1]!ESPECIES[#Data],9,FALSE)</f>
        <v/>
      </c>
    </row>
    <row r="860">
      <c r="A860" s="4" t="n">
        <v>15195</v>
      </c>
      <c r="B860" s="5" t="n">
        <v>44474</v>
      </c>
      <c r="C860" s="13" t="inlineStr">
        <is>
          <t>VTA</t>
        </is>
      </c>
      <c r="D860" s="13" t="n">
        <v>39</v>
      </c>
      <c r="E860" s="10">
        <f>IF(D860&gt;0,VLOOKUP(OPERAC[[#This Row],[COD CART]],[1]!MatrizCortoLargoCyl[#All],3,0),"")</f>
        <v/>
      </c>
      <c r="F860" s="13" t="inlineStr">
        <is>
          <t>NKE/V/115,00/21-01-22</t>
        </is>
      </c>
      <c r="G860" s="6" t="n">
        <v>-200</v>
      </c>
      <c r="H860" s="6" t="n">
        <v>199.914</v>
      </c>
      <c r="I860" s="7">
        <f>-H860/G860</f>
        <v/>
      </c>
      <c r="J860" s="11" t="n">
        <v>44582</v>
      </c>
      <c r="K860" s="6">
        <f>+OPERAC[[#This Row],[cantidad]]</f>
        <v/>
      </c>
      <c r="L860" s="6" t="n">
        <v>0</v>
      </c>
      <c r="M860" s="7">
        <f>IF(N860=0,+L860+H860,0)</f>
        <v/>
      </c>
      <c r="N860" s="7">
        <f>IF((+G860-K860)=0,0,+G860-K860)</f>
        <v/>
      </c>
      <c r="O860" s="7">
        <f>IF(N860=0,0,(L860+H860)/-N860)</f>
        <v/>
      </c>
      <c r="P860" s="7">
        <f>VLOOKUP(OPERAC[[#This Row],[especie]],[1]!ESPECIES[#All],6,0)</f>
        <v/>
      </c>
      <c r="Q860" s="7">
        <f>IF(N860&lt;&gt;0,P860*N860,0)</f>
        <v/>
      </c>
      <c r="R860" s="8">
        <f>IF(Q860&lt;&gt;0,Q860+H860+L860,0)</f>
        <v/>
      </c>
      <c r="S860" s="9">
        <f>VLOOKUP(OPERAC[[#This Row],[especie]],[1]!ESPECIES[#Data],9,FALSE)</f>
        <v/>
      </c>
    </row>
    <row r="861">
      <c r="A861" s="4" t="n">
        <v>19932</v>
      </c>
      <c r="B861" s="5" t="n">
        <v>44474</v>
      </c>
      <c r="C861" s="13" t="inlineStr">
        <is>
          <t>VTA</t>
        </is>
      </c>
      <c r="D861" s="13" t="n">
        <v>39</v>
      </c>
      <c r="E861" s="10">
        <f>IF(D861&gt;0,VLOOKUP(OPERAC[[#This Row],[COD CART]],[1]!MatrizCortoLargoCyl[#All],3,0),"")</f>
        <v/>
      </c>
      <c r="F861" s="13" t="inlineStr">
        <is>
          <t>NKE/V/115,00/21-01-22</t>
        </is>
      </c>
      <c r="G861" s="6" t="n">
        <v>-200</v>
      </c>
      <c r="H861" s="6" t="n">
        <v>199.914</v>
      </c>
      <c r="I861" s="7">
        <f>-H861/G861</f>
        <v/>
      </c>
      <c r="J861" s="11" t="n">
        <v>44582</v>
      </c>
      <c r="K861" s="6">
        <f>+OPERAC[[#This Row],[cantidad]]</f>
        <v/>
      </c>
      <c r="L861" s="6" t="n">
        <v>0</v>
      </c>
      <c r="M861" s="7">
        <f>IF(N861=0,+L861+H861,0)</f>
        <v/>
      </c>
      <c r="N861" s="7">
        <f>IF((+G861-K861)=0,0,+G861-K861)</f>
        <v/>
      </c>
      <c r="O861" s="7">
        <f>IF(N861=0,0,(L861+H861)/-N861)</f>
        <v/>
      </c>
      <c r="P861" s="7">
        <f>VLOOKUP(OPERAC[[#This Row],[especie]],[1]!ESPECIES[#All],6,0)</f>
        <v/>
      </c>
      <c r="Q861" s="7">
        <f>IF(N861&lt;&gt;0,P861*N861,0)</f>
        <v/>
      </c>
      <c r="R861" s="8">
        <f>IF(Q861&lt;&gt;0,Q861+H861+L861,0)</f>
        <v/>
      </c>
      <c r="S861" s="9">
        <f>VLOOKUP(OPERAC[[#This Row],[especie]],[1]!ESPECIES[#Data],9,FALSE)</f>
        <v/>
      </c>
    </row>
    <row r="862">
      <c r="A862" s="4" t="n">
        <v>16780</v>
      </c>
      <c r="B862" s="5" t="n">
        <v>44474</v>
      </c>
      <c r="C862" s="13" t="inlineStr">
        <is>
          <t>VTA</t>
        </is>
      </c>
      <c r="D862" s="13" t="n">
        <v>39</v>
      </c>
      <c r="E862" s="10">
        <f>IF(D862&gt;0,VLOOKUP(OPERAC[[#This Row],[COD CART]],[1]!MatrizCortoLargoCyl[#All],3,0),"")</f>
        <v/>
      </c>
      <c r="F862" s="13" t="inlineStr">
        <is>
          <t>NKE/V/115,00/21-01-22</t>
        </is>
      </c>
      <c r="G862" s="6" t="n">
        <v>-200</v>
      </c>
      <c r="H862" s="6" t="n">
        <v>199.914</v>
      </c>
      <c r="I862" s="7">
        <f>-H862/G862</f>
        <v/>
      </c>
      <c r="J862" s="11" t="n">
        <v>44582</v>
      </c>
      <c r="K862" s="6">
        <f>+OPERAC[[#This Row],[cantidad]]</f>
        <v/>
      </c>
      <c r="L862" s="6" t="n">
        <v>0</v>
      </c>
      <c r="M862" s="7">
        <f>IF(N862=0,+L862+H862,0)</f>
        <v/>
      </c>
      <c r="N862" s="7">
        <f>IF((+G862-K862)=0,0,+G862-K862)</f>
        <v/>
      </c>
      <c r="O862" s="7">
        <f>IF(N862=0,0,(L862+H862)/-N862)</f>
        <v/>
      </c>
      <c r="P862" s="7">
        <f>VLOOKUP(OPERAC[[#This Row],[especie]],[1]!ESPECIES[#All],6,0)</f>
        <v/>
      </c>
      <c r="Q862" s="7">
        <f>IF(N862&lt;&gt;0,P862*N862,0)</f>
        <v/>
      </c>
      <c r="R862" s="8">
        <f>IF(Q862&lt;&gt;0,Q862+H862+L862,0)</f>
        <v/>
      </c>
      <c r="S862" s="9">
        <f>VLOOKUP(OPERAC[[#This Row],[especie]],[1]!ESPECIES[#Data],9,FALSE)</f>
        <v/>
      </c>
    </row>
    <row r="863">
      <c r="A863" s="4" t="n">
        <v>2218</v>
      </c>
      <c r="B863" s="5" t="n">
        <v>44720</v>
      </c>
      <c r="C863" s="13" t="inlineStr">
        <is>
          <t>VTA</t>
        </is>
      </c>
      <c r="D863" s="13" t="n">
        <v>39</v>
      </c>
      <c r="E863" s="10">
        <f>IF(D863&gt;0,VLOOKUP(OPERAC[[#This Row],[COD CART]],[1]!MatrizCortoLargoCyl[#All],3,0),"")</f>
        <v/>
      </c>
      <c r="F863" s="13" t="inlineStr">
        <is>
          <t>BABA/C/132,00/17-06-22</t>
        </is>
      </c>
      <c r="G863" s="6" t="n">
        <v>-200</v>
      </c>
      <c r="H863" s="6" t="n">
        <v>199.8</v>
      </c>
      <c r="I863" s="7">
        <f>-H863/G863</f>
        <v/>
      </c>
      <c r="J863" s="5" t="n"/>
      <c r="K863" s="6" t="n"/>
      <c r="L863" s="6" t="n"/>
      <c r="M863" s="7">
        <f>IF(N863=0,+L863+H863,0)</f>
        <v/>
      </c>
      <c r="N863" s="7">
        <f>IF((+G863-K863)=0,0,+G863-K863)</f>
        <v/>
      </c>
      <c r="O863" s="7">
        <f>IF(N863=0,0,(L863+H863)/-N863)</f>
        <v/>
      </c>
      <c r="P863" s="7">
        <f>VLOOKUP(OPERAC[[#This Row],[especie]],[1]!ESPECIES[#All],6,0)</f>
        <v/>
      </c>
      <c r="Q863" s="7">
        <f>IF(N863&lt;&gt;0,P863*N863,0)</f>
        <v/>
      </c>
      <c r="R863" s="8">
        <f>IF(Q863&lt;&gt;0,Q863+H863+L863,0)</f>
        <v/>
      </c>
      <c r="S863" s="9">
        <f>VLOOKUP(OPERAC[[#This Row],[especie]],[1]!ESPECIES[#Data],9,FALSE)</f>
        <v/>
      </c>
    </row>
    <row r="864">
      <c r="A864" s="4" t="n">
        <v>6579</v>
      </c>
      <c r="B864" s="5" t="n">
        <v>44614</v>
      </c>
      <c r="C864" s="13" t="inlineStr">
        <is>
          <t>VTA</t>
        </is>
      </c>
      <c r="D864" s="13" t="n">
        <v>39</v>
      </c>
      <c r="E864" s="10">
        <f>IF(D864&gt;0,VLOOKUP(OPERAC[[#This Row],[COD CART]],[1]!MatrizCortoLargoCyl[#All],3,0),"")</f>
        <v/>
      </c>
      <c r="F864" s="13" t="inlineStr">
        <is>
          <t>MELI/V/500,00/19-01-24</t>
        </is>
      </c>
      <c r="G864" s="6" t="n">
        <v>-3</v>
      </c>
      <c r="H864" s="6" t="n">
        <v>199.39</v>
      </c>
      <c r="I864" s="7">
        <f>-H864/G864</f>
        <v/>
      </c>
      <c r="J864" s="11" t="n"/>
      <c r="K864" s="6" t="n"/>
      <c r="L864" s="6" t="n"/>
      <c r="M864" s="7">
        <f>IF(N864=0,+L864+H864,0)</f>
        <v/>
      </c>
      <c r="N864" s="7">
        <f>IF((+G864-K864)=0,0,+G864-K864)</f>
        <v/>
      </c>
      <c r="O864" s="7">
        <f>IF(N864=0,0,(L864+H864)/-N864)</f>
        <v/>
      </c>
      <c r="P864" s="7">
        <f>VLOOKUP(OPERAC[[#This Row],[especie]],[1]!ESPECIES[#All],6,0)</f>
        <v/>
      </c>
      <c r="Q864" s="7">
        <f>IF(N864&lt;&gt;0,P864*N864,0)</f>
        <v/>
      </c>
      <c r="R864" s="8">
        <f>IF(Q864&lt;&gt;0,Q864+H864+L864,0)</f>
        <v/>
      </c>
      <c r="S864" s="9">
        <f>VLOOKUP(OPERAC[[#This Row],[especie]],[1]!ESPECIES[#Data],9,FALSE)</f>
        <v/>
      </c>
    </row>
    <row r="865">
      <c r="A865" s="4" t="n">
        <v>12652</v>
      </c>
      <c r="B865" s="5" t="n">
        <v>44340</v>
      </c>
      <c r="C865" s="13" t="inlineStr">
        <is>
          <t>VTA</t>
        </is>
      </c>
      <c r="D865" s="13" t="n">
        <v>39</v>
      </c>
      <c r="E865" s="10">
        <f>IF(D865&gt;0,VLOOKUP(OPERAC[[#This Row],[COD CART]],[1]!MatrizCortoLargoCyl[#All],3,0),"")</f>
        <v/>
      </c>
      <c r="F865" s="13" t="inlineStr">
        <is>
          <t>SOLO/V/3,50/21-01-22</t>
        </is>
      </c>
      <c r="G865" s="6" t="n">
        <v>-200</v>
      </c>
      <c r="H865" s="6" t="n">
        <v>199.171</v>
      </c>
      <c r="I865" s="7">
        <f>-H865/G865</f>
        <v/>
      </c>
      <c r="J865" s="11" t="n">
        <v>44579</v>
      </c>
      <c r="K865" s="6">
        <f>+OPERAC[[#This Row],[cantidad]]</f>
        <v/>
      </c>
      <c r="L865" s="6">
        <f>-OPERAC[[#This Row],[importe]]</f>
        <v/>
      </c>
      <c r="M865" s="7">
        <f>IF(N865=0,+L865+H865,0)</f>
        <v/>
      </c>
      <c r="N865" s="7">
        <f>IF((+G865-K865)=0,0,+G865-K865)</f>
        <v/>
      </c>
      <c r="O865" s="7">
        <f>IF(N865=0,0,(L865+H865)/-N865)</f>
        <v/>
      </c>
      <c r="P865" s="7">
        <f>VLOOKUP(OPERAC[[#This Row],[especie]],[1]!ESPECIES[#All],6,0)</f>
        <v/>
      </c>
      <c r="Q865" s="7">
        <f>IF(N865&lt;&gt;0,P865*N865,0)</f>
        <v/>
      </c>
      <c r="R865" s="8">
        <f>IF(Q865&lt;&gt;0,Q865+H865+L865,0)</f>
        <v/>
      </c>
      <c r="S865" s="9">
        <f>VLOOKUP(OPERAC[[#This Row],[especie]],[1]!ESPECIES[#Data],9,FALSE)</f>
        <v/>
      </c>
    </row>
    <row r="866">
      <c r="A866" s="4" t="n">
        <v>16780</v>
      </c>
      <c r="B866" s="5" t="n">
        <v>44712</v>
      </c>
      <c r="C866" s="13" t="inlineStr">
        <is>
          <t>VTA</t>
        </is>
      </c>
      <c r="D866" s="13" t="n">
        <v>39</v>
      </c>
      <c r="E866" s="10">
        <f>IF(D866&gt;0,VLOOKUP(OPERAC[[#This Row],[COD CART]],[1]!MatrizCortoLargoCyl[#All],3,0),"")</f>
        <v/>
      </c>
      <c r="F866" s="13" t="inlineStr">
        <is>
          <t>TSLA/V/365,00/20-01-23</t>
        </is>
      </c>
      <c r="G866" s="6" t="n">
        <v>-10</v>
      </c>
      <c r="H866" s="6" t="n">
        <v>198.45</v>
      </c>
      <c r="I866" s="7">
        <f>-H866/G866</f>
        <v/>
      </c>
      <c r="J866" s="5" t="n"/>
      <c r="K866" s="6" t="n"/>
      <c r="L866" s="6" t="n"/>
      <c r="M866" s="7">
        <f>IF(N866=0,+L866+H866,0)</f>
        <v/>
      </c>
      <c r="N866" s="7">
        <f>IF((+G866-K866)=0,0,+G866-K866)</f>
        <v/>
      </c>
      <c r="O866" s="7">
        <f>IF(N866=0,0,(L866+H866)/-N866)</f>
        <v/>
      </c>
      <c r="P866" s="7">
        <f>VLOOKUP(OPERAC[[#This Row],[especie]],[1]!ESPECIES[#All],6,0)</f>
        <v/>
      </c>
      <c r="Q866" s="7">
        <f>IF(N866&lt;&gt;0,P866*N866,0)</f>
        <v/>
      </c>
      <c r="R866" s="8">
        <f>IF(Q866&lt;&gt;0,Q866+H866+L866,0)</f>
        <v/>
      </c>
      <c r="S866" s="9">
        <f>VLOOKUP(OPERAC[[#This Row],[especie]],[1]!ESPECIES[#Data],9,FALSE)</f>
        <v/>
      </c>
    </row>
    <row r="867">
      <c r="A867" s="4" t="n">
        <v>18705</v>
      </c>
      <c r="B867" s="5" t="n">
        <v>44439</v>
      </c>
      <c r="C867" s="13" t="inlineStr">
        <is>
          <t>VTA</t>
        </is>
      </c>
      <c r="D867" s="13" t="n">
        <v>39</v>
      </c>
      <c r="E867" s="10">
        <f>IF(D867&gt;0,VLOOKUP(OPERAC[[#This Row],[COD CART]],[1]!MatrizCortoLargoCyl[#All],3,0),"")</f>
        <v/>
      </c>
      <c r="F867" s="13" t="inlineStr">
        <is>
          <t>SKLZ/P/7,50/20-01-23</t>
        </is>
      </c>
      <c r="G867" s="6" t="n">
        <v>-100</v>
      </c>
      <c r="H867" s="6" t="n">
        <v>198.4</v>
      </c>
      <c r="I867" s="7">
        <f>-H867/G867</f>
        <v/>
      </c>
      <c r="J867" s="11" t="n">
        <v>44614</v>
      </c>
      <c r="K867" s="6">
        <f>+OPERAC[[#This Row],[cantidad]]</f>
        <v/>
      </c>
      <c r="L867" s="6">
        <f>+OPERAC[[#This Row],[cantidad venta]]*4.488</f>
        <v/>
      </c>
      <c r="M867" s="7">
        <f>IF(N867=0,+L867+H867,0)</f>
        <v/>
      </c>
      <c r="N867" s="7">
        <f>IF((+G867-K867)=0,0,+G867-K867)</f>
        <v/>
      </c>
      <c r="O867" s="7">
        <f>IF(N867=0,0,(L867+H867)/-N867)</f>
        <v/>
      </c>
      <c r="P867" s="7">
        <f>VLOOKUP(OPERAC[[#This Row],[especie]],[1]!ESPECIES[#All],6,0)</f>
        <v/>
      </c>
      <c r="Q867" s="7">
        <f>IF(N867&lt;&gt;0,P867*N867,0)</f>
        <v/>
      </c>
      <c r="R867" s="8">
        <f>IF(Q867&lt;&gt;0,Q867+H867+L867,0)</f>
        <v/>
      </c>
      <c r="S867" s="9">
        <f>VLOOKUP(OPERAC[[#This Row],[especie]],[1]!ESPECIES[#Data],9,FALSE)</f>
        <v/>
      </c>
    </row>
    <row r="868">
      <c r="A868" s="4" t="n">
        <v>18677</v>
      </c>
      <c r="B868" s="5" t="n">
        <v>44439</v>
      </c>
      <c r="C868" s="13" t="inlineStr">
        <is>
          <t>VTA</t>
        </is>
      </c>
      <c r="D868" s="13" t="n">
        <v>39</v>
      </c>
      <c r="E868" s="10">
        <f>IF(D868&gt;0,VLOOKUP(OPERAC[[#This Row],[COD CART]],[1]!MatrizCortoLargoCyl[#All],3,0),"")</f>
        <v/>
      </c>
      <c r="F868" s="13" t="inlineStr">
        <is>
          <t>SKLZ/P/7,50/20-01-23</t>
        </is>
      </c>
      <c r="G868" s="6" t="n">
        <v>-100</v>
      </c>
      <c r="H868" s="6" t="n">
        <v>198.4</v>
      </c>
      <c r="I868" s="7">
        <f>-H868/G868</f>
        <v/>
      </c>
      <c r="J868" s="11" t="n">
        <v>44614</v>
      </c>
      <c r="K868" s="6">
        <f>+OPERAC[[#This Row],[cantidad]]</f>
        <v/>
      </c>
      <c r="L868" s="6">
        <f>+OPERAC[[#This Row],[cantidad venta]]*4.488</f>
        <v/>
      </c>
      <c r="M868" s="7">
        <f>IF(N868=0,+L868+H868,0)</f>
        <v/>
      </c>
      <c r="N868" s="7">
        <f>IF((+G868-K868)=0,0,+G868-K868)</f>
        <v/>
      </c>
      <c r="O868" s="7">
        <f>IF(N868=0,0,(L868+H868)/-N868)</f>
        <v/>
      </c>
      <c r="P868" s="7">
        <f>VLOOKUP(OPERAC[[#This Row],[especie]],[1]!ESPECIES[#All],6,0)</f>
        <v/>
      </c>
      <c r="Q868" s="7">
        <f>IF(N868&lt;&gt;0,P868*N868,0)</f>
        <v/>
      </c>
      <c r="R868" s="8">
        <f>IF(Q868&lt;&gt;0,Q868+H868+L868,0)</f>
        <v/>
      </c>
      <c r="S868" s="9">
        <f>VLOOKUP(OPERAC[[#This Row],[especie]],[1]!ESPECIES[#Data],9,FALSE)</f>
        <v/>
      </c>
    </row>
    <row r="869">
      <c r="A869" s="4" t="n">
        <v>21070</v>
      </c>
      <c r="B869" s="5" t="n">
        <v>44439</v>
      </c>
      <c r="C869" s="13" t="inlineStr">
        <is>
          <t>VTA</t>
        </is>
      </c>
      <c r="D869" s="13" t="n">
        <v>39</v>
      </c>
      <c r="E869" s="10">
        <f>IF(D869&gt;0,VLOOKUP(OPERAC[[#This Row],[COD CART]],[1]!MatrizCortoLargoCyl[#All],3,0),"")</f>
        <v/>
      </c>
      <c r="F869" s="13" t="inlineStr">
        <is>
          <t>SKLZ/P/7,50/20-01-23</t>
        </is>
      </c>
      <c r="G869" s="6" t="n">
        <v>-100</v>
      </c>
      <c r="H869" s="6" t="n">
        <v>198.4</v>
      </c>
      <c r="I869" s="7">
        <f>-H869/G869</f>
        <v/>
      </c>
      <c r="J869" s="11" t="n">
        <v>44614</v>
      </c>
      <c r="K869" s="6">
        <f>+OPERAC[[#This Row],[cantidad]]</f>
        <v/>
      </c>
      <c r="L869" s="6">
        <f>+OPERAC[[#This Row],[cantidad venta]]*4.488</f>
        <v/>
      </c>
      <c r="M869" s="7">
        <f>IF(N869=0,+L869+H869,0)</f>
        <v/>
      </c>
      <c r="N869" s="7">
        <f>IF((+G869-K869)=0,0,+G869-K869)</f>
        <v/>
      </c>
      <c r="O869" s="7">
        <f>IF(N869=0,0,(L869+H869)/-N869)</f>
        <v/>
      </c>
      <c r="P869" s="7">
        <f>VLOOKUP(OPERAC[[#This Row],[especie]],[1]!ESPECIES[#All],6,0)</f>
        <v/>
      </c>
      <c r="Q869" s="7">
        <f>IF(N869&lt;&gt;0,P869*N869,0)</f>
        <v/>
      </c>
      <c r="R869" s="8">
        <f>IF(Q869&lt;&gt;0,Q869+H869+L869,0)</f>
        <v/>
      </c>
      <c r="S869" s="9">
        <f>VLOOKUP(OPERAC[[#This Row],[especie]],[1]!ESPECIES[#Data],9,FALSE)</f>
        <v/>
      </c>
    </row>
    <row r="870">
      <c r="A870" s="4" t="n">
        <v>22399</v>
      </c>
      <c r="B870" s="5" t="n">
        <v>44617</v>
      </c>
      <c r="C870" s="13" t="inlineStr">
        <is>
          <t>VTA</t>
        </is>
      </c>
      <c r="D870" s="13" t="n">
        <v>39</v>
      </c>
      <c r="E870" s="10">
        <f>IF(D870&gt;0,VLOOKUP(OPERAC[[#This Row],[COD CART]],[1]!MatrizCortoLargoCyl[#All],3,0),"")</f>
        <v/>
      </c>
      <c r="F870" s="13" t="inlineStr">
        <is>
          <t>GGAL/V/7,50/20-01-23</t>
        </is>
      </c>
      <c r="G870" s="6" t="n">
        <v>-200</v>
      </c>
      <c r="H870" s="6" t="n">
        <v>198.4</v>
      </c>
      <c r="I870" s="7">
        <f>-H870/G870</f>
        <v/>
      </c>
      <c r="J870" s="11" t="n"/>
      <c r="K870" s="6" t="n"/>
      <c r="L870" s="6" t="n"/>
      <c r="M870" s="7">
        <f>IF(N870=0,+L870+H870,0)</f>
        <v/>
      </c>
      <c r="N870" s="7">
        <f>IF((+G870-K870)=0,0,+G870-K870)</f>
        <v/>
      </c>
      <c r="O870" s="7">
        <f>IF(N870=0,0,(L870+H870)/-N870)</f>
        <v/>
      </c>
      <c r="P870" s="7">
        <f>VLOOKUP(OPERAC[[#This Row],[especie]],[1]!ESPECIES[#All],6,0)</f>
        <v/>
      </c>
      <c r="Q870" s="7">
        <f>IF(N870&lt;&gt;0,P870*N870,0)</f>
        <v/>
      </c>
      <c r="R870" s="8">
        <f>IF(Q870&lt;&gt;0,Q870+H870+L870,0)</f>
        <v/>
      </c>
      <c r="S870" s="9">
        <f>VLOOKUP(OPERAC[[#This Row],[especie]],[1]!ESPECIES[#Data],9,FALSE)</f>
        <v/>
      </c>
    </row>
    <row r="871">
      <c r="A871" s="4" t="n">
        <v>13253</v>
      </c>
      <c r="B871" s="5" t="n">
        <v>44652</v>
      </c>
      <c r="C871" s="13" t="inlineStr">
        <is>
          <t>VTA</t>
        </is>
      </c>
      <c r="D871" s="13" t="n">
        <v>41</v>
      </c>
      <c r="E871" s="10">
        <f>IF(D871&gt;0,VLOOKUP(OPERAC[[#This Row],[COD CART]],[1]!MatrizCortoLargoCyl[#All],3,0),"")</f>
        <v/>
      </c>
      <c r="F871" s="13" t="inlineStr">
        <is>
          <t>HIMX/V/10,00/20-01-23</t>
        </is>
      </c>
      <c r="G871" s="6" t="n">
        <v>-100</v>
      </c>
      <c r="H871" s="6" t="n">
        <v>198.1</v>
      </c>
      <c r="I871" s="7">
        <f>-H871/G871</f>
        <v/>
      </c>
      <c r="J871" s="11" t="n"/>
      <c r="K871" s="6" t="n"/>
      <c r="L871" s="6" t="n"/>
      <c r="M871" s="7">
        <f>IF(N871=0,+L871+H871,0)</f>
        <v/>
      </c>
      <c r="N871" s="7">
        <f>IF((+G871-K871)=0,0,+G871-K871)</f>
        <v/>
      </c>
      <c r="O871" s="7">
        <f>IF(N871=0,0,(L871+H871)/-N871)</f>
        <v/>
      </c>
      <c r="P871" s="7">
        <f>VLOOKUP(OPERAC[[#This Row],[especie]],[1]!ESPECIES[#All],6,0)</f>
        <v/>
      </c>
      <c r="Q871" s="7">
        <f>IF(N871&lt;&gt;0,P871*N871,0)</f>
        <v/>
      </c>
      <c r="R871" s="8">
        <f>IF(Q871&lt;&gt;0,Q871+H871+L871,0)</f>
        <v/>
      </c>
      <c r="S871" s="9">
        <f>VLOOKUP(OPERAC[[#This Row],[especie]],[1]!ESPECIES[#Data],9,FALSE)</f>
        <v/>
      </c>
    </row>
    <row r="872">
      <c r="A872" s="4" t="n">
        <v>18662</v>
      </c>
      <c r="B872" s="5" t="n">
        <v>44543</v>
      </c>
      <c r="C872" s="13" t="inlineStr">
        <is>
          <t>VTA</t>
        </is>
      </c>
      <c r="D872" s="13" t="n">
        <v>39</v>
      </c>
      <c r="E872" s="10">
        <f>IF(D872&gt;0,VLOOKUP(OPERAC[[#This Row],[COD CART]],[1]!MatrizCortoLargoCyl[#All],3,0),"")</f>
        <v/>
      </c>
      <c r="F872" s="13" t="inlineStr">
        <is>
          <t>NKE/V/145,00/07-01-22</t>
        </is>
      </c>
      <c r="G872" s="6" t="n">
        <v>-200</v>
      </c>
      <c r="H872" s="6" t="n">
        <v>197.652</v>
      </c>
      <c r="I872" s="7">
        <f>-H872/G872</f>
        <v/>
      </c>
      <c r="J872" s="11" t="n">
        <v>44566</v>
      </c>
      <c r="K872" s="6" t="n">
        <v>-200</v>
      </c>
      <c r="L872" s="6" t="n">
        <v>-4.032</v>
      </c>
      <c r="M872" s="7">
        <f>IF(N872=0,+L872+H872,0)</f>
        <v/>
      </c>
      <c r="N872" s="7">
        <f>IF((+G872-K872)=0,0,+G872-K872)</f>
        <v/>
      </c>
      <c r="O872" s="7">
        <f>IF(N872=0,0,(L872+H872)/-N872)</f>
        <v/>
      </c>
      <c r="P872" s="7">
        <f>VLOOKUP(OPERAC[[#This Row],[especie]],[1]!ESPECIES[#All],6,0)</f>
        <v/>
      </c>
      <c r="Q872" s="7">
        <f>IF(N872&lt;&gt;0,P872*N872,0)</f>
        <v/>
      </c>
      <c r="R872" s="8">
        <f>IF(Q872&lt;&gt;0,Q872+H872+L872,0)</f>
        <v/>
      </c>
      <c r="S872" s="9">
        <f>VLOOKUP(OPERAC[[#This Row],[especie]],[1]!ESPECIES[#Data],9,FALSE)</f>
        <v/>
      </c>
    </row>
    <row r="873">
      <c r="A873" s="4" t="n">
        <v>16829</v>
      </c>
      <c r="B873" s="5" t="n">
        <v>44167</v>
      </c>
      <c r="C873" s="13" t="inlineStr">
        <is>
          <t>VTA</t>
        </is>
      </c>
      <c r="D873" s="13" t="n">
        <v>39</v>
      </c>
      <c r="E873" s="10">
        <f>IF(D873&gt;0,VLOOKUP(OPERAC[[#This Row],[COD CART]],[1]!MatrizCortoLargoCyl[#All],3,0),"")</f>
        <v/>
      </c>
      <c r="F873" s="13" t="inlineStr">
        <is>
          <t>PBR/V/8,00/21-01-22</t>
        </is>
      </c>
      <c r="G873" s="6" t="n">
        <v>-200</v>
      </c>
      <c r="H873" s="6" t="n">
        <v>197.52</v>
      </c>
      <c r="I873" s="7">
        <f>-H873/G873</f>
        <v/>
      </c>
      <c r="J873" s="11" t="n">
        <v>44582</v>
      </c>
      <c r="K873" s="6" t="n">
        <v>-200</v>
      </c>
      <c r="L873" s="6" t="n">
        <v>0</v>
      </c>
      <c r="M873" s="7">
        <f>IF(N873=0,+L873+H873,0)</f>
        <v/>
      </c>
      <c r="N873" s="7">
        <f>IF((+G873-K873)=0,0,+G873-K873)</f>
        <v/>
      </c>
      <c r="O873" s="7">
        <f>IF(N873=0,0,(L873+H873)/-N873)</f>
        <v/>
      </c>
      <c r="P873" s="7">
        <f>VLOOKUP(OPERAC[[#This Row],[especie]],[1]!ESPECIES[#All],6,0)</f>
        <v/>
      </c>
      <c r="Q873" s="7">
        <f>IF(N873&lt;&gt;0,P873*N873,0)</f>
        <v/>
      </c>
      <c r="R873" s="8">
        <f>IF(Q873&lt;&gt;0,Q873+H873+L873,0)</f>
        <v/>
      </c>
      <c r="S873" s="9">
        <f>VLOOKUP(OPERAC[[#This Row],[especie]],[1]!ESPECIES[#Data],9,FALSE)</f>
        <v/>
      </c>
    </row>
    <row r="874">
      <c r="A874" s="4" t="n">
        <v>16818</v>
      </c>
      <c r="B874" s="5" t="n">
        <v>44167</v>
      </c>
      <c r="C874" s="13" t="inlineStr">
        <is>
          <t>VTA</t>
        </is>
      </c>
      <c r="D874" s="13" t="n">
        <v>39</v>
      </c>
      <c r="E874" s="10">
        <f>IF(D874&gt;0,VLOOKUP(OPERAC[[#This Row],[COD CART]],[1]!MatrizCortoLargoCyl[#All],3,0),"")</f>
        <v/>
      </c>
      <c r="F874" s="13" t="inlineStr">
        <is>
          <t>PBR/V/8,00/21-01-22</t>
        </is>
      </c>
      <c r="G874" s="6" t="n">
        <v>-200</v>
      </c>
      <c r="H874" s="6" t="n">
        <v>197.52</v>
      </c>
      <c r="I874" s="7">
        <f>-H874/G874</f>
        <v/>
      </c>
      <c r="J874" s="11" t="n">
        <v>44582</v>
      </c>
      <c r="K874" s="6" t="n">
        <v>-200</v>
      </c>
      <c r="L874" s="6" t="n">
        <v>0</v>
      </c>
      <c r="M874" s="7">
        <f>IF(N874=0,+L874+H874,0)</f>
        <v/>
      </c>
      <c r="N874" s="7">
        <f>IF((+G874-K874)=0,0,+G874-K874)</f>
        <v/>
      </c>
      <c r="O874" s="7">
        <f>IF(N874=0,0,(L874+H874)/-N874)</f>
        <v/>
      </c>
      <c r="P874" s="7">
        <f>VLOOKUP(OPERAC[[#This Row],[especie]],[1]!ESPECIES[#All],6,0)</f>
        <v/>
      </c>
      <c r="Q874" s="7">
        <f>IF(N874&lt;&gt;0,P874*N874,0)</f>
        <v/>
      </c>
      <c r="R874" s="8">
        <f>IF(Q874&lt;&gt;0,Q874+H874+L874,0)</f>
        <v/>
      </c>
      <c r="S874" s="9">
        <f>VLOOKUP(OPERAC[[#This Row],[especie]],[1]!ESPECIES[#Data],9,FALSE)</f>
        <v/>
      </c>
    </row>
    <row r="875">
      <c r="A875" s="4" t="n">
        <v>10079</v>
      </c>
      <c r="B875" s="5" t="n">
        <v>44614</v>
      </c>
      <c r="C875" s="13" t="inlineStr">
        <is>
          <t>VTA</t>
        </is>
      </c>
      <c r="D875" s="13" t="n">
        <v>39</v>
      </c>
      <c r="E875" s="10">
        <f>IF(D875&gt;0,VLOOKUP(OPERAC[[#This Row],[COD CART]],[1]!MatrizCortoLargoCyl[#All],3,0),"")</f>
        <v/>
      </c>
      <c r="F875" s="13" t="inlineStr">
        <is>
          <t>MELI/V/500,00/19-01-24</t>
        </is>
      </c>
      <c r="G875" s="6" t="n">
        <v>-3</v>
      </c>
      <c r="H875" s="6" t="n">
        <v>193.44</v>
      </c>
      <c r="I875" s="7">
        <f>-H875/G875</f>
        <v/>
      </c>
      <c r="J875" s="11" t="n"/>
      <c r="K875" s="6" t="n"/>
      <c r="L875" s="6" t="n"/>
      <c r="M875" s="7">
        <f>IF(N875=0,+L875+H875,0)</f>
        <v/>
      </c>
      <c r="N875" s="7">
        <f>IF((+G875-K875)=0,0,+G875-K875)</f>
        <v/>
      </c>
      <c r="O875" s="7">
        <f>IF(N875=0,0,(L875+H875)/-N875)</f>
        <v/>
      </c>
      <c r="P875" s="7">
        <f>VLOOKUP(OPERAC[[#This Row],[especie]],[1]!ESPECIES[#All],6,0)</f>
        <v/>
      </c>
      <c r="Q875" s="7">
        <f>IF(N875&lt;&gt;0,P875*N875,0)</f>
        <v/>
      </c>
      <c r="R875" s="8">
        <f>IF(Q875&lt;&gt;0,Q875+H875+L875,0)</f>
        <v/>
      </c>
      <c r="S875" s="9">
        <f>VLOOKUP(OPERAC[[#This Row],[especie]],[1]!ESPECIES[#Data],9,FALSE)</f>
        <v/>
      </c>
    </row>
    <row r="876">
      <c r="A876" s="4" t="n">
        <v>1807</v>
      </c>
      <c r="B876" s="5" t="n">
        <v>44607</v>
      </c>
      <c r="C876" s="13" t="inlineStr">
        <is>
          <t>VTA</t>
        </is>
      </c>
      <c r="D876" s="13" t="n">
        <v>39</v>
      </c>
      <c r="E876" s="10">
        <f>IF(D876&gt;0,VLOOKUP(OPERAC[[#This Row],[COD CART]],[1]!MatrizCortoLargoCyl[#All],3,0),"")</f>
        <v/>
      </c>
      <c r="F876" s="13" t="inlineStr">
        <is>
          <t>TSLA/V/830,00/18-02-22</t>
        </is>
      </c>
      <c r="G876" s="6" t="n">
        <v>-100</v>
      </c>
      <c r="H876" s="6" t="n">
        <v>192.74775</v>
      </c>
      <c r="I876" s="7">
        <f>-H876/G876</f>
        <v/>
      </c>
      <c r="J876" s="11" t="n">
        <v>44609</v>
      </c>
      <c r="K876" s="6" t="n">
        <v>-100</v>
      </c>
      <c r="L876" s="6" t="n">
        <v>-192.209</v>
      </c>
      <c r="M876" s="7">
        <f>IF(N876=0,+L876+H876,0)</f>
        <v/>
      </c>
      <c r="N876" s="7">
        <f>IF((+G876-K876)=0,0,+G876-K876)</f>
        <v/>
      </c>
      <c r="O876" s="7">
        <f>IF(N876=0,0,(L876+H876)/-N876)</f>
        <v/>
      </c>
      <c r="P876" s="7">
        <f>VLOOKUP(OPERAC[[#This Row],[especie]],[1]!ESPECIES[#All],6,0)</f>
        <v/>
      </c>
      <c r="Q876" s="7">
        <f>IF(N876&lt;&gt;0,P876*N876,0)</f>
        <v/>
      </c>
      <c r="R876" s="8">
        <f>IF(Q876&lt;&gt;0,Q876+H876+L876,0)</f>
        <v/>
      </c>
      <c r="S876" s="9">
        <f>VLOOKUP(OPERAC[[#This Row],[especie]],[1]!ESPECIES[#Data],9,FALSE)</f>
        <v/>
      </c>
    </row>
    <row r="877">
      <c r="A877" s="4" t="n">
        <v>7895</v>
      </c>
      <c r="B877" s="5" t="n">
        <v>44607</v>
      </c>
      <c r="C877" s="13" t="inlineStr">
        <is>
          <t>VTA</t>
        </is>
      </c>
      <c r="D877" s="13" t="n">
        <v>39</v>
      </c>
      <c r="E877" s="10">
        <f>IF(D877&gt;0,VLOOKUP(OPERAC[[#This Row],[COD CART]],[1]!MatrizCortoLargoCyl[#All],3,0),"")</f>
        <v/>
      </c>
      <c r="F877" s="13" t="inlineStr">
        <is>
          <t>TSLA/V/830,00/18-02-22</t>
        </is>
      </c>
      <c r="G877" s="6" t="n">
        <v>-100</v>
      </c>
      <c r="H877" s="6" t="n">
        <v>192.74775</v>
      </c>
      <c r="I877" s="7">
        <f>-H877/G877</f>
        <v/>
      </c>
      <c r="J877" s="11" t="n">
        <v>44609</v>
      </c>
      <c r="K877" s="6" t="n">
        <v>-100</v>
      </c>
      <c r="L877" s="6" t="n">
        <v>-192.209</v>
      </c>
      <c r="M877" s="7">
        <f>IF(N877=0,+L877+H877,0)</f>
        <v/>
      </c>
      <c r="N877" s="7">
        <f>IF((+G877-K877)=0,0,+G877-K877)</f>
        <v/>
      </c>
      <c r="O877" s="7">
        <f>IF(N877=0,0,(L877+H877)/-N877)</f>
        <v/>
      </c>
      <c r="P877" s="7">
        <f>VLOOKUP(OPERAC[[#This Row],[especie]],[1]!ESPECIES[#All],6,0)</f>
        <v/>
      </c>
      <c r="Q877" s="7">
        <f>IF(N877&lt;&gt;0,P877*N877,0)</f>
        <v/>
      </c>
      <c r="R877" s="8">
        <f>IF(Q877&lt;&gt;0,Q877+H877+L877,0)</f>
        <v/>
      </c>
      <c r="S877" s="9">
        <f>VLOOKUP(OPERAC[[#This Row],[especie]],[1]!ESPECIES[#Data],9,FALSE)</f>
        <v/>
      </c>
    </row>
    <row r="878">
      <c r="A878" s="4" t="n">
        <v>15192</v>
      </c>
      <c r="B878" s="5" t="n">
        <v>44607</v>
      </c>
      <c r="C878" s="13" t="inlineStr">
        <is>
          <t>VTA</t>
        </is>
      </c>
      <c r="D878" s="13" t="n">
        <v>39</v>
      </c>
      <c r="E878" s="10">
        <f>IF(D878&gt;0,VLOOKUP(OPERAC[[#This Row],[COD CART]],[1]!MatrizCortoLargoCyl[#All],3,0),"")</f>
        <v/>
      </c>
      <c r="F878" s="13" t="inlineStr">
        <is>
          <t>TSLA/V/830,00/18-02-22</t>
        </is>
      </c>
      <c r="G878" s="6" t="n">
        <v>-100</v>
      </c>
      <c r="H878" s="6" t="n">
        <v>192.74775</v>
      </c>
      <c r="I878" s="7">
        <f>-H878/G878</f>
        <v/>
      </c>
      <c r="J878" s="11" t="n">
        <v>44609</v>
      </c>
      <c r="K878" s="6" t="n">
        <v>-100</v>
      </c>
      <c r="L878" s="6" t="n">
        <v>-192.209</v>
      </c>
      <c r="M878" s="7">
        <f>IF(N878=0,+L878+H878,0)</f>
        <v/>
      </c>
      <c r="N878" s="7">
        <f>IF((+G878-K878)=0,0,+G878-K878)</f>
        <v/>
      </c>
      <c r="O878" s="7">
        <f>IF(N878=0,0,(L878+H878)/-N878)</f>
        <v/>
      </c>
      <c r="P878" s="7">
        <f>VLOOKUP(OPERAC[[#This Row],[especie]],[1]!ESPECIES[#All],6,0)</f>
        <v/>
      </c>
      <c r="Q878" s="7">
        <f>IF(N878&lt;&gt;0,P878*N878,0)</f>
        <v/>
      </c>
      <c r="R878" s="8">
        <f>IF(Q878&lt;&gt;0,Q878+H878+L878,0)</f>
        <v/>
      </c>
      <c r="S878" s="9">
        <f>VLOOKUP(OPERAC[[#This Row],[especie]],[1]!ESPECIES[#Data],9,FALSE)</f>
        <v/>
      </c>
    </row>
    <row r="879">
      <c r="A879" s="4" t="n">
        <v>16776</v>
      </c>
      <c r="B879" s="5" t="n">
        <v>44607</v>
      </c>
      <c r="C879" s="13" t="inlineStr">
        <is>
          <t>VTA</t>
        </is>
      </c>
      <c r="D879" s="13" t="n">
        <v>39</v>
      </c>
      <c r="E879" s="10">
        <f>IF(D879&gt;0,VLOOKUP(OPERAC[[#This Row],[COD CART]],[1]!MatrizCortoLargoCyl[#All],3,0),"")</f>
        <v/>
      </c>
      <c r="F879" s="13" t="inlineStr">
        <is>
          <t>TSLA/V/830,00/18-02-22</t>
        </is>
      </c>
      <c r="G879" s="6" t="n">
        <v>-100</v>
      </c>
      <c r="H879" s="6" t="n">
        <v>192.74775</v>
      </c>
      <c r="I879" s="7">
        <f>-H879/G879</f>
        <v/>
      </c>
      <c r="J879" s="11" t="n">
        <v>44609</v>
      </c>
      <c r="K879" s="6" t="n">
        <v>-100</v>
      </c>
      <c r="L879" s="6" t="n">
        <v>-192.209</v>
      </c>
      <c r="M879" s="7">
        <f>IF(N879=0,+L879+H879,0)</f>
        <v/>
      </c>
      <c r="N879" s="7">
        <f>IF((+G879-K879)=0,0,+G879-K879)</f>
        <v/>
      </c>
      <c r="O879" s="7">
        <f>IF(N879=0,0,(L879+H879)/-N879)</f>
        <v/>
      </c>
      <c r="P879" s="7">
        <f>VLOOKUP(OPERAC[[#This Row],[especie]],[1]!ESPECIES[#All],6,0)</f>
        <v/>
      </c>
      <c r="Q879" s="7">
        <f>IF(N879&lt;&gt;0,P879*N879,0)</f>
        <v/>
      </c>
      <c r="R879" s="8">
        <f>IF(Q879&lt;&gt;0,Q879+H879+L879,0)</f>
        <v/>
      </c>
      <c r="S879" s="9">
        <f>VLOOKUP(OPERAC[[#This Row],[especie]],[1]!ESPECIES[#Data],9,FALSE)</f>
        <v/>
      </c>
    </row>
    <row r="880">
      <c r="A880" s="4" t="n">
        <v>18697</v>
      </c>
      <c r="B880" s="5" t="n">
        <v>44607</v>
      </c>
      <c r="C880" s="13" t="inlineStr">
        <is>
          <t>VTA</t>
        </is>
      </c>
      <c r="D880" s="13" t="n">
        <v>39</v>
      </c>
      <c r="E880" s="10">
        <f>IF(D880&gt;0,VLOOKUP(OPERAC[[#This Row],[COD CART]],[1]!MatrizCortoLargoCyl[#All],3,0),"")</f>
        <v/>
      </c>
      <c r="F880" s="13" t="inlineStr">
        <is>
          <t>TSLA/V/830,00/18-02-22</t>
        </is>
      </c>
      <c r="G880" s="6" t="n">
        <v>-100</v>
      </c>
      <c r="H880" s="6" t="n">
        <v>192.74775</v>
      </c>
      <c r="I880" s="7">
        <f>-H880/G880</f>
        <v/>
      </c>
      <c r="J880" s="11" t="n">
        <v>44609</v>
      </c>
      <c r="K880" s="6" t="n">
        <v>-100</v>
      </c>
      <c r="L880" s="6" t="n">
        <v>-192.209</v>
      </c>
      <c r="M880" s="7">
        <f>IF(N880=0,+L880+H880,0)</f>
        <v/>
      </c>
      <c r="N880" s="7">
        <f>IF((+G880-K880)=0,0,+G880-K880)</f>
        <v/>
      </c>
      <c r="O880" s="7">
        <f>IF(N880=0,0,(L880+H880)/-N880)</f>
        <v/>
      </c>
      <c r="P880" s="7">
        <f>VLOOKUP(OPERAC[[#This Row],[especie]],[1]!ESPECIES[#All],6,0)</f>
        <v/>
      </c>
      <c r="Q880" s="7">
        <f>IF(N880&lt;&gt;0,P880*N880,0)</f>
        <v/>
      </c>
      <c r="R880" s="8">
        <f>IF(Q880&lt;&gt;0,Q880+H880+L880,0)</f>
        <v/>
      </c>
      <c r="S880" s="9">
        <f>VLOOKUP(OPERAC[[#This Row],[especie]],[1]!ESPECIES[#Data],9,FALSE)</f>
        <v/>
      </c>
    </row>
    <row r="881">
      <c r="A881" s="4" t="n">
        <v>19931</v>
      </c>
      <c r="B881" s="5" t="n">
        <v>44714</v>
      </c>
      <c r="C881" s="13" t="inlineStr">
        <is>
          <t>VTA</t>
        </is>
      </c>
      <c r="D881" s="13" t="n">
        <v>39</v>
      </c>
      <c r="E881" s="10">
        <f>IF(D881&gt;0,VLOOKUP(OPERAC[[#This Row],[COD CART]],[1]!MatrizCortoLargoCyl[#All],3,0),"")</f>
        <v/>
      </c>
      <c r="F881" s="13" t="inlineStr">
        <is>
          <t>TSLA/V/660,00/03-06-22</t>
        </is>
      </c>
      <c r="G881" s="6" t="n">
        <v>-1000</v>
      </c>
      <c r="H881" s="6" t="n">
        <v>190.368</v>
      </c>
      <c r="I881" s="7">
        <f>-H881/G881</f>
        <v/>
      </c>
      <c r="J881" s="5" t="n">
        <v>44715</v>
      </c>
      <c r="K881" s="6">
        <f>+OPERAC[[#This Row],[cantidad]]</f>
        <v/>
      </c>
      <c r="L881" s="6" t="n">
        <v>-93.79000000000001</v>
      </c>
      <c r="M881" s="7">
        <f>IF(N881=0,+L881+H881,0)</f>
        <v/>
      </c>
      <c r="N881" s="7">
        <f>IF((+G881-K881)=0,0,+G881-K881)</f>
        <v/>
      </c>
      <c r="O881" s="7">
        <f>IF(N881=0,0,(L881+H881)/-N881)</f>
        <v/>
      </c>
      <c r="P881" s="7">
        <f>VLOOKUP(OPERAC[[#This Row],[especie]],[1]!ESPECIES[#All],6,0)</f>
        <v/>
      </c>
      <c r="Q881" s="7">
        <f>IF(N881&lt;&gt;0,P881*N881,0)</f>
        <v/>
      </c>
      <c r="R881" s="8">
        <f>IF(Q881&lt;&gt;0,Q881+H881+L881,0)</f>
        <v/>
      </c>
      <c r="S881" s="9">
        <f>VLOOKUP(OPERAC[[#This Row],[especie]],[1]!ESPECIES[#Data],9,FALSE)</f>
        <v/>
      </c>
    </row>
    <row r="882">
      <c r="A882" s="4" t="n">
        <v>3728</v>
      </c>
      <c r="B882" s="5" t="n">
        <v>44690</v>
      </c>
      <c r="C882" s="13" t="inlineStr">
        <is>
          <t>VTA</t>
        </is>
      </c>
      <c r="D882" s="13" t="n">
        <v>39</v>
      </c>
      <c r="E882" s="10">
        <f>IF(D882&gt;0,VLOOKUP(OPERAC[[#This Row],[COD CART]],[1]!MatrizCortoLargoCyl[#All],3,0),"")</f>
        <v/>
      </c>
      <c r="F882" s="13" t="inlineStr">
        <is>
          <t>TSLA/V/350,00/20-01-23</t>
        </is>
      </c>
      <c r="G882" s="6" t="n">
        <v>-10</v>
      </c>
      <c r="H882" s="6" t="n">
        <v>189.81</v>
      </c>
      <c r="I882" s="7">
        <f>-H882/G882</f>
        <v/>
      </c>
      <c r="J882" s="11" t="n"/>
      <c r="K882" s="6" t="n"/>
      <c r="L882" s="6" t="n"/>
      <c r="M882" s="7">
        <f>IF(N882=0,+L882+H882,0)</f>
        <v/>
      </c>
      <c r="N882" s="7">
        <f>IF((+G882-K882)=0,0,+G882-K882)</f>
        <v/>
      </c>
      <c r="O882" s="7">
        <f>IF(N882=0,0,(L882+H882)/-N882)</f>
        <v/>
      </c>
      <c r="P882" s="7">
        <f>VLOOKUP(OPERAC[[#This Row],[especie]],[1]!ESPECIES[#All],6,0)</f>
        <v/>
      </c>
      <c r="Q882" s="7">
        <f>IF(N882&lt;&gt;0,P882*N882,0)</f>
        <v/>
      </c>
      <c r="R882" s="8">
        <f>IF(Q882&lt;&gt;0,Q882+H882+L882,0)</f>
        <v/>
      </c>
      <c r="S882" s="9">
        <f>VLOOKUP(OPERAC[[#This Row],[especie]],[1]!ESPECIES[#Data],9,FALSE)</f>
        <v/>
      </c>
    </row>
    <row r="883">
      <c r="A883" s="4" t="n">
        <v>2194</v>
      </c>
      <c r="B883" s="5" t="n">
        <v>44580</v>
      </c>
      <c r="C883" s="13" t="inlineStr">
        <is>
          <t>VTA</t>
        </is>
      </c>
      <c r="D883" s="13" t="n">
        <v>39</v>
      </c>
      <c r="E883" s="10">
        <f>IF(D883&gt;0,VLOOKUP(OPERAC[[#This Row],[COD CART]],[1]!MatrizCortoLargoCyl[#All],3,0),"")</f>
        <v/>
      </c>
      <c r="F883" s="13" t="inlineStr">
        <is>
          <t>INO/V/5,00/18-02-22</t>
        </is>
      </c>
      <c r="G883" s="6" t="n">
        <v>-200</v>
      </c>
      <c r="H883" s="6" t="n">
        <v>187.092</v>
      </c>
      <c r="I883" s="7">
        <f>-H883/G883</f>
        <v/>
      </c>
      <c r="J883" s="11" t="n">
        <v>44600</v>
      </c>
      <c r="K883" s="6" t="n">
        <v>-200</v>
      </c>
      <c r="L883" s="6" t="n">
        <v>-187</v>
      </c>
      <c r="M883" s="7">
        <f>IF(N883=0,+L883+H883,0)</f>
        <v/>
      </c>
      <c r="N883" s="7">
        <f>IF((+G883-K883)=0,0,+G883-K883)</f>
        <v/>
      </c>
      <c r="O883" s="7">
        <f>IF(N883=0,0,(L883+H883)/-N883)</f>
        <v/>
      </c>
      <c r="P883" s="7">
        <f>VLOOKUP(OPERAC[[#This Row],[especie]],[1]!ESPECIES[#All],6,0)</f>
        <v/>
      </c>
      <c r="Q883" s="7">
        <f>IF(N883&lt;&gt;0,P883*N883,0)</f>
        <v/>
      </c>
      <c r="R883" s="8">
        <f>IF(Q883&lt;&gt;0,Q883+H883+L883,0)</f>
        <v/>
      </c>
      <c r="S883" s="9">
        <f>VLOOKUP(OPERAC[[#This Row],[especie]],[1]!ESPECIES[#Data],9,FALSE)</f>
        <v/>
      </c>
    </row>
    <row r="884">
      <c r="A884" s="4" t="n">
        <v>2211</v>
      </c>
      <c r="B884" s="5" t="n">
        <v>44705</v>
      </c>
      <c r="C884" s="13" t="inlineStr">
        <is>
          <t>VTA</t>
        </is>
      </c>
      <c r="D884" s="13" t="n">
        <v>41</v>
      </c>
      <c r="E884" s="10">
        <f>IF(D884&gt;0,VLOOKUP(OPERAC[[#This Row],[COD CART]],[1]!MatrizCortoLargoCyl[#All],3,0),"")</f>
        <v/>
      </c>
      <c r="F884" s="13" t="inlineStr">
        <is>
          <t>FDX/C/222.50/17-06-22</t>
        </is>
      </c>
      <c r="G884" s="6" t="n">
        <v>-100</v>
      </c>
      <c r="H884" s="6" t="n">
        <v>184.419</v>
      </c>
      <c r="I884" s="7">
        <f>-H884/G884</f>
        <v/>
      </c>
      <c r="J884" s="5" t="n">
        <v>44726</v>
      </c>
      <c r="K884" s="6" t="n">
        <v>-100</v>
      </c>
      <c r="L884" s="6" t="n">
        <v>-806.8</v>
      </c>
      <c r="M884" s="7">
        <f>IF(N884=0,+L884+H884,0)</f>
        <v/>
      </c>
      <c r="N884" s="7">
        <f>IF((+G884-K884)=0,0,+G884-K884)</f>
        <v/>
      </c>
      <c r="O884" s="7">
        <f>IF(N884=0,0,(L884+H884)/-N884)</f>
        <v/>
      </c>
      <c r="P884" s="7">
        <f>VLOOKUP(OPERAC[[#This Row],[especie]],[1]!ESPECIES[#All],6,0)</f>
        <v/>
      </c>
      <c r="Q884" s="7">
        <f>IF(N884&lt;&gt;0,P884*N884,0)</f>
        <v/>
      </c>
      <c r="R884" s="8">
        <f>IF(Q884&lt;&gt;0,Q884+H884+L884,0)</f>
        <v/>
      </c>
      <c r="S884" s="9">
        <f>VLOOKUP(OPERAC[[#This Row],[especie]],[1]!ESPECIES[#Data],9,FALSE)</f>
        <v/>
      </c>
    </row>
    <row r="885">
      <c r="A885" s="4" t="n">
        <v>18662</v>
      </c>
      <c r="B885" s="5" t="n">
        <v>44547</v>
      </c>
      <c r="C885" s="13" t="inlineStr">
        <is>
          <t>VTA</t>
        </is>
      </c>
      <c r="D885" s="13" t="n">
        <v>39</v>
      </c>
      <c r="E885" s="10">
        <f>IF(D885&gt;0,VLOOKUP(OPERAC[[#This Row],[COD CART]],[1]!MatrizCortoLargoCyl[#All],3,0),"")</f>
        <v/>
      </c>
      <c r="F885" s="13" t="inlineStr">
        <is>
          <t>INO/V/7,00/21-01-22</t>
        </is>
      </c>
      <c r="G885" s="6" t="n">
        <v>-200</v>
      </c>
      <c r="H885" s="6" t="n">
        <v>182.088</v>
      </c>
      <c r="I885" s="7">
        <f>-H885/G885</f>
        <v/>
      </c>
      <c r="J885" s="11" t="n">
        <v>44580</v>
      </c>
      <c r="K885" s="6">
        <f>+OPERAC[[#This Row],[cantidad]]</f>
        <v/>
      </c>
      <c r="L885" s="6">
        <f>-OPERAC[[#This Row],[importe]]</f>
        <v/>
      </c>
      <c r="M885" s="7">
        <f>IF(N885=0,+L885+H885,0)</f>
        <v/>
      </c>
      <c r="N885" s="7">
        <f>IF((+G885-K885)=0,0,+G885-K885)</f>
        <v/>
      </c>
      <c r="O885" s="7">
        <f>IF(N885=0,0,(L885+H885)/-N885)</f>
        <v/>
      </c>
      <c r="P885" s="7">
        <f>VLOOKUP(OPERAC[[#This Row],[especie]],[1]!ESPECIES[#All],6,0)</f>
        <v/>
      </c>
      <c r="Q885" s="7">
        <f>IF(N885&lt;&gt;0,P885*N885,0)</f>
        <v/>
      </c>
      <c r="R885" s="8">
        <f>IF(Q885&lt;&gt;0,Q885+H885+L885,0)</f>
        <v/>
      </c>
      <c r="S885" s="9">
        <f>VLOOKUP(OPERAC[[#This Row],[especie]],[1]!ESPECIES[#Data],9,FALSE)</f>
        <v/>
      </c>
    </row>
    <row r="886">
      <c r="A886" s="4" t="n">
        <v>13180</v>
      </c>
      <c r="B886" s="5" t="n">
        <v>44725</v>
      </c>
      <c r="C886" s="13" t="inlineStr">
        <is>
          <t>VTA</t>
        </is>
      </c>
      <c r="D886" s="13" t="n">
        <v>39</v>
      </c>
      <c r="E886" s="10">
        <f>IF(D886&gt;0,VLOOKUP(OPERAC[[#This Row],[COD CART]],[1]!MatrizCortoLargoCyl[#All],3,0),"")</f>
        <v/>
      </c>
      <c r="F886" s="13" t="inlineStr">
        <is>
          <t>MELI/P/350,00/19-01-24</t>
        </is>
      </c>
      <c r="G886" s="6" t="n">
        <v>-3</v>
      </c>
      <c r="H886" s="6" t="n">
        <v>178.47</v>
      </c>
      <c r="I886" s="7">
        <f>-H886/G886</f>
        <v/>
      </c>
      <c r="J886" s="5" t="n"/>
      <c r="K886" s="6" t="n"/>
      <c r="L886" s="6" t="n"/>
      <c r="M886" s="7">
        <f>IF(N886=0,+L886+H886,0)</f>
        <v/>
      </c>
      <c r="N886" s="7">
        <f>IF((+G886-K886)=0,0,+G886-K886)</f>
        <v/>
      </c>
      <c r="O886" s="7">
        <f>IF(N886=0,0,(L886+H886)/-N886)</f>
        <v/>
      </c>
      <c r="P886" s="7">
        <f>VLOOKUP(OPERAC[[#This Row],[especie]],[1]!ESPECIES[#All],6,0)</f>
        <v/>
      </c>
      <c r="Q886" s="7">
        <f>IF(N886&lt;&gt;0,P886*N886,0)</f>
        <v/>
      </c>
      <c r="R886" s="8">
        <f>IF(Q886&lt;&gt;0,Q886+H886+L886,0)</f>
        <v/>
      </c>
      <c r="S886" s="9">
        <f>VLOOKUP(OPERAC[[#This Row],[especie]],[1]!ESPECIES[#Data],9,FALSE)</f>
        <v/>
      </c>
    </row>
    <row r="887">
      <c r="A887" s="4" t="n">
        <v>19878</v>
      </c>
      <c r="B887" s="5" t="n">
        <v>44610</v>
      </c>
      <c r="C887" s="13" t="inlineStr">
        <is>
          <t>VTA</t>
        </is>
      </c>
      <c r="D887" s="13" t="n">
        <v>39</v>
      </c>
      <c r="E887" s="10">
        <f>IF(D887&gt;0,VLOOKUP(OPERAC[[#This Row],[COD CART]],[1]!MatrizCortoLargoCyl[#All],3,0),"")</f>
        <v/>
      </c>
      <c r="F887" s="13" t="inlineStr">
        <is>
          <t>TLRY/V/7,00/20-01-23</t>
        </is>
      </c>
      <c r="G887" s="6" t="n">
        <v>-70</v>
      </c>
      <c r="H887" s="6" t="n">
        <v>177.56</v>
      </c>
      <c r="I887" s="7">
        <f>-H887/G887</f>
        <v/>
      </c>
      <c r="J887" s="11" t="n"/>
      <c r="K887" s="6" t="n"/>
      <c r="L887" s="6" t="n"/>
      <c r="M887" s="7">
        <f>IF(N887=0,+L887+H887,0)</f>
        <v/>
      </c>
      <c r="N887" s="7">
        <f>IF((+G887-K887)=0,0,+G887-K887)</f>
        <v/>
      </c>
      <c r="O887" s="7">
        <f>IF(N887=0,0,(L887+H887)/-N887)</f>
        <v/>
      </c>
      <c r="P887" s="7">
        <f>VLOOKUP(OPERAC[[#This Row],[especie]],[1]!ESPECIES[#All],6,0)</f>
        <v/>
      </c>
      <c r="Q887" s="7">
        <f>IF(N887&lt;&gt;0,P887*N887,0)</f>
        <v/>
      </c>
      <c r="R887" s="8">
        <f>IF(Q887&lt;&gt;0,Q887+H887+L887,0)</f>
        <v/>
      </c>
      <c r="S887" s="9">
        <f>VLOOKUP(OPERAC[[#This Row],[especie]],[1]!ESPECIES[#Data],9,FALSE)</f>
        <v/>
      </c>
    </row>
    <row r="888">
      <c r="A888" s="4" t="n">
        <v>3728</v>
      </c>
      <c r="B888" s="5" t="n">
        <v>44573</v>
      </c>
      <c r="C888" s="13" t="inlineStr">
        <is>
          <t>VTA</t>
        </is>
      </c>
      <c r="D888" s="13" t="n">
        <v>39</v>
      </c>
      <c r="E888" s="10">
        <f>IF(D888&gt;0,VLOOKUP(OPERAC[[#This Row],[COD CART]],[1]!MatrizCortoLargoCyl[#All],3,0),"")</f>
        <v/>
      </c>
      <c r="F888" s="13" t="inlineStr">
        <is>
          <t>CL/V/60,00/MARZO-2022</t>
        </is>
      </c>
      <c r="G888" s="6" t="n">
        <v>-1000</v>
      </c>
      <c r="H888" s="6" t="n">
        <v>177.45</v>
      </c>
      <c r="I888" s="7">
        <f>-H888/G888</f>
        <v/>
      </c>
      <c r="J888" s="11" t="n">
        <v>44621</v>
      </c>
      <c r="K888" s="6" t="n">
        <v>-1000</v>
      </c>
      <c r="L888" s="6" t="n">
        <v>0</v>
      </c>
      <c r="M888" s="7">
        <f>IF(N888=0,+L888+H888,0)</f>
        <v/>
      </c>
      <c r="N888" s="7">
        <f>IF((+G888-K888)=0,0,+G888-K888)</f>
        <v/>
      </c>
      <c r="O888" s="7">
        <f>IF(N888=0,0,(L888+H888)/-N888)</f>
        <v/>
      </c>
      <c r="P888" s="7">
        <f>VLOOKUP(OPERAC[[#This Row],[especie]],[1]!ESPECIES[#All],6,0)</f>
        <v/>
      </c>
      <c r="Q888" s="7">
        <f>IF(N888&lt;&gt;0,P888*N888,0)</f>
        <v/>
      </c>
      <c r="R888" s="8">
        <f>IF(Q888&lt;&gt;0,Q888+H888+L888,0)</f>
        <v/>
      </c>
      <c r="S888" s="9">
        <f>VLOOKUP(OPERAC[[#This Row],[especie]],[1]!ESPECIES[#Data],9,FALSE)</f>
        <v/>
      </c>
    </row>
    <row r="889">
      <c r="A889" s="4" t="n">
        <v>18651</v>
      </c>
      <c r="B889" s="5" t="n">
        <v>44721</v>
      </c>
      <c r="C889" s="13" t="inlineStr">
        <is>
          <t>VTA</t>
        </is>
      </c>
      <c r="D889" s="13" t="n">
        <v>39</v>
      </c>
      <c r="E889" s="10">
        <f>IF(D889&gt;0,VLOOKUP(OPERAC[[#This Row],[COD CART]],[1]!MatrizCortoLargoCyl[#All],3,0),"")</f>
        <v/>
      </c>
      <c r="F889" s="13" t="inlineStr">
        <is>
          <t>TSLA/P/450,00/16-09-22</t>
        </is>
      </c>
      <c r="G889" s="6" t="n">
        <v>-10</v>
      </c>
      <c r="H889" s="6" t="n">
        <v>176.61</v>
      </c>
      <c r="I889" s="7">
        <f>-H889/G889</f>
        <v/>
      </c>
      <c r="J889" s="5" t="n"/>
      <c r="K889" s="6" t="n"/>
      <c r="L889" s="6" t="n"/>
      <c r="M889" s="7">
        <f>IF(N889=0,+L889+H889,0)</f>
        <v/>
      </c>
      <c r="N889" s="7">
        <f>IF((+G889-K889)=0,0,+G889-K889)</f>
        <v/>
      </c>
      <c r="O889" s="7">
        <f>IF(N889=0,0,(L889+H889)/-N889)</f>
        <v/>
      </c>
      <c r="P889" s="7">
        <f>VLOOKUP(OPERAC[[#This Row],[especie]],[1]!ESPECIES[#All],6,0)</f>
        <v/>
      </c>
      <c r="Q889" s="7">
        <f>IF(N889&lt;&gt;0,P889*N889,0)</f>
        <v/>
      </c>
      <c r="R889" s="8">
        <f>IF(Q889&lt;&gt;0,Q889+H889+L889,0)</f>
        <v/>
      </c>
      <c r="S889" s="9">
        <f>VLOOKUP(OPERAC[[#This Row],[especie]],[1]!ESPECIES[#Data],9,FALSE)</f>
        <v/>
      </c>
    </row>
    <row r="890">
      <c r="A890" s="4" t="n">
        <v>18690</v>
      </c>
      <c r="B890" s="5" t="n">
        <v>44701</v>
      </c>
      <c r="C890" s="13" t="inlineStr">
        <is>
          <t>VTA</t>
        </is>
      </c>
      <c r="D890" s="13" t="n">
        <v>39</v>
      </c>
      <c r="E890" s="10">
        <f>IF(D890&gt;0,VLOOKUP(OPERAC[[#This Row],[COD CART]],[1]!MatrizCortoLargoCyl[#All],3,0),"")</f>
        <v/>
      </c>
      <c r="F890" s="13" t="inlineStr">
        <is>
          <t>TSLA/P/360,00/20-01-23</t>
        </is>
      </c>
      <c r="G890" s="6" t="n">
        <v>-5</v>
      </c>
      <c r="H890" s="6" t="n">
        <v>175.99125</v>
      </c>
      <c r="I890" s="7">
        <f>-H890/G890</f>
        <v/>
      </c>
      <c r="J890" s="11" t="n"/>
      <c r="K890" s="6" t="n"/>
      <c r="L890" s="6" t="n"/>
      <c r="M890" s="7">
        <f>IF(N890=0,+L890+H890,0)</f>
        <v/>
      </c>
      <c r="N890" s="7">
        <f>IF((+G890-K890)=0,0,+G890-K890)</f>
        <v/>
      </c>
      <c r="O890" s="7">
        <f>IF(N890=0,0,(L890+H890)/-N890)</f>
        <v/>
      </c>
      <c r="P890" s="7">
        <f>VLOOKUP(OPERAC[[#This Row],[especie]],[1]!ESPECIES[#All],6,0)</f>
        <v/>
      </c>
      <c r="Q890" s="7">
        <f>IF(N890&lt;&gt;0,P890*N890,0)</f>
        <v/>
      </c>
      <c r="R890" s="8">
        <f>IF(Q890&lt;&gt;0,Q890+H890+L890,0)</f>
        <v/>
      </c>
      <c r="S890" s="9">
        <f>VLOOKUP(OPERAC[[#This Row],[especie]],[1]!ESPECIES[#Data],9,FALSE)</f>
        <v/>
      </c>
    </row>
    <row r="891">
      <c r="A891" s="4" t="n">
        <v>16780</v>
      </c>
      <c r="B891" s="5" t="n">
        <v>44676</v>
      </c>
      <c r="C891" s="13" t="inlineStr">
        <is>
          <t>VTA</t>
        </is>
      </c>
      <c r="D891" s="13" t="n">
        <v>39</v>
      </c>
      <c r="E891" s="10">
        <f>IF(D891&gt;0,VLOOKUP(OPERAC[[#This Row],[COD CART]],[1]!MatrizCortoLargoCyl[#All],3,0),"")</f>
        <v/>
      </c>
      <c r="F891" s="13" t="inlineStr">
        <is>
          <t>TSLA/V/400,00/19-01-24</t>
        </is>
      </c>
      <c r="G891" s="6" t="n">
        <v>-5</v>
      </c>
      <c r="H891" s="6" t="n">
        <v>171.03</v>
      </c>
      <c r="I891" s="7">
        <f>-H891/G891</f>
        <v/>
      </c>
      <c r="J891" s="11" t="n"/>
      <c r="K891" s="6" t="n"/>
      <c r="L891" s="6" t="n"/>
      <c r="M891" s="7">
        <f>IF(N891=0,+L891+H891,0)</f>
        <v/>
      </c>
      <c r="N891" s="7">
        <f>IF((+G891-K891)=0,0,+G891-K891)</f>
        <v/>
      </c>
      <c r="O891" s="7">
        <f>IF(N891=0,0,(L891+H891)/-N891)</f>
        <v/>
      </c>
      <c r="P891" s="7">
        <f>VLOOKUP(OPERAC[[#This Row],[especie]],[1]!ESPECIES[#All],6,0)</f>
        <v/>
      </c>
      <c r="Q891" s="7">
        <f>IF(N891&lt;&gt;0,P891*N891,0)</f>
        <v/>
      </c>
      <c r="R891" s="8">
        <f>IF(Q891&lt;&gt;0,Q891+H891+L891,0)</f>
        <v/>
      </c>
      <c r="S891" s="9">
        <f>VLOOKUP(OPERAC[[#This Row],[especie]],[1]!ESPECIES[#Data],9,FALSE)</f>
        <v/>
      </c>
    </row>
    <row r="892">
      <c r="A892" s="4" t="n">
        <v>12652</v>
      </c>
      <c r="B892" s="5" t="n">
        <v>44608</v>
      </c>
      <c r="C892" s="13" t="inlineStr">
        <is>
          <t>VTA</t>
        </is>
      </c>
      <c r="D892" s="13" t="n">
        <v>39</v>
      </c>
      <c r="E892" s="10">
        <f>IF(D892&gt;0,VLOOKUP(OPERAC[[#This Row],[COD CART]],[1]!MatrizCortoLargoCyl[#All],3,0),"")</f>
        <v/>
      </c>
      <c r="F892" s="13" t="inlineStr">
        <is>
          <t>SOLO/V/3,00/18-03-22</t>
        </is>
      </c>
      <c r="G892" s="6" t="n">
        <v>-200</v>
      </c>
      <c r="H892" s="6" t="n">
        <v>171.008</v>
      </c>
      <c r="I892" s="7">
        <f>-H892/G892</f>
        <v/>
      </c>
      <c r="J892" s="11" t="n">
        <v>44614</v>
      </c>
      <c r="K892" s="6">
        <f>-100-100</f>
        <v/>
      </c>
      <c r="L892" s="6">
        <f>-111.279-111.63</f>
        <v/>
      </c>
      <c r="M892" s="7">
        <f>IF(N892=0,+L892+H892,0)</f>
        <v/>
      </c>
      <c r="N892" s="7">
        <f>IF((+G892-K892)=0,0,+G892-K892)</f>
        <v/>
      </c>
      <c r="O892" s="7">
        <f>IF(N892=0,0,(L892+H892)/-N892)</f>
        <v/>
      </c>
      <c r="P892" s="7">
        <f>VLOOKUP(OPERAC[[#This Row],[especie]],[1]!ESPECIES[#All],6,0)</f>
        <v/>
      </c>
      <c r="Q892" s="7">
        <f>IF(N892&lt;&gt;0,P892*N892,0)</f>
        <v/>
      </c>
      <c r="R892" s="8">
        <f>IF(Q892&lt;&gt;0,Q892+H892+L892,0)</f>
        <v/>
      </c>
      <c r="S892" s="9">
        <f>VLOOKUP(OPERAC[[#This Row],[especie]],[1]!ESPECIES[#Data],9,FALSE)</f>
        <v/>
      </c>
    </row>
    <row r="893">
      <c r="A893" s="4" t="n">
        <v>19934</v>
      </c>
      <c r="B893" s="5" t="n">
        <v>44608</v>
      </c>
      <c r="C893" s="13" t="inlineStr">
        <is>
          <t>VTA</t>
        </is>
      </c>
      <c r="D893" s="13" t="n">
        <v>39</v>
      </c>
      <c r="E893" s="10">
        <f>IF(D893&gt;0,VLOOKUP(OPERAC[[#This Row],[COD CART]],[1]!MatrizCortoLargoCyl[#All],3,0),"")</f>
        <v/>
      </c>
      <c r="F893" s="13" t="inlineStr">
        <is>
          <t>SOLO/V/3,00/18-03-22</t>
        </is>
      </c>
      <c r="G893" s="6" t="n">
        <v>-200</v>
      </c>
      <c r="H893" s="6" t="n">
        <v>171.008</v>
      </c>
      <c r="I893" s="7">
        <f>-H893/G893</f>
        <v/>
      </c>
      <c r="J893" s="11" t="n">
        <v>44634</v>
      </c>
      <c r="K893" s="6" t="n">
        <v>-200</v>
      </c>
      <c r="L893" s="6" t="n">
        <v>-240.702</v>
      </c>
      <c r="M893" s="7">
        <f>IF(N893=0,+L893+H893,0)</f>
        <v/>
      </c>
      <c r="N893" s="7">
        <f>IF((+G893-K893)=0,0,+G893-K893)</f>
        <v/>
      </c>
      <c r="O893" s="7">
        <f>IF(N893=0,0,(L893+H893)/-N893)</f>
        <v/>
      </c>
      <c r="P893" s="7">
        <f>VLOOKUP(OPERAC[[#This Row],[especie]],[1]!ESPECIES[#All],6,0)</f>
        <v/>
      </c>
      <c r="Q893" s="7">
        <f>IF(N893&lt;&gt;0,P893*N893,0)</f>
        <v/>
      </c>
      <c r="R893" s="8">
        <f>IF(Q893&lt;&gt;0,Q893+H893+L893,0)</f>
        <v/>
      </c>
      <c r="S893" s="9">
        <f>VLOOKUP(OPERAC[[#This Row],[especie]],[1]!ESPECIES[#Data],9,FALSE)</f>
        <v/>
      </c>
    </row>
    <row r="894">
      <c r="A894" s="4" t="n">
        <v>3728</v>
      </c>
      <c r="B894" s="5" t="n">
        <v>44610</v>
      </c>
      <c r="C894" s="13" t="inlineStr">
        <is>
          <t>VTA</t>
        </is>
      </c>
      <c r="D894" s="13" t="n">
        <v>39</v>
      </c>
      <c r="E894" s="10">
        <f>IF(D894&gt;0,VLOOKUP(OPERAC[[#This Row],[COD CART]],[1]!MatrizCortoLargoCyl[#All],3,0),"")</f>
        <v/>
      </c>
      <c r="F894" s="13" t="inlineStr">
        <is>
          <t>MELI/V/540,00/16-09-22</t>
        </is>
      </c>
      <c r="G894" s="6" t="n">
        <v>-6</v>
      </c>
      <c r="H894" s="6" t="n">
        <v>167.83</v>
      </c>
      <c r="I894" s="7">
        <f>-H894/G894</f>
        <v/>
      </c>
      <c r="J894" s="11" t="n"/>
      <c r="K894" s="6" t="n"/>
      <c r="L894" s="6" t="n"/>
      <c r="M894" s="7">
        <f>IF(N894=0,+L894+H894,0)</f>
        <v/>
      </c>
      <c r="N894" s="7">
        <f>IF((+G894-K894)=0,0,+G894-K894)</f>
        <v/>
      </c>
      <c r="O894" s="7">
        <f>IF(N894=0,0,(L894+H894)/-N894)</f>
        <v/>
      </c>
      <c r="P894" s="7">
        <f>VLOOKUP(OPERAC[[#This Row],[especie]],[1]!ESPECIES[#All],6,0)</f>
        <v/>
      </c>
      <c r="Q894" s="7">
        <f>IF(N894&lt;&gt;0,P894*N894,0)</f>
        <v/>
      </c>
      <c r="R894" s="8">
        <f>IF(Q894&lt;&gt;0,Q894+H894+L894,0)</f>
        <v/>
      </c>
      <c r="S894" s="9">
        <f>VLOOKUP(OPERAC[[#This Row],[especie]],[1]!ESPECIES[#Data],9,FALSE)</f>
        <v/>
      </c>
    </row>
    <row r="895">
      <c r="A895" s="4" t="n">
        <v>3728</v>
      </c>
      <c r="B895" s="5" t="n">
        <v>44614</v>
      </c>
      <c r="C895" s="13" t="inlineStr">
        <is>
          <t>VTA</t>
        </is>
      </c>
      <c r="D895" s="13" t="n">
        <v>39</v>
      </c>
      <c r="E895" s="10">
        <f>IF(D895&gt;0,VLOOKUP(OPERAC[[#This Row],[COD CART]],[1]!MatrizCortoLargoCyl[#All],3,0),"")</f>
        <v/>
      </c>
      <c r="F895" s="13" t="inlineStr">
        <is>
          <t>ROKU/V/75,00/19-01-24</t>
        </is>
      </c>
      <c r="G895" s="6" t="n">
        <v>-10</v>
      </c>
      <c r="H895" s="6" t="n">
        <v>164.79</v>
      </c>
      <c r="I895" s="7">
        <f>-H895/G895</f>
        <v/>
      </c>
      <c r="J895" s="11" t="n">
        <v>44678</v>
      </c>
      <c r="K895" s="6" t="n">
        <v>-10</v>
      </c>
      <c r="L895" s="6" t="n">
        <v>-230.23</v>
      </c>
      <c r="M895" s="7">
        <f>IF(N895=0,+L895+H895,0)</f>
        <v/>
      </c>
      <c r="N895" s="7">
        <f>IF((+G895-K895)=0,0,+G895-K895)</f>
        <v/>
      </c>
      <c r="O895" s="7">
        <f>IF(N895=0,0,(L895+H895)/-N895)</f>
        <v/>
      </c>
      <c r="P895" s="7">
        <f>VLOOKUP(OPERAC[[#This Row],[especie]],[1]!ESPECIES[#All],6,0)</f>
        <v/>
      </c>
      <c r="Q895" s="7">
        <f>IF(N895&lt;&gt;0,P895*N895,0)</f>
        <v/>
      </c>
      <c r="R895" s="8">
        <f>IF(Q895&lt;&gt;0,Q895+H895+L895,0)</f>
        <v/>
      </c>
      <c r="S895" s="9">
        <f>VLOOKUP(OPERAC[[#This Row],[especie]],[1]!ESPECIES[#Data],9,FALSE)</f>
        <v/>
      </c>
    </row>
    <row r="896">
      <c r="A896" s="4" t="n">
        <v>2218</v>
      </c>
      <c r="B896" s="5" t="n">
        <v>44614</v>
      </c>
      <c r="C896" s="13" t="inlineStr">
        <is>
          <t>VTA</t>
        </is>
      </c>
      <c r="D896" s="13" t="n">
        <v>39</v>
      </c>
      <c r="E896" s="10">
        <f>IF(D896&gt;0,VLOOKUP(OPERAC[[#This Row],[COD CART]],[1]!MatrizCortoLargoCyl[#All],3,0),"")</f>
        <v/>
      </c>
      <c r="F896" s="13" t="inlineStr">
        <is>
          <t>ROKU/V/75,00/19-01-24</t>
        </is>
      </c>
      <c r="G896" s="6" t="n">
        <v>-10</v>
      </c>
      <c r="H896" s="6" t="n">
        <v>164.79</v>
      </c>
      <c r="I896" s="7">
        <f>-H896/G896</f>
        <v/>
      </c>
      <c r="J896" s="11" t="n">
        <v>44678</v>
      </c>
      <c r="K896" s="6" t="n">
        <v>-10</v>
      </c>
      <c r="L896" s="6" t="n">
        <v>-230.23</v>
      </c>
      <c r="M896" s="7">
        <f>IF(N896=0,+L896+H896,0)</f>
        <v/>
      </c>
      <c r="N896" s="7">
        <f>IF((+G896-K896)=0,0,+G896-K896)</f>
        <v/>
      </c>
      <c r="O896" s="7">
        <f>IF(N896=0,0,(L896+H896)/-N896)</f>
        <v/>
      </c>
      <c r="P896" s="7">
        <f>VLOOKUP(OPERAC[[#This Row],[especie]],[1]!ESPECIES[#All],6,0)</f>
        <v/>
      </c>
      <c r="Q896" s="7">
        <f>IF(N896&lt;&gt;0,P896*N896,0)</f>
        <v/>
      </c>
      <c r="R896" s="8">
        <f>IF(Q896&lt;&gt;0,Q896+H896+L896,0)</f>
        <v/>
      </c>
      <c r="S896" s="9">
        <f>VLOOKUP(OPERAC[[#This Row],[especie]],[1]!ESPECIES[#Data],9,FALSE)</f>
        <v/>
      </c>
    </row>
    <row r="897">
      <c r="A897" s="4" t="n">
        <v>2255</v>
      </c>
      <c r="B897" s="5" t="n">
        <v>44614</v>
      </c>
      <c r="C897" s="13" t="inlineStr">
        <is>
          <t>VTA</t>
        </is>
      </c>
      <c r="D897" s="13" t="n">
        <v>39</v>
      </c>
      <c r="E897" s="10">
        <f>IF(D897&gt;0,VLOOKUP(OPERAC[[#This Row],[COD CART]],[1]!MatrizCortoLargoCyl[#All],3,0),"")</f>
        <v/>
      </c>
      <c r="F897" s="13" t="inlineStr">
        <is>
          <t>MELI/V/540,00/19-01-24</t>
        </is>
      </c>
      <c r="G897" s="6" t="n">
        <v>-2</v>
      </c>
      <c r="H897" s="6" t="n">
        <v>159.63</v>
      </c>
      <c r="I897" s="7">
        <f>-H897/G897</f>
        <v/>
      </c>
      <c r="J897" s="11" t="n">
        <v>44616</v>
      </c>
      <c r="K897" s="6" t="n">
        <v>-1</v>
      </c>
      <c r="L897" s="6" t="n">
        <v>-78.81699999999999</v>
      </c>
      <c r="M897" s="7">
        <f>IF(N897=0,+L897+H897,0)</f>
        <v/>
      </c>
      <c r="N897" s="7">
        <f>IF((+G897-K897)=0,0,+G897-K897)</f>
        <v/>
      </c>
      <c r="O897" s="7">
        <f>IF(N897=0,0,(L897+H897)/-N897)</f>
        <v/>
      </c>
      <c r="P897" s="7">
        <f>VLOOKUP(OPERAC[[#This Row],[especie]],[1]!ESPECIES[#All],6,0)</f>
        <v/>
      </c>
      <c r="Q897" s="7">
        <f>IF(N897&lt;&gt;0,P897*N897,0)</f>
        <v/>
      </c>
      <c r="R897" s="8">
        <f>IF(Q897&lt;&gt;0,Q897+H897+L897,0)</f>
        <v/>
      </c>
      <c r="S897" s="9">
        <f>VLOOKUP(OPERAC[[#This Row],[especie]],[1]!ESPECIES[#Data],9,FALSE)</f>
        <v/>
      </c>
    </row>
    <row r="898">
      <c r="A898" s="4" t="n">
        <v>13180</v>
      </c>
      <c r="B898" s="5" t="n">
        <v>44641</v>
      </c>
      <c r="C898" s="13" t="inlineStr">
        <is>
          <t>VTA</t>
        </is>
      </c>
      <c r="D898" s="13" t="n">
        <v>39</v>
      </c>
      <c r="E898" s="10">
        <f>IF(D898&gt;0,VLOOKUP(OPERAC[[#This Row],[COD CART]],[1]!MatrizCortoLargoCyl[#All],3,0),"")</f>
        <v/>
      </c>
      <c r="F898" s="13" t="inlineStr">
        <is>
          <t>TSLA/V/380,00/20-01-23</t>
        </is>
      </c>
      <c r="G898" s="6" t="n">
        <v>-11</v>
      </c>
      <c r="H898" s="6" t="n">
        <v>157.07</v>
      </c>
      <c r="I898" s="7">
        <f>-H898/G898</f>
        <v/>
      </c>
      <c r="J898" s="11" t="n"/>
      <c r="K898" s="6" t="n"/>
      <c r="L898" s="6" t="n"/>
      <c r="M898" s="7">
        <f>IF(N898=0,+L898+H898,0)</f>
        <v/>
      </c>
      <c r="N898" s="7">
        <f>IF((+G898-K898)=0,0,+G898-K898)</f>
        <v/>
      </c>
      <c r="O898" s="7">
        <f>IF(N898=0,0,(L898+H898)/-N898)</f>
        <v/>
      </c>
      <c r="P898" s="7">
        <f>VLOOKUP(OPERAC[[#This Row],[especie]],[1]!ESPECIES[#All],6,0)</f>
        <v/>
      </c>
      <c r="Q898" s="7">
        <f>IF(N898&lt;&gt;0,P898*N898,0)</f>
        <v/>
      </c>
      <c r="R898" s="8">
        <f>IF(Q898&lt;&gt;0,Q898+H898+L898,0)</f>
        <v/>
      </c>
      <c r="S898" s="9">
        <f>VLOOKUP(OPERAC[[#This Row],[especie]],[1]!ESPECIES[#Data],9,FALSE)</f>
        <v/>
      </c>
    </row>
    <row r="899">
      <c r="A899" s="4" t="n">
        <v>22439</v>
      </c>
      <c r="B899" s="5" t="n">
        <v>44602</v>
      </c>
      <c r="C899" s="13" t="inlineStr">
        <is>
          <t>VTA</t>
        </is>
      </c>
      <c r="D899" s="13" t="n">
        <v>39</v>
      </c>
      <c r="E899" s="10">
        <f>IF(D899&gt;0,VLOOKUP(OPERAC[[#This Row],[COD CART]],[1]!MatrizCortoLargoCyl[#All],3,0),"")</f>
        <v/>
      </c>
      <c r="F899" s="13" t="inlineStr">
        <is>
          <t>TSLA/C/1005,00/11-02-22</t>
        </is>
      </c>
      <c r="G899" s="6" t="n">
        <v>-300</v>
      </c>
      <c r="H899" s="6">
        <f>-0.5*OPERAC[[#This Row],[cantidad]]</f>
        <v/>
      </c>
      <c r="I899" s="7">
        <f>-H899/G899</f>
        <v/>
      </c>
      <c r="J899" s="11" t="n">
        <v>44603</v>
      </c>
      <c r="K899" s="6" t="n">
        <v>-300</v>
      </c>
      <c r="L899" s="6" t="n">
        <v>0</v>
      </c>
      <c r="M899" s="7">
        <f>IF(N899=0,+L899+H899,0)</f>
        <v/>
      </c>
      <c r="N899" s="7">
        <f>IF((+G899-K899)=0,0,+G899-K899)</f>
        <v/>
      </c>
      <c r="O899" s="7">
        <f>IF(N899=0,0,(L899+H899)/-N899)</f>
        <v/>
      </c>
      <c r="P899" s="7">
        <f>VLOOKUP(OPERAC[[#This Row],[especie]],[1]!ESPECIES[#All],6,0)</f>
        <v/>
      </c>
      <c r="Q899" s="7">
        <f>IF(N899&lt;&gt;0,P899*N899,0)</f>
        <v/>
      </c>
      <c r="R899" s="8">
        <f>IF(Q899&lt;&gt;0,Q899+H899+L899,0)</f>
        <v/>
      </c>
      <c r="S899" s="9">
        <f>VLOOKUP(OPERAC[[#This Row],[especie]],[1]!ESPECIES[#Data],9,FALSE)</f>
        <v/>
      </c>
    </row>
    <row r="900">
      <c r="A900" s="4" t="n">
        <v>22439</v>
      </c>
      <c r="B900" s="5" t="n">
        <v>44602</v>
      </c>
      <c r="C900" s="13" t="inlineStr">
        <is>
          <t>VTA</t>
        </is>
      </c>
      <c r="D900" s="13" t="n">
        <v>39</v>
      </c>
      <c r="E900" s="10">
        <f>IF(D900&gt;0,VLOOKUP(OPERAC[[#This Row],[COD CART]],[1]!MatrizCortoLargoCyl[#All],3,0),"")</f>
        <v/>
      </c>
      <c r="F900" s="13" t="inlineStr">
        <is>
          <t>TSLA/V/840,00/11-02-22</t>
        </is>
      </c>
      <c r="G900" s="6" t="n">
        <v>-300</v>
      </c>
      <c r="H900" s="6">
        <f>-0.5*OPERAC[[#This Row],[cantidad]]</f>
        <v/>
      </c>
      <c r="I900" s="7">
        <f>-H900/G900</f>
        <v/>
      </c>
      <c r="J900" s="11" t="n">
        <v>44603</v>
      </c>
      <c r="K900" s="6" t="n">
        <v>-300</v>
      </c>
      <c r="L900" s="6" t="n">
        <v>0</v>
      </c>
      <c r="M900" s="7">
        <f>IF(N900=0,+L900+H900,0)</f>
        <v/>
      </c>
      <c r="N900" s="7">
        <f>IF((+G900-K900)=0,0,+G900-K900)</f>
        <v/>
      </c>
      <c r="O900" s="7">
        <f>IF(N900=0,0,(L900+H900)/-N900)</f>
        <v/>
      </c>
      <c r="P900" s="7">
        <f>VLOOKUP(OPERAC[[#This Row],[especie]],[1]!ESPECIES[#All],6,0)</f>
        <v/>
      </c>
      <c r="Q900" s="7">
        <f>IF(N900&lt;&gt;0,P900*N900,0)</f>
        <v/>
      </c>
      <c r="R900" s="8">
        <f>IF(Q900&lt;&gt;0,Q900+H900+L900,0)</f>
        <v/>
      </c>
      <c r="S900" s="9">
        <f>VLOOKUP(OPERAC[[#This Row],[especie]],[1]!ESPECIES[#Data],9,FALSE)</f>
        <v/>
      </c>
    </row>
    <row r="901">
      <c r="A901" s="4" t="n">
        <v>20234</v>
      </c>
      <c r="B901" s="5" t="n">
        <v>44602</v>
      </c>
      <c r="C901" s="13" t="inlineStr">
        <is>
          <t>VTA</t>
        </is>
      </c>
      <c r="D901" s="13" t="n">
        <v>39</v>
      </c>
      <c r="E901" s="10">
        <f>IF(D901&gt;0,VLOOKUP(OPERAC[[#This Row],[COD CART]],[1]!MatrizCortoLargoCyl[#All],3,0),"")</f>
        <v/>
      </c>
      <c r="F901" s="13" t="inlineStr">
        <is>
          <t>TSLA/C/1005,00/11-02-22</t>
        </is>
      </c>
      <c r="G901" s="6" t="n">
        <v>-300</v>
      </c>
      <c r="H901" s="6">
        <f>-0.5*OPERAC[[#This Row],[cantidad]]</f>
        <v/>
      </c>
      <c r="I901" s="7">
        <f>-H901/G901</f>
        <v/>
      </c>
      <c r="J901" s="11" t="n">
        <v>44603</v>
      </c>
      <c r="K901" s="6" t="n">
        <v>-300</v>
      </c>
      <c r="L901" s="6" t="n">
        <v>0</v>
      </c>
      <c r="M901" s="7">
        <f>IF(N901=0,+L901+H901,0)</f>
        <v/>
      </c>
      <c r="N901" s="7">
        <f>IF((+G901-K901)=0,0,+G901-K901)</f>
        <v/>
      </c>
      <c r="O901" s="7">
        <f>IF(N901=0,0,(L901+H901)/-N901)</f>
        <v/>
      </c>
      <c r="P901" s="7">
        <f>VLOOKUP(OPERAC[[#This Row],[especie]],[1]!ESPECIES[#All],6,0)</f>
        <v/>
      </c>
      <c r="Q901" s="7">
        <f>IF(N901&lt;&gt;0,P901*N901,0)</f>
        <v/>
      </c>
      <c r="R901" s="8">
        <f>IF(Q901&lt;&gt;0,Q901+H901+L901,0)</f>
        <v/>
      </c>
      <c r="S901" s="9">
        <f>VLOOKUP(OPERAC[[#This Row],[especie]],[1]!ESPECIES[#Data],9,FALSE)</f>
        <v/>
      </c>
    </row>
    <row r="902">
      <c r="A902" s="4" t="n">
        <v>20234</v>
      </c>
      <c r="B902" s="5" t="n">
        <v>44602</v>
      </c>
      <c r="C902" s="13" t="inlineStr">
        <is>
          <t>VTA</t>
        </is>
      </c>
      <c r="D902" s="13" t="n">
        <v>39</v>
      </c>
      <c r="E902" s="10">
        <f>IF(D902&gt;0,VLOOKUP(OPERAC[[#This Row],[COD CART]],[1]!MatrizCortoLargoCyl[#All],3,0),"")</f>
        <v/>
      </c>
      <c r="F902" s="13" t="inlineStr">
        <is>
          <t>TSLA/V/840,00/11-02-22</t>
        </is>
      </c>
      <c r="G902" s="6" t="n">
        <v>-300</v>
      </c>
      <c r="H902" s="6">
        <f>-0.5*OPERAC[[#This Row],[cantidad]]</f>
        <v/>
      </c>
      <c r="I902" s="7">
        <f>-H902/G902</f>
        <v/>
      </c>
      <c r="J902" s="11" t="n">
        <v>44603</v>
      </c>
      <c r="K902" s="6" t="n">
        <v>-300</v>
      </c>
      <c r="L902" s="6" t="n">
        <v>0</v>
      </c>
      <c r="M902" s="7">
        <f>IF(N902=0,+L902+H902,0)</f>
        <v/>
      </c>
      <c r="N902" s="7">
        <f>IF((+G902-K902)=0,0,+G902-K902)</f>
        <v/>
      </c>
      <c r="O902" s="7">
        <f>IF(N902=0,0,(L902+H902)/-N902)</f>
        <v/>
      </c>
      <c r="P902" s="7">
        <f>VLOOKUP(OPERAC[[#This Row],[especie]],[1]!ESPECIES[#All],6,0)</f>
        <v/>
      </c>
      <c r="Q902" s="7">
        <f>IF(N902&lt;&gt;0,P902*N902,0)</f>
        <v/>
      </c>
      <c r="R902" s="8">
        <f>IF(Q902&lt;&gt;0,Q902+H902+L902,0)</f>
        <v/>
      </c>
      <c r="S902" s="9">
        <f>VLOOKUP(OPERAC[[#This Row],[especie]],[1]!ESPECIES[#Data],9,FALSE)</f>
        <v/>
      </c>
    </row>
    <row r="903">
      <c r="A903" s="4" t="n">
        <v>19934</v>
      </c>
      <c r="B903" s="5" t="n">
        <v>44602</v>
      </c>
      <c r="C903" s="13" t="inlineStr">
        <is>
          <t>VTA</t>
        </is>
      </c>
      <c r="D903" s="13" t="n">
        <v>39</v>
      </c>
      <c r="E903" s="10">
        <f>IF(D903&gt;0,VLOOKUP(OPERAC[[#This Row],[COD CART]],[1]!MatrizCortoLargoCyl[#All],3,0),"")</f>
        <v/>
      </c>
      <c r="F903" s="13" t="inlineStr">
        <is>
          <t>TSLA/C/1005,00/11-02-22</t>
        </is>
      </c>
      <c r="G903" s="6" t="n">
        <v>-300</v>
      </c>
      <c r="H903" s="6">
        <f>-0.5*OPERAC[[#This Row],[cantidad]]</f>
        <v/>
      </c>
      <c r="I903" s="7">
        <f>-H903/G903</f>
        <v/>
      </c>
      <c r="J903" s="11" t="n">
        <v>44603</v>
      </c>
      <c r="K903" s="6" t="n">
        <v>-300</v>
      </c>
      <c r="L903" s="6" t="n">
        <v>0</v>
      </c>
      <c r="M903" s="7">
        <f>IF(N903=0,+L903+H903,0)</f>
        <v/>
      </c>
      <c r="N903" s="7">
        <f>IF((+G903-K903)=0,0,+G903-K903)</f>
        <v/>
      </c>
      <c r="O903" s="7">
        <f>IF(N903=0,0,(L903+H903)/-N903)</f>
        <v/>
      </c>
      <c r="P903" s="7">
        <f>VLOOKUP(OPERAC[[#This Row],[especie]],[1]!ESPECIES[#All],6,0)</f>
        <v/>
      </c>
      <c r="Q903" s="7">
        <f>IF(N903&lt;&gt;0,P903*N903,0)</f>
        <v/>
      </c>
      <c r="R903" s="8">
        <f>IF(Q903&lt;&gt;0,Q903+H903+L903,0)</f>
        <v/>
      </c>
      <c r="S903" s="9">
        <f>VLOOKUP(OPERAC[[#This Row],[especie]],[1]!ESPECIES[#Data],9,FALSE)</f>
        <v/>
      </c>
    </row>
    <row r="904">
      <c r="A904" s="4" t="n">
        <v>19934</v>
      </c>
      <c r="B904" s="5" t="n">
        <v>44602</v>
      </c>
      <c r="C904" s="13" t="inlineStr">
        <is>
          <t>VTA</t>
        </is>
      </c>
      <c r="D904" s="13" t="n">
        <v>39</v>
      </c>
      <c r="E904" s="10">
        <f>IF(D904&gt;0,VLOOKUP(OPERAC[[#This Row],[COD CART]],[1]!MatrizCortoLargoCyl[#All],3,0),"")</f>
        <v/>
      </c>
      <c r="F904" s="13" t="inlineStr">
        <is>
          <t>TSLA/V/840,00/11-02-22</t>
        </is>
      </c>
      <c r="G904" s="6" t="n">
        <v>-300</v>
      </c>
      <c r="H904" s="6">
        <f>-0.5*OPERAC[[#This Row],[cantidad]]</f>
        <v/>
      </c>
      <c r="I904" s="7">
        <f>-H904/G904</f>
        <v/>
      </c>
      <c r="J904" s="11" t="n">
        <v>44603</v>
      </c>
      <c r="K904" s="6" t="n">
        <v>-300</v>
      </c>
      <c r="L904" s="6" t="n">
        <v>0</v>
      </c>
      <c r="M904" s="7">
        <f>IF(N904=0,+L904+H904,0)</f>
        <v/>
      </c>
      <c r="N904" s="7">
        <f>IF((+G904-K904)=0,0,+G904-K904)</f>
        <v/>
      </c>
      <c r="O904" s="7">
        <f>IF(N904=0,0,(L904+H904)/-N904)</f>
        <v/>
      </c>
      <c r="P904" s="7">
        <f>VLOOKUP(OPERAC[[#This Row],[especie]],[1]!ESPECIES[#All],6,0)</f>
        <v/>
      </c>
      <c r="Q904" s="7">
        <f>IF(N904&lt;&gt;0,P904*N904,0)</f>
        <v/>
      </c>
      <c r="R904" s="8">
        <f>IF(Q904&lt;&gt;0,Q904+H904+L904,0)</f>
        <v/>
      </c>
      <c r="S904" s="9">
        <f>VLOOKUP(OPERAC[[#This Row],[especie]],[1]!ESPECIES[#Data],9,FALSE)</f>
        <v/>
      </c>
    </row>
    <row r="905">
      <c r="A905" s="4" t="n">
        <v>18711</v>
      </c>
      <c r="B905" s="5" t="n">
        <v>44602</v>
      </c>
      <c r="C905" s="13" t="inlineStr">
        <is>
          <t>VTA</t>
        </is>
      </c>
      <c r="D905" s="13" t="n">
        <v>39</v>
      </c>
      <c r="E905" s="10">
        <f>IF(D905&gt;0,VLOOKUP(OPERAC[[#This Row],[COD CART]],[1]!MatrizCortoLargoCyl[#All],3,0),"")</f>
        <v/>
      </c>
      <c r="F905" s="13" t="inlineStr">
        <is>
          <t>TSLA/C/1005,00/11-02-22</t>
        </is>
      </c>
      <c r="G905" s="6" t="n">
        <v>-300</v>
      </c>
      <c r="H905" s="6">
        <f>-0.5*OPERAC[[#This Row],[cantidad]]</f>
        <v/>
      </c>
      <c r="I905" s="7">
        <f>-H905/G905</f>
        <v/>
      </c>
      <c r="J905" s="11" t="n">
        <v>44603</v>
      </c>
      <c r="K905" s="6" t="n">
        <v>-300</v>
      </c>
      <c r="L905" s="6" t="n">
        <v>0</v>
      </c>
      <c r="M905" s="7">
        <f>IF(N905=0,+L905+H905,0)</f>
        <v/>
      </c>
      <c r="N905" s="7">
        <f>IF((+G905-K905)=0,0,+G905-K905)</f>
        <v/>
      </c>
      <c r="O905" s="7">
        <f>IF(N905=0,0,(L905+H905)/-N905)</f>
        <v/>
      </c>
      <c r="P905" s="7">
        <f>VLOOKUP(OPERAC[[#This Row],[especie]],[1]!ESPECIES[#All],6,0)</f>
        <v/>
      </c>
      <c r="Q905" s="7">
        <f>IF(N905&lt;&gt;0,P905*N905,0)</f>
        <v/>
      </c>
      <c r="R905" s="8">
        <f>IF(Q905&lt;&gt;0,Q905+H905+L905,0)</f>
        <v/>
      </c>
      <c r="S905" s="9">
        <f>VLOOKUP(OPERAC[[#This Row],[especie]],[1]!ESPECIES[#Data],9,FALSE)</f>
        <v/>
      </c>
    </row>
    <row r="906">
      <c r="A906" s="4" t="n">
        <v>18711</v>
      </c>
      <c r="B906" s="5" t="n">
        <v>44602</v>
      </c>
      <c r="C906" s="13" t="inlineStr">
        <is>
          <t>VTA</t>
        </is>
      </c>
      <c r="D906" s="13" t="n">
        <v>39</v>
      </c>
      <c r="E906" s="10">
        <f>IF(D906&gt;0,VLOOKUP(OPERAC[[#This Row],[COD CART]],[1]!MatrizCortoLargoCyl[#All],3,0),"")</f>
        <v/>
      </c>
      <c r="F906" s="13" t="inlineStr">
        <is>
          <t>TSLA/V/840,00/11-02-22</t>
        </is>
      </c>
      <c r="G906" s="6" t="n">
        <v>-300</v>
      </c>
      <c r="H906" s="6">
        <f>-0.5*OPERAC[[#This Row],[cantidad]]</f>
        <v/>
      </c>
      <c r="I906" s="7">
        <f>-H906/G906</f>
        <v/>
      </c>
      <c r="J906" s="11" t="n">
        <v>44603</v>
      </c>
      <c r="K906" s="6" t="n">
        <v>-300</v>
      </c>
      <c r="L906" s="6" t="n">
        <v>0</v>
      </c>
      <c r="M906" s="7">
        <f>IF(N906=0,+L906+H906,0)</f>
        <v/>
      </c>
      <c r="N906" s="7">
        <f>IF((+G906-K906)=0,0,+G906-K906)</f>
        <v/>
      </c>
      <c r="O906" s="7">
        <f>IF(N906=0,0,(L906+H906)/-N906)</f>
        <v/>
      </c>
      <c r="P906" s="7">
        <f>VLOOKUP(OPERAC[[#This Row],[especie]],[1]!ESPECIES[#All],6,0)</f>
        <v/>
      </c>
      <c r="Q906" s="7">
        <f>IF(N906&lt;&gt;0,P906*N906,0)</f>
        <v/>
      </c>
      <c r="R906" s="8">
        <f>IF(Q906&lt;&gt;0,Q906+H906+L906,0)</f>
        <v/>
      </c>
      <c r="S906" s="9">
        <f>VLOOKUP(OPERAC[[#This Row],[especie]],[1]!ESPECIES[#Data],9,FALSE)</f>
        <v/>
      </c>
    </row>
    <row r="907">
      <c r="A907" s="4" t="n">
        <v>2194</v>
      </c>
      <c r="B907" s="5" t="n">
        <v>44691</v>
      </c>
      <c r="C907" s="13" t="inlineStr">
        <is>
          <t>VTA</t>
        </is>
      </c>
      <c r="D907" s="13" t="n">
        <v>39</v>
      </c>
      <c r="E907" s="10">
        <f>IF(D907&gt;0,VLOOKUP(OPERAC[[#This Row],[COD CART]],[1]!MatrizCortoLargoCyl[#All],3,0),"")</f>
        <v/>
      </c>
      <c r="F907" s="13" t="inlineStr">
        <is>
          <t>MELI/V/500,00/16-09-22</t>
        </is>
      </c>
      <c r="G907" s="6" t="n">
        <v>-5</v>
      </c>
      <c r="H907" s="6" t="n">
        <v>148.5</v>
      </c>
      <c r="I907" s="7">
        <f>-H907/G907</f>
        <v/>
      </c>
      <c r="J907" s="11" t="n"/>
      <c r="K907" s="6" t="n"/>
      <c r="L907" s="6" t="n"/>
      <c r="M907" s="7">
        <f>IF(N907=0,+L907+H907,0)</f>
        <v/>
      </c>
      <c r="N907" s="7">
        <f>IF((+G907-K907)=0,0,+G907-K907)</f>
        <v/>
      </c>
      <c r="O907" s="7">
        <f>IF(N907=0,0,(L907+H907)/-N907)</f>
        <v/>
      </c>
      <c r="P907" s="7">
        <f>VLOOKUP(OPERAC[[#This Row],[especie]],[1]!ESPECIES[#All],6,0)</f>
        <v/>
      </c>
      <c r="Q907" s="7">
        <f>IF(N907&lt;&gt;0,P907*N907,0)</f>
        <v/>
      </c>
      <c r="R907" s="8">
        <f>IF(Q907&lt;&gt;0,Q907+H907+L907,0)</f>
        <v/>
      </c>
      <c r="S907" s="9">
        <f>VLOOKUP(OPERAC[[#This Row],[especie]],[1]!ESPECIES[#Data],9,FALSE)</f>
        <v/>
      </c>
    </row>
    <row r="908">
      <c r="A908" s="4" t="n">
        <v>22421</v>
      </c>
      <c r="B908" s="5" t="n">
        <v>44557</v>
      </c>
      <c r="C908" s="13" t="inlineStr">
        <is>
          <t>VTA</t>
        </is>
      </c>
      <c r="D908" s="13" t="n">
        <v>39</v>
      </c>
      <c r="E908" s="10">
        <f>IF(D908&gt;0,VLOOKUP(OPERAC[[#This Row],[COD CART]],[1]!MatrizCortoLargoCyl[#All],3,0),"")</f>
        <v/>
      </c>
      <c r="F908" s="13" t="inlineStr">
        <is>
          <t>TSLA/V/850,00/07-01-22</t>
        </is>
      </c>
      <c r="G908" s="6" t="n">
        <v>-100</v>
      </c>
      <c r="H908" s="6" t="n">
        <v>144.722</v>
      </c>
      <c r="I908" s="7">
        <f>-H908/G908</f>
        <v/>
      </c>
      <c r="J908" s="11" t="n">
        <v>44564</v>
      </c>
      <c r="K908" s="6" t="n">
        <v>-100</v>
      </c>
      <c r="L908" s="6" t="n">
        <v>-28.238</v>
      </c>
      <c r="M908" s="7">
        <f>IF(N908=0,+L908+H908,0)</f>
        <v/>
      </c>
      <c r="N908" s="7">
        <f>IF((+G908-K908)=0,0,+G908-K908)</f>
        <v/>
      </c>
      <c r="O908" s="7">
        <f>IF(N908=0,0,(L908+H908)/-N908)</f>
        <v/>
      </c>
      <c r="P908" s="7">
        <f>VLOOKUP(OPERAC[[#This Row],[especie]],[1]!ESPECIES[#All],6,0)</f>
        <v/>
      </c>
      <c r="Q908" s="7">
        <f>IF(N908&lt;&gt;0,P908*N908,0)</f>
        <v/>
      </c>
      <c r="R908" s="8">
        <f>IF(Q908&lt;&gt;0,Q908+H908+L908,0)</f>
        <v/>
      </c>
      <c r="S908" s="9">
        <f>VLOOKUP(OPERAC[[#This Row],[especie]],[1]!ESPECIES[#Data],9,FALSE)</f>
        <v/>
      </c>
    </row>
    <row r="909">
      <c r="A909" s="4" t="n">
        <v>3728</v>
      </c>
      <c r="B909" s="5" t="n">
        <v>44670</v>
      </c>
      <c r="C909" s="13" t="inlineStr">
        <is>
          <t>VTA</t>
        </is>
      </c>
      <c r="D909" s="13" t="n">
        <v>39</v>
      </c>
      <c r="E909" s="10">
        <f>IF(D909&gt;0,VLOOKUP(OPERAC[[#This Row],[COD CART]],[1]!MatrizCortoLargoCyl[#All],3,0),"")</f>
        <v/>
      </c>
      <c r="F909" s="13" t="inlineStr">
        <is>
          <t>TSLA/V/300,00/19-01-24</t>
        </is>
      </c>
      <c r="G909" s="6" t="n">
        <v>-10</v>
      </c>
      <c r="H909" s="6" t="n">
        <v>143.856</v>
      </c>
      <c r="I909" s="7">
        <f>-H909/G909</f>
        <v/>
      </c>
      <c r="J909" s="11" t="n"/>
      <c r="K909" s="6" t="n"/>
      <c r="L909" s="6" t="n"/>
      <c r="M909" s="7">
        <f>IF(N909=0,+L909+H909,0)</f>
        <v/>
      </c>
      <c r="N909" s="7">
        <f>IF((+G909-K909)=0,0,+G909-K909)</f>
        <v/>
      </c>
      <c r="O909" s="7">
        <f>IF(N909=0,0,(L909+H909)/-N909)</f>
        <v/>
      </c>
      <c r="P909" s="7">
        <f>VLOOKUP(OPERAC[[#This Row],[especie]],[1]!ESPECIES[#All],6,0)</f>
        <v/>
      </c>
      <c r="Q909" s="7">
        <f>IF(N909&lt;&gt;0,P909*N909,0)</f>
        <v/>
      </c>
      <c r="R909" s="8">
        <f>IF(Q909&lt;&gt;0,Q909+H909+L909,0)</f>
        <v/>
      </c>
      <c r="S909" s="9">
        <f>VLOOKUP(OPERAC[[#This Row],[especie]],[1]!ESPECIES[#Data],9,FALSE)</f>
        <v/>
      </c>
    </row>
    <row r="910">
      <c r="A910" s="4" t="n">
        <v>16824</v>
      </c>
      <c r="B910" s="5" t="n">
        <v>44679</v>
      </c>
      <c r="C910" s="13" t="inlineStr">
        <is>
          <t>VTA</t>
        </is>
      </c>
      <c r="D910" s="13" t="n">
        <v>39</v>
      </c>
      <c r="E910" s="10">
        <f>IF(D910&gt;0,VLOOKUP(OPERAC[[#This Row],[COD CART]],[1]!MatrizCortoLargoCyl[#All],3,0),"")</f>
        <v/>
      </c>
      <c r="F910" s="13" t="inlineStr">
        <is>
          <t>TSLA/V/750,00/06-05-22</t>
        </is>
      </c>
      <c r="G910" s="6" t="n">
        <v>-10</v>
      </c>
      <c r="H910" s="6" t="n">
        <v>140.79</v>
      </c>
      <c r="I910" s="7">
        <f>-H910/G910</f>
        <v/>
      </c>
      <c r="J910" s="11" t="n">
        <v>44684</v>
      </c>
      <c r="K910" s="6" t="n">
        <v>-10</v>
      </c>
      <c r="L910" s="6" t="n">
        <v>-9.970000000000001</v>
      </c>
      <c r="M910" s="7">
        <f>IF(N910=0,+L910+H910,0)</f>
        <v/>
      </c>
      <c r="N910" s="7">
        <f>IF((+G910-K910)=0,0,+G910-K910)</f>
        <v/>
      </c>
      <c r="O910" s="7">
        <f>IF(N910=0,0,(L910+H910)/-N910)</f>
        <v/>
      </c>
      <c r="P910" s="7">
        <f>VLOOKUP(OPERAC[[#This Row],[especie]],[1]!ESPECIES[#All],6,0)</f>
        <v/>
      </c>
      <c r="Q910" s="7">
        <f>IF(N910&lt;&gt;0,P910*N910,0)</f>
        <v/>
      </c>
      <c r="R910" s="8">
        <f>IF(Q910&lt;&gt;0,Q910+H910+L910,0)</f>
        <v/>
      </c>
      <c r="S910" s="9">
        <f>VLOOKUP(OPERAC[[#This Row],[especie]],[1]!ESPECIES[#Data],9,FALSE)</f>
        <v/>
      </c>
    </row>
    <row r="911">
      <c r="A911" s="4" t="n">
        <v>19867</v>
      </c>
      <c r="B911" s="5" t="n">
        <v>44643</v>
      </c>
      <c r="C911" s="13" t="inlineStr">
        <is>
          <t>VTA</t>
        </is>
      </c>
      <c r="D911" s="13" t="n">
        <v>39</v>
      </c>
      <c r="E911" s="10">
        <f>IF(D911&gt;0,VLOOKUP(OPERAC[[#This Row],[COD CART]],[1]!MatrizCortoLargoCyl[#All],3,0),"")</f>
        <v/>
      </c>
      <c r="F911" s="13" t="inlineStr">
        <is>
          <t>TSLA/V/500,00/16-09-22</t>
        </is>
      </c>
      <c r="G911" s="6" t="n">
        <v>-10</v>
      </c>
      <c r="H911" s="6" t="n">
        <v>139.84</v>
      </c>
      <c r="I911" s="7">
        <f>-H911/G911</f>
        <v/>
      </c>
      <c r="J911" s="11" t="n"/>
      <c r="K911" s="6" t="n"/>
      <c r="L911" s="6" t="n"/>
      <c r="M911" s="7">
        <f>IF(N911=0,+L911+H911,0)</f>
        <v/>
      </c>
      <c r="N911" s="7">
        <f>IF((+G911-K911)=0,0,+G911-K911)</f>
        <v/>
      </c>
      <c r="O911" s="7">
        <f>IF(N911=0,0,(L911+H911)/-N911)</f>
        <v/>
      </c>
      <c r="P911" s="7">
        <f>VLOOKUP(OPERAC[[#This Row],[especie]],[1]!ESPECIES[#All],6,0)</f>
        <v/>
      </c>
      <c r="Q911" s="7">
        <f>IF(N911&lt;&gt;0,P911*N911,0)</f>
        <v/>
      </c>
      <c r="R911" s="8">
        <f>IF(Q911&lt;&gt;0,Q911+H911+L911,0)</f>
        <v/>
      </c>
      <c r="S911" s="9">
        <f>VLOOKUP(OPERAC[[#This Row],[especie]],[1]!ESPECIES[#Data],9,FALSE)</f>
        <v/>
      </c>
    </row>
    <row r="912">
      <c r="A912" s="4" t="n">
        <v>6578</v>
      </c>
      <c r="B912" s="5" t="n">
        <v>44579</v>
      </c>
      <c r="C912" s="13" t="inlineStr">
        <is>
          <t>VTA</t>
        </is>
      </c>
      <c r="D912" s="13" t="n">
        <v>39</v>
      </c>
      <c r="E912" s="10">
        <f>IF(D912&gt;0,VLOOKUP(OPERAC[[#This Row],[COD CART]],[1]!MatrizCortoLargoCyl[#All],3,0),"")</f>
        <v/>
      </c>
      <c r="F912" s="13" t="inlineStr">
        <is>
          <t>SOLO/V/3,50/25-02-22</t>
        </is>
      </c>
      <c r="G912" s="6" t="n">
        <v>-100</v>
      </c>
      <c r="H912" s="6" t="n">
        <v>138.18574</v>
      </c>
      <c r="I912" s="7">
        <f>-H912/G912</f>
        <v/>
      </c>
      <c r="J912" s="11" t="n">
        <v>44608</v>
      </c>
      <c r="K912" s="6">
        <f>+OPERAC[[#This Row],[cantidad]]</f>
        <v/>
      </c>
      <c r="L912" s="6" t="n">
        <v>-139.504</v>
      </c>
      <c r="M912" s="7">
        <f>IF(N912=0,+L912+H912,0)</f>
        <v/>
      </c>
      <c r="N912" s="7">
        <f>IF((+G912-K912)=0,0,+G912-K912)</f>
        <v/>
      </c>
      <c r="O912" s="7">
        <f>IF(N912=0,0,(L912+H912)/-N912)</f>
        <v/>
      </c>
      <c r="P912" s="7">
        <f>VLOOKUP(OPERAC[[#This Row],[especie]],[1]!ESPECIES[#All],6,0)</f>
        <v/>
      </c>
      <c r="Q912" s="7">
        <f>IF(N912&lt;&gt;0,P912*N912,0)</f>
        <v/>
      </c>
      <c r="R912" s="8">
        <f>IF(Q912&lt;&gt;0,Q912+H912+L912,0)</f>
        <v/>
      </c>
      <c r="S912" s="9">
        <f>VLOOKUP(OPERAC[[#This Row],[especie]],[1]!ESPECIES[#Data],9,FALSE)</f>
        <v/>
      </c>
    </row>
    <row r="913">
      <c r="A913" s="4" t="n">
        <v>10079</v>
      </c>
      <c r="B913" s="5" t="n">
        <v>44614</v>
      </c>
      <c r="C913" s="13" t="inlineStr">
        <is>
          <t>VTA</t>
        </is>
      </c>
      <c r="D913" s="13" t="n">
        <v>39</v>
      </c>
      <c r="E913" s="10">
        <f>IF(D913&gt;0,VLOOKUP(OPERAC[[#This Row],[COD CART]],[1]!MatrizCortoLargoCyl[#All],3,0),"")</f>
        <v/>
      </c>
      <c r="F913" s="13" t="inlineStr">
        <is>
          <t>SOLO/V/2,00/20-01-23</t>
        </is>
      </c>
      <c r="G913" s="6" t="n">
        <v>-200</v>
      </c>
      <c r="H913" s="6" t="n">
        <v>138.07</v>
      </c>
      <c r="I913" s="7">
        <f>-H913/G913</f>
        <v/>
      </c>
      <c r="J913" s="11" t="n"/>
      <c r="K913" s="6" t="n"/>
      <c r="L913" s="6" t="n"/>
      <c r="M913" s="7">
        <f>IF(N913=0,+L913+H913,0)</f>
        <v/>
      </c>
      <c r="N913" s="7">
        <f>IF((+G913-K913)=0,0,+G913-K913)</f>
        <v/>
      </c>
      <c r="O913" s="7">
        <f>IF(N913=0,0,(L913+H913)/-N913)</f>
        <v/>
      </c>
      <c r="P913" s="7">
        <f>VLOOKUP(OPERAC[[#This Row],[especie]],[1]!ESPECIES[#All],6,0)</f>
        <v/>
      </c>
      <c r="Q913" s="7">
        <f>IF(N913&lt;&gt;0,P913*N913,0)</f>
        <v/>
      </c>
      <c r="R913" s="8">
        <f>IF(Q913&lt;&gt;0,Q913+H913+L913,0)</f>
        <v/>
      </c>
      <c r="S913" s="9">
        <f>VLOOKUP(OPERAC[[#This Row],[especie]],[1]!ESPECIES[#Data],9,FALSE)</f>
        <v/>
      </c>
    </row>
    <row r="914">
      <c r="A914" s="4" t="n">
        <v>2255</v>
      </c>
      <c r="B914" s="5" t="n">
        <v>44614</v>
      </c>
      <c r="C914" s="13" t="inlineStr">
        <is>
          <t>VTA</t>
        </is>
      </c>
      <c r="D914" s="13" t="n">
        <v>39</v>
      </c>
      <c r="E914" s="10">
        <f>IF(D914&gt;0,VLOOKUP(OPERAC[[#This Row],[COD CART]],[1]!MatrizCortoLargoCyl[#All],3,0),"")</f>
        <v/>
      </c>
      <c r="F914" s="13" t="inlineStr">
        <is>
          <t>DDD/V/15,00/19-01-24</t>
        </is>
      </c>
      <c r="G914" s="6" t="n">
        <v>-30</v>
      </c>
      <c r="H914" s="6" t="n">
        <v>134.33</v>
      </c>
      <c r="I914" s="7">
        <f>-H914/G914</f>
        <v/>
      </c>
      <c r="J914" s="11" t="n"/>
      <c r="K914" s="6" t="n"/>
      <c r="L914" s="6" t="n"/>
      <c r="M914" s="7">
        <f>IF(N914=0,+L914+H914,0)</f>
        <v/>
      </c>
      <c r="N914" s="7">
        <f>IF((+G914-K914)=0,0,+G914-K914)</f>
        <v/>
      </c>
      <c r="O914" s="7">
        <f>IF(N914=0,0,(L914+H914)/-N914)</f>
        <v/>
      </c>
      <c r="P914" s="7">
        <f>VLOOKUP(OPERAC[[#This Row],[especie]],[1]!ESPECIES[#All],6,0)</f>
        <v/>
      </c>
      <c r="Q914" s="7">
        <f>IF(N914&lt;&gt;0,P914*N914,0)</f>
        <v/>
      </c>
      <c r="R914" s="8">
        <f>IF(Q914&lt;&gt;0,Q914+H914+L914,0)</f>
        <v/>
      </c>
      <c r="S914" s="9">
        <f>VLOOKUP(OPERAC[[#This Row],[especie]],[1]!ESPECIES[#Data],9,FALSE)</f>
        <v/>
      </c>
    </row>
    <row r="915">
      <c r="A915" s="4" t="n">
        <v>2218</v>
      </c>
      <c r="B915" s="5" t="n">
        <v>44614</v>
      </c>
      <c r="C915" s="13" t="inlineStr">
        <is>
          <t>VTA</t>
        </is>
      </c>
      <c r="D915" s="13" t="n">
        <v>39</v>
      </c>
      <c r="E915" s="10">
        <f>IF(D915&gt;0,VLOOKUP(OPERAC[[#This Row],[COD CART]],[1]!MatrizCortoLargoCyl[#All],3,0),"")</f>
        <v/>
      </c>
      <c r="F915" s="13" t="inlineStr">
        <is>
          <t>MELI/V/540,00/20-01-23</t>
        </is>
      </c>
      <c r="G915" s="6" t="n">
        <v>-3</v>
      </c>
      <c r="H915" s="6" t="n">
        <v>131.84</v>
      </c>
      <c r="I915" s="7">
        <f>-H915/G915</f>
        <v/>
      </c>
      <c r="J915" s="11" t="n"/>
      <c r="K915" s="6" t="n"/>
      <c r="L915" s="6" t="n"/>
      <c r="M915" s="7">
        <f>IF(N915=0,+L915+H915,0)</f>
        <v/>
      </c>
      <c r="N915" s="7">
        <f>IF((+G915-K915)=0,0,+G915-K915)</f>
        <v/>
      </c>
      <c r="O915" s="7">
        <f>IF(N915=0,0,(L915+H915)/-N915)</f>
        <v/>
      </c>
      <c r="P915" s="7">
        <f>VLOOKUP(OPERAC[[#This Row],[especie]],[1]!ESPECIES[#All],6,0)</f>
        <v/>
      </c>
      <c r="Q915" s="7">
        <f>IF(N915&lt;&gt;0,P915*N915,0)</f>
        <v/>
      </c>
      <c r="R915" s="8">
        <f>IF(Q915&lt;&gt;0,Q915+H915+L915,0)</f>
        <v/>
      </c>
      <c r="S915" s="9">
        <f>VLOOKUP(OPERAC[[#This Row],[especie]],[1]!ESPECIES[#Data],9,FALSE)</f>
        <v/>
      </c>
    </row>
    <row r="916">
      <c r="A916" s="4" t="n">
        <v>16786</v>
      </c>
      <c r="B916" s="5" t="n">
        <v>44701</v>
      </c>
      <c r="C916" s="13" t="inlineStr">
        <is>
          <t>VTA</t>
        </is>
      </c>
      <c r="D916" s="13" t="n">
        <v>39</v>
      </c>
      <c r="E916" s="10">
        <f>IF(D916&gt;0,VLOOKUP(OPERAC[[#This Row],[COD CART]],[1]!MatrizCortoLargoCyl[#All],3,0),"")</f>
        <v/>
      </c>
      <c r="F916" s="13" t="inlineStr">
        <is>
          <t>TSLA/P/300,00/19-01-24</t>
        </is>
      </c>
      <c r="G916" s="6" t="n">
        <v>-3</v>
      </c>
      <c r="H916" s="6" t="n">
        <v>130.878</v>
      </c>
      <c r="I916" s="7">
        <f>-H916/G916</f>
        <v/>
      </c>
      <c r="J916" s="11" t="n"/>
      <c r="K916" s="6" t="n"/>
      <c r="L916" s="6" t="n"/>
      <c r="M916" s="7">
        <f>IF(N916=0,+L916+H916,0)</f>
        <v/>
      </c>
      <c r="N916" s="7">
        <f>IF((+G916-K916)=0,0,+G916-K916)</f>
        <v/>
      </c>
      <c r="O916" s="7">
        <f>IF(N916=0,0,(L916+H916)/-N916)</f>
        <v/>
      </c>
      <c r="P916" s="7">
        <f>VLOOKUP(OPERAC[[#This Row],[especie]],[1]!ESPECIES[#All],6,0)</f>
        <v/>
      </c>
      <c r="Q916" s="7">
        <f>IF(N916&lt;&gt;0,P916*N916,0)</f>
        <v/>
      </c>
      <c r="R916" s="8">
        <f>IF(Q916&lt;&gt;0,Q916+H916+L916,0)</f>
        <v/>
      </c>
      <c r="S916" s="9">
        <f>VLOOKUP(OPERAC[[#This Row],[especie]],[1]!ESPECIES[#Data],9,FALSE)</f>
        <v/>
      </c>
    </row>
    <row r="917">
      <c r="A917" s="4" t="n">
        <v>3728</v>
      </c>
      <c r="B917" s="5" t="n">
        <v>44579</v>
      </c>
      <c r="C917" s="13" t="inlineStr">
        <is>
          <t>VTA</t>
        </is>
      </c>
      <c r="D917" s="13" t="n">
        <v>39</v>
      </c>
      <c r="E917" s="10">
        <f>IF(D917&gt;0,VLOOKUP(OPERAC[[#This Row],[COD CART]],[1]!MatrizCortoLargoCyl[#All],3,0),"")</f>
        <v/>
      </c>
      <c r="F917" s="13" t="inlineStr">
        <is>
          <t>TLRY/V/7,00/20-01-23</t>
        </is>
      </c>
      <c r="G917" s="6" t="n">
        <v>-50</v>
      </c>
      <c r="H917" s="6" t="n">
        <v>129.73</v>
      </c>
      <c r="I917" s="7">
        <f>-H917/G917</f>
        <v/>
      </c>
      <c r="J917" s="11" t="n"/>
      <c r="K917" s="6" t="n"/>
      <c r="L917" s="6" t="n"/>
      <c r="M917" s="7">
        <f>IF(N917=0,+L917+H917,0)</f>
        <v/>
      </c>
      <c r="N917" s="7">
        <f>IF((+G917-K917)=0,0,+G917-K917)</f>
        <v/>
      </c>
      <c r="O917" s="7">
        <f>IF(N917=0,0,(L917+H917)/-N917)</f>
        <v/>
      </c>
      <c r="P917" s="7">
        <f>VLOOKUP(OPERAC[[#This Row],[especie]],[1]!ESPECIES[#All],6,0)</f>
        <v/>
      </c>
      <c r="Q917" s="7">
        <f>IF(N917&lt;&gt;0,P917*N917,0)</f>
        <v/>
      </c>
      <c r="R917" s="8">
        <f>IF(Q917&lt;&gt;0,Q917+H917+L917,0)</f>
        <v/>
      </c>
      <c r="S917" s="9">
        <f>VLOOKUP(OPERAC[[#This Row],[especie]],[1]!ESPECIES[#Data],9,FALSE)</f>
        <v/>
      </c>
    </row>
    <row r="918">
      <c r="A918" s="4" t="n">
        <v>2255</v>
      </c>
      <c r="B918" s="5" t="n">
        <v>44614</v>
      </c>
      <c r="C918" s="13" t="inlineStr">
        <is>
          <t>VTA</t>
        </is>
      </c>
      <c r="D918" s="13" t="n">
        <v>39</v>
      </c>
      <c r="E918" s="10">
        <f>IF(D918&gt;0,VLOOKUP(OPERAC[[#This Row],[COD CART]],[1]!MatrizCortoLargoCyl[#All],3,0),"")</f>
        <v/>
      </c>
      <c r="F918" s="13" t="inlineStr">
        <is>
          <t>ACB/V/4,00/20-01-23</t>
        </is>
      </c>
      <c r="G918" s="6" t="n">
        <v>-100</v>
      </c>
      <c r="H918" s="6" t="n">
        <v>129.19</v>
      </c>
      <c r="I918" s="7">
        <f>-H918/G918</f>
        <v/>
      </c>
      <c r="J918" s="11" t="n"/>
      <c r="K918" s="6" t="n"/>
      <c r="L918" s="6" t="n"/>
      <c r="M918" s="7">
        <f>IF(N918=0,+L918+H918,0)</f>
        <v/>
      </c>
      <c r="N918" s="7">
        <f>IF((+G918-K918)=0,0,+G918-K918)</f>
        <v/>
      </c>
      <c r="O918" s="7">
        <f>IF(N918=0,0,(L918+H918)/-N918)</f>
        <v/>
      </c>
      <c r="P918" s="7">
        <f>VLOOKUP(OPERAC[[#This Row],[especie]],[1]!ESPECIES[#All],6,0)</f>
        <v/>
      </c>
      <c r="Q918" s="7">
        <f>IF(N918&lt;&gt;0,P918*N918,0)</f>
        <v/>
      </c>
      <c r="R918" s="8">
        <f>IF(Q918&lt;&gt;0,Q918+H918+L918,0)</f>
        <v/>
      </c>
      <c r="S918" s="9">
        <f>VLOOKUP(OPERAC[[#This Row],[especie]],[1]!ESPECIES[#Data],9,FALSE)</f>
        <v/>
      </c>
    </row>
    <row r="919">
      <c r="A919" s="4" t="n">
        <v>13180</v>
      </c>
      <c r="B919" s="5" t="n">
        <v>44614</v>
      </c>
      <c r="C919" s="13" t="inlineStr">
        <is>
          <t>VTA</t>
        </is>
      </c>
      <c r="D919" s="13" t="n">
        <v>39</v>
      </c>
      <c r="E919" s="10">
        <f>IF(D919&gt;0,VLOOKUP(OPERAC[[#This Row],[COD CART]],[1]!MatrizCortoLargoCyl[#All],3,0),"")</f>
        <v/>
      </c>
      <c r="F919" s="13" t="inlineStr">
        <is>
          <t>MELI/V/500,00/19-01-24</t>
        </is>
      </c>
      <c r="G919" s="6" t="n">
        <v>-2</v>
      </c>
      <c r="H919" s="6" t="n">
        <v>128.96</v>
      </c>
      <c r="I919" s="7">
        <f>-H919/G919</f>
        <v/>
      </c>
      <c r="J919" s="11" t="n"/>
      <c r="K919" s="6" t="n"/>
      <c r="L919" s="6" t="n"/>
      <c r="M919" s="7">
        <f>IF(N919=0,+L919+H919,0)</f>
        <v/>
      </c>
      <c r="N919" s="7">
        <f>IF((+G919-K919)=0,0,+G919-K919)</f>
        <v/>
      </c>
      <c r="O919" s="7">
        <f>IF(N919=0,0,(L919+H919)/-N919)</f>
        <v/>
      </c>
      <c r="P919" s="7">
        <f>VLOOKUP(OPERAC[[#This Row],[especie]],[1]!ESPECIES[#All],6,0)</f>
        <v/>
      </c>
      <c r="Q919" s="7">
        <f>IF(N919&lt;&gt;0,P919*N919,0)</f>
        <v/>
      </c>
      <c r="R919" s="8">
        <f>IF(Q919&lt;&gt;0,Q919+H919+L919,0)</f>
        <v/>
      </c>
      <c r="S919" s="9">
        <f>VLOOKUP(OPERAC[[#This Row],[especie]],[1]!ESPECIES[#Data],9,FALSE)</f>
        <v/>
      </c>
    </row>
    <row r="920">
      <c r="A920" s="4" t="n">
        <v>16780</v>
      </c>
      <c r="B920" s="5" t="n">
        <v>44614</v>
      </c>
      <c r="C920" s="13" t="inlineStr">
        <is>
          <t>VTA</t>
        </is>
      </c>
      <c r="D920" s="13" t="n">
        <v>39</v>
      </c>
      <c r="E920" s="10">
        <f>IF(D920&gt;0,VLOOKUP(OPERAC[[#This Row],[COD CART]],[1]!MatrizCortoLargoCyl[#All],3,0),"")</f>
        <v/>
      </c>
      <c r="F920" s="13" t="inlineStr">
        <is>
          <t>MELI/V/500,00/19-01-24</t>
        </is>
      </c>
      <c r="G920" s="6" t="n">
        <v>-2</v>
      </c>
      <c r="H920" s="6" t="n">
        <v>128.96</v>
      </c>
      <c r="I920" s="7">
        <f>-H920/G920</f>
        <v/>
      </c>
      <c r="J920" s="11" t="n"/>
      <c r="K920" s="6" t="n"/>
      <c r="L920" s="6" t="n"/>
      <c r="M920" s="7">
        <f>IF(N920=0,+L920+H920,0)</f>
        <v/>
      </c>
      <c r="N920" s="7">
        <f>IF((+G920-K920)=0,0,+G920-K920)</f>
        <v/>
      </c>
      <c r="O920" s="7">
        <f>IF(N920=0,0,(L920+H920)/-N920)</f>
        <v/>
      </c>
      <c r="P920" s="7">
        <f>VLOOKUP(OPERAC[[#This Row],[especie]],[1]!ESPECIES[#All],6,0)</f>
        <v/>
      </c>
      <c r="Q920" s="7">
        <f>IF(N920&lt;&gt;0,P920*N920,0)</f>
        <v/>
      </c>
      <c r="R920" s="8">
        <f>IF(Q920&lt;&gt;0,Q920+H920+L920,0)</f>
        <v/>
      </c>
      <c r="S920" s="9">
        <f>VLOOKUP(OPERAC[[#This Row],[especie]],[1]!ESPECIES[#Data],9,FALSE)</f>
        <v/>
      </c>
    </row>
    <row r="921">
      <c r="A921" s="4" t="n">
        <v>19878</v>
      </c>
      <c r="B921" s="5" t="n">
        <v>44614</v>
      </c>
      <c r="C921" s="13" t="inlineStr">
        <is>
          <t>VTA</t>
        </is>
      </c>
      <c r="D921" s="13" t="n">
        <v>39</v>
      </c>
      <c r="E921" s="10">
        <f>IF(D921&gt;0,VLOOKUP(OPERAC[[#This Row],[COD CART]],[1]!MatrizCortoLargoCyl[#All],3,0),"")</f>
        <v/>
      </c>
      <c r="F921" s="13" t="inlineStr">
        <is>
          <t>MELI/V/500,00/19-01-24</t>
        </is>
      </c>
      <c r="G921" s="6" t="n">
        <v>-2</v>
      </c>
      <c r="H921" s="6" t="n">
        <v>128.96</v>
      </c>
      <c r="I921" s="7">
        <f>-H921/G921</f>
        <v/>
      </c>
      <c r="J921" s="11" t="n"/>
      <c r="K921" s="6" t="n"/>
      <c r="L921" s="6" t="n"/>
      <c r="M921" s="7">
        <f>IF(N921=0,+L921+H921,0)</f>
        <v/>
      </c>
      <c r="N921" s="7">
        <f>IF((+G921-K921)=0,0,+G921-K921)</f>
        <v/>
      </c>
      <c r="O921" s="7">
        <f>IF(N921=0,0,(L921+H921)/-N921)</f>
        <v/>
      </c>
      <c r="P921" s="7">
        <f>VLOOKUP(OPERAC[[#This Row],[especie]],[1]!ESPECIES[#All],6,0)</f>
        <v/>
      </c>
      <c r="Q921" s="7">
        <f>IF(N921&lt;&gt;0,P921*N921,0)</f>
        <v/>
      </c>
      <c r="R921" s="8">
        <f>IF(Q921&lt;&gt;0,Q921+H921+L921,0)</f>
        <v/>
      </c>
      <c r="S921" s="9">
        <f>VLOOKUP(OPERAC[[#This Row],[especie]],[1]!ESPECIES[#Data],9,FALSE)</f>
        <v/>
      </c>
    </row>
    <row r="922">
      <c r="A922" s="4" t="n">
        <v>2218</v>
      </c>
      <c r="B922" s="5" t="n">
        <v>44614</v>
      </c>
      <c r="C922" s="13" t="inlineStr">
        <is>
          <t>VTA</t>
        </is>
      </c>
      <c r="D922" s="13" t="n">
        <v>39</v>
      </c>
      <c r="E922" s="10">
        <f>IF(D922&gt;0,VLOOKUP(OPERAC[[#This Row],[COD CART]],[1]!MatrizCortoLargoCyl[#All],3,0),"")</f>
        <v/>
      </c>
      <c r="F922" s="13" t="inlineStr">
        <is>
          <t>NFLX/V/250,00/20-01-23</t>
        </is>
      </c>
      <c r="G922" s="6" t="n">
        <v>-10</v>
      </c>
      <c r="H922" s="6" t="n">
        <v>127.83</v>
      </c>
      <c r="I922" s="7">
        <f>-H922/G922</f>
        <v/>
      </c>
      <c r="J922" s="11" t="n">
        <v>44677</v>
      </c>
      <c r="K922" s="6">
        <f>-5-3-2</f>
        <v/>
      </c>
      <c r="L922" s="6">
        <f>-129.129-195.94-264.26-180.18</f>
        <v/>
      </c>
      <c r="M922" s="7">
        <f>IF(N922=0,+L922+H922,0)</f>
        <v/>
      </c>
      <c r="N922" s="7">
        <f>IF((+G922-K922)=0,0,+G922-K922)</f>
        <v/>
      </c>
      <c r="O922" s="7">
        <f>IF(N922=0,0,(L922+H922)/-N922)</f>
        <v/>
      </c>
      <c r="P922" s="7">
        <f>VLOOKUP(OPERAC[[#This Row],[especie]],[1]!ESPECIES[#All],6,0)</f>
        <v/>
      </c>
      <c r="Q922" s="7">
        <f>IF(N922&lt;&gt;0,P922*N922,0)</f>
        <v/>
      </c>
      <c r="R922" s="8">
        <f>IF(Q922&lt;&gt;0,Q922+H922+L922,0)</f>
        <v/>
      </c>
      <c r="S922" s="9">
        <f>VLOOKUP(OPERAC[[#This Row],[especie]],[1]!ESPECIES[#Data],9,FALSE)</f>
        <v/>
      </c>
    </row>
    <row r="923">
      <c r="A923" s="4" t="n">
        <v>10079</v>
      </c>
      <c r="B923" s="5" t="n">
        <v>44614</v>
      </c>
      <c r="C923" s="13" t="inlineStr">
        <is>
          <t>VTA</t>
        </is>
      </c>
      <c r="D923" s="13" t="n">
        <v>39</v>
      </c>
      <c r="E923" s="10">
        <f>IF(D923&gt;0,VLOOKUP(OPERAC[[#This Row],[COD CART]],[1]!MatrizCortoLargoCyl[#All],3,0),"")</f>
        <v/>
      </c>
      <c r="F923" s="13" t="inlineStr">
        <is>
          <t>NFLX/V/200,00/19-01-24</t>
        </is>
      </c>
      <c r="G923" s="6" t="n">
        <v>-10</v>
      </c>
      <c r="H923" s="6" t="n">
        <v>124.95</v>
      </c>
      <c r="I923" s="7">
        <f>-H923/G923</f>
        <v/>
      </c>
      <c r="J923" s="11" t="n"/>
      <c r="K923" s="6" t="n"/>
      <c r="L923" s="6" t="n"/>
      <c r="M923" s="7">
        <f>IF(N923=0,+L923+H923,0)</f>
        <v/>
      </c>
      <c r="N923" s="7">
        <f>IF((+G923-K923)=0,0,+G923-K923)</f>
        <v/>
      </c>
      <c r="O923" s="7">
        <f>IF(N923=0,0,(L923+H923)/-N923)</f>
        <v/>
      </c>
      <c r="P923" s="7">
        <f>VLOOKUP(OPERAC[[#This Row],[especie]],[1]!ESPECIES[#All],6,0)</f>
        <v/>
      </c>
      <c r="Q923" s="7">
        <f>IF(N923&lt;&gt;0,P923*N923,0)</f>
        <v/>
      </c>
      <c r="R923" s="8">
        <f>IF(Q923&lt;&gt;0,Q923+H923+L923,0)</f>
        <v/>
      </c>
      <c r="S923" s="9">
        <f>VLOOKUP(OPERAC[[#This Row],[especie]],[1]!ESPECIES[#Data],9,FALSE)</f>
        <v/>
      </c>
    </row>
    <row r="924">
      <c r="A924" s="4" t="n">
        <v>20312</v>
      </c>
      <c r="B924" s="5" t="n">
        <v>44581</v>
      </c>
      <c r="C924" s="13" t="inlineStr">
        <is>
          <t>VTA</t>
        </is>
      </c>
      <c r="D924" s="13" t="n">
        <v>39</v>
      </c>
      <c r="E924" s="10">
        <f>IF(D924&gt;0,VLOOKUP(OPERAC[[#This Row],[COD CART]],[1]!MatrizCortoLargoCyl[#All],3,0),"")</f>
        <v/>
      </c>
      <c r="F924" s="13" t="inlineStr">
        <is>
          <t>ACB/V/6,00/18-02-22</t>
        </is>
      </c>
      <c r="G924" s="6" t="n">
        <v>-100</v>
      </c>
      <c r="H924" s="6" t="n">
        <v>120.9515</v>
      </c>
      <c r="I924" s="7">
        <f>-H924/G924</f>
        <v/>
      </c>
      <c r="J924" s="11" t="n">
        <v>44595</v>
      </c>
      <c r="K924" s="6" t="n">
        <v>-100</v>
      </c>
      <c r="L924" s="6">
        <f>1.21*OPERAC[[#This Row],[cantidad venta]]</f>
        <v/>
      </c>
      <c r="M924" s="7">
        <f>IF(N924=0,+L924+H924,0)</f>
        <v/>
      </c>
      <c r="N924" s="7">
        <f>IF((+G924-K924)=0,0,+G924-K924)</f>
        <v/>
      </c>
      <c r="O924" s="7">
        <f>IF(N924=0,0,(L924+H924)/-N924)</f>
        <v/>
      </c>
      <c r="P924" s="7">
        <f>VLOOKUP(OPERAC[[#This Row],[especie]],[1]!ESPECIES[#All],6,0)</f>
        <v/>
      </c>
      <c r="Q924" s="7">
        <f>IF(N924&lt;&gt;0,P924*N924,0)</f>
        <v/>
      </c>
      <c r="R924" s="8">
        <f>IF(Q924&lt;&gt;0,Q924+H924+L924,0)</f>
        <v/>
      </c>
      <c r="S924" s="9">
        <f>VLOOKUP(OPERAC[[#This Row],[especie]],[1]!ESPECIES[#Data],9,FALSE)</f>
        <v/>
      </c>
    </row>
    <row r="925">
      <c r="A925" s="4" t="n">
        <v>3728</v>
      </c>
      <c r="B925" s="5" t="n">
        <v>44601</v>
      </c>
      <c r="C925" s="13" t="inlineStr">
        <is>
          <t>VTA</t>
        </is>
      </c>
      <c r="D925" s="13" t="n">
        <v>39</v>
      </c>
      <c r="E925" s="10">
        <f>IF(D925&gt;0,VLOOKUP(OPERAC[[#This Row],[COD CART]],[1]!MatrizCortoLargoCyl[#All],3,0),"")</f>
        <v/>
      </c>
      <c r="F925" s="13" t="inlineStr">
        <is>
          <t>ACB/V/5,00/16-09-22</t>
        </is>
      </c>
      <c r="G925" s="6" t="n">
        <v>-75</v>
      </c>
      <c r="H925" s="6" t="n">
        <v>116.37</v>
      </c>
      <c r="I925" s="7">
        <f>-H925/G925</f>
        <v/>
      </c>
      <c r="J925" s="11" t="n">
        <v>44637</v>
      </c>
      <c r="K925" s="6" t="n">
        <v>-75</v>
      </c>
      <c r="L925" s="6" t="n">
        <v>-154.2</v>
      </c>
      <c r="M925" s="7">
        <f>IF(N925=0,+L925+H925,0)</f>
        <v/>
      </c>
      <c r="N925" s="7">
        <f>IF((+G925-K925)=0,0,+G925-K925)</f>
        <v/>
      </c>
      <c r="O925" s="7">
        <f>IF(N925=0,0,(L925+H925)/-N925)</f>
        <v/>
      </c>
      <c r="P925" s="7">
        <f>VLOOKUP(OPERAC[[#This Row],[especie]],[1]!ESPECIES[#All],6,0)</f>
        <v/>
      </c>
      <c r="Q925" s="7">
        <f>IF(N925&lt;&gt;0,P925*N925,0)</f>
        <v/>
      </c>
      <c r="R925" s="8">
        <f>IF(Q925&lt;&gt;0,Q925+H925+L925,0)</f>
        <v/>
      </c>
      <c r="S925" s="9">
        <f>VLOOKUP(OPERAC[[#This Row],[especie]],[1]!ESPECIES[#Data],9,FALSE)</f>
        <v/>
      </c>
    </row>
    <row r="926">
      <c r="A926" s="4" t="n">
        <v>7925</v>
      </c>
      <c r="B926" s="5" t="n">
        <v>44690</v>
      </c>
      <c r="C926" s="13" t="inlineStr">
        <is>
          <t>VTA</t>
        </is>
      </c>
      <c r="D926" s="13" t="n">
        <v>39</v>
      </c>
      <c r="E926" s="10">
        <f>IF(D926&gt;0,VLOOKUP(OPERAC[[#This Row],[COD CART]],[1]!MatrizCortoLargoCyl[#All],3,0),"")</f>
        <v/>
      </c>
      <c r="F926" s="13" t="inlineStr">
        <is>
          <t>TSLA/V/550,00/17-06-22</t>
        </is>
      </c>
      <c r="G926" s="6" t="n">
        <v>-10</v>
      </c>
      <c r="H926" s="6" t="n">
        <v>114.51</v>
      </c>
      <c r="I926" s="7">
        <f>-H926/G926</f>
        <v/>
      </c>
      <c r="J926" s="11" t="n"/>
      <c r="K926" s="6" t="n"/>
      <c r="L926" s="6" t="n"/>
      <c r="M926" s="7">
        <f>IF(N926=0,+L926+H926,0)</f>
        <v/>
      </c>
      <c r="N926" s="7">
        <f>IF((+G926-K926)=0,0,+G926-K926)</f>
        <v/>
      </c>
      <c r="O926" s="7">
        <f>IF(N926=0,0,(L926+H926)/-N926)</f>
        <v/>
      </c>
      <c r="P926" s="7">
        <f>VLOOKUP(OPERAC[[#This Row],[especie]],[1]!ESPECIES[#All],6,0)</f>
        <v/>
      </c>
      <c r="Q926" s="7">
        <f>IF(N926&lt;&gt;0,P926*N926,0)</f>
        <v/>
      </c>
      <c r="R926" s="8">
        <f>IF(Q926&lt;&gt;0,Q926+H926+L926,0)</f>
        <v/>
      </c>
      <c r="S926" s="9">
        <f>VLOOKUP(OPERAC[[#This Row],[especie]],[1]!ESPECIES[#Data],9,FALSE)</f>
        <v/>
      </c>
    </row>
    <row r="927">
      <c r="A927" s="4" t="n">
        <v>22433</v>
      </c>
      <c r="B927" s="5" t="n">
        <v>44714</v>
      </c>
      <c r="C927" s="13" t="inlineStr">
        <is>
          <t>VTA</t>
        </is>
      </c>
      <c r="D927" s="13" t="n">
        <v>39</v>
      </c>
      <c r="E927" s="10">
        <f>IF(D927&gt;0,VLOOKUP(OPERAC[[#This Row],[COD CART]],[1]!MatrizCortoLargoCyl[#All],3,0),"")</f>
        <v/>
      </c>
      <c r="F927" s="13" t="inlineStr">
        <is>
          <t>TSLA/C/870,00/03-06-22</t>
        </is>
      </c>
      <c r="G927" s="6" t="n">
        <v>-500</v>
      </c>
      <c r="H927" s="6" t="n">
        <v>114.023</v>
      </c>
      <c r="I927" s="7">
        <f>-H927/G927</f>
        <v/>
      </c>
      <c r="J927" s="5" t="n">
        <v>44715</v>
      </c>
      <c r="K927" s="6">
        <f>+OPERAC[[#This Row],[cantidad]]</f>
        <v/>
      </c>
      <c r="L927" s="6" t="n">
        <v>0</v>
      </c>
      <c r="M927" s="7">
        <f>IF(N927=0,+L927+H927,0)</f>
        <v/>
      </c>
      <c r="N927" s="7">
        <f>IF((+G927-K927)=0,0,+G927-K927)</f>
        <v/>
      </c>
      <c r="O927" s="7">
        <f>IF(N927=0,0,(L927+H927)/-N927)</f>
        <v/>
      </c>
      <c r="P927" s="7">
        <f>VLOOKUP(OPERAC[[#This Row],[especie]],[1]!ESPECIES[#All],6,0)</f>
        <v/>
      </c>
      <c r="Q927" s="7">
        <f>IF(N927&lt;&gt;0,P927*N927,0)</f>
        <v/>
      </c>
      <c r="R927" s="8">
        <f>IF(Q927&lt;&gt;0,Q927+H927+L927,0)</f>
        <v/>
      </c>
      <c r="S927" s="9">
        <f>VLOOKUP(OPERAC[[#This Row],[especie]],[1]!ESPECIES[#Data],9,FALSE)</f>
        <v/>
      </c>
    </row>
    <row r="928">
      <c r="A928" s="4" t="n">
        <v>15189</v>
      </c>
      <c r="B928" s="5" t="n">
        <v>44720</v>
      </c>
      <c r="C928" s="13" t="inlineStr">
        <is>
          <t>VTA</t>
        </is>
      </c>
      <c r="D928" s="13" t="n">
        <v>39</v>
      </c>
      <c r="E928" s="10">
        <f>IF(D928&gt;0,VLOOKUP(OPERAC[[#This Row],[COD CART]],[1]!MatrizCortoLargoCyl[#All],3,0),"")</f>
        <v/>
      </c>
      <c r="F928" s="14" t="inlineStr">
        <is>
          <t>TSLA/P/660,00/10-06-22</t>
        </is>
      </c>
      <c r="G928" s="6" t="n">
        <v>-100</v>
      </c>
      <c r="H928" s="6" t="n">
        <v>114.023</v>
      </c>
      <c r="I928" s="7">
        <f>-H928/G928</f>
        <v/>
      </c>
      <c r="J928" s="5" t="n">
        <v>44722</v>
      </c>
      <c r="K928" s="6">
        <f>+OPERAC[[#This Row],[cantidad]]</f>
        <v/>
      </c>
      <c r="L928" s="6" t="n">
        <v>0</v>
      </c>
      <c r="M928" s="7">
        <f>IF(N928=0,+L928+H928,0)</f>
        <v/>
      </c>
      <c r="N928" s="7">
        <f>IF((+G928-K928)=0,0,+G928-K928)</f>
        <v/>
      </c>
      <c r="O928" s="7">
        <f>IF(N928=0,0,(L928+H928)/-N928)</f>
        <v/>
      </c>
      <c r="P928" s="7">
        <f>VLOOKUP(OPERAC[[#This Row],[especie]],[1]!ESPECIES[#All],6,0)</f>
        <v/>
      </c>
      <c r="Q928" s="7">
        <f>IF(N928&lt;&gt;0,P928*N928,0)</f>
        <v/>
      </c>
      <c r="R928" s="8">
        <f>IF(Q928&lt;&gt;0,Q928+H928+L928,0)</f>
        <v/>
      </c>
      <c r="S928" s="9">
        <f>VLOOKUP(OPERAC[[#This Row],[especie]],[1]!ESPECIES[#Data],9,FALSE)</f>
        <v/>
      </c>
    </row>
    <row r="929">
      <c r="A929" s="4" t="n">
        <v>19867</v>
      </c>
      <c r="B929" s="5" t="n">
        <v>44614</v>
      </c>
      <c r="C929" s="13" t="inlineStr">
        <is>
          <t>VTA</t>
        </is>
      </c>
      <c r="D929" s="13" t="n">
        <v>39</v>
      </c>
      <c r="E929" s="10">
        <f>IF(D929&gt;0,VLOOKUP(OPERAC[[#This Row],[COD CART]],[1]!MatrizCortoLargoCyl[#All],3,0),"")</f>
        <v/>
      </c>
      <c r="F929" s="13" t="inlineStr">
        <is>
          <t>TSLA/V/300,00/19-01-24</t>
        </is>
      </c>
      <c r="G929" s="6" t="n">
        <v>-5</v>
      </c>
      <c r="H929" s="6" t="n">
        <v>109.08</v>
      </c>
      <c r="I929" s="7">
        <f>-H929/G929</f>
        <v/>
      </c>
      <c r="J929" s="11" t="n">
        <v>44641</v>
      </c>
      <c r="K929" s="6" t="n">
        <v>-1</v>
      </c>
      <c r="L929" s="6" t="n">
        <v>-20.66</v>
      </c>
      <c r="M929" s="7">
        <f>IF(N929=0,+L929+H929,0)</f>
        <v/>
      </c>
      <c r="N929" s="7">
        <f>IF((+G929-K929)=0,0,+G929-K929)</f>
        <v/>
      </c>
      <c r="O929" s="7">
        <f>IF(N929=0,0,(L929+H929)/-N929)</f>
        <v/>
      </c>
      <c r="P929" s="7">
        <f>VLOOKUP(OPERAC[[#This Row],[especie]],[1]!ESPECIES[#All],6,0)</f>
        <v/>
      </c>
      <c r="Q929" s="7">
        <f>IF(N929&lt;&gt;0,P929*N929,0)</f>
        <v/>
      </c>
      <c r="R929" s="8">
        <f>IF(Q929&lt;&gt;0,Q929+H929+L929,0)</f>
        <v/>
      </c>
      <c r="S929" s="9">
        <f>VLOOKUP(OPERAC[[#This Row],[especie]],[1]!ESPECIES[#Data],9,FALSE)</f>
        <v/>
      </c>
    </row>
    <row r="930">
      <c r="A930" s="4" t="n">
        <v>13253</v>
      </c>
      <c r="B930" s="5" t="n">
        <v>44294</v>
      </c>
      <c r="C930" s="13" t="inlineStr">
        <is>
          <t>VTA</t>
        </is>
      </c>
      <c r="D930" s="13" t="n">
        <v>41</v>
      </c>
      <c r="E930" s="10">
        <f>IF(D930&gt;0,VLOOKUP(OPERAC[[#This Row],[COD CART]],[1]!MatrizCortoLargoCyl[#All],3,0),"")</f>
        <v/>
      </c>
      <c r="F930" s="13" t="inlineStr">
        <is>
          <t>TLRY1/V/10,00/20-01-23</t>
        </is>
      </c>
      <c r="G930" s="6" t="n">
        <v>-100</v>
      </c>
      <c r="H930" s="6" t="n">
        <v>100</v>
      </c>
      <c r="I930" s="7">
        <f>-H930/G930</f>
        <v/>
      </c>
      <c r="J930" s="11" t="n"/>
      <c r="K930" s="6" t="n"/>
      <c r="L930" s="6" t="n"/>
      <c r="M930" s="7">
        <f>IF(N930=0,+L930+H930,0)</f>
        <v/>
      </c>
      <c r="N930" s="7">
        <f>IF((+G930-K930)=0,0,+G930-K930)</f>
        <v/>
      </c>
      <c r="O930" s="7">
        <f>IF(N930=0,0,(L930+H930)/-N930)</f>
        <v/>
      </c>
      <c r="P930" s="7">
        <f>VLOOKUP(OPERAC[[#This Row],[especie]],[1]!ESPECIES[#All],6,0)</f>
        <v/>
      </c>
      <c r="Q930" s="7">
        <f>IF(N930&lt;&gt;0,P930*N930,0)</f>
        <v/>
      </c>
      <c r="R930" s="8">
        <f>IF(Q930&lt;&gt;0,Q930+H930+L930,0)</f>
        <v/>
      </c>
      <c r="S930" s="9">
        <f>VLOOKUP(OPERAC[[#This Row],[especie]],[1]!ESPECIES[#Data],9,FALSE)</f>
        <v/>
      </c>
    </row>
    <row r="931">
      <c r="A931" s="4" t="n">
        <v>22433</v>
      </c>
      <c r="B931" s="5" t="n">
        <v>44602</v>
      </c>
      <c r="C931" s="13" t="inlineStr">
        <is>
          <t>VTA</t>
        </is>
      </c>
      <c r="D931" s="13" t="n">
        <v>39</v>
      </c>
      <c r="E931" s="10">
        <f>IF(D931&gt;0,VLOOKUP(OPERAC[[#This Row],[COD CART]],[1]!MatrizCortoLargoCyl[#All],3,0),"")</f>
        <v/>
      </c>
      <c r="F931" s="13" t="inlineStr">
        <is>
          <t>TSLA/C/1005,00/11-02-22</t>
        </is>
      </c>
      <c r="G931" s="6" t="n">
        <v>-200</v>
      </c>
      <c r="H931" s="6">
        <f>-0.5*OPERAC[[#This Row],[cantidad]]</f>
        <v/>
      </c>
      <c r="I931" s="7">
        <f>-H931/G931</f>
        <v/>
      </c>
      <c r="J931" s="11" t="n">
        <v>44603</v>
      </c>
      <c r="K931" s="6" t="n">
        <v>-200</v>
      </c>
      <c r="L931" s="6" t="n">
        <v>0</v>
      </c>
      <c r="M931" s="7">
        <f>IF(N931=0,+L931+H931,0)</f>
        <v/>
      </c>
      <c r="N931" s="7">
        <f>IF((+G931-K931)=0,0,+G931-K931)</f>
        <v/>
      </c>
      <c r="O931" s="7">
        <f>IF(N931=0,0,(L931+H931)/-N931)</f>
        <v/>
      </c>
      <c r="P931" s="7">
        <f>VLOOKUP(OPERAC[[#This Row],[especie]],[1]!ESPECIES[#All],6,0)</f>
        <v/>
      </c>
      <c r="Q931" s="7">
        <f>IF(N931&lt;&gt;0,P931*N931,0)</f>
        <v/>
      </c>
      <c r="R931" s="8">
        <f>IF(Q931&lt;&gt;0,Q931+H931+L931,0)</f>
        <v/>
      </c>
      <c r="S931" s="9">
        <f>VLOOKUP(OPERAC[[#This Row],[especie]],[1]!ESPECIES[#Data],9,FALSE)</f>
        <v/>
      </c>
    </row>
    <row r="932">
      <c r="A932" s="4" t="n">
        <v>22433</v>
      </c>
      <c r="B932" s="5" t="n">
        <v>44602</v>
      </c>
      <c r="C932" s="13" t="inlineStr">
        <is>
          <t>VTA</t>
        </is>
      </c>
      <c r="D932" s="13" t="n">
        <v>39</v>
      </c>
      <c r="E932" s="10">
        <f>IF(D932&gt;0,VLOOKUP(OPERAC[[#This Row],[COD CART]],[1]!MatrizCortoLargoCyl[#All],3,0),"")</f>
        <v/>
      </c>
      <c r="F932" s="13" t="inlineStr">
        <is>
          <t>TSLA/V/840,00/11-02-22</t>
        </is>
      </c>
      <c r="G932" s="6" t="n">
        <v>-200</v>
      </c>
      <c r="H932" s="6">
        <f>-0.5*OPERAC[[#This Row],[cantidad]]</f>
        <v/>
      </c>
      <c r="I932" s="7">
        <f>-H932/G932</f>
        <v/>
      </c>
      <c r="J932" s="11" t="n">
        <v>44603</v>
      </c>
      <c r="K932" s="6" t="n">
        <v>-200</v>
      </c>
      <c r="L932" s="6" t="n">
        <v>0</v>
      </c>
      <c r="M932" s="7">
        <f>IF(N932=0,+L932+H932,0)</f>
        <v/>
      </c>
      <c r="N932" s="7">
        <f>IF((+G932-K932)=0,0,+G932-K932)</f>
        <v/>
      </c>
      <c r="O932" s="7">
        <f>IF(N932=0,0,(L932+H932)/-N932)</f>
        <v/>
      </c>
      <c r="P932" s="7">
        <f>VLOOKUP(OPERAC[[#This Row],[especie]],[1]!ESPECIES[#All],6,0)</f>
        <v/>
      </c>
      <c r="Q932" s="7">
        <f>IF(N932&lt;&gt;0,P932*N932,0)</f>
        <v/>
      </c>
      <c r="R932" s="8">
        <f>IF(Q932&lt;&gt;0,Q932+H932+L932,0)</f>
        <v/>
      </c>
      <c r="S932" s="9">
        <f>VLOOKUP(OPERAC[[#This Row],[especie]],[1]!ESPECIES[#Data],9,FALSE)</f>
        <v/>
      </c>
    </row>
    <row r="933">
      <c r="A933" s="4" t="n">
        <v>19897</v>
      </c>
      <c r="B933" s="5" t="n">
        <v>44602</v>
      </c>
      <c r="C933" s="13" t="inlineStr">
        <is>
          <t>VTA</t>
        </is>
      </c>
      <c r="D933" s="13" t="n">
        <v>39</v>
      </c>
      <c r="E933" s="10">
        <f>IF(D933&gt;0,VLOOKUP(OPERAC[[#This Row],[COD CART]],[1]!MatrizCortoLargoCyl[#All],3,0),"")</f>
        <v/>
      </c>
      <c r="F933" s="13" t="inlineStr">
        <is>
          <t>TSLA/C/1005,00/11-02-22</t>
        </is>
      </c>
      <c r="G933" s="6" t="n">
        <v>-200</v>
      </c>
      <c r="H933" s="6">
        <f>-0.5*OPERAC[[#This Row],[cantidad]]</f>
        <v/>
      </c>
      <c r="I933" s="7">
        <f>-H933/G933</f>
        <v/>
      </c>
      <c r="J933" s="11" t="n">
        <v>44603</v>
      </c>
      <c r="K933" s="6" t="n">
        <v>-200</v>
      </c>
      <c r="L933" s="6" t="n">
        <v>0</v>
      </c>
      <c r="M933" s="7">
        <f>IF(N933=0,+L933+H933,0)</f>
        <v/>
      </c>
      <c r="N933" s="7">
        <f>IF((+G933-K933)=0,0,+G933-K933)</f>
        <v/>
      </c>
      <c r="O933" s="7">
        <f>IF(N933=0,0,(L933+H933)/-N933)</f>
        <v/>
      </c>
      <c r="P933" s="7">
        <f>VLOOKUP(OPERAC[[#This Row],[especie]],[1]!ESPECIES[#All],6,0)</f>
        <v/>
      </c>
      <c r="Q933" s="7">
        <f>IF(N933&lt;&gt;0,P933*N933,0)</f>
        <v/>
      </c>
      <c r="R933" s="8">
        <f>IF(Q933&lt;&gt;0,Q933+H933+L933,0)</f>
        <v/>
      </c>
      <c r="S933" s="9">
        <f>VLOOKUP(OPERAC[[#This Row],[especie]],[1]!ESPECIES[#Data],9,FALSE)</f>
        <v/>
      </c>
    </row>
    <row r="934">
      <c r="A934" s="4" t="n">
        <v>19897</v>
      </c>
      <c r="B934" s="5" t="n">
        <v>44602</v>
      </c>
      <c r="C934" s="13" t="inlineStr">
        <is>
          <t>VTA</t>
        </is>
      </c>
      <c r="D934" s="13" t="n">
        <v>39</v>
      </c>
      <c r="E934" s="10">
        <f>IF(D934&gt;0,VLOOKUP(OPERAC[[#This Row],[COD CART]],[1]!MatrizCortoLargoCyl[#All],3,0),"")</f>
        <v/>
      </c>
      <c r="F934" s="13" t="inlineStr">
        <is>
          <t>TSLA/V/840,00/11-02-22</t>
        </is>
      </c>
      <c r="G934" s="6" t="n">
        <v>-200</v>
      </c>
      <c r="H934" s="6">
        <f>-0.5*OPERAC[[#This Row],[cantidad]]</f>
        <v/>
      </c>
      <c r="I934" s="7">
        <f>-H934/G934</f>
        <v/>
      </c>
      <c r="J934" s="11" t="n">
        <v>44603</v>
      </c>
      <c r="K934" s="6" t="n">
        <v>-200</v>
      </c>
      <c r="L934" s="6" t="n">
        <v>0</v>
      </c>
      <c r="M934" s="7">
        <f>IF(N934=0,+L934+H934,0)</f>
        <v/>
      </c>
      <c r="N934" s="7">
        <f>IF((+G934-K934)=0,0,+G934-K934)</f>
        <v/>
      </c>
      <c r="O934" s="7">
        <f>IF(N934=0,0,(L934+H934)/-N934)</f>
        <v/>
      </c>
      <c r="P934" s="7">
        <f>VLOOKUP(OPERAC[[#This Row],[especie]],[1]!ESPECIES[#All],6,0)</f>
        <v/>
      </c>
      <c r="Q934" s="7">
        <f>IF(N934&lt;&gt;0,P934*N934,0)</f>
        <v/>
      </c>
      <c r="R934" s="8">
        <f>IF(Q934&lt;&gt;0,Q934+H934+L934,0)</f>
        <v/>
      </c>
      <c r="S934" s="9">
        <f>VLOOKUP(OPERAC[[#This Row],[especie]],[1]!ESPECIES[#Data],9,FALSE)</f>
        <v/>
      </c>
    </row>
    <row r="935">
      <c r="A935" s="4" t="n">
        <v>18716</v>
      </c>
      <c r="B935" s="5" t="n">
        <v>44602</v>
      </c>
      <c r="C935" s="13" t="inlineStr">
        <is>
          <t>VTA</t>
        </is>
      </c>
      <c r="D935" s="13" t="n">
        <v>39</v>
      </c>
      <c r="E935" s="10">
        <f>IF(D935&gt;0,VLOOKUP(OPERAC[[#This Row],[COD CART]],[1]!MatrizCortoLargoCyl[#All],3,0),"")</f>
        <v/>
      </c>
      <c r="F935" s="13" t="inlineStr">
        <is>
          <t>TSLA/C/1005,00/11-02-22</t>
        </is>
      </c>
      <c r="G935" s="6" t="n">
        <v>-200</v>
      </c>
      <c r="H935" s="6">
        <f>-0.5*OPERAC[[#This Row],[cantidad]]</f>
        <v/>
      </c>
      <c r="I935" s="7">
        <f>-H935/G935</f>
        <v/>
      </c>
      <c r="J935" s="11" t="n">
        <v>44603</v>
      </c>
      <c r="K935" s="6" t="n">
        <v>-200</v>
      </c>
      <c r="L935" s="6" t="n">
        <v>0</v>
      </c>
      <c r="M935" s="7">
        <f>IF(N935=0,+L935+H935,0)</f>
        <v/>
      </c>
      <c r="N935" s="7">
        <f>IF((+G935-K935)=0,0,+G935-K935)</f>
        <v/>
      </c>
      <c r="O935" s="7">
        <f>IF(N935=0,0,(L935+H935)/-N935)</f>
        <v/>
      </c>
      <c r="P935" s="7">
        <f>VLOOKUP(OPERAC[[#This Row],[especie]],[1]!ESPECIES[#All],6,0)</f>
        <v/>
      </c>
      <c r="Q935" s="7">
        <f>IF(N935&lt;&gt;0,P935*N935,0)</f>
        <v/>
      </c>
      <c r="R935" s="8">
        <f>IF(Q935&lt;&gt;0,Q935+H935+L935,0)</f>
        <v/>
      </c>
      <c r="S935" s="9">
        <f>VLOOKUP(OPERAC[[#This Row],[especie]],[1]!ESPECIES[#Data],9,FALSE)</f>
        <v/>
      </c>
    </row>
    <row r="936">
      <c r="A936" s="4" t="n">
        <v>18716</v>
      </c>
      <c r="B936" s="5" t="n">
        <v>44602</v>
      </c>
      <c r="C936" s="13" t="inlineStr">
        <is>
          <t>VTA</t>
        </is>
      </c>
      <c r="D936" s="13" t="n">
        <v>39</v>
      </c>
      <c r="E936" s="10">
        <f>IF(D936&gt;0,VLOOKUP(OPERAC[[#This Row],[COD CART]],[1]!MatrizCortoLargoCyl[#All],3,0),"")</f>
        <v/>
      </c>
      <c r="F936" s="13" t="inlineStr">
        <is>
          <t>TSLA/V/840,00/11-02-22</t>
        </is>
      </c>
      <c r="G936" s="6" t="n">
        <v>-200</v>
      </c>
      <c r="H936" s="6">
        <f>-0.5*OPERAC[[#This Row],[cantidad]]</f>
        <v/>
      </c>
      <c r="I936" s="7">
        <f>-H936/G936</f>
        <v/>
      </c>
      <c r="J936" s="11" t="n">
        <v>44603</v>
      </c>
      <c r="K936" s="6" t="n">
        <v>-200</v>
      </c>
      <c r="L936" s="6" t="n">
        <v>0</v>
      </c>
      <c r="M936" s="7">
        <f>IF(N936=0,+L936+H936,0)</f>
        <v/>
      </c>
      <c r="N936" s="7">
        <f>IF((+G936-K936)=0,0,+G936-K936)</f>
        <v/>
      </c>
      <c r="O936" s="7">
        <f>IF(N936=0,0,(L936+H936)/-N936)</f>
        <v/>
      </c>
      <c r="P936" s="7">
        <f>VLOOKUP(OPERAC[[#This Row],[especie]],[1]!ESPECIES[#All],6,0)</f>
        <v/>
      </c>
      <c r="Q936" s="7">
        <f>IF(N936&lt;&gt;0,P936*N936,0)</f>
        <v/>
      </c>
      <c r="R936" s="8">
        <f>IF(Q936&lt;&gt;0,Q936+H936+L936,0)</f>
        <v/>
      </c>
      <c r="S936" s="9">
        <f>VLOOKUP(OPERAC[[#This Row],[especie]],[1]!ESPECIES[#Data],9,FALSE)</f>
        <v/>
      </c>
    </row>
    <row r="937">
      <c r="A937" s="4" t="n">
        <v>18677</v>
      </c>
      <c r="B937" s="5" t="n">
        <v>44602</v>
      </c>
      <c r="C937" s="13" t="inlineStr">
        <is>
          <t>VTA</t>
        </is>
      </c>
      <c r="D937" s="13" t="n">
        <v>39</v>
      </c>
      <c r="E937" s="10">
        <f>IF(D937&gt;0,VLOOKUP(OPERAC[[#This Row],[COD CART]],[1]!MatrizCortoLargoCyl[#All],3,0),"")</f>
        <v/>
      </c>
      <c r="F937" s="13" t="inlineStr">
        <is>
          <t>TSLA/C/1005,00/11-02-22</t>
        </is>
      </c>
      <c r="G937" s="6" t="n">
        <v>-200</v>
      </c>
      <c r="H937" s="6">
        <f>-0.5*OPERAC[[#This Row],[cantidad]]</f>
        <v/>
      </c>
      <c r="I937" s="7">
        <f>-H937/G937</f>
        <v/>
      </c>
      <c r="J937" s="11" t="n">
        <v>44603</v>
      </c>
      <c r="K937" s="6" t="n">
        <v>-200</v>
      </c>
      <c r="L937" s="6" t="n">
        <v>0</v>
      </c>
      <c r="M937" s="7">
        <f>IF(N937=0,+L937+H937,0)</f>
        <v/>
      </c>
      <c r="N937" s="7">
        <f>IF((+G937-K937)=0,0,+G937-K937)</f>
        <v/>
      </c>
      <c r="O937" s="7">
        <f>IF(N937=0,0,(L937+H937)/-N937)</f>
        <v/>
      </c>
      <c r="P937" s="7">
        <f>VLOOKUP(OPERAC[[#This Row],[especie]],[1]!ESPECIES[#All],6,0)</f>
        <v/>
      </c>
      <c r="Q937" s="7">
        <f>IF(N937&lt;&gt;0,P937*N937,0)</f>
        <v/>
      </c>
      <c r="R937" s="8">
        <f>IF(Q937&lt;&gt;0,Q937+H937+L937,0)</f>
        <v/>
      </c>
      <c r="S937" s="9">
        <f>VLOOKUP(OPERAC[[#This Row],[especie]],[1]!ESPECIES[#Data],9,FALSE)</f>
        <v/>
      </c>
    </row>
    <row r="938">
      <c r="A938" s="4" t="n">
        <v>18677</v>
      </c>
      <c r="B938" s="5" t="n">
        <v>44602</v>
      </c>
      <c r="C938" s="13" t="inlineStr">
        <is>
          <t>VTA</t>
        </is>
      </c>
      <c r="D938" s="13" t="n">
        <v>39</v>
      </c>
      <c r="E938" s="10">
        <f>IF(D938&gt;0,VLOOKUP(OPERAC[[#This Row],[COD CART]],[1]!MatrizCortoLargoCyl[#All],3,0),"")</f>
        <v/>
      </c>
      <c r="F938" s="13" t="inlineStr">
        <is>
          <t>TSLA/V/840,00/11-02-22</t>
        </is>
      </c>
      <c r="G938" s="6" t="n">
        <v>-200</v>
      </c>
      <c r="H938" s="6">
        <f>-0.5*OPERAC[[#This Row],[cantidad]]</f>
        <v/>
      </c>
      <c r="I938" s="7">
        <f>-H938/G938</f>
        <v/>
      </c>
      <c r="J938" s="11" t="n">
        <v>44603</v>
      </c>
      <c r="K938" s="6" t="n">
        <v>-200</v>
      </c>
      <c r="L938" s="6" t="n">
        <v>0</v>
      </c>
      <c r="M938" s="7">
        <f>IF(N938=0,+L938+H938,0)</f>
        <v/>
      </c>
      <c r="N938" s="7">
        <f>IF((+G938-K938)=0,0,+G938-K938)</f>
        <v/>
      </c>
      <c r="O938" s="7">
        <f>IF(N938=0,0,(L938+H938)/-N938)</f>
        <v/>
      </c>
      <c r="P938" s="7">
        <f>VLOOKUP(OPERAC[[#This Row],[especie]],[1]!ESPECIES[#All],6,0)</f>
        <v/>
      </c>
      <c r="Q938" s="7">
        <f>IF(N938&lt;&gt;0,P938*N938,0)</f>
        <v/>
      </c>
      <c r="R938" s="8">
        <f>IF(Q938&lt;&gt;0,Q938+H938+L938,0)</f>
        <v/>
      </c>
      <c r="S938" s="9">
        <f>VLOOKUP(OPERAC[[#This Row],[especie]],[1]!ESPECIES[#Data],9,FALSE)</f>
        <v/>
      </c>
    </row>
    <row r="939">
      <c r="A939" s="4" t="n">
        <v>2218</v>
      </c>
      <c r="B939" s="5" t="n">
        <v>44627</v>
      </c>
      <c r="C939" s="13" t="inlineStr">
        <is>
          <t>VTA</t>
        </is>
      </c>
      <c r="D939" s="13" t="n">
        <v>39</v>
      </c>
      <c r="E939" s="10">
        <f>IF(D939&gt;0,VLOOKUP(OPERAC[[#This Row],[COD CART]],[1]!MatrizCortoLargoCyl[#All],3,0),"")</f>
        <v/>
      </c>
      <c r="F939" s="13" t="inlineStr">
        <is>
          <t>TSLA/V/590,00/14-04-22</t>
        </is>
      </c>
      <c r="G939" s="6" t="n">
        <v>-10</v>
      </c>
      <c r="H939" s="6" t="n">
        <v>99.87</v>
      </c>
      <c r="I939" s="7">
        <f>-H939/G939</f>
        <v/>
      </c>
      <c r="J939" s="11" t="n">
        <v>44637</v>
      </c>
      <c r="K939" s="6" t="n">
        <v>-10</v>
      </c>
      <c r="L939" s="6" t="n">
        <v>-25.55</v>
      </c>
      <c r="M939" s="7">
        <f>IF(N939=0,+L939+H939,0)</f>
        <v/>
      </c>
      <c r="N939" s="7">
        <f>IF((+G939-K939)=0,0,+G939-K939)</f>
        <v/>
      </c>
      <c r="O939" s="7">
        <f>IF(N939=0,0,(L939+H939)/-N939)</f>
        <v/>
      </c>
      <c r="P939" s="7">
        <f>VLOOKUP(OPERAC[[#This Row],[especie]],[1]!ESPECIES[#All],6,0)</f>
        <v/>
      </c>
      <c r="Q939" s="7">
        <f>IF(N939&lt;&gt;0,P939*N939,0)</f>
        <v/>
      </c>
      <c r="R939" s="8">
        <f>IF(Q939&lt;&gt;0,Q939+H939+L939,0)</f>
        <v/>
      </c>
      <c r="S939" s="9">
        <f>VLOOKUP(OPERAC[[#This Row],[especie]],[1]!ESPECIES[#Data],9,FALSE)</f>
        <v/>
      </c>
    </row>
    <row r="940">
      <c r="A940" s="4" t="n">
        <v>2255</v>
      </c>
      <c r="B940" s="5" t="n">
        <v>44614</v>
      </c>
      <c r="C940" s="13" t="inlineStr">
        <is>
          <t>VTA</t>
        </is>
      </c>
      <c r="D940" s="13" t="n">
        <v>39</v>
      </c>
      <c r="E940" s="10">
        <f>IF(D940&gt;0,VLOOKUP(OPERAC[[#This Row],[COD CART]],[1]!MatrizCortoLargoCyl[#All],3,0),"")</f>
        <v/>
      </c>
      <c r="F940" s="13" t="inlineStr">
        <is>
          <t>TSLA/V/300,00/20-01-23</t>
        </is>
      </c>
      <c r="G940" s="6" t="n">
        <v>-10</v>
      </c>
      <c r="H940" s="6" t="n">
        <v>99.56999999999999</v>
      </c>
      <c r="I940" s="7">
        <f>-H940/G940</f>
        <v/>
      </c>
      <c r="J940" s="11" t="n"/>
      <c r="K940" s="6" t="n"/>
      <c r="L940" s="6" t="n"/>
      <c r="M940" s="7">
        <f>IF(N940=0,+L940+H940,0)</f>
        <v/>
      </c>
      <c r="N940" s="7">
        <f>IF((+G940-K940)=0,0,+G940-K940)</f>
        <v/>
      </c>
      <c r="O940" s="7">
        <f>IF(N940=0,0,(L940+H940)/-N940)</f>
        <v/>
      </c>
      <c r="P940" s="7">
        <f>VLOOKUP(OPERAC[[#This Row],[especie]],[1]!ESPECIES[#All],6,0)</f>
        <v/>
      </c>
      <c r="Q940" s="7">
        <f>IF(N940&lt;&gt;0,P940*N940,0)</f>
        <v/>
      </c>
      <c r="R940" s="8">
        <f>IF(Q940&lt;&gt;0,Q940+H940+L940,0)</f>
        <v/>
      </c>
      <c r="S940" s="9">
        <f>VLOOKUP(OPERAC[[#This Row],[especie]],[1]!ESPECIES[#Data],9,FALSE)</f>
        <v/>
      </c>
    </row>
    <row r="941">
      <c r="A941" s="4" t="n">
        <v>19920</v>
      </c>
      <c r="B941" s="5" t="n">
        <v>44614</v>
      </c>
      <c r="C941" s="13" t="inlineStr">
        <is>
          <t>VTA</t>
        </is>
      </c>
      <c r="D941" s="13" t="n">
        <v>39</v>
      </c>
      <c r="E941" s="10">
        <f>IF(D941&gt;0,VLOOKUP(OPERAC[[#This Row],[COD CART]],[1]!MatrizCortoLargoCyl[#All],3,0),"")</f>
        <v/>
      </c>
      <c r="F941" s="13" t="inlineStr">
        <is>
          <t>TSLA/V/300,00/20-01-23</t>
        </is>
      </c>
      <c r="G941" s="6" t="n">
        <v>-10</v>
      </c>
      <c r="H941" s="6" t="n">
        <v>99.17</v>
      </c>
      <c r="I941" s="7">
        <f>-H941/G941</f>
        <v/>
      </c>
      <c r="J941" s="11" t="n"/>
      <c r="K941" s="6" t="n"/>
      <c r="L941" s="6" t="n"/>
      <c r="M941" s="7">
        <f>IF(N941=0,+L941+H941,0)</f>
        <v/>
      </c>
      <c r="N941" s="7">
        <f>IF((+G941-K941)=0,0,+G941-K941)</f>
        <v/>
      </c>
      <c r="O941" s="7">
        <f>IF(N941=0,0,(L941+H941)/-N941)</f>
        <v/>
      </c>
      <c r="P941" s="7">
        <f>VLOOKUP(OPERAC[[#This Row],[especie]],[1]!ESPECIES[#All],6,0)</f>
        <v/>
      </c>
      <c r="Q941" s="7">
        <f>IF(N941&lt;&gt;0,P941*N941,0)</f>
        <v/>
      </c>
      <c r="R941" s="8">
        <f>IF(Q941&lt;&gt;0,Q941+H941+L941,0)</f>
        <v/>
      </c>
      <c r="S941" s="9">
        <f>VLOOKUP(OPERAC[[#This Row],[especie]],[1]!ESPECIES[#Data],9,FALSE)</f>
        <v/>
      </c>
    </row>
    <row r="942">
      <c r="A942" s="4" t="n">
        <v>18663</v>
      </c>
      <c r="B942" s="5" t="n">
        <v>44539</v>
      </c>
      <c r="C942" s="13" t="inlineStr">
        <is>
          <t>VTA</t>
        </is>
      </c>
      <c r="D942" s="13" t="n">
        <v>41</v>
      </c>
      <c r="E942" s="10">
        <f>IF(D942&gt;0,VLOOKUP(OPERAC[[#This Row],[COD CART]],[1]!MatrizCortoLargoCyl[#All],3,0),"")</f>
        <v/>
      </c>
      <c r="F942" s="13" t="inlineStr">
        <is>
          <t>HIMX/V/10,00/18-03-22</t>
        </is>
      </c>
      <c r="G942" s="6" t="n">
        <v>-100</v>
      </c>
      <c r="H942" s="6" t="n">
        <v>98.93000000000001</v>
      </c>
      <c r="I942" s="7">
        <f>-H942/G942</f>
        <v/>
      </c>
      <c r="J942" s="11" t="n">
        <v>44638</v>
      </c>
      <c r="K942" s="6" t="n">
        <v>-100</v>
      </c>
      <c r="L942" s="6" t="n">
        <v>0</v>
      </c>
      <c r="M942" s="7">
        <f>IF(N942=0,+L942+H942,0)</f>
        <v/>
      </c>
      <c r="N942" s="7">
        <f>IF((+G942-K942)=0,0,+G942-K942)</f>
        <v/>
      </c>
      <c r="O942" s="7">
        <f>IF(N942=0,0,(L942+H942)/-N942)</f>
        <v/>
      </c>
      <c r="P942" s="7">
        <f>VLOOKUP(OPERAC[[#This Row],[especie]],[1]!ESPECIES[#All],6,0)</f>
        <v/>
      </c>
      <c r="Q942" s="7">
        <f>IF(N942&lt;&gt;0,P942*N942,0)</f>
        <v/>
      </c>
      <c r="R942" s="8">
        <f>IF(Q942&lt;&gt;0,Q942+H942+L942,0)</f>
        <v/>
      </c>
      <c r="S942" s="9">
        <f>VLOOKUP(OPERAC[[#This Row],[especie]],[1]!ESPECIES[#Data],9,FALSE)</f>
        <v/>
      </c>
    </row>
    <row r="943">
      <c r="A943" s="4" t="n">
        <v>22407</v>
      </c>
      <c r="B943" s="5" t="n">
        <v>44543</v>
      </c>
      <c r="C943" s="13" t="inlineStr">
        <is>
          <t>VTA</t>
        </is>
      </c>
      <c r="D943" s="13" t="n">
        <v>39</v>
      </c>
      <c r="E943" s="10">
        <f>IF(D943&gt;0,VLOOKUP(OPERAC[[#This Row],[COD CART]],[1]!MatrizCortoLargoCyl[#All],3,0),"")</f>
        <v/>
      </c>
      <c r="F943" s="13" t="inlineStr">
        <is>
          <t>NKE/V/145,00/07-01-22</t>
        </is>
      </c>
      <c r="G943" s="6" t="n">
        <v>-100</v>
      </c>
      <c r="H943" s="6" t="n">
        <v>98.82600000000001</v>
      </c>
      <c r="I943" s="7">
        <f>-H943/G943</f>
        <v/>
      </c>
      <c r="J943" s="11" t="n">
        <v>44566</v>
      </c>
      <c r="K943" s="6" t="n">
        <v>-100</v>
      </c>
      <c r="L943" s="6" t="n">
        <v>-2.016</v>
      </c>
      <c r="M943" s="7">
        <f>IF(N943=0,+L943+H943,0)</f>
        <v/>
      </c>
      <c r="N943" s="7">
        <f>IF((+G943-K943)=0,0,+G943-K943)</f>
        <v/>
      </c>
      <c r="O943" s="7">
        <f>IF(N943=0,0,(L943+H943)/-N943)</f>
        <v/>
      </c>
      <c r="P943" s="7">
        <f>VLOOKUP(OPERAC[[#This Row],[especie]],[1]!ESPECIES[#All],6,0)</f>
        <v/>
      </c>
      <c r="Q943" s="7">
        <f>IF(N943&lt;&gt;0,P943*N943,0)</f>
        <v/>
      </c>
      <c r="R943" s="8">
        <f>IF(Q943&lt;&gt;0,Q943+H943+L943,0)</f>
        <v/>
      </c>
      <c r="S943" s="9">
        <f>VLOOKUP(OPERAC[[#This Row],[especie]],[1]!ESPECIES[#Data],9,FALSE)</f>
        <v/>
      </c>
    </row>
    <row r="944">
      <c r="A944" s="4" t="n">
        <v>3728</v>
      </c>
      <c r="B944" s="5" t="n">
        <v>44468</v>
      </c>
      <c r="C944" s="13" t="inlineStr">
        <is>
          <t>VTA</t>
        </is>
      </c>
      <c r="D944" s="13" t="n">
        <v>39</v>
      </c>
      <c r="E944" s="10">
        <f>IF(D944&gt;0,VLOOKUP(OPERAC[[#This Row],[COD CART]],[1]!MatrizCortoLargoCyl[#All],3,0),"")</f>
        <v/>
      </c>
      <c r="F944" s="13" t="inlineStr">
        <is>
          <t>EDIT/V/35,00/20-01-23</t>
        </is>
      </c>
      <c r="G944" s="6" t="n">
        <v>-10</v>
      </c>
      <c r="H944" s="6" t="n">
        <v>98.23</v>
      </c>
      <c r="I944" s="7">
        <f>-H944/G944</f>
        <v/>
      </c>
      <c r="J944" s="11" t="n"/>
      <c r="K944" s="6" t="n"/>
      <c r="L944" s="6" t="n"/>
      <c r="M944" s="7">
        <f>IF(N944=0,+L944+H944,0)</f>
        <v/>
      </c>
      <c r="N944" s="7">
        <f>IF((+G944-K944)=0,0,+G944-K944)</f>
        <v/>
      </c>
      <c r="O944" s="7">
        <f>IF(N944=0,0,(L944+H944)/-N944)</f>
        <v/>
      </c>
      <c r="P944" s="7">
        <f>VLOOKUP(OPERAC[[#This Row],[especie]],[1]!ESPECIES[#All],6,0)</f>
        <v/>
      </c>
      <c r="Q944" s="7">
        <f>IF(N944&lt;&gt;0,P944*N944,0)</f>
        <v/>
      </c>
      <c r="R944" s="8">
        <f>IF(Q944&lt;&gt;0,Q944+H944+L944,0)</f>
        <v/>
      </c>
      <c r="S944" s="9">
        <f>VLOOKUP(OPERAC[[#This Row],[especie]],[1]!ESPECIES[#Data],9,FALSE)</f>
        <v/>
      </c>
    </row>
    <row r="945">
      <c r="A945" s="4" t="n">
        <v>2218</v>
      </c>
      <c r="B945" s="5" t="n">
        <v>44725</v>
      </c>
      <c r="C945" s="13" t="inlineStr">
        <is>
          <t>VTA</t>
        </is>
      </c>
      <c r="D945" s="13" t="n">
        <v>39</v>
      </c>
      <c r="E945" s="10">
        <f>IF(D945&gt;0,VLOOKUP(OPERAC[[#This Row],[COD CART]],[1]!MatrizCortoLargoCyl[#All],3,0),"")</f>
        <v/>
      </c>
      <c r="F945" s="13" t="inlineStr">
        <is>
          <t>SPWR/P/25,00/20-01-23</t>
        </is>
      </c>
      <c r="G945" s="6" t="n">
        <v>-10</v>
      </c>
      <c r="H945" s="6" t="n">
        <v>96.8031</v>
      </c>
      <c r="I945" s="7">
        <f>-H945/G945</f>
        <v/>
      </c>
      <c r="J945" s="5" t="n"/>
      <c r="K945" s="6" t="n"/>
      <c r="L945" s="6" t="n"/>
      <c r="M945" s="7">
        <f>IF(N945=0,+L945+H945,0)</f>
        <v/>
      </c>
      <c r="N945" s="7">
        <f>IF((+G945-K945)=0,0,+G945-K945)</f>
        <v/>
      </c>
      <c r="O945" s="7">
        <f>IF(N945=0,0,(L945+H945)/-N945)</f>
        <v/>
      </c>
      <c r="P945" s="7">
        <f>VLOOKUP(OPERAC[[#This Row],[especie]],[1]!ESPECIES[#All],6,0)</f>
        <v/>
      </c>
      <c r="Q945" s="7">
        <f>IF(N945&lt;&gt;0,P945*N945,0)</f>
        <v/>
      </c>
      <c r="R945" s="8">
        <f>IF(Q945&lt;&gt;0,Q945+H945+L945,0)</f>
        <v/>
      </c>
      <c r="S945" s="9">
        <f>VLOOKUP(OPERAC[[#This Row],[especie]],[1]!ESPECIES[#Data],9,FALSE)</f>
        <v/>
      </c>
    </row>
    <row r="946">
      <c r="A946" s="4" t="n">
        <v>22433</v>
      </c>
      <c r="B946" s="5" t="n">
        <v>44714</v>
      </c>
      <c r="C946" s="13" t="inlineStr">
        <is>
          <t>VTA</t>
        </is>
      </c>
      <c r="D946" s="13" t="n">
        <v>39</v>
      </c>
      <c r="E946" s="10">
        <f>IF(D946&gt;0,VLOOKUP(OPERAC[[#This Row],[COD CART]],[1]!MatrizCortoLargoCyl[#All],3,0),"")</f>
        <v/>
      </c>
      <c r="F946" s="13" t="inlineStr">
        <is>
          <t>TSLA/V/660,00/03-06-22</t>
        </is>
      </c>
      <c r="G946" s="6" t="n">
        <v>-500</v>
      </c>
      <c r="H946" s="6" t="n">
        <v>95.184</v>
      </c>
      <c r="I946" s="7">
        <f>-H946/G946</f>
        <v/>
      </c>
      <c r="J946" s="5" t="n">
        <v>44715</v>
      </c>
      <c r="K946" s="6">
        <f>+OPERAC[[#This Row],[cantidad]]</f>
        <v/>
      </c>
      <c r="L946" s="6" t="n">
        <v>-46.895</v>
      </c>
      <c r="M946" s="7">
        <f>IF(N946=0,+L946+H946,0)</f>
        <v/>
      </c>
      <c r="N946" s="7">
        <f>IF((+G946-K946)=0,0,+G946-K946)</f>
        <v/>
      </c>
      <c r="O946" s="7">
        <f>IF(N946=0,0,(L946+H946)/-N946)</f>
        <v/>
      </c>
      <c r="P946" s="7">
        <f>VLOOKUP(OPERAC[[#This Row],[especie]],[1]!ESPECIES[#All],6,0)</f>
        <v/>
      </c>
      <c r="Q946" s="7">
        <f>IF(N946&lt;&gt;0,P946*N946,0)</f>
        <v/>
      </c>
      <c r="R946" s="8">
        <f>IF(Q946&lt;&gt;0,Q946+H946+L946,0)</f>
        <v/>
      </c>
      <c r="S946" s="9">
        <f>VLOOKUP(OPERAC[[#This Row],[especie]],[1]!ESPECIES[#Data],9,FALSE)</f>
        <v/>
      </c>
    </row>
    <row r="947">
      <c r="A947" s="4" t="n">
        <v>19878</v>
      </c>
      <c r="B947" s="5" t="n">
        <v>44474</v>
      </c>
      <c r="C947" s="13" t="inlineStr">
        <is>
          <t>VTA</t>
        </is>
      </c>
      <c r="D947" s="13" t="n">
        <v>39</v>
      </c>
      <c r="E947" s="10">
        <f>IF(D947&gt;0,VLOOKUP(OPERAC[[#This Row],[COD CART]],[1]!MatrizCortoLargoCyl[#All],3,0),"")</f>
        <v/>
      </c>
      <c r="F947" s="13" t="inlineStr">
        <is>
          <t>NKE/V/115,00/21-01-22</t>
        </is>
      </c>
      <c r="G947" s="6" t="n">
        <v>-100</v>
      </c>
      <c r="H947" s="6" t="n">
        <v>94.95699999999999</v>
      </c>
      <c r="I947" s="7">
        <f>-H947/G947</f>
        <v/>
      </c>
      <c r="J947" s="11" t="n">
        <v>44582</v>
      </c>
      <c r="K947" s="6">
        <f>+OPERAC[[#This Row],[cantidad]]</f>
        <v/>
      </c>
      <c r="L947" s="6" t="n">
        <v>0</v>
      </c>
      <c r="M947" s="7">
        <f>IF(N947=0,+L947+H947,0)</f>
        <v/>
      </c>
      <c r="N947" s="7">
        <f>IF((+G947-K947)=0,0,+G947-K947)</f>
        <v/>
      </c>
      <c r="O947" s="7">
        <f>IF(N947=0,0,(L947+H947)/-N947)</f>
        <v/>
      </c>
      <c r="P947" s="7">
        <f>VLOOKUP(OPERAC[[#This Row],[especie]],[1]!ESPECIES[#All],6,0)</f>
        <v/>
      </c>
      <c r="Q947" s="7">
        <f>IF(N947&lt;&gt;0,P947*N947,0)</f>
        <v/>
      </c>
      <c r="R947" s="8">
        <f>IF(Q947&lt;&gt;0,Q947+H947+L947,0)</f>
        <v/>
      </c>
      <c r="S947" s="9">
        <f>VLOOKUP(OPERAC[[#This Row],[especie]],[1]!ESPECIES[#Data],9,FALSE)</f>
        <v/>
      </c>
    </row>
    <row r="948">
      <c r="A948" s="4" t="n">
        <v>26138</v>
      </c>
      <c r="B948" s="5" t="n">
        <v>44474</v>
      </c>
      <c r="C948" s="13" t="inlineStr">
        <is>
          <t>VTA</t>
        </is>
      </c>
      <c r="D948" s="13" t="n">
        <v>39</v>
      </c>
      <c r="E948" s="10">
        <f>IF(D948&gt;0,VLOOKUP(OPERAC[[#This Row],[COD CART]],[1]!MatrizCortoLargoCyl[#All],3,0),"")</f>
        <v/>
      </c>
      <c r="F948" s="13" t="inlineStr">
        <is>
          <t>NKE/V/115,00/21-01-22</t>
        </is>
      </c>
      <c r="G948" s="6" t="n">
        <v>-100</v>
      </c>
      <c r="H948" s="6" t="n">
        <v>94.95699999999999</v>
      </c>
      <c r="I948" s="7">
        <f>-H948/G948</f>
        <v/>
      </c>
      <c r="J948" s="11" t="n">
        <v>44582</v>
      </c>
      <c r="K948" s="6">
        <f>+OPERAC[[#This Row],[cantidad]]</f>
        <v/>
      </c>
      <c r="L948" s="6" t="n">
        <v>0</v>
      </c>
      <c r="M948" s="7">
        <f>IF(N948=0,+L948+H948,0)</f>
        <v/>
      </c>
      <c r="N948" s="7">
        <f>IF((+G948-K948)=0,0,+G948-K948)</f>
        <v/>
      </c>
      <c r="O948" s="7">
        <f>IF(N948=0,0,(L948+H948)/-N948)</f>
        <v/>
      </c>
      <c r="P948" s="7">
        <f>VLOOKUP(OPERAC[[#This Row],[especie]],[1]!ESPECIES[#All],6,0)</f>
        <v/>
      </c>
      <c r="Q948" s="7">
        <f>IF(N948&lt;&gt;0,P948*N948,0)</f>
        <v/>
      </c>
      <c r="R948" s="8">
        <f>IF(Q948&lt;&gt;0,Q948+H948+L948,0)</f>
        <v/>
      </c>
      <c r="S948" s="9">
        <f>VLOOKUP(OPERAC[[#This Row],[especie]],[1]!ESPECIES[#Data],9,FALSE)</f>
        <v/>
      </c>
    </row>
    <row r="949">
      <c r="A949" s="4" t="n">
        <v>25070</v>
      </c>
      <c r="B949" s="5" t="n">
        <v>44474</v>
      </c>
      <c r="C949" s="13" t="inlineStr">
        <is>
          <t>VTA</t>
        </is>
      </c>
      <c r="D949" s="13" t="n">
        <v>39</v>
      </c>
      <c r="E949" s="10">
        <f>IF(D949&gt;0,VLOOKUP(OPERAC[[#This Row],[COD CART]],[1]!MatrizCortoLargoCyl[#All],3,0),"")</f>
        <v/>
      </c>
      <c r="F949" s="13" t="inlineStr">
        <is>
          <t>NKE/V/115,00/21-01-22</t>
        </is>
      </c>
      <c r="G949" s="6" t="n">
        <v>-100</v>
      </c>
      <c r="H949" s="6" t="n">
        <v>94.95699999999999</v>
      </c>
      <c r="I949" s="7">
        <f>-H949/G949</f>
        <v/>
      </c>
      <c r="J949" s="11" t="n">
        <v>44582</v>
      </c>
      <c r="K949" s="6">
        <f>+OPERAC[[#This Row],[cantidad]]</f>
        <v/>
      </c>
      <c r="L949" s="6" t="n">
        <v>0</v>
      </c>
      <c r="M949" s="7">
        <f>IF(N949=0,+L949+H949,0)</f>
        <v/>
      </c>
      <c r="N949" s="7">
        <f>IF((+G949-K949)=0,0,+G949-K949)</f>
        <v/>
      </c>
      <c r="O949" s="7">
        <f>IF(N949=0,0,(L949+H949)/-N949)</f>
        <v/>
      </c>
      <c r="P949" s="7">
        <f>VLOOKUP(OPERAC[[#This Row],[especie]],[1]!ESPECIES[#All],6,0)</f>
        <v/>
      </c>
      <c r="Q949" s="7">
        <f>IF(N949&lt;&gt;0,P949*N949,0)</f>
        <v/>
      </c>
      <c r="R949" s="8">
        <f>IF(Q949&lt;&gt;0,Q949+H949+L949,0)</f>
        <v/>
      </c>
      <c r="S949" s="9">
        <f>VLOOKUP(OPERAC[[#This Row],[especie]],[1]!ESPECIES[#Data],9,FALSE)</f>
        <v/>
      </c>
    </row>
    <row r="950">
      <c r="A950" s="4" t="n">
        <v>12627</v>
      </c>
      <c r="B950" s="5" t="n">
        <v>44474</v>
      </c>
      <c r="C950" s="13" t="inlineStr">
        <is>
          <t>VTA</t>
        </is>
      </c>
      <c r="D950" s="13" t="n">
        <v>39</v>
      </c>
      <c r="E950" s="10">
        <f>IF(D950&gt;0,VLOOKUP(OPERAC[[#This Row],[COD CART]],[1]!MatrizCortoLargoCyl[#All],3,0),"")</f>
        <v/>
      </c>
      <c r="F950" s="13" t="inlineStr">
        <is>
          <t>NKE/V/115,00/21-01-22</t>
        </is>
      </c>
      <c r="G950" s="6" t="n">
        <v>-100</v>
      </c>
      <c r="H950" s="6" t="n">
        <v>94.95699999999999</v>
      </c>
      <c r="I950" s="7">
        <f>-H950/G950</f>
        <v/>
      </c>
      <c r="J950" s="11" t="n">
        <v>44582</v>
      </c>
      <c r="K950" s="6">
        <f>+OPERAC[[#This Row],[cantidad]]</f>
        <v/>
      </c>
      <c r="L950" s="6" t="n">
        <v>0</v>
      </c>
      <c r="M950" s="7">
        <f>IF(N950=0,+L950+H950,0)</f>
        <v/>
      </c>
      <c r="N950" s="7">
        <f>IF((+G950-K950)=0,0,+G950-K950)</f>
        <v/>
      </c>
      <c r="O950" s="7">
        <f>IF(N950=0,0,(L950+H950)/-N950)</f>
        <v/>
      </c>
      <c r="P950" s="7">
        <f>VLOOKUP(OPERAC[[#This Row],[especie]],[1]!ESPECIES[#All],6,0)</f>
        <v/>
      </c>
      <c r="Q950" s="7">
        <f>IF(N950&lt;&gt;0,P950*N950,0)</f>
        <v/>
      </c>
      <c r="R950" s="8">
        <f>IF(Q950&lt;&gt;0,Q950+H950+L950,0)</f>
        <v/>
      </c>
      <c r="S950" s="9">
        <f>VLOOKUP(OPERAC[[#This Row],[especie]],[1]!ESPECIES[#Data],9,FALSE)</f>
        <v/>
      </c>
    </row>
    <row r="951">
      <c r="A951" s="4" t="n">
        <v>2255</v>
      </c>
      <c r="B951" s="5" t="n">
        <v>44474</v>
      </c>
      <c r="C951" s="13" t="inlineStr">
        <is>
          <t>VTA</t>
        </is>
      </c>
      <c r="D951" s="13" t="n">
        <v>39</v>
      </c>
      <c r="E951" s="10">
        <f>IF(D951&gt;0,VLOOKUP(OPERAC[[#This Row],[COD CART]],[1]!MatrizCortoLargoCyl[#All],3,0),"")</f>
        <v/>
      </c>
      <c r="F951" s="13" t="inlineStr">
        <is>
          <t>NKE/V/115,00/21-01-22</t>
        </is>
      </c>
      <c r="G951" s="6" t="n">
        <v>-100</v>
      </c>
      <c r="H951" s="6" t="n">
        <v>94.95699999999999</v>
      </c>
      <c r="I951" s="7">
        <f>-H951/G951</f>
        <v/>
      </c>
      <c r="J951" s="11" t="n">
        <v>44582</v>
      </c>
      <c r="K951" s="6">
        <f>+OPERAC[[#This Row],[cantidad]]</f>
        <v/>
      </c>
      <c r="L951" s="6" t="n">
        <v>0</v>
      </c>
      <c r="M951" s="7">
        <f>IF(N951=0,+L951+H951,0)</f>
        <v/>
      </c>
      <c r="N951" s="7">
        <f>IF((+G951-K951)=0,0,+G951-K951)</f>
        <v/>
      </c>
      <c r="O951" s="7">
        <f>IF(N951=0,0,(L951+H951)/-N951)</f>
        <v/>
      </c>
      <c r="P951" s="7">
        <f>VLOOKUP(OPERAC[[#This Row],[especie]],[1]!ESPECIES[#All],6,0)</f>
        <v/>
      </c>
      <c r="Q951" s="7">
        <f>IF(N951&lt;&gt;0,P951*N951,0)</f>
        <v/>
      </c>
      <c r="R951" s="8">
        <f>IF(Q951&lt;&gt;0,Q951+H951+L951,0)</f>
        <v/>
      </c>
      <c r="S951" s="9">
        <f>VLOOKUP(OPERAC[[#This Row],[especie]],[1]!ESPECIES[#Data],9,FALSE)</f>
        <v/>
      </c>
    </row>
    <row r="952">
      <c r="A952" s="4" t="n">
        <v>2257</v>
      </c>
      <c r="B952" s="5" t="n">
        <v>44474</v>
      </c>
      <c r="C952" s="13" t="inlineStr">
        <is>
          <t>VTA</t>
        </is>
      </c>
      <c r="D952" s="13" t="n">
        <v>39</v>
      </c>
      <c r="E952" s="10">
        <f>IF(D952&gt;0,VLOOKUP(OPERAC[[#This Row],[COD CART]],[1]!MatrizCortoLargoCyl[#All],3,0),"")</f>
        <v/>
      </c>
      <c r="F952" s="13" t="inlineStr">
        <is>
          <t>NKE/V/115,00/21-01-22</t>
        </is>
      </c>
      <c r="G952" s="6" t="n">
        <v>-100</v>
      </c>
      <c r="H952" s="6" t="n">
        <v>94.95699999999999</v>
      </c>
      <c r="I952" s="7">
        <f>-H952/G952</f>
        <v/>
      </c>
      <c r="J952" s="11" t="n">
        <v>44582</v>
      </c>
      <c r="K952" s="6">
        <f>+OPERAC[[#This Row],[cantidad]]</f>
        <v/>
      </c>
      <c r="L952" s="6" t="n">
        <v>0</v>
      </c>
      <c r="M952" s="7">
        <f>IF(N952=0,+L952+H952,0)</f>
        <v/>
      </c>
      <c r="N952" s="7">
        <f>IF((+G952-K952)=0,0,+G952-K952)</f>
        <v/>
      </c>
      <c r="O952" s="7">
        <f>IF(N952=0,0,(L952+H952)/-N952)</f>
        <v/>
      </c>
      <c r="P952" s="7">
        <f>VLOOKUP(OPERAC[[#This Row],[especie]],[1]!ESPECIES[#All],6,0)</f>
        <v/>
      </c>
      <c r="Q952" s="7">
        <f>IF(N952&lt;&gt;0,P952*N952,0)</f>
        <v/>
      </c>
      <c r="R952" s="8">
        <f>IF(Q952&lt;&gt;0,Q952+H952+L952,0)</f>
        <v/>
      </c>
      <c r="S952" s="9">
        <f>VLOOKUP(OPERAC[[#This Row],[especie]],[1]!ESPECIES[#Data],9,FALSE)</f>
        <v/>
      </c>
    </row>
    <row r="953">
      <c r="A953" s="4" t="n">
        <v>3787</v>
      </c>
      <c r="B953" s="5" t="n">
        <v>44474</v>
      </c>
      <c r="C953" s="13" t="inlineStr">
        <is>
          <t>VTA</t>
        </is>
      </c>
      <c r="D953" s="13" t="n">
        <v>39</v>
      </c>
      <c r="E953" s="10">
        <f>IF(D953&gt;0,VLOOKUP(OPERAC[[#This Row],[COD CART]],[1]!MatrizCortoLargoCyl[#All],3,0),"")</f>
        <v/>
      </c>
      <c r="F953" s="13" t="inlineStr">
        <is>
          <t>NKE/V/115,00/21-01-22</t>
        </is>
      </c>
      <c r="G953" s="6" t="n">
        <v>-100</v>
      </c>
      <c r="H953" s="6" t="n">
        <v>94.95699999999999</v>
      </c>
      <c r="I953" s="7">
        <f>-H953/G953</f>
        <v/>
      </c>
      <c r="J953" s="11" t="n">
        <v>44582</v>
      </c>
      <c r="K953" s="6">
        <f>+OPERAC[[#This Row],[cantidad]]</f>
        <v/>
      </c>
      <c r="L953" s="6" t="n">
        <v>0</v>
      </c>
      <c r="M953" s="7">
        <f>IF(N953=0,+L953+H953,0)</f>
        <v/>
      </c>
      <c r="N953" s="7">
        <f>IF((+G953-K953)=0,0,+G953-K953)</f>
        <v/>
      </c>
      <c r="O953" s="7">
        <f>IF(N953=0,0,(L953+H953)/-N953)</f>
        <v/>
      </c>
      <c r="P953" s="7">
        <f>VLOOKUP(OPERAC[[#This Row],[especie]],[1]!ESPECIES[#All],6,0)</f>
        <v/>
      </c>
      <c r="Q953" s="7">
        <f>IF(N953&lt;&gt;0,P953*N953,0)</f>
        <v/>
      </c>
      <c r="R953" s="8">
        <f>IF(Q953&lt;&gt;0,Q953+H953+L953,0)</f>
        <v/>
      </c>
      <c r="S953" s="9">
        <f>VLOOKUP(OPERAC[[#This Row],[especie]],[1]!ESPECIES[#Data],9,FALSE)</f>
        <v/>
      </c>
    </row>
    <row r="954">
      <c r="A954" s="4" t="n">
        <v>18690</v>
      </c>
      <c r="B954" s="5" t="n">
        <v>44474</v>
      </c>
      <c r="C954" s="13" t="inlineStr">
        <is>
          <t>VTA</t>
        </is>
      </c>
      <c r="D954" s="13" t="n">
        <v>39</v>
      </c>
      <c r="E954" s="10">
        <f>IF(D954&gt;0,VLOOKUP(OPERAC[[#This Row],[COD CART]],[1]!MatrizCortoLargoCyl[#All],3,0),"")</f>
        <v/>
      </c>
      <c r="F954" s="13" t="inlineStr">
        <is>
          <t>NKE/V/115,00/21-01-22</t>
        </is>
      </c>
      <c r="G954" s="6" t="n">
        <v>-100</v>
      </c>
      <c r="H954" s="6" t="n">
        <v>94.95699999999999</v>
      </c>
      <c r="I954" s="7">
        <f>-H954/G954</f>
        <v/>
      </c>
      <c r="J954" s="11" t="n">
        <v>44582</v>
      </c>
      <c r="K954" s="6">
        <f>+OPERAC[[#This Row],[cantidad]]</f>
        <v/>
      </c>
      <c r="L954" s="6" t="n">
        <v>0</v>
      </c>
      <c r="M954" s="7">
        <f>IF(N954=0,+L954+H954,0)</f>
        <v/>
      </c>
      <c r="N954" s="7">
        <f>IF((+G954-K954)=0,0,+G954-K954)</f>
        <v/>
      </c>
      <c r="O954" s="7">
        <f>IF(N954=0,0,(L954+H954)/-N954)</f>
        <v/>
      </c>
      <c r="P954" s="7">
        <f>VLOOKUP(OPERAC[[#This Row],[especie]],[1]!ESPECIES[#All],6,0)</f>
        <v/>
      </c>
      <c r="Q954" s="7">
        <f>IF(N954&lt;&gt;0,P954*N954,0)</f>
        <v/>
      </c>
      <c r="R954" s="8">
        <f>IF(Q954&lt;&gt;0,Q954+H954+L954,0)</f>
        <v/>
      </c>
      <c r="S954" s="9">
        <f>VLOOKUP(OPERAC[[#This Row],[especie]],[1]!ESPECIES[#Data],9,FALSE)</f>
        <v/>
      </c>
    </row>
    <row r="955">
      <c r="A955" s="4" t="n">
        <v>15194</v>
      </c>
      <c r="B955" s="5" t="n">
        <v>44474</v>
      </c>
      <c r="C955" s="13" t="inlineStr">
        <is>
          <t>VTA</t>
        </is>
      </c>
      <c r="D955" s="13" t="n">
        <v>39</v>
      </c>
      <c r="E955" s="10">
        <f>IF(D955&gt;0,VLOOKUP(OPERAC[[#This Row],[COD CART]],[1]!MatrizCortoLargoCyl[#All],3,0),"")</f>
        <v/>
      </c>
      <c r="F955" s="13" t="inlineStr">
        <is>
          <t>NKE/V/115,00/21-01-22</t>
        </is>
      </c>
      <c r="G955" s="6" t="n">
        <v>-100</v>
      </c>
      <c r="H955" s="6" t="n">
        <v>94.95699999999999</v>
      </c>
      <c r="I955" s="7">
        <f>-H955/G955</f>
        <v/>
      </c>
      <c r="J955" s="11" t="n">
        <v>44582</v>
      </c>
      <c r="K955" s="6">
        <f>+OPERAC[[#This Row],[cantidad]]</f>
        <v/>
      </c>
      <c r="L955" s="6" t="n">
        <v>0</v>
      </c>
      <c r="M955" s="7">
        <f>IF(N955=0,+L955+H955,0)</f>
        <v/>
      </c>
      <c r="N955" s="7">
        <f>IF((+G955-K955)=0,0,+G955-K955)</f>
        <v/>
      </c>
      <c r="O955" s="7">
        <f>IF(N955=0,0,(L955+H955)/-N955)</f>
        <v/>
      </c>
      <c r="P955" s="7">
        <f>VLOOKUP(OPERAC[[#This Row],[especie]],[1]!ESPECIES[#All],6,0)</f>
        <v/>
      </c>
      <c r="Q955" s="7">
        <f>IF(N955&lt;&gt;0,P955*N955,0)</f>
        <v/>
      </c>
      <c r="R955" s="8">
        <f>IF(Q955&lt;&gt;0,Q955+H955+L955,0)</f>
        <v/>
      </c>
      <c r="S955" s="9">
        <f>VLOOKUP(OPERAC[[#This Row],[especie]],[1]!ESPECIES[#Data],9,FALSE)</f>
        <v/>
      </c>
    </row>
    <row r="956">
      <c r="A956" s="4" t="n">
        <v>3728</v>
      </c>
      <c r="B956" s="5" t="n">
        <v>44614</v>
      </c>
      <c r="C956" s="13" t="inlineStr">
        <is>
          <t>VTA</t>
        </is>
      </c>
      <c r="D956" s="13" t="n">
        <v>39</v>
      </c>
      <c r="E956" s="10">
        <f>IF(D956&gt;0,VLOOKUP(OPERAC[[#This Row],[COD CART]],[1]!MatrizCortoLargoCyl[#All],3,0),"")</f>
        <v/>
      </c>
      <c r="F956" s="13" t="inlineStr">
        <is>
          <t>ROKU/V/85,00/16-09-22</t>
        </is>
      </c>
      <c r="G956" s="6" t="n">
        <v>-10</v>
      </c>
      <c r="H956" s="6" t="n">
        <v>94.86</v>
      </c>
      <c r="I956" s="7">
        <f>-H956/G956</f>
        <v/>
      </c>
      <c r="J956" s="11" t="n">
        <v>44672</v>
      </c>
      <c r="K956" s="6" t="n">
        <v>-10</v>
      </c>
      <c r="L956" s="6" t="n">
        <v>-95.095</v>
      </c>
      <c r="M956" s="7">
        <f>IF(N956=0,+L956+H956,0)</f>
        <v/>
      </c>
      <c r="N956" s="7">
        <f>IF((+G956-K956)=0,0,+G956-K956)</f>
        <v/>
      </c>
      <c r="O956" s="7">
        <f>IF(N956=0,0,(L956+H956)/-N956)</f>
        <v/>
      </c>
      <c r="P956" s="7">
        <f>VLOOKUP(OPERAC[[#This Row],[especie]],[1]!ESPECIES[#All],6,0)</f>
        <v/>
      </c>
      <c r="Q956" s="7">
        <f>IF(N956&lt;&gt;0,P956*N956,0)</f>
        <v/>
      </c>
      <c r="R956" s="8">
        <f>IF(Q956&lt;&gt;0,Q956+H956+L956,0)</f>
        <v/>
      </c>
      <c r="S956" s="9">
        <f>VLOOKUP(OPERAC[[#This Row],[especie]],[1]!ESPECIES[#Data],9,FALSE)</f>
        <v/>
      </c>
    </row>
    <row r="957">
      <c r="A957" s="4" t="n">
        <v>2218</v>
      </c>
      <c r="B957" s="5" t="n">
        <v>44677</v>
      </c>
      <c r="C957" s="13" t="inlineStr">
        <is>
          <t>VTA</t>
        </is>
      </c>
      <c r="D957" s="13" t="n">
        <v>39</v>
      </c>
      <c r="E957" s="10">
        <f>IF(D957&gt;0,VLOOKUP(OPERAC[[#This Row],[COD CART]],[1]!MatrizCortoLargoCyl[#All],3,0),"")</f>
        <v/>
      </c>
      <c r="F957" s="13" t="inlineStr">
        <is>
          <t>TSLA/V/400,00/20-01-23</t>
        </is>
      </c>
      <c r="G957" s="6" t="n">
        <v>-5</v>
      </c>
      <c r="H957" s="6" t="n">
        <v>92.4075</v>
      </c>
      <c r="I957" s="7">
        <f>-H957/G957</f>
        <v/>
      </c>
      <c r="J957" s="11" t="n"/>
      <c r="K957" s="6" t="n"/>
      <c r="L957" s="6" t="n"/>
      <c r="M957" s="7">
        <f>IF(N957=0,+L957+H957,0)</f>
        <v/>
      </c>
      <c r="N957" s="7">
        <f>IF((+G957-K957)=0,0,+G957-K957)</f>
        <v/>
      </c>
      <c r="O957" s="7">
        <f>IF(N957=0,0,(L957+H957)/-N957)</f>
        <v/>
      </c>
      <c r="P957" s="7">
        <f>VLOOKUP(OPERAC[[#This Row],[especie]],[1]!ESPECIES[#All],6,0)</f>
        <v/>
      </c>
      <c r="Q957" s="7">
        <f>IF(N957&lt;&gt;0,P957*N957,0)</f>
        <v/>
      </c>
      <c r="R957" s="8">
        <f>IF(Q957&lt;&gt;0,Q957+H957+L957,0)</f>
        <v/>
      </c>
      <c r="S957" s="9">
        <f>VLOOKUP(OPERAC[[#This Row],[especie]],[1]!ESPECIES[#Data],9,FALSE)</f>
        <v/>
      </c>
    </row>
    <row r="958">
      <c r="A958" s="4" t="n">
        <v>3728</v>
      </c>
      <c r="B958" s="5" t="n">
        <v>44677</v>
      </c>
      <c r="C958" s="13" t="inlineStr">
        <is>
          <t>VTA</t>
        </is>
      </c>
      <c r="D958" s="13" t="n">
        <v>39</v>
      </c>
      <c r="E958" s="10">
        <f>IF(D958&gt;0,VLOOKUP(OPERAC[[#This Row],[COD CART]],[1]!MatrizCortoLargoCyl[#All],3,0),"")</f>
        <v/>
      </c>
      <c r="F958" s="13" t="inlineStr">
        <is>
          <t>TSLA/V/400,00/20-01-23</t>
        </is>
      </c>
      <c r="G958" s="6" t="n">
        <v>-5</v>
      </c>
      <c r="H958" s="6" t="n">
        <v>92.4075</v>
      </c>
      <c r="I958" s="7">
        <f>-H958/G958</f>
        <v/>
      </c>
      <c r="J958" s="11" t="n"/>
      <c r="K958" s="6" t="n"/>
      <c r="L958" s="6" t="n"/>
      <c r="M958" s="7">
        <f>IF(N958=0,+L958+H958,0)</f>
        <v/>
      </c>
      <c r="N958" s="7">
        <f>IF((+G958-K958)=0,0,+G958-K958)</f>
        <v/>
      </c>
      <c r="O958" s="7">
        <f>IF(N958=0,0,(L958+H958)/-N958)</f>
        <v/>
      </c>
      <c r="P958" s="7">
        <f>VLOOKUP(OPERAC[[#This Row],[especie]],[1]!ESPECIES[#All],6,0)</f>
        <v/>
      </c>
      <c r="Q958" s="7">
        <f>IF(N958&lt;&gt;0,P958*N958,0)</f>
        <v/>
      </c>
      <c r="R958" s="8">
        <f>IF(Q958&lt;&gt;0,Q958+H958+L958,0)</f>
        <v/>
      </c>
      <c r="S958" s="9">
        <f>VLOOKUP(OPERAC[[#This Row],[especie]],[1]!ESPECIES[#Data],9,FALSE)</f>
        <v/>
      </c>
    </row>
    <row r="959">
      <c r="A959" s="4" t="n">
        <v>6578</v>
      </c>
      <c r="B959" s="5" t="n">
        <v>44614</v>
      </c>
      <c r="C959" s="13" t="inlineStr">
        <is>
          <t>VTA</t>
        </is>
      </c>
      <c r="D959" s="13" t="n">
        <v>39</v>
      </c>
      <c r="E959" s="10">
        <f>IF(D959&gt;0,VLOOKUP(OPERAC[[#This Row],[COD CART]],[1]!MatrizCortoLargoCyl[#All],3,0),"")</f>
        <v/>
      </c>
      <c r="F959" s="13" t="inlineStr">
        <is>
          <t>DDD/V/15,00/19-01-24</t>
        </is>
      </c>
      <c r="G959" s="6" t="n">
        <v>-20</v>
      </c>
      <c r="H959" s="6" t="n">
        <v>89.19</v>
      </c>
      <c r="I959" s="7">
        <f>-H959/G959</f>
        <v/>
      </c>
      <c r="J959" s="11" t="n"/>
      <c r="K959" s="6" t="n"/>
      <c r="L959" s="6" t="n"/>
      <c r="M959" s="7">
        <f>IF(N959=0,+L959+H959,0)</f>
        <v/>
      </c>
      <c r="N959" s="7">
        <f>IF((+G959-K959)=0,0,+G959-K959)</f>
        <v/>
      </c>
      <c r="O959" s="7">
        <f>IF(N959=0,0,(L959+H959)/-N959)</f>
        <v/>
      </c>
      <c r="P959" s="7">
        <f>VLOOKUP(OPERAC[[#This Row],[especie]],[1]!ESPECIES[#All],6,0)</f>
        <v/>
      </c>
      <c r="Q959" s="7">
        <f>IF(N959&lt;&gt;0,P959*N959,0)</f>
        <v/>
      </c>
      <c r="R959" s="8">
        <f>IF(Q959&lt;&gt;0,Q959+H959+L959,0)</f>
        <v/>
      </c>
      <c r="S959" s="9">
        <f>VLOOKUP(OPERAC[[#This Row],[especie]],[1]!ESPECIES[#Data],9,FALSE)</f>
        <v/>
      </c>
    </row>
    <row r="960">
      <c r="A960" s="4" t="n">
        <v>3728</v>
      </c>
      <c r="B960" s="5" t="n">
        <v>44701</v>
      </c>
      <c r="C960" s="13" t="inlineStr">
        <is>
          <t>VTA</t>
        </is>
      </c>
      <c r="D960" s="13" t="n">
        <v>39</v>
      </c>
      <c r="E960" s="10">
        <f>IF(D960&gt;0,VLOOKUP(OPERAC[[#This Row],[COD CART]],[1]!MatrizCortoLargoCyl[#All],3,0),"")</f>
        <v/>
      </c>
      <c r="F960" s="13" t="inlineStr">
        <is>
          <t>TSLA/P/300,00/19-01-24</t>
        </is>
      </c>
      <c r="G960" s="6" t="n">
        <v>-2</v>
      </c>
      <c r="H960" s="6" t="n">
        <v>87.91200000000001</v>
      </c>
      <c r="I960" s="7">
        <f>-H960/G960</f>
        <v/>
      </c>
      <c r="J960" s="11" t="n"/>
      <c r="K960" s="6" t="n"/>
      <c r="L960" s="6" t="n"/>
      <c r="M960" s="7">
        <f>IF(N960=0,+L960+H960,0)</f>
        <v/>
      </c>
      <c r="N960" s="7">
        <f>IF((+G960-K960)=0,0,+G960-K960)</f>
        <v/>
      </c>
      <c r="O960" s="7">
        <f>IF(N960=0,0,(L960+H960)/-N960)</f>
        <v/>
      </c>
      <c r="P960" s="7">
        <f>VLOOKUP(OPERAC[[#This Row],[especie]],[1]!ESPECIES[#All],6,0)</f>
        <v/>
      </c>
      <c r="Q960" s="7">
        <f>IF(N960&lt;&gt;0,P960*N960,0)</f>
        <v/>
      </c>
      <c r="R960" s="8">
        <f>IF(Q960&lt;&gt;0,Q960+H960+L960,0)</f>
        <v/>
      </c>
      <c r="S960" s="9">
        <f>VLOOKUP(OPERAC[[#This Row],[especie]],[1]!ESPECIES[#Data],9,FALSE)</f>
        <v/>
      </c>
    </row>
    <row r="961">
      <c r="A961" s="4" t="n">
        <v>2218</v>
      </c>
      <c r="B961" s="5" t="n">
        <v>44614</v>
      </c>
      <c r="C961" s="13" t="inlineStr">
        <is>
          <t>VTA</t>
        </is>
      </c>
      <c r="D961" s="13" t="n">
        <v>39</v>
      </c>
      <c r="E961" s="10">
        <f>IF(D961&gt;0,VLOOKUP(OPERAC[[#This Row],[COD CART]],[1]!MatrizCortoLargoCyl[#All],3,0),"")</f>
        <v/>
      </c>
      <c r="F961" s="13" t="inlineStr">
        <is>
          <t>MELI/V/540,00/20-01-23</t>
        </is>
      </c>
      <c r="G961" s="6" t="n">
        <v>-2</v>
      </c>
      <c r="H961" s="6" t="n">
        <v>87.89</v>
      </c>
      <c r="I961" s="7">
        <f>-H961/G961</f>
        <v/>
      </c>
      <c r="J961" s="11" t="n"/>
      <c r="K961" s="6" t="n"/>
      <c r="L961" s="6" t="n"/>
      <c r="M961" s="7">
        <f>IF(N961=0,+L961+H961,0)</f>
        <v/>
      </c>
      <c r="N961" s="7">
        <f>IF((+G961-K961)=0,0,+G961-K961)</f>
        <v/>
      </c>
      <c r="O961" s="7">
        <f>IF(N961=0,0,(L961+H961)/-N961)</f>
        <v/>
      </c>
      <c r="P961" s="7">
        <f>VLOOKUP(OPERAC[[#This Row],[especie]],[1]!ESPECIES[#All],6,0)</f>
        <v/>
      </c>
      <c r="Q961" s="7">
        <f>IF(N961&lt;&gt;0,P961*N961,0)</f>
        <v/>
      </c>
      <c r="R961" s="8">
        <f>IF(Q961&lt;&gt;0,Q961+H961+L961,0)</f>
        <v/>
      </c>
      <c r="S961" s="9">
        <f>VLOOKUP(OPERAC[[#This Row],[especie]],[1]!ESPECIES[#Data],9,FALSE)</f>
        <v/>
      </c>
    </row>
    <row r="962">
      <c r="A962" s="4" t="n">
        <v>2194</v>
      </c>
      <c r="B962" s="5" t="n">
        <v>44600</v>
      </c>
      <c r="C962" s="13" t="inlineStr">
        <is>
          <t>VTA</t>
        </is>
      </c>
      <c r="D962" s="13" t="n">
        <v>39</v>
      </c>
      <c r="E962" s="10">
        <f>IF(D962&gt;0,VLOOKUP(OPERAC[[#This Row],[COD CART]],[1]!MatrizCortoLargoCyl[#All],3,0),"")</f>
        <v/>
      </c>
      <c r="F962" s="13" t="inlineStr">
        <is>
          <t>DDD/V/17,00/20-01-23</t>
        </is>
      </c>
      <c r="G962" s="6" t="n">
        <v>-23</v>
      </c>
      <c r="H962" s="6">
        <f>-3.8*OPERAC[[#This Row],[cantidad]]</f>
        <v/>
      </c>
      <c r="I962" s="7">
        <f>-H962/G962</f>
        <v/>
      </c>
      <c r="J962" s="11" t="n"/>
      <c r="K962" s="6" t="n"/>
      <c r="L962" s="6" t="n"/>
      <c r="M962" s="7">
        <f>IF(N962=0,+L962+H962,0)</f>
        <v/>
      </c>
      <c r="N962" s="7">
        <f>IF((+G962-K962)=0,0,+G962-K962)</f>
        <v/>
      </c>
      <c r="O962" s="7">
        <f>IF(N962=0,0,(L962+H962)/-N962)</f>
        <v/>
      </c>
      <c r="P962" s="7">
        <f>VLOOKUP(OPERAC[[#This Row],[especie]],[1]!ESPECIES[#All],6,0)</f>
        <v/>
      </c>
      <c r="Q962" s="7">
        <f>IF(N962&lt;&gt;0,P962*N962,0)</f>
        <v/>
      </c>
      <c r="R962" s="8">
        <f>IF(Q962&lt;&gt;0,Q962+H962+L962,0)</f>
        <v/>
      </c>
      <c r="S962" s="9">
        <f>VLOOKUP(OPERAC[[#This Row],[especie]],[1]!ESPECIES[#Data],9,FALSE)</f>
        <v/>
      </c>
    </row>
    <row r="963">
      <c r="A963" s="4" t="n">
        <v>6578</v>
      </c>
      <c r="B963" s="5" t="n">
        <v>44340</v>
      </c>
      <c r="C963" s="13" t="inlineStr">
        <is>
          <t>VTA</t>
        </is>
      </c>
      <c r="D963" s="13" t="n">
        <v>39</v>
      </c>
      <c r="E963" s="10">
        <f>IF(D963&gt;0,VLOOKUP(OPERAC[[#This Row],[COD CART]],[1]!MatrizCortoLargoCyl[#All],3,0),"")</f>
        <v/>
      </c>
      <c r="F963" s="13" t="inlineStr">
        <is>
          <t>SOLO/V/3,50/21-01-22</t>
        </is>
      </c>
      <c r="G963" s="6" t="n">
        <v>-100</v>
      </c>
      <c r="H963" s="6" t="n">
        <v>87.08549999999998</v>
      </c>
      <c r="I963" s="7">
        <f>-H963/G963</f>
        <v/>
      </c>
      <c r="J963" s="11" t="n">
        <v>44579</v>
      </c>
      <c r="K963" s="6">
        <f>+OPERAC[[#This Row],[cantidad]]</f>
        <v/>
      </c>
      <c r="L963" s="6">
        <f>-OPERAC[[#This Row],[importe]]</f>
        <v/>
      </c>
      <c r="M963" s="7">
        <f>IF(N963=0,+L963+H963,0)</f>
        <v/>
      </c>
      <c r="N963" s="7">
        <f>IF((+G963-K963)=0,0,+G963-K963)</f>
        <v/>
      </c>
      <c r="O963" s="7">
        <f>IF(N963=0,0,(L963+H963)/-N963)</f>
        <v/>
      </c>
      <c r="P963" s="7">
        <f>VLOOKUP(OPERAC[[#This Row],[especie]],[1]!ESPECIES[#All],6,0)</f>
        <v/>
      </c>
      <c r="Q963" s="7">
        <f>IF(N963&lt;&gt;0,P963*N963,0)</f>
        <v/>
      </c>
      <c r="R963" s="8">
        <f>IF(Q963&lt;&gt;0,Q963+H963+L963,0)</f>
        <v/>
      </c>
      <c r="S963" s="9">
        <f>VLOOKUP(OPERAC[[#This Row],[especie]],[1]!ESPECIES[#Data],9,FALSE)</f>
        <v/>
      </c>
    </row>
    <row r="964">
      <c r="A964" s="4" t="n">
        <v>19932</v>
      </c>
      <c r="B964" s="5" t="n">
        <v>44629</v>
      </c>
      <c r="C964" s="13" t="inlineStr">
        <is>
          <t>VTA</t>
        </is>
      </c>
      <c r="D964" s="13" t="n">
        <v>39</v>
      </c>
      <c r="E964" s="10">
        <f>IF(D964&gt;0,VLOOKUP(OPERAC[[#This Row],[COD CART]],[1]!MatrizCortoLargoCyl[#All],3,0),"")</f>
        <v/>
      </c>
      <c r="F964" s="13" t="inlineStr">
        <is>
          <t>TSLA/V/360,00/16-09-22</t>
        </is>
      </c>
      <c r="G964" s="6" t="n">
        <v>-10</v>
      </c>
      <c r="H964" s="6" t="n">
        <v>86.2764</v>
      </c>
      <c r="I964" s="7">
        <f>-H964/G964</f>
        <v/>
      </c>
      <c r="J964" s="11" t="n"/>
      <c r="K964" s="6" t="n"/>
      <c r="L964" s="6" t="n"/>
      <c r="M964" s="7">
        <f>IF(N964=0,+L964+H964,0)</f>
        <v/>
      </c>
      <c r="N964" s="7">
        <f>IF((+G964-K964)=0,0,+G964-K964)</f>
        <v/>
      </c>
      <c r="O964" s="7">
        <f>IF(N964=0,0,(L964+H964)/-N964)</f>
        <v/>
      </c>
      <c r="P964" s="7">
        <f>VLOOKUP(OPERAC[[#This Row],[especie]],[1]!ESPECIES[#All],6,0)</f>
        <v/>
      </c>
      <c r="Q964" s="7">
        <f>IF(N964&lt;&gt;0,P964*N964,0)</f>
        <v/>
      </c>
      <c r="R964" s="8">
        <f>IF(Q964&lt;&gt;0,Q964+H964+L964,0)</f>
        <v/>
      </c>
      <c r="S964" s="9">
        <f>VLOOKUP(OPERAC[[#This Row],[especie]],[1]!ESPECIES[#Data],9,FALSE)</f>
        <v/>
      </c>
    </row>
    <row r="965">
      <c r="A965" s="4" t="n">
        <v>6578</v>
      </c>
      <c r="B965" s="5" t="n">
        <v>44608</v>
      </c>
      <c r="C965" s="13" t="inlineStr">
        <is>
          <t>VTA</t>
        </is>
      </c>
      <c r="D965" s="13" t="n">
        <v>39</v>
      </c>
      <c r="E965" s="10">
        <f>IF(D965&gt;0,VLOOKUP(OPERAC[[#This Row],[COD CART]],[1]!MatrizCortoLargoCyl[#All],3,0),"")</f>
        <v/>
      </c>
      <c r="F965" s="13" t="inlineStr">
        <is>
          <t>SOLO/V/3,00/18-03-22</t>
        </is>
      </c>
      <c r="G965" s="6" t="n">
        <v>-100</v>
      </c>
      <c r="H965" s="6" t="n">
        <v>85.504</v>
      </c>
      <c r="I965" s="7">
        <f>-H965/G965</f>
        <v/>
      </c>
      <c r="J965" s="11" t="n">
        <v>44614</v>
      </c>
      <c r="K965" s="6">
        <f>+OPERAC[[#This Row],[cantidad]]</f>
        <v/>
      </c>
      <c r="L965" s="6">
        <f>+OPERAC[[#This Row],[cantidad venta]]*1.113</f>
        <v/>
      </c>
      <c r="M965" s="7">
        <f>IF(N965=0,+L965+H965,0)</f>
        <v/>
      </c>
      <c r="N965" s="7">
        <f>IF((+G965-K965)=0,0,+G965-K965)</f>
        <v/>
      </c>
      <c r="O965" s="7">
        <f>IF(N965=0,0,(L965+H965)/-N965)</f>
        <v/>
      </c>
      <c r="P965" s="7">
        <f>VLOOKUP(OPERAC[[#This Row],[especie]],[1]!ESPECIES[#All],6,0)</f>
        <v/>
      </c>
      <c r="Q965" s="7">
        <f>IF(N965&lt;&gt;0,P965*N965,0)</f>
        <v/>
      </c>
      <c r="R965" s="8">
        <f>IF(Q965&lt;&gt;0,Q965+H965+L965,0)</f>
        <v/>
      </c>
      <c r="S965" s="9">
        <f>VLOOKUP(OPERAC[[#This Row],[especie]],[1]!ESPECIES[#Data],9,FALSE)</f>
        <v/>
      </c>
    </row>
    <row r="966">
      <c r="A966" s="4" t="n">
        <v>18651</v>
      </c>
      <c r="B966" s="5" t="n">
        <v>44725</v>
      </c>
      <c r="C966" s="13" t="inlineStr">
        <is>
          <t>VTA</t>
        </is>
      </c>
      <c r="D966" s="13" t="n">
        <v>39</v>
      </c>
      <c r="E966" s="10">
        <f>IF(D966&gt;0,VLOOKUP(OPERAC[[#This Row],[COD CART]],[1]!MatrizCortoLargoCyl[#All],3,0),"")</f>
        <v/>
      </c>
      <c r="F966" s="13" t="inlineStr">
        <is>
          <t>HIMX/V/10,00/20-01-23</t>
        </is>
      </c>
      <c r="G966" s="6" t="n">
        <v>-30</v>
      </c>
      <c r="H966" s="6" t="n">
        <v>84.77325</v>
      </c>
      <c r="I966" s="7">
        <f>-H966/G966</f>
        <v/>
      </c>
      <c r="J966" s="5" t="n"/>
      <c r="K966" s="6" t="n"/>
      <c r="L966" s="6" t="n"/>
      <c r="M966" s="7">
        <f>IF(N966=0,+L966+H966,0)</f>
        <v/>
      </c>
      <c r="N966" s="7">
        <f>IF((+G966-K966)=0,0,+G966-K966)</f>
        <v/>
      </c>
      <c r="O966" s="7">
        <f>IF(N966=0,0,(L966+H966)/-N966)</f>
        <v/>
      </c>
      <c r="P966" s="7">
        <f>VLOOKUP(OPERAC[[#This Row],[especie]],[1]!ESPECIES[#All],6,0)</f>
        <v/>
      </c>
      <c r="Q966" s="7">
        <f>IF(N966&lt;&gt;0,P966*N966,0)</f>
        <v/>
      </c>
      <c r="R966" s="8">
        <f>IF(Q966&lt;&gt;0,Q966+H966+L966,0)</f>
        <v/>
      </c>
      <c r="S966" s="9">
        <f>VLOOKUP(OPERAC[[#This Row],[especie]],[1]!ESPECIES[#Data],9,FALSE)</f>
        <v/>
      </c>
    </row>
    <row r="967">
      <c r="A967" s="4" t="n">
        <v>10079</v>
      </c>
      <c r="B967" s="5" t="n">
        <v>44610</v>
      </c>
      <c r="C967" s="13" t="inlineStr">
        <is>
          <t>VTA</t>
        </is>
      </c>
      <c r="D967" s="13" t="n">
        <v>39</v>
      </c>
      <c r="E967" s="10">
        <f>IF(D967&gt;0,VLOOKUP(OPERAC[[#This Row],[COD CART]],[1]!MatrizCortoLargoCyl[#All],3,0),"")</f>
        <v/>
      </c>
      <c r="F967" s="13" t="inlineStr">
        <is>
          <t>MELI/V/540,00/16-09-22</t>
        </is>
      </c>
      <c r="G967" s="6" t="n">
        <v>-3</v>
      </c>
      <c r="H967" s="6" t="n">
        <v>83.31999999999999</v>
      </c>
      <c r="I967" s="7">
        <f>-H967/G967</f>
        <v/>
      </c>
      <c r="J967" s="11" t="n"/>
      <c r="K967" s="6" t="n"/>
      <c r="L967" s="6" t="n"/>
      <c r="M967" s="7">
        <f>IF(N967=0,+L967+H967,0)</f>
        <v/>
      </c>
      <c r="N967" s="7">
        <f>IF((+G967-K967)=0,0,+G967-K967)</f>
        <v/>
      </c>
      <c r="O967" s="7">
        <f>IF(N967=0,0,(L967+H967)/-N967)</f>
        <v/>
      </c>
      <c r="P967" s="7">
        <f>VLOOKUP(OPERAC[[#This Row],[especie]],[1]!ESPECIES[#All],6,0)</f>
        <v/>
      </c>
      <c r="Q967" s="7">
        <f>IF(N967&lt;&gt;0,P967*N967,0)</f>
        <v/>
      </c>
      <c r="R967" s="8">
        <f>IF(Q967&lt;&gt;0,Q967+H967+L967,0)</f>
        <v/>
      </c>
      <c r="S967" s="9">
        <f>VLOOKUP(OPERAC[[#This Row],[especie]],[1]!ESPECIES[#Data],9,FALSE)</f>
        <v/>
      </c>
    </row>
    <row r="968">
      <c r="A968" s="4" t="n">
        <v>13246</v>
      </c>
      <c r="B968" s="5" t="n">
        <v>44610</v>
      </c>
      <c r="C968" s="13" t="inlineStr">
        <is>
          <t>VTA</t>
        </is>
      </c>
      <c r="D968" s="13" t="n">
        <v>39</v>
      </c>
      <c r="E968" s="10">
        <f>IF(D968&gt;0,VLOOKUP(OPERAC[[#This Row],[COD CART]],[1]!MatrizCortoLargoCyl[#All],3,0),"")</f>
        <v/>
      </c>
      <c r="F968" s="13" t="inlineStr">
        <is>
          <t>MELI/V/540,00/16-09-22</t>
        </is>
      </c>
      <c r="G968" s="6" t="n">
        <v>-3</v>
      </c>
      <c r="H968" s="6" t="n">
        <v>83.31999999999999</v>
      </c>
      <c r="I968" s="7">
        <f>-H968/G968</f>
        <v/>
      </c>
      <c r="J968" s="11" t="n"/>
      <c r="K968" s="6" t="n"/>
      <c r="L968" s="6" t="n"/>
      <c r="M968" s="7">
        <f>IF(N968=0,+L968+H968,0)</f>
        <v/>
      </c>
      <c r="N968" s="7">
        <f>IF((+G968-K968)=0,0,+G968-K968)</f>
        <v/>
      </c>
      <c r="O968" s="7">
        <f>IF(N968=0,0,(L968+H968)/-N968)</f>
        <v/>
      </c>
      <c r="P968" s="7">
        <f>VLOOKUP(OPERAC[[#This Row],[especie]],[1]!ESPECIES[#All],6,0)</f>
        <v/>
      </c>
      <c r="Q968" s="7">
        <f>IF(N968&lt;&gt;0,P968*N968,0)</f>
        <v/>
      </c>
      <c r="R968" s="8">
        <f>IF(Q968&lt;&gt;0,Q968+H968+L968,0)</f>
        <v/>
      </c>
      <c r="S968" s="9">
        <f>VLOOKUP(OPERAC[[#This Row],[especie]],[1]!ESPECIES[#Data],9,FALSE)</f>
        <v/>
      </c>
    </row>
    <row r="969">
      <c r="A969" s="4" t="n">
        <v>18663</v>
      </c>
      <c r="B969" s="5" t="n">
        <v>44651</v>
      </c>
      <c r="C969" s="13" t="inlineStr">
        <is>
          <t>VTA</t>
        </is>
      </c>
      <c r="D969" s="13" t="n">
        <v>41</v>
      </c>
      <c r="E969" s="10">
        <f>IF(D969&gt;0,VLOOKUP(OPERAC[[#This Row],[COD CART]],[1]!MatrizCortoLargoCyl[#All],3,0),"")</f>
        <v/>
      </c>
      <c r="F969" s="13" t="inlineStr">
        <is>
          <t>HIMX/V/10,00/17-06-22</t>
        </is>
      </c>
      <c r="G969" s="6" t="n">
        <v>-100</v>
      </c>
      <c r="H969" s="6" t="n">
        <v>83.27</v>
      </c>
      <c r="I969" s="7">
        <f>-H969/G969</f>
        <v/>
      </c>
      <c r="J969" s="11" t="n"/>
      <c r="K969" s="6" t="n"/>
      <c r="L969" s="6" t="n"/>
      <c r="M969" s="7">
        <f>IF(N969=0,+L969+H969,0)</f>
        <v/>
      </c>
      <c r="N969" s="7">
        <f>IF((+G969-K969)=0,0,+G969-K969)</f>
        <v/>
      </c>
      <c r="O969" s="7">
        <f>IF(N969=0,0,(L969+H969)/-N969)</f>
        <v/>
      </c>
      <c r="P969" s="7">
        <f>VLOOKUP(OPERAC[[#This Row],[especie]],[1]!ESPECIES[#All],6,0)</f>
        <v/>
      </c>
      <c r="Q969" s="7">
        <f>IF(N969&lt;&gt;0,P969*N969,0)</f>
        <v/>
      </c>
      <c r="R969" s="8">
        <f>IF(Q969&lt;&gt;0,Q969+H969+L969,0)</f>
        <v/>
      </c>
      <c r="S969" s="9">
        <f>VLOOKUP(OPERAC[[#This Row],[especie]],[1]!ESPECIES[#Data],9,FALSE)</f>
        <v/>
      </c>
    </row>
    <row r="970">
      <c r="A970" s="4" t="n">
        <v>13253</v>
      </c>
      <c r="B970" s="5" t="n">
        <v>44435</v>
      </c>
      <c r="C970" s="13" t="inlineStr">
        <is>
          <t>VTA</t>
        </is>
      </c>
      <c r="D970" s="13" t="n">
        <v>41</v>
      </c>
      <c r="E970" s="10">
        <f>IF(D970&gt;0,VLOOKUP(OPERAC[[#This Row],[COD CART]],[1]!MatrizCortoLargoCyl[#All],3,0),"")</f>
        <v/>
      </c>
      <c r="F970" s="13" t="inlineStr">
        <is>
          <t>EDU/V/20,00/20-01-23</t>
        </is>
      </c>
      <c r="G970" s="6" t="n">
        <v>-100</v>
      </c>
      <c r="H970" s="6" t="n">
        <v>83.005</v>
      </c>
      <c r="I970" s="7">
        <f>-H970/G970</f>
        <v/>
      </c>
      <c r="J970" s="11" t="n"/>
      <c r="K970" s="6" t="n"/>
      <c r="L970" s="6" t="n"/>
      <c r="M970" s="7">
        <f>IF(N970=0,+L970+H970,0)</f>
        <v/>
      </c>
      <c r="N970" s="7">
        <f>IF((+G970-K970)=0,0,+G970-K970)</f>
        <v/>
      </c>
      <c r="O970" s="7">
        <f>IF(N970=0,0,(L970+H970)/-N970)</f>
        <v/>
      </c>
      <c r="P970" s="7">
        <f>VLOOKUP(OPERAC[[#This Row],[especie]],[1]!ESPECIES[#All],6,0)</f>
        <v/>
      </c>
      <c r="Q970" s="7">
        <f>IF(N970&lt;&gt;0,P970*N970,0)</f>
        <v/>
      </c>
      <c r="R970" s="8">
        <f>IF(Q970&lt;&gt;0,Q970+H970+L970,0)</f>
        <v/>
      </c>
      <c r="S970" s="9">
        <f>VLOOKUP(OPERAC[[#This Row],[especie]],[1]!ESPECIES[#Data],9,FALSE)</f>
        <v/>
      </c>
    </row>
    <row r="971">
      <c r="A971" s="4" t="n">
        <v>3728</v>
      </c>
      <c r="B971" s="5" t="n">
        <v>44509</v>
      </c>
      <c r="C971" s="13" t="inlineStr">
        <is>
          <t>VTA</t>
        </is>
      </c>
      <c r="D971" s="13" t="n">
        <v>39</v>
      </c>
      <c r="E971" s="10">
        <f>IF(D971&gt;0,VLOOKUP(OPERAC[[#This Row],[COD CART]],[1]!MatrizCortoLargoCyl[#All],3,0),"")</f>
        <v/>
      </c>
      <c r="F971" s="13" t="inlineStr">
        <is>
          <t>TLRY/V/10,00/19-01-24</t>
        </is>
      </c>
      <c r="G971" s="6" t="n">
        <v>-20</v>
      </c>
      <c r="H971" s="6" t="n">
        <v>81.86</v>
      </c>
      <c r="I971" s="7">
        <f>-H971/G971</f>
        <v/>
      </c>
      <c r="J971" s="11" t="n">
        <v>44637</v>
      </c>
      <c r="K971" s="6" t="n">
        <v>-20</v>
      </c>
      <c r="L971" s="6" t="n">
        <v>-121.84</v>
      </c>
      <c r="M971" s="7">
        <f>IF(N971=0,+L971+H971,0)</f>
        <v/>
      </c>
      <c r="N971" s="7">
        <f>IF((+G971-K971)=0,0,+G971-K971)</f>
        <v/>
      </c>
      <c r="O971" s="7">
        <f>IF(N971=0,0,(L971+H971)/-N971)</f>
        <v/>
      </c>
      <c r="P971" s="7">
        <f>VLOOKUP(OPERAC[[#This Row],[especie]],[1]!ESPECIES[#All],6,0)</f>
        <v/>
      </c>
      <c r="Q971" s="7">
        <f>IF(N971&lt;&gt;0,P971*N971,0)</f>
        <v/>
      </c>
      <c r="R971" s="8">
        <f>IF(Q971&lt;&gt;0,Q971+H971+L971,0)</f>
        <v/>
      </c>
      <c r="S971" s="9">
        <f>VLOOKUP(OPERAC[[#This Row],[especie]],[1]!ESPECIES[#Data],9,FALSE)</f>
        <v/>
      </c>
    </row>
    <row r="972">
      <c r="A972" s="4" t="n">
        <v>18677</v>
      </c>
      <c r="B972" s="5" t="n">
        <v>44414</v>
      </c>
      <c r="C972" s="13" t="inlineStr">
        <is>
          <t>VTA</t>
        </is>
      </c>
      <c r="D972" s="13" t="n">
        <v>39</v>
      </c>
      <c r="E972" s="10">
        <f>IF(D972&gt;0,VLOOKUP(OPERAC[[#This Row],[COD CART]],[1]!MatrizCortoLargoCyl[#All],3,0),"")</f>
        <v/>
      </c>
      <c r="F972" s="13" t="inlineStr">
        <is>
          <t>YPF/V/5,00/21-01-22</t>
        </is>
      </c>
      <c r="G972" s="6" t="n">
        <v>-100</v>
      </c>
      <c r="H972" s="6" t="n">
        <v>79.69</v>
      </c>
      <c r="I972" s="7">
        <f>-H972/G972</f>
        <v/>
      </c>
      <c r="J972" s="11" t="n">
        <v>44579</v>
      </c>
      <c r="K972" s="6" t="n">
        <v>-100</v>
      </c>
      <c r="L972" s="6" t="n">
        <v>-74.27500000000001</v>
      </c>
      <c r="M972" s="7">
        <f>IF(N972=0,+L972+H972,0)</f>
        <v/>
      </c>
      <c r="N972" s="7">
        <f>IF((+G972-K972)=0,0,+G972-K972)</f>
        <v/>
      </c>
      <c r="O972" s="7">
        <f>IF(N972=0,0,(L972+H972)/-N972)</f>
        <v/>
      </c>
      <c r="P972" s="7">
        <f>VLOOKUP(OPERAC[[#This Row],[especie]],[1]!ESPECIES[#All],6,0)</f>
        <v/>
      </c>
      <c r="Q972" s="7">
        <f>IF(N972&lt;&gt;0,P972*N972,0)</f>
        <v/>
      </c>
      <c r="R972" s="8">
        <f>IF(Q972&lt;&gt;0,Q972+H972+L972,0)</f>
        <v/>
      </c>
      <c r="S972" s="9">
        <f>VLOOKUP(OPERAC[[#This Row],[especie]],[1]!ESPECIES[#Data],9,FALSE)</f>
        <v/>
      </c>
    </row>
    <row r="973">
      <c r="A973" s="4" t="n">
        <v>3728</v>
      </c>
      <c r="B973" s="5" t="n">
        <v>44672</v>
      </c>
      <c r="C973" s="13" t="inlineStr">
        <is>
          <t>VTA</t>
        </is>
      </c>
      <c r="D973" s="13" t="n">
        <v>39</v>
      </c>
      <c r="E973" s="10">
        <f>IF(D973&gt;0,VLOOKUP(OPERAC[[#This Row],[COD CART]],[1]!MatrizCortoLargoCyl[#All],3,0),"")</f>
        <v/>
      </c>
      <c r="F973" s="13" t="inlineStr">
        <is>
          <t>AMD/V/80,00/20-01-23</t>
        </is>
      </c>
      <c r="G973" s="6" t="n">
        <v>-10</v>
      </c>
      <c r="H973" s="6" t="n">
        <v>78.92100000000001</v>
      </c>
      <c r="I973" s="7">
        <f>-H973/G973</f>
        <v/>
      </c>
      <c r="J973" s="11" t="n"/>
      <c r="K973" s="6" t="n"/>
      <c r="L973" s="6" t="n"/>
      <c r="M973" s="7">
        <f>IF(N973=0,+L973+H973,0)</f>
        <v/>
      </c>
      <c r="N973" s="7">
        <f>IF((+G973-K973)=0,0,+G973-K973)</f>
        <v/>
      </c>
      <c r="O973" s="7">
        <f>IF(N973=0,0,(L973+H973)/-N973)</f>
        <v/>
      </c>
      <c r="P973" s="7">
        <f>VLOOKUP(OPERAC[[#This Row],[especie]],[1]!ESPECIES[#All],6,0)</f>
        <v/>
      </c>
      <c r="Q973" s="7">
        <f>IF(N973&lt;&gt;0,P973*N973,0)</f>
        <v/>
      </c>
      <c r="R973" s="8">
        <f>IF(Q973&lt;&gt;0,Q973+H973+L973,0)</f>
        <v/>
      </c>
      <c r="S973" s="9">
        <f>VLOOKUP(OPERAC[[#This Row],[especie]],[1]!ESPECIES[#Data],9,FALSE)</f>
        <v/>
      </c>
    </row>
    <row r="974">
      <c r="A974" s="4" t="n">
        <v>19932</v>
      </c>
      <c r="B974" s="5" t="n">
        <v>44629</v>
      </c>
      <c r="C974" s="13" t="inlineStr">
        <is>
          <t>VTA</t>
        </is>
      </c>
      <c r="D974" s="13" t="n">
        <v>39</v>
      </c>
      <c r="E974" s="10">
        <f>IF(D974&gt;0,VLOOKUP(OPERAC[[#This Row],[COD CART]],[1]!MatrizCortoLargoCyl[#All],3,0),"")</f>
        <v/>
      </c>
      <c r="F974" s="13" t="inlineStr">
        <is>
          <t>MELI/V/540,00/16-09-22</t>
        </is>
      </c>
      <c r="G974" s="6" t="n">
        <v>-3</v>
      </c>
      <c r="H974" s="6" t="n">
        <v>77.376</v>
      </c>
      <c r="I974" s="7">
        <f>-H974/G974</f>
        <v/>
      </c>
      <c r="J974" s="11" t="n"/>
      <c r="K974" s="6" t="n"/>
      <c r="L974" s="6" t="n"/>
      <c r="M974" s="7">
        <f>IF(N974=0,+L974+H974,0)</f>
        <v/>
      </c>
      <c r="N974" s="7">
        <f>IF((+G974-K974)=0,0,+G974-K974)</f>
        <v/>
      </c>
      <c r="O974" s="7">
        <f>IF(N974=0,0,(L974+H974)/-N974)</f>
        <v/>
      </c>
      <c r="P974" s="7">
        <f>VLOOKUP(OPERAC[[#This Row],[especie]],[1]!ESPECIES[#All],6,0)</f>
        <v/>
      </c>
      <c r="Q974" s="7">
        <f>IF(N974&lt;&gt;0,P974*N974,0)</f>
        <v/>
      </c>
      <c r="R974" s="8">
        <f>IF(Q974&lt;&gt;0,Q974+H974+L974,0)</f>
        <v/>
      </c>
      <c r="S974" s="9">
        <f>VLOOKUP(OPERAC[[#This Row],[especie]],[1]!ESPECIES[#Data],9,FALSE)</f>
        <v/>
      </c>
    </row>
    <row r="975">
      <c r="A975" s="4" t="n">
        <v>13204</v>
      </c>
      <c r="B975" s="5" t="n">
        <v>44564</v>
      </c>
      <c r="C975" s="13" t="inlineStr">
        <is>
          <t>VTA</t>
        </is>
      </c>
      <c r="D975" s="13" t="n">
        <v>39</v>
      </c>
      <c r="E975" s="10">
        <f>IF(D975&gt;0,VLOOKUP(OPERAC[[#This Row],[COD CART]],[1]!MatrizCortoLargoCyl[#All],3,0),"")</f>
        <v/>
      </c>
      <c r="F975" s="13" t="inlineStr">
        <is>
          <t>TSLA/V/975,00/07-01-22</t>
        </is>
      </c>
      <c r="G975" s="6" t="n">
        <v>-100</v>
      </c>
      <c r="H975" s="6" t="n">
        <v>77.2578</v>
      </c>
      <c r="I975" s="7">
        <f>-H975/G975</f>
        <v/>
      </c>
      <c r="J975" s="11" t="n">
        <v>44567</v>
      </c>
      <c r="K975" s="6" t="n">
        <v>-100</v>
      </c>
      <c r="L975" s="6" t="n">
        <v>-77.26000000000001</v>
      </c>
      <c r="M975" s="7">
        <f>IF(N975=0,+L975+H975,0)</f>
        <v/>
      </c>
      <c r="N975" s="7">
        <f>IF((+G975-K975)=0,0,+G975-K975)</f>
        <v/>
      </c>
      <c r="O975" s="7">
        <f>IF(N975=0,0,(L975+H975)/-N975)</f>
        <v/>
      </c>
      <c r="P975" s="7">
        <f>VLOOKUP(OPERAC[[#This Row],[especie]],[1]!ESPECIES[#All],6,0)</f>
        <v/>
      </c>
      <c r="Q975" s="7">
        <f>IF(N975&lt;&gt;0,P975*N975,0)</f>
        <v/>
      </c>
      <c r="R975" s="8">
        <f>IF(Q975&lt;&gt;0,Q975+H975+L975,0)</f>
        <v/>
      </c>
      <c r="S975" s="9">
        <f>VLOOKUP(OPERAC[[#This Row],[especie]],[1]!ESPECIES[#Data],9,FALSE)</f>
        <v/>
      </c>
    </row>
    <row r="976">
      <c r="A976" s="4" t="n">
        <v>6599</v>
      </c>
      <c r="B976" s="5" t="n">
        <v>44564</v>
      </c>
      <c r="C976" s="13" t="inlineStr">
        <is>
          <t>VTA</t>
        </is>
      </c>
      <c r="D976" s="13" t="n">
        <v>39</v>
      </c>
      <c r="E976" s="10">
        <f>IF(D976&gt;0,VLOOKUP(OPERAC[[#This Row],[COD CART]],[1]!MatrizCortoLargoCyl[#All],3,0),"")</f>
        <v/>
      </c>
      <c r="F976" s="13" t="inlineStr">
        <is>
          <t>TSLA/V/975,00/07-01-22</t>
        </is>
      </c>
      <c r="G976" s="6" t="n">
        <v>-100</v>
      </c>
      <c r="H976" s="6" t="n">
        <v>77.2578</v>
      </c>
      <c r="I976" s="7">
        <f>-H976/G976</f>
        <v/>
      </c>
      <c r="J976" s="11" t="n">
        <v>44567</v>
      </c>
      <c r="K976" s="6" t="n">
        <v>-100</v>
      </c>
      <c r="L976" s="6" t="n">
        <v>-77.26000000000001</v>
      </c>
      <c r="M976" s="7">
        <f>IF(N976=0,+L976+H976,0)</f>
        <v/>
      </c>
      <c r="N976" s="7">
        <f>IF((+G976-K976)=0,0,+G976-K976)</f>
        <v/>
      </c>
      <c r="O976" s="7">
        <f>IF(N976=0,0,(L976+H976)/-N976)</f>
        <v/>
      </c>
      <c r="P976" s="7">
        <f>VLOOKUP(OPERAC[[#This Row],[especie]],[1]!ESPECIES[#All],6,0)</f>
        <v/>
      </c>
      <c r="Q976" s="7">
        <f>IF(N976&lt;&gt;0,P976*N976,0)</f>
        <v/>
      </c>
      <c r="R976" s="8">
        <f>IF(Q976&lt;&gt;0,Q976+H976+L976,0)</f>
        <v/>
      </c>
      <c r="S976" s="9">
        <f>VLOOKUP(OPERAC[[#This Row],[especie]],[1]!ESPECIES[#Data],9,FALSE)</f>
        <v/>
      </c>
    </row>
    <row r="977">
      <c r="A977" s="4" t="n">
        <v>22407</v>
      </c>
      <c r="B977" s="5" t="n">
        <v>44564</v>
      </c>
      <c r="C977" s="13" t="inlineStr">
        <is>
          <t>VTA</t>
        </is>
      </c>
      <c r="D977" s="13" t="n">
        <v>39</v>
      </c>
      <c r="E977" s="10">
        <f>IF(D977&gt;0,VLOOKUP(OPERAC[[#This Row],[COD CART]],[1]!MatrizCortoLargoCyl[#All],3,0),"")</f>
        <v/>
      </c>
      <c r="F977" s="13" t="inlineStr">
        <is>
          <t>TSLA/V/975,00/07-01-22</t>
        </is>
      </c>
      <c r="G977" s="6" t="n">
        <v>-100</v>
      </c>
      <c r="H977" s="6" t="n">
        <v>77.2578</v>
      </c>
      <c r="I977" s="7">
        <f>-H977/G977</f>
        <v/>
      </c>
      <c r="J977" s="11" t="n">
        <v>44567</v>
      </c>
      <c r="K977" s="6" t="n">
        <v>-100</v>
      </c>
      <c r="L977" s="6" t="n">
        <v>-77.26000000000001</v>
      </c>
      <c r="M977" s="7">
        <f>IF(N977=0,+L977+H977,0)</f>
        <v/>
      </c>
      <c r="N977" s="7">
        <f>IF((+G977-K977)=0,0,+G977-K977)</f>
        <v/>
      </c>
      <c r="O977" s="7">
        <f>IF(N977=0,0,(L977+H977)/-N977)</f>
        <v/>
      </c>
      <c r="P977" s="7">
        <f>VLOOKUP(OPERAC[[#This Row],[especie]],[1]!ESPECIES[#All],6,0)</f>
        <v/>
      </c>
      <c r="Q977" s="7">
        <f>IF(N977&lt;&gt;0,P977*N977,0)</f>
        <v/>
      </c>
      <c r="R977" s="8">
        <f>IF(Q977&lt;&gt;0,Q977+H977+L977,0)</f>
        <v/>
      </c>
      <c r="S977" s="9">
        <f>VLOOKUP(OPERAC[[#This Row],[especie]],[1]!ESPECIES[#Data],9,FALSE)</f>
        <v/>
      </c>
    </row>
    <row r="978">
      <c r="A978" s="4" t="n">
        <v>22421</v>
      </c>
      <c r="B978" s="5" t="n">
        <v>44564</v>
      </c>
      <c r="C978" s="13" t="inlineStr">
        <is>
          <t>VTA</t>
        </is>
      </c>
      <c r="D978" s="13" t="n">
        <v>39</v>
      </c>
      <c r="E978" s="10">
        <f>IF(D978&gt;0,VLOOKUP(OPERAC[[#This Row],[COD CART]],[1]!MatrizCortoLargoCyl[#All],3,0),"")</f>
        <v/>
      </c>
      <c r="F978" s="13" t="inlineStr">
        <is>
          <t>TSLA/V/975,00/07-01-22</t>
        </is>
      </c>
      <c r="G978" s="6" t="n">
        <v>-100</v>
      </c>
      <c r="H978" s="6" t="n">
        <v>77.2578</v>
      </c>
      <c r="I978" s="7">
        <f>-H978/G978</f>
        <v/>
      </c>
      <c r="J978" s="11" t="n">
        <v>44567</v>
      </c>
      <c r="K978" s="6" t="n">
        <v>-100</v>
      </c>
      <c r="L978" s="6" t="n">
        <v>-77.26000000000001</v>
      </c>
      <c r="M978" s="7">
        <f>IF(N978=0,+L978+H978,0)</f>
        <v/>
      </c>
      <c r="N978" s="7">
        <f>IF((+G978-K978)=0,0,+G978-K978)</f>
        <v/>
      </c>
      <c r="O978" s="7">
        <f>IF(N978=0,0,(L978+H978)/-N978)</f>
        <v/>
      </c>
      <c r="P978" s="7">
        <f>VLOOKUP(OPERAC[[#This Row],[especie]],[1]!ESPECIES[#All],6,0)</f>
        <v/>
      </c>
      <c r="Q978" s="7">
        <f>IF(N978&lt;&gt;0,P978*N978,0)</f>
        <v/>
      </c>
      <c r="R978" s="8">
        <f>IF(Q978&lt;&gt;0,Q978+H978+L978,0)</f>
        <v/>
      </c>
      <c r="S978" s="9">
        <f>VLOOKUP(OPERAC[[#This Row],[especie]],[1]!ESPECIES[#Data],9,FALSE)</f>
        <v/>
      </c>
    </row>
    <row r="979">
      <c r="A979" s="4" t="n">
        <v>6579</v>
      </c>
      <c r="B979" s="5" t="n">
        <v>44614</v>
      </c>
      <c r="C979" s="13" t="inlineStr">
        <is>
          <t>VTA</t>
        </is>
      </c>
      <c r="D979" s="13" t="n">
        <v>39</v>
      </c>
      <c r="E979" s="10">
        <f>IF(D979&gt;0,VLOOKUP(OPERAC[[#This Row],[COD CART]],[1]!MatrizCortoLargoCyl[#All],3,0),"")</f>
        <v/>
      </c>
      <c r="F979" s="13" t="inlineStr">
        <is>
          <t>MELI/V/540,00/19-01-24</t>
        </is>
      </c>
      <c r="G979" s="6" t="n">
        <v>-1</v>
      </c>
      <c r="H979" s="6" t="n">
        <v>76.38</v>
      </c>
      <c r="I979" s="7">
        <f>-H979/G979</f>
        <v/>
      </c>
      <c r="J979" s="11" t="n"/>
      <c r="K979" s="6" t="n"/>
      <c r="L979" s="6" t="n"/>
      <c r="M979" s="7">
        <f>IF(N979=0,+L979+H979,0)</f>
        <v/>
      </c>
      <c r="N979" s="7">
        <f>IF((+G979-K979)=0,0,+G979-K979)</f>
        <v/>
      </c>
      <c r="O979" s="7">
        <f>IF(N979=0,0,(L979+H979)/-N979)</f>
        <v/>
      </c>
      <c r="P979" s="7">
        <f>VLOOKUP(OPERAC[[#This Row],[especie]],[1]!ESPECIES[#All],6,0)</f>
        <v/>
      </c>
      <c r="Q979" s="7">
        <f>IF(N979&lt;&gt;0,P979*N979,0)</f>
        <v/>
      </c>
      <c r="R979" s="8">
        <f>IF(Q979&lt;&gt;0,Q979+H979+L979,0)</f>
        <v/>
      </c>
      <c r="S979" s="9">
        <f>VLOOKUP(OPERAC[[#This Row],[especie]],[1]!ESPECIES[#Data],9,FALSE)</f>
        <v/>
      </c>
    </row>
    <row r="980">
      <c r="A980" s="4" t="n">
        <v>18651</v>
      </c>
      <c r="B980" s="5" t="n">
        <v>44614</v>
      </c>
      <c r="C980" s="13" t="inlineStr">
        <is>
          <t>VTA</t>
        </is>
      </c>
      <c r="D980" s="13" t="n">
        <v>39</v>
      </c>
      <c r="E980" s="10">
        <f>IF(D980&gt;0,VLOOKUP(OPERAC[[#This Row],[COD CART]],[1]!MatrizCortoLargoCyl[#All],3,0),"")</f>
        <v/>
      </c>
      <c r="F980" s="13" t="inlineStr">
        <is>
          <t>MELI/V/540,00/19-01-24</t>
        </is>
      </c>
      <c r="G980" s="6" t="n">
        <v>-1</v>
      </c>
      <c r="H980" s="6" t="n">
        <v>76.38</v>
      </c>
      <c r="I980" s="7">
        <f>-H980/G980</f>
        <v/>
      </c>
      <c r="J980" s="11" t="n"/>
      <c r="K980" s="6" t="n"/>
      <c r="L980" s="6" t="n"/>
      <c r="M980" s="7">
        <f>IF(N980=0,+L980+H980,0)</f>
        <v/>
      </c>
      <c r="N980" s="7">
        <f>IF((+G980-K980)=0,0,+G980-K980)</f>
        <v/>
      </c>
      <c r="O980" s="7">
        <f>IF(N980=0,0,(L980+H980)/-N980)</f>
        <v/>
      </c>
      <c r="P980" s="7">
        <f>VLOOKUP(OPERAC[[#This Row],[especie]],[1]!ESPECIES[#All],6,0)</f>
        <v/>
      </c>
      <c r="Q980" s="7">
        <f>IF(N980&lt;&gt;0,P980*N980,0)</f>
        <v/>
      </c>
      <c r="R980" s="8">
        <f>IF(Q980&lt;&gt;0,Q980+H980+L980,0)</f>
        <v/>
      </c>
      <c r="S980" s="9">
        <f>VLOOKUP(OPERAC[[#This Row],[especie]],[1]!ESPECIES[#Data],9,FALSE)</f>
        <v/>
      </c>
    </row>
    <row r="981">
      <c r="A981" s="4" t="n">
        <v>10079</v>
      </c>
      <c r="B981" s="5" t="n">
        <v>44614</v>
      </c>
      <c r="C981" s="13" t="inlineStr">
        <is>
          <t>VTA</t>
        </is>
      </c>
      <c r="D981" s="13" t="n">
        <v>39</v>
      </c>
      <c r="E981" s="10">
        <f>IF(D981&gt;0,VLOOKUP(OPERAC[[#This Row],[COD CART]],[1]!MatrizCortoLargoCyl[#All],3,0),"")</f>
        <v/>
      </c>
      <c r="F981" s="13" t="inlineStr">
        <is>
          <t>MELI/V/540,00/19-01-24</t>
        </is>
      </c>
      <c r="G981" s="6" t="n">
        <v>-1</v>
      </c>
      <c r="H981" s="6" t="n">
        <v>76.38</v>
      </c>
      <c r="I981" s="7">
        <f>-H981/G981</f>
        <v/>
      </c>
      <c r="J981" s="11" t="n"/>
      <c r="K981" s="6" t="n"/>
      <c r="L981" s="6" t="n"/>
      <c r="M981" s="7">
        <f>IF(N981=0,+L981+H981,0)</f>
        <v/>
      </c>
      <c r="N981" s="7">
        <f>IF((+G981-K981)=0,0,+G981-K981)</f>
        <v/>
      </c>
      <c r="O981" s="7">
        <f>IF(N981=0,0,(L981+H981)/-N981)</f>
        <v/>
      </c>
      <c r="P981" s="7">
        <f>VLOOKUP(OPERAC[[#This Row],[especie]],[1]!ESPECIES[#All],6,0)</f>
        <v/>
      </c>
      <c r="Q981" s="7">
        <f>IF(N981&lt;&gt;0,P981*N981,0)</f>
        <v/>
      </c>
      <c r="R981" s="8">
        <f>IF(Q981&lt;&gt;0,Q981+H981+L981,0)</f>
        <v/>
      </c>
      <c r="S981" s="9">
        <f>VLOOKUP(OPERAC[[#This Row],[especie]],[1]!ESPECIES[#Data],9,FALSE)</f>
        <v/>
      </c>
    </row>
    <row r="982">
      <c r="A982" s="4" t="n">
        <v>6578</v>
      </c>
      <c r="B982" s="5" t="n">
        <v>44621</v>
      </c>
      <c r="C982" s="13" t="inlineStr">
        <is>
          <t>VTA</t>
        </is>
      </c>
      <c r="D982" s="13" t="n">
        <v>39</v>
      </c>
      <c r="E982" s="10">
        <f>IF(D982&gt;0,VLOOKUP(OPERAC[[#This Row],[COD CART]],[1]!MatrizCortoLargoCyl[#All],3,0),"")</f>
        <v/>
      </c>
      <c r="F982" s="13" t="inlineStr">
        <is>
          <t>SPWR/V/17,00/20-01-23</t>
        </is>
      </c>
      <c r="G982" s="6" t="n">
        <v>-20</v>
      </c>
      <c r="H982" s="6" t="n">
        <v>76.3</v>
      </c>
      <c r="I982" s="7">
        <f>-H982/G982</f>
        <v/>
      </c>
      <c r="J982" s="11" t="n"/>
      <c r="K982" s="6" t="n"/>
      <c r="L982" s="6" t="n"/>
      <c r="M982" s="7">
        <f>IF(N982=0,+L982+H982,0)</f>
        <v/>
      </c>
      <c r="N982" s="7">
        <f>IF((+G982-K982)=0,0,+G982-K982)</f>
        <v/>
      </c>
      <c r="O982" s="7">
        <f>IF(N982=0,0,(L982+H982)/-N982)</f>
        <v/>
      </c>
      <c r="P982" s="7">
        <f>VLOOKUP(OPERAC[[#This Row],[especie]],[1]!ESPECIES[#All],6,0)</f>
        <v/>
      </c>
      <c r="Q982" s="7">
        <f>IF(N982&lt;&gt;0,P982*N982,0)</f>
        <v/>
      </c>
      <c r="R982" s="8">
        <f>IF(Q982&lt;&gt;0,Q982+H982+L982,0)</f>
        <v/>
      </c>
      <c r="S982" s="9">
        <f>VLOOKUP(OPERAC[[#This Row],[especie]],[1]!ESPECIES[#Data],9,FALSE)</f>
        <v/>
      </c>
    </row>
    <row r="983">
      <c r="A983" s="4" t="n">
        <v>2211</v>
      </c>
      <c r="B983" s="5" t="n">
        <v>44705</v>
      </c>
      <c r="C983" s="13" t="inlineStr">
        <is>
          <t>VTA</t>
        </is>
      </c>
      <c r="D983" s="13" t="n">
        <v>41</v>
      </c>
      <c r="E983" s="10">
        <f>IF(D983&gt;0,VLOOKUP(OPERAC[[#This Row],[COD CART]],[1]!MatrizCortoLargoCyl[#All],3,0),"")</f>
        <v/>
      </c>
      <c r="F983" s="13" t="inlineStr">
        <is>
          <t>HYG/V/76,00/17-06-22</t>
        </is>
      </c>
      <c r="G983" s="6" t="n">
        <v>-100</v>
      </c>
      <c r="H983" s="6" t="n">
        <v>75.696</v>
      </c>
      <c r="I983" s="7">
        <f>-H983/G983</f>
        <v/>
      </c>
      <c r="J983" s="5" t="n">
        <v>44707</v>
      </c>
      <c r="K983" s="6" t="n">
        <v>-100</v>
      </c>
      <c r="L983" s="6" t="n">
        <v>-29.247</v>
      </c>
      <c r="M983" s="7">
        <f>IF(N983=0,+L983+H983,0)</f>
        <v/>
      </c>
      <c r="N983" s="7">
        <f>IF((+G983-K983)=0,0,+G983-K983)</f>
        <v/>
      </c>
      <c r="O983" s="7">
        <f>IF(N983=0,0,(L983+H983)/-N983)</f>
        <v/>
      </c>
      <c r="P983" s="7">
        <f>VLOOKUP(OPERAC[[#This Row],[especie]],[1]!ESPECIES[#All],6,0)</f>
        <v/>
      </c>
      <c r="Q983" s="7">
        <f>IF(N983&lt;&gt;0,P983*N983,0)</f>
        <v/>
      </c>
      <c r="R983" s="8">
        <f>IF(Q983&lt;&gt;0,Q983+H983+L983,0)</f>
        <v/>
      </c>
      <c r="S983" s="9">
        <f>VLOOKUP(OPERAC[[#This Row],[especie]],[1]!ESPECIES[#Data],9,FALSE)</f>
        <v/>
      </c>
    </row>
    <row r="984">
      <c r="A984" s="4" t="n">
        <v>16780</v>
      </c>
      <c r="B984" s="5" t="n">
        <v>44615</v>
      </c>
      <c r="C984" s="13" t="inlineStr">
        <is>
          <t>VTA</t>
        </is>
      </c>
      <c r="D984" s="13" t="n">
        <v>39</v>
      </c>
      <c r="E984" s="10">
        <f>IF(D984&gt;0,VLOOKUP(OPERAC[[#This Row],[COD CART]],[1]!MatrizCortoLargoCyl[#All],3,0),"")</f>
        <v/>
      </c>
      <c r="F984" s="13" t="inlineStr">
        <is>
          <t>TSLA/V/380,00/20-01-23</t>
        </is>
      </c>
      <c r="G984" s="6" t="n">
        <v>-4</v>
      </c>
      <c r="H984" s="6" t="n">
        <v>75.38</v>
      </c>
      <c r="I984" s="7">
        <f>-H984/G984</f>
        <v/>
      </c>
      <c r="J984" s="11" t="n">
        <v>44616</v>
      </c>
      <c r="K984" s="6">
        <f>-1-3</f>
        <v/>
      </c>
      <c r="L984" s="6">
        <f>-23.69-32.6754</f>
        <v/>
      </c>
      <c r="M984" s="7">
        <f>IF(N984=0,+L984+H984,0)</f>
        <v/>
      </c>
      <c r="N984" s="7">
        <f>IF((+G984-K984)=0,0,+G984-K984)</f>
        <v/>
      </c>
      <c r="O984" s="7">
        <f>IF(N984=0,0,(L984+H984)/-N984)</f>
        <v/>
      </c>
      <c r="P984" s="7">
        <f>VLOOKUP(OPERAC[[#This Row],[especie]],[1]!ESPECIES[#All],6,0)</f>
        <v/>
      </c>
      <c r="Q984" s="7">
        <f>IF(N984&lt;&gt;0,P984*N984,0)</f>
        <v/>
      </c>
      <c r="R984" s="8">
        <f>IF(Q984&lt;&gt;0,Q984+H984+L984,0)</f>
        <v/>
      </c>
      <c r="S984" s="9">
        <f>VLOOKUP(OPERAC[[#This Row],[especie]],[1]!ESPECIES[#Data],9,FALSE)</f>
        <v/>
      </c>
    </row>
    <row r="985">
      <c r="A985" s="4" t="n">
        <v>15189</v>
      </c>
      <c r="B985" s="5" t="n">
        <v>44714</v>
      </c>
      <c r="C985" s="13" t="inlineStr">
        <is>
          <t>VTA</t>
        </is>
      </c>
      <c r="D985" s="13" t="n">
        <v>39</v>
      </c>
      <c r="E985" s="10">
        <f>IF(D985&gt;0,VLOOKUP(OPERAC[[#This Row],[COD CART]],[1]!MatrizCortoLargoCyl[#All],3,0),"")</f>
        <v/>
      </c>
      <c r="F985" s="13" t="inlineStr">
        <is>
          <t>MELI/V/350,00/20-01-23</t>
        </is>
      </c>
      <c r="G985" s="6" t="n">
        <v>-6</v>
      </c>
      <c r="H985" s="6" t="n">
        <v>74.3625</v>
      </c>
      <c r="I985" s="7">
        <f>-H985/G985</f>
        <v/>
      </c>
      <c r="J985" s="5" t="n"/>
      <c r="K985" s="6" t="n"/>
      <c r="L985" s="6" t="n"/>
      <c r="M985" s="7">
        <f>IF(N985=0,+L985+H985,0)</f>
        <v/>
      </c>
      <c r="N985" s="7">
        <f>IF((+G985-K985)=0,0,+G985-K985)</f>
        <v/>
      </c>
      <c r="O985" s="7">
        <f>IF(N985=0,0,(L985+H985)/-N985)</f>
        <v/>
      </c>
      <c r="P985" s="7">
        <f>VLOOKUP(OPERAC[[#This Row],[especie]],[1]!ESPECIES[#All],6,0)</f>
        <v/>
      </c>
      <c r="Q985" s="7">
        <f>IF(N985&lt;&gt;0,P985*N985,0)</f>
        <v/>
      </c>
      <c r="R985" s="8">
        <f>IF(Q985&lt;&gt;0,Q985+H985+L985,0)</f>
        <v/>
      </c>
      <c r="S985" s="9">
        <f>VLOOKUP(OPERAC[[#This Row],[especie]],[1]!ESPECIES[#Data],9,FALSE)</f>
        <v/>
      </c>
    </row>
    <row r="986">
      <c r="A986" s="4" t="n">
        <v>22393</v>
      </c>
      <c r="B986" s="5" t="n">
        <v>44342</v>
      </c>
      <c r="C986" s="13" t="inlineStr">
        <is>
          <t>VTA</t>
        </is>
      </c>
      <c r="D986" s="13" t="n">
        <v>39</v>
      </c>
      <c r="E986" s="10">
        <f>IF(D986&gt;0,VLOOKUP(OPERAC[[#This Row],[COD CART]],[1]!MatrizCortoLargoCyl[#All],3,0),"")</f>
        <v/>
      </c>
      <c r="F986" s="13" t="inlineStr">
        <is>
          <t>GLD/V/140,00/21-01-22</t>
        </is>
      </c>
      <c r="G986" s="6" t="n">
        <v>-100</v>
      </c>
      <c r="H986" s="6" t="n">
        <v>73.73</v>
      </c>
      <c r="I986" s="7">
        <f>-H986/G986</f>
        <v/>
      </c>
      <c r="J986" s="11" t="n">
        <v>44582</v>
      </c>
      <c r="K986" s="6" t="n">
        <v>-100</v>
      </c>
      <c r="L986" s="6" t="n">
        <v>0</v>
      </c>
      <c r="M986" s="7">
        <f>IF(N986=0,+L986+H986,0)</f>
        <v/>
      </c>
      <c r="N986" s="7">
        <f>IF((+G986-K986)=0,0,+G986-K986)</f>
        <v/>
      </c>
      <c r="O986" s="7">
        <f>IF(N986=0,0,(L986+H986)/-N986)</f>
        <v/>
      </c>
      <c r="P986" s="7">
        <f>VLOOKUP(OPERAC[[#This Row],[especie]],[1]!ESPECIES[#All],6,0)</f>
        <v/>
      </c>
      <c r="Q986" s="7">
        <f>IF(N986&lt;&gt;0,P986*N986,0)</f>
        <v/>
      </c>
      <c r="R986" s="8">
        <f>IF(Q986&lt;&gt;0,Q986+H986+L986,0)</f>
        <v/>
      </c>
      <c r="S986" s="9">
        <f>VLOOKUP(OPERAC[[#This Row],[especie]],[1]!ESPECIES[#Data],9,FALSE)</f>
        <v/>
      </c>
    </row>
    <row r="987">
      <c r="A987" s="4" t="n">
        <v>25070</v>
      </c>
      <c r="B987" s="5" t="n">
        <v>44665</v>
      </c>
      <c r="C987" s="13" t="inlineStr">
        <is>
          <t>VTA</t>
        </is>
      </c>
      <c r="D987" s="13" t="n">
        <v>39</v>
      </c>
      <c r="E987" s="10">
        <f>IF(D987&gt;0,VLOOKUP(OPERAC[[#This Row],[COD CART]],[1]!MatrizCortoLargoCyl[#All],3,0),"")</f>
        <v/>
      </c>
      <c r="F987" s="13" t="inlineStr">
        <is>
          <t>TSLA/V/750,00/20-05-2022</t>
        </is>
      </c>
      <c r="G987" s="6" t="n">
        <v>-10</v>
      </c>
      <c r="H987" s="6" t="n">
        <v>72.52</v>
      </c>
      <c r="I987" s="7">
        <f>-H987/G987</f>
        <v/>
      </c>
      <c r="J987" s="11" t="n">
        <v>44692</v>
      </c>
      <c r="K987" s="6" t="n">
        <v>-10</v>
      </c>
      <c r="L987" s="6" t="n">
        <v>-453.825</v>
      </c>
      <c r="M987" s="7">
        <f>IF(N987=0,+L987+H987,0)</f>
        <v/>
      </c>
      <c r="N987" s="7">
        <f>IF((+G987-K987)=0,0,+G987-K987)</f>
        <v/>
      </c>
      <c r="O987" s="7">
        <f>IF(N987=0,0,(L987+H987)/-N987)</f>
        <v/>
      </c>
      <c r="P987" s="7">
        <f>VLOOKUP(OPERAC[[#This Row],[especie]],[1]!ESPECIES[#All],6,0)</f>
        <v/>
      </c>
      <c r="Q987" s="7">
        <f>IF(N987&lt;&gt;0,P987*N987,0)</f>
        <v/>
      </c>
      <c r="R987" s="8">
        <f>IF(Q987&lt;&gt;0,Q987+H987+L987,0)</f>
        <v/>
      </c>
      <c r="S987" s="9">
        <f>VLOOKUP(OPERAC[[#This Row],[especie]],[1]!ESPECIES[#Data],9,FALSE)</f>
        <v/>
      </c>
    </row>
    <row r="988">
      <c r="A988" s="4" t="n">
        <v>1760</v>
      </c>
      <c r="B988" s="5" t="n">
        <v>44665</v>
      </c>
      <c r="C988" s="13" t="inlineStr">
        <is>
          <t>VTA</t>
        </is>
      </c>
      <c r="D988" s="13" t="n">
        <v>39</v>
      </c>
      <c r="E988" s="10">
        <f>IF(D988&gt;0,VLOOKUP(OPERAC[[#This Row],[COD CART]],[1]!MatrizCortoLargoCyl[#All],3,0),"")</f>
        <v/>
      </c>
      <c r="F988" s="13" t="inlineStr">
        <is>
          <t>TSLA/V/750,00/20-05-2022</t>
        </is>
      </c>
      <c r="G988" s="6" t="n">
        <v>-10</v>
      </c>
      <c r="H988" s="6" t="n">
        <v>72.52</v>
      </c>
      <c r="I988" s="7">
        <f>-H988/G988</f>
        <v/>
      </c>
      <c r="J988" s="11" t="n">
        <v>44692</v>
      </c>
      <c r="K988" s="6" t="n">
        <v>-10</v>
      </c>
      <c r="L988" s="6" t="n">
        <v>-437.175</v>
      </c>
      <c r="M988" s="7">
        <f>IF(N988=0,+L988+H988,0)</f>
        <v/>
      </c>
      <c r="N988" s="7">
        <f>IF((+G988-K988)=0,0,+G988-K988)</f>
        <v/>
      </c>
      <c r="O988" s="7">
        <f>IF(N988=0,0,(L988+H988)/-N988)</f>
        <v/>
      </c>
      <c r="P988" s="7">
        <f>VLOOKUP(OPERAC[[#This Row],[especie]],[1]!ESPECIES[#All],6,0)</f>
        <v/>
      </c>
      <c r="Q988" s="7">
        <f>IF(N988&lt;&gt;0,P988*N988,0)</f>
        <v/>
      </c>
      <c r="R988" s="8">
        <f>IF(Q988&lt;&gt;0,Q988+H988+L988,0)</f>
        <v/>
      </c>
      <c r="S988" s="9">
        <f>VLOOKUP(OPERAC[[#This Row],[especie]],[1]!ESPECIES[#Data],9,FALSE)</f>
        <v/>
      </c>
    </row>
    <row r="989">
      <c r="A989" s="4" t="n">
        <v>16780</v>
      </c>
      <c r="B989" s="5" t="n">
        <v>44676</v>
      </c>
      <c r="C989" s="13" t="inlineStr">
        <is>
          <t>VTA</t>
        </is>
      </c>
      <c r="D989" s="13" t="n">
        <v>39</v>
      </c>
      <c r="E989" s="10">
        <f>IF(D989&gt;0,VLOOKUP(OPERAC[[#This Row],[COD CART]],[1]!MatrizCortoLargoCyl[#All],3,0),"")</f>
        <v/>
      </c>
      <c r="F989" s="13" t="inlineStr">
        <is>
          <t>TSLA/V/650,00/17-06-22</t>
        </is>
      </c>
      <c r="G989" s="6" t="n">
        <v>-10</v>
      </c>
      <c r="H989" s="6" t="n">
        <v>72.37949999999999</v>
      </c>
      <c r="I989" s="7">
        <f>-H989/G989</f>
        <v/>
      </c>
      <c r="J989" s="11" t="n">
        <v>44700</v>
      </c>
      <c r="K989" s="6">
        <f>-4-2-1-3</f>
        <v/>
      </c>
      <c r="L989" s="6">
        <f>-137.96-71.09-63.53-196.65</f>
        <v/>
      </c>
      <c r="M989" s="7">
        <f>IF(N989=0,+L989+H989,0)</f>
        <v/>
      </c>
      <c r="N989" s="7">
        <f>IF((+G989-K989)=0,0,+G989-K989)</f>
        <v/>
      </c>
      <c r="O989" s="7">
        <f>IF(N989=0,0,(L989+H989)/-N989)</f>
        <v/>
      </c>
      <c r="P989" s="7">
        <f>VLOOKUP(OPERAC[[#This Row],[especie]],[1]!ESPECIES[#All],6,0)</f>
        <v/>
      </c>
      <c r="Q989" s="7">
        <f>IF(N989&lt;&gt;0,P989*N989,0)</f>
        <v/>
      </c>
      <c r="R989" s="8">
        <f>IF(Q989&lt;&gt;0,Q989+H989+L989,0)</f>
        <v/>
      </c>
      <c r="S989" s="9">
        <f>VLOOKUP(OPERAC[[#This Row],[especie]],[1]!ESPECIES[#Data],9,FALSE)</f>
        <v/>
      </c>
    </row>
    <row r="990">
      <c r="A990" s="4" t="n">
        <v>1760</v>
      </c>
      <c r="B990" s="5" t="n">
        <v>44424</v>
      </c>
      <c r="C990" s="13" t="inlineStr">
        <is>
          <t>VTA</t>
        </is>
      </c>
      <c r="D990" s="13" t="n">
        <v>39</v>
      </c>
      <c r="E990" s="10">
        <f>IF(D990&gt;0,VLOOKUP(OPERAC[[#This Row],[COD CART]],[1]!MatrizCortoLargoCyl[#All],3,0),"")</f>
        <v/>
      </c>
      <c r="F990" s="13" t="inlineStr">
        <is>
          <t>ACB/V/5,00/20-01-23</t>
        </is>
      </c>
      <c r="G990" s="6" t="n">
        <v>-50</v>
      </c>
      <c r="H990" s="6" t="n">
        <v>71.47</v>
      </c>
      <c r="I990" s="7">
        <f>-H990/G990</f>
        <v/>
      </c>
      <c r="J990" s="11" t="n"/>
      <c r="K990" s="6" t="n"/>
      <c r="L990" s="6" t="n"/>
      <c r="M990" s="7">
        <f>IF(N990=0,+L990+H990,0)</f>
        <v/>
      </c>
      <c r="N990" s="7">
        <f>IF((+G990-K990)=0,0,+G990-K990)</f>
        <v/>
      </c>
      <c r="O990" s="7">
        <f>IF(N990=0,0,(L990+H990)/-N990)</f>
        <v/>
      </c>
      <c r="P990" s="7">
        <f>VLOOKUP(OPERAC[[#This Row],[especie]],[1]!ESPECIES[#All],6,0)</f>
        <v/>
      </c>
      <c r="Q990" s="7">
        <f>IF(N990&lt;&gt;0,P990*N990,0)</f>
        <v/>
      </c>
      <c r="R990" s="8">
        <f>IF(Q990&lt;&gt;0,Q990+H990+L990,0)</f>
        <v/>
      </c>
      <c r="S990" s="9">
        <f>VLOOKUP(OPERAC[[#This Row],[especie]],[1]!ESPECIES[#Data],9,FALSE)</f>
        <v/>
      </c>
    </row>
    <row r="991">
      <c r="A991" s="4" t="n">
        <v>18651</v>
      </c>
      <c r="B991" s="5" t="n">
        <v>44424</v>
      </c>
      <c r="C991" s="13" t="inlineStr">
        <is>
          <t>VTA</t>
        </is>
      </c>
      <c r="D991" s="13" t="n">
        <v>39</v>
      </c>
      <c r="E991" s="10">
        <f>IF(D991&gt;0,VLOOKUP(OPERAC[[#This Row],[COD CART]],[1]!MatrizCortoLargoCyl[#All],3,0),"")</f>
        <v/>
      </c>
      <c r="F991" s="13" t="inlineStr">
        <is>
          <t>ACB/V/5,00/20-01-23</t>
        </is>
      </c>
      <c r="G991" s="6" t="n">
        <v>-50</v>
      </c>
      <c r="H991" s="6" t="n">
        <v>71.47</v>
      </c>
      <c r="I991" s="7">
        <f>-H991/G991</f>
        <v/>
      </c>
      <c r="J991" s="11" t="n"/>
      <c r="K991" s="6" t="n"/>
      <c r="L991" s="6" t="n"/>
      <c r="M991" s="7">
        <f>IF(N991=0,+L991+H991,0)</f>
        <v/>
      </c>
      <c r="N991" s="7">
        <f>IF((+G991-K991)=0,0,+G991-K991)</f>
        <v/>
      </c>
      <c r="O991" s="7">
        <f>IF(N991=0,0,(L991+H991)/-N991)</f>
        <v/>
      </c>
      <c r="P991" s="7">
        <f>VLOOKUP(OPERAC[[#This Row],[especie]],[1]!ESPECIES[#All],6,0)</f>
        <v/>
      </c>
      <c r="Q991" s="7">
        <f>IF(N991&lt;&gt;0,P991*N991,0)</f>
        <v/>
      </c>
      <c r="R991" s="8">
        <f>IF(Q991&lt;&gt;0,Q991+H991+L991,0)</f>
        <v/>
      </c>
      <c r="S991" s="9">
        <f>VLOOKUP(OPERAC[[#This Row],[especie]],[1]!ESPECIES[#Data],9,FALSE)</f>
        <v/>
      </c>
    </row>
    <row r="992">
      <c r="A992" s="4" t="n">
        <v>18663</v>
      </c>
      <c r="B992" s="5" t="n">
        <v>44690</v>
      </c>
      <c r="C992" s="13" t="inlineStr">
        <is>
          <t>VTA</t>
        </is>
      </c>
      <c r="D992" s="13" t="n">
        <v>41</v>
      </c>
      <c r="E992" s="10">
        <f>IF(D992&gt;0,VLOOKUP(OPERAC[[#This Row],[COD CART]],[1]!MatrizCortoLargoCyl[#All],3,0),"")</f>
        <v/>
      </c>
      <c r="F992" s="13" t="inlineStr">
        <is>
          <t>COTY/V/6,00/18-11-2022</t>
        </is>
      </c>
      <c r="G992" s="6" t="n">
        <v>-100</v>
      </c>
      <c r="H992" s="6" t="n">
        <v>71.38800000000001</v>
      </c>
      <c r="I992" s="7">
        <f>-H992/G992</f>
        <v/>
      </c>
      <c r="J992" s="11" t="n"/>
      <c r="K992" s="6" t="n"/>
      <c r="L992" s="6" t="n"/>
      <c r="M992" s="7">
        <f>IF(N992=0,+L992+H992,0)</f>
        <v/>
      </c>
      <c r="N992" s="7">
        <f>IF((+G992-K992)=0,0,+G992-K992)</f>
        <v/>
      </c>
      <c r="O992" s="7">
        <f>IF(N992=0,0,(L992+H992)/-N992)</f>
        <v/>
      </c>
      <c r="P992" s="7">
        <f>VLOOKUP(OPERAC[[#This Row],[especie]],[1]!ESPECIES[#All],6,0)</f>
        <v/>
      </c>
      <c r="Q992" s="7">
        <f>IF(N992&lt;&gt;0,P992*N992,0)</f>
        <v/>
      </c>
      <c r="R992" s="8">
        <f>IF(Q992&lt;&gt;0,Q992+H992+L992,0)</f>
        <v/>
      </c>
      <c r="S992" s="9">
        <f>VLOOKUP(OPERAC[[#This Row],[especie]],[1]!ESPECIES[#Data],9,FALSE)</f>
        <v/>
      </c>
    </row>
    <row r="993">
      <c r="A993" s="4" t="n">
        <v>16780</v>
      </c>
      <c r="B993" s="5" t="n">
        <v>44614</v>
      </c>
      <c r="C993" s="13" t="inlineStr">
        <is>
          <t>VTA</t>
        </is>
      </c>
      <c r="D993" s="13" t="n">
        <v>39</v>
      </c>
      <c r="E993" s="10">
        <f>IF(D993&gt;0,VLOOKUP(OPERAC[[#This Row],[COD CART]],[1]!MatrizCortoLargoCyl[#All],3,0),"")</f>
        <v/>
      </c>
      <c r="F993" s="13" t="inlineStr">
        <is>
          <t>ACB/V/5,00/20-01-23</t>
        </is>
      </c>
      <c r="G993" s="6" t="n">
        <v>-35</v>
      </c>
      <c r="H993" s="6" t="n">
        <v>70.93000000000001</v>
      </c>
      <c r="I993" s="7">
        <f>-H993/G993</f>
        <v/>
      </c>
      <c r="J993" s="11" t="n">
        <v>44678</v>
      </c>
      <c r="K993" s="6" t="n">
        <v>-10</v>
      </c>
      <c r="L993" s="6" t="n">
        <v>-25.61</v>
      </c>
      <c r="M993" s="7">
        <f>IF(N993=0,+L993+H993,0)</f>
        <v/>
      </c>
      <c r="N993" s="7">
        <f>IF((+G993-K993)=0,0,+G993-K993)</f>
        <v/>
      </c>
      <c r="O993" s="7">
        <f>IF(N993=0,0,(L993+H993)/-N993)</f>
        <v/>
      </c>
      <c r="P993" s="7">
        <f>VLOOKUP(OPERAC[[#This Row],[especie]],[1]!ESPECIES[#All],6,0)</f>
        <v/>
      </c>
      <c r="Q993" s="7">
        <f>IF(N993&lt;&gt;0,P993*N993,0)</f>
        <v/>
      </c>
      <c r="R993" s="8">
        <f>IF(Q993&lt;&gt;0,Q993+H993+L993,0)</f>
        <v/>
      </c>
      <c r="S993" s="9">
        <f>VLOOKUP(OPERAC[[#This Row],[especie]],[1]!ESPECIES[#Data],9,FALSE)</f>
        <v/>
      </c>
    </row>
    <row r="994">
      <c r="A994" s="4" t="n">
        <v>2255</v>
      </c>
      <c r="B994" s="5" t="n">
        <v>44614</v>
      </c>
      <c r="C994" s="13" t="inlineStr">
        <is>
          <t>VTA</t>
        </is>
      </c>
      <c r="D994" s="13" t="n">
        <v>39</v>
      </c>
      <c r="E994" s="10">
        <f>IF(D994&gt;0,VLOOKUP(OPERAC[[#This Row],[COD CART]],[1]!MatrizCortoLargoCyl[#All],3,0),"")</f>
        <v/>
      </c>
      <c r="F994" s="13" t="inlineStr">
        <is>
          <t>SPWR/V/13,00/19-01-24</t>
        </is>
      </c>
      <c r="G994" s="6" t="n">
        <v>-20</v>
      </c>
      <c r="H994" s="6" t="n">
        <v>70.63</v>
      </c>
      <c r="I994" s="7">
        <f>-H994/G994</f>
        <v/>
      </c>
      <c r="J994" s="11" t="n"/>
      <c r="K994" s="6" t="n"/>
      <c r="L994" s="6" t="n"/>
      <c r="M994" s="7">
        <f>IF(N994=0,+L994+H994,0)</f>
        <v/>
      </c>
      <c r="N994" s="7">
        <f>IF((+G994-K994)=0,0,+G994-K994)</f>
        <v/>
      </c>
      <c r="O994" s="7">
        <f>IF(N994=0,0,(L994+H994)/-N994)</f>
        <v/>
      </c>
      <c r="P994" s="7">
        <f>VLOOKUP(OPERAC[[#This Row],[especie]],[1]!ESPECIES[#All],6,0)</f>
        <v/>
      </c>
      <c r="Q994" s="7">
        <f>IF(N994&lt;&gt;0,P994*N994,0)</f>
        <v/>
      </c>
      <c r="R994" s="8">
        <f>IF(Q994&lt;&gt;0,Q994+H994+L994,0)</f>
        <v/>
      </c>
      <c r="S994" s="9">
        <f>VLOOKUP(OPERAC[[#This Row],[especie]],[1]!ESPECIES[#Data],9,FALSE)</f>
        <v/>
      </c>
    </row>
    <row r="995">
      <c r="A995" s="4" t="n">
        <v>2255</v>
      </c>
      <c r="B995" s="5" t="n">
        <v>44532</v>
      </c>
      <c r="C995" s="13" t="inlineStr">
        <is>
          <t>VTA</t>
        </is>
      </c>
      <c r="D995" s="13" t="n">
        <v>39</v>
      </c>
      <c r="E995" s="10">
        <f>IF(D995&gt;0,VLOOKUP(OPERAC[[#This Row],[COD CART]],[1]!MatrizCortoLargoCyl[#All],3,0),"")</f>
        <v/>
      </c>
      <c r="F995" s="13" t="inlineStr">
        <is>
          <t>MELI/V/820,00/16-09-22</t>
        </is>
      </c>
      <c r="G995" s="6" t="n">
        <v>-700</v>
      </c>
      <c r="H995" s="6">
        <f>-0.1*OPERAC[[#This Row],[cantidad]]</f>
        <v/>
      </c>
      <c r="I995" s="7">
        <f>-H995/G995</f>
        <v/>
      </c>
      <c r="J995" s="11" t="n">
        <v>44614</v>
      </c>
      <c r="K995" s="6" t="n">
        <v>-700</v>
      </c>
      <c r="L995" s="6" t="n">
        <v>-70</v>
      </c>
      <c r="M995" s="7">
        <f>IF(N995=0,+L995+H995,0)</f>
        <v/>
      </c>
      <c r="N995" s="7">
        <f>IF((+G995-K995)=0,0,+G995-K995)</f>
        <v/>
      </c>
      <c r="O995" s="7">
        <f>IF(N995=0,0,(L995+H995)/-N995)</f>
        <v/>
      </c>
      <c r="P995" s="7">
        <f>VLOOKUP(OPERAC[[#This Row],[especie]],[1]!ESPECIES[#All],6,0)</f>
        <v/>
      </c>
      <c r="Q995" s="7">
        <f>IF(N995&lt;&gt;0,P995*N995,0)</f>
        <v/>
      </c>
      <c r="R995" s="8">
        <f>IF(Q995&lt;&gt;0,Q995+H995+L995,0)</f>
        <v/>
      </c>
      <c r="S995" s="9">
        <f>VLOOKUP(OPERAC[[#This Row],[especie]],[1]!ESPECIES[#Data],9,FALSE)</f>
        <v/>
      </c>
    </row>
    <row r="996">
      <c r="A996" s="4" t="n">
        <v>3728</v>
      </c>
      <c r="B996" s="5" t="n">
        <v>44404</v>
      </c>
      <c r="C996" s="13" t="inlineStr">
        <is>
          <t>VTA</t>
        </is>
      </c>
      <c r="D996" s="13" t="n">
        <v>39</v>
      </c>
      <c r="E996" s="10">
        <f>IF(D996&gt;0,VLOOKUP(OPERAC[[#This Row],[COD CART]],[1]!MatrizCortoLargoCyl[#All],3,0),"")</f>
        <v/>
      </c>
      <c r="F996" s="13" t="inlineStr">
        <is>
          <t>EDU/V/25,00/20-01-23</t>
        </is>
      </c>
      <c r="G996" s="6" t="n">
        <v>-50</v>
      </c>
      <c r="H996" s="6" t="n">
        <v>69.93000000000001</v>
      </c>
      <c r="I996" s="7">
        <f>-H996/G996</f>
        <v/>
      </c>
      <c r="J996" s="11" t="n">
        <v>44637</v>
      </c>
      <c r="K996" s="6" t="n">
        <v>-50</v>
      </c>
      <c r="L996" s="6">
        <f>+OPERAC[[#This Row],[cantidad venta]]*1.559</f>
        <v/>
      </c>
      <c r="M996" s="7">
        <f>IF(N996=0,+L996+H996,0)</f>
        <v/>
      </c>
      <c r="N996" s="7">
        <f>IF((+G996-K996)=0,0,+G996-K996)</f>
        <v/>
      </c>
      <c r="O996" s="7">
        <f>IF(N996=0,0,(L996+H996)/-N996)</f>
        <v/>
      </c>
      <c r="P996" s="7">
        <f>VLOOKUP(OPERAC[[#This Row],[especie]],[1]!ESPECIES[#All],6,0)</f>
        <v/>
      </c>
      <c r="Q996" s="7">
        <f>IF(N996&lt;&gt;0,P996*N996,0)</f>
        <v/>
      </c>
      <c r="R996" s="8">
        <f>IF(Q996&lt;&gt;0,Q996+H996+L996,0)</f>
        <v/>
      </c>
      <c r="S996" s="9">
        <f>VLOOKUP(OPERAC[[#This Row],[especie]],[1]!ESPECIES[#Data],9,FALSE)</f>
        <v/>
      </c>
    </row>
    <row r="997">
      <c r="A997" s="4" t="n">
        <v>7925</v>
      </c>
      <c r="B997" s="5" t="n">
        <v>44690</v>
      </c>
      <c r="C997" s="13" t="inlineStr">
        <is>
          <t>VTA</t>
        </is>
      </c>
      <c r="D997" s="13" t="n">
        <v>39</v>
      </c>
      <c r="E997" s="10">
        <f>IF(D997&gt;0,VLOOKUP(OPERAC[[#This Row],[COD CART]],[1]!MatrizCortoLargoCyl[#All],3,0),"")</f>
        <v/>
      </c>
      <c r="F997" s="13" t="inlineStr">
        <is>
          <t>TSLA/V/380,00/20-01-23</t>
        </is>
      </c>
      <c r="G997" s="6" t="n">
        <v>-3</v>
      </c>
      <c r="H997" s="6" t="n">
        <v>69.15000000000001</v>
      </c>
      <c r="I997" s="7">
        <f>-H997/G997</f>
        <v/>
      </c>
      <c r="J997" s="11" t="n"/>
      <c r="K997" s="6" t="n"/>
      <c r="L997" s="6" t="n"/>
      <c r="M997" s="7">
        <f>IF(N997=0,+L997+H997,0)</f>
        <v/>
      </c>
      <c r="N997" s="7">
        <f>IF((+G997-K997)=0,0,+G997-K997)</f>
        <v/>
      </c>
      <c r="O997" s="7">
        <f>IF(N997=0,0,(L997+H997)/-N997)</f>
        <v/>
      </c>
      <c r="P997" s="7">
        <f>VLOOKUP(OPERAC[[#This Row],[especie]],[1]!ESPECIES[#All],6,0)</f>
        <v/>
      </c>
      <c r="Q997" s="7">
        <f>IF(N997&lt;&gt;0,P997*N997,0)</f>
        <v/>
      </c>
      <c r="R997" s="8">
        <f>IF(Q997&lt;&gt;0,Q997+H997+L997,0)</f>
        <v/>
      </c>
      <c r="S997" s="9">
        <f>VLOOKUP(OPERAC[[#This Row],[especie]],[1]!ESPECIES[#Data],9,FALSE)</f>
        <v/>
      </c>
    </row>
    <row r="998">
      <c r="A998" s="4" t="n">
        <v>26137</v>
      </c>
      <c r="B998" s="5" t="n">
        <v>44714</v>
      </c>
      <c r="C998" s="13" t="inlineStr">
        <is>
          <t>VTA</t>
        </is>
      </c>
      <c r="D998" s="13" t="n">
        <v>39</v>
      </c>
      <c r="E998" s="10">
        <f>IF(D998&gt;0,VLOOKUP(OPERAC[[#This Row],[COD CART]],[1]!MatrizCortoLargoCyl[#All],3,0),"")</f>
        <v/>
      </c>
      <c r="F998" s="13" t="inlineStr">
        <is>
          <t>TSLA/C/870,00/03-06-22</t>
        </is>
      </c>
      <c r="G998" s="6" t="n">
        <v>-300</v>
      </c>
      <c r="H998" s="6" t="n">
        <v>68.41</v>
      </c>
      <c r="I998" s="7">
        <f>-H998/G998</f>
        <v/>
      </c>
      <c r="J998" s="5" t="n">
        <v>44715</v>
      </c>
      <c r="K998" s="6">
        <f>+OPERAC[[#This Row],[cantidad]]</f>
        <v/>
      </c>
      <c r="L998" s="6" t="n">
        <v>0</v>
      </c>
      <c r="M998" s="7">
        <f>IF(N998=0,+L998+H998,0)</f>
        <v/>
      </c>
      <c r="N998" s="7">
        <f>IF((+G998-K998)=0,0,+G998-K998)</f>
        <v/>
      </c>
      <c r="O998" s="7">
        <f>IF(N998=0,0,(L998+H998)/-N998)</f>
        <v/>
      </c>
      <c r="P998" s="7">
        <f>VLOOKUP(OPERAC[[#This Row],[especie]],[1]!ESPECIES[#All],6,0)</f>
        <v/>
      </c>
      <c r="Q998" s="7">
        <f>IF(N998&lt;&gt;0,P998*N998,0)</f>
        <v/>
      </c>
      <c r="R998" s="8">
        <f>IF(Q998&lt;&gt;0,Q998+H998+L998,0)</f>
        <v/>
      </c>
      <c r="S998" s="9">
        <f>VLOOKUP(OPERAC[[#This Row],[especie]],[1]!ESPECIES[#Data],9,FALSE)</f>
        <v/>
      </c>
    </row>
    <row r="999">
      <c r="A999" s="4" t="n">
        <v>16783</v>
      </c>
      <c r="B999" s="5" t="n">
        <v>44622</v>
      </c>
      <c r="C999" s="13" t="inlineStr">
        <is>
          <t>VTA</t>
        </is>
      </c>
      <c r="D999" s="13" t="n">
        <v>39</v>
      </c>
      <c r="E999" s="10">
        <f>IF(D999&gt;0,VLOOKUP(OPERAC[[#This Row],[COD CART]],[1]!MatrizCortoLargoCyl[#All],3,0),"")</f>
        <v/>
      </c>
      <c r="F999" s="13" t="inlineStr">
        <is>
          <t>TSLA/V/400,00/20-01-23</t>
        </is>
      </c>
      <c r="G999" s="6" t="n">
        <v>-3</v>
      </c>
      <c r="H999" s="6" t="n">
        <v>66.47</v>
      </c>
      <c r="I999" s="7">
        <f>-H999/G999</f>
        <v/>
      </c>
      <c r="J999" s="11" t="n"/>
      <c r="K999" s="6" t="n"/>
      <c r="L999" s="6" t="n"/>
      <c r="M999" s="7">
        <f>IF(N999=0,+L999+H999,0)</f>
        <v/>
      </c>
      <c r="N999" s="7">
        <f>IF((+G999-K999)=0,0,+G999-K999)</f>
        <v/>
      </c>
      <c r="O999" s="7">
        <f>IF(N999=0,0,(L999+H999)/-N999)</f>
        <v/>
      </c>
      <c r="P999" s="7">
        <f>VLOOKUP(OPERAC[[#This Row],[especie]],[1]!ESPECIES[#All],6,0)</f>
        <v/>
      </c>
      <c r="Q999" s="7">
        <f>IF(N999&lt;&gt;0,P999*N999,0)</f>
        <v/>
      </c>
      <c r="R999" s="8">
        <f>IF(Q999&lt;&gt;0,Q999+H999+L999,0)</f>
        <v/>
      </c>
      <c r="S999" s="9">
        <f>VLOOKUP(OPERAC[[#This Row],[especie]],[1]!ESPECIES[#Data],9,FALSE)</f>
        <v/>
      </c>
    </row>
    <row r="1000">
      <c r="A1000" s="4" t="n">
        <v>18690</v>
      </c>
      <c r="B1000" s="5" t="n">
        <v>44693</v>
      </c>
      <c r="C1000" s="13" t="inlineStr">
        <is>
          <t>VTA</t>
        </is>
      </c>
      <c r="D1000" s="13" t="n">
        <v>39</v>
      </c>
      <c r="E1000" s="10">
        <f>IF(D1000&gt;0,VLOOKUP(OPERAC[[#This Row],[COD CART]],[1]!MatrizCortoLargoCyl[#All],3,0),"")</f>
        <v/>
      </c>
      <c r="F1000" s="13" t="inlineStr">
        <is>
          <t>MELI/V/460,00/20-01-2023</t>
        </is>
      </c>
      <c r="G1000" s="6" t="n">
        <v>-1</v>
      </c>
      <c r="H1000" s="6" t="n">
        <v>65.736</v>
      </c>
      <c r="I1000" s="7">
        <f>-H1000/G1000</f>
        <v/>
      </c>
      <c r="J1000" s="11" t="n"/>
      <c r="K1000" s="6" t="n"/>
      <c r="L1000" s="6" t="n"/>
      <c r="M1000" s="7">
        <f>IF(N1000=0,+L1000+H1000,0)</f>
        <v/>
      </c>
      <c r="N1000" s="7">
        <f>IF((+G1000-K1000)=0,0,+G1000-K1000)</f>
        <v/>
      </c>
      <c r="O1000" s="7">
        <f>IF(N1000=0,0,(L1000+H1000)/-N1000)</f>
        <v/>
      </c>
      <c r="P1000" s="7">
        <f>VLOOKUP(OPERAC[[#This Row],[especie]],[1]!ESPECIES[#All],6,0)</f>
        <v/>
      </c>
      <c r="Q1000" s="7">
        <f>IF(N1000&lt;&gt;0,P1000*N1000,0)</f>
        <v/>
      </c>
      <c r="R1000" s="8">
        <f>IF(Q1000&lt;&gt;0,Q1000+H1000+L1000,0)</f>
        <v/>
      </c>
      <c r="S1000" s="9">
        <f>VLOOKUP(OPERAC[[#This Row],[especie]],[1]!ESPECIES[#Data],9,FALSE)</f>
        <v/>
      </c>
    </row>
    <row r="1001">
      <c r="A1001" s="4" t="n">
        <v>19888</v>
      </c>
      <c r="B1001" s="5" t="n">
        <v>44614</v>
      </c>
      <c r="C1001" s="13" t="inlineStr">
        <is>
          <t>VTA</t>
        </is>
      </c>
      <c r="D1001" s="13" t="n">
        <v>39</v>
      </c>
      <c r="E1001" s="10">
        <f>IF(D1001&gt;0,VLOOKUP(OPERAC[[#This Row],[COD CART]],[1]!MatrizCortoLargoCyl[#All],3,0),"")</f>
        <v/>
      </c>
      <c r="F1001" s="13" t="inlineStr">
        <is>
          <t>TSLA/V/300,00/19-01-24</t>
        </is>
      </c>
      <c r="G1001" s="6" t="n">
        <v>-3</v>
      </c>
      <c r="H1001" s="6" t="n">
        <v>65.45</v>
      </c>
      <c r="I1001" s="7">
        <f>-H1001/G1001</f>
        <v/>
      </c>
      <c r="J1001" s="11" t="n"/>
      <c r="K1001" s="6" t="n"/>
      <c r="L1001" s="6" t="n"/>
      <c r="M1001" s="7">
        <f>IF(N1001=0,+L1001+H1001,0)</f>
        <v/>
      </c>
      <c r="N1001" s="7">
        <f>IF((+G1001-K1001)=0,0,+G1001-K1001)</f>
        <v/>
      </c>
      <c r="O1001" s="7">
        <f>IF(N1001=0,0,(L1001+H1001)/-N1001)</f>
        <v/>
      </c>
      <c r="P1001" s="7">
        <f>VLOOKUP(OPERAC[[#This Row],[especie]],[1]!ESPECIES[#All],6,0)</f>
        <v/>
      </c>
      <c r="Q1001" s="7">
        <f>IF(N1001&lt;&gt;0,P1001*N1001,0)</f>
        <v/>
      </c>
      <c r="R1001" s="8">
        <f>IF(Q1001&lt;&gt;0,Q1001+H1001+L1001,0)</f>
        <v/>
      </c>
      <c r="S1001" s="9">
        <f>VLOOKUP(OPERAC[[#This Row],[especie]],[1]!ESPECIES[#Data],9,FALSE)</f>
        <v/>
      </c>
    </row>
    <row r="1002">
      <c r="A1002" s="4" t="n">
        <v>16783</v>
      </c>
      <c r="B1002" s="5" t="n">
        <v>44614</v>
      </c>
      <c r="C1002" s="13" t="inlineStr">
        <is>
          <t>VTA</t>
        </is>
      </c>
      <c r="D1002" s="13" t="n">
        <v>39</v>
      </c>
      <c r="E1002" s="10">
        <f>IF(D1002&gt;0,VLOOKUP(OPERAC[[#This Row],[COD CART]],[1]!MatrizCortoLargoCyl[#All],3,0),"")</f>
        <v/>
      </c>
      <c r="F1002" s="13" t="inlineStr">
        <is>
          <t>MELI/V/500,00/19-01-24</t>
        </is>
      </c>
      <c r="G1002" s="6" t="n">
        <v>-1</v>
      </c>
      <c r="H1002" s="6" t="n">
        <v>64.73999999999999</v>
      </c>
      <c r="I1002" s="7">
        <f>-H1002/G1002</f>
        <v/>
      </c>
      <c r="J1002" s="11" t="n"/>
      <c r="K1002" s="6" t="n"/>
      <c r="L1002" s="6" t="n"/>
      <c r="M1002" s="7">
        <f>IF(N1002=0,+L1002+H1002,0)</f>
        <v/>
      </c>
      <c r="N1002" s="7">
        <f>IF((+G1002-K1002)=0,0,+G1002-K1002)</f>
        <v/>
      </c>
      <c r="O1002" s="7">
        <f>IF(N1002=0,0,(L1002+H1002)/-N1002)</f>
        <v/>
      </c>
      <c r="P1002" s="7">
        <f>VLOOKUP(OPERAC[[#This Row],[especie]],[1]!ESPECIES[#All],6,0)</f>
        <v/>
      </c>
      <c r="Q1002" s="7">
        <f>IF(N1002&lt;&gt;0,P1002*N1002,0)</f>
        <v/>
      </c>
      <c r="R1002" s="8">
        <f>IF(Q1002&lt;&gt;0,Q1002+H1002+L1002,0)</f>
        <v/>
      </c>
      <c r="S1002" s="9">
        <f>VLOOKUP(OPERAC[[#This Row],[especie]],[1]!ESPECIES[#Data],9,FALSE)</f>
        <v/>
      </c>
    </row>
    <row r="1003">
      <c r="A1003" s="4" t="n">
        <v>1760</v>
      </c>
      <c r="B1003" s="5" t="n">
        <v>44614</v>
      </c>
      <c r="C1003" s="13" t="inlineStr">
        <is>
          <t>VTA</t>
        </is>
      </c>
      <c r="D1003" s="13" t="n">
        <v>39</v>
      </c>
      <c r="E1003" s="10">
        <f>IF(D1003&gt;0,VLOOKUP(OPERAC[[#This Row],[COD CART]],[1]!MatrizCortoLargoCyl[#All],3,0),"")</f>
        <v/>
      </c>
      <c r="F1003" s="13" t="inlineStr">
        <is>
          <t>MELI/V/500,00/19-01-24</t>
        </is>
      </c>
      <c r="G1003" s="6" t="n">
        <v>-1</v>
      </c>
      <c r="H1003" s="6" t="n">
        <v>64.48</v>
      </c>
      <c r="I1003" s="7">
        <f>-H1003/G1003</f>
        <v/>
      </c>
      <c r="J1003" s="11" t="n"/>
      <c r="K1003" s="6" t="n"/>
      <c r="L1003" s="6" t="n"/>
      <c r="M1003" s="7">
        <f>IF(N1003=0,+L1003+H1003,0)</f>
        <v/>
      </c>
      <c r="N1003" s="7">
        <f>IF((+G1003-K1003)=0,0,+G1003-K1003)</f>
        <v/>
      </c>
      <c r="O1003" s="7">
        <f>IF(N1003=0,0,(L1003+H1003)/-N1003)</f>
        <v/>
      </c>
      <c r="P1003" s="7">
        <f>VLOOKUP(OPERAC[[#This Row],[especie]],[1]!ESPECIES[#All],6,0)</f>
        <v/>
      </c>
      <c r="Q1003" s="7">
        <f>IF(N1003&lt;&gt;0,P1003*N1003,0)</f>
        <v/>
      </c>
      <c r="R1003" s="8">
        <f>IF(Q1003&lt;&gt;0,Q1003+H1003+L1003,0)</f>
        <v/>
      </c>
      <c r="S1003" s="9">
        <f>VLOOKUP(OPERAC[[#This Row],[especie]],[1]!ESPECIES[#Data],9,FALSE)</f>
        <v/>
      </c>
    </row>
    <row r="1004">
      <c r="A1004" s="4" t="n">
        <v>6578</v>
      </c>
      <c r="B1004" s="5" t="n">
        <v>44614</v>
      </c>
      <c r="C1004" s="13" t="inlineStr">
        <is>
          <t>VTA</t>
        </is>
      </c>
      <c r="D1004" s="13" t="n">
        <v>39</v>
      </c>
      <c r="E1004" s="10">
        <f>IF(D1004&gt;0,VLOOKUP(OPERAC[[#This Row],[COD CART]],[1]!MatrizCortoLargoCyl[#All],3,0),"")</f>
        <v/>
      </c>
      <c r="F1004" s="13" t="inlineStr">
        <is>
          <t>MELI/V/500,00/19-01-24</t>
        </is>
      </c>
      <c r="G1004" s="6" t="n">
        <v>-1</v>
      </c>
      <c r="H1004" s="6" t="n">
        <v>64.48</v>
      </c>
      <c r="I1004" s="7">
        <f>-H1004/G1004</f>
        <v/>
      </c>
      <c r="J1004" s="11" t="n"/>
      <c r="K1004" s="6" t="n"/>
      <c r="L1004" s="6" t="n"/>
      <c r="M1004" s="7">
        <f>IF(N1004=0,+L1004+H1004,0)</f>
        <v/>
      </c>
      <c r="N1004" s="7">
        <f>IF((+G1004-K1004)=0,0,+G1004-K1004)</f>
        <v/>
      </c>
      <c r="O1004" s="7">
        <f>IF(N1004=0,0,(L1004+H1004)/-N1004)</f>
        <v/>
      </c>
      <c r="P1004" s="7">
        <f>VLOOKUP(OPERAC[[#This Row],[especie]],[1]!ESPECIES[#All],6,0)</f>
        <v/>
      </c>
      <c r="Q1004" s="7">
        <f>IF(N1004&lt;&gt;0,P1004*N1004,0)</f>
        <v/>
      </c>
      <c r="R1004" s="8">
        <f>IF(Q1004&lt;&gt;0,Q1004+H1004+L1004,0)</f>
        <v/>
      </c>
      <c r="S1004" s="9">
        <f>VLOOKUP(OPERAC[[#This Row],[especie]],[1]!ESPECIES[#Data],9,FALSE)</f>
        <v/>
      </c>
    </row>
    <row r="1005">
      <c r="A1005" s="4" t="n">
        <v>6628</v>
      </c>
      <c r="B1005" s="5" t="n">
        <v>44614</v>
      </c>
      <c r="C1005" s="13" t="inlineStr">
        <is>
          <t>VTA</t>
        </is>
      </c>
      <c r="D1005" s="13" t="n">
        <v>39</v>
      </c>
      <c r="E1005" s="10">
        <f>IF(D1005&gt;0,VLOOKUP(OPERAC[[#This Row],[COD CART]],[1]!MatrizCortoLargoCyl[#All],3,0),"")</f>
        <v/>
      </c>
      <c r="F1005" s="13" t="inlineStr">
        <is>
          <t>MELI/V/500,00/19-01-24</t>
        </is>
      </c>
      <c r="G1005" s="6" t="n">
        <v>-1</v>
      </c>
      <c r="H1005" s="6" t="n">
        <v>64.48</v>
      </c>
      <c r="I1005" s="7">
        <f>-H1005/G1005</f>
        <v/>
      </c>
      <c r="J1005" s="11" t="n"/>
      <c r="K1005" s="6" t="n"/>
      <c r="L1005" s="6" t="n"/>
      <c r="M1005" s="7">
        <f>IF(N1005=0,+L1005+H1005,0)</f>
        <v/>
      </c>
      <c r="N1005" s="7">
        <f>IF((+G1005-K1005)=0,0,+G1005-K1005)</f>
        <v/>
      </c>
      <c r="O1005" s="7">
        <f>IF(N1005=0,0,(L1005+H1005)/-N1005)</f>
        <v/>
      </c>
      <c r="P1005" s="7">
        <f>VLOOKUP(OPERAC[[#This Row],[especie]],[1]!ESPECIES[#All],6,0)</f>
        <v/>
      </c>
      <c r="Q1005" s="7">
        <f>IF(N1005&lt;&gt;0,P1005*N1005,0)</f>
        <v/>
      </c>
      <c r="R1005" s="8">
        <f>IF(Q1005&lt;&gt;0,Q1005+H1005+L1005,0)</f>
        <v/>
      </c>
      <c r="S1005" s="9">
        <f>VLOOKUP(OPERAC[[#This Row],[especie]],[1]!ESPECIES[#Data],9,FALSE)</f>
        <v/>
      </c>
    </row>
    <row r="1006">
      <c r="A1006" s="4" t="n">
        <v>13240</v>
      </c>
      <c r="B1006" s="5" t="n">
        <v>44614</v>
      </c>
      <c r="C1006" s="13" t="inlineStr">
        <is>
          <t>VTA</t>
        </is>
      </c>
      <c r="D1006" s="13" t="n">
        <v>39</v>
      </c>
      <c r="E1006" s="10">
        <f>IF(D1006&gt;0,VLOOKUP(OPERAC[[#This Row],[COD CART]],[1]!MatrizCortoLargoCyl[#All],3,0),"")</f>
        <v/>
      </c>
      <c r="F1006" s="13" t="inlineStr">
        <is>
          <t>MELI/V/500,00/19-01-24</t>
        </is>
      </c>
      <c r="G1006" s="6" t="n">
        <v>-1</v>
      </c>
      <c r="H1006" s="6" t="n">
        <v>64.48</v>
      </c>
      <c r="I1006" s="7">
        <f>-H1006/G1006</f>
        <v/>
      </c>
      <c r="J1006" s="11" t="n"/>
      <c r="K1006" s="6" t="n"/>
      <c r="L1006" s="6" t="n"/>
      <c r="M1006" s="7">
        <f>IF(N1006=0,+L1006+H1006,0)</f>
        <v/>
      </c>
      <c r="N1006" s="7">
        <f>IF((+G1006-K1006)=0,0,+G1006-K1006)</f>
        <v/>
      </c>
      <c r="O1006" s="7">
        <f>IF(N1006=0,0,(L1006+H1006)/-N1006)</f>
        <v/>
      </c>
      <c r="P1006" s="7">
        <f>VLOOKUP(OPERAC[[#This Row],[especie]],[1]!ESPECIES[#All],6,0)</f>
        <v/>
      </c>
      <c r="Q1006" s="7">
        <f>IF(N1006&lt;&gt;0,P1006*N1006,0)</f>
        <v/>
      </c>
      <c r="R1006" s="8">
        <f>IF(Q1006&lt;&gt;0,Q1006+H1006+L1006,0)</f>
        <v/>
      </c>
      <c r="S1006" s="9">
        <f>VLOOKUP(OPERAC[[#This Row],[especie]],[1]!ESPECIES[#Data],9,FALSE)</f>
        <v/>
      </c>
    </row>
    <row r="1007">
      <c r="A1007" s="4" t="n">
        <v>15194</v>
      </c>
      <c r="B1007" s="5" t="n">
        <v>44614</v>
      </c>
      <c r="C1007" s="13" t="inlineStr">
        <is>
          <t>VTA</t>
        </is>
      </c>
      <c r="D1007" s="13" t="n">
        <v>39</v>
      </c>
      <c r="E1007" s="10">
        <f>IF(D1007&gt;0,VLOOKUP(OPERAC[[#This Row],[COD CART]],[1]!MatrizCortoLargoCyl[#All],3,0),"")</f>
        <v/>
      </c>
      <c r="F1007" s="13" t="inlineStr">
        <is>
          <t>MELI/V/500,00/19-01-24</t>
        </is>
      </c>
      <c r="G1007" s="6" t="n">
        <v>-1</v>
      </c>
      <c r="H1007" s="6" t="n">
        <v>64.48</v>
      </c>
      <c r="I1007" s="7">
        <f>-H1007/G1007</f>
        <v/>
      </c>
      <c r="J1007" s="11" t="n"/>
      <c r="K1007" s="6" t="n"/>
      <c r="L1007" s="6" t="n"/>
      <c r="M1007" s="7">
        <f>IF(N1007=0,+L1007+H1007,0)</f>
        <v/>
      </c>
      <c r="N1007" s="7">
        <f>IF((+G1007-K1007)=0,0,+G1007-K1007)</f>
        <v/>
      </c>
      <c r="O1007" s="7">
        <f>IF(N1007=0,0,(L1007+H1007)/-N1007)</f>
        <v/>
      </c>
      <c r="P1007" s="7">
        <f>VLOOKUP(OPERAC[[#This Row],[especie]],[1]!ESPECIES[#All],6,0)</f>
        <v/>
      </c>
      <c r="Q1007" s="7">
        <f>IF(N1007&lt;&gt;0,P1007*N1007,0)</f>
        <v/>
      </c>
      <c r="R1007" s="8">
        <f>IF(Q1007&lt;&gt;0,Q1007+H1007+L1007,0)</f>
        <v/>
      </c>
      <c r="S1007" s="9">
        <f>VLOOKUP(OPERAC[[#This Row],[especie]],[1]!ESPECIES[#Data],9,FALSE)</f>
        <v/>
      </c>
    </row>
    <row r="1008">
      <c r="A1008" s="4" t="n">
        <v>15195</v>
      </c>
      <c r="B1008" s="5" t="n">
        <v>44614</v>
      </c>
      <c r="C1008" s="13" t="inlineStr">
        <is>
          <t>VTA</t>
        </is>
      </c>
      <c r="D1008" s="13" t="n">
        <v>39</v>
      </c>
      <c r="E1008" s="10">
        <f>IF(D1008&gt;0,VLOOKUP(OPERAC[[#This Row],[COD CART]],[1]!MatrizCortoLargoCyl[#All],3,0),"")</f>
        <v/>
      </c>
      <c r="F1008" s="13" t="inlineStr">
        <is>
          <t>MELI/V/500,00/19-01-24</t>
        </is>
      </c>
      <c r="G1008" s="6" t="n">
        <v>-1</v>
      </c>
      <c r="H1008" s="6" t="n">
        <v>64.48</v>
      </c>
      <c r="I1008" s="7">
        <f>-H1008/G1008</f>
        <v/>
      </c>
      <c r="J1008" s="11" t="n"/>
      <c r="K1008" s="6" t="n"/>
      <c r="L1008" s="6" t="n"/>
      <c r="M1008" s="7">
        <f>IF(N1008=0,+L1008+H1008,0)</f>
        <v/>
      </c>
      <c r="N1008" s="7">
        <f>IF((+G1008-K1008)=0,0,+G1008-K1008)</f>
        <v/>
      </c>
      <c r="O1008" s="7">
        <f>IF(N1008=0,0,(L1008+H1008)/-N1008)</f>
        <v/>
      </c>
      <c r="P1008" s="7">
        <f>VLOOKUP(OPERAC[[#This Row],[especie]],[1]!ESPECIES[#All],6,0)</f>
        <v/>
      </c>
      <c r="Q1008" s="7">
        <f>IF(N1008&lt;&gt;0,P1008*N1008,0)</f>
        <v/>
      </c>
      <c r="R1008" s="8">
        <f>IF(Q1008&lt;&gt;0,Q1008+H1008+L1008,0)</f>
        <v/>
      </c>
      <c r="S1008" s="9">
        <f>VLOOKUP(OPERAC[[#This Row],[especie]],[1]!ESPECIES[#Data],9,FALSE)</f>
        <v/>
      </c>
    </row>
    <row r="1009">
      <c r="A1009" s="4" t="n">
        <v>19920</v>
      </c>
      <c r="B1009" s="5" t="n">
        <v>44614</v>
      </c>
      <c r="C1009" s="13" t="inlineStr">
        <is>
          <t>VTA</t>
        </is>
      </c>
      <c r="D1009" s="13" t="n">
        <v>39</v>
      </c>
      <c r="E1009" s="10">
        <f>IF(D1009&gt;0,VLOOKUP(OPERAC[[#This Row],[COD CART]],[1]!MatrizCortoLargoCyl[#All],3,0),"")</f>
        <v/>
      </c>
      <c r="F1009" s="13" t="inlineStr">
        <is>
          <t>MELI/V/500,00/19-01-24</t>
        </is>
      </c>
      <c r="G1009" s="6" t="n">
        <v>-1</v>
      </c>
      <c r="H1009" s="6" t="n">
        <v>64.48</v>
      </c>
      <c r="I1009" s="7">
        <f>-H1009/G1009</f>
        <v/>
      </c>
      <c r="J1009" s="11" t="n"/>
      <c r="K1009" s="6" t="n"/>
      <c r="L1009" s="6" t="n"/>
      <c r="M1009" s="7">
        <f>IF(N1009=0,+L1009+H1009,0)</f>
        <v/>
      </c>
      <c r="N1009" s="7">
        <f>IF((+G1009-K1009)=0,0,+G1009-K1009)</f>
        <v/>
      </c>
      <c r="O1009" s="7">
        <f>IF(N1009=0,0,(L1009+H1009)/-N1009)</f>
        <v/>
      </c>
      <c r="P1009" s="7">
        <f>VLOOKUP(OPERAC[[#This Row],[especie]],[1]!ESPECIES[#All],6,0)</f>
        <v/>
      </c>
      <c r="Q1009" s="7">
        <f>IF(N1009&lt;&gt;0,P1009*N1009,0)</f>
        <v/>
      </c>
      <c r="R1009" s="8">
        <f>IF(Q1009&lt;&gt;0,Q1009+H1009+L1009,0)</f>
        <v/>
      </c>
      <c r="S1009" s="9">
        <f>VLOOKUP(OPERAC[[#This Row],[especie]],[1]!ESPECIES[#Data],9,FALSE)</f>
        <v/>
      </c>
    </row>
    <row r="1010">
      <c r="A1010" s="4" t="n">
        <v>7925</v>
      </c>
      <c r="B1010" s="5" t="n">
        <v>44614</v>
      </c>
      <c r="C1010" s="13" t="inlineStr">
        <is>
          <t>VTA</t>
        </is>
      </c>
      <c r="D1010" s="13" t="n">
        <v>39</v>
      </c>
      <c r="E1010" s="10">
        <f>IF(D1010&gt;0,VLOOKUP(OPERAC[[#This Row],[COD CART]],[1]!MatrizCortoLargoCyl[#All],3,0),"")</f>
        <v/>
      </c>
      <c r="F1010" s="13" t="inlineStr">
        <is>
          <t>ACB/V/4,00/20-01-23</t>
        </is>
      </c>
      <c r="G1010" s="6" t="n">
        <v>-50</v>
      </c>
      <c r="H1010" s="6" t="n">
        <v>64.33</v>
      </c>
      <c r="I1010" s="7">
        <f>-H1010/G1010</f>
        <v/>
      </c>
      <c r="J1010" s="11" t="n">
        <v>44628</v>
      </c>
      <c r="K1010" s="6">
        <f>-5-4-3-5-33</f>
        <v/>
      </c>
      <c r="L1010" s="6">
        <f>-8.07-6.07557-4.84-7.81588-62.56</f>
        <v/>
      </c>
      <c r="M1010" s="7">
        <f>IF(N1010=0,+L1010+H1010,0)</f>
        <v/>
      </c>
      <c r="N1010" s="7">
        <f>IF((+G1010-K1010)=0,0,+G1010-K1010)</f>
        <v/>
      </c>
      <c r="O1010" s="7">
        <f>IF(N1010=0,0,(L1010+H1010)/-N1010)</f>
        <v/>
      </c>
      <c r="P1010" s="7">
        <f>VLOOKUP(OPERAC[[#This Row],[especie]],[1]!ESPECIES[#All],6,0)</f>
        <v/>
      </c>
      <c r="Q1010" s="7">
        <f>IF(N1010&lt;&gt;0,P1010*N1010,0)</f>
        <v/>
      </c>
      <c r="R1010" s="8">
        <f>IF(Q1010&lt;&gt;0,Q1010+H1010+L1010,0)</f>
        <v/>
      </c>
      <c r="S1010" s="9">
        <f>VLOOKUP(OPERAC[[#This Row],[especie]],[1]!ESPECIES[#Data],9,FALSE)</f>
        <v/>
      </c>
    </row>
    <row r="1011">
      <c r="A1011" s="4" t="n">
        <v>16780</v>
      </c>
      <c r="B1011" s="5" t="n">
        <v>44614</v>
      </c>
      <c r="C1011" s="13" t="inlineStr">
        <is>
          <t>VTA</t>
        </is>
      </c>
      <c r="D1011" s="13" t="n">
        <v>39</v>
      </c>
      <c r="E1011" s="10">
        <f>IF(D1011&gt;0,VLOOKUP(OPERAC[[#This Row],[COD CART]],[1]!MatrizCortoLargoCyl[#All],3,0),"")</f>
        <v/>
      </c>
      <c r="F1011" s="13" t="inlineStr">
        <is>
          <t>NFLX/V/250,00/20-01-23</t>
        </is>
      </c>
      <c r="G1011" s="6" t="n">
        <v>-5</v>
      </c>
      <c r="H1011" s="6" t="n">
        <v>63.46</v>
      </c>
      <c r="I1011" s="7">
        <f>-H1011/G1011</f>
        <v/>
      </c>
      <c r="J1011" s="11" t="n">
        <v>44676</v>
      </c>
      <c r="K1011" s="6" t="n">
        <v>-5</v>
      </c>
      <c r="L1011" s="6" t="n">
        <v>-306.07</v>
      </c>
      <c r="M1011" s="7">
        <f>IF(N1011=0,+L1011+H1011,0)</f>
        <v/>
      </c>
      <c r="N1011" s="7">
        <f>IF((+G1011-K1011)=0,0,+G1011-K1011)</f>
        <v/>
      </c>
      <c r="O1011" s="7">
        <f>IF(N1011=0,0,(L1011+H1011)/-N1011)</f>
        <v/>
      </c>
      <c r="P1011" s="7">
        <f>VLOOKUP(OPERAC[[#This Row],[especie]],[1]!ESPECIES[#All],6,0)</f>
        <v/>
      </c>
      <c r="Q1011" s="7">
        <f>IF(N1011&lt;&gt;0,P1011*N1011,0)</f>
        <v/>
      </c>
      <c r="R1011" s="8">
        <f>IF(Q1011&lt;&gt;0,Q1011+H1011+L1011,0)</f>
        <v/>
      </c>
      <c r="S1011" s="9">
        <f>VLOOKUP(OPERAC[[#This Row],[especie]],[1]!ESPECIES[#Data],9,FALSE)</f>
        <v/>
      </c>
    </row>
    <row r="1012">
      <c r="A1012" s="4" t="n">
        <v>3728</v>
      </c>
      <c r="B1012" s="5" t="n">
        <v>44601</v>
      </c>
      <c r="C1012" s="13" t="inlineStr">
        <is>
          <t>VTA</t>
        </is>
      </c>
      <c r="D1012" s="13" t="n">
        <v>39</v>
      </c>
      <c r="E1012" s="10">
        <f>IF(D1012&gt;0,VLOOKUP(OPERAC[[#This Row],[COD CART]],[1]!MatrizCortoLargoCyl[#All],3,0),"")</f>
        <v/>
      </c>
      <c r="F1012" s="13" t="inlineStr">
        <is>
          <t>TLRY/V/8,00/14-04-22</t>
        </is>
      </c>
      <c r="G1012" s="6" t="n">
        <v>-30</v>
      </c>
      <c r="H1012" s="6">
        <f>-2.1*OPERAC[[#This Row],[cantidad]]</f>
        <v/>
      </c>
      <c r="I1012" s="7">
        <f>-H1012/G1012</f>
        <v/>
      </c>
      <c r="J1012" s="11" t="n">
        <v>44637</v>
      </c>
      <c r="K1012" s="6" t="n">
        <v>-30</v>
      </c>
      <c r="L1012" s="6" t="n">
        <v>-84.76000000000001</v>
      </c>
      <c r="M1012" s="7">
        <f>IF(N1012=0,+L1012+H1012,0)</f>
        <v/>
      </c>
      <c r="N1012" s="7">
        <f>IF((+G1012-K1012)=0,0,+G1012-K1012)</f>
        <v/>
      </c>
      <c r="O1012" s="7">
        <f>IF(N1012=0,0,(L1012+H1012)/-N1012)</f>
        <v/>
      </c>
      <c r="P1012" s="7">
        <f>VLOOKUP(OPERAC[[#This Row],[especie]],[1]!ESPECIES[#All],6,0)</f>
        <v/>
      </c>
      <c r="Q1012" s="7">
        <f>IF(N1012&lt;&gt;0,P1012*N1012,0)</f>
        <v/>
      </c>
      <c r="R1012" s="8">
        <f>IF(Q1012&lt;&gt;0,Q1012+H1012+L1012,0)</f>
        <v/>
      </c>
      <c r="S1012" s="9">
        <f>VLOOKUP(OPERAC[[#This Row],[especie]],[1]!ESPECIES[#Data],9,FALSE)</f>
        <v/>
      </c>
    </row>
    <row r="1013">
      <c r="A1013" s="4" t="n">
        <v>3728</v>
      </c>
      <c r="B1013" s="5" t="n">
        <v>44600</v>
      </c>
      <c r="C1013" s="13" t="inlineStr">
        <is>
          <t>VTA</t>
        </is>
      </c>
      <c r="D1013" s="13" t="n">
        <v>39</v>
      </c>
      <c r="E1013" s="10">
        <f>IF(D1013&gt;0,VLOOKUP(OPERAC[[#This Row],[COD CART]],[1]!MatrizCortoLargoCyl[#All],3,0),"")</f>
        <v/>
      </c>
      <c r="F1013" s="13" t="inlineStr">
        <is>
          <t>DDD/V/17,00/20-01-23</t>
        </is>
      </c>
      <c r="G1013" s="6" t="n">
        <v>-16</v>
      </c>
      <c r="H1013" s="6">
        <f>-3.8*OPERAC[[#This Row],[cantidad]]</f>
        <v/>
      </c>
      <c r="I1013" s="7">
        <f>-H1013/G1013</f>
        <v/>
      </c>
      <c r="J1013" s="11" t="n"/>
      <c r="K1013" s="6" t="n"/>
      <c r="L1013" s="6" t="n"/>
      <c r="M1013" s="7">
        <f>IF(N1013=0,+L1013+H1013,0)</f>
        <v/>
      </c>
      <c r="N1013" s="7">
        <f>IF((+G1013-K1013)=0,0,+G1013-K1013)</f>
        <v/>
      </c>
      <c r="O1013" s="7">
        <f>IF(N1013=0,0,(L1013+H1013)/-N1013)</f>
        <v/>
      </c>
      <c r="P1013" s="7">
        <f>VLOOKUP(OPERAC[[#This Row],[especie]],[1]!ESPECIES[#All],6,0)</f>
        <v/>
      </c>
      <c r="Q1013" s="7">
        <f>IF(N1013&lt;&gt;0,P1013*N1013,0)</f>
        <v/>
      </c>
      <c r="R1013" s="8">
        <f>IF(Q1013&lt;&gt;0,Q1013+H1013+L1013,0)</f>
        <v/>
      </c>
      <c r="S1013" s="9">
        <f>VLOOKUP(OPERAC[[#This Row],[especie]],[1]!ESPECIES[#Data],9,FALSE)</f>
        <v/>
      </c>
    </row>
    <row r="1014">
      <c r="A1014" s="4" t="n">
        <v>7916</v>
      </c>
      <c r="B1014" s="5" t="n">
        <v>44600</v>
      </c>
      <c r="C1014" s="13" t="inlineStr">
        <is>
          <t>VTA</t>
        </is>
      </c>
      <c r="D1014" s="13" t="n">
        <v>39</v>
      </c>
      <c r="E1014" s="10">
        <f>IF(D1014&gt;0,VLOOKUP(OPERAC[[#This Row],[COD CART]],[1]!MatrizCortoLargoCyl[#All],3,0),"")</f>
        <v/>
      </c>
      <c r="F1014" s="13" t="inlineStr">
        <is>
          <t>DDD/V/17,00/20-01-23</t>
        </is>
      </c>
      <c r="G1014" s="6" t="n">
        <v>-16</v>
      </c>
      <c r="H1014" s="6">
        <f>-3.8*OPERAC[[#This Row],[cantidad]]</f>
        <v/>
      </c>
      <c r="I1014" s="7">
        <f>-H1014/G1014</f>
        <v/>
      </c>
      <c r="J1014" s="11" t="n"/>
      <c r="K1014" s="6" t="n"/>
      <c r="L1014" s="6" t="n"/>
      <c r="M1014" s="7">
        <f>IF(N1014=0,+L1014+H1014,0)</f>
        <v/>
      </c>
      <c r="N1014" s="7">
        <f>IF((+G1014-K1014)=0,0,+G1014-K1014)</f>
        <v/>
      </c>
      <c r="O1014" s="7">
        <f>IF(N1014=0,0,(L1014+H1014)/-N1014)</f>
        <v/>
      </c>
      <c r="P1014" s="7">
        <f>VLOOKUP(OPERAC[[#This Row],[especie]],[1]!ESPECIES[#All],6,0)</f>
        <v/>
      </c>
      <c r="Q1014" s="7">
        <f>IF(N1014&lt;&gt;0,P1014*N1014,0)</f>
        <v/>
      </c>
      <c r="R1014" s="8">
        <f>IF(Q1014&lt;&gt;0,Q1014+H1014+L1014,0)</f>
        <v/>
      </c>
      <c r="S1014" s="9">
        <f>VLOOKUP(OPERAC[[#This Row],[especie]],[1]!ESPECIES[#Data],9,FALSE)</f>
        <v/>
      </c>
    </row>
    <row r="1015">
      <c r="A1015" s="4" t="n">
        <v>3728</v>
      </c>
      <c r="B1015" s="5" t="n">
        <v>44644</v>
      </c>
      <c r="C1015" s="13" t="inlineStr">
        <is>
          <t>VTA</t>
        </is>
      </c>
      <c r="D1015" s="13" t="n">
        <v>39</v>
      </c>
      <c r="E1015" s="10">
        <f>IF(D1015&gt;0,VLOOKUP(OPERAC[[#This Row],[COD CART]],[1]!MatrizCortoLargoCyl[#All],3,0),"")</f>
        <v/>
      </c>
      <c r="F1015" s="13" t="inlineStr">
        <is>
          <t>ACB/V/4,00/20-01-23</t>
        </is>
      </c>
      <c r="G1015" s="6" t="n">
        <v>-50</v>
      </c>
      <c r="H1015" s="6" t="n">
        <v>60.2385</v>
      </c>
      <c r="I1015" s="7">
        <f>-H1015/G1015</f>
        <v/>
      </c>
      <c r="J1015" s="11" t="n"/>
      <c r="K1015" s="6" t="n"/>
      <c r="L1015" s="6" t="n"/>
      <c r="M1015" s="7">
        <f>IF(N1015=0,+L1015+H1015,0)</f>
        <v/>
      </c>
      <c r="N1015" s="7">
        <f>IF((+G1015-K1015)=0,0,+G1015-K1015)</f>
        <v/>
      </c>
      <c r="O1015" s="7">
        <f>IF(N1015=0,0,(L1015+H1015)/-N1015)</f>
        <v/>
      </c>
      <c r="P1015" s="7">
        <f>VLOOKUP(OPERAC[[#This Row],[especie]],[1]!ESPECIES[#All],6,0)</f>
        <v/>
      </c>
      <c r="Q1015" s="7">
        <f>IF(N1015&lt;&gt;0,P1015*N1015,0)</f>
        <v/>
      </c>
      <c r="R1015" s="8">
        <f>IF(Q1015&lt;&gt;0,Q1015+H1015+L1015,0)</f>
        <v/>
      </c>
      <c r="S1015" s="9">
        <f>VLOOKUP(OPERAC[[#This Row],[especie]],[1]!ESPECIES[#Data],9,FALSE)</f>
        <v/>
      </c>
    </row>
    <row r="1016">
      <c r="A1016" s="4" t="n">
        <v>3728</v>
      </c>
      <c r="B1016" s="5" t="n">
        <v>44656</v>
      </c>
      <c r="C1016" s="13" t="inlineStr">
        <is>
          <t>VTA</t>
        </is>
      </c>
      <c r="D1016" s="13" t="n">
        <v>39</v>
      </c>
      <c r="E1016" s="10">
        <f>IF(D1016&gt;0,VLOOKUP(OPERAC[[#This Row],[COD CART]],[1]!MatrizCortoLargoCyl[#All],3,0),"")</f>
        <v/>
      </c>
      <c r="F1016" s="13" t="inlineStr">
        <is>
          <t>EDIT/V/17,50/20-01-23</t>
        </is>
      </c>
      <c r="G1016" s="6" t="n">
        <v>-20</v>
      </c>
      <c r="H1016" s="6" t="n">
        <v>59.94</v>
      </c>
      <c r="I1016" s="7">
        <f>-H1016/G1016</f>
        <v/>
      </c>
      <c r="J1016" s="11" t="n"/>
      <c r="K1016" s="6" t="n"/>
      <c r="L1016" s="6" t="n"/>
      <c r="M1016" s="7">
        <f>IF(N1016=0,+L1016+H1016,0)</f>
        <v/>
      </c>
      <c r="N1016" s="7">
        <f>IF((+G1016-K1016)=0,0,+G1016-K1016)</f>
        <v/>
      </c>
      <c r="O1016" s="7">
        <f>IF(N1016=0,0,(L1016+H1016)/-N1016)</f>
        <v/>
      </c>
      <c r="P1016" s="7">
        <f>VLOOKUP(OPERAC[[#This Row],[especie]],[1]!ESPECIES[#All],6,0)</f>
        <v/>
      </c>
      <c r="Q1016" s="7">
        <f>IF(N1016&lt;&gt;0,P1016*N1016,0)</f>
        <v/>
      </c>
      <c r="R1016" s="8">
        <f>IF(Q1016&lt;&gt;0,Q1016+H1016+L1016,0)</f>
        <v/>
      </c>
      <c r="S1016" s="9">
        <f>VLOOKUP(OPERAC[[#This Row],[especie]],[1]!ESPECIES[#Data],9,FALSE)</f>
        <v/>
      </c>
    </row>
    <row r="1017">
      <c r="A1017" s="4" t="n">
        <v>19878</v>
      </c>
      <c r="B1017" s="5" t="n">
        <v>44614</v>
      </c>
      <c r="C1017" s="13" t="inlineStr">
        <is>
          <t>VTA</t>
        </is>
      </c>
      <c r="D1017" s="13" t="n">
        <v>39</v>
      </c>
      <c r="E1017" s="10">
        <f>IF(D1017&gt;0,VLOOKUP(OPERAC[[#This Row],[COD CART]],[1]!MatrizCortoLargoCyl[#All],3,0),"")</f>
        <v/>
      </c>
      <c r="F1017" s="13" t="inlineStr">
        <is>
          <t>DDD/V/10,00/19-01-24</t>
        </is>
      </c>
      <c r="G1017" s="6" t="n">
        <v>-30</v>
      </c>
      <c r="H1017" s="6" t="n">
        <v>59.39</v>
      </c>
      <c r="I1017" s="7">
        <f>-H1017/G1017</f>
        <v/>
      </c>
      <c r="J1017" s="11" t="n"/>
      <c r="K1017" s="6" t="n"/>
      <c r="L1017" s="6" t="n"/>
      <c r="M1017" s="7">
        <f>IF(N1017=0,+L1017+H1017,0)</f>
        <v/>
      </c>
      <c r="N1017" s="7">
        <f>IF((+G1017-K1017)=0,0,+G1017-K1017)</f>
        <v/>
      </c>
      <c r="O1017" s="7">
        <f>IF(N1017=0,0,(L1017+H1017)/-N1017)</f>
        <v/>
      </c>
      <c r="P1017" s="7">
        <f>VLOOKUP(OPERAC[[#This Row],[especie]],[1]!ESPECIES[#All],6,0)</f>
        <v/>
      </c>
      <c r="Q1017" s="7">
        <f>IF(N1017&lt;&gt;0,P1017*N1017,0)</f>
        <v/>
      </c>
      <c r="R1017" s="8">
        <f>IF(Q1017&lt;&gt;0,Q1017+H1017+L1017,0)</f>
        <v/>
      </c>
      <c r="S1017" s="9">
        <f>VLOOKUP(OPERAC[[#This Row],[especie]],[1]!ESPECIES[#Data],9,FALSE)</f>
        <v/>
      </c>
    </row>
    <row r="1018">
      <c r="A1018" s="4" t="n">
        <v>26140</v>
      </c>
      <c r="B1018" s="5" t="n">
        <v>44644</v>
      </c>
      <c r="C1018" s="13" t="inlineStr">
        <is>
          <t>VTA</t>
        </is>
      </c>
      <c r="D1018" s="13" t="n">
        <v>39</v>
      </c>
      <c r="E1018" s="10">
        <f>IF(D1018&gt;0,VLOOKUP(OPERAC[[#This Row],[COD CART]],[1]!MatrizCortoLargoCyl[#All],3,0),"")</f>
        <v/>
      </c>
      <c r="F1018" s="13" t="inlineStr">
        <is>
          <t>ACB/V/4,00/20-01-23</t>
        </is>
      </c>
      <c r="G1018" s="6" t="n">
        <v>-50</v>
      </c>
      <c r="H1018" s="6" t="n">
        <v>58.859</v>
      </c>
      <c r="I1018" s="7">
        <f>-H1018/G1018</f>
        <v/>
      </c>
      <c r="J1018" s="11" t="n"/>
      <c r="K1018" s="6" t="n"/>
      <c r="L1018" s="6" t="n"/>
      <c r="M1018" s="7">
        <f>IF(N1018=0,+L1018+H1018,0)</f>
        <v/>
      </c>
      <c r="N1018" s="7">
        <f>IF((+G1018-K1018)=0,0,+G1018-K1018)</f>
        <v/>
      </c>
      <c r="O1018" s="7">
        <f>IF(N1018=0,0,(L1018+H1018)/-N1018)</f>
        <v/>
      </c>
      <c r="P1018" s="7">
        <f>VLOOKUP(OPERAC[[#This Row],[especie]],[1]!ESPECIES[#All],6,0)</f>
        <v/>
      </c>
      <c r="Q1018" s="7">
        <f>IF(N1018&lt;&gt;0,P1018*N1018,0)</f>
        <v/>
      </c>
      <c r="R1018" s="8">
        <f>IF(Q1018&lt;&gt;0,Q1018+H1018+L1018,0)</f>
        <v/>
      </c>
      <c r="S1018" s="9">
        <f>VLOOKUP(OPERAC[[#This Row],[especie]],[1]!ESPECIES[#Data],9,FALSE)</f>
        <v/>
      </c>
    </row>
    <row r="1019">
      <c r="A1019" s="4" t="n">
        <v>25070</v>
      </c>
      <c r="B1019" s="5" t="n">
        <v>44693</v>
      </c>
      <c r="C1019" s="13" t="inlineStr">
        <is>
          <t>VTA</t>
        </is>
      </c>
      <c r="D1019" s="13" t="n">
        <v>39</v>
      </c>
      <c r="E1019" s="10">
        <f>IF(D1019&gt;0,VLOOKUP(OPERAC[[#This Row],[COD CART]],[1]!MatrizCortoLargoCyl[#All],3,0),"")</f>
        <v/>
      </c>
      <c r="F1019" s="13" t="inlineStr">
        <is>
          <t>ACB/P/3,00/20-01-23</t>
        </is>
      </c>
      <c r="G1019" s="6" t="n">
        <v>-50</v>
      </c>
      <c r="H1019" s="6" t="n">
        <v>58.115</v>
      </c>
      <c r="I1019" s="7">
        <f>-H1019/G1019</f>
        <v/>
      </c>
      <c r="J1019" s="11" t="n"/>
      <c r="K1019" s="6" t="n"/>
      <c r="L1019" s="6" t="n"/>
      <c r="M1019" s="7">
        <f>IF(N1019=0,+L1019+H1019,0)</f>
        <v/>
      </c>
      <c r="N1019" s="7">
        <f>IF((+G1019-K1019)=0,0,+G1019-K1019)</f>
        <v/>
      </c>
      <c r="O1019" s="7">
        <f>IF(N1019=0,0,(L1019+H1019)/-N1019)</f>
        <v/>
      </c>
      <c r="P1019" s="7">
        <f>VLOOKUP(OPERAC[[#This Row],[especie]],[1]!ESPECIES[#All],6,0)</f>
        <v/>
      </c>
      <c r="Q1019" s="7">
        <f>IF(N1019&lt;&gt;0,P1019*N1019,0)</f>
        <v/>
      </c>
      <c r="R1019" s="8">
        <f>IF(Q1019&lt;&gt;0,Q1019+H1019+L1019,0)</f>
        <v/>
      </c>
      <c r="S1019" s="9">
        <f>VLOOKUP(OPERAC[[#This Row],[especie]],[1]!ESPECIES[#Data],9,FALSE)</f>
        <v/>
      </c>
    </row>
    <row r="1020">
      <c r="A1020" s="4" t="n">
        <v>26137</v>
      </c>
      <c r="B1020" s="5" t="n">
        <v>44714</v>
      </c>
      <c r="C1020" s="13" t="inlineStr">
        <is>
          <t>VTA</t>
        </is>
      </c>
      <c r="D1020" s="13" t="n">
        <v>39</v>
      </c>
      <c r="E1020" s="10">
        <f>IF(D1020&gt;0,VLOOKUP(OPERAC[[#This Row],[COD CART]],[1]!MatrizCortoLargoCyl[#All],3,0),"")</f>
        <v/>
      </c>
      <c r="F1020" s="13" t="inlineStr">
        <is>
          <t>TSLA/V/660,00/03-06-22</t>
        </is>
      </c>
      <c r="G1020" s="6" t="n">
        <v>-300</v>
      </c>
      <c r="H1020" s="6" t="n">
        <v>57.11</v>
      </c>
      <c r="I1020" s="7">
        <f>-H1020/G1020</f>
        <v/>
      </c>
      <c r="J1020" s="5" t="n">
        <v>44715</v>
      </c>
      <c r="K1020" s="6">
        <f>+OPERAC[[#This Row],[cantidad]]</f>
        <v/>
      </c>
      <c r="L1020" s="6" t="n">
        <v>-28.137</v>
      </c>
      <c r="M1020" s="7">
        <f>IF(N1020=0,+L1020+H1020,0)</f>
        <v/>
      </c>
      <c r="N1020" s="7">
        <f>IF((+G1020-K1020)=0,0,+G1020-K1020)</f>
        <v/>
      </c>
      <c r="O1020" s="7">
        <f>IF(N1020=0,0,(L1020+H1020)/-N1020)</f>
        <v/>
      </c>
      <c r="P1020" s="7">
        <f>VLOOKUP(OPERAC[[#This Row],[especie]],[1]!ESPECIES[#All],6,0)</f>
        <v/>
      </c>
      <c r="Q1020" s="7">
        <f>IF(N1020&lt;&gt;0,P1020*N1020,0)</f>
        <v/>
      </c>
      <c r="R1020" s="8">
        <f>IF(Q1020&lt;&gt;0,Q1020+H1020+L1020,0)</f>
        <v/>
      </c>
      <c r="S1020" s="9">
        <f>VLOOKUP(OPERAC[[#This Row],[especie]],[1]!ESPECIES[#Data],9,FALSE)</f>
        <v/>
      </c>
    </row>
    <row r="1021">
      <c r="A1021" s="4" t="n">
        <v>13180</v>
      </c>
      <c r="B1021" s="5" t="n">
        <v>44615</v>
      </c>
      <c r="C1021" s="13" t="inlineStr">
        <is>
          <t>VTA</t>
        </is>
      </c>
      <c r="D1021" s="13" t="n">
        <v>39</v>
      </c>
      <c r="E1021" s="10">
        <f>IF(D1021&gt;0,VLOOKUP(OPERAC[[#This Row],[COD CART]],[1]!MatrizCortoLargoCyl[#All],3,0),"")</f>
        <v/>
      </c>
      <c r="F1021" s="13" t="inlineStr">
        <is>
          <t>TSLA/V/380,00/20-01-23</t>
        </is>
      </c>
      <c r="G1021" s="6" t="n">
        <v>-3</v>
      </c>
      <c r="H1021" s="6" t="n">
        <v>56.53</v>
      </c>
      <c r="I1021" s="7">
        <f>-H1021/G1021</f>
        <v/>
      </c>
      <c r="J1021" s="11" t="n"/>
      <c r="K1021" s="6" t="n"/>
      <c r="L1021" s="6" t="n"/>
      <c r="M1021" s="7">
        <f>IF(N1021=0,+L1021+H1021,0)</f>
        <v/>
      </c>
      <c r="N1021" s="7">
        <f>IF((+G1021-K1021)=0,0,+G1021-K1021)</f>
        <v/>
      </c>
      <c r="O1021" s="7">
        <f>IF(N1021=0,0,(L1021+H1021)/-N1021)</f>
        <v/>
      </c>
      <c r="P1021" s="7">
        <f>VLOOKUP(OPERAC[[#This Row],[especie]],[1]!ESPECIES[#All],6,0)</f>
        <v/>
      </c>
      <c r="Q1021" s="7">
        <f>IF(N1021&lt;&gt;0,P1021*N1021,0)</f>
        <v/>
      </c>
      <c r="R1021" s="8">
        <f>IF(Q1021&lt;&gt;0,Q1021+H1021+L1021,0)</f>
        <v/>
      </c>
      <c r="S1021" s="9">
        <f>VLOOKUP(OPERAC[[#This Row],[especie]],[1]!ESPECIES[#Data],9,FALSE)</f>
        <v/>
      </c>
    </row>
    <row r="1022">
      <c r="A1022" s="4" t="n">
        <v>25070</v>
      </c>
      <c r="B1022" s="5" t="n">
        <v>44610</v>
      </c>
      <c r="C1022" s="13" t="inlineStr">
        <is>
          <t>VTA</t>
        </is>
      </c>
      <c r="D1022" s="13" t="n">
        <v>39</v>
      </c>
      <c r="E1022" s="10">
        <f>IF(D1022&gt;0,VLOOKUP(OPERAC[[#This Row],[COD CART]],[1]!MatrizCortoLargoCyl[#All],3,0),"")</f>
        <v/>
      </c>
      <c r="F1022" s="13" t="inlineStr">
        <is>
          <t>MELI/V/540,00/16-09-22</t>
        </is>
      </c>
      <c r="G1022" s="6" t="n">
        <v>-2</v>
      </c>
      <c r="H1022" s="6" t="n">
        <v>55.55</v>
      </c>
      <c r="I1022" s="7">
        <f>-H1022/G1022</f>
        <v/>
      </c>
      <c r="J1022" s="11" t="n"/>
      <c r="K1022" s="6" t="n"/>
      <c r="L1022" s="6" t="n"/>
      <c r="M1022" s="7">
        <f>IF(N1022=0,+L1022+H1022,0)</f>
        <v/>
      </c>
      <c r="N1022" s="7">
        <f>IF((+G1022-K1022)=0,0,+G1022-K1022)</f>
        <v/>
      </c>
      <c r="O1022" s="7">
        <f>IF(N1022=0,0,(L1022+H1022)/-N1022)</f>
        <v/>
      </c>
      <c r="P1022" s="7">
        <f>VLOOKUP(OPERAC[[#This Row],[especie]],[1]!ESPECIES[#All],6,0)</f>
        <v/>
      </c>
      <c r="Q1022" s="7">
        <f>IF(N1022&lt;&gt;0,P1022*N1022,0)</f>
        <v/>
      </c>
      <c r="R1022" s="8">
        <f>IF(Q1022&lt;&gt;0,Q1022+H1022+L1022,0)</f>
        <v/>
      </c>
      <c r="S1022" s="9">
        <f>VLOOKUP(OPERAC[[#This Row],[especie]],[1]!ESPECIES[#Data],9,FALSE)</f>
        <v/>
      </c>
    </row>
    <row r="1023">
      <c r="A1023" s="4" t="n">
        <v>18651</v>
      </c>
      <c r="B1023" s="5" t="n">
        <v>44610</v>
      </c>
      <c r="C1023" s="13" t="inlineStr">
        <is>
          <t>VTA</t>
        </is>
      </c>
      <c r="D1023" s="13" t="n">
        <v>39</v>
      </c>
      <c r="E1023" s="10">
        <f>IF(D1023&gt;0,VLOOKUP(OPERAC[[#This Row],[COD CART]],[1]!MatrizCortoLargoCyl[#All],3,0),"")</f>
        <v/>
      </c>
      <c r="F1023" s="13" t="inlineStr">
        <is>
          <t>MELI/V/540,00/16-09-22</t>
        </is>
      </c>
      <c r="G1023" s="6" t="n">
        <v>-2</v>
      </c>
      <c r="H1023" s="6" t="n">
        <v>55.55</v>
      </c>
      <c r="I1023" s="7">
        <f>-H1023/G1023</f>
        <v/>
      </c>
      <c r="J1023" s="11" t="n"/>
      <c r="K1023" s="6" t="n"/>
      <c r="L1023" s="6" t="n"/>
      <c r="M1023" s="7">
        <f>IF(N1023=0,+L1023+H1023,0)</f>
        <v/>
      </c>
      <c r="N1023" s="7">
        <f>IF((+G1023-K1023)=0,0,+G1023-K1023)</f>
        <v/>
      </c>
      <c r="O1023" s="7">
        <f>IF(N1023=0,0,(L1023+H1023)/-N1023)</f>
        <v/>
      </c>
      <c r="P1023" s="7">
        <f>VLOOKUP(OPERAC[[#This Row],[especie]],[1]!ESPECIES[#All],6,0)</f>
        <v/>
      </c>
      <c r="Q1023" s="7">
        <f>IF(N1023&lt;&gt;0,P1023*N1023,0)</f>
        <v/>
      </c>
      <c r="R1023" s="8">
        <f>IF(Q1023&lt;&gt;0,Q1023+H1023+L1023,0)</f>
        <v/>
      </c>
      <c r="S1023" s="9">
        <f>VLOOKUP(OPERAC[[#This Row],[especie]],[1]!ESPECIES[#Data],9,FALSE)</f>
        <v/>
      </c>
    </row>
    <row r="1024">
      <c r="A1024" s="4" t="n">
        <v>3787</v>
      </c>
      <c r="B1024" s="5" t="n">
        <v>44642</v>
      </c>
      <c r="C1024" s="13" t="inlineStr">
        <is>
          <t>VTA</t>
        </is>
      </c>
      <c r="D1024" s="13" t="n">
        <v>39</v>
      </c>
      <c r="E1024" s="10">
        <f>IF(D1024&gt;0,VLOOKUP(OPERAC[[#This Row],[COD CART]],[1]!MatrizCortoLargoCyl[#All],3,0),"")</f>
        <v/>
      </c>
      <c r="F1024" s="13" t="inlineStr">
        <is>
          <t>TSLA/V/600,00/20-05-22</t>
        </is>
      </c>
      <c r="G1024" s="6" t="n">
        <v>-10</v>
      </c>
      <c r="H1024" s="6" t="n">
        <v>54.688</v>
      </c>
      <c r="I1024" s="7">
        <f>-H1024/G1024</f>
        <v/>
      </c>
      <c r="J1024" s="11" t="n">
        <v>44672</v>
      </c>
      <c r="K1024" s="6" t="n">
        <v>-10</v>
      </c>
      <c r="L1024" s="6" t="n">
        <v>-7.0595</v>
      </c>
      <c r="M1024" s="7">
        <f>IF(N1024=0,+L1024+H1024,0)</f>
        <v/>
      </c>
      <c r="N1024" s="7">
        <f>IF((+G1024-K1024)=0,0,+G1024-K1024)</f>
        <v/>
      </c>
      <c r="O1024" s="7">
        <f>IF(N1024=0,0,(L1024+H1024)/-N1024)</f>
        <v/>
      </c>
      <c r="P1024" s="7">
        <f>VLOOKUP(OPERAC[[#This Row],[especie]],[1]!ESPECIES[#All],6,0)</f>
        <v/>
      </c>
      <c r="Q1024" s="7">
        <f>IF(N1024&lt;&gt;0,P1024*N1024,0)</f>
        <v/>
      </c>
      <c r="R1024" s="8">
        <f>IF(Q1024&lt;&gt;0,Q1024+H1024+L1024,0)</f>
        <v/>
      </c>
      <c r="S1024" s="9">
        <f>VLOOKUP(OPERAC[[#This Row],[especie]],[1]!ESPECIES[#Data],9,FALSE)</f>
        <v/>
      </c>
    </row>
    <row r="1025">
      <c r="A1025" s="4" t="n">
        <v>1760</v>
      </c>
      <c r="B1025" s="5" t="n">
        <v>44614</v>
      </c>
      <c r="C1025" s="13" t="inlineStr">
        <is>
          <t>VTA</t>
        </is>
      </c>
      <c r="D1025" s="13" t="n">
        <v>39</v>
      </c>
      <c r="E1025" s="10">
        <f>IF(D1025&gt;0,VLOOKUP(OPERAC[[#This Row],[COD CART]],[1]!MatrizCortoLargoCyl[#All],3,0),"")</f>
        <v/>
      </c>
      <c r="F1025" s="13" t="inlineStr">
        <is>
          <t>FB/V/105,00/19-01-24</t>
        </is>
      </c>
      <c r="G1025" s="6" t="n">
        <v>-10</v>
      </c>
      <c r="H1025" s="6" t="n">
        <v>53.52</v>
      </c>
      <c r="I1025" s="7">
        <f>-H1025/G1025</f>
        <v/>
      </c>
      <c r="J1025" s="11" t="n"/>
      <c r="K1025" s="6" t="n"/>
      <c r="L1025" s="6" t="n"/>
      <c r="M1025" s="7">
        <f>IF(N1025=0,+L1025+H1025,0)</f>
        <v/>
      </c>
      <c r="N1025" s="7">
        <f>IF((+G1025-K1025)=0,0,+G1025-K1025)</f>
        <v/>
      </c>
      <c r="O1025" s="7">
        <f>IF(N1025=0,0,(L1025+H1025)/-N1025)</f>
        <v/>
      </c>
      <c r="P1025" s="7">
        <f>VLOOKUP(OPERAC[[#This Row],[especie]],[1]!ESPECIES[#All],6,0)</f>
        <v/>
      </c>
      <c r="Q1025" s="7">
        <f>IF(N1025&lt;&gt;0,P1025*N1025,0)</f>
        <v/>
      </c>
      <c r="R1025" s="8">
        <f>IF(Q1025&lt;&gt;0,Q1025+H1025+L1025,0)</f>
        <v/>
      </c>
      <c r="S1025" s="9">
        <f>VLOOKUP(OPERAC[[#This Row],[especie]],[1]!ESPECIES[#Data],9,FALSE)</f>
        <v/>
      </c>
    </row>
    <row r="1026">
      <c r="A1026" s="4" t="n">
        <v>6579</v>
      </c>
      <c r="B1026" s="5" t="n">
        <v>44614</v>
      </c>
      <c r="C1026" s="13" t="inlineStr">
        <is>
          <t>VTA</t>
        </is>
      </c>
      <c r="D1026" s="13" t="n">
        <v>39</v>
      </c>
      <c r="E1026" s="10">
        <f>IF(D1026&gt;0,VLOOKUP(OPERAC[[#This Row],[COD CART]],[1]!MatrizCortoLargoCyl[#All],3,0),"")</f>
        <v/>
      </c>
      <c r="F1026" s="13" t="inlineStr">
        <is>
          <t>FB/V/105,00/19-01-24</t>
        </is>
      </c>
      <c r="G1026" s="6" t="n">
        <v>-10</v>
      </c>
      <c r="H1026" s="6" t="n">
        <v>53.52</v>
      </c>
      <c r="I1026" s="7">
        <f>-H1026/G1026</f>
        <v/>
      </c>
      <c r="J1026" s="11" t="n"/>
      <c r="K1026" s="6" t="n"/>
      <c r="L1026" s="6" t="n"/>
      <c r="M1026" s="7">
        <f>IF(N1026=0,+L1026+H1026,0)</f>
        <v/>
      </c>
      <c r="N1026" s="7">
        <f>IF((+G1026-K1026)=0,0,+G1026-K1026)</f>
        <v/>
      </c>
      <c r="O1026" s="7">
        <f>IF(N1026=0,0,(L1026+H1026)/-N1026)</f>
        <v/>
      </c>
      <c r="P1026" s="7">
        <f>VLOOKUP(OPERAC[[#This Row],[especie]],[1]!ESPECIES[#All],6,0)</f>
        <v/>
      </c>
      <c r="Q1026" s="7">
        <f>IF(N1026&lt;&gt;0,P1026*N1026,0)</f>
        <v/>
      </c>
      <c r="R1026" s="8">
        <f>IF(Q1026&lt;&gt;0,Q1026+H1026+L1026,0)</f>
        <v/>
      </c>
      <c r="S1026" s="9">
        <f>VLOOKUP(OPERAC[[#This Row],[especie]],[1]!ESPECIES[#Data],9,FALSE)</f>
        <v/>
      </c>
    </row>
    <row r="1027">
      <c r="A1027" s="4" t="n">
        <v>1760</v>
      </c>
      <c r="B1027" s="5" t="n">
        <v>44628</v>
      </c>
      <c r="C1027" s="13" t="inlineStr">
        <is>
          <t>VTA</t>
        </is>
      </c>
      <c r="D1027" s="13" t="n">
        <v>39</v>
      </c>
      <c r="E1027" s="10">
        <f>IF(D1027&gt;0,VLOOKUP(OPERAC[[#This Row],[COD CART]],[1]!MatrizCortoLargoCyl[#All],3,0),"")</f>
        <v/>
      </c>
      <c r="F1027" s="13" t="inlineStr">
        <is>
          <t>TSLA/V/550,00/14-04-22</t>
        </is>
      </c>
      <c r="G1027" s="6" t="n">
        <v>-10</v>
      </c>
      <c r="H1027" s="6" t="n">
        <v>53.4976</v>
      </c>
      <c r="I1027" s="7">
        <f>-H1027/G1027</f>
        <v/>
      </c>
      <c r="J1027" s="11" t="n">
        <v>44638</v>
      </c>
      <c r="K1027" s="6" t="n">
        <v>-10</v>
      </c>
      <c r="L1027" s="6" t="n">
        <v>-10.2</v>
      </c>
      <c r="M1027" s="7">
        <f>IF(N1027=0,+L1027+H1027,0)</f>
        <v/>
      </c>
      <c r="N1027" s="7">
        <f>IF((+G1027-K1027)=0,0,+G1027-K1027)</f>
        <v/>
      </c>
      <c r="O1027" s="7">
        <f>IF(N1027=0,0,(L1027+H1027)/-N1027)</f>
        <v/>
      </c>
      <c r="P1027" s="7">
        <f>VLOOKUP(OPERAC[[#This Row],[especie]],[1]!ESPECIES[#All],6,0)</f>
        <v/>
      </c>
      <c r="Q1027" s="7">
        <f>IF(N1027&lt;&gt;0,P1027*N1027,0)</f>
        <v/>
      </c>
      <c r="R1027" s="8">
        <f>IF(Q1027&lt;&gt;0,Q1027+H1027+L1027,0)</f>
        <v/>
      </c>
      <c r="S1027" s="9">
        <f>VLOOKUP(OPERAC[[#This Row],[especie]],[1]!ESPECIES[#Data],9,FALSE)</f>
        <v/>
      </c>
    </row>
    <row r="1028">
      <c r="A1028" s="4" t="n">
        <v>12627</v>
      </c>
      <c r="B1028" s="5" t="n">
        <v>44601</v>
      </c>
      <c r="C1028" s="13" t="inlineStr">
        <is>
          <t>VTA</t>
        </is>
      </c>
      <c r="D1028" s="13" t="n">
        <v>39</v>
      </c>
      <c r="E1028" s="10">
        <f>IF(D1028&gt;0,VLOOKUP(OPERAC[[#This Row],[COD CART]],[1]!MatrizCortoLargoCyl[#All],3,0),"")</f>
        <v/>
      </c>
      <c r="F1028" s="13" t="inlineStr">
        <is>
          <t>TLRY/V/8,00/14-04-22</t>
        </is>
      </c>
      <c r="G1028" s="6" t="n">
        <v>-25</v>
      </c>
      <c r="H1028" s="6">
        <f>-2.1*OPERAC[[#This Row],[cantidad]]</f>
        <v/>
      </c>
      <c r="I1028" s="7">
        <f>-H1028/G1028</f>
        <v/>
      </c>
      <c r="J1028" s="11" t="n">
        <v>44645</v>
      </c>
      <c r="K1028" s="6" t="n">
        <v>-25</v>
      </c>
      <c r="L1028" s="6" t="n">
        <v>-29.91075</v>
      </c>
      <c r="M1028" s="7">
        <f>IF(N1028=0,+L1028+H1028,0)</f>
        <v/>
      </c>
      <c r="N1028" s="7">
        <f>IF((+G1028-K1028)=0,0,+G1028-K1028)</f>
        <v/>
      </c>
      <c r="O1028" s="7">
        <f>IF(N1028=0,0,(L1028+H1028)/-N1028)</f>
        <v/>
      </c>
      <c r="P1028" s="7">
        <f>VLOOKUP(OPERAC[[#This Row],[especie]],[1]!ESPECIES[#All],6,0)</f>
        <v/>
      </c>
      <c r="Q1028" s="7">
        <f>IF(N1028&lt;&gt;0,P1028*N1028,0)</f>
        <v/>
      </c>
      <c r="R1028" s="8">
        <f>IF(Q1028&lt;&gt;0,Q1028+H1028+L1028,0)</f>
        <v/>
      </c>
      <c r="S1028" s="9">
        <f>VLOOKUP(OPERAC[[#This Row],[especie]],[1]!ESPECIES[#Data],9,FALSE)</f>
        <v/>
      </c>
    </row>
    <row r="1029">
      <c r="A1029" s="4" t="n">
        <v>12627</v>
      </c>
      <c r="B1029" s="5" t="n">
        <v>44601</v>
      </c>
      <c r="C1029" s="13" t="inlineStr">
        <is>
          <t>VTA</t>
        </is>
      </c>
      <c r="D1029" s="13" t="n">
        <v>39</v>
      </c>
      <c r="E1029" s="10">
        <f>IF(D1029&gt;0,VLOOKUP(OPERAC[[#This Row],[COD CART]],[1]!MatrizCortoLargoCyl[#All],3,0),"")</f>
        <v/>
      </c>
      <c r="F1029" s="13" t="inlineStr">
        <is>
          <t>ACB/V/5,00/16-09-22</t>
        </is>
      </c>
      <c r="G1029" s="6" t="n">
        <v>-33</v>
      </c>
      <c r="H1029" s="6">
        <f>-1.56*OPERAC[[#This Row],[cantidad]]</f>
        <v/>
      </c>
      <c r="I1029" s="7">
        <f>-H1029/G1029</f>
        <v/>
      </c>
      <c r="J1029" s="11" t="n"/>
      <c r="K1029" s="6" t="n"/>
      <c r="L1029" s="6" t="n"/>
      <c r="M1029" s="7">
        <f>IF(N1029=0,+L1029+H1029,0)</f>
        <v/>
      </c>
      <c r="N1029" s="7">
        <f>IF((+G1029-K1029)=0,0,+G1029-K1029)</f>
        <v/>
      </c>
      <c r="O1029" s="7">
        <f>IF(N1029=0,0,(L1029+H1029)/-N1029)</f>
        <v/>
      </c>
      <c r="P1029" s="7">
        <f>VLOOKUP(OPERAC[[#This Row],[especie]],[1]!ESPECIES[#All],6,0)</f>
        <v/>
      </c>
      <c r="Q1029" s="7">
        <f>IF(N1029&lt;&gt;0,P1029*N1029,0)</f>
        <v/>
      </c>
      <c r="R1029" s="8">
        <f>IF(Q1029&lt;&gt;0,Q1029+H1029+L1029,0)</f>
        <v/>
      </c>
      <c r="S1029" s="9">
        <f>VLOOKUP(OPERAC[[#This Row],[especie]],[1]!ESPECIES[#Data],9,FALSE)</f>
        <v/>
      </c>
    </row>
    <row r="1030">
      <c r="A1030" s="4" t="n">
        <v>1760</v>
      </c>
      <c r="B1030" s="5" t="n">
        <v>44340</v>
      </c>
      <c r="C1030" s="13" t="inlineStr">
        <is>
          <t>VTA</t>
        </is>
      </c>
      <c r="D1030" s="13" t="n">
        <v>39</v>
      </c>
      <c r="E1030" s="10">
        <f>IF(D1030&gt;0,VLOOKUP(OPERAC[[#This Row],[COD CART]],[1]!MatrizCortoLargoCyl[#All],3,0),"")</f>
        <v/>
      </c>
      <c r="F1030" s="13" t="inlineStr">
        <is>
          <t>SOLO/V/2,50/20-01-23</t>
        </is>
      </c>
      <c r="G1030" s="6" t="n">
        <v>-50</v>
      </c>
      <c r="H1030" s="6" t="n">
        <v>51.34</v>
      </c>
      <c r="I1030" s="7">
        <f>-H1030/G1030</f>
        <v/>
      </c>
      <c r="J1030" s="11" t="n"/>
      <c r="K1030" s="6" t="n"/>
      <c r="L1030" s="6" t="n"/>
      <c r="M1030" s="7">
        <f>IF(N1030=0,+L1030+H1030,0)</f>
        <v/>
      </c>
      <c r="N1030" s="7">
        <f>IF((+G1030-K1030)=0,0,+G1030-K1030)</f>
        <v/>
      </c>
      <c r="O1030" s="7">
        <f>IF(N1030=0,0,(L1030+H1030)/-N1030)</f>
        <v/>
      </c>
      <c r="P1030" s="7">
        <f>VLOOKUP(OPERAC[[#This Row],[especie]],[1]!ESPECIES[#All],6,0)</f>
        <v/>
      </c>
      <c r="Q1030" s="7">
        <f>IF(N1030&lt;&gt;0,P1030*N1030,0)</f>
        <v/>
      </c>
      <c r="R1030" s="8">
        <f>IF(Q1030&lt;&gt;0,Q1030+H1030+L1030,0)</f>
        <v/>
      </c>
      <c r="S1030" s="9">
        <f>VLOOKUP(OPERAC[[#This Row],[especie]],[1]!ESPECIES[#Data],9,FALSE)</f>
        <v/>
      </c>
    </row>
    <row r="1031">
      <c r="A1031" s="4" t="n">
        <v>2194</v>
      </c>
      <c r="B1031" s="5" t="n">
        <v>44614</v>
      </c>
      <c r="C1031" s="13" t="inlineStr">
        <is>
          <t>VTA</t>
        </is>
      </c>
      <c r="D1031" s="13" t="n">
        <v>39</v>
      </c>
      <c r="E1031" s="10">
        <f>IF(D1031&gt;0,VLOOKUP(OPERAC[[#This Row],[COD CART]],[1]!MatrizCortoLargoCyl[#All],3,0),"")</f>
        <v/>
      </c>
      <c r="F1031" s="13" t="inlineStr">
        <is>
          <t>ACB/V/5,00/20-01-23</t>
        </is>
      </c>
      <c r="G1031" s="6" t="n">
        <v>-25</v>
      </c>
      <c r="H1031" s="6" t="n">
        <v>50.66</v>
      </c>
      <c r="I1031" s="7">
        <f>-H1031/G1031</f>
        <v/>
      </c>
      <c r="J1031" s="11" t="n"/>
      <c r="K1031" s="6" t="n"/>
      <c r="L1031" s="6" t="n"/>
      <c r="M1031" s="7">
        <f>IF(N1031=0,+L1031+H1031,0)</f>
        <v/>
      </c>
      <c r="N1031" s="7">
        <f>IF((+G1031-K1031)=0,0,+G1031-K1031)</f>
        <v/>
      </c>
      <c r="O1031" s="7">
        <f>IF(N1031=0,0,(L1031+H1031)/-N1031)</f>
        <v/>
      </c>
      <c r="P1031" s="7">
        <f>VLOOKUP(OPERAC[[#This Row],[especie]],[1]!ESPECIES[#All],6,0)</f>
        <v/>
      </c>
      <c r="Q1031" s="7">
        <f>IF(N1031&lt;&gt;0,P1031*N1031,0)</f>
        <v/>
      </c>
      <c r="R1031" s="8">
        <f>IF(Q1031&lt;&gt;0,Q1031+H1031+L1031,0)</f>
        <v/>
      </c>
      <c r="S1031" s="9">
        <f>VLOOKUP(OPERAC[[#This Row],[especie]],[1]!ESPECIES[#Data],9,FALSE)</f>
        <v/>
      </c>
    </row>
    <row r="1032">
      <c r="A1032" s="4" t="n">
        <v>1760</v>
      </c>
      <c r="B1032" s="5" t="n">
        <v>44614</v>
      </c>
      <c r="C1032" s="13" t="inlineStr">
        <is>
          <t>VTA</t>
        </is>
      </c>
      <c r="D1032" s="13" t="n">
        <v>39</v>
      </c>
      <c r="E1032" s="10">
        <f>IF(D1032&gt;0,VLOOKUP(OPERAC[[#This Row],[COD CART]],[1]!MatrizCortoLargoCyl[#All],3,0),"")</f>
        <v/>
      </c>
      <c r="F1032" s="13" t="inlineStr">
        <is>
          <t>NFLX/V/200,00/19-01-24</t>
        </is>
      </c>
      <c r="G1032" s="6" t="n">
        <v>-4</v>
      </c>
      <c r="H1032" s="6" t="n">
        <v>49.98</v>
      </c>
      <c r="I1032" s="7">
        <f>-H1032/G1032</f>
        <v/>
      </c>
      <c r="J1032" s="11" t="n"/>
      <c r="K1032" s="6" t="n"/>
      <c r="L1032" s="6" t="n"/>
      <c r="M1032" s="7">
        <f>IF(N1032=0,+L1032+H1032,0)</f>
        <v/>
      </c>
      <c r="N1032" s="7">
        <f>IF((+G1032-K1032)=0,0,+G1032-K1032)</f>
        <v/>
      </c>
      <c r="O1032" s="7">
        <f>IF(N1032=0,0,(L1032+H1032)/-N1032)</f>
        <v/>
      </c>
      <c r="P1032" s="7">
        <f>VLOOKUP(OPERAC[[#This Row],[especie]],[1]!ESPECIES[#All],6,0)</f>
        <v/>
      </c>
      <c r="Q1032" s="7">
        <f>IF(N1032&lt;&gt;0,P1032*N1032,0)</f>
        <v/>
      </c>
      <c r="R1032" s="8">
        <f>IF(Q1032&lt;&gt;0,Q1032+H1032+L1032,0)</f>
        <v/>
      </c>
      <c r="S1032" s="9">
        <f>VLOOKUP(OPERAC[[#This Row],[especie]],[1]!ESPECIES[#Data],9,FALSE)</f>
        <v/>
      </c>
    </row>
    <row r="1033">
      <c r="A1033" s="4" t="n">
        <v>2218</v>
      </c>
      <c r="B1033" s="5" t="n">
        <v>44637</v>
      </c>
      <c r="C1033" s="13" t="inlineStr">
        <is>
          <t>VTA</t>
        </is>
      </c>
      <c r="D1033" s="13" t="n">
        <v>39</v>
      </c>
      <c r="E1033" s="10">
        <f>IF(D1033&gt;0,VLOOKUP(OPERAC[[#This Row],[COD CART]],[1]!MatrizCortoLargoCyl[#All],3,0),"")</f>
        <v/>
      </c>
      <c r="F1033" s="13" t="inlineStr">
        <is>
          <t>TSLA/V/510,00/20-05-22</t>
        </is>
      </c>
      <c r="G1033" s="6" t="n">
        <v>-10</v>
      </c>
      <c r="H1033" s="6" t="n">
        <v>49.9226</v>
      </c>
      <c r="I1033" s="7">
        <f>-H1033/G1033</f>
        <v/>
      </c>
      <c r="J1033" s="11" t="n">
        <v>44642</v>
      </c>
      <c r="K1033" s="6" t="n">
        <v>-10</v>
      </c>
      <c r="L1033" s="6" t="n">
        <v>-22.64</v>
      </c>
      <c r="M1033" s="7">
        <f>IF(N1033=0,+L1033+H1033,0)</f>
        <v/>
      </c>
      <c r="N1033" s="7">
        <f>IF((+G1033-K1033)=0,0,+G1033-K1033)</f>
        <v/>
      </c>
      <c r="O1033" s="7">
        <f>IF(N1033=0,0,(L1033+H1033)/-N1033)</f>
        <v/>
      </c>
      <c r="P1033" s="7">
        <f>VLOOKUP(OPERAC[[#This Row],[especie]],[1]!ESPECIES[#All],6,0)</f>
        <v/>
      </c>
      <c r="Q1033" s="7">
        <f>IF(N1033&lt;&gt;0,P1033*N1033,0)</f>
        <v/>
      </c>
      <c r="R1033" s="8">
        <f>IF(Q1033&lt;&gt;0,Q1033+H1033+L1033,0)</f>
        <v/>
      </c>
      <c r="S1033" s="9">
        <f>VLOOKUP(OPERAC[[#This Row],[especie]],[1]!ESPECIES[#Data],9,FALSE)</f>
        <v/>
      </c>
    </row>
    <row r="1034">
      <c r="A1034" s="4" t="n">
        <v>13180</v>
      </c>
      <c r="B1034" s="5" t="n">
        <v>44714</v>
      </c>
      <c r="C1034" s="13" t="inlineStr">
        <is>
          <t>VTA</t>
        </is>
      </c>
      <c r="D1034" s="13" t="n">
        <v>39</v>
      </c>
      <c r="E1034" s="10">
        <f>IF(D1034&gt;0,VLOOKUP(OPERAC[[#This Row],[COD CART]],[1]!MatrizCortoLargoCyl[#All],3,0),"")</f>
        <v/>
      </c>
      <c r="F1034" s="13" t="inlineStr">
        <is>
          <t>MELI/V/350,00/20-01-23</t>
        </is>
      </c>
      <c r="G1034" s="6" t="n">
        <v>-4</v>
      </c>
      <c r="H1034" s="6" t="n">
        <v>49.57</v>
      </c>
      <c r="I1034" s="7">
        <f>-H1034/G1034</f>
        <v/>
      </c>
      <c r="J1034" s="5" t="n"/>
      <c r="K1034" s="6" t="n"/>
      <c r="L1034" s="6" t="n"/>
      <c r="M1034" s="7">
        <f>IF(N1034=0,+L1034+H1034,0)</f>
        <v/>
      </c>
      <c r="N1034" s="7">
        <f>IF((+G1034-K1034)=0,0,+G1034-K1034)</f>
        <v/>
      </c>
      <c r="O1034" s="7">
        <f>IF(N1034=0,0,(L1034+H1034)/-N1034)</f>
        <v/>
      </c>
      <c r="P1034" s="7">
        <f>VLOOKUP(OPERAC[[#This Row],[especie]],[1]!ESPECIES[#All],6,0)</f>
        <v/>
      </c>
      <c r="Q1034" s="7">
        <f>IF(N1034&lt;&gt;0,P1034*N1034,0)</f>
        <v/>
      </c>
      <c r="R1034" s="8">
        <f>IF(Q1034&lt;&gt;0,Q1034+H1034+L1034,0)</f>
        <v/>
      </c>
      <c r="S1034" s="9">
        <f>VLOOKUP(OPERAC[[#This Row],[especie]],[1]!ESPECIES[#Data],9,FALSE)</f>
        <v/>
      </c>
    </row>
    <row r="1035">
      <c r="A1035" s="4" t="n">
        <v>2203</v>
      </c>
      <c r="B1035" s="5" t="n">
        <v>44614</v>
      </c>
      <c r="C1035" s="13" t="inlineStr">
        <is>
          <t>VTA</t>
        </is>
      </c>
      <c r="D1035" s="13" t="n">
        <v>39</v>
      </c>
      <c r="E1035" s="10">
        <f>IF(D1035&gt;0,VLOOKUP(OPERAC[[#This Row],[COD CART]],[1]!MatrizCortoLargoCyl[#All],3,0),"")</f>
        <v/>
      </c>
      <c r="F1035" s="13" t="inlineStr">
        <is>
          <t>ROKU/V/55,00/20-01-23</t>
        </is>
      </c>
      <c r="G1035" s="6" t="n">
        <v>-10</v>
      </c>
      <c r="H1035" s="6" t="n">
        <v>49.55</v>
      </c>
      <c r="I1035" s="7">
        <f>-H1035/G1035</f>
        <v/>
      </c>
      <c r="J1035" s="11" t="n">
        <v>44672</v>
      </c>
      <c r="K1035" s="6" t="n">
        <v>-10</v>
      </c>
      <c r="L1035" s="6" t="n">
        <v>-47.3995</v>
      </c>
      <c r="M1035" s="7">
        <f>IF(N1035=0,+L1035+H1035,0)</f>
        <v/>
      </c>
      <c r="N1035" s="7">
        <f>IF((+G1035-K1035)=0,0,+G1035-K1035)</f>
        <v/>
      </c>
      <c r="O1035" s="7">
        <f>IF(N1035=0,0,(L1035+H1035)/-N1035)</f>
        <v/>
      </c>
      <c r="P1035" s="7">
        <f>VLOOKUP(OPERAC[[#This Row],[especie]],[1]!ESPECIES[#All],6,0)</f>
        <v/>
      </c>
      <c r="Q1035" s="7">
        <f>IF(N1035&lt;&gt;0,P1035*N1035,0)</f>
        <v/>
      </c>
      <c r="R1035" s="8">
        <f>IF(Q1035&lt;&gt;0,Q1035+H1035+L1035,0)</f>
        <v/>
      </c>
      <c r="S1035" s="9">
        <f>VLOOKUP(OPERAC[[#This Row],[especie]],[1]!ESPECIES[#Data],9,FALSE)</f>
        <v/>
      </c>
    </row>
    <row r="1036">
      <c r="A1036" s="4" t="n">
        <v>18690</v>
      </c>
      <c r="B1036" s="5" t="n">
        <v>44531</v>
      </c>
      <c r="C1036" s="13" t="inlineStr">
        <is>
          <t>VTA</t>
        </is>
      </c>
      <c r="D1036" s="13" t="n">
        <v>39</v>
      </c>
      <c r="E1036" s="10">
        <f>IF(D1036&gt;0,VLOOKUP(OPERAC[[#This Row],[COD CART]],[1]!MatrizCortoLargoCyl[#All],3,0),"")</f>
        <v/>
      </c>
      <c r="F1036" s="13" t="inlineStr">
        <is>
          <t>SOLO/V/3,00/17-06-22</t>
        </is>
      </c>
      <c r="G1036" s="6" t="n">
        <v>-50</v>
      </c>
      <c r="H1036" s="6" t="n">
        <v>46.995</v>
      </c>
      <c r="I1036" s="7">
        <f>-H1036/G1036</f>
        <v/>
      </c>
      <c r="J1036" s="11" t="n">
        <v>44690</v>
      </c>
      <c r="K1036" s="6" t="n">
        <v>-50</v>
      </c>
      <c r="L1036" s="6" t="n">
        <v>-73.11</v>
      </c>
      <c r="M1036" s="7">
        <f>IF(N1036=0,+L1036+H1036,0)</f>
        <v/>
      </c>
      <c r="N1036" s="7">
        <f>IF((+G1036-K1036)=0,0,+G1036-K1036)</f>
        <v/>
      </c>
      <c r="O1036" s="7">
        <f>IF(N1036=0,0,(L1036+H1036)/-N1036)</f>
        <v/>
      </c>
      <c r="P1036" s="7">
        <f>VLOOKUP(OPERAC[[#This Row],[especie]],[1]!ESPECIES[#All],6,0)</f>
        <v/>
      </c>
      <c r="Q1036" s="7">
        <f>IF(N1036&lt;&gt;0,P1036*N1036,0)</f>
        <v/>
      </c>
      <c r="R1036" s="8">
        <f>IF(Q1036&lt;&gt;0,Q1036+H1036+L1036,0)</f>
        <v/>
      </c>
      <c r="S1036" s="9">
        <f>VLOOKUP(OPERAC[[#This Row],[especie]],[1]!ESPECIES[#Data],9,FALSE)</f>
        <v/>
      </c>
    </row>
    <row r="1037">
      <c r="A1037" s="4" t="n">
        <v>13188</v>
      </c>
      <c r="B1037" s="5" t="n">
        <v>44601</v>
      </c>
      <c r="C1037" s="13" t="inlineStr">
        <is>
          <t>VTA</t>
        </is>
      </c>
      <c r="D1037" s="13" t="n">
        <v>39</v>
      </c>
      <c r="E1037" s="10">
        <f>IF(D1037&gt;0,VLOOKUP(OPERAC[[#This Row],[COD CART]],[1]!MatrizCortoLargoCyl[#All],3,0),"")</f>
        <v/>
      </c>
      <c r="F1037" s="13" t="inlineStr">
        <is>
          <t>ACB/V/5,00/16-09-22</t>
        </is>
      </c>
      <c r="G1037" s="6" t="n">
        <v>-30</v>
      </c>
      <c r="H1037" s="6">
        <f>-1.56*OPERAC[[#This Row],[cantidad]]</f>
        <v/>
      </c>
      <c r="I1037" s="7">
        <f>-H1037/G1037</f>
        <v/>
      </c>
      <c r="J1037" s="11" t="n"/>
      <c r="K1037" s="6" t="n"/>
      <c r="L1037" s="6" t="n"/>
      <c r="M1037" s="7">
        <f>IF(N1037=0,+L1037+H1037,0)</f>
        <v/>
      </c>
      <c r="N1037" s="7">
        <f>IF((+G1037-K1037)=0,0,+G1037-K1037)</f>
        <v/>
      </c>
      <c r="O1037" s="7">
        <f>IF(N1037=0,0,(L1037+H1037)/-N1037)</f>
        <v/>
      </c>
      <c r="P1037" s="7">
        <f>VLOOKUP(OPERAC[[#This Row],[especie]],[1]!ESPECIES[#All],6,0)</f>
        <v/>
      </c>
      <c r="Q1037" s="7">
        <f>IF(N1037&lt;&gt;0,P1037*N1037,0)</f>
        <v/>
      </c>
      <c r="R1037" s="8">
        <f>IF(Q1037&lt;&gt;0,Q1037+H1037+L1037,0)</f>
        <v/>
      </c>
      <c r="S1037" s="9">
        <f>VLOOKUP(OPERAC[[#This Row],[especie]],[1]!ESPECIES[#Data],9,FALSE)</f>
        <v/>
      </c>
    </row>
    <row r="1038">
      <c r="A1038" s="4" t="n">
        <v>18713</v>
      </c>
      <c r="B1038" s="5" t="n">
        <v>44601</v>
      </c>
      <c r="C1038" s="13" t="inlineStr">
        <is>
          <t>VTA</t>
        </is>
      </c>
      <c r="D1038" s="13" t="n">
        <v>39</v>
      </c>
      <c r="E1038" s="10">
        <f>IF(D1038&gt;0,VLOOKUP(OPERAC[[#This Row],[COD CART]],[1]!MatrizCortoLargoCyl[#All],3,0),"")</f>
        <v/>
      </c>
      <c r="F1038" s="13" t="inlineStr">
        <is>
          <t>ACB/V/5,00/16-09-22</t>
        </is>
      </c>
      <c r="G1038" s="6" t="n">
        <v>-30</v>
      </c>
      <c r="H1038" s="6">
        <f>-1.56*OPERAC[[#This Row],[cantidad]]</f>
        <v/>
      </c>
      <c r="I1038" s="7">
        <f>-H1038/G1038</f>
        <v/>
      </c>
      <c r="J1038" s="11" t="n">
        <v>44720</v>
      </c>
      <c r="K1038" s="6" t="n">
        <v>-20</v>
      </c>
      <c r="L1038" s="6" t="n">
        <v>-69.5865</v>
      </c>
      <c r="M1038" s="7">
        <f>IF(N1038=0,+L1038+H1038,0)</f>
        <v/>
      </c>
      <c r="N1038" s="7">
        <f>IF((+G1038-K1038)=0,0,+G1038-K1038)</f>
        <v/>
      </c>
      <c r="O1038" s="7">
        <f>IF(N1038=0,0,(L1038+H1038)/-N1038)</f>
        <v/>
      </c>
      <c r="P1038" s="7">
        <f>VLOOKUP(OPERAC[[#This Row],[especie]],[1]!ESPECIES[#All],6,0)</f>
        <v/>
      </c>
      <c r="Q1038" s="7">
        <f>IF(N1038&lt;&gt;0,P1038*N1038,0)</f>
        <v/>
      </c>
      <c r="R1038" s="8">
        <f>IF(Q1038&lt;&gt;0,Q1038+H1038+L1038,0)</f>
        <v/>
      </c>
      <c r="S1038" s="9">
        <f>VLOOKUP(OPERAC[[#This Row],[especie]],[1]!ESPECIES[#Data],9,FALSE)</f>
        <v/>
      </c>
    </row>
    <row r="1039">
      <c r="A1039" s="4" t="n">
        <v>16795</v>
      </c>
      <c r="B1039" s="5" t="n">
        <v>44652</v>
      </c>
      <c r="C1039" s="13" t="inlineStr">
        <is>
          <t>VTA</t>
        </is>
      </c>
      <c r="D1039" s="13" t="n">
        <v>39</v>
      </c>
      <c r="E1039" s="10">
        <f>IF(D1039&gt;0,VLOOKUP(OPERAC[[#This Row],[COD CART]],[1]!MatrizCortoLargoCyl[#All],3,0),"")</f>
        <v/>
      </c>
      <c r="F1039" s="13" t="inlineStr">
        <is>
          <t>TSLA/V/700,00/20-05-22</t>
        </is>
      </c>
      <c r="G1039" s="6" t="n">
        <v>-10</v>
      </c>
      <c r="H1039" s="6" t="n">
        <v>46.12</v>
      </c>
      <c r="I1039" s="7">
        <f>-H1039/G1039</f>
        <v/>
      </c>
      <c r="J1039" s="11" t="n">
        <v>44698</v>
      </c>
      <c r="K1039" s="6" t="n">
        <v>-10</v>
      </c>
      <c r="L1039" s="6" t="n">
        <v>-110.08</v>
      </c>
      <c r="M1039" s="7">
        <f>IF(N1039=0,+L1039+H1039,0)</f>
        <v/>
      </c>
      <c r="N1039" s="7">
        <f>IF((+G1039-K1039)=0,0,+G1039-K1039)</f>
        <v/>
      </c>
      <c r="O1039" s="7">
        <f>IF(N1039=0,0,(L1039+H1039)/-N1039)</f>
        <v/>
      </c>
      <c r="P1039" s="7">
        <f>VLOOKUP(OPERAC[[#This Row],[especie]],[1]!ESPECIES[#All],6,0)</f>
        <v/>
      </c>
      <c r="Q1039" s="7">
        <f>IF(N1039&lt;&gt;0,P1039*N1039,0)</f>
        <v/>
      </c>
      <c r="R1039" s="8">
        <f>IF(Q1039&lt;&gt;0,Q1039+H1039+L1039,0)</f>
        <v/>
      </c>
      <c r="S1039" s="9">
        <f>VLOOKUP(OPERAC[[#This Row],[especie]],[1]!ESPECIES[#Data],9,FALSE)</f>
        <v/>
      </c>
    </row>
    <row r="1040">
      <c r="A1040" s="4" t="n">
        <v>20312</v>
      </c>
      <c r="B1040" s="5" t="n">
        <v>44714</v>
      </c>
      <c r="C1040" s="13" t="inlineStr">
        <is>
          <t>VTA</t>
        </is>
      </c>
      <c r="D1040" s="13" t="n">
        <v>39</v>
      </c>
      <c r="E1040" s="10">
        <f>IF(D1040&gt;0,VLOOKUP(OPERAC[[#This Row],[COD CART]],[1]!MatrizCortoLargoCyl[#All],3,0),"")</f>
        <v/>
      </c>
      <c r="F1040" s="13" t="inlineStr">
        <is>
          <t>TSLA/C/870,00/03-06-22</t>
        </is>
      </c>
      <c r="G1040" s="6" t="n">
        <v>-200</v>
      </c>
      <c r="H1040" s="6" t="n">
        <v>45.609</v>
      </c>
      <c r="I1040" s="7">
        <f>-H1040/G1040</f>
        <v/>
      </c>
      <c r="J1040" s="5" t="n">
        <v>44715</v>
      </c>
      <c r="K1040" s="6">
        <f>+OPERAC[[#This Row],[cantidad]]</f>
        <v/>
      </c>
      <c r="L1040" s="6" t="n">
        <v>0</v>
      </c>
      <c r="M1040" s="7">
        <f>IF(N1040=0,+L1040+H1040,0)</f>
        <v/>
      </c>
      <c r="N1040" s="7">
        <f>IF((+G1040-K1040)=0,0,+G1040-K1040)</f>
        <v/>
      </c>
      <c r="O1040" s="7">
        <f>IF(N1040=0,0,(L1040+H1040)/-N1040)</f>
        <v/>
      </c>
      <c r="P1040" s="7">
        <f>VLOOKUP(OPERAC[[#This Row],[especie]],[1]!ESPECIES[#All],6,0)</f>
        <v/>
      </c>
      <c r="Q1040" s="7">
        <f>IF(N1040&lt;&gt;0,P1040*N1040,0)</f>
        <v/>
      </c>
      <c r="R1040" s="8">
        <f>IF(Q1040&lt;&gt;0,Q1040+H1040+L1040,0)</f>
        <v/>
      </c>
      <c r="S1040" s="9">
        <f>VLOOKUP(OPERAC[[#This Row],[especie]],[1]!ESPECIES[#Data],9,FALSE)</f>
        <v/>
      </c>
    </row>
    <row r="1041">
      <c r="A1041" s="4" t="n">
        <v>2203</v>
      </c>
      <c r="B1041" s="5" t="n">
        <v>44718</v>
      </c>
      <c r="C1041" s="13" t="inlineStr">
        <is>
          <t>VTA</t>
        </is>
      </c>
      <c r="D1041" s="13" t="n">
        <v>39</v>
      </c>
      <c r="E1041" s="10">
        <f>IF(D1041&gt;0,VLOOKUP(OPERAC[[#This Row],[COD CART]],[1]!MatrizCortoLargoCyl[#All],3,0),"")</f>
        <v/>
      </c>
      <c r="F1041" s="13" t="inlineStr">
        <is>
          <t>MELI/V/490,00/16-09-22</t>
        </is>
      </c>
      <c r="G1041" s="6" t="n">
        <v>-3</v>
      </c>
      <c r="H1041" s="6" t="n">
        <v>45.57</v>
      </c>
      <c r="I1041" s="7">
        <f>-H1041/G1041</f>
        <v/>
      </c>
      <c r="J1041" s="5" t="n"/>
      <c r="K1041" s="6" t="n"/>
      <c r="L1041" s="6" t="n"/>
      <c r="M1041" s="7">
        <f>IF(N1041=0,+L1041+H1041,0)</f>
        <v/>
      </c>
      <c r="N1041" s="7">
        <f>IF((+G1041-K1041)=0,0,+G1041-K1041)</f>
        <v/>
      </c>
      <c r="O1041" s="7">
        <f>IF(N1041=0,0,(L1041+H1041)/-N1041)</f>
        <v/>
      </c>
      <c r="P1041" s="7">
        <f>VLOOKUP(OPERAC[[#This Row],[especie]],[1]!ESPECIES[#All],6,0)</f>
        <v/>
      </c>
      <c r="Q1041" s="7">
        <f>IF(N1041&lt;&gt;0,P1041*N1041,0)</f>
        <v/>
      </c>
      <c r="R1041" s="8">
        <f>IF(Q1041&lt;&gt;0,Q1041+H1041+L1041,0)</f>
        <v/>
      </c>
      <c r="S1041" s="9">
        <f>VLOOKUP(OPERAC[[#This Row],[especie]],[1]!ESPECIES[#Data],9,FALSE)</f>
        <v/>
      </c>
    </row>
    <row r="1042">
      <c r="A1042" s="4" t="n">
        <v>19920</v>
      </c>
      <c r="B1042" s="5" t="n">
        <v>44614</v>
      </c>
      <c r="C1042" s="13" t="inlineStr">
        <is>
          <t>VTA</t>
        </is>
      </c>
      <c r="D1042" s="13" t="n">
        <v>39</v>
      </c>
      <c r="E1042" s="10">
        <f>IF(D1042&gt;0,VLOOKUP(OPERAC[[#This Row],[COD CART]],[1]!MatrizCortoLargoCyl[#All],3,0),"")</f>
        <v/>
      </c>
      <c r="F1042" s="13" t="inlineStr">
        <is>
          <t>TSLA/V/200,00/19-01-24</t>
        </is>
      </c>
      <c r="G1042" s="6" t="n">
        <v>-5</v>
      </c>
      <c r="H1042" s="6" t="n">
        <v>44.62</v>
      </c>
      <c r="I1042" s="7">
        <f>-H1042/G1042</f>
        <v/>
      </c>
      <c r="J1042" s="11" t="n"/>
      <c r="K1042" s="6" t="n"/>
      <c r="L1042" s="6" t="n"/>
      <c r="M1042" s="7">
        <f>IF(N1042=0,+L1042+H1042,0)</f>
        <v/>
      </c>
      <c r="N1042" s="7">
        <f>IF((+G1042-K1042)=0,0,+G1042-K1042)</f>
        <v/>
      </c>
      <c r="O1042" s="7">
        <f>IF(N1042=0,0,(L1042+H1042)/-N1042)</f>
        <v/>
      </c>
      <c r="P1042" s="7">
        <f>VLOOKUP(OPERAC[[#This Row],[especie]],[1]!ESPECIES[#All],6,0)</f>
        <v/>
      </c>
      <c r="Q1042" s="7">
        <f>IF(N1042&lt;&gt;0,P1042*N1042,0)</f>
        <v/>
      </c>
      <c r="R1042" s="8">
        <f>IF(Q1042&lt;&gt;0,Q1042+H1042+L1042,0)</f>
        <v/>
      </c>
      <c r="S1042" s="9">
        <f>VLOOKUP(OPERAC[[#This Row],[especie]],[1]!ESPECIES[#Data],9,FALSE)</f>
        <v/>
      </c>
    </row>
    <row r="1043">
      <c r="A1043" s="4" t="n">
        <v>19878</v>
      </c>
      <c r="B1043" s="5" t="n">
        <v>44622</v>
      </c>
      <c r="C1043" s="13" t="inlineStr">
        <is>
          <t>VTA</t>
        </is>
      </c>
      <c r="D1043" s="13" t="n">
        <v>39</v>
      </c>
      <c r="E1043" s="10">
        <f>IF(D1043&gt;0,VLOOKUP(OPERAC[[#This Row],[COD CART]],[1]!MatrizCortoLargoCyl[#All],3,0),"")</f>
        <v/>
      </c>
      <c r="F1043" s="13" t="inlineStr">
        <is>
          <t>SOLO/V/2,00/19-01-24</t>
        </is>
      </c>
      <c r="G1043" s="6" t="n">
        <v>-50</v>
      </c>
      <c r="H1043" s="6" t="n">
        <v>44.5291</v>
      </c>
      <c r="I1043" s="7">
        <f>-H1043/G1043</f>
        <v/>
      </c>
      <c r="J1043" s="11" t="n"/>
      <c r="K1043" s="6" t="n"/>
      <c r="L1043" s="6" t="n"/>
      <c r="M1043" s="7">
        <f>IF(N1043=0,+L1043+H1043,0)</f>
        <v/>
      </c>
      <c r="N1043" s="7">
        <f>IF((+G1043-K1043)=0,0,+G1043-K1043)</f>
        <v/>
      </c>
      <c r="O1043" s="7">
        <f>IF(N1043=0,0,(L1043+H1043)/-N1043)</f>
        <v/>
      </c>
      <c r="P1043" s="7">
        <f>VLOOKUP(OPERAC[[#This Row],[especie]],[1]!ESPECIES[#All],6,0)</f>
        <v/>
      </c>
      <c r="Q1043" s="7">
        <f>IF(N1043&lt;&gt;0,P1043*N1043,0)</f>
        <v/>
      </c>
      <c r="R1043" s="8">
        <f>IF(Q1043&lt;&gt;0,Q1043+H1043+L1043,0)</f>
        <v/>
      </c>
      <c r="S1043" s="9">
        <f>VLOOKUP(OPERAC[[#This Row],[especie]],[1]!ESPECIES[#Data],9,FALSE)</f>
        <v/>
      </c>
    </row>
    <row r="1044">
      <c r="A1044" s="4" t="n">
        <v>16783</v>
      </c>
      <c r="B1044" s="5" t="n">
        <v>44614</v>
      </c>
      <c r="C1044" s="13" t="inlineStr">
        <is>
          <t>VTA</t>
        </is>
      </c>
      <c r="D1044" s="13" t="n">
        <v>39</v>
      </c>
      <c r="E1044" s="10">
        <f>IF(D1044&gt;0,VLOOKUP(OPERAC[[#This Row],[COD CART]],[1]!MatrizCortoLargoCyl[#All],3,0),"")</f>
        <v/>
      </c>
      <c r="F1044" s="13" t="inlineStr">
        <is>
          <t>MELI/V/540,00/20-01-23</t>
        </is>
      </c>
      <c r="G1044" s="6" t="n">
        <v>-1</v>
      </c>
      <c r="H1044" s="6" t="n">
        <v>43.81</v>
      </c>
      <c r="I1044" s="7">
        <f>-H1044/G1044</f>
        <v/>
      </c>
      <c r="J1044" s="11" t="n"/>
      <c r="K1044" s="6" t="n"/>
      <c r="L1044" s="6" t="n"/>
      <c r="M1044" s="7">
        <f>IF(N1044=0,+L1044+H1044,0)</f>
        <v/>
      </c>
      <c r="N1044" s="7">
        <f>IF((+G1044-K1044)=0,0,+G1044-K1044)</f>
        <v/>
      </c>
      <c r="O1044" s="7">
        <f>IF(N1044=0,0,(L1044+H1044)/-N1044)</f>
        <v/>
      </c>
      <c r="P1044" s="7">
        <f>VLOOKUP(OPERAC[[#This Row],[especie]],[1]!ESPECIES[#All],6,0)</f>
        <v/>
      </c>
      <c r="Q1044" s="7">
        <f>IF(N1044&lt;&gt;0,P1044*N1044,0)</f>
        <v/>
      </c>
      <c r="R1044" s="8">
        <f>IF(Q1044&lt;&gt;0,Q1044+H1044+L1044,0)</f>
        <v/>
      </c>
      <c r="S1044" s="9">
        <f>VLOOKUP(OPERAC[[#This Row],[especie]],[1]!ESPECIES[#Data],9,FALSE)</f>
        <v/>
      </c>
    </row>
    <row r="1045">
      <c r="A1045" s="4" t="n">
        <v>2203</v>
      </c>
      <c r="B1045" s="5" t="n">
        <v>44614</v>
      </c>
      <c r="C1045" s="13" t="inlineStr">
        <is>
          <t>VTA</t>
        </is>
      </c>
      <c r="D1045" s="13" t="n">
        <v>39</v>
      </c>
      <c r="E1045" s="10">
        <f>IF(D1045&gt;0,VLOOKUP(OPERAC[[#This Row],[COD CART]],[1]!MatrizCortoLargoCyl[#All],3,0),"")</f>
        <v/>
      </c>
      <c r="F1045" s="13" t="inlineStr">
        <is>
          <t>MELI/V/540,00/20-01-23</t>
        </is>
      </c>
      <c r="G1045" s="6" t="n">
        <v>-1</v>
      </c>
      <c r="H1045" s="6" t="n">
        <v>43.64</v>
      </c>
      <c r="I1045" s="7">
        <f>-H1045/G1045</f>
        <v/>
      </c>
      <c r="J1045" s="11" t="n"/>
      <c r="K1045" s="6" t="n"/>
      <c r="L1045" s="6" t="n"/>
      <c r="M1045" s="7">
        <f>IF(N1045=0,+L1045+H1045,0)</f>
        <v/>
      </c>
      <c r="N1045" s="7">
        <f>IF((+G1045-K1045)=0,0,+G1045-K1045)</f>
        <v/>
      </c>
      <c r="O1045" s="7">
        <f>IF(N1045=0,0,(L1045+H1045)/-N1045)</f>
        <v/>
      </c>
      <c r="P1045" s="7">
        <f>VLOOKUP(OPERAC[[#This Row],[especie]],[1]!ESPECIES[#All],6,0)</f>
        <v/>
      </c>
      <c r="Q1045" s="7">
        <f>IF(N1045&lt;&gt;0,P1045*N1045,0)</f>
        <v/>
      </c>
      <c r="R1045" s="8">
        <f>IF(Q1045&lt;&gt;0,Q1045+H1045+L1045,0)</f>
        <v/>
      </c>
      <c r="S1045" s="9">
        <f>VLOOKUP(OPERAC[[#This Row],[especie]],[1]!ESPECIES[#Data],9,FALSE)</f>
        <v/>
      </c>
    </row>
    <row r="1046">
      <c r="A1046" s="4" t="n">
        <v>13269</v>
      </c>
      <c r="B1046" s="5" t="n">
        <v>44614</v>
      </c>
      <c r="C1046" s="13" t="inlineStr">
        <is>
          <t>VTA</t>
        </is>
      </c>
      <c r="D1046" s="13" t="n">
        <v>39</v>
      </c>
      <c r="E1046" s="10">
        <f>IF(D1046&gt;0,VLOOKUP(OPERAC[[#This Row],[COD CART]],[1]!MatrizCortoLargoCyl[#All],3,0),"")</f>
        <v/>
      </c>
      <c r="F1046" s="13" t="inlineStr">
        <is>
          <t>MELI/V/540,00/20-01-23</t>
        </is>
      </c>
      <c r="G1046" s="6" t="n">
        <v>-1</v>
      </c>
      <c r="H1046" s="6" t="n">
        <v>43.64</v>
      </c>
      <c r="I1046" s="7">
        <f>-H1046/G1046</f>
        <v/>
      </c>
      <c r="J1046" s="11" t="n"/>
      <c r="K1046" s="6" t="n"/>
      <c r="L1046" s="6" t="n"/>
      <c r="M1046" s="7">
        <f>IF(N1046=0,+L1046+H1046,0)</f>
        <v/>
      </c>
      <c r="N1046" s="7">
        <f>IF((+G1046-K1046)=0,0,+G1046-K1046)</f>
        <v/>
      </c>
      <c r="O1046" s="7">
        <f>IF(N1046=0,0,(L1046+H1046)/-N1046)</f>
        <v/>
      </c>
      <c r="P1046" s="7">
        <f>VLOOKUP(OPERAC[[#This Row],[especie]],[1]!ESPECIES[#All],6,0)</f>
        <v/>
      </c>
      <c r="Q1046" s="7">
        <f>IF(N1046&lt;&gt;0,P1046*N1046,0)</f>
        <v/>
      </c>
      <c r="R1046" s="8">
        <f>IF(Q1046&lt;&gt;0,Q1046+H1046+L1046,0)</f>
        <v/>
      </c>
      <c r="S1046" s="9">
        <f>VLOOKUP(OPERAC[[#This Row],[especie]],[1]!ESPECIES[#Data],9,FALSE)</f>
        <v/>
      </c>
    </row>
    <row r="1047">
      <c r="A1047" s="4" t="n">
        <v>15189</v>
      </c>
      <c r="B1047" s="5" t="n">
        <v>44614</v>
      </c>
      <c r="C1047" s="13" t="inlineStr">
        <is>
          <t>VTA</t>
        </is>
      </c>
      <c r="D1047" s="13" t="n">
        <v>39</v>
      </c>
      <c r="E1047" s="10">
        <f>IF(D1047&gt;0,VLOOKUP(OPERAC[[#This Row],[COD CART]],[1]!MatrizCortoLargoCyl[#All],3,0),"")</f>
        <v/>
      </c>
      <c r="F1047" s="13" t="inlineStr">
        <is>
          <t>MELI/V/540,00/20-01-23</t>
        </is>
      </c>
      <c r="G1047" s="6" t="n">
        <v>-1</v>
      </c>
      <c r="H1047" s="6" t="n">
        <v>43.64</v>
      </c>
      <c r="I1047" s="7">
        <f>-H1047/G1047</f>
        <v/>
      </c>
      <c r="J1047" s="11" t="n"/>
      <c r="K1047" s="6" t="n"/>
      <c r="L1047" s="6" t="n"/>
      <c r="M1047" s="7">
        <f>IF(N1047=0,+L1047+H1047,0)</f>
        <v/>
      </c>
      <c r="N1047" s="7">
        <f>IF((+G1047-K1047)=0,0,+G1047-K1047)</f>
        <v/>
      </c>
      <c r="O1047" s="7">
        <f>IF(N1047=0,0,(L1047+H1047)/-N1047)</f>
        <v/>
      </c>
      <c r="P1047" s="7">
        <f>VLOOKUP(OPERAC[[#This Row],[especie]],[1]!ESPECIES[#All],6,0)</f>
        <v/>
      </c>
      <c r="Q1047" s="7">
        <f>IF(N1047&lt;&gt;0,P1047*N1047,0)</f>
        <v/>
      </c>
      <c r="R1047" s="8">
        <f>IF(Q1047&lt;&gt;0,Q1047+H1047+L1047,0)</f>
        <v/>
      </c>
      <c r="S1047" s="9">
        <f>VLOOKUP(OPERAC[[#This Row],[especie]],[1]!ESPECIES[#Data],9,FALSE)</f>
        <v/>
      </c>
    </row>
    <row r="1048">
      <c r="A1048" s="4" t="n">
        <v>19920</v>
      </c>
      <c r="B1048" s="5" t="n">
        <v>44614</v>
      </c>
      <c r="C1048" s="13" t="inlineStr">
        <is>
          <t>VTA</t>
        </is>
      </c>
      <c r="D1048" s="13" t="n">
        <v>39</v>
      </c>
      <c r="E1048" s="10">
        <f>IF(D1048&gt;0,VLOOKUP(OPERAC[[#This Row],[COD CART]],[1]!MatrizCortoLargoCyl[#All],3,0),"")</f>
        <v/>
      </c>
      <c r="F1048" s="13" t="inlineStr">
        <is>
          <t>MELI/V/540,00/20-01-23</t>
        </is>
      </c>
      <c r="G1048" s="6" t="n">
        <v>-1</v>
      </c>
      <c r="H1048" s="6" t="n">
        <v>43.64</v>
      </c>
      <c r="I1048" s="7">
        <f>-H1048/G1048</f>
        <v/>
      </c>
      <c r="J1048" s="11" t="n"/>
      <c r="K1048" s="6" t="n"/>
      <c r="L1048" s="6" t="n"/>
      <c r="M1048" s="7">
        <f>IF(N1048=0,+L1048+H1048,0)</f>
        <v/>
      </c>
      <c r="N1048" s="7">
        <f>IF((+G1048-K1048)=0,0,+G1048-K1048)</f>
        <v/>
      </c>
      <c r="O1048" s="7">
        <f>IF(N1048=0,0,(L1048+H1048)/-N1048)</f>
        <v/>
      </c>
      <c r="P1048" s="7">
        <f>VLOOKUP(OPERAC[[#This Row],[especie]],[1]!ESPECIES[#All],6,0)</f>
        <v/>
      </c>
      <c r="Q1048" s="7">
        <f>IF(N1048&lt;&gt;0,P1048*N1048,0)</f>
        <v/>
      </c>
      <c r="R1048" s="8">
        <f>IF(Q1048&lt;&gt;0,Q1048+H1048+L1048,0)</f>
        <v/>
      </c>
      <c r="S1048" s="9">
        <f>VLOOKUP(OPERAC[[#This Row],[especie]],[1]!ESPECIES[#Data],9,FALSE)</f>
        <v/>
      </c>
    </row>
    <row r="1049">
      <c r="A1049" s="4" t="n">
        <v>13180</v>
      </c>
      <c r="B1049" s="5" t="n">
        <v>44614</v>
      </c>
      <c r="C1049" s="13" t="inlineStr">
        <is>
          <t>VTA</t>
        </is>
      </c>
      <c r="D1049" s="13" t="n">
        <v>39</v>
      </c>
      <c r="E1049" s="10">
        <f>IF(D1049&gt;0,VLOOKUP(OPERAC[[#This Row],[COD CART]],[1]!MatrizCortoLargoCyl[#All],3,0),"")</f>
        <v/>
      </c>
      <c r="F1049" s="13" t="inlineStr">
        <is>
          <t>TSLA/V/300,00/19-01-24</t>
        </is>
      </c>
      <c r="G1049" s="6" t="n">
        <v>-2</v>
      </c>
      <c r="H1049" s="6" t="n">
        <v>43.63</v>
      </c>
      <c r="I1049" s="7">
        <f>-H1049/G1049</f>
        <v/>
      </c>
      <c r="J1049" s="11" t="n">
        <v>44641</v>
      </c>
      <c r="K1049" s="6" t="n">
        <v>-2</v>
      </c>
      <c r="L1049" s="6" t="n">
        <v>-41.62</v>
      </c>
      <c r="M1049" s="7">
        <f>IF(N1049=0,+L1049+H1049,0)</f>
        <v/>
      </c>
      <c r="N1049" s="7">
        <f>IF((+G1049-K1049)=0,0,+G1049-K1049)</f>
        <v/>
      </c>
      <c r="O1049" s="7">
        <f>IF(N1049=0,0,(L1049+H1049)/-N1049)</f>
        <v/>
      </c>
      <c r="P1049" s="7">
        <f>VLOOKUP(OPERAC[[#This Row],[especie]],[1]!ESPECIES[#All],6,0)</f>
        <v/>
      </c>
      <c r="Q1049" s="7">
        <f>IF(N1049&lt;&gt;0,P1049*N1049,0)</f>
        <v/>
      </c>
      <c r="R1049" s="8">
        <f>IF(Q1049&lt;&gt;0,Q1049+H1049+L1049,0)</f>
        <v/>
      </c>
      <c r="S1049" s="9">
        <f>VLOOKUP(OPERAC[[#This Row],[especie]],[1]!ESPECIES[#Data],9,FALSE)</f>
        <v/>
      </c>
    </row>
    <row r="1050">
      <c r="A1050" s="4" t="n">
        <v>19878</v>
      </c>
      <c r="B1050" s="5" t="n">
        <v>44614</v>
      </c>
      <c r="C1050" s="13" t="inlineStr">
        <is>
          <t>VTA</t>
        </is>
      </c>
      <c r="D1050" s="13" t="n">
        <v>39</v>
      </c>
      <c r="E1050" s="10">
        <f>IF(D1050&gt;0,VLOOKUP(OPERAC[[#This Row],[COD CART]],[1]!MatrizCortoLargoCyl[#All],3,0),"")</f>
        <v/>
      </c>
      <c r="F1050" s="13" t="inlineStr">
        <is>
          <t>TSLA/V/300,00/19-01-24</t>
        </is>
      </c>
      <c r="G1050" s="6" t="n">
        <v>-2</v>
      </c>
      <c r="H1050" s="6" t="n">
        <v>43.63</v>
      </c>
      <c r="I1050" s="7">
        <f>-H1050/G1050</f>
        <v/>
      </c>
      <c r="J1050" s="11" t="n"/>
      <c r="K1050" s="6" t="n"/>
      <c r="L1050" s="6" t="n"/>
      <c r="M1050" s="7">
        <f>IF(N1050=0,+L1050+H1050,0)</f>
        <v/>
      </c>
      <c r="N1050" s="7">
        <f>IF((+G1050-K1050)=0,0,+G1050-K1050)</f>
        <v/>
      </c>
      <c r="O1050" s="7">
        <f>IF(N1050=0,0,(L1050+H1050)/-N1050)</f>
        <v/>
      </c>
      <c r="P1050" s="7">
        <f>VLOOKUP(OPERAC[[#This Row],[especie]],[1]!ESPECIES[#All],6,0)</f>
        <v/>
      </c>
      <c r="Q1050" s="7">
        <f>IF(N1050&lt;&gt;0,P1050*N1050,0)</f>
        <v/>
      </c>
      <c r="R1050" s="8">
        <f>IF(Q1050&lt;&gt;0,Q1050+H1050+L1050,0)</f>
        <v/>
      </c>
      <c r="S1050" s="9">
        <f>VLOOKUP(OPERAC[[#This Row],[especie]],[1]!ESPECIES[#Data],9,FALSE)</f>
        <v/>
      </c>
    </row>
    <row r="1051">
      <c r="A1051" s="4" t="n">
        <v>19867</v>
      </c>
      <c r="B1051" s="5" t="n">
        <v>44424</v>
      </c>
      <c r="C1051" s="13" t="inlineStr">
        <is>
          <t>VTA</t>
        </is>
      </c>
      <c r="D1051" s="13" t="n">
        <v>39</v>
      </c>
      <c r="E1051" s="10">
        <f>IF(D1051&gt;0,VLOOKUP(OPERAC[[#This Row],[COD CART]],[1]!MatrizCortoLargoCyl[#All],3,0),"")</f>
        <v/>
      </c>
      <c r="F1051" s="13" t="inlineStr">
        <is>
          <t>ACB/V/5,00/20-01-23</t>
        </is>
      </c>
      <c r="G1051" s="6" t="n">
        <v>-30</v>
      </c>
      <c r="H1051" s="6" t="n">
        <v>43.13</v>
      </c>
      <c r="I1051" s="7">
        <f>-H1051/G1051</f>
        <v/>
      </c>
      <c r="J1051" s="11" t="n">
        <v>44629</v>
      </c>
      <c r="K1051" s="6" t="n">
        <v>-30</v>
      </c>
      <c r="L1051" s="6">
        <f>+OPERAC[[#This Row],[cantidad venta]]*2.345</f>
        <v/>
      </c>
      <c r="M1051" s="7">
        <f>IF(N1051=0,+L1051+H1051,0)</f>
        <v/>
      </c>
      <c r="N1051" s="7">
        <f>IF((+G1051-K1051)=0,0,+G1051-K1051)</f>
        <v/>
      </c>
      <c r="O1051" s="7">
        <f>IF(N1051=0,0,(L1051+H1051)/-N1051)</f>
        <v/>
      </c>
      <c r="P1051" s="7">
        <f>VLOOKUP(OPERAC[[#This Row],[especie]],[1]!ESPECIES[#All],6,0)</f>
        <v/>
      </c>
      <c r="Q1051" s="7">
        <f>IF(N1051&lt;&gt;0,P1051*N1051,0)</f>
        <v/>
      </c>
      <c r="R1051" s="8">
        <f>IF(Q1051&lt;&gt;0,Q1051+H1051+L1051,0)</f>
        <v/>
      </c>
      <c r="S1051" s="9">
        <f>VLOOKUP(OPERAC[[#This Row],[especie]],[1]!ESPECIES[#Data],9,FALSE)</f>
        <v/>
      </c>
    </row>
    <row r="1052">
      <c r="A1052" s="4" t="n">
        <v>6628</v>
      </c>
      <c r="B1052" s="5" t="n">
        <v>44616</v>
      </c>
      <c r="C1052" s="13" t="inlineStr">
        <is>
          <t>VTA</t>
        </is>
      </c>
      <c r="D1052" s="13" t="n">
        <v>39</v>
      </c>
      <c r="E1052" s="10">
        <f>IF(D1052&gt;0,VLOOKUP(OPERAC[[#This Row],[COD CART]],[1]!MatrizCortoLargoCyl[#All],3,0),"")</f>
        <v/>
      </c>
      <c r="F1052" s="13" t="inlineStr">
        <is>
          <t>TSLA/V/200,00/20-01-23</t>
        </is>
      </c>
      <c r="G1052" s="6" t="n">
        <v>-10</v>
      </c>
      <c r="H1052" s="6" t="n">
        <v>41.63</v>
      </c>
      <c r="I1052" s="7">
        <f>-H1052/G1052</f>
        <v/>
      </c>
      <c r="J1052" s="11" t="n"/>
      <c r="K1052" s="6" t="n"/>
      <c r="L1052" s="6" t="n"/>
      <c r="M1052" s="7">
        <f>IF(N1052=0,+L1052+H1052,0)</f>
        <v/>
      </c>
      <c r="N1052" s="7">
        <f>IF((+G1052-K1052)=0,0,+G1052-K1052)</f>
        <v/>
      </c>
      <c r="O1052" s="7">
        <f>IF(N1052=0,0,(L1052+H1052)/-N1052)</f>
        <v/>
      </c>
      <c r="P1052" s="7">
        <f>VLOOKUP(OPERAC[[#This Row],[especie]],[1]!ESPECIES[#All],6,0)</f>
        <v/>
      </c>
      <c r="Q1052" s="7">
        <f>IF(N1052&lt;&gt;0,P1052*N1052,0)</f>
        <v/>
      </c>
      <c r="R1052" s="8">
        <f>IF(Q1052&lt;&gt;0,Q1052+H1052+L1052,0)</f>
        <v/>
      </c>
      <c r="S1052" s="9">
        <f>VLOOKUP(OPERAC[[#This Row],[especie]],[1]!ESPECIES[#Data],9,FALSE)</f>
        <v/>
      </c>
    </row>
    <row r="1053">
      <c r="A1053" s="4" t="n">
        <v>22431</v>
      </c>
      <c r="B1053" s="5" t="n">
        <v>44701</v>
      </c>
      <c r="C1053" s="13" t="inlineStr">
        <is>
          <t>VTA</t>
        </is>
      </c>
      <c r="D1053" s="13" t="n">
        <v>39</v>
      </c>
      <c r="E1053" s="10">
        <f>IF(D1053&gt;0,VLOOKUP(OPERAC[[#This Row],[COD CART]],[1]!MatrizCortoLargoCyl[#All],3,0),"")</f>
        <v/>
      </c>
      <c r="F1053" s="13" t="inlineStr">
        <is>
          <t>TSLA/P/230,00/20-01-23</t>
        </is>
      </c>
      <c r="G1053" s="6" t="n">
        <v>-4</v>
      </c>
      <c r="H1053" s="6" t="n">
        <v>41.44</v>
      </c>
      <c r="I1053" s="7">
        <f>-H1053/G1053</f>
        <v/>
      </c>
      <c r="J1053" s="11" t="n"/>
      <c r="K1053" s="6" t="n"/>
      <c r="L1053" s="6" t="n"/>
      <c r="M1053" s="7">
        <f>IF(N1053=0,+L1053+H1053,0)</f>
        <v/>
      </c>
      <c r="N1053" s="7">
        <f>IF((+G1053-K1053)=0,0,+G1053-K1053)</f>
        <v/>
      </c>
      <c r="O1053" s="7">
        <f>IF(N1053=0,0,(L1053+H1053)/-N1053)</f>
        <v/>
      </c>
      <c r="P1053" s="7">
        <f>VLOOKUP(OPERAC[[#This Row],[especie]],[1]!ESPECIES[#All],6,0)</f>
        <v/>
      </c>
      <c r="Q1053" s="7">
        <f>IF(N1053&lt;&gt;0,P1053*N1053,0)</f>
        <v/>
      </c>
      <c r="R1053" s="8">
        <f>IF(Q1053&lt;&gt;0,Q1053+H1053+L1053,0)</f>
        <v/>
      </c>
      <c r="S1053" s="9">
        <f>VLOOKUP(OPERAC[[#This Row],[especie]],[1]!ESPECIES[#Data],9,FALSE)</f>
        <v/>
      </c>
    </row>
    <row r="1054">
      <c r="A1054" s="4" t="n">
        <v>16824</v>
      </c>
      <c r="B1054" s="5" t="n">
        <v>44616</v>
      </c>
      <c r="C1054" s="13" t="inlineStr">
        <is>
          <t>VTA</t>
        </is>
      </c>
      <c r="D1054" s="13" t="n">
        <v>39</v>
      </c>
      <c r="E1054" s="10">
        <f>IF(D1054&gt;0,VLOOKUP(OPERAC[[#This Row],[COD CART]],[1]!MatrizCortoLargoCyl[#All],3,0),"")</f>
        <v/>
      </c>
      <c r="F1054" s="13" t="inlineStr">
        <is>
          <t>ROKU/V/55,00/20-01-23</t>
        </is>
      </c>
      <c r="G1054" s="6" t="n">
        <v>-10</v>
      </c>
      <c r="H1054" s="6" t="n">
        <v>40.63</v>
      </c>
      <c r="I1054" s="7">
        <f>-H1054/G1054</f>
        <v/>
      </c>
      <c r="J1054" s="11" t="n">
        <v>44672</v>
      </c>
      <c r="K1054" s="6" t="n">
        <v>-10</v>
      </c>
      <c r="L1054" s="6" t="n">
        <v>-47.3995</v>
      </c>
      <c r="M1054" s="7">
        <f>IF(N1054=0,+L1054+H1054,0)</f>
        <v/>
      </c>
      <c r="N1054" s="7">
        <f>IF((+G1054-K1054)=0,0,+G1054-K1054)</f>
        <v/>
      </c>
      <c r="O1054" s="7">
        <f>IF(N1054=0,0,(L1054+H1054)/-N1054)</f>
        <v/>
      </c>
      <c r="P1054" s="7">
        <f>VLOOKUP(OPERAC[[#This Row],[especie]],[1]!ESPECIES[#All],6,0)</f>
        <v/>
      </c>
      <c r="Q1054" s="7">
        <f>IF(N1054&lt;&gt;0,P1054*N1054,0)</f>
        <v/>
      </c>
      <c r="R1054" s="8">
        <f>IF(Q1054&lt;&gt;0,Q1054+H1054+L1054,0)</f>
        <v/>
      </c>
      <c r="S1054" s="9">
        <f>VLOOKUP(OPERAC[[#This Row],[especie]],[1]!ESPECIES[#Data],9,FALSE)</f>
        <v/>
      </c>
    </row>
    <row r="1055">
      <c r="A1055" s="4" t="n">
        <v>16783</v>
      </c>
      <c r="B1055" s="5" t="n">
        <v>44614</v>
      </c>
      <c r="C1055" s="13" t="inlineStr">
        <is>
          <t>VTA</t>
        </is>
      </c>
      <c r="D1055" s="13" t="n">
        <v>39</v>
      </c>
      <c r="E1055" s="10">
        <f>IF(D1055&gt;0,VLOOKUP(OPERAC[[#This Row],[COD CART]],[1]!MatrizCortoLargoCyl[#All],3,0),"")</f>
        <v/>
      </c>
      <c r="F1055" s="13" t="inlineStr">
        <is>
          <t>DDD/V/10,00/19-01-24</t>
        </is>
      </c>
      <c r="G1055" s="6" t="n">
        <v>-20</v>
      </c>
      <c r="H1055" s="6" t="n">
        <v>39.75</v>
      </c>
      <c r="I1055" s="7">
        <f>-H1055/G1055</f>
        <v/>
      </c>
      <c r="J1055" s="11" t="n"/>
      <c r="K1055" s="6" t="n"/>
      <c r="L1055" s="6" t="n"/>
      <c r="M1055" s="7">
        <f>IF(N1055=0,+L1055+H1055,0)</f>
        <v/>
      </c>
      <c r="N1055" s="7">
        <f>IF((+G1055-K1055)=0,0,+G1055-K1055)</f>
        <v/>
      </c>
      <c r="O1055" s="7">
        <f>IF(N1055=0,0,(L1055+H1055)/-N1055)</f>
        <v/>
      </c>
      <c r="P1055" s="7">
        <f>VLOOKUP(OPERAC[[#This Row],[especie]],[1]!ESPECIES[#All],6,0)</f>
        <v/>
      </c>
      <c r="Q1055" s="7">
        <f>IF(N1055&lt;&gt;0,P1055*N1055,0)</f>
        <v/>
      </c>
      <c r="R1055" s="8">
        <f>IF(Q1055&lt;&gt;0,Q1055+H1055+L1055,0)</f>
        <v/>
      </c>
      <c r="S1055" s="9">
        <f>VLOOKUP(OPERAC[[#This Row],[especie]],[1]!ESPECIES[#Data],9,FALSE)</f>
        <v/>
      </c>
    </row>
    <row r="1056">
      <c r="A1056" s="4" t="n">
        <v>13180</v>
      </c>
      <c r="B1056" s="5" t="n">
        <v>44614</v>
      </c>
      <c r="C1056" s="13" t="inlineStr">
        <is>
          <t>VTA</t>
        </is>
      </c>
      <c r="D1056" s="13" t="n">
        <v>39</v>
      </c>
      <c r="E1056" s="10">
        <f>IF(D1056&gt;0,VLOOKUP(OPERAC[[#This Row],[COD CART]],[1]!MatrizCortoLargoCyl[#All],3,0),"")</f>
        <v/>
      </c>
      <c r="F1056" s="13" t="inlineStr">
        <is>
          <t>DDD/V/10,00/19-01-24</t>
        </is>
      </c>
      <c r="G1056" s="6" t="n">
        <v>-20</v>
      </c>
      <c r="H1056" s="6" t="n">
        <v>39.59</v>
      </c>
      <c r="I1056" s="7">
        <f>-H1056/G1056</f>
        <v/>
      </c>
      <c r="J1056" s="11" t="n"/>
      <c r="K1056" s="6" t="n"/>
      <c r="L1056" s="6" t="n"/>
      <c r="M1056" s="7">
        <f>IF(N1056=0,+L1056+H1056,0)</f>
        <v/>
      </c>
      <c r="N1056" s="7">
        <f>IF((+G1056-K1056)=0,0,+G1056-K1056)</f>
        <v/>
      </c>
      <c r="O1056" s="7">
        <f>IF(N1056=0,0,(L1056+H1056)/-N1056)</f>
        <v/>
      </c>
      <c r="P1056" s="7">
        <f>VLOOKUP(OPERAC[[#This Row],[especie]],[1]!ESPECIES[#All],6,0)</f>
        <v/>
      </c>
      <c r="Q1056" s="7">
        <f>IF(N1056&lt;&gt;0,P1056*N1056,0)</f>
        <v/>
      </c>
      <c r="R1056" s="8">
        <f>IF(Q1056&lt;&gt;0,Q1056+H1056+L1056,0)</f>
        <v/>
      </c>
      <c r="S1056" s="9">
        <f>VLOOKUP(OPERAC[[#This Row],[especie]],[1]!ESPECIES[#Data],9,FALSE)</f>
        <v/>
      </c>
    </row>
    <row r="1057">
      <c r="A1057" s="4" t="n">
        <v>18690</v>
      </c>
      <c r="B1057" s="5" t="n">
        <v>44601</v>
      </c>
      <c r="C1057" s="13" t="inlineStr">
        <is>
          <t>VTA</t>
        </is>
      </c>
      <c r="D1057" s="13" t="n">
        <v>39</v>
      </c>
      <c r="E1057" s="10">
        <f>IF(D1057&gt;0,VLOOKUP(OPERAC[[#This Row],[COD CART]],[1]!MatrizCortoLargoCyl[#All],3,0),"")</f>
        <v/>
      </c>
      <c r="F1057" s="13" t="inlineStr">
        <is>
          <t>ACB/V/5,00/16-09-22</t>
        </is>
      </c>
      <c r="G1057" s="6" t="n">
        <v>-25</v>
      </c>
      <c r="H1057" s="6">
        <f>-1.56*OPERAC[[#This Row],[cantidad]]</f>
        <v/>
      </c>
      <c r="I1057" s="7">
        <f>-H1057/G1057</f>
        <v/>
      </c>
      <c r="J1057" s="11" t="n">
        <v>44719</v>
      </c>
      <c r="K1057" s="6" t="n">
        <v>-8</v>
      </c>
      <c r="L1057" s="6" t="n">
        <v>-28.1184</v>
      </c>
      <c r="M1057" s="7">
        <f>IF(N1057=0,+L1057+H1057,0)</f>
        <v/>
      </c>
      <c r="N1057" s="7">
        <f>IF((+G1057-K1057)=0,0,+G1057-K1057)</f>
        <v/>
      </c>
      <c r="O1057" s="7">
        <f>IF(N1057=0,0,(L1057+H1057)/-N1057)</f>
        <v/>
      </c>
      <c r="P1057" s="7">
        <f>VLOOKUP(OPERAC[[#This Row],[especie]],[1]!ESPECIES[#All],6,0)</f>
        <v/>
      </c>
      <c r="Q1057" s="7">
        <f>IF(N1057&lt;&gt;0,P1057*N1057,0)</f>
        <v/>
      </c>
      <c r="R1057" s="8">
        <f>IF(Q1057&lt;&gt;0,Q1057+H1057+L1057,0)</f>
        <v/>
      </c>
      <c r="S1057" s="9">
        <f>VLOOKUP(OPERAC[[#This Row],[especie]],[1]!ESPECIES[#Data],9,FALSE)</f>
        <v/>
      </c>
    </row>
    <row r="1058">
      <c r="A1058" s="4" t="n">
        <v>2203</v>
      </c>
      <c r="B1058" s="5" t="n">
        <v>44614</v>
      </c>
      <c r="C1058" s="13" t="inlineStr">
        <is>
          <t>VTA</t>
        </is>
      </c>
      <c r="D1058" s="13" t="n">
        <v>39</v>
      </c>
      <c r="E1058" s="10">
        <f>IF(D1058&gt;0,VLOOKUP(OPERAC[[#This Row],[COD CART]],[1]!MatrizCortoLargoCyl[#All],3,0),"")</f>
        <v/>
      </c>
      <c r="F1058" s="13" t="inlineStr">
        <is>
          <t>ACB/V/4,00/20-01-23</t>
        </is>
      </c>
      <c r="G1058" s="6" t="n">
        <v>-30</v>
      </c>
      <c r="H1058" s="6" t="n">
        <v>38.6</v>
      </c>
      <c r="I1058" s="7">
        <f>-H1058/G1058</f>
        <v/>
      </c>
      <c r="J1058" s="11" t="n">
        <v>44637</v>
      </c>
      <c r="K1058" s="6" t="n">
        <v>-10</v>
      </c>
      <c r="L1058" s="6" t="n">
        <v>-15.18892</v>
      </c>
      <c r="M1058" s="7">
        <f>IF(N1058=0,+L1058+H1058,0)</f>
        <v/>
      </c>
      <c r="N1058" s="7">
        <f>IF((+G1058-K1058)=0,0,+G1058-K1058)</f>
        <v/>
      </c>
      <c r="O1058" s="7">
        <f>IF(N1058=0,0,(L1058+H1058)/-N1058)</f>
        <v/>
      </c>
      <c r="P1058" s="7">
        <f>VLOOKUP(OPERAC[[#This Row],[especie]],[1]!ESPECIES[#All],6,0)</f>
        <v/>
      </c>
      <c r="Q1058" s="7">
        <f>IF(N1058&lt;&gt;0,P1058*N1058,0)</f>
        <v/>
      </c>
      <c r="R1058" s="8">
        <f>IF(Q1058&lt;&gt;0,Q1058+H1058+L1058,0)</f>
        <v/>
      </c>
      <c r="S1058" s="9">
        <f>VLOOKUP(OPERAC[[#This Row],[especie]],[1]!ESPECIES[#Data],9,FALSE)</f>
        <v/>
      </c>
    </row>
    <row r="1059">
      <c r="A1059" s="4" t="n">
        <v>16780</v>
      </c>
      <c r="B1059" s="5" t="n">
        <v>44615</v>
      </c>
      <c r="C1059" s="13" t="inlineStr">
        <is>
          <t>VTA</t>
        </is>
      </c>
      <c r="D1059" s="13" t="n">
        <v>39</v>
      </c>
      <c r="E1059" s="10">
        <f>IF(D1059&gt;0,VLOOKUP(OPERAC[[#This Row],[COD CART]],[1]!MatrizCortoLargoCyl[#All],3,0),"")</f>
        <v/>
      </c>
      <c r="F1059" s="13" t="inlineStr">
        <is>
          <t>TLRY/V/5,00/20-01-23</t>
        </is>
      </c>
      <c r="G1059" s="6" t="n">
        <v>-30</v>
      </c>
      <c r="H1059" s="6" t="n">
        <v>38.6</v>
      </c>
      <c r="I1059" s="7">
        <f>-H1059/G1059</f>
        <v/>
      </c>
      <c r="J1059" s="11" t="n"/>
      <c r="K1059" s="6" t="n"/>
      <c r="L1059" s="6" t="n"/>
      <c r="M1059" s="7">
        <f>IF(N1059=0,+L1059+H1059,0)</f>
        <v/>
      </c>
      <c r="N1059" s="7">
        <f>IF((+G1059-K1059)=0,0,+G1059-K1059)</f>
        <v/>
      </c>
      <c r="O1059" s="7">
        <f>IF(N1059=0,0,(L1059+H1059)/-N1059)</f>
        <v/>
      </c>
      <c r="P1059" s="7">
        <f>VLOOKUP(OPERAC[[#This Row],[especie]],[1]!ESPECIES[#All],6,0)</f>
        <v/>
      </c>
      <c r="Q1059" s="7">
        <f>IF(N1059&lt;&gt;0,P1059*N1059,0)</f>
        <v/>
      </c>
      <c r="R1059" s="8">
        <f>IF(Q1059&lt;&gt;0,Q1059+H1059+L1059,0)</f>
        <v/>
      </c>
      <c r="S1059" s="9">
        <f>VLOOKUP(OPERAC[[#This Row],[especie]],[1]!ESPECIES[#Data],9,FALSE)</f>
        <v/>
      </c>
    </row>
    <row r="1060">
      <c r="A1060" s="4" t="n">
        <v>6578</v>
      </c>
      <c r="B1060" s="5" t="n">
        <v>44615</v>
      </c>
      <c r="C1060" s="13" t="inlineStr">
        <is>
          <t>VTA</t>
        </is>
      </c>
      <c r="D1060" s="13" t="n">
        <v>39</v>
      </c>
      <c r="E1060" s="10">
        <f>IF(D1060&gt;0,VLOOKUP(OPERAC[[#This Row],[COD CART]],[1]!MatrizCortoLargoCyl[#All],3,0),"")</f>
        <v/>
      </c>
      <c r="F1060" s="13" t="inlineStr">
        <is>
          <t>TLRY/V/5,00/20-01-23</t>
        </is>
      </c>
      <c r="G1060" s="6" t="n">
        <v>-30</v>
      </c>
      <c r="H1060" s="6" t="n">
        <v>38.6</v>
      </c>
      <c r="I1060" s="7">
        <f>-H1060/G1060</f>
        <v/>
      </c>
      <c r="J1060" s="11" t="n"/>
      <c r="K1060" s="6" t="n"/>
      <c r="L1060" s="6" t="n"/>
      <c r="M1060" s="7">
        <f>IF(N1060=0,+L1060+H1060,0)</f>
        <v/>
      </c>
      <c r="N1060" s="7">
        <f>IF((+G1060-K1060)=0,0,+G1060-K1060)</f>
        <v/>
      </c>
      <c r="O1060" s="7">
        <f>IF(N1060=0,0,(L1060+H1060)/-N1060)</f>
        <v/>
      </c>
      <c r="P1060" s="7">
        <f>VLOOKUP(OPERAC[[#This Row],[especie]],[1]!ESPECIES[#All],6,0)</f>
        <v/>
      </c>
      <c r="Q1060" s="7">
        <f>IF(N1060&lt;&gt;0,P1060*N1060,0)</f>
        <v/>
      </c>
      <c r="R1060" s="8">
        <f>IF(Q1060&lt;&gt;0,Q1060+H1060+L1060,0)</f>
        <v/>
      </c>
      <c r="S1060" s="9">
        <f>VLOOKUP(OPERAC[[#This Row],[especie]],[1]!ESPECIES[#Data],9,FALSE)</f>
        <v/>
      </c>
    </row>
    <row r="1061">
      <c r="A1061" s="4" t="n">
        <v>20312</v>
      </c>
      <c r="B1061" s="5" t="n">
        <v>44714</v>
      </c>
      <c r="C1061" s="13" t="inlineStr">
        <is>
          <t>VTA</t>
        </is>
      </c>
      <c r="D1061" s="13" t="n">
        <v>39</v>
      </c>
      <c r="E1061" s="10">
        <f>IF(D1061&gt;0,VLOOKUP(OPERAC[[#This Row],[COD CART]],[1]!MatrizCortoLargoCyl[#All],3,0),"")</f>
        <v/>
      </c>
      <c r="F1061" s="13" t="inlineStr">
        <is>
          <t>TSLA/V/660,00/03-06-22</t>
        </is>
      </c>
      <c r="G1061" s="6" t="n">
        <v>-200</v>
      </c>
      <c r="H1061" s="6" t="n">
        <v>38.074</v>
      </c>
      <c r="I1061" s="7">
        <f>-H1061/G1061</f>
        <v/>
      </c>
      <c r="J1061" s="5" t="n">
        <v>44715</v>
      </c>
      <c r="K1061" s="6">
        <f>+OPERAC[[#This Row],[cantidad]]</f>
        <v/>
      </c>
      <c r="L1061" s="6" t="n">
        <v>-18.75</v>
      </c>
      <c r="M1061" s="7">
        <f>IF(N1061=0,+L1061+H1061,0)</f>
        <v/>
      </c>
      <c r="N1061" s="7">
        <f>IF((+G1061-K1061)=0,0,+G1061-K1061)</f>
        <v/>
      </c>
      <c r="O1061" s="7">
        <f>IF(N1061=0,0,(L1061+H1061)/-N1061)</f>
        <v/>
      </c>
      <c r="P1061" s="7">
        <f>VLOOKUP(OPERAC[[#This Row],[especie]],[1]!ESPECIES[#All],6,0)</f>
        <v/>
      </c>
      <c r="Q1061" s="7">
        <f>IF(N1061&lt;&gt;0,P1061*N1061,0)</f>
        <v/>
      </c>
      <c r="R1061" s="8">
        <f>IF(Q1061&lt;&gt;0,Q1061+H1061+L1061,0)</f>
        <v/>
      </c>
      <c r="S1061" s="9">
        <f>VLOOKUP(OPERAC[[#This Row],[especie]],[1]!ESPECIES[#Data],9,FALSE)</f>
        <v/>
      </c>
    </row>
    <row r="1062">
      <c r="A1062" s="4" t="n">
        <v>12684</v>
      </c>
      <c r="B1062" s="5" t="n">
        <v>44600</v>
      </c>
      <c r="C1062" s="13" t="inlineStr">
        <is>
          <t>VTA</t>
        </is>
      </c>
      <c r="D1062" s="13" t="n">
        <v>39</v>
      </c>
      <c r="E1062" s="10">
        <f>IF(D1062&gt;0,VLOOKUP(OPERAC[[#This Row],[COD CART]],[1]!MatrizCortoLargoCyl[#All],3,0),"")</f>
        <v/>
      </c>
      <c r="F1062" s="13" t="inlineStr">
        <is>
          <t>DDD/V/17,00/20-01-23</t>
        </is>
      </c>
      <c r="G1062" s="6" t="n">
        <v>-10</v>
      </c>
      <c r="H1062" s="6">
        <f>-3.8*OPERAC[[#This Row],[cantidad]]</f>
        <v/>
      </c>
      <c r="I1062" s="7">
        <f>-H1062/G1062</f>
        <v/>
      </c>
      <c r="J1062" s="11" t="n">
        <v>44635</v>
      </c>
      <c r="K1062" s="6">
        <f>-5-3</f>
        <v/>
      </c>
      <c r="L1062" s="6">
        <f>-28.25-13.23588</f>
        <v/>
      </c>
      <c r="M1062" s="7">
        <f>IF(N1062=0,+L1062+H1062,0)</f>
        <v/>
      </c>
      <c r="N1062" s="7">
        <f>IF((+G1062-K1062)=0,0,+G1062-K1062)</f>
        <v/>
      </c>
      <c r="O1062" s="7" t="n">
        <v>3.8</v>
      </c>
      <c r="P1062" s="7">
        <f>VLOOKUP(OPERAC[[#This Row],[especie]],[1]!ESPECIES[#All],6,0)</f>
        <v/>
      </c>
      <c r="Q1062" s="7">
        <f>IF(N1062&lt;&gt;0,P1062*N1062,0)</f>
        <v/>
      </c>
      <c r="R1062" s="8">
        <f>IF(Q1062&lt;&gt;0,Q1062+H1062+L1062,0)</f>
        <v/>
      </c>
      <c r="S1062" s="9">
        <f>VLOOKUP(OPERAC[[#This Row],[especie]],[1]!ESPECIES[#Data],9,FALSE)</f>
        <v/>
      </c>
    </row>
    <row r="1063">
      <c r="A1063" s="4" t="n">
        <v>16795</v>
      </c>
      <c r="B1063" s="5" t="n">
        <v>44600</v>
      </c>
      <c r="C1063" s="13" t="inlineStr">
        <is>
          <t>VTA</t>
        </is>
      </c>
      <c r="D1063" s="13" t="n">
        <v>39</v>
      </c>
      <c r="E1063" s="10">
        <f>IF(D1063&gt;0,VLOOKUP(OPERAC[[#This Row],[COD CART]],[1]!MatrizCortoLargoCyl[#All],3,0),"")</f>
        <v/>
      </c>
      <c r="F1063" s="13" t="inlineStr">
        <is>
          <t>DDD/V/17,00/20-01-23</t>
        </is>
      </c>
      <c r="G1063" s="6" t="n">
        <v>-10</v>
      </c>
      <c r="H1063" s="6">
        <f>-3.8*OPERAC[[#This Row],[cantidad]]</f>
        <v/>
      </c>
      <c r="I1063" s="7">
        <f>-H1063/G1063</f>
        <v/>
      </c>
      <c r="J1063" s="11" t="n"/>
      <c r="K1063" s="6" t="n"/>
      <c r="L1063" s="6" t="n"/>
      <c r="M1063" s="7">
        <f>IF(N1063=0,+L1063+H1063,0)</f>
        <v/>
      </c>
      <c r="N1063" s="7">
        <f>IF((+G1063-K1063)=0,0,+G1063-K1063)</f>
        <v/>
      </c>
      <c r="O1063" s="7">
        <f>IF(N1063=0,0,(L1063+H1063)/-N1063)</f>
        <v/>
      </c>
      <c r="P1063" s="7">
        <f>VLOOKUP(OPERAC[[#This Row],[especie]],[1]!ESPECIES[#All],6,0)</f>
        <v/>
      </c>
      <c r="Q1063" s="7">
        <f>IF(N1063&lt;&gt;0,P1063*N1063,0)</f>
        <v/>
      </c>
      <c r="R1063" s="8">
        <f>IF(Q1063&lt;&gt;0,Q1063+H1063+L1063,0)</f>
        <v/>
      </c>
      <c r="S1063" s="9">
        <f>VLOOKUP(OPERAC[[#This Row],[especie]],[1]!ESPECIES[#Data],9,FALSE)</f>
        <v/>
      </c>
    </row>
    <row r="1064">
      <c r="A1064" s="4" t="n">
        <v>26140</v>
      </c>
      <c r="B1064" s="5" t="n">
        <v>44600</v>
      </c>
      <c r="C1064" s="13" t="inlineStr">
        <is>
          <t>VTA</t>
        </is>
      </c>
      <c r="D1064" s="13" t="n">
        <v>39</v>
      </c>
      <c r="E1064" s="10">
        <f>IF(D1064&gt;0,VLOOKUP(OPERAC[[#This Row],[COD CART]],[1]!MatrizCortoLargoCyl[#All],3,0),"")</f>
        <v/>
      </c>
      <c r="F1064" s="13" t="inlineStr">
        <is>
          <t>DDD/V/17,00/20-01-23</t>
        </is>
      </c>
      <c r="G1064" s="6" t="n">
        <v>-10</v>
      </c>
      <c r="H1064" s="6">
        <f>-3.8*OPERAC[[#This Row],[cantidad]]</f>
        <v/>
      </c>
      <c r="I1064" s="7">
        <f>-H1064/G1064</f>
        <v/>
      </c>
      <c r="J1064" s="11" t="n"/>
      <c r="K1064" s="6" t="n"/>
      <c r="L1064" s="6" t="n"/>
      <c r="M1064" s="7">
        <f>IF(N1064=0,+L1064+H1064,0)</f>
        <v/>
      </c>
      <c r="N1064" s="7">
        <f>IF((+G1064-K1064)=0,0,+G1064-K1064)</f>
        <v/>
      </c>
      <c r="O1064" s="7">
        <f>IF(N1064=0,0,(L1064+H1064)/-N1064)</f>
        <v/>
      </c>
      <c r="P1064" s="7">
        <f>VLOOKUP(OPERAC[[#This Row],[especie]],[1]!ESPECIES[#All],6,0)</f>
        <v/>
      </c>
      <c r="Q1064" s="7">
        <f>IF(N1064&lt;&gt;0,P1064*N1064,0)</f>
        <v/>
      </c>
      <c r="R1064" s="8">
        <f>IF(Q1064&lt;&gt;0,Q1064+H1064+L1064,0)</f>
        <v/>
      </c>
      <c r="S1064" s="9">
        <f>VLOOKUP(OPERAC[[#This Row],[especie]],[1]!ESPECIES[#Data],9,FALSE)</f>
        <v/>
      </c>
    </row>
    <row r="1065">
      <c r="A1065" s="4" t="n">
        <v>15189</v>
      </c>
      <c r="B1065" s="5" t="n">
        <v>44615</v>
      </c>
      <c r="C1065" s="13" t="inlineStr">
        <is>
          <t>VTA</t>
        </is>
      </c>
      <c r="D1065" s="13" t="n">
        <v>39</v>
      </c>
      <c r="E1065" s="10">
        <f>IF(D1065&gt;0,VLOOKUP(OPERAC[[#This Row],[COD CART]],[1]!MatrizCortoLargoCyl[#All],3,0),"")</f>
        <v/>
      </c>
      <c r="F1065" s="13" t="inlineStr">
        <is>
          <t>TSLA/V/380,00/20-01-23</t>
        </is>
      </c>
      <c r="G1065" s="6" t="n">
        <v>-2</v>
      </c>
      <c r="H1065" s="6" t="n">
        <v>37.69</v>
      </c>
      <c r="I1065" s="7">
        <f>-H1065/G1065</f>
        <v/>
      </c>
      <c r="J1065" s="11" t="n"/>
      <c r="K1065" s="6" t="n"/>
      <c r="L1065" s="6" t="n"/>
      <c r="M1065" s="7">
        <f>IF(N1065=0,+L1065+H1065,0)</f>
        <v/>
      </c>
      <c r="N1065" s="7">
        <f>IF((+G1065-K1065)=0,0,+G1065-K1065)</f>
        <v/>
      </c>
      <c r="O1065" s="7">
        <f>IF(N1065=0,0,(L1065+H1065)/-N1065)</f>
        <v/>
      </c>
      <c r="P1065" s="7">
        <f>VLOOKUP(OPERAC[[#This Row],[especie]],[1]!ESPECIES[#All],6,0)</f>
        <v/>
      </c>
      <c r="Q1065" s="7">
        <f>IF(N1065&lt;&gt;0,P1065*N1065,0)</f>
        <v/>
      </c>
      <c r="R1065" s="8">
        <f>IF(Q1065&lt;&gt;0,Q1065+H1065+L1065,0)</f>
        <v/>
      </c>
      <c r="S1065" s="9">
        <f>VLOOKUP(OPERAC[[#This Row],[especie]],[1]!ESPECIES[#Data],9,FALSE)</f>
        <v/>
      </c>
    </row>
    <row r="1066">
      <c r="A1066" s="4" t="n">
        <v>19920</v>
      </c>
      <c r="B1066" s="5" t="n">
        <v>44614</v>
      </c>
      <c r="C1066" s="13" t="inlineStr">
        <is>
          <t>VTA</t>
        </is>
      </c>
      <c r="D1066" s="13" t="n">
        <v>39</v>
      </c>
      <c r="E1066" s="10">
        <f>IF(D1066&gt;0,VLOOKUP(OPERAC[[#This Row],[COD CART]],[1]!MatrizCortoLargoCyl[#All],3,0),"")</f>
        <v/>
      </c>
      <c r="F1066" s="13" t="inlineStr">
        <is>
          <t>NFLX/V/200,00/19-01-24</t>
        </is>
      </c>
      <c r="G1066" s="6" t="n">
        <v>-3</v>
      </c>
      <c r="H1066" s="6" t="n">
        <v>37.48</v>
      </c>
      <c r="I1066" s="7">
        <f>-H1066/G1066</f>
        <v/>
      </c>
      <c r="J1066" s="11" t="n"/>
      <c r="K1066" s="6" t="n"/>
      <c r="L1066" s="6" t="n"/>
      <c r="M1066" s="7">
        <f>IF(N1066=0,+L1066+H1066,0)</f>
        <v/>
      </c>
      <c r="N1066" s="7">
        <f>IF((+G1066-K1066)=0,0,+G1066-K1066)</f>
        <v/>
      </c>
      <c r="O1066" s="7">
        <f>IF(N1066=0,0,(L1066+H1066)/-N1066)</f>
        <v/>
      </c>
      <c r="P1066" s="7">
        <f>VLOOKUP(OPERAC[[#This Row],[especie]],[1]!ESPECIES[#All],6,0)</f>
        <v/>
      </c>
      <c r="Q1066" s="7">
        <f>IF(N1066&lt;&gt;0,P1066*N1066,0)</f>
        <v/>
      </c>
      <c r="R1066" s="8">
        <f>IF(Q1066&lt;&gt;0,Q1066+H1066+L1066,0)</f>
        <v/>
      </c>
      <c r="S1066" s="9">
        <f>VLOOKUP(OPERAC[[#This Row],[especie]],[1]!ESPECIES[#Data],9,FALSE)</f>
        <v/>
      </c>
    </row>
    <row r="1067">
      <c r="A1067" s="4" t="n">
        <v>15194</v>
      </c>
      <c r="B1067" s="5" t="n">
        <v>44614</v>
      </c>
      <c r="C1067" s="13" t="inlineStr">
        <is>
          <t>VTA</t>
        </is>
      </c>
      <c r="D1067" s="13" t="n">
        <v>39</v>
      </c>
      <c r="E1067" s="10">
        <f>IF(D1067&gt;0,VLOOKUP(OPERAC[[#This Row],[COD CART]],[1]!MatrizCortoLargoCyl[#All],3,0),"")</f>
        <v/>
      </c>
      <c r="F1067" s="13" t="inlineStr">
        <is>
          <t>FB/V/105,00/19-01-24</t>
        </is>
      </c>
      <c r="G1067" s="6" t="n">
        <v>-7</v>
      </c>
      <c r="H1067" s="6" t="n">
        <v>37.46</v>
      </c>
      <c r="I1067" s="7">
        <f>-H1067/G1067</f>
        <v/>
      </c>
      <c r="J1067" s="11" t="n"/>
      <c r="K1067" s="6" t="n"/>
      <c r="L1067" s="6" t="n"/>
      <c r="M1067" s="7">
        <f>IF(N1067=0,+L1067+H1067,0)</f>
        <v/>
      </c>
      <c r="N1067" s="7">
        <f>IF((+G1067-K1067)=0,0,+G1067-K1067)</f>
        <v/>
      </c>
      <c r="O1067" s="7">
        <f>IF(N1067=0,0,(L1067+H1067)/-N1067)</f>
        <v/>
      </c>
      <c r="P1067" s="7">
        <f>VLOOKUP(OPERAC[[#This Row],[especie]],[1]!ESPECIES[#All],6,0)</f>
        <v/>
      </c>
      <c r="Q1067" s="7">
        <f>IF(N1067&lt;&gt;0,P1067*N1067,0)</f>
        <v/>
      </c>
      <c r="R1067" s="8">
        <f>IF(Q1067&lt;&gt;0,Q1067+H1067+L1067,0)</f>
        <v/>
      </c>
      <c r="S1067" s="9">
        <f>VLOOKUP(OPERAC[[#This Row],[especie]],[1]!ESPECIES[#Data],9,FALSE)</f>
        <v/>
      </c>
    </row>
    <row r="1068">
      <c r="A1068" s="4" t="n">
        <v>2203</v>
      </c>
      <c r="B1068" s="5" t="n">
        <v>44676</v>
      </c>
      <c r="C1068" s="13" t="inlineStr">
        <is>
          <t>VTA</t>
        </is>
      </c>
      <c r="D1068" s="13" t="n">
        <v>39</v>
      </c>
      <c r="E1068" s="10">
        <f>IF(D1068&gt;0,VLOOKUP(OPERAC[[#This Row],[COD CART]],[1]!MatrizCortoLargoCyl[#All],3,0),"")</f>
        <v/>
      </c>
      <c r="F1068" s="13" t="inlineStr">
        <is>
          <t>NFLX/V/150,00/20-01-23</t>
        </is>
      </c>
      <c r="G1068" s="6" t="n">
        <v>-3</v>
      </c>
      <c r="H1068" s="6" t="n">
        <v>36.88</v>
      </c>
      <c r="I1068" s="7">
        <f>-H1068/G1068</f>
        <v/>
      </c>
      <c r="J1068" s="11" t="n">
        <v>44718</v>
      </c>
      <c r="K1068" s="6" t="n">
        <v>-3</v>
      </c>
      <c r="L1068" s="6" t="n">
        <v>-39.78</v>
      </c>
      <c r="M1068" s="7">
        <f>IF(N1068=0,+L1068+H1068,0)</f>
        <v/>
      </c>
      <c r="N1068" s="7">
        <f>IF((+G1068-K1068)=0,0,+G1068-K1068)</f>
        <v/>
      </c>
      <c r="O1068" s="7">
        <f>IF(N1068=0,0,(L1068+H1068)/-N1068)</f>
        <v/>
      </c>
      <c r="P1068" s="7">
        <f>VLOOKUP(OPERAC[[#This Row],[especie]],[1]!ESPECIES[#All],6,0)</f>
        <v/>
      </c>
      <c r="Q1068" s="7">
        <f>IF(N1068&lt;&gt;0,P1068*N1068,0)</f>
        <v/>
      </c>
      <c r="R1068" s="8">
        <f>IF(Q1068&lt;&gt;0,Q1068+H1068+L1068,0)</f>
        <v/>
      </c>
      <c r="S1068" s="9">
        <f>VLOOKUP(OPERAC[[#This Row],[especie]],[1]!ESPECIES[#Data],9,FALSE)</f>
        <v/>
      </c>
    </row>
    <row r="1069">
      <c r="A1069" s="4" t="n">
        <v>10079</v>
      </c>
      <c r="B1069" s="5" t="n">
        <v>44670</v>
      </c>
      <c r="C1069" s="13" t="inlineStr">
        <is>
          <t>VTA</t>
        </is>
      </c>
      <c r="D1069" s="13" t="n">
        <v>39</v>
      </c>
      <c r="E1069" s="10">
        <f>IF(D1069&gt;0,VLOOKUP(OPERAC[[#This Row],[COD CART]],[1]!MatrizCortoLargoCyl[#All],3,0),"")</f>
        <v/>
      </c>
      <c r="F1069" s="13" t="inlineStr">
        <is>
          <t>TSLA/V/400,00/20-01-23</t>
        </is>
      </c>
      <c r="G1069" s="6" t="n">
        <v>-4</v>
      </c>
      <c r="H1069" s="6" t="n">
        <v>36.4872</v>
      </c>
      <c r="I1069" s="7">
        <f>-H1069/G1069</f>
        <v/>
      </c>
      <c r="J1069" s="11" t="n"/>
      <c r="K1069" s="6" t="n"/>
      <c r="L1069" s="6" t="n"/>
      <c r="M1069" s="7">
        <f>IF(N1069=0,+L1069+H1069,0)</f>
        <v/>
      </c>
      <c r="N1069" s="7">
        <f>IF((+G1069-K1069)=0,0,+G1069-K1069)</f>
        <v/>
      </c>
      <c r="O1069" s="7">
        <f>IF(N1069=0,0,(L1069+H1069)/-N1069)</f>
        <v/>
      </c>
      <c r="P1069" s="7">
        <f>VLOOKUP(OPERAC[[#This Row],[especie]],[1]!ESPECIES[#All],6,0)</f>
        <v/>
      </c>
      <c r="Q1069" s="7">
        <f>IF(N1069&lt;&gt;0,P1069*N1069,0)</f>
        <v/>
      </c>
      <c r="R1069" s="8">
        <f>IF(Q1069&lt;&gt;0,Q1069+H1069+L1069,0)</f>
        <v/>
      </c>
      <c r="S1069" s="9">
        <f>VLOOKUP(OPERAC[[#This Row],[especie]],[1]!ESPECIES[#Data],9,FALSE)</f>
        <v/>
      </c>
    </row>
    <row r="1070">
      <c r="A1070" s="4" t="n">
        <v>3728</v>
      </c>
      <c r="B1070" s="5" t="n">
        <v>44579</v>
      </c>
      <c r="C1070" s="13" t="inlineStr">
        <is>
          <t>VTA</t>
        </is>
      </c>
      <c r="D1070" s="13" t="n">
        <v>39</v>
      </c>
      <c r="E1070" s="10">
        <f>IF(D1070&gt;0,VLOOKUP(OPERAC[[#This Row],[COD CART]],[1]!MatrizCortoLargoCyl[#All],3,0),"")</f>
        <v/>
      </c>
      <c r="F1070" s="13" t="inlineStr">
        <is>
          <t>YPF/V/5,00/15-07-22</t>
        </is>
      </c>
      <c r="G1070" s="6" t="n">
        <v>-33</v>
      </c>
      <c r="H1070" s="6" t="n">
        <v>36.0558</v>
      </c>
      <c r="I1070" s="7">
        <f>-H1070/G1070</f>
        <v/>
      </c>
      <c r="J1070" s="11" t="n">
        <v>44690</v>
      </c>
      <c r="K1070" s="6" t="n">
        <v>-33</v>
      </c>
      <c r="L1070" s="6" t="n">
        <v>-42.94</v>
      </c>
      <c r="M1070" s="7">
        <f>IF(N1070=0,+L1070+H1070,0)</f>
        <v/>
      </c>
      <c r="N1070" s="7">
        <f>IF((+G1070-K1070)=0,0,+G1070-K1070)</f>
        <v/>
      </c>
      <c r="O1070" s="7">
        <f>IF(N1070=0,0,(L1070+H1070)/-N1070)</f>
        <v/>
      </c>
      <c r="P1070" s="7">
        <f>VLOOKUP(OPERAC[[#This Row],[especie]],[1]!ESPECIES[#All],6,0)</f>
        <v/>
      </c>
      <c r="Q1070" s="7">
        <f>IF(N1070&lt;&gt;0,P1070*N1070,0)</f>
        <v/>
      </c>
      <c r="R1070" s="8">
        <f>IF(Q1070&lt;&gt;0,Q1070+H1070+L1070,0)</f>
        <v/>
      </c>
      <c r="S1070" s="9">
        <f>VLOOKUP(OPERAC[[#This Row],[especie]],[1]!ESPECIES[#Data],9,FALSE)</f>
        <v/>
      </c>
    </row>
    <row r="1071">
      <c r="A1071" s="4" t="n">
        <v>19867</v>
      </c>
      <c r="B1071" s="5" t="n">
        <v>44438</v>
      </c>
      <c r="C1071" s="13" t="inlineStr">
        <is>
          <t>VTA</t>
        </is>
      </c>
      <c r="D1071" s="13" t="n">
        <v>39</v>
      </c>
      <c r="E1071" s="10">
        <f>IF(D1071&gt;0,VLOOKUP(OPERAC[[#This Row],[COD CART]],[1]!MatrizCortoLargoCyl[#All],3,0),"")</f>
        <v/>
      </c>
      <c r="F1071" s="13" t="inlineStr">
        <is>
          <t>EDU/V/25,00/20-01-23</t>
        </is>
      </c>
      <c r="G1071" s="6" t="n">
        <v>-30</v>
      </c>
      <c r="H1071" s="6" t="n">
        <v>35.252</v>
      </c>
      <c r="I1071" s="7">
        <f>-H1071/G1071</f>
        <v/>
      </c>
      <c r="J1071" s="11" t="n">
        <v>44629</v>
      </c>
      <c r="K1071" s="6" t="n">
        <v>-30</v>
      </c>
      <c r="L1071" s="6" t="n">
        <v>-42.5427</v>
      </c>
      <c r="M1071" s="7">
        <f>IF(N1071=0,+L1071+H1071,0)</f>
        <v/>
      </c>
      <c r="N1071" s="7">
        <f>IF((+G1071-K1071)=0,0,+G1071-K1071)</f>
        <v/>
      </c>
      <c r="O1071" s="7">
        <f>IF(N1071=0,0,(L1071+H1071)/-N1071)</f>
        <v/>
      </c>
      <c r="P1071" s="7">
        <f>VLOOKUP(OPERAC[[#This Row],[especie]],[1]!ESPECIES[#All],6,0)</f>
        <v/>
      </c>
      <c r="Q1071" s="7">
        <f>IF(N1071&lt;&gt;0,P1071*N1071,0)</f>
        <v/>
      </c>
      <c r="R1071" s="8">
        <f>IF(Q1071&lt;&gt;0,Q1071+H1071+L1071,0)</f>
        <v/>
      </c>
      <c r="S1071" s="9">
        <f>VLOOKUP(OPERAC[[#This Row],[especie]],[1]!ESPECIES[#Data],9,FALSE)</f>
        <v/>
      </c>
    </row>
    <row r="1072">
      <c r="A1072" s="4" t="n">
        <v>18677</v>
      </c>
      <c r="B1072" s="5" t="n">
        <v>44701</v>
      </c>
      <c r="C1072" s="13" t="inlineStr">
        <is>
          <t>VTA</t>
        </is>
      </c>
      <c r="D1072" s="13" t="n">
        <v>39</v>
      </c>
      <c r="E1072" s="10">
        <f>IF(D1072&gt;0,VLOOKUP(OPERAC[[#This Row],[COD CART]],[1]!MatrizCortoLargoCyl[#All],3,0),"")</f>
        <v/>
      </c>
      <c r="F1072" s="13" t="inlineStr">
        <is>
          <t>TSLA/P/360,00/20-01-23</t>
        </is>
      </c>
      <c r="G1072" s="6" t="n">
        <v>-1</v>
      </c>
      <c r="H1072" s="6" t="n">
        <v>35.19825</v>
      </c>
      <c r="I1072" s="7">
        <f>-H1072/G1072</f>
        <v/>
      </c>
      <c r="J1072" s="11" t="n"/>
      <c r="K1072" s="6" t="n"/>
      <c r="L1072" s="6" t="n"/>
      <c r="M1072" s="7">
        <f>IF(N1072=0,+L1072+H1072,0)</f>
        <v/>
      </c>
      <c r="N1072" s="7">
        <f>IF((+G1072-K1072)=0,0,+G1072-K1072)</f>
        <v/>
      </c>
      <c r="O1072" s="7">
        <f>IF(N1072=0,0,(L1072+H1072)/-N1072)</f>
        <v/>
      </c>
      <c r="P1072" s="7">
        <f>VLOOKUP(OPERAC[[#This Row],[especie]],[1]!ESPECIES[#All],6,0)</f>
        <v/>
      </c>
      <c r="Q1072" s="7">
        <f>IF(N1072&lt;&gt;0,P1072*N1072,0)</f>
        <v/>
      </c>
      <c r="R1072" s="8">
        <f>IF(Q1072&lt;&gt;0,Q1072+H1072+L1072,0)</f>
        <v/>
      </c>
      <c r="S1072" s="9">
        <f>VLOOKUP(OPERAC[[#This Row],[especie]],[1]!ESPECIES[#Data],9,FALSE)</f>
        <v/>
      </c>
    </row>
    <row r="1073">
      <c r="A1073" s="4" t="n">
        <v>2218</v>
      </c>
      <c r="B1073" s="5" t="n">
        <v>44427</v>
      </c>
      <c r="C1073" s="13" t="inlineStr">
        <is>
          <t>VTA</t>
        </is>
      </c>
      <c r="D1073" s="13" t="n">
        <v>39</v>
      </c>
      <c r="E1073" s="10">
        <f>IF(D1073&gt;0,VLOOKUP(OPERAC[[#This Row],[COD CART]],[1]!MatrizCortoLargoCyl[#All],3,0),"")</f>
        <v/>
      </c>
      <c r="F1073" s="13" t="inlineStr">
        <is>
          <t>SPWR/V/15,00/20-01-23</t>
        </is>
      </c>
      <c r="G1073" s="6" t="n">
        <v>-12</v>
      </c>
      <c r="H1073" s="6" t="n">
        <v>34.37</v>
      </c>
      <c r="I1073" s="7">
        <f>-H1073/G1073</f>
        <v/>
      </c>
      <c r="J1073" s="11" t="n"/>
      <c r="K1073" s="6" t="n"/>
      <c r="L1073" s="6" t="n"/>
      <c r="M1073" s="7">
        <f>IF(N1073=0,+L1073+H1073,0)</f>
        <v/>
      </c>
      <c r="N1073" s="7">
        <f>IF((+G1073-K1073)=0,0,+G1073-K1073)</f>
        <v/>
      </c>
      <c r="O1073" s="7">
        <f>IF(N1073=0,0,(L1073+H1073)/-N1073)</f>
        <v/>
      </c>
      <c r="P1073" s="7">
        <f>VLOOKUP(OPERAC[[#This Row],[especie]],[1]!ESPECIES[#All],6,0)</f>
        <v/>
      </c>
      <c r="Q1073" s="7">
        <f>IF(N1073&lt;&gt;0,P1073*N1073,0)</f>
        <v/>
      </c>
      <c r="R1073" s="8">
        <f>IF(Q1073&lt;&gt;0,Q1073+H1073+L1073,0)</f>
        <v/>
      </c>
      <c r="S1073" s="9">
        <f>VLOOKUP(OPERAC[[#This Row],[especie]],[1]!ESPECIES[#Data],9,FALSE)</f>
        <v/>
      </c>
    </row>
    <row r="1074">
      <c r="A1074" s="4" t="n">
        <v>16783</v>
      </c>
      <c r="B1074" s="5" t="n">
        <v>44438</v>
      </c>
      <c r="C1074" s="13" t="inlineStr">
        <is>
          <t>VTA</t>
        </is>
      </c>
      <c r="D1074" s="13" t="n">
        <v>39</v>
      </c>
      <c r="E1074" s="10">
        <f>IF(D1074&gt;0,VLOOKUP(OPERAC[[#This Row],[COD CART]],[1]!MatrizCortoLargoCyl[#All],3,0),"")</f>
        <v/>
      </c>
      <c r="F1074" s="13" t="inlineStr">
        <is>
          <t>EDU/V/25,00/20-01-23</t>
        </is>
      </c>
      <c r="G1074" s="6" t="n">
        <v>-30</v>
      </c>
      <c r="H1074" s="6" t="n">
        <v>34.362</v>
      </c>
      <c r="I1074" s="7">
        <f>-H1074/G1074</f>
        <v/>
      </c>
      <c r="J1074" s="11" t="n"/>
      <c r="K1074" s="6" t="n"/>
      <c r="L1074" s="6" t="n"/>
      <c r="M1074" s="7">
        <f>IF(N1074=0,+L1074+H1074,0)</f>
        <v/>
      </c>
      <c r="N1074" s="7">
        <f>IF((+G1074-K1074)=0,0,+G1074-K1074)</f>
        <v/>
      </c>
      <c r="O1074" s="7">
        <f>IF(N1074=0,0,(L1074+H1074)/-N1074)</f>
        <v/>
      </c>
      <c r="P1074" s="7">
        <f>VLOOKUP(OPERAC[[#This Row],[especie]],[1]!ESPECIES[#All],6,0)</f>
        <v/>
      </c>
      <c r="Q1074" s="7">
        <f>IF(N1074&lt;&gt;0,P1074*N1074,0)</f>
        <v/>
      </c>
      <c r="R1074" s="8">
        <f>IF(Q1074&lt;&gt;0,Q1074+H1074+L1074,0)</f>
        <v/>
      </c>
      <c r="S1074" s="9">
        <f>VLOOKUP(OPERAC[[#This Row],[especie]],[1]!ESPECIES[#Data],9,FALSE)</f>
        <v/>
      </c>
    </row>
    <row r="1075">
      <c r="A1075" s="4" t="n">
        <v>4561</v>
      </c>
      <c r="B1075" s="5" t="n">
        <v>44615</v>
      </c>
      <c r="C1075" s="13" t="inlineStr">
        <is>
          <t>VTA</t>
        </is>
      </c>
      <c r="D1075" s="13" t="n">
        <v>39</v>
      </c>
      <c r="E1075" s="10">
        <f>IF(D1075&gt;0,VLOOKUP(OPERAC[[#This Row],[COD CART]],[1]!MatrizCortoLargoCyl[#All],3,0),"")</f>
        <v/>
      </c>
      <c r="F1075" s="13" t="inlineStr">
        <is>
          <t>MELI/V/500,00/20-01-23</t>
        </is>
      </c>
      <c r="G1075" s="6" t="n">
        <v>-1</v>
      </c>
      <c r="H1075" s="6" t="n">
        <v>31.24</v>
      </c>
      <c r="I1075" s="7">
        <f>-H1075/G1075</f>
        <v/>
      </c>
      <c r="J1075" s="11" t="n"/>
      <c r="K1075" s="6" t="n"/>
      <c r="L1075" s="6" t="n"/>
      <c r="M1075" s="7">
        <f>IF(N1075=0,+L1075+H1075,0)</f>
        <v/>
      </c>
      <c r="N1075" s="7">
        <f>IF((+G1075-K1075)=0,0,+G1075-K1075)</f>
        <v/>
      </c>
      <c r="O1075" s="7">
        <f>IF(N1075=0,0,(L1075+H1075)/-N1075)</f>
        <v/>
      </c>
      <c r="P1075" s="7">
        <f>VLOOKUP(OPERAC[[#This Row],[especie]],[1]!ESPECIES[#All],6,0)</f>
        <v/>
      </c>
      <c r="Q1075" s="7">
        <f>IF(N1075&lt;&gt;0,P1075*N1075,0)</f>
        <v/>
      </c>
      <c r="R1075" s="8">
        <f>IF(Q1075&lt;&gt;0,Q1075+H1075+L1075,0)</f>
        <v/>
      </c>
      <c r="S1075" s="9">
        <f>VLOOKUP(OPERAC[[#This Row],[especie]],[1]!ESPECIES[#Data],9,FALSE)</f>
        <v/>
      </c>
    </row>
    <row r="1076">
      <c r="A1076" s="4" t="n">
        <v>6628</v>
      </c>
      <c r="B1076" s="5" t="n">
        <v>44615</v>
      </c>
      <c r="C1076" s="13" t="inlineStr">
        <is>
          <t>VTA</t>
        </is>
      </c>
      <c r="D1076" s="13" t="n">
        <v>39</v>
      </c>
      <c r="E1076" s="10">
        <f>IF(D1076&gt;0,VLOOKUP(OPERAC[[#This Row],[COD CART]],[1]!MatrizCortoLargoCyl[#All],3,0),"")</f>
        <v/>
      </c>
      <c r="F1076" s="13" t="inlineStr">
        <is>
          <t>MELI/V/500,00/20-01-23</t>
        </is>
      </c>
      <c r="G1076" s="6" t="n">
        <v>-1</v>
      </c>
      <c r="H1076" s="6" t="n">
        <v>31.24</v>
      </c>
      <c r="I1076" s="7">
        <f>-H1076/G1076</f>
        <v/>
      </c>
      <c r="J1076" s="11" t="n">
        <v>44617</v>
      </c>
      <c r="K1076" s="6" t="n">
        <v>-1</v>
      </c>
      <c r="L1076" s="6" t="n">
        <v>-24.195</v>
      </c>
      <c r="M1076" s="7">
        <f>IF(N1076=0,+L1076+H1076,0)</f>
        <v/>
      </c>
      <c r="N1076" s="7">
        <f>IF((+G1076-K1076)=0,0,+G1076-K1076)</f>
        <v/>
      </c>
      <c r="O1076" s="7">
        <f>IF(N1076=0,0,(L1076+H1076)/-N1076)</f>
        <v/>
      </c>
      <c r="P1076" s="7">
        <f>VLOOKUP(OPERAC[[#This Row],[especie]],[1]!ESPECIES[#All],6,0)</f>
        <v/>
      </c>
      <c r="Q1076" s="7">
        <f>IF(N1076&lt;&gt;0,P1076*N1076,0)</f>
        <v/>
      </c>
      <c r="R1076" s="8">
        <f>IF(Q1076&lt;&gt;0,Q1076+H1076+L1076,0)</f>
        <v/>
      </c>
      <c r="S1076" s="9">
        <f>VLOOKUP(OPERAC[[#This Row],[especie]],[1]!ESPECIES[#Data],9,FALSE)</f>
        <v/>
      </c>
    </row>
    <row r="1077">
      <c r="A1077" s="4" t="n">
        <v>18713</v>
      </c>
      <c r="B1077" s="5" t="n">
        <v>44701</v>
      </c>
      <c r="C1077" s="13" t="inlineStr">
        <is>
          <t>VTA</t>
        </is>
      </c>
      <c r="D1077" s="13" t="n">
        <v>39</v>
      </c>
      <c r="E1077" s="10">
        <f>IF(D1077&gt;0,VLOOKUP(OPERAC[[#This Row],[COD CART]],[1]!MatrizCortoLargoCyl[#All],3,0),"")</f>
        <v/>
      </c>
      <c r="F1077" s="13" t="inlineStr">
        <is>
          <t>TSLA/P/230,00/20-01-23</t>
        </is>
      </c>
      <c r="G1077" s="6" t="n">
        <v>-3</v>
      </c>
      <c r="H1077" s="6" t="n">
        <v>31.08</v>
      </c>
      <c r="I1077" s="7">
        <f>-H1077/G1077</f>
        <v/>
      </c>
      <c r="J1077" s="11" t="n"/>
      <c r="K1077" s="6" t="n"/>
      <c r="L1077" s="6" t="n"/>
      <c r="M1077" s="7">
        <f>IF(N1077=0,+L1077+H1077,0)</f>
        <v/>
      </c>
      <c r="N1077" s="7">
        <f>IF((+G1077-K1077)=0,0,+G1077-K1077)</f>
        <v/>
      </c>
      <c r="O1077" s="7">
        <f>IF(N1077=0,0,(L1077+H1077)/-N1077)</f>
        <v/>
      </c>
      <c r="P1077" s="7">
        <f>VLOOKUP(OPERAC[[#This Row],[especie]],[1]!ESPECIES[#All],6,0)</f>
        <v/>
      </c>
      <c r="Q1077" s="7">
        <f>IF(N1077&lt;&gt;0,P1077*N1077,0)</f>
        <v/>
      </c>
      <c r="R1077" s="8">
        <f>IF(Q1077&lt;&gt;0,Q1077+H1077+L1077,0)</f>
        <v/>
      </c>
      <c r="S1077" s="9">
        <f>VLOOKUP(OPERAC[[#This Row],[especie]],[1]!ESPECIES[#Data],9,FALSE)</f>
        <v/>
      </c>
    </row>
    <row r="1078">
      <c r="A1078" s="4" t="n">
        <v>6628</v>
      </c>
      <c r="B1078" s="5" t="n">
        <v>44701</v>
      </c>
      <c r="C1078" s="13" t="inlineStr">
        <is>
          <t>VTA</t>
        </is>
      </c>
      <c r="D1078" s="13" t="n">
        <v>39</v>
      </c>
      <c r="E1078" s="10">
        <f>IF(D1078&gt;0,VLOOKUP(OPERAC[[#This Row],[COD CART]],[1]!MatrizCortoLargoCyl[#All],3,0),"")</f>
        <v/>
      </c>
      <c r="F1078" s="13" t="inlineStr">
        <is>
          <t>TSLA/P/230,00/20-01-23</t>
        </is>
      </c>
      <c r="G1078" s="6" t="n">
        <v>-3</v>
      </c>
      <c r="H1078" s="6" t="n">
        <v>31.08</v>
      </c>
      <c r="I1078" s="7">
        <f>-H1078/G1078</f>
        <v/>
      </c>
      <c r="J1078" s="11" t="n"/>
      <c r="K1078" s="6" t="n"/>
      <c r="L1078" s="6" t="n"/>
      <c r="M1078" s="7">
        <f>IF(N1078=0,+L1078+H1078,0)</f>
        <v/>
      </c>
      <c r="N1078" s="7">
        <f>IF((+G1078-K1078)=0,0,+G1078-K1078)</f>
        <v/>
      </c>
      <c r="O1078" s="7">
        <f>IF(N1078=0,0,(L1078+H1078)/-N1078)</f>
        <v/>
      </c>
      <c r="P1078" s="7">
        <f>VLOOKUP(OPERAC[[#This Row],[especie]],[1]!ESPECIES[#All],6,0)</f>
        <v/>
      </c>
      <c r="Q1078" s="7">
        <f>IF(N1078&lt;&gt;0,P1078*N1078,0)</f>
        <v/>
      </c>
      <c r="R1078" s="8">
        <f>IF(Q1078&lt;&gt;0,Q1078+H1078+L1078,0)</f>
        <v/>
      </c>
      <c r="S1078" s="9">
        <f>VLOOKUP(OPERAC[[#This Row],[especie]],[1]!ESPECIES[#Data],9,FALSE)</f>
        <v/>
      </c>
    </row>
    <row r="1079">
      <c r="A1079" s="4" t="n">
        <v>2218</v>
      </c>
      <c r="B1079" s="5" t="n">
        <v>44718</v>
      </c>
      <c r="C1079" s="13" t="inlineStr">
        <is>
          <t>VTA</t>
        </is>
      </c>
      <c r="D1079" s="13" t="n">
        <v>39</v>
      </c>
      <c r="E1079" s="10">
        <f>IF(D1079&gt;0,VLOOKUP(OPERAC[[#This Row],[COD CART]],[1]!MatrizCortoLargoCyl[#All],3,0),"")</f>
        <v/>
      </c>
      <c r="F1079" s="13" t="inlineStr">
        <is>
          <t>MELI/V/490,00/16-09-22</t>
        </is>
      </c>
      <c r="G1079" s="6" t="n">
        <v>-2</v>
      </c>
      <c r="H1079" s="6" t="n">
        <v>30.969</v>
      </c>
      <c r="I1079" s="7">
        <f>-H1079/G1079</f>
        <v/>
      </c>
      <c r="J1079" s="5" t="n"/>
      <c r="K1079" s="6" t="n"/>
      <c r="L1079" s="6" t="n"/>
      <c r="M1079" s="7">
        <f>IF(N1079=0,+L1079+H1079,0)</f>
        <v/>
      </c>
      <c r="N1079" s="7">
        <f>IF((+G1079-K1079)=0,0,+G1079-K1079)</f>
        <v/>
      </c>
      <c r="O1079" s="7">
        <f>IF(N1079=0,0,(L1079+H1079)/-N1079)</f>
        <v/>
      </c>
      <c r="P1079" s="7">
        <f>VLOOKUP(OPERAC[[#This Row],[especie]],[1]!ESPECIES[#All],6,0)</f>
        <v/>
      </c>
      <c r="Q1079" s="7">
        <f>IF(N1079&lt;&gt;0,P1079*N1079,0)</f>
        <v/>
      </c>
      <c r="R1079" s="8">
        <f>IF(Q1079&lt;&gt;0,Q1079+H1079+L1079,0)</f>
        <v/>
      </c>
      <c r="S1079" s="9">
        <f>VLOOKUP(OPERAC[[#This Row],[especie]],[1]!ESPECIES[#Data],9,FALSE)</f>
        <v/>
      </c>
    </row>
    <row r="1080">
      <c r="A1080" s="4" t="n">
        <v>1760</v>
      </c>
      <c r="B1080" s="5" t="n">
        <v>44299</v>
      </c>
      <c r="C1080" s="13" t="inlineStr">
        <is>
          <t>VTA</t>
        </is>
      </c>
      <c r="D1080" s="13" t="n">
        <v>39</v>
      </c>
      <c r="E1080" s="10">
        <f>IF(D1080&gt;0,VLOOKUP(OPERAC[[#This Row],[COD CART]],[1]!MatrizCortoLargoCyl[#All],3,0),"")</f>
        <v/>
      </c>
      <c r="F1080" s="13" t="inlineStr">
        <is>
          <t>TLRY1/V/10,00/20-01-23</t>
        </is>
      </c>
      <c r="G1080" s="6" t="n">
        <v>-10</v>
      </c>
      <c r="H1080" s="6" t="n">
        <v>30.44</v>
      </c>
      <c r="I1080" s="7">
        <f>-H1080/G1080</f>
        <v/>
      </c>
      <c r="J1080" s="11" t="n">
        <v>44628</v>
      </c>
      <c r="K1080" s="6" t="n">
        <v>-10</v>
      </c>
      <c r="L1080" s="6" t="n">
        <v>-63.0699</v>
      </c>
      <c r="M1080" s="7">
        <f>IF(N1080=0,+L1080+H1080,0)</f>
        <v/>
      </c>
      <c r="N1080" s="7">
        <f>IF((+G1080-K1080)=0,0,+G1080-K1080)</f>
        <v/>
      </c>
      <c r="O1080" s="7">
        <f>IF(N1080=0,0,(L1080+H1080)/-N1080)</f>
        <v/>
      </c>
      <c r="P1080" s="7">
        <f>VLOOKUP(OPERAC[[#This Row],[especie]],[1]!ESPECIES[#All],6,0)</f>
        <v/>
      </c>
      <c r="Q1080" s="7">
        <f>IF(N1080&lt;&gt;0,P1080*N1080,0)</f>
        <v/>
      </c>
      <c r="R1080" s="8">
        <f>IF(Q1080&lt;&gt;0,Q1080+H1080+L1080,0)</f>
        <v/>
      </c>
      <c r="S1080" s="9">
        <f>VLOOKUP(OPERAC[[#This Row],[especie]],[1]!ESPECIES[#Data],9,FALSE)</f>
        <v/>
      </c>
    </row>
    <row r="1081">
      <c r="A1081" s="4" t="n">
        <v>6628</v>
      </c>
      <c r="B1081" s="5" t="n">
        <v>44614</v>
      </c>
      <c r="C1081" s="13" t="inlineStr">
        <is>
          <t>VTA</t>
        </is>
      </c>
      <c r="D1081" s="13" t="n">
        <v>39</v>
      </c>
      <c r="E1081" s="10">
        <f>IF(D1081&gt;0,VLOOKUP(OPERAC[[#This Row],[COD CART]],[1]!MatrizCortoLargoCyl[#All],3,0),"")</f>
        <v/>
      </c>
      <c r="F1081" s="13" t="inlineStr">
        <is>
          <t>ACB/V/5,00/20-01-23</t>
        </is>
      </c>
      <c r="G1081" s="6" t="n">
        <v>-15</v>
      </c>
      <c r="H1081" s="6" t="n">
        <v>30.39</v>
      </c>
      <c r="I1081" s="7">
        <f>-H1081/G1081</f>
        <v/>
      </c>
      <c r="J1081" s="11" t="n">
        <v>44617</v>
      </c>
      <c r="K1081" s="6" t="n">
        <v>-15</v>
      </c>
      <c r="L1081" s="6" t="n">
        <v>-32.2475</v>
      </c>
      <c r="M1081" s="7">
        <f>IF(N1081=0,+L1081+H1081,0)</f>
        <v/>
      </c>
      <c r="N1081" s="7">
        <f>IF((+G1081-K1081)=0,0,+G1081-K1081)</f>
        <v/>
      </c>
      <c r="O1081" s="7">
        <f>IF(N1081=0,0,(L1081+H1081)/-N1081)</f>
        <v/>
      </c>
      <c r="P1081" s="7">
        <f>VLOOKUP(OPERAC[[#This Row],[especie]],[1]!ESPECIES[#All],6,0)</f>
        <v/>
      </c>
      <c r="Q1081" s="7">
        <f>IF(N1081&lt;&gt;0,P1081*N1081,0)</f>
        <v/>
      </c>
      <c r="R1081" s="8">
        <f>IF(Q1081&lt;&gt;0,Q1081+H1081+L1081,0)</f>
        <v/>
      </c>
      <c r="S1081" s="9">
        <f>VLOOKUP(OPERAC[[#This Row],[especie]],[1]!ESPECIES[#Data],9,FALSE)</f>
        <v/>
      </c>
    </row>
    <row r="1082">
      <c r="A1082" s="4" t="n">
        <v>6579</v>
      </c>
      <c r="B1082" s="5" t="n">
        <v>44532</v>
      </c>
      <c r="C1082" s="13" t="inlineStr">
        <is>
          <t>VTA</t>
        </is>
      </c>
      <c r="D1082" s="13" t="n">
        <v>39</v>
      </c>
      <c r="E1082" s="10">
        <f>IF(D1082&gt;0,VLOOKUP(OPERAC[[#This Row],[COD CART]],[1]!MatrizCortoLargoCyl[#All],3,0),"")</f>
        <v/>
      </c>
      <c r="F1082" s="13" t="inlineStr">
        <is>
          <t>MELI/V/820,00/16-09-22</t>
        </is>
      </c>
      <c r="G1082" s="6" t="n">
        <v>-300</v>
      </c>
      <c r="H1082" s="6">
        <f>-0.1*OPERAC[[#This Row],[cantidad]]</f>
        <v/>
      </c>
      <c r="I1082" s="7">
        <f>-H1082/G1082</f>
        <v/>
      </c>
      <c r="J1082" s="11" t="n">
        <v>44614</v>
      </c>
      <c r="K1082" s="6" t="n">
        <v>-300</v>
      </c>
      <c r="L1082" s="6" t="n">
        <v>-30</v>
      </c>
      <c r="M1082" s="7">
        <f>IF(N1082=0,+L1082+H1082,0)</f>
        <v/>
      </c>
      <c r="N1082" s="7">
        <f>IF((+G1082-K1082)=0,0,+G1082-K1082)</f>
        <v/>
      </c>
      <c r="O1082" s="7">
        <f>IF(N1082=0,0,(L1082+H1082)/-N1082)</f>
        <v/>
      </c>
      <c r="P1082" s="7">
        <f>VLOOKUP(OPERAC[[#This Row],[especie]],[1]!ESPECIES[#All],6,0)</f>
        <v/>
      </c>
      <c r="Q1082" s="7">
        <f>IF(N1082&lt;&gt;0,P1082*N1082,0)</f>
        <v/>
      </c>
      <c r="R1082" s="8">
        <f>IF(Q1082&lt;&gt;0,Q1082+H1082+L1082,0)</f>
        <v/>
      </c>
      <c r="S1082" s="9">
        <f>VLOOKUP(OPERAC[[#This Row],[especie]],[1]!ESPECIES[#Data],9,FALSE)</f>
        <v/>
      </c>
    </row>
    <row r="1083">
      <c r="A1083" s="4" t="n">
        <v>19867</v>
      </c>
      <c r="B1083" s="5" t="n">
        <v>44641</v>
      </c>
      <c r="C1083" s="13" t="inlineStr">
        <is>
          <t>VTA</t>
        </is>
      </c>
      <c r="D1083" s="13" t="n">
        <v>39</v>
      </c>
      <c r="E1083" s="10">
        <f>IF(D1083&gt;0,VLOOKUP(OPERAC[[#This Row],[COD CART]],[1]!MatrizCortoLargoCyl[#All],3,0),"")</f>
        <v/>
      </c>
      <c r="F1083" s="13" t="inlineStr">
        <is>
          <t>TSLA/V/380,00/20-01-23</t>
        </is>
      </c>
      <c r="G1083" s="6" t="n">
        <v>-2</v>
      </c>
      <c r="H1083" s="6" t="n">
        <v>28.76</v>
      </c>
      <c r="I1083" s="7">
        <f>-H1083/G1083</f>
        <v/>
      </c>
      <c r="J1083" s="11" t="n"/>
      <c r="K1083" s="6" t="n"/>
      <c r="L1083" s="6" t="n"/>
      <c r="M1083" s="7">
        <f>IF(N1083=0,+L1083+H1083,0)</f>
        <v/>
      </c>
      <c r="N1083" s="7">
        <f>IF((+G1083-K1083)=0,0,+G1083-K1083)</f>
        <v/>
      </c>
      <c r="O1083" s="7">
        <f>IF(N1083=0,0,(L1083+H1083)/-N1083)</f>
        <v/>
      </c>
      <c r="P1083" s="7">
        <f>VLOOKUP(OPERAC[[#This Row],[especie]],[1]!ESPECIES[#All],6,0)</f>
        <v/>
      </c>
      <c r="Q1083" s="7">
        <f>IF(N1083&lt;&gt;0,P1083*N1083,0)</f>
        <v/>
      </c>
      <c r="R1083" s="8">
        <f>IF(Q1083&lt;&gt;0,Q1083+H1083+L1083,0)</f>
        <v/>
      </c>
      <c r="S1083" s="9">
        <f>VLOOKUP(OPERAC[[#This Row],[especie]],[1]!ESPECIES[#Data],9,FALSE)</f>
        <v/>
      </c>
    </row>
    <row r="1084">
      <c r="A1084" s="4" t="n">
        <v>2194</v>
      </c>
      <c r="B1084" s="5" t="n">
        <v>44610</v>
      </c>
      <c r="C1084" s="13" t="inlineStr">
        <is>
          <t>VTA</t>
        </is>
      </c>
      <c r="D1084" s="13" t="n">
        <v>39</v>
      </c>
      <c r="E1084" s="10">
        <f>IF(D1084&gt;0,VLOOKUP(OPERAC[[#This Row],[COD CART]],[1]!MatrizCortoLargoCyl[#All],3,0),"")</f>
        <v/>
      </c>
      <c r="F1084" s="13" t="inlineStr">
        <is>
          <t>MELI/V/540,00/16-09-22</t>
        </is>
      </c>
      <c r="G1084" s="6" t="n">
        <v>-1</v>
      </c>
      <c r="H1084" s="6" t="n">
        <v>27.77</v>
      </c>
      <c r="I1084" s="7">
        <f>-H1084/G1084</f>
        <v/>
      </c>
      <c r="J1084" s="11" t="n"/>
      <c r="K1084" s="6" t="n"/>
      <c r="L1084" s="6" t="n"/>
      <c r="M1084" s="7">
        <f>IF(N1084=0,+L1084+H1084,0)</f>
        <v/>
      </c>
      <c r="N1084" s="7">
        <f>IF((+G1084-K1084)=0,0,+G1084-K1084)</f>
        <v/>
      </c>
      <c r="O1084" s="7">
        <f>IF(N1084=0,0,(L1084+H1084)/-N1084)</f>
        <v/>
      </c>
      <c r="P1084" s="7">
        <f>VLOOKUP(OPERAC[[#This Row],[especie]],[1]!ESPECIES[#All],6,0)</f>
        <v/>
      </c>
      <c r="Q1084" s="7">
        <f>IF(N1084&lt;&gt;0,P1084*N1084,0)</f>
        <v/>
      </c>
      <c r="R1084" s="8">
        <f>IF(Q1084&lt;&gt;0,Q1084+H1084+L1084,0)</f>
        <v/>
      </c>
      <c r="S1084" s="9">
        <f>VLOOKUP(OPERAC[[#This Row],[especie]],[1]!ESPECIES[#Data],9,FALSE)</f>
        <v/>
      </c>
    </row>
    <row r="1085">
      <c r="A1085" s="4" t="n">
        <v>19878</v>
      </c>
      <c r="B1085" s="5" t="n">
        <v>44610</v>
      </c>
      <c r="C1085" s="13" t="inlineStr">
        <is>
          <t>VTA</t>
        </is>
      </c>
      <c r="D1085" s="13" t="n">
        <v>39</v>
      </c>
      <c r="E1085" s="10">
        <f>IF(D1085&gt;0,VLOOKUP(OPERAC[[#This Row],[COD CART]],[1]!MatrizCortoLargoCyl[#All],3,0),"")</f>
        <v/>
      </c>
      <c r="F1085" s="13" t="inlineStr">
        <is>
          <t>MELI/V/540,00/16-09-22</t>
        </is>
      </c>
      <c r="G1085" s="6" t="n">
        <v>-1</v>
      </c>
      <c r="H1085" s="6" t="n">
        <v>27.77</v>
      </c>
      <c r="I1085" s="7">
        <f>-H1085/G1085</f>
        <v/>
      </c>
      <c r="J1085" s="11" t="n"/>
      <c r="K1085" s="6" t="n"/>
      <c r="L1085" s="6" t="n"/>
      <c r="M1085" s="7">
        <f>IF(N1085=0,+L1085+H1085,0)</f>
        <v/>
      </c>
      <c r="N1085" s="7">
        <f>IF((+G1085-K1085)=0,0,+G1085-K1085)</f>
        <v/>
      </c>
      <c r="O1085" s="7">
        <f>IF(N1085=0,0,(L1085+H1085)/-N1085)</f>
        <v/>
      </c>
      <c r="P1085" s="7">
        <f>VLOOKUP(OPERAC[[#This Row],[especie]],[1]!ESPECIES[#All],6,0)</f>
        <v/>
      </c>
      <c r="Q1085" s="7">
        <f>IF(N1085&lt;&gt;0,P1085*N1085,0)</f>
        <v/>
      </c>
      <c r="R1085" s="8">
        <f>IF(Q1085&lt;&gt;0,Q1085+H1085+L1085,0)</f>
        <v/>
      </c>
      <c r="S1085" s="9">
        <f>VLOOKUP(OPERAC[[#This Row],[especie]],[1]!ESPECIES[#Data],9,FALSE)</f>
        <v/>
      </c>
    </row>
    <row r="1086">
      <c r="A1086" s="4" t="n">
        <v>12672</v>
      </c>
      <c r="B1086" s="5" t="n">
        <v>44610</v>
      </c>
      <c r="C1086" s="13" t="inlineStr">
        <is>
          <t>VTA</t>
        </is>
      </c>
      <c r="D1086" s="13" t="n">
        <v>39</v>
      </c>
      <c r="E1086" s="10">
        <f>IF(D1086&gt;0,VLOOKUP(OPERAC[[#This Row],[COD CART]],[1]!MatrizCortoLargoCyl[#All],3,0),"")</f>
        <v/>
      </c>
      <c r="F1086" s="13" t="inlineStr">
        <is>
          <t>MELI/V/540,00/16-09-22</t>
        </is>
      </c>
      <c r="G1086" s="6" t="n">
        <v>-1</v>
      </c>
      <c r="H1086" s="6" t="n">
        <v>27.77</v>
      </c>
      <c r="I1086" s="7">
        <f>-H1086/G1086</f>
        <v/>
      </c>
      <c r="J1086" s="11" t="n"/>
      <c r="K1086" s="6" t="n"/>
      <c r="L1086" s="6" t="n"/>
      <c r="M1086" s="7">
        <f>IF(N1086=0,+L1086+H1086,0)</f>
        <v/>
      </c>
      <c r="N1086" s="7">
        <f>IF((+G1086-K1086)=0,0,+G1086-K1086)</f>
        <v/>
      </c>
      <c r="O1086" s="7">
        <f>IF(N1086=0,0,(L1086+H1086)/-N1086)</f>
        <v/>
      </c>
      <c r="P1086" s="7">
        <f>VLOOKUP(OPERAC[[#This Row],[especie]],[1]!ESPECIES[#All],6,0)</f>
        <v/>
      </c>
      <c r="Q1086" s="7">
        <f>IF(N1086&lt;&gt;0,P1086*N1086,0)</f>
        <v/>
      </c>
      <c r="R1086" s="8">
        <f>IF(Q1086&lt;&gt;0,Q1086+H1086+L1086,0)</f>
        <v/>
      </c>
      <c r="S1086" s="9">
        <f>VLOOKUP(OPERAC[[#This Row],[especie]],[1]!ESPECIES[#Data],9,FALSE)</f>
        <v/>
      </c>
    </row>
    <row r="1087">
      <c r="A1087" s="4" t="n">
        <v>19932</v>
      </c>
      <c r="B1087" s="5" t="n">
        <v>44610</v>
      </c>
      <c r="C1087" s="13" t="inlineStr">
        <is>
          <t>VTA</t>
        </is>
      </c>
      <c r="D1087" s="13" t="n">
        <v>39</v>
      </c>
      <c r="E1087" s="10">
        <f>IF(D1087&gt;0,VLOOKUP(OPERAC[[#This Row],[COD CART]],[1]!MatrizCortoLargoCyl[#All],3,0),"")</f>
        <v/>
      </c>
      <c r="F1087" s="13" t="inlineStr">
        <is>
          <t>MELI/V/540,00/16-09-22</t>
        </is>
      </c>
      <c r="G1087" s="6" t="n">
        <v>-1</v>
      </c>
      <c r="H1087" s="6" t="n">
        <v>27.77</v>
      </c>
      <c r="I1087" s="7">
        <f>-H1087/G1087</f>
        <v/>
      </c>
      <c r="J1087" s="11" t="n"/>
      <c r="K1087" s="6" t="n"/>
      <c r="L1087" s="6" t="n"/>
      <c r="M1087" s="7">
        <f>IF(N1087=0,+L1087+H1087,0)</f>
        <v/>
      </c>
      <c r="N1087" s="7">
        <f>IF((+G1087-K1087)=0,0,+G1087-K1087)</f>
        <v/>
      </c>
      <c r="O1087" s="7">
        <f>IF(N1087=0,0,(L1087+H1087)/-N1087)</f>
        <v/>
      </c>
      <c r="P1087" s="7">
        <f>VLOOKUP(OPERAC[[#This Row],[especie]],[1]!ESPECIES[#All],6,0)</f>
        <v/>
      </c>
      <c r="Q1087" s="7">
        <f>IF(N1087&lt;&gt;0,P1087*N1087,0)</f>
        <v/>
      </c>
      <c r="R1087" s="8">
        <f>IF(Q1087&lt;&gt;0,Q1087+H1087+L1087,0)</f>
        <v/>
      </c>
      <c r="S1087" s="9">
        <f>VLOOKUP(OPERAC[[#This Row],[especie]],[1]!ESPECIES[#Data],9,FALSE)</f>
        <v/>
      </c>
    </row>
    <row r="1088">
      <c r="A1088" s="4" t="n">
        <v>16783</v>
      </c>
      <c r="B1088" s="5" t="n">
        <v>44670</v>
      </c>
      <c r="C1088" s="13" t="inlineStr">
        <is>
          <t>VTA</t>
        </is>
      </c>
      <c r="D1088" s="13" t="n">
        <v>39</v>
      </c>
      <c r="E1088" s="10">
        <f>IF(D1088&gt;0,VLOOKUP(OPERAC[[#This Row],[COD CART]],[1]!MatrizCortoLargoCyl[#All],3,0),"")</f>
        <v/>
      </c>
      <c r="F1088" s="13" t="inlineStr">
        <is>
          <t>TSLA/V/400,00/20-01-23</t>
        </is>
      </c>
      <c r="G1088" s="6" t="n">
        <v>-3</v>
      </c>
      <c r="H1088" s="6" t="n">
        <v>27.4758</v>
      </c>
      <c r="I1088" s="7">
        <f>-H1088/G1088</f>
        <v/>
      </c>
      <c r="J1088" s="11" t="n"/>
      <c r="K1088" s="6" t="n"/>
      <c r="L1088" s="6" t="n"/>
      <c r="M1088" s="7">
        <f>IF(N1088=0,+L1088+H1088,0)</f>
        <v/>
      </c>
      <c r="N1088" s="7">
        <f>IF((+G1088-K1088)=0,0,+G1088-K1088)</f>
        <v/>
      </c>
      <c r="O1088" s="7">
        <f>IF(N1088=0,0,(L1088+H1088)/-N1088)</f>
        <v/>
      </c>
      <c r="P1088" s="7">
        <f>VLOOKUP(OPERAC[[#This Row],[especie]],[1]!ESPECIES[#All],6,0)</f>
        <v/>
      </c>
      <c r="Q1088" s="7">
        <f>IF(N1088&lt;&gt;0,P1088*N1088,0)</f>
        <v/>
      </c>
      <c r="R1088" s="8">
        <f>IF(Q1088&lt;&gt;0,Q1088+H1088+L1088,0)</f>
        <v/>
      </c>
      <c r="S1088" s="9">
        <f>VLOOKUP(OPERAC[[#This Row],[especie]],[1]!ESPECIES[#Data],9,FALSE)</f>
        <v/>
      </c>
    </row>
    <row r="1089">
      <c r="A1089" s="4" t="n">
        <v>19932</v>
      </c>
      <c r="B1089" s="5" t="n">
        <v>44432</v>
      </c>
      <c r="C1089" s="13" t="inlineStr">
        <is>
          <t>VTA</t>
        </is>
      </c>
      <c r="D1089" s="13" t="n">
        <v>39</v>
      </c>
      <c r="E1089" s="10">
        <f>IF(D1089&gt;0,VLOOKUP(OPERAC[[#This Row],[COD CART]],[1]!MatrizCortoLargoCyl[#All],3,0),"")</f>
        <v/>
      </c>
      <c r="F1089" s="13" t="inlineStr">
        <is>
          <t>INO/V/8,00/20-01-23</t>
        </is>
      </c>
      <c r="G1089" s="6" t="n">
        <v>-10</v>
      </c>
      <c r="H1089" s="6" t="n">
        <v>27.47</v>
      </c>
      <c r="I1089" s="7">
        <f>-H1089/G1089</f>
        <v/>
      </c>
      <c r="J1089" s="11" t="n"/>
      <c r="K1089" s="6" t="n"/>
      <c r="L1089" s="6" t="n"/>
      <c r="M1089" s="7">
        <f>IF(N1089=0,+L1089+H1089,0)</f>
        <v/>
      </c>
      <c r="N1089" s="7">
        <f>IF((+G1089-K1089)=0,0,+G1089-K1089)</f>
        <v/>
      </c>
      <c r="O1089" s="7">
        <f>IF(N1089=0,0,(L1089+H1089)/-N1089)</f>
        <v/>
      </c>
      <c r="P1089" s="7">
        <f>VLOOKUP(OPERAC[[#This Row],[especie]],[1]!ESPECIES[#All],6,0)</f>
        <v/>
      </c>
      <c r="Q1089" s="7">
        <f>IF(N1089&lt;&gt;0,P1089*N1089,0)</f>
        <v/>
      </c>
      <c r="R1089" s="8">
        <f>IF(Q1089&lt;&gt;0,Q1089+H1089+L1089,0)</f>
        <v/>
      </c>
      <c r="S1089" s="9">
        <f>VLOOKUP(OPERAC[[#This Row],[especie]],[1]!ESPECIES[#Data],9,FALSE)</f>
        <v/>
      </c>
    </row>
    <row r="1090">
      <c r="A1090" s="4" t="n">
        <v>22407</v>
      </c>
      <c r="B1090" s="5" t="n">
        <v>44601</v>
      </c>
      <c r="C1090" s="13" t="inlineStr">
        <is>
          <t>VTA</t>
        </is>
      </c>
      <c r="D1090" s="13" t="n">
        <v>39</v>
      </c>
      <c r="E1090" s="10">
        <f>IF(D1090&gt;0,VLOOKUP(OPERAC[[#This Row],[COD CART]],[1]!MatrizCortoLargoCyl[#All],3,0),"")</f>
        <v/>
      </c>
      <c r="F1090" s="13" t="inlineStr">
        <is>
          <t>TLRY/V/8,00/14-04-22</t>
        </is>
      </c>
      <c r="G1090" s="6" t="n">
        <v>-13</v>
      </c>
      <c r="H1090" s="6">
        <f>-2.1*OPERAC[[#This Row],[cantidad]]</f>
        <v/>
      </c>
      <c r="I1090" s="7">
        <f>-H1090/G1090</f>
        <v/>
      </c>
      <c r="J1090" s="11" t="n">
        <v>44645</v>
      </c>
      <c r="K1090" s="6" t="n">
        <v>-13</v>
      </c>
      <c r="L1090" s="6" t="n">
        <v>-15.55</v>
      </c>
      <c r="M1090" s="7">
        <f>IF(N1090=0,+L1090+H1090,0)</f>
        <v/>
      </c>
      <c r="N1090" s="7">
        <f>IF((+G1090-K1090)=0,0,+G1090-K1090)</f>
        <v/>
      </c>
      <c r="O1090" s="7">
        <f>IF(N1090=0,0,(L1090+H1090)/-N1090)</f>
        <v/>
      </c>
      <c r="P1090" s="7">
        <f>VLOOKUP(OPERAC[[#This Row],[especie]],[1]!ESPECIES[#All],6,0)</f>
        <v/>
      </c>
      <c r="Q1090" s="7">
        <f>IF(N1090&lt;&gt;0,P1090*N1090,0)</f>
        <v/>
      </c>
      <c r="R1090" s="8">
        <f>IF(Q1090&lt;&gt;0,Q1090+H1090+L1090,0)</f>
        <v/>
      </c>
      <c r="S1090" s="9">
        <f>VLOOKUP(OPERAC[[#This Row],[especie]],[1]!ESPECIES[#Data],9,FALSE)</f>
        <v/>
      </c>
    </row>
    <row r="1091">
      <c r="A1091" s="4" t="n">
        <v>18690</v>
      </c>
      <c r="B1091" s="5" t="n">
        <v>44614</v>
      </c>
      <c r="C1091" s="13" t="inlineStr">
        <is>
          <t>VTA</t>
        </is>
      </c>
      <c r="D1091" s="13" t="n">
        <v>39</v>
      </c>
      <c r="E1091" s="10">
        <f>IF(D1091&gt;0,VLOOKUP(OPERAC[[#This Row],[COD CART]],[1]!MatrizCortoLargoCyl[#All],3,0),"")</f>
        <v/>
      </c>
      <c r="F1091" s="13" t="inlineStr">
        <is>
          <t>TSLA/V/200,00/19-01-24</t>
        </is>
      </c>
      <c r="G1091" s="6" t="n">
        <v>-3</v>
      </c>
      <c r="H1091" s="6" t="n">
        <v>26.77</v>
      </c>
      <c r="I1091" s="7">
        <f>-H1091/G1091</f>
        <v/>
      </c>
      <c r="J1091" s="11" t="n"/>
      <c r="K1091" s="6" t="n"/>
      <c r="L1091" s="6" t="n"/>
      <c r="M1091" s="7">
        <f>IF(N1091=0,+L1091+H1091,0)</f>
        <v/>
      </c>
      <c r="N1091" s="7">
        <f>IF((+G1091-K1091)=0,0,+G1091-K1091)</f>
        <v/>
      </c>
      <c r="O1091" s="7">
        <f>IF(N1091=0,0,(L1091+H1091)/-N1091)</f>
        <v/>
      </c>
      <c r="P1091" s="7">
        <f>VLOOKUP(OPERAC[[#This Row],[especie]],[1]!ESPECIES[#All],6,0)</f>
        <v/>
      </c>
      <c r="Q1091" s="7">
        <f>IF(N1091&lt;&gt;0,P1091*N1091,0)</f>
        <v/>
      </c>
      <c r="R1091" s="8">
        <f>IF(Q1091&lt;&gt;0,Q1091+H1091+L1091,0)</f>
        <v/>
      </c>
      <c r="S1091" s="9">
        <f>VLOOKUP(OPERAC[[#This Row],[especie]],[1]!ESPECIES[#Data],9,FALSE)</f>
        <v/>
      </c>
    </row>
    <row r="1092">
      <c r="A1092" s="4" t="n">
        <v>13185</v>
      </c>
      <c r="B1092" s="5" t="n">
        <v>44614</v>
      </c>
      <c r="C1092" s="13" t="inlineStr">
        <is>
          <t>VTA</t>
        </is>
      </c>
      <c r="D1092" s="13" t="n">
        <v>39</v>
      </c>
      <c r="E1092" s="10">
        <f>IF(D1092&gt;0,VLOOKUP(OPERAC[[#This Row],[COD CART]],[1]!MatrizCortoLargoCyl[#All],3,0),"")</f>
        <v/>
      </c>
      <c r="F1092" s="13" t="inlineStr">
        <is>
          <t>FB/V/105,00/19-01-24</t>
        </is>
      </c>
      <c r="G1092" s="6" t="n">
        <v>-5</v>
      </c>
      <c r="H1092" s="6" t="n">
        <v>26.76</v>
      </c>
      <c r="I1092" s="7">
        <f>-H1092/G1092</f>
        <v/>
      </c>
      <c r="J1092" s="11" t="n"/>
      <c r="K1092" s="6" t="n"/>
      <c r="L1092" s="6" t="n"/>
      <c r="M1092" s="7">
        <f>IF(N1092=0,+L1092+H1092,0)</f>
        <v/>
      </c>
      <c r="N1092" s="7">
        <f>IF((+G1092-K1092)=0,0,+G1092-K1092)</f>
        <v/>
      </c>
      <c r="O1092" s="7">
        <f>IF(N1092=0,0,(L1092+H1092)/-N1092)</f>
        <v/>
      </c>
      <c r="P1092" s="7">
        <f>VLOOKUP(OPERAC[[#This Row],[especie]],[1]!ESPECIES[#All],6,0)</f>
        <v/>
      </c>
      <c r="Q1092" s="7">
        <f>IF(N1092&lt;&gt;0,P1092*N1092,0)</f>
        <v/>
      </c>
      <c r="R1092" s="8">
        <f>IF(Q1092&lt;&gt;0,Q1092+H1092+L1092,0)</f>
        <v/>
      </c>
      <c r="S1092" s="9">
        <f>VLOOKUP(OPERAC[[#This Row],[especie]],[1]!ESPECIES[#Data],9,FALSE)</f>
        <v/>
      </c>
    </row>
    <row r="1093">
      <c r="A1093" s="4" t="n">
        <v>19867</v>
      </c>
      <c r="B1093" s="5" t="n">
        <v>44432</v>
      </c>
      <c r="C1093" s="13" t="inlineStr">
        <is>
          <t>VTA</t>
        </is>
      </c>
      <c r="D1093" s="13" t="n">
        <v>39</v>
      </c>
      <c r="E1093" s="10">
        <f>IF(D1093&gt;0,VLOOKUP(OPERAC[[#This Row],[COD CART]],[1]!MatrizCortoLargoCyl[#All],3,0),"")</f>
        <v/>
      </c>
      <c r="F1093" s="13" t="inlineStr">
        <is>
          <t>TLRY1/V/10,00/20-01-23</t>
        </is>
      </c>
      <c r="G1093" s="6" t="n">
        <v>-10</v>
      </c>
      <c r="H1093" s="6" t="n">
        <v>26.64</v>
      </c>
      <c r="I1093" s="7">
        <f>-H1093/G1093</f>
        <v/>
      </c>
      <c r="J1093" s="11" t="n">
        <v>44629</v>
      </c>
      <c r="K1093" s="6" t="n">
        <v>-10</v>
      </c>
      <c r="L1093" s="6" t="n">
        <v>-62.06</v>
      </c>
      <c r="M1093" s="7">
        <f>IF(N1093=0,+L1093+H1093,0)</f>
        <v/>
      </c>
      <c r="N1093" s="7">
        <f>IF((+G1093-K1093)=0,0,+G1093-K1093)</f>
        <v/>
      </c>
      <c r="O1093" s="7">
        <f>IF(N1093=0,0,(L1093+H1093)/-N1093)</f>
        <v/>
      </c>
      <c r="P1093" s="7">
        <f>VLOOKUP(OPERAC[[#This Row],[especie]],[1]!ESPECIES[#All],6,0)</f>
        <v/>
      </c>
      <c r="Q1093" s="7">
        <f>IF(N1093&lt;&gt;0,P1093*N1093,0)</f>
        <v/>
      </c>
      <c r="R1093" s="8">
        <f>IF(Q1093&lt;&gt;0,Q1093+H1093+L1093,0)</f>
        <v/>
      </c>
      <c r="S1093" s="9">
        <f>VLOOKUP(OPERAC[[#This Row],[especie]],[1]!ESPECIES[#Data],9,FALSE)</f>
        <v/>
      </c>
    </row>
    <row r="1094">
      <c r="A1094" s="4" t="n">
        <v>12627</v>
      </c>
      <c r="B1094" s="5" t="n">
        <v>44645</v>
      </c>
      <c r="C1094" s="13" t="inlineStr">
        <is>
          <t>VTA</t>
        </is>
      </c>
      <c r="D1094" s="13" t="n">
        <v>39</v>
      </c>
      <c r="E1094" s="10">
        <f>IF(D1094&gt;0,VLOOKUP(OPERAC[[#This Row],[COD CART]],[1]!MatrizCortoLargoCyl[#All],3,0),"")</f>
        <v/>
      </c>
      <c r="F1094" s="13" t="inlineStr">
        <is>
          <t>TLRY/V/6,00/16-09-22</t>
        </is>
      </c>
      <c r="G1094" s="6" t="n">
        <v>-25</v>
      </c>
      <c r="H1094" s="6" t="n">
        <v>25.865</v>
      </c>
      <c r="I1094" s="7">
        <f>-H1094/G1094</f>
        <v/>
      </c>
      <c r="J1094" s="11" t="n"/>
      <c r="K1094" s="6" t="n"/>
      <c r="L1094" s="6" t="n"/>
      <c r="M1094" s="7">
        <f>IF(N1094=0,+L1094+H1094,0)</f>
        <v/>
      </c>
      <c r="N1094" s="7">
        <f>IF((+G1094-K1094)=0,0,+G1094-K1094)</f>
        <v/>
      </c>
      <c r="O1094" s="7">
        <f>IF(N1094=0,0,(L1094+H1094)/-N1094)</f>
        <v/>
      </c>
      <c r="P1094" s="7">
        <f>VLOOKUP(OPERAC[[#This Row],[especie]],[1]!ESPECIES[#All],6,0)</f>
        <v/>
      </c>
      <c r="Q1094" s="7">
        <f>IF(N1094&lt;&gt;0,P1094*N1094,0)</f>
        <v/>
      </c>
      <c r="R1094" s="8">
        <f>IF(Q1094&lt;&gt;0,Q1094+H1094+L1094,0)</f>
        <v/>
      </c>
      <c r="S1094" s="9">
        <f>VLOOKUP(OPERAC[[#This Row],[especie]],[1]!ESPECIES[#Data],9,FALSE)</f>
        <v/>
      </c>
    </row>
    <row r="1095">
      <c r="A1095" s="4" t="n">
        <v>15189</v>
      </c>
      <c r="B1095" s="5" t="n">
        <v>44614</v>
      </c>
      <c r="C1095" s="13" t="inlineStr">
        <is>
          <t>VTA</t>
        </is>
      </c>
      <c r="D1095" s="13" t="n">
        <v>39</v>
      </c>
      <c r="E1095" s="10">
        <f>IF(D1095&gt;0,VLOOKUP(OPERAC[[#This Row],[COD CART]],[1]!MatrizCortoLargoCyl[#All],3,0),"")</f>
        <v/>
      </c>
      <c r="F1095" s="13" t="inlineStr">
        <is>
          <t>NFLX/V/250,00/20-01-23</t>
        </is>
      </c>
      <c r="G1095" s="6" t="n">
        <v>-2</v>
      </c>
      <c r="H1095" s="6" t="n">
        <v>25.38</v>
      </c>
      <c r="I1095" s="7">
        <f>-H1095/G1095</f>
        <v/>
      </c>
      <c r="J1095" s="11" t="n"/>
      <c r="K1095" s="6" t="n"/>
      <c r="L1095" s="6" t="n"/>
      <c r="M1095" s="7">
        <f>IF(N1095=0,+L1095+H1095,0)</f>
        <v/>
      </c>
      <c r="N1095" s="7">
        <f>IF((+G1095-K1095)=0,0,+G1095-K1095)</f>
        <v/>
      </c>
      <c r="O1095" s="7">
        <f>IF(N1095=0,0,(L1095+H1095)/-N1095)</f>
        <v/>
      </c>
      <c r="P1095" s="7">
        <f>VLOOKUP(OPERAC[[#This Row],[especie]],[1]!ESPECIES[#All],6,0)</f>
        <v/>
      </c>
      <c r="Q1095" s="7">
        <f>IF(N1095&lt;&gt;0,P1095*N1095,0)</f>
        <v/>
      </c>
      <c r="R1095" s="8">
        <f>IF(Q1095&lt;&gt;0,Q1095+H1095+L1095,0)</f>
        <v/>
      </c>
      <c r="S1095" s="9">
        <f>VLOOKUP(OPERAC[[#This Row],[especie]],[1]!ESPECIES[#Data],9,FALSE)</f>
        <v/>
      </c>
    </row>
    <row r="1096">
      <c r="A1096" s="4" t="n">
        <v>2218</v>
      </c>
      <c r="B1096" s="5" t="n">
        <v>44579</v>
      </c>
      <c r="C1096" s="13" t="inlineStr">
        <is>
          <t>VTA</t>
        </is>
      </c>
      <c r="D1096" s="13" t="n">
        <v>39</v>
      </c>
      <c r="E1096" s="10">
        <f>IF(D1096&gt;0,VLOOKUP(OPERAC[[#This Row],[COD CART]],[1]!MatrizCortoLargoCyl[#All],3,0),"")</f>
        <v/>
      </c>
      <c r="F1096" s="13" t="inlineStr">
        <is>
          <t>YPF/V/5,00/15-07-22</t>
        </is>
      </c>
      <c r="G1096" s="6" t="n">
        <v>-23</v>
      </c>
      <c r="H1096" s="6" t="n">
        <v>25.1298</v>
      </c>
      <c r="I1096" s="7">
        <f>-H1096/G1096</f>
        <v/>
      </c>
      <c r="J1096" s="11" t="n"/>
      <c r="K1096" s="6" t="n"/>
      <c r="L1096" s="6" t="n"/>
      <c r="M1096" s="7">
        <f>IF(N1096=0,+L1096+H1096,0)</f>
        <v/>
      </c>
      <c r="N1096" s="7">
        <f>IF((+G1096-K1096)=0,0,+G1096-K1096)</f>
        <v/>
      </c>
      <c r="O1096" s="7">
        <f>IF(N1096=0,0,(L1096+H1096)/-N1096)</f>
        <v/>
      </c>
      <c r="P1096" s="7">
        <f>VLOOKUP(OPERAC[[#This Row],[especie]],[1]!ESPECIES[#All],6,0)</f>
        <v/>
      </c>
      <c r="Q1096" s="7">
        <f>IF(N1096&lt;&gt;0,P1096*N1096,0)</f>
        <v/>
      </c>
      <c r="R1096" s="8">
        <f>IF(Q1096&lt;&gt;0,Q1096+H1096+L1096,0)</f>
        <v/>
      </c>
      <c r="S1096" s="9">
        <f>VLOOKUP(OPERAC[[#This Row],[especie]],[1]!ESPECIES[#Data],9,FALSE)</f>
        <v/>
      </c>
    </row>
    <row r="1097">
      <c r="A1097" s="4" t="n">
        <v>16795</v>
      </c>
      <c r="B1097" s="5" t="n">
        <v>44614</v>
      </c>
      <c r="C1097" s="13" t="inlineStr">
        <is>
          <t>VTA</t>
        </is>
      </c>
      <c r="D1097" s="13" t="n">
        <v>39</v>
      </c>
      <c r="E1097" s="10">
        <f>IF(D1097&gt;0,VLOOKUP(OPERAC[[#This Row],[COD CART]],[1]!MatrizCortoLargoCyl[#All],3,0),"")</f>
        <v/>
      </c>
      <c r="F1097" s="13" t="inlineStr">
        <is>
          <t>NFLX/V/200,00/19-01-24</t>
        </is>
      </c>
      <c r="G1097" s="6" t="n">
        <v>-2</v>
      </c>
      <c r="H1097" s="6" t="n">
        <v>24.99</v>
      </c>
      <c r="I1097" s="7">
        <f>-H1097/G1097</f>
        <v/>
      </c>
      <c r="J1097" s="11" t="n"/>
      <c r="K1097" s="6" t="n"/>
      <c r="L1097" s="6" t="n"/>
      <c r="M1097" s="7">
        <f>IF(N1097=0,+L1097+H1097,0)</f>
        <v/>
      </c>
      <c r="N1097" s="7">
        <f>IF((+G1097-K1097)=0,0,+G1097-K1097)</f>
        <v/>
      </c>
      <c r="O1097" s="7">
        <f>IF(N1097=0,0,(L1097+H1097)/-N1097)</f>
        <v/>
      </c>
      <c r="P1097" s="7">
        <f>VLOOKUP(OPERAC[[#This Row],[especie]],[1]!ESPECIES[#All],6,0)</f>
        <v/>
      </c>
      <c r="Q1097" s="7">
        <f>IF(N1097&lt;&gt;0,P1097*N1097,0)</f>
        <v/>
      </c>
      <c r="R1097" s="8">
        <f>IF(Q1097&lt;&gt;0,Q1097+H1097+L1097,0)</f>
        <v/>
      </c>
      <c r="S1097" s="9">
        <f>VLOOKUP(OPERAC[[#This Row],[especie]],[1]!ESPECIES[#Data],9,FALSE)</f>
        <v/>
      </c>
    </row>
    <row r="1098">
      <c r="A1098" s="4" t="n">
        <v>1760</v>
      </c>
      <c r="B1098" s="5" t="n">
        <v>44431</v>
      </c>
      <c r="C1098" s="13" t="inlineStr">
        <is>
          <t>VTA</t>
        </is>
      </c>
      <c r="D1098" s="13" t="n">
        <v>39</v>
      </c>
      <c r="E1098" s="10">
        <f>IF(D1098&gt;0,VLOOKUP(OPERAC[[#This Row],[COD CART]],[1]!MatrizCortoLargoCyl[#All],3,0),"")</f>
        <v/>
      </c>
      <c r="F1098" s="13" t="inlineStr">
        <is>
          <t>GGAL/V/10,00/20-01-23</t>
        </is>
      </c>
      <c r="G1098" s="6" t="n">
        <v>-10</v>
      </c>
      <c r="H1098" s="6" t="n">
        <v>24.8</v>
      </c>
      <c r="I1098" s="7">
        <f>-H1098/G1098</f>
        <v/>
      </c>
      <c r="J1098" s="11" t="n"/>
      <c r="K1098" s="6" t="n"/>
      <c r="L1098" s="6" t="n"/>
      <c r="M1098" s="7">
        <f>IF(N1098=0,+L1098+H1098,0)</f>
        <v/>
      </c>
      <c r="N1098" s="7">
        <f>IF((+G1098-K1098)=0,0,+G1098-K1098)</f>
        <v/>
      </c>
      <c r="O1098" s="7">
        <f>IF(N1098=0,0,(L1098+H1098)/-N1098)</f>
        <v/>
      </c>
      <c r="P1098" s="7">
        <f>VLOOKUP(OPERAC[[#This Row],[especie]],[1]!ESPECIES[#All],6,0)</f>
        <v/>
      </c>
      <c r="Q1098" s="7">
        <f>IF(N1098&lt;&gt;0,P1098*N1098,0)</f>
        <v/>
      </c>
      <c r="R1098" s="8">
        <f>IF(Q1098&lt;&gt;0,Q1098+H1098+L1098,0)</f>
        <v/>
      </c>
      <c r="S1098" s="9">
        <f>VLOOKUP(OPERAC[[#This Row],[especie]],[1]!ESPECIES[#Data],9,FALSE)</f>
        <v/>
      </c>
    </row>
    <row r="1099">
      <c r="A1099" s="4" t="n">
        <v>2218</v>
      </c>
      <c r="B1099" s="5" t="n">
        <v>44431</v>
      </c>
      <c r="C1099" s="13" t="inlineStr">
        <is>
          <t>VTA</t>
        </is>
      </c>
      <c r="D1099" s="13" t="n">
        <v>39</v>
      </c>
      <c r="E1099" s="10">
        <f>IF(D1099&gt;0,VLOOKUP(OPERAC[[#This Row],[COD CART]],[1]!MatrizCortoLargoCyl[#All],3,0),"")</f>
        <v/>
      </c>
      <c r="F1099" s="13" t="inlineStr">
        <is>
          <t>GGAL/V/10,00/20-01-23</t>
        </is>
      </c>
      <c r="G1099" s="6" t="n">
        <v>-10</v>
      </c>
      <c r="H1099" s="6" t="n">
        <v>24.8</v>
      </c>
      <c r="I1099" s="7">
        <f>-H1099/G1099</f>
        <v/>
      </c>
      <c r="J1099" s="11" t="n"/>
      <c r="K1099" s="6" t="n"/>
      <c r="L1099" s="6" t="n"/>
      <c r="M1099" s="7">
        <f>IF(N1099=0,+L1099+H1099,0)</f>
        <v/>
      </c>
      <c r="N1099" s="7">
        <f>IF((+G1099-K1099)=0,0,+G1099-K1099)</f>
        <v/>
      </c>
      <c r="O1099" s="7">
        <f>IF(N1099=0,0,(L1099+H1099)/-N1099)</f>
        <v/>
      </c>
      <c r="P1099" s="7">
        <f>VLOOKUP(OPERAC[[#This Row],[especie]],[1]!ESPECIES[#All],6,0)</f>
        <v/>
      </c>
      <c r="Q1099" s="7">
        <f>IF(N1099&lt;&gt;0,P1099*N1099,0)</f>
        <v/>
      </c>
      <c r="R1099" s="8">
        <f>IF(Q1099&lt;&gt;0,Q1099+H1099+L1099,0)</f>
        <v/>
      </c>
      <c r="S1099" s="9">
        <f>VLOOKUP(OPERAC[[#This Row],[especie]],[1]!ESPECIES[#Data],9,FALSE)</f>
        <v/>
      </c>
    </row>
    <row r="1100">
      <c r="A1100" s="4" t="n">
        <v>3728</v>
      </c>
      <c r="B1100" s="5" t="n">
        <v>44431</v>
      </c>
      <c r="C1100" s="13" t="inlineStr">
        <is>
          <t>VTA</t>
        </is>
      </c>
      <c r="D1100" s="13" t="n">
        <v>39</v>
      </c>
      <c r="E1100" s="10">
        <f>IF(D1100&gt;0,VLOOKUP(OPERAC[[#This Row],[COD CART]],[1]!MatrizCortoLargoCyl[#All],3,0),"")</f>
        <v/>
      </c>
      <c r="F1100" s="13" t="inlineStr">
        <is>
          <t>GGAL/V/10,00/20-01-23</t>
        </is>
      </c>
      <c r="G1100" s="6" t="n">
        <v>-10</v>
      </c>
      <c r="H1100" s="6" t="n">
        <v>24.8</v>
      </c>
      <c r="I1100" s="7">
        <f>-H1100/G1100</f>
        <v/>
      </c>
      <c r="J1100" s="11" t="n"/>
      <c r="K1100" s="6" t="n"/>
      <c r="L1100" s="6" t="n"/>
      <c r="M1100" s="7">
        <f>IF(N1100=0,+L1100+H1100,0)</f>
        <v/>
      </c>
      <c r="N1100" s="7">
        <f>IF((+G1100-K1100)=0,0,+G1100-K1100)</f>
        <v/>
      </c>
      <c r="O1100" s="7">
        <f>IF(N1100=0,0,(L1100+H1100)/-N1100)</f>
        <v/>
      </c>
      <c r="P1100" s="7">
        <f>VLOOKUP(OPERAC[[#This Row],[especie]],[1]!ESPECIES[#All],6,0)</f>
        <v/>
      </c>
      <c r="Q1100" s="7">
        <f>IF(N1100&lt;&gt;0,P1100*N1100,0)</f>
        <v/>
      </c>
      <c r="R1100" s="8">
        <f>IF(Q1100&lt;&gt;0,Q1100+H1100+L1100,0)</f>
        <v/>
      </c>
      <c r="S1100" s="9">
        <f>VLOOKUP(OPERAC[[#This Row],[especie]],[1]!ESPECIES[#Data],9,FALSE)</f>
        <v/>
      </c>
    </row>
    <row r="1101">
      <c r="A1101" s="4" t="n">
        <v>12627</v>
      </c>
      <c r="B1101" s="5" t="n">
        <v>44431</v>
      </c>
      <c r="C1101" s="13" t="inlineStr">
        <is>
          <t>VTA</t>
        </is>
      </c>
      <c r="D1101" s="13" t="n">
        <v>39</v>
      </c>
      <c r="E1101" s="10">
        <f>IF(D1101&gt;0,VLOOKUP(OPERAC[[#This Row],[COD CART]],[1]!MatrizCortoLargoCyl[#All],3,0),"")</f>
        <v/>
      </c>
      <c r="F1101" s="13" t="inlineStr">
        <is>
          <t>GGAL/V/10,00/20-01-23</t>
        </is>
      </c>
      <c r="G1101" s="6" t="n">
        <v>-10</v>
      </c>
      <c r="H1101" s="6" t="n">
        <v>24.8</v>
      </c>
      <c r="I1101" s="7">
        <f>-H1101/G1101</f>
        <v/>
      </c>
      <c r="J1101" s="11" t="n"/>
      <c r="K1101" s="6" t="n"/>
      <c r="L1101" s="6" t="n"/>
      <c r="M1101" s="7">
        <f>IF(N1101=0,+L1101+H1101,0)</f>
        <v/>
      </c>
      <c r="N1101" s="7">
        <f>IF((+G1101-K1101)=0,0,+G1101-K1101)</f>
        <v/>
      </c>
      <c r="O1101" s="7">
        <f>IF(N1101=0,0,(L1101+H1101)/-N1101)</f>
        <v/>
      </c>
      <c r="P1101" s="7">
        <f>VLOOKUP(OPERAC[[#This Row],[especie]],[1]!ESPECIES[#All],6,0)</f>
        <v/>
      </c>
      <c r="Q1101" s="7">
        <f>IF(N1101&lt;&gt;0,P1101*N1101,0)</f>
        <v/>
      </c>
      <c r="R1101" s="8">
        <f>IF(Q1101&lt;&gt;0,Q1101+H1101+L1101,0)</f>
        <v/>
      </c>
      <c r="S1101" s="9">
        <f>VLOOKUP(OPERAC[[#This Row],[especie]],[1]!ESPECIES[#Data],9,FALSE)</f>
        <v/>
      </c>
    </row>
    <row r="1102">
      <c r="A1102" s="4" t="n">
        <v>13180</v>
      </c>
      <c r="B1102" s="5" t="n">
        <v>44431</v>
      </c>
      <c r="C1102" s="13" t="inlineStr">
        <is>
          <t>VTA</t>
        </is>
      </c>
      <c r="D1102" s="13" t="n">
        <v>39</v>
      </c>
      <c r="E1102" s="10">
        <f>IF(D1102&gt;0,VLOOKUP(OPERAC[[#This Row],[COD CART]],[1]!MatrizCortoLargoCyl[#All],3,0),"")</f>
        <v/>
      </c>
      <c r="F1102" s="13" t="inlineStr">
        <is>
          <t>GGAL/V/10,00/20-01-23</t>
        </is>
      </c>
      <c r="G1102" s="6" t="n">
        <v>-10</v>
      </c>
      <c r="H1102" s="6" t="n">
        <v>24.8</v>
      </c>
      <c r="I1102" s="7">
        <f>-H1102/G1102</f>
        <v/>
      </c>
      <c r="J1102" s="11" t="n"/>
      <c r="K1102" s="6" t="n"/>
      <c r="L1102" s="6" t="n"/>
      <c r="M1102" s="7">
        <f>IF(N1102=0,+L1102+H1102,0)</f>
        <v/>
      </c>
      <c r="N1102" s="7">
        <f>IF((+G1102-K1102)=0,0,+G1102-K1102)</f>
        <v/>
      </c>
      <c r="O1102" s="7">
        <f>IF(N1102=0,0,(L1102+H1102)/-N1102)</f>
        <v/>
      </c>
      <c r="P1102" s="7">
        <f>VLOOKUP(OPERAC[[#This Row],[especie]],[1]!ESPECIES[#All],6,0)</f>
        <v/>
      </c>
      <c r="Q1102" s="7">
        <f>IF(N1102&lt;&gt;0,P1102*N1102,0)</f>
        <v/>
      </c>
      <c r="R1102" s="8">
        <f>IF(Q1102&lt;&gt;0,Q1102+H1102+L1102,0)</f>
        <v/>
      </c>
      <c r="S1102" s="9">
        <f>VLOOKUP(OPERAC[[#This Row],[especie]],[1]!ESPECIES[#Data],9,FALSE)</f>
        <v/>
      </c>
    </row>
    <row r="1103">
      <c r="A1103" s="4" t="n">
        <v>16783</v>
      </c>
      <c r="B1103" s="5" t="n">
        <v>44431</v>
      </c>
      <c r="C1103" s="13" t="inlineStr">
        <is>
          <t>VTA</t>
        </is>
      </c>
      <c r="D1103" s="13" t="n">
        <v>39</v>
      </c>
      <c r="E1103" s="10">
        <f>IF(D1103&gt;0,VLOOKUP(OPERAC[[#This Row],[COD CART]],[1]!MatrizCortoLargoCyl[#All],3,0),"")</f>
        <v/>
      </c>
      <c r="F1103" s="13" t="inlineStr">
        <is>
          <t>GGAL/V/10,00/20-01-23</t>
        </is>
      </c>
      <c r="G1103" s="6" t="n">
        <v>-10</v>
      </c>
      <c r="H1103" s="6" t="n">
        <v>24.8</v>
      </c>
      <c r="I1103" s="7">
        <f>-H1103/G1103</f>
        <v/>
      </c>
      <c r="J1103" s="11" t="n"/>
      <c r="K1103" s="6" t="n"/>
      <c r="L1103" s="6" t="n"/>
      <c r="M1103" s="7">
        <f>IF(N1103=0,+L1103+H1103,0)</f>
        <v/>
      </c>
      <c r="N1103" s="7">
        <f>IF((+G1103-K1103)=0,0,+G1103-K1103)</f>
        <v/>
      </c>
      <c r="O1103" s="7">
        <f>IF(N1103=0,0,(L1103+H1103)/-N1103)</f>
        <v/>
      </c>
      <c r="P1103" s="7">
        <f>VLOOKUP(OPERAC[[#This Row],[especie]],[1]!ESPECIES[#All],6,0)</f>
        <v/>
      </c>
      <c r="Q1103" s="7">
        <f>IF(N1103&lt;&gt;0,P1103*N1103,0)</f>
        <v/>
      </c>
      <c r="R1103" s="8">
        <f>IF(Q1103&lt;&gt;0,Q1103+H1103+L1103,0)</f>
        <v/>
      </c>
      <c r="S1103" s="9">
        <f>VLOOKUP(OPERAC[[#This Row],[especie]],[1]!ESPECIES[#Data],9,FALSE)</f>
        <v/>
      </c>
    </row>
    <row r="1104">
      <c r="A1104" s="4" t="n">
        <v>13188</v>
      </c>
      <c r="B1104" s="5" t="n">
        <v>44531</v>
      </c>
      <c r="C1104" s="13" t="inlineStr">
        <is>
          <t>VTA</t>
        </is>
      </c>
      <c r="D1104" s="13" t="n">
        <v>39</v>
      </c>
      <c r="E1104" s="10">
        <f>IF(D1104&gt;0,VLOOKUP(OPERAC[[#This Row],[COD CART]],[1]!MatrizCortoLargoCyl[#All],3,0),"")</f>
        <v/>
      </c>
      <c r="F1104" s="13" t="inlineStr">
        <is>
          <t>V/V/145,00/16-09-22</t>
        </is>
      </c>
      <c r="G1104" s="6" t="n">
        <v>-5</v>
      </c>
      <c r="H1104" s="6" t="n">
        <v>24.7815</v>
      </c>
      <c r="I1104" s="7">
        <f>-H1104/G1104</f>
        <v/>
      </c>
      <c r="J1104" s="11" t="n">
        <v>44677</v>
      </c>
      <c r="K1104" s="6" t="n">
        <v>-5</v>
      </c>
      <c r="L1104" s="6" t="n">
        <v>-13.36263</v>
      </c>
      <c r="M1104" s="7">
        <f>IF(N1104=0,+L1104+H1104,0)</f>
        <v/>
      </c>
      <c r="N1104" s="7">
        <f>IF((+G1104-K1104)=0,0,+G1104-K1104)</f>
        <v/>
      </c>
      <c r="O1104" s="7">
        <f>IF(N1104=0,0,(L1104+H1104)/-N1104)</f>
        <v/>
      </c>
      <c r="P1104" s="7">
        <f>VLOOKUP(OPERAC[[#This Row],[especie]],[1]!ESPECIES[#All],6,0)</f>
        <v/>
      </c>
      <c r="Q1104" s="7">
        <f>IF(N1104&lt;&gt;0,P1104*N1104,0)</f>
        <v/>
      </c>
      <c r="R1104" s="8">
        <f>IF(Q1104&lt;&gt;0,Q1104+H1104+L1104,0)</f>
        <v/>
      </c>
      <c r="S1104" s="9">
        <f>VLOOKUP(OPERAC[[#This Row],[especie]],[1]!ESPECIES[#Data],9,FALSE)</f>
        <v/>
      </c>
    </row>
    <row r="1105">
      <c r="A1105" s="4" t="n">
        <v>2218</v>
      </c>
      <c r="B1105" s="5" t="n">
        <v>44676</v>
      </c>
      <c r="C1105" s="13" t="inlineStr">
        <is>
          <t>VTA</t>
        </is>
      </c>
      <c r="D1105" s="13" t="n">
        <v>39</v>
      </c>
      <c r="E1105" s="10">
        <f>IF(D1105&gt;0,VLOOKUP(OPERAC[[#This Row],[COD CART]],[1]!MatrizCortoLargoCyl[#All],3,0),"")</f>
        <v/>
      </c>
      <c r="F1105" s="13" t="inlineStr">
        <is>
          <t>NFLX/V/150,00/20-01-23</t>
        </is>
      </c>
      <c r="G1105" s="6" t="n">
        <v>-2</v>
      </c>
      <c r="H1105" s="6" t="n">
        <v>24.77</v>
      </c>
      <c r="I1105" s="7">
        <f>-H1105/G1105</f>
        <v/>
      </c>
      <c r="J1105" s="11" t="n">
        <v>44718</v>
      </c>
      <c r="K1105" s="6" t="n">
        <v>-2</v>
      </c>
      <c r="L1105" s="6" t="n">
        <v>-26.026</v>
      </c>
      <c r="M1105" s="7">
        <f>IF(N1105=0,+L1105+H1105,0)</f>
        <v/>
      </c>
      <c r="N1105" s="7">
        <f>IF((+G1105-K1105)=0,0,+G1105-K1105)</f>
        <v/>
      </c>
      <c r="O1105" s="7">
        <f>IF(N1105=0,0,(L1105+H1105)/-N1105)</f>
        <v/>
      </c>
      <c r="P1105" s="7">
        <f>VLOOKUP(OPERAC[[#This Row],[especie]],[1]!ESPECIES[#All],6,0)</f>
        <v/>
      </c>
      <c r="Q1105" s="7">
        <f>IF(N1105&lt;&gt;0,P1105*N1105,0)</f>
        <v/>
      </c>
      <c r="R1105" s="8">
        <f>IF(Q1105&lt;&gt;0,Q1105+H1105+L1105,0)</f>
        <v/>
      </c>
      <c r="S1105" s="9">
        <f>VLOOKUP(OPERAC[[#This Row],[especie]],[1]!ESPECIES[#Data],9,FALSE)</f>
        <v/>
      </c>
    </row>
    <row r="1106">
      <c r="A1106" s="4" t="n">
        <v>26138</v>
      </c>
      <c r="B1106" s="5" t="n">
        <v>44432</v>
      </c>
      <c r="C1106" s="13" t="inlineStr">
        <is>
          <t>VTA</t>
        </is>
      </c>
      <c r="D1106" s="13" t="n">
        <v>39</v>
      </c>
      <c r="E1106" s="10">
        <f>IF(D1106&gt;0,VLOOKUP(OPERAC[[#This Row],[COD CART]],[1]!MatrizCortoLargoCyl[#All],3,0),"")</f>
        <v/>
      </c>
      <c r="F1106" s="13" t="inlineStr">
        <is>
          <t>EDU/V/20,00/20-01-23</t>
        </is>
      </c>
      <c r="G1106" s="6" t="n">
        <v>-30</v>
      </c>
      <c r="H1106" s="6" t="n">
        <v>24.19</v>
      </c>
      <c r="I1106" s="7">
        <f>-H1106/G1106</f>
        <v/>
      </c>
      <c r="J1106" s="11" t="n"/>
      <c r="K1106" s="6" t="n"/>
      <c r="L1106" s="6" t="n"/>
      <c r="M1106" s="7">
        <f>IF(N1106=0,+L1106+H1106,0)</f>
        <v/>
      </c>
      <c r="N1106" s="7">
        <f>IF((+G1106-K1106)=0,0,+G1106-K1106)</f>
        <v/>
      </c>
      <c r="O1106" s="7">
        <f>IF(N1106=0,0,(L1106+H1106)/-N1106)</f>
        <v/>
      </c>
      <c r="P1106" s="7">
        <f>VLOOKUP(OPERAC[[#This Row],[especie]],[1]!ESPECIES[#All],6,0)</f>
        <v/>
      </c>
      <c r="Q1106" s="7">
        <f>IF(N1106&lt;&gt;0,P1106*N1106,0)</f>
        <v/>
      </c>
      <c r="R1106" s="8">
        <f>IF(Q1106&lt;&gt;0,Q1106+H1106+L1106,0)</f>
        <v/>
      </c>
      <c r="S1106" s="9">
        <f>VLOOKUP(OPERAC[[#This Row],[especie]],[1]!ESPECIES[#Data],9,FALSE)</f>
        <v/>
      </c>
    </row>
    <row r="1107">
      <c r="A1107" s="4" t="n">
        <v>16786</v>
      </c>
      <c r="B1107" s="5" t="n">
        <v>44644</v>
      </c>
      <c r="C1107" s="13" t="inlineStr">
        <is>
          <t>VTA</t>
        </is>
      </c>
      <c r="D1107" s="13" t="n">
        <v>39</v>
      </c>
      <c r="E1107" s="10">
        <f>IF(D1107&gt;0,VLOOKUP(OPERAC[[#This Row],[COD CART]],[1]!MatrizCortoLargoCyl[#All],3,0),"")</f>
        <v/>
      </c>
      <c r="F1107" s="13" t="inlineStr">
        <is>
          <t>TSLA/V/620,00/20-05-22</t>
        </is>
      </c>
      <c r="G1107" s="6" t="n">
        <v>-5</v>
      </c>
      <c r="H1107" s="6" t="n">
        <v>23.8</v>
      </c>
      <c r="I1107" s="7">
        <f>-H1107/G1107</f>
        <v/>
      </c>
      <c r="J1107" s="11" t="n">
        <v>44672</v>
      </c>
      <c r="K1107" s="6" t="n">
        <v>-5</v>
      </c>
      <c r="L1107" s="6" t="n">
        <v>-4.28613</v>
      </c>
      <c r="M1107" s="7">
        <f>IF(N1107=0,+L1107+H1107,0)</f>
        <v/>
      </c>
      <c r="N1107" s="7">
        <f>IF((+G1107-K1107)=0,0,+G1107-K1107)</f>
        <v/>
      </c>
      <c r="O1107" s="7">
        <f>IF(N1107=0,0,(L1107+H1107)/-N1107)</f>
        <v/>
      </c>
      <c r="P1107" s="7">
        <f>VLOOKUP(OPERAC[[#This Row],[especie]],[1]!ESPECIES[#All],6,0)</f>
        <v/>
      </c>
      <c r="Q1107" s="7">
        <f>IF(N1107&lt;&gt;0,P1107*N1107,0)</f>
        <v/>
      </c>
      <c r="R1107" s="8">
        <f>IF(Q1107&lt;&gt;0,Q1107+H1107+L1107,0)</f>
        <v/>
      </c>
      <c r="S1107" s="9">
        <f>VLOOKUP(OPERAC[[#This Row],[especie]],[1]!ESPECIES[#Data],9,FALSE)</f>
        <v/>
      </c>
    </row>
    <row r="1108">
      <c r="A1108" s="4" t="n">
        <v>19932</v>
      </c>
      <c r="B1108" s="5" t="n">
        <v>44601</v>
      </c>
      <c r="C1108" s="13" t="inlineStr">
        <is>
          <t>VTA</t>
        </is>
      </c>
      <c r="D1108" s="13" t="n">
        <v>39</v>
      </c>
      <c r="E1108" s="10">
        <f>IF(D1108&gt;0,VLOOKUP(OPERAC[[#This Row],[COD CART]],[1]!MatrizCortoLargoCyl[#All],3,0),"")</f>
        <v/>
      </c>
      <c r="F1108" s="13" t="inlineStr">
        <is>
          <t>ACB/V/5,00/16-09-22</t>
        </is>
      </c>
      <c r="G1108" s="6" t="n">
        <v>-15</v>
      </c>
      <c r="H1108" s="6">
        <f>-1.56*OPERAC[[#This Row],[cantidad]]</f>
        <v/>
      </c>
      <c r="I1108" s="7">
        <f>-H1108/G1108</f>
        <v/>
      </c>
      <c r="J1108" s="11" t="n">
        <v>44629</v>
      </c>
      <c r="K1108" s="6" t="n">
        <v>-15</v>
      </c>
      <c r="L1108" s="6" t="n">
        <v>-31.49</v>
      </c>
      <c r="M1108" s="7">
        <f>IF(N1108=0,+L1108+H1108,0)</f>
        <v/>
      </c>
      <c r="N1108" s="7">
        <f>IF((+G1108-K1108)=0,0,+G1108-K1108)</f>
        <v/>
      </c>
      <c r="O1108" s="7">
        <f>IF(N1108=0,0,(L1108+H1108)/-N1108)</f>
        <v/>
      </c>
      <c r="P1108" s="7">
        <f>VLOOKUP(OPERAC[[#This Row],[especie]],[1]!ESPECIES[#All],6,0)</f>
        <v/>
      </c>
      <c r="Q1108" s="7">
        <f>IF(N1108&lt;&gt;0,P1108*N1108,0)</f>
        <v/>
      </c>
      <c r="R1108" s="8">
        <f>IF(Q1108&lt;&gt;0,Q1108+H1108+L1108,0)</f>
        <v/>
      </c>
      <c r="S1108" s="9">
        <f>VLOOKUP(OPERAC[[#This Row],[especie]],[1]!ESPECIES[#Data],9,FALSE)</f>
        <v/>
      </c>
    </row>
    <row r="1109">
      <c r="A1109" s="4" t="n">
        <v>3728</v>
      </c>
      <c r="B1109" s="5" t="n">
        <v>44629</v>
      </c>
      <c r="C1109" s="13" t="inlineStr">
        <is>
          <t>VTA</t>
        </is>
      </c>
      <c r="D1109" s="13" t="n">
        <v>39</v>
      </c>
      <c r="E1109" s="10">
        <f>IF(D1109&gt;0,VLOOKUP(OPERAC[[#This Row],[COD CART]],[1]!MatrizCortoLargoCyl[#All],3,0),"")</f>
        <v/>
      </c>
      <c r="F1109" s="13" t="inlineStr">
        <is>
          <t>ROKU/V/105,00/18-03-22</t>
        </is>
      </c>
      <c r="G1109" s="6" t="n">
        <v>-10</v>
      </c>
      <c r="H1109" s="6" t="n">
        <v>23.2717</v>
      </c>
      <c r="I1109" s="7">
        <f>-H1109/G1109</f>
        <v/>
      </c>
      <c r="J1109" s="11" t="n">
        <v>44636</v>
      </c>
      <c r="K1109" s="6" t="n">
        <v>-10</v>
      </c>
      <c r="L1109" s="6" t="n">
        <v>-15.08</v>
      </c>
      <c r="M1109" s="7">
        <f>IF(N1109=0,+L1109+H1109,0)</f>
        <v/>
      </c>
      <c r="N1109" s="7">
        <f>IF((+G1109-K1109)=0,0,+G1109-K1109)</f>
        <v/>
      </c>
      <c r="O1109" s="7">
        <f>IF(N1109=0,0,(L1109+H1109)/-N1109)</f>
        <v/>
      </c>
      <c r="P1109" s="7">
        <f>VLOOKUP(OPERAC[[#This Row],[especie]],[1]!ESPECIES[#All],6,0)</f>
        <v/>
      </c>
      <c r="Q1109" s="7">
        <f>IF(N1109&lt;&gt;0,P1109*N1109,0)</f>
        <v/>
      </c>
      <c r="R1109" s="8">
        <f>IF(Q1109&lt;&gt;0,Q1109+H1109+L1109,0)</f>
        <v/>
      </c>
      <c r="S1109" s="9">
        <f>VLOOKUP(OPERAC[[#This Row],[especie]],[1]!ESPECIES[#Data],9,FALSE)</f>
        <v/>
      </c>
    </row>
    <row r="1110">
      <c r="A1110" s="4" t="n">
        <v>13246</v>
      </c>
      <c r="B1110" s="5" t="n">
        <v>44600</v>
      </c>
      <c r="C1110" s="13" t="inlineStr">
        <is>
          <t>VTA</t>
        </is>
      </c>
      <c r="D1110" s="13" t="n">
        <v>39</v>
      </c>
      <c r="E1110" s="10">
        <f>IF(D1110&gt;0,VLOOKUP(OPERAC[[#This Row],[COD CART]],[1]!MatrizCortoLargoCyl[#All],3,0),"")</f>
        <v/>
      </c>
      <c r="F1110" s="13" t="inlineStr">
        <is>
          <t>DDD/V/12,00/20-01-23</t>
        </is>
      </c>
      <c r="G1110" s="6" t="n">
        <v>-15</v>
      </c>
      <c r="H1110" s="6">
        <f>-1.55*OPERAC[[#This Row],[cantidad]]</f>
        <v/>
      </c>
      <c r="I1110" s="7">
        <f>-H1110/G1110</f>
        <v/>
      </c>
      <c r="J1110" s="11" t="n"/>
      <c r="K1110" s="6" t="n"/>
      <c r="L1110" s="6" t="n"/>
      <c r="M1110" s="7">
        <f>IF(N1110=0,+L1110+H1110,0)</f>
        <v/>
      </c>
      <c r="N1110" s="7">
        <f>IF((+G1110-K1110)=0,0,+G1110-K1110)</f>
        <v/>
      </c>
      <c r="O1110" s="7">
        <f>IF(N1110=0,0,(L1110+H1110)/-N1110)</f>
        <v/>
      </c>
      <c r="P1110" s="7">
        <f>VLOOKUP(OPERAC[[#This Row],[especie]],[1]!ESPECIES[#All],6,0)</f>
        <v/>
      </c>
      <c r="Q1110" s="7">
        <f>IF(N1110&lt;&gt;0,P1110*N1110,0)</f>
        <v/>
      </c>
      <c r="R1110" s="8">
        <f>IF(Q1110&lt;&gt;0,Q1110+H1110+L1110,0)</f>
        <v/>
      </c>
      <c r="S1110" s="9">
        <f>VLOOKUP(OPERAC[[#This Row],[especie]],[1]!ESPECIES[#Data],9,FALSE)</f>
        <v/>
      </c>
    </row>
    <row r="1111">
      <c r="A1111" s="4" t="n">
        <v>3728</v>
      </c>
      <c r="B1111" s="5" t="n">
        <v>44475</v>
      </c>
      <c r="C1111" s="13" t="inlineStr">
        <is>
          <t>VTA</t>
        </is>
      </c>
      <c r="D1111" s="13" t="n">
        <v>39</v>
      </c>
      <c r="E1111" s="10">
        <f>IF(D1111&gt;0,VLOOKUP(OPERAC[[#This Row],[COD CART]],[1]!MatrizCortoLargoCyl[#All],3,0),"")</f>
        <v/>
      </c>
      <c r="F1111" s="13" t="inlineStr">
        <is>
          <t>TLRY/V/8,00/19-01-24</t>
        </is>
      </c>
      <c r="G1111" s="6" t="n">
        <v>-8</v>
      </c>
      <c r="H1111" s="6" t="n">
        <v>23.14</v>
      </c>
      <c r="I1111" s="7">
        <f>-H1111/G1111</f>
        <v/>
      </c>
      <c r="J1111" s="11" t="n">
        <v>44637</v>
      </c>
      <c r="K1111" s="6" t="n">
        <v>-8</v>
      </c>
      <c r="L1111" s="6" t="n">
        <v>-35</v>
      </c>
      <c r="M1111" s="7">
        <f>IF(N1111=0,+L1111+H1111,0)</f>
        <v/>
      </c>
      <c r="N1111" s="7">
        <f>IF((+G1111-K1111)=0,0,+G1111-K1111)</f>
        <v/>
      </c>
      <c r="O1111" s="7">
        <f>IF(N1111=0,0,(L1111+H1111)/-N1111)</f>
        <v/>
      </c>
      <c r="P1111" s="7">
        <f>VLOOKUP(OPERAC[[#This Row],[especie]],[1]!ESPECIES[#All],6,0)</f>
        <v/>
      </c>
      <c r="Q1111" s="7">
        <f>IF(N1111&lt;&gt;0,P1111*N1111,0)</f>
        <v/>
      </c>
      <c r="R1111" s="8">
        <f>IF(Q1111&lt;&gt;0,Q1111+H1111+L1111,0)</f>
        <v/>
      </c>
      <c r="S1111" s="9">
        <f>VLOOKUP(OPERAC[[#This Row],[especie]],[1]!ESPECIES[#Data],9,FALSE)</f>
        <v/>
      </c>
    </row>
    <row r="1112">
      <c r="A1112" s="4" t="n">
        <v>16783</v>
      </c>
      <c r="B1112" s="5" t="n">
        <v>44341</v>
      </c>
      <c r="C1112" s="13" t="inlineStr">
        <is>
          <t>VTA</t>
        </is>
      </c>
      <c r="D1112" s="13" t="n">
        <v>39</v>
      </c>
      <c r="E1112" s="10">
        <f>IF(D1112&gt;0,VLOOKUP(OPERAC[[#This Row],[COD CART]],[1]!MatrizCortoLargoCyl[#All],3,0),"")</f>
        <v/>
      </c>
      <c r="F1112" s="13" t="inlineStr">
        <is>
          <t>ACB/V/5,00/20-01-23</t>
        </is>
      </c>
      <c r="G1112" s="6" t="n">
        <v>-15</v>
      </c>
      <c r="H1112" s="6" t="n">
        <v>22.5</v>
      </c>
      <c r="I1112" s="7">
        <f>-H1112/G1112</f>
        <v/>
      </c>
      <c r="J1112" s="11" t="n"/>
      <c r="K1112" s="6" t="n"/>
      <c r="L1112" s="6" t="n"/>
      <c r="M1112" s="7">
        <f>IF(N1112=0,+L1112+H1112,0)</f>
        <v/>
      </c>
      <c r="N1112" s="7">
        <f>IF((+G1112-K1112)=0,0,+G1112-K1112)</f>
        <v/>
      </c>
      <c r="O1112" s="7">
        <f>IF(N1112=0,0,(L1112+H1112)/-N1112)</f>
        <v/>
      </c>
      <c r="P1112" s="7">
        <f>VLOOKUP(OPERAC[[#This Row],[especie]],[1]!ESPECIES[#All],6,0)</f>
        <v/>
      </c>
      <c r="Q1112" s="7">
        <f>IF(N1112&lt;&gt;0,P1112*N1112,0)</f>
        <v/>
      </c>
      <c r="R1112" s="8">
        <f>IF(Q1112&lt;&gt;0,Q1112+H1112+L1112,0)</f>
        <v/>
      </c>
      <c r="S1112" s="9">
        <f>VLOOKUP(OPERAC[[#This Row],[especie]],[1]!ESPECIES[#Data],9,FALSE)</f>
        <v/>
      </c>
    </row>
    <row r="1113">
      <c r="A1113" s="4" t="n">
        <v>18651</v>
      </c>
      <c r="B1113" s="5" t="n">
        <v>44341</v>
      </c>
      <c r="C1113" s="13" t="inlineStr">
        <is>
          <t>VTA</t>
        </is>
      </c>
      <c r="D1113" s="13" t="n">
        <v>39</v>
      </c>
      <c r="E1113" s="10">
        <f>IF(D1113&gt;0,VLOOKUP(OPERAC[[#This Row],[COD CART]],[1]!MatrizCortoLargoCyl[#All],3,0),"")</f>
        <v/>
      </c>
      <c r="F1113" s="13" t="inlineStr">
        <is>
          <t>ACB/V/5,00/20-01-23</t>
        </is>
      </c>
      <c r="G1113" s="6" t="n">
        <v>-15</v>
      </c>
      <c r="H1113" s="6" t="n">
        <v>22.5</v>
      </c>
      <c r="I1113" s="7">
        <f>-H1113/G1113</f>
        <v/>
      </c>
      <c r="J1113" s="11" t="n">
        <v>44617</v>
      </c>
      <c r="K1113" s="6" t="n">
        <v>-10</v>
      </c>
      <c r="L1113" s="6" t="n">
        <v>-21.59</v>
      </c>
      <c r="M1113" s="7">
        <f>IF(N1113=0,+L1113+H1113,0)</f>
        <v/>
      </c>
      <c r="N1113" s="7">
        <f>IF((+G1113-K1113)=0,0,+G1113-K1113)</f>
        <v/>
      </c>
      <c r="O1113" s="7">
        <f>IF(N1113=0,0,(L1113+H1113)/-N1113)</f>
        <v/>
      </c>
      <c r="P1113" s="7">
        <f>VLOOKUP(OPERAC[[#This Row],[especie]],[1]!ESPECIES[#All],6,0)</f>
        <v/>
      </c>
      <c r="Q1113" s="7">
        <f>IF(N1113&lt;&gt;0,P1113*N1113,0)</f>
        <v/>
      </c>
      <c r="R1113" s="8">
        <f>IF(Q1113&lt;&gt;0,Q1113+H1113+L1113,0)</f>
        <v/>
      </c>
      <c r="S1113" s="9">
        <f>VLOOKUP(OPERAC[[#This Row],[especie]],[1]!ESPECIES[#Data],9,FALSE)</f>
        <v/>
      </c>
    </row>
    <row r="1114">
      <c r="A1114" s="4" t="n">
        <v>1800</v>
      </c>
      <c r="B1114" s="5" t="n">
        <v>44622</v>
      </c>
      <c r="C1114" s="13" t="inlineStr">
        <is>
          <t>VTA</t>
        </is>
      </c>
      <c r="D1114" s="13" t="n">
        <v>39</v>
      </c>
      <c r="E1114" s="10">
        <f>IF(D1114&gt;0,VLOOKUP(OPERAC[[#This Row],[COD CART]],[1]!MatrizCortoLargoCyl[#All],3,0),"")</f>
        <v/>
      </c>
      <c r="F1114" s="13" t="inlineStr">
        <is>
          <t>TSLA/V/400,00/20-01-23</t>
        </is>
      </c>
      <c r="G1114" s="6" t="n">
        <v>-1</v>
      </c>
      <c r="H1114" s="6" t="n">
        <v>22.06</v>
      </c>
      <c r="I1114" s="7">
        <f>-H1114/G1114</f>
        <v/>
      </c>
      <c r="J1114" s="11" t="n"/>
      <c r="K1114" s="6" t="n"/>
      <c r="L1114" s="6" t="n"/>
      <c r="M1114" s="7">
        <f>IF(N1114=0,+L1114+H1114,0)</f>
        <v/>
      </c>
      <c r="N1114" s="7">
        <f>IF((+G1114-K1114)=0,0,+G1114-K1114)</f>
        <v/>
      </c>
      <c r="O1114" s="7">
        <f>IF(N1114=0,0,(L1114+H1114)/-N1114)</f>
        <v/>
      </c>
      <c r="P1114" s="7">
        <f>VLOOKUP(OPERAC[[#This Row],[especie]],[1]!ESPECIES[#All],6,0)</f>
        <v/>
      </c>
      <c r="Q1114" s="7">
        <f>IF(N1114&lt;&gt;0,P1114*N1114,0)</f>
        <v/>
      </c>
      <c r="R1114" s="8">
        <f>IF(Q1114&lt;&gt;0,Q1114+H1114+L1114,0)</f>
        <v/>
      </c>
      <c r="S1114" s="9">
        <f>VLOOKUP(OPERAC[[#This Row],[especie]],[1]!ESPECIES[#Data],9,FALSE)</f>
        <v/>
      </c>
    </row>
    <row r="1115">
      <c r="A1115" s="4" t="n">
        <v>4543</v>
      </c>
      <c r="B1115" s="5" t="n">
        <v>44622</v>
      </c>
      <c r="C1115" s="13" t="inlineStr">
        <is>
          <t>VTA</t>
        </is>
      </c>
      <c r="D1115" s="13" t="n">
        <v>39</v>
      </c>
      <c r="E1115" s="10">
        <f>IF(D1115&gt;0,VLOOKUP(OPERAC[[#This Row],[COD CART]],[1]!MatrizCortoLargoCyl[#All],3,0),"")</f>
        <v/>
      </c>
      <c r="F1115" s="13" t="inlineStr">
        <is>
          <t>TSLA/V/400,00/20-01-23</t>
        </is>
      </c>
      <c r="G1115" s="6" t="n">
        <v>-1</v>
      </c>
      <c r="H1115" s="6" t="n">
        <v>22.06</v>
      </c>
      <c r="I1115" s="7">
        <f>-H1115/G1115</f>
        <v/>
      </c>
      <c r="J1115" s="11" t="n"/>
      <c r="K1115" s="6" t="n"/>
      <c r="L1115" s="6" t="n"/>
      <c r="M1115" s="7">
        <f>IF(N1115=0,+L1115+H1115,0)</f>
        <v/>
      </c>
      <c r="N1115" s="7">
        <f>IF((+G1115-K1115)=0,0,+G1115-K1115)</f>
        <v/>
      </c>
      <c r="O1115" s="7">
        <f>IF(N1115=0,0,(L1115+H1115)/-N1115)</f>
        <v/>
      </c>
      <c r="P1115" s="7">
        <f>VLOOKUP(OPERAC[[#This Row],[especie]],[1]!ESPECIES[#All],6,0)</f>
        <v/>
      </c>
      <c r="Q1115" s="7">
        <f>IF(N1115&lt;&gt;0,P1115*N1115,0)</f>
        <v/>
      </c>
      <c r="R1115" s="8">
        <f>IF(Q1115&lt;&gt;0,Q1115+H1115+L1115,0)</f>
        <v/>
      </c>
      <c r="S1115" s="9">
        <f>VLOOKUP(OPERAC[[#This Row],[especie]],[1]!ESPECIES[#Data],9,FALSE)</f>
        <v/>
      </c>
    </row>
    <row r="1116">
      <c r="A1116" s="4" t="n">
        <v>3728</v>
      </c>
      <c r="B1116" s="5" t="n">
        <v>44265</v>
      </c>
      <c r="C1116" s="13" t="inlineStr">
        <is>
          <t>VTA</t>
        </is>
      </c>
      <c r="D1116" s="13" t="n">
        <v>39</v>
      </c>
      <c r="E1116" s="10">
        <f>IF(D1116&gt;0,VLOOKUP(OPERAC[[#This Row],[COD CART]],[1]!MatrizCortoLargoCyl[#All],3,0),"")</f>
        <v/>
      </c>
      <c r="F1116" s="13" t="inlineStr">
        <is>
          <t>ACB/V/4,00/20-01-23</t>
        </is>
      </c>
      <c r="G1116" s="6" t="n">
        <v>-20</v>
      </c>
      <c r="H1116" s="6" t="n">
        <v>22</v>
      </c>
      <c r="I1116" s="7">
        <f>-H1116/G1116</f>
        <v/>
      </c>
      <c r="J1116" s="11" t="n"/>
      <c r="K1116" s="6" t="n"/>
      <c r="L1116" s="6" t="n"/>
      <c r="M1116" s="7">
        <f>IF(N1116=0,+L1116+H1116,0)</f>
        <v/>
      </c>
      <c r="N1116" s="7">
        <f>IF((+G1116-K1116)=0,0,+G1116-K1116)</f>
        <v/>
      </c>
      <c r="O1116" s="7">
        <f>IF(N1116=0,0,(L1116+H1116)/-N1116)</f>
        <v/>
      </c>
      <c r="P1116" s="7">
        <f>VLOOKUP(OPERAC[[#This Row],[especie]],[1]!ESPECIES[#All],6,0)</f>
        <v/>
      </c>
      <c r="Q1116" s="7">
        <f>IF(N1116&lt;&gt;0,P1116*N1116,0)</f>
        <v/>
      </c>
      <c r="R1116" s="8">
        <f>IF(Q1116&lt;&gt;0,Q1116+H1116+L1116,0)</f>
        <v/>
      </c>
      <c r="S1116" s="9">
        <f>VLOOKUP(OPERAC[[#This Row],[especie]],[1]!ESPECIES[#Data],9,FALSE)</f>
        <v/>
      </c>
    </row>
    <row r="1117">
      <c r="A1117" s="4" t="n">
        <v>12627</v>
      </c>
      <c r="B1117" s="5" t="n">
        <v>44616</v>
      </c>
      <c r="C1117" s="13" t="inlineStr">
        <is>
          <t>VTA</t>
        </is>
      </c>
      <c r="D1117" s="13" t="n">
        <v>39</v>
      </c>
      <c r="E1117" s="10">
        <f>IF(D1117&gt;0,VLOOKUP(OPERAC[[#This Row],[COD CART]],[1]!MatrizCortoLargoCyl[#All],3,0),"")</f>
        <v/>
      </c>
      <c r="F1117" s="13" t="inlineStr">
        <is>
          <t>SPWR/V/10,00/19-01-24</t>
        </is>
      </c>
      <c r="G1117" s="6" t="n">
        <v>-10</v>
      </c>
      <c r="H1117" s="6" t="n">
        <v>21.78</v>
      </c>
      <c r="I1117" s="7">
        <f>-H1117/G1117</f>
        <v/>
      </c>
      <c r="J1117" s="11" t="n"/>
      <c r="K1117" s="6" t="n"/>
      <c r="L1117" s="6" t="n"/>
      <c r="M1117" s="7">
        <f>IF(N1117=0,+L1117+H1117,0)</f>
        <v/>
      </c>
      <c r="N1117" s="7">
        <f>IF((+G1117-K1117)=0,0,+G1117-K1117)</f>
        <v/>
      </c>
      <c r="O1117" s="7">
        <f>IF(N1117=0,0,(L1117+H1117)/-N1117)</f>
        <v/>
      </c>
      <c r="P1117" s="7">
        <f>VLOOKUP(OPERAC[[#This Row],[especie]],[1]!ESPECIES[#All],6,0)</f>
        <v/>
      </c>
      <c r="Q1117" s="7">
        <f>IF(N1117&lt;&gt;0,P1117*N1117,0)</f>
        <v/>
      </c>
      <c r="R1117" s="8">
        <f>IF(Q1117&lt;&gt;0,Q1117+H1117+L1117,0)</f>
        <v/>
      </c>
      <c r="S1117" s="9">
        <f>VLOOKUP(OPERAC[[#This Row],[especie]],[1]!ESPECIES[#Data],9,FALSE)</f>
        <v/>
      </c>
    </row>
    <row r="1118">
      <c r="A1118" s="4" t="n">
        <v>16795</v>
      </c>
      <c r="B1118" s="5" t="n">
        <v>44616</v>
      </c>
      <c r="C1118" s="13" t="inlineStr">
        <is>
          <t>VTA</t>
        </is>
      </c>
      <c r="D1118" s="13" t="n">
        <v>39</v>
      </c>
      <c r="E1118" s="10">
        <f>IF(D1118&gt;0,VLOOKUP(OPERAC[[#This Row],[COD CART]],[1]!MatrizCortoLargoCyl[#All],3,0),"")</f>
        <v/>
      </c>
      <c r="F1118" s="13" t="inlineStr">
        <is>
          <t>SPWR/V/10,00/19-01-24</t>
        </is>
      </c>
      <c r="G1118" s="6" t="n">
        <v>-10</v>
      </c>
      <c r="H1118" s="6" t="n">
        <v>21.78</v>
      </c>
      <c r="I1118" s="7">
        <f>-H1118/G1118</f>
        <v/>
      </c>
      <c r="J1118" s="11" t="n"/>
      <c r="K1118" s="6" t="n"/>
      <c r="L1118" s="6" t="n"/>
      <c r="M1118" s="7">
        <f>IF(N1118=0,+L1118+H1118,0)</f>
        <v/>
      </c>
      <c r="N1118" s="7">
        <f>IF((+G1118-K1118)=0,0,+G1118-K1118)</f>
        <v/>
      </c>
      <c r="O1118" s="7">
        <f>IF(N1118=0,0,(L1118+H1118)/-N1118)</f>
        <v/>
      </c>
      <c r="P1118" s="7">
        <f>VLOOKUP(OPERAC[[#This Row],[especie]],[1]!ESPECIES[#All],6,0)</f>
        <v/>
      </c>
      <c r="Q1118" s="7">
        <f>IF(N1118&lt;&gt;0,P1118*N1118,0)</f>
        <v/>
      </c>
      <c r="R1118" s="8">
        <f>IF(Q1118&lt;&gt;0,Q1118+H1118+L1118,0)</f>
        <v/>
      </c>
      <c r="S1118" s="9">
        <f>VLOOKUP(OPERAC[[#This Row],[especie]],[1]!ESPECIES[#Data],9,FALSE)</f>
        <v/>
      </c>
    </row>
    <row r="1119">
      <c r="A1119" s="4" t="n">
        <v>19878</v>
      </c>
      <c r="B1119" s="5" t="n">
        <v>44579</v>
      </c>
      <c r="C1119" s="13" t="inlineStr">
        <is>
          <t>VTA</t>
        </is>
      </c>
      <c r="D1119" s="13" t="n">
        <v>39</v>
      </c>
      <c r="E1119" s="10">
        <f>IF(D1119&gt;0,VLOOKUP(OPERAC[[#This Row],[COD CART]],[1]!MatrizCortoLargoCyl[#All],3,0),"")</f>
        <v/>
      </c>
      <c r="F1119" s="13" t="inlineStr">
        <is>
          <t>YPF/V/5,00/15-07-22</t>
        </is>
      </c>
      <c r="G1119" s="6" t="n">
        <v>-20</v>
      </c>
      <c r="H1119" s="6" t="n">
        <v>21.698</v>
      </c>
      <c r="I1119" s="7">
        <f>-H1119/G1119</f>
        <v/>
      </c>
      <c r="J1119" s="11" t="n"/>
      <c r="K1119" s="6" t="n"/>
      <c r="L1119" s="6" t="n"/>
      <c r="M1119" s="7">
        <f>IF(N1119=0,+L1119+H1119,0)</f>
        <v/>
      </c>
      <c r="N1119" s="7">
        <f>IF((+G1119-K1119)=0,0,+G1119-K1119)</f>
        <v/>
      </c>
      <c r="O1119" s="7">
        <f>IF(N1119=0,0,(L1119+H1119)/-N1119)</f>
        <v/>
      </c>
      <c r="P1119" s="7">
        <f>VLOOKUP(OPERAC[[#This Row],[especie]],[1]!ESPECIES[#All],6,0)</f>
        <v/>
      </c>
      <c r="Q1119" s="7">
        <f>IF(N1119&lt;&gt;0,P1119*N1119,0)</f>
        <v/>
      </c>
      <c r="R1119" s="8">
        <f>IF(Q1119&lt;&gt;0,Q1119+H1119+L1119,0)</f>
        <v/>
      </c>
      <c r="S1119" s="9">
        <f>VLOOKUP(OPERAC[[#This Row],[especie]],[1]!ESPECIES[#Data],9,FALSE)</f>
        <v/>
      </c>
    </row>
    <row r="1120">
      <c r="A1120" s="4" t="n">
        <v>16824</v>
      </c>
      <c r="B1120" s="5" t="n">
        <v>44579</v>
      </c>
      <c r="C1120" s="13" t="inlineStr">
        <is>
          <t>VTA</t>
        </is>
      </c>
      <c r="D1120" s="13" t="n">
        <v>39</v>
      </c>
      <c r="E1120" s="10">
        <f>IF(D1120&gt;0,VLOOKUP(OPERAC[[#This Row],[COD CART]],[1]!MatrizCortoLargoCyl[#All],3,0),"")</f>
        <v/>
      </c>
      <c r="F1120" s="13" t="inlineStr">
        <is>
          <t>YPF/V/5,00/15-07-22</t>
        </is>
      </c>
      <c r="G1120" s="6" t="n">
        <v>-20</v>
      </c>
      <c r="H1120" s="6" t="n">
        <v>21.698</v>
      </c>
      <c r="I1120" s="7">
        <f>-H1120/G1120</f>
        <v/>
      </c>
      <c r="J1120" s="11" t="n"/>
      <c r="K1120" s="6" t="n"/>
      <c r="L1120" s="6" t="n"/>
      <c r="M1120" s="7">
        <f>IF(N1120=0,+L1120+H1120,0)</f>
        <v/>
      </c>
      <c r="N1120" s="7">
        <f>IF((+G1120-K1120)=0,0,+G1120-K1120)</f>
        <v/>
      </c>
      <c r="O1120" s="7">
        <f>IF(N1120=0,0,(L1120+H1120)/-N1120)</f>
        <v/>
      </c>
      <c r="P1120" s="7">
        <f>VLOOKUP(OPERAC[[#This Row],[especie]],[1]!ESPECIES[#All],6,0)</f>
        <v/>
      </c>
      <c r="Q1120" s="7">
        <f>IF(N1120&lt;&gt;0,P1120*N1120,0)</f>
        <v/>
      </c>
      <c r="R1120" s="8">
        <f>IF(Q1120&lt;&gt;0,Q1120+H1120+L1120,0)</f>
        <v/>
      </c>
      <c r="S1120" s="9">
        <f>VLOOKUP(OPERAC[[#This Row],[especie]],[1]!ESPECIES[#Data],9,FALSE)</f>
        <v/>
      </c>
    </row>
    <row r="1121">
      <c r="A1121" s="4" t="n">
        <v>13185</v>
      </c>
      <c r="B1121" s="5" t="n">
        <v>44579</v>
      </c>
      <c r="C1121" s="13" t="inlineStr">
        <is>
          <t>VTA</t>
        </is>
      </c>
      <c r="D1121" s="13" t="n">
        <v>39</v>
      </c>
      <c r="E1121" s="10">
        <f>IF(D1121&gt;0,VLOOKUP(OPERAC[[#This Row],[COD CART]],[1]!MatrizCortoLargoCyl[#All],3,0),"")</f>
        <v/>
      </c>
      <c r="F1121" s="13" t="inlineStr">
        <is>
          <t>YPF/V/5,00/15-07-22</t>
        </is>
      </c>
      <c r="G1121" s="6" t="n">
        <v>-20</v>
      </c>
      <c r="H1121" s="6" t="n">
        <v>21.698</v>
      </c>
      <c r="I1121" s="7">
        <f>-H1121/G1121</f>
        <v/>
      </c>
      <c r="J1121" s="11" t="n"/>
      <c r="K1121" s="6" t="n"/>
      <c r="L1121" s="6" t="n"/>
      <c r="M1121" s="7">
        <f>IF(N1121=0,+L1121+H1121,0)</f>
        <v/>
      </c>
      <c r="N1121" s="7">
        <f>IF((+G1121-K1121)=0,0,+G1121-K1121)</f>
        <v/>
      </c>
      <c r="O1121" s="7">
        <f>IF(N1121=0,0,(L1121+H1121)/-N1121)</f>
        <v/>
      </c>
      <c r="P1121" s="7">
        <f>VLOOKUP(OPERAC[[#This Row],[especie]],[1]!ESPECIES[#All],6,0)</f>
        <v/>
      </c>
      <c r="Q1121" s="7">
        <f>IF(N1121&lt;&gt;0,P1121*N1121,0)</f>
        <v/>
      </c>
      <c r="R1121" s="8">
        <f>IF(Q1121&lt;&gt;0,Q1121+H1121+L1121,0)</f>
        <v/>
      </c>
      <c r="S1121" s="9">
        <f>VLOOKUP(OPERAC[[#This Row],[especie]],[1]!ESPECIES[#Data],9,FALSE)</f>
        <v/>
      </c>
    </row>
    <row r="1122">
      <c r="A1122" s="4" t="n">
        <v>4543</v>
      </c>
      <c r="B1122" s="5" t="n">
        <v>44614</v>
      </c>
      <c r="C1122" s="13" t="inlineStr">
        <is>
          <t>VTA</t>
        </is>
      </c>
      <c r="D1122" s="13" t="n">
        <v>39</v>
      </c>
      <c r="E1122" s="10">
        <f>IF(D1122&gt;0,VLOOKUP(OPERAC[[#This Row],[COD CART]],[1]!MatrizCortoLargoCyl[#All],3,0),"")</f>
        <v/>
      </c>
      <c r="F1122" s="13" t="inlineStr">
        <is>
          <t>DDD/V/15,00/20-01-23</t>
        </is>
      </c>
      <c r="G1122" s="6" t="n">
        <v>-7</v>
      </c>
      <c r="H1122" s="6" t="n">
        <v>21.49</v>
      </c>
      <c r="I1122" s="7">
        <f>-H1122/G1122</f>
        <v/>
      </c>
      <c r="J1122" s="11" t="n">
        <v>44637</v>
      </c>
      <c r="K1122" s="6" t="n">
        <v>-2</v>
      </c>
      <c r="L1122" s="6" t="n">
        <v>-7.568</v>
      </c>
      <c r="M1122" s="7">
        <f>IF(N1122=0,+L1122+H1122,0)</f>
        <v/>
      </c>
      <c r="N1122" s="7">
        <f>IF((+G1122-K1122)=0,0,+G1122-K1122)</f>
        <v/>
      </c>
      <c r="O1122" s="7">
        <f>IF(N1122=0,0,(L1122+H1122)/-N1122)</f>
        <v/>
      </c>
      <c r="P1122" s="7">
        <f>VLOOKUP(OPERAC[[#This Row],[especie]],[1]!ESPECIES[#All],6,0)</f>
        <v/>
      </c>
      <c r="Q1122" s="7">
        <f>IF(N1122&lt;&gt;0,P1122*N1122,0)</f>
        <v/>
      </c>
      <c r="R1122" s="8">
        <f>IF(Q1122&lt;&gt;0,Q1122+H1122+L1122,0)</f>
        <v/>
      </c>
      <c r="S1122" s="9">
        <f>VLOOKUP(OPERAC[[#This Row],[especie]],[1]!ESPECIES[#Data],9,FALSE)</f>
        <v/>
      </c>
    </row>
    <row r="1123">
      <c r="A1123" s="4" t="n">
        <v>12671</v>
      </c>
      <c r="B1123" s="5" t="n">
        <v>44601</v>
      </c>
      <c r="C1123" s="13" t="inlineStr">
        <is>
          <t>VTA</t>
        </is>
      </c>
      <c r="D1123" s="13" t="n">
        <v>39</v>
      </c>
      <c r="E1123" s="10">
        <f>IF(D1123&gt;0,VLOOKUP(OPERAC[[#This Row],[COD CART]],[1]!MatrizCortoLargoCyl[#All],3,0),"")</f>
        <v/>
      </c>
      <c r="F1123" s="13" t="inlineStr">
        <is>
          <t>TLRY/V/8,00/14-04-22</t>
        </is>
      </c>
      <c r="G1123" s="6" t="n">
        <v>-10</v>
      </c>
      <c r="H1123" s="6">
        <f>-2.1*OPERAC[[#This Row],[cantidad]]</f>
        <v/>
      </c>
      <c r="I1123" s="7">
        <f>-H1123/G1123</f>
        <v/>
      </c>
      <c r="J1123" s="11" t="n">
        <v>44630</v>
      </c>
      <c r="K1123" s="6" t="n">
        <v>-10</v>
      </c>
      <c r="L1123" s="6" t="n">
        <v>-28.19</v>
      </c>
      <c r="M1123" s="7">
        <f>IF(N1123=0,+L1123+H1123,0)</f>
        <v/>
      </c>
      <c r="N1123" s="7">
        <f>IF((+G1123-K1123)=0,0,+G1123-K1123)</f>
        <v/>
      </c>
      <c r="O1123" s="7">
        <f>IF(N1123=0,0,(L1123+H1123)/-N1123)</f>
        <v/>
      </c>
      <c r="P1123" s="7">
        <f>VLOOKUP(OPERAC[[#This Row],[especie]],[1]!ESPECIES[#All],6,0)</f>
        <v/>
      </c>
      <c r="Q1123" s="7">
        <f>IF(N1123&lt;&gt;0,P1123*N1123,0)</f>
        <v/>
      </c>
      <c r="R1123" s="8">
        <f>IF(Q1123&lt;&gt;0,Q1123+H1123+L1123,0)</f>
        <v/>
      </c>
      <c r="S1123" s="9">
        <f>VLOOKUP(OPERAC[[#This Row],[especie]],[1]!ESPECIES[#Data],9,FALSE)</f>
        <v/>
      </c>
    </row>
    <row r="1124">
      <c r="A1124" s="4" t="n">
        <v>18677</v>
      </c>
      <c r="B1124" s="5" t="n">
        <v>44614</v>
      </c>
      <c r="C1124" s="13" t="inlineStr">
        <is>
          <t>VTA</t>
        </is>
      </c>
      <c r="D1124" s="13" t="n">
        <v>39</v>
      </c>
      <c r="E1124" s="10">
        <f>IF(D1124&gt;0,VLOOKUP(OPERAC[[#This Row],[COD CART]],[1]!MatrizCortoLargoCyl[#All],3,0),"")</f>
        <v/>
      </c>
      <c r="F1124" s="13" t="inlineStr">
        <is>
          <t>DDD/V/10,00/20-01-23</t>
        </is>
      </c>
      <c r="G1124" s="6" t="n">
        <v>-20</v>
      </c>
      <c r="H1124" s="6" t="n">
        <v>20.75</v>
      </c>
      <c r="I1124" s="7">
        <f>-H1124/G1124</f>
        <v/>
      </c>
      <c r="J1124" s="11" t="n"/>
      <c r="K1124" s="6" t="n"/>
      <c r="L1124" s="6" t="n"/>
      <c r="M1124" s="7">
        <f>IF(N1124=0,+L1124+H1124,0)</f>
        <v/>
      </c>
      <c r="N1124" s="7">
        <f>IF((+G1124-K1124)=0,0,+G1124-K1124)</f>
        <v/>
      </c>
      <c r="O1124" s="7">
        <f>IF(N1124=0,0,(L1124+H1124)/-N1124)</f>
        <v/>
      </c>
      <c r="P1124" s="7">
        <f>VLOOKUP(OPERAC[[#This Row],[especie]],[1]!ESPECIES[#All],6,0)</f>
        <v/>
      </c>
      <c r="Q1124" s="7">
        <f>IF(N1124&lt;&gt;0,P1124*N1124,0)</f>
        <v/>
      </c>
      <c r="R1124" s="8">
        <f>IF(Q1124&lt;&gt;0,Q1124+H1124+L1124,0)</f>
        <v/>
      </c>
      <c r="S1124" s="9">
        <f>VLOOKUP(OPERAC[[#This Row],[especie]],[1]!ESPECIES[#Data],9,FALSE)</f>
        <v/>
      </c>
    </row>
    <row r="1125">
      <c r="A1125" s="4" t="n">
        <v>18690</v>
      </c>
      <c r="B1125" s="5" t="n">
        <v>44614</v>
      </c>
      <c r="C1125" s="13" t="inlineStr">
        <is>
          <t>VTA</t>
        </is>
      </c>
      <c r="D1125" s="13" t="n">
        <v>39</v>
      </c>
      <c r="E1125" s="10">
        <f>IF(D1125&gt;0,VLOOKUP(OPERAC[[#This Row],[COD CART]],[1]!MatrizCortoLargoCyl[#All],3,0),"")</f>
        <v/>
      </c>
      <c r="F1125" s="13" t="inlineStr">
        <is>
          <t>DDD/V/10,00/20-01-23</t>
        </is>
      </c>
      <c r="G1125" s="6" t="n">
        <v>-20</v>
      </c>
      <c r="H1125" s="6" t="n">
        <v>20.75</v>
      </c>
      <c r="I1125" s="7">
        <f>-H1125/G1125</f>
        <v/>
      </c>
      <c r="J1125" s="11" t="n"/>
      <c r="K1125" s="6" t="n"/>
      <c r="L1125" s="6" t="n"/>
      <c r="M1125" s="7">
        <f>IF(N1125=0,+L1125+H1125,0)</f>
        <v/>
      </c>
      <c r="N1125" s="7">
        <f>IF((+G1125-K1125)=0,0,+G1125-K1125)</f>
        <v/>
      </c>
      <c r="O1125" s="7">
        <f>IF(N1125=0,0,(L1125+H1125)/-N1125)</f>
        <v/>
      </c>
      <c r="P1125" s="7">
        <f>VLOOKUP(OPERAC[[#This Row],[especie]],[1]!ESPECIES[#All],6,0)</f>
        <v/>
      </c>
      <c r="Q1125" s="7">
        <f>IF(N1125&lt;&gt;0,P1125*N1125,0)</f>
        <v/>
      </c>
      <c r="R1125" s="8">
        <f>IF(Q1125&lt;&gt;0,Q1125+H1125+L1125,0)</f>
        <v/>
      </c>
      <c r="S1125" s="9">
        <f>VLOOKUP(OPERAC[[#This Row],[especie]],[1]!ESPECIES[#Data],9,FALSE)</f>
        <v/>
      </c>
    </row>
    <row r="1126">
      <c r="A1126" s="4" t="n">
        <v>19888</v>
      </c>
      <c r="B1126" s="5" t="n">
        <v>44614</v>
      </c>
      <c r="C1126" s="13" t="inlineStr">
        <is>
          <t>VTA</t>
        </is>
      </c>
      <c r="D1126" s="13" t="n">
        <v>39</v>
      </c>
      <c r="E1126" s="10">
        <f>IF(D1126&gt;0,VLOOKUP(OPERAC[[#This Row],[COD CART]],[1]!MatrizCortoLargoCyl[#All],3,0),"")</f>
        <v/>
      </c>
      <c r="F1126" s="13" t="inlineStr">
        <is>
          <t>DDD/V/10,00/20-01-23</t>
        </is>
      </c>
      <c r="G1126" s="6" t="n">
        <v>-20</v>
      </c>
      <c r="H1126" s="6" t="n">
        <v>20.75</v>
      </c>
      <c r="I1126" s="7">
        <f>-H1126/G1126</f>
        <v/>
      </c>
      <c r="J1126" s="11" t="n"/>
      <c r="K1126" s="6" t="n"/>
      <c r="L1126" s="6" t="n"/>
      <c r="M1126" s="7">
        <f>IF(N1126=0,+L1126+H1126,0)</f>
        <v/>
      </c>
      <c r="N1126" s="7">
        <f>IF((+G1126-K1126)=0,0,+G1126-K1126)</f>
        <v/>
      </c>
      <c r="O1126" s="7">
        <f>IF(N1126=0,0,(L1126+H1126)/-N1126)</f>
        <v/>
      </c>
      <c r="P1126" s="7">
        <f>VLOOKUP(OPERAC[[#This Row],[especie]],[1]!ESPECIES[#All],6,0)</f>
        <v/>
      </c>
      <c r="Q1126" s="7">
        <f>IF(N1126&lt;&gt;0,P1126*N1126,0)</f>
        <v/>
      </c>
      <c r="R1126" s="8">
        <f>IF(Q1126&lt;&gt;0,Q1126+H1126+L1126,0)</f>
        <v/>
      </c>
      <c r="S1126" s="9">
        <f>VLOOKUP(OPERAC[[#This Row],[especie]],[1]!ESPECIES[#Data],9,FALSE)</f>
        <v/>
      </c>
    </row>
    <row r="1127">
      <c r="A1127" s="4" t="n">
        <v>15189</v>
      </c>
      <c r="B1127" s="5" t="n">
        <v>44614</v>
      </c>
      <c r="C1127" s="13" t="inlineStr">
        <is>
          <t>VTA</t>
        </is>
      </c>
      <c r="D1127" s="13" t="n">
        <v>39</v>
      </c>
      <c r="E1127" s="10">
        <f>IF(D1127&gt;0,VLOOKUP(OPERAC[[#This Row],[COD CART]],[1]!MatrizCortoLargoCyl[#All],3,0),"")</f>
        <v/>
      </c>
      <c r="F1127" s="13" t="inlineStr">
        <is>
          <t>SOLO/V/2,00/20-01-23</t>
        </is>
      </c>
      <c r="G1127" s="6" t="n">
        <v>-30</v>
      </c>
      <c r="H1127" s="6" t="n">
        <v>20.71</v>
      </c>
      <c r="I1127" s="7">
        <f>-H1127/G1127</f>
        <v/>
      </c>
      <c r="J1127" s="11" t="n"/>
      <c r="K1127" s="6" t="n"/>
      <c r="L1127" s="6" t="n"/>
      <c r="M1127" s="7">
        <f>IF(N1127=0,+L1127+H1127,0)</f>
        <v/>
      </c>
      <c r="N1127" s="7">
        <f>IF((+G1127-K1127)=0,0,+G1127-K1127)</f>
        <v/>
      </c>
      <c r="O1127" s="7">
        <f>IF(N1127=0,0,(L1127+H1127)/-N1127)</f>
        <v/>
      </c>
      <c r="P1127" s="7">
        <f>VLOOKUP(OPERAC[[#This Row],[especie]],[1]!ESPECIES[#All],6,0)</f>
        <v/>
      </c>
      <c r="Q1127" s="7">
        <f>IF(N1127&lt;&gt;0,P1127*N1127,0)</f>
        <v/>
      </c>
      <c r="R1127" s="8">
        <f>IF(Q1127&lt;&gt;0,Q1127+H1127+L1127,0)</f>
        <v/>
      </c>
      <c r="S1127" s="9">
        <f>VLOOKUP(OPERAC[[#This Row],[especie]],[1]!ESPECIES[#Data],9,FALSE)</f>
        <v/>
      </c>
    </row>
    <row r="1128">
      <c r="A1128" s="4" t="n">
        <v>2255</v>
      </c>
      <c r="B1128" s="5" t="n">
        <v>44340</v>
      </c>
      <c r="C1128" s="13" t="inlineStr">
        <is>
          <t>VTA</t>
        </is>
      </c>
      <c r="D1128" s="13" t="n">
        <v>39</v>
      </c>
      <c r="E1128" s="10">
        <f>IF(D1128&gt;0,VLOOKUP(OPERAC[[#This Row],[COD CART]],[1]!MatrizCortoLargoCyl[#All],3,0),"")</f>
        <v/>
      </c>
      <c r="F1128" s="13" t="inlineStr">
        <is>
          <t>SOLO/V/2,50/20-01-23</t>
        </is>
      </c>
      <c r="G1128" s="6" t="n">
        <v>-20</v>
      </c>
      <c r="H1128" s="6" t="n">
        <v>20.43</v>
      </c>
      <c r="I1128" s="7">
        <f>-H1128/G1128</f>
        <v/>
      </c>
      <c r="J1128" s="11" t="n"/>
      <c r="K1128" s="6" t="n"/>
      <c r="L1128" s="6" t="n"/>
      <c r="M1128" s="7">
        <f>IF(N1128=0,+L1128+H1128,0)</f>
        <v/>
      </c>
      <c r="N1128" s="7">
        <f>IF((+G1128-K1128)=0,0,+G1128-K1128)</f>
        <v/>
      </c>
      <c r="O1128" s="7">
        <f>IF(N1128=0,0,(L1128+H1128)/-N1128)</f>
        <v/>
      </c>
      <c r="P1128" s="7">
        <f>VLOOKUP(OPERAC[[#This Row],[especie]],[1]!ESPECIES[#All],6,0)</f>
        <v/>
      </c>
      <c r="Q1128" s="7">
        <f>IF(N1128&lt;&gt;0,P1128*N1128,0)</f>
        <v/>
      </c>
      <c r="R1128" s="8">
        <f>IF(Q1128&lt;&gt;0,Q1128+H1128+L1128,0)</f>
        <v/>
      </c>
      <c r="S1128" s="9">
        <f>VLOOKUP(OPERAC[[#This Row],[especie]],[1]!ESPECIES[#Data],9,FALSE)</f>
        <v/>
      </c>
    </row>
    <row r="1129">
      <c r="A1129" s="4" t="n">
        <v>9195</v>
      </c>
      <c r="B1129" s="5" t="n">
        <v>44509</v>
      </c>
      <c r="C1129" s="13" t="inlineStr">
        <is>
          <t>VTA</t>
        </is>
      </c>
      <c r="D1129" s="13" t="n">
        <v>39</v>
      </c>
      <c r="E1129" s="10">
        <f>IF(D1129&gt;0,VLOOKUP(OPERAC[[#This Row],[COD CART]],[1]!MatrizCortoLargoCyl[#All],3,0),"")</f>
        <v/>
      </c>
      <c r="F1129" s="13" t="inlineStr">
        <is>
          <t>TLRY/V/10,00/19-01-24</t>
        </is>
      </c>
      <c r="G1129" s="6" t="n">
        <v>-5</v>
      </c>
      <c r="H1129" s="6" t="n">
        <v>20.4055</v>
      </c>
      <c r="I1129" s="7">
        <f>-H1129/G1129</f>
        <v/>
      </c>
      <c r="J1129" s="11" t="n"/>
      <c r="K1129" s="6" t="n"/>
      <c r="L1129" s="6" t="n"/>
      <c r="M1129" s="7">
        <f>IF(N1129=0,+L1129+H1129,0)</f>
        <v/>
      </c>
      <c r="N1129" s="7">
        <f>IF((+G1129-K1129)=0,0,+G1129-K1129)</f>
        <v/>
      </c>
      <c r="O1129" s="7">
        <f>IF(N1129=0,0,(L1129+H1129)/-N1129)</f>
        <v/>
      </c>
      <c r="P1129" s="7">
        <f>VLOOKUP(OPERAC[[#This Row],[especie]],[1]!ESPECIES[#All],6,0)</f>
        <v/>
      </c>
      <c r="Q1129" s="7">
        <f>IF(N1129&lt;&gt;0,P1129*N1129,0)</f>
        <v/>
      </c>
      <c r="R1129" s="8">
        <f>IF(Q1129&lt;&gt;0,Q1129+H1129+L1129,0)</f>
        <v/>
      </c>
      <c r="S1129" s="9">
        <f>VLOOKUP(OPERAC[[#This Row],[especie]],[1]!ESPECIES[#Data],9,FALSE)</f>
        <v/>
      </c>
    </row>
    <row r="1130">
      <c r="A1130" s="4" t="n">
        <v>16795</v>
      </c>
      <c r="B1130" s="5" t="n">
        <v>44601</v>
      </c>
      <c r="C1130" s="13" t="inlineStr">
        <is>
          <t>VTA</t>
        </is>
      </c>
      <c r="D1130" s="13" t="n">
        <v>39</v>
      </c>
      <c r="E1130" s="10">
        <f>IF(D1130&gt;0,VLOOKUP(OPERAC[[#This Row],[COD CART]],[1]!MatrizCortoLargoCyl[#All],3,0),"")</f>
        <v/>
      </c>
      <c r="F1130" s="13" t="inlineStr">
        <is>
          <t>ACB/V/5,00/16-09-22</t>
        </is>
      </c>
      <c r="G1130" s="6" t="n">
        <v>-13</v>
      </c>
      <c r="H1130" s="6">
        <f>-1.56*OPERAC[[#This Row],[cantidad]]</f>
        <v/>
      </c>
      <c r="I1130" s="7">
        <f>-H1130/G1130</f>
        <v/>
      </c>
      <c r="J1130" s="11" t="n"/>
      <c r="K1130" s="6" t="n"/>
      <c r="L1130" s="6" t="n"/>
      <c r="M1130" s="7">
        <f>IF(N1130=0,+L1130+H1130,0)</f>
        <v/>
      </c>
      <c r="N1130" s="7">
        <f>IF((+G1130-K1130)=0,0,+G1130-K1130)</f>
        <v/>
      </c>
      <c r="O1130" s="7">
        <f>IF(N1130=0,0,(L1130+H1130)/-N1130)</f>
        <v/>
      </c>
      <c r="P1130" s="7">
        <f>VLOOKUP(OPERAC[[#This Row],[especie]],[1]!ESPECIES[#All],6,0)</f>
        <v/>
      </c>
      <c r="Q1130" s="7">
        <f>IF(N1130&lt;&gt;0,P1130*N1130,0)</f>
        <v/>
      </c>
      <c r="R1130" s="8">
        <f>IF(Q1130&lt;&gt;0,Q1130+H1130+L1130,0)</f>
        <v/>
      </c>
      <c r="S1130" s="9">
        <f>VLOOKUP(OPERAC[[#This Row],[especie]],[1]!ESPECIES[#Data],9,FALSE)</f>
        <v/>
      </c>
    </row>
    <row r="1131">
      <c r="A1131" s="4" t="n">
        <v>19867</v>
      </c>
      <c r="B1131" s="5" t="n">
        <v>44601</v>
      </c>
      <c r="C1131" s="13" t="inlineStr">
        <is>
          <t>VTA</t>
        </is>
      </c>
      <c r="D1131" s="13" t="n">
        <v>39</v>
      </c>
      <c r="E1131" s="10">
        <f>IF(D1131&gt;0,VLOOKUP(OPERAC[[#This Row],[COD CART]],[1]!MatrizCortoLargoCyl[#All],3,0),"")</f>
        <v/>
      </c>
      <c r="F1131" s="13" t="inlineStr">
        <is>
          <t>ACB/V/5,00/16-09-22</t>
        </is>
      </c>
      <c r="G1131" s="6" t="n">
        <v>-13</v>
      </c>
      <c r="H1131" s="6">
        <f>-1.56*OPERAC[[#This Row],[cantidad]]</f>
        <v/>
      </c>
      <c r="I1131" s="7">
        <f>-H1131/G1131</f>
        <v/>
      </c>
      <c r="J1131" s="11" t="n">
        <v>44629</v>
      </c>
      <c r="K1131" s="6" t="n">
        <v>-13</v>
      </c>
      <c r="L1131" s="6" t="n">
        <v>-26.89</v>
      </c>
      <c r="M1131" s="7">
        <f>IF(N1131=0,+L1131+H1131,0)</f>
        <v/>
      </c>
      <c r="N1131" s="7">
        <f>IF((+G1131-K1131)=0,0,+G1131-K1131)</f>
        <v/>
      </c>
      <c r="O1131" s="7">
        <f>IF(N1131=0,0,(L1131+H1131)/-N1131)</f>
        <v/>
      </c>
      <c r="P1131" s="7">
        <f>VLOOKUP(OPERAC[[#This Row],[especie]],[1]!ESPECIES[#All],6,0)</f>
        <v/>
      </c>
      <c r="Q1131" s="7">
        <f>IF(N1131&lt;&gt;0,P1131*N1131,0)</f>
        <v/>
      </c>
      <c r="R1131" s="8">
        <f>IF(Q1131&lt;&gt;0,Q1131+H1131+L1131,0)</f>
        <v/>
      </c>
      <c r="S1131" s="9">
        <f>VLOOKUP(OPERAC[[#This Row],[especie]],[1]!ESPECIES[#Data],9,FALSE)</f>
        <v/>
      </c>
    </row>
    <row r="1132">
      <c r="A1132" s="4" t="n">
        <v>13269</v>
      </c>
      <c r="B1132" s="5" t="n">
        <v>44614</v>
      </c>
      <c r="C1132" s="13" t="inlineStr">
        <is>
          <t>VTA</t>
        </is>
      </c>
      <c r="D1132" s="13" t="n">
        <v>39</v>
      </c>
      <c r="E1132" s="10">
        <f>IF(D1132&gt;0,VLOOKUP(OPERAC[[#This Row],[COD CART]],[1]!MatrizCortoLargoCyl[#All],3,0),"")</f>
        <v/>
      </c>
      <c r="F1132" s="13" t="inlineStr">
        <is>
          <t>ACB/V/5,00/20-01-23</t>
        </is>
      </c>
      <c r="G1132" s="6" t="n">
        <v>-10</v>
      </c>
      <c r="H1132" s="6" t="n">
        <v>20.26</v>
      </c>
      <c r="I1132" s="7">
        <f>-H1132/G1132</f>
        <v/>
      </c>
      <c r="J1132" s="11" t="n"/>
      <c r="K1132" s="6" t="n"/>
      <c r="L1132" s="6" t="n"/>
      <c r="M1132" s="7">
        <f>IF(N1132=0,+L1132+H1132,0)</f>
        <v/>
      </c>
      <c r="N1132" s="7">
        <f>IF((+G1132-K1132)=0,0,+G1132-K1132)</f>
        <v/>
      </c>
      <c r="O1132" s="7">
        <f>IF(N1132=0,0,(L1132+H1132)/-N1132)</f>
        <v/>
      </c>
      <c r="P1132" s="7">
        <f>VLOOKUP(OPERAC[[#This Row],[especie]],[1]!ESPECIES[#All],6,0)</f>
        <v/>
      </c>
      <c r="Q1132" s="7">
        <f>IF(N1132&lt;&gt;0,P1132*N1132,0)</f>
        <v/>
      </c>
      <c r="R1132" s="8">
        <f>IF(Q1132&lt;&gt;0,Q1132+H1132+L1132,0)</f>
        <v/>
      </c>
      <c r="S1132" s="9">
        <f>VLOOKUP(OPERAC[[#This Row],[especie]],[1]!ESPECIES[#Data],9,FALSE)</f>
        <v/>
      </c>
    </row>
    <row r="1133">
      <c r="A1133" s="4" t="n">
        <v>12674</v>
      </c>
      <c r="B1133" s="5" t="n">
        <v>44638</v>
      </c>
      <c r="C1133" s="13" t="inlineStr">
        <is>
          <t>VTA</t>
        </is>
      </c>
      <c r="D1133" s="13" t="n">
        <v>39</v>
      </c>
      <c r="E1133" s="10">
        <f>IF(D1133&gt;0,VLOOKUP(OPERAC[[#This Row],[COD CART]],[1]!MatrizCortoLargoCyl[#All],3,0),"")</f>
        <v/>
      </c>
      <c r="F1133" s="13" t="inlineStr">
        <is>
          <t>TSLA/V/610,00/14-04-22</t>
        </is>
      </c>
      <c r="G1133" s="6" t="n">
        <v>-10</v>
      </c>
      <c r="H1133" s="6" t="n">
        <v>20.012</v>
      </c>
      <c r="I1133" s="7">
        <f>-H1133/G1133</f>
        <v/>
      </c>
      <c r="J1133" s="11" t="n">
        <v>44644</v>
      </c>
      <c r="K1133" s="6" t="n">
        <v>-10</v>
      </c>
      <c r="L1133" s="6" t="n">
        <v>-5.77</v>
      </c>
      <c r="M1133" s="7">
        <f>IF(N1133=0,+L1133+H1133,0)</f>
        <v/>
      </c>
      <c r="N1133" s="7">
        <f>IF((+G1133-K1133)=0,0,+G1133-K1133)</f>
        <v/>
      </c>
      <c r="O1133" s="7">
        <f>IF(N1133=0,0,(L1133+H1133)/-N1133)</f>
        <v/>
      </c>
      <c r="P1133" s="7">
        <f>VLOOKUP(OPERAC[[#This Row],[especie]],[1]!ESPECIES[#All],6,0)</f>
        <v/>
      </c>
      <c r="Q1133" s="7">
        <f>IF(N1133&lt;&gt;0,P1133*N1133,0)</f>
        <v/>
      </c>
      <c r="R1133" s="8">
        <f>IF(Q1133&lt;&gt;0,Q1133+H1133+L1133,0)</f>
        <v/>
      </c>
      <c r="S1133" s="9">
        <f>VLOOKUP(OPERAC[[#This Row],[especie]],[1]!ESPECIES[#Data],9,FALSE)</f>
        <v/>
      </c>
    </row>
    <row r="1134">
      <c r="A1134" s="4" t="n">
        <v>19888</v>
      </c>
      <c r="B1134" s="5" t="n">
        <v>44453</v>
      </c>
      <c r="C1134" s="13" t="inlineStr">
        <is>
          <t>VTA</t>
        </is>
      </c>
      <c r="D1134" s="13" t="n">
        <v>39</v>
      </c>
      <c r="E1134" s="10">
        <f>IF(D1134&gt;0,VLOOKUP(OPERAC[[#This Row],[COD CART]],[1]!MatrizCortoLargoCyl[#All],3,0),"")</f>
        <v/>
      </c>
      <c r="F1134" s="13" t="inlineStr">
        <is>
          <t>EDIT/V/20,00/20-01-23</t>
        </is>
      </c>
      <c r="G1134" s="6" t="n">
        <v>-10</v>
      </c>
      <c r="H1134" s="6" t="n">
        <v>19.915</v>
      </c>
      <c r="I1134" s="7">
        <f>-H1134/G1134</f>
        <v/>
      </c>
      <c r="J1134" s="11" t="n"/>
      <c r="K1134" s="6" t="n"/>
      <c r="L1134" s="6" t="n"/>
      <c r="M1134" s="7">
        <f>IF(N1134=0,+L1134+H1134,0)</f>
        <v/>
      </c>
      <c r="N1134" s="7">
        <f>IF((+G1134-K1134)=0,0,+G1134-K1134)</f>
        <v/>
      </c>
      <c r="O1134" s="7">
        <f>IF(N1134=0,0,(L1134+H1134)/-N1134)</f>
        <v/>
      </c>
      <c r="P1134" s="7">
        <f>VLOOKUP(OPERAC[[#This Row],[especie]],[1]!ESPECIES[#All],6,0)</f>
        <v/>
      </c>
      <c r="Q1134" s="7">
        <f>IF(N1134&lt;&gt;0,P1134*N1134,0)</f>
        <v/>
      </c>
      <c r="R1134" s="8">
        <f>IF(Q1134&lt;&gt;0,Q1134+H1134+L1134,0)</f>
        <v/>
      </c>
      <c r="S1134" s="9">
        <f>VLOOKUP(OPERAC[[#This Row],[especie]],[1]!ESPECIES[#Data],9,FALSE)</f>
        <v/>
      </c>
    </row>
    <row r="1135">
      <c r="A1135" s="4" t="n">
        <v>12674</v>
      </c>
      <c r="B1135" s="5" t="n">
        <v>44614</v>
      </c>
      <c r="C1135" s="13" t="inlineStr">
        <is>
          <t>VTA</t>
        </is>
      </c>
      <c r="D1135" s="13" t="n">
        <v>39</v>
      </c>
      <c r="E1135" s="10">
        <f>IF(D1135&gt;0,VLOOKUP(OPERAC[[#This Row],[COD CART]],[1]!MatrizCortoLargoCyl[#All],3,0),"")</f>
        <v/>
      </c>
      <c r="F1135" s="13" t="inlineStr">
        <is>
          <t>DDD/V/10,00/19-01-24</t>
        </is>
      </c>
      <c r="G1135" s="6" t="n">
        <v>-10</v>
      </c>
      <c r="H1135" s="6" t="n">
        <v>19.79</v>
      </c>
      <c r="I1135" s="7">
        <f>-H1135/G1135</f>
        <v/>
      </c>
      <c r="J1135" s="11" t="n"/>
      <c r="K1135" s="6" t="n"/>
      <c r="L1135" s="6" t="n"/>
      <c r="M1135" s="7">
        <f>IF(N1135=0,+L1135+H1135,0)</f>
        <v/>
      </c>
      <c r="N1135" s="7">
        <f>IF((+G1135-K1135)=0,0,+G1135-K1135)</f>
        <v/>
      </c>
      <c r="O1135" s="7">
        <f>IF(N1135=0,0,(L1135+H1135)/-N1135)</f>
        <v/>
      </c>
      <c r="P1135" s="7">
        <f>VLOOKUP(OPERAC[[#This Row],[especie]],[1]!ESPECIES[#All],6,0)</f>
        <v/>
      </c>
      <c r="Q1135" s="7">
        <f>IF(N1135&lt;&gt;0,P1135*N1135,0)</f>
        <v/>
      </c>
      <c r="R1135" s="8">
        <f>IF(Q1135&lt;&gt;0,Q1135+H1135+L1135,0)</f>
        <v/>
      </c>
      <c r="S1135" s="9">
        <f>VLOOKUP(OPERAC[[#This Row],[especie]],[1]!ESPECIES[#Data],9,FALSE)</f>
        <v/>
      </c>
    </row>
    <row r="1136">
      <c r="A1136" s="4" t="n">
        <v>12652</v>
      </c>
      <c r="B1136" s="5" t="n">
        <v>44616</v>
      </c>
      <c r="C1136" s="13" t="inlineStr">
        <is>
          <t>VTA</t>
        </is>
      </c>
      <c r="D1136" s="13" t="n">
        <v>39</v>
      </c>
      <c r="E1136" s="10">
        <f>IF(D1136&gt;0,VLOOKUP(OPERAC[[#This Row],[COD CART]],[1]!MatrizCortoLargoCyl[#All],3,0),"")</f>
        <v/>
      </c>
      <c r="F1136" s="13" t="inlineStr">
        <is>
          <t>SPWR/V/10,00/19-01-24</t>
        </is>
      </c>
      <c r="G1136" s="6" t="n">
        <v>-9</v>
      </c>
      <c r="H1136" s="6" t="n">
        <v>19.6</v>
      </c>
      <c r="I1136" s="7">
        <f>-H1136/G1136</f>
        <v/>
      </c>
      <c r="J1136" s="11" t="n"/>
      <c r="K1136" s="6" t="n"/>
      <c r="L1136" s="6" t="n"/>
      <c r="M1136" s="7">
        <f>IF(N1136=0,+L1136+H1136,0)</f>
        <v/>
      </c>
      <c r="N1136" s="7">
        <f>IF((+G1136-K1136)=0,0,+G1136-K1136)</f>
        <v/>
      </c>
      <c r="O1136" s="7">
        <f>IF(N1136=0,0,(L1136+H1136)/-N1136)</f>
        <v/>
      </c>
      <c r="P1136" s="7">
        <f>VLOOKUP(OPERAC[[#This Row],[especie]],[1]!ESPECIES[#All],6,0)</f>
        <v/>
      </c>
      <c r="Q1136" s="7">
        <f>IF(N1136&lt;&gt;0,P1136*N1136,0)</f>
        <v/>
      </c>
      <c r="R1136" s="8">
        <f>IF(Q1136&lt;&gt;0,Q1136+H1136+L1136,0)</f>
        <v/>
      </c>
      <c r="S1136" s="9">
        <f>VLOOKUP(OPERAC[[#This Row],[especie]],[1]!ESPECIES[#Data],9,FALSE)</f>
        <v/>
      </c>
    </row>
    <row r="1137">
      <c r="A1137" s="4" t="n">
        <v>18663</v>
      </c>
      <c r="B1137" s="5" t="n">
        <v>44559</v>
      </c>
      <c r="C1137" s="13" t="inlineStr">
        <is>
          <t>VTA</t>
        </is>
      </c>
      <c r="D1137" s="13" t="n">
        <v>41</v>
      </c>
      <c r="E1137" s="10">
        <f>IF(D1137&gt;0,VLOOKUP(OPERAC[[#This Row],[COD CART]],[1]!MatrizCortoLargoCyl[#All],3,0),"")</f>
        <v/>
      </c>
      <c r="F1137" s="13" t="inlineStr">
        <is>
          <t>HIMX/C/18,00/21-01-22</t>
        </is>
      </c>
      <c r="G1137" s="6" t="n">
        <v>-100</v>
      </c>
      <c r="H1137" s="6" t="n">
        <v>19.57</v>
      </c>
      <c r="I1137" s="7">
        <f>-H1137/G1137</f>
        <v/>
      </c>
      <c r="J1137" s="11" t="n">
        <v>44582</v>
      </c>
      <c r="K1137" s="6" t="n">
        <v>-100</v>
      </c>
      <c r="L1137" s="6" t="n">
        <v>0</v>
      </c>
      <c r="M1137" s="7">
        <f>IF(N1137=0,+L1137+H1137,0)</f>
        <v/>
      </c>
      <c r="N1137" s="7">
        <f>IF((+G1137-K1137)=0,0,+G1137-K1137)</f>
        <v/>
      </c>
      <c r="O1137" s="7">
        <f>IF(N1137=0,0,(L1137+H1137)/-N1137)</f>
        <v/>
      </c>
      <c r="P1137" s="7">
        <f>VLOOKUP(OPERAC[[#This Row],[especie]],[1]!ESPECIES[#All],6,0)</f>
        <v/>
      </c>
      <c r="Q1137" s="7">
        <f>IF(N1137&lt;&gt;0,P1137*N1137,0)</f>
        <v/>
      </c>
      <c r="R1137" s="8">
        <f>IF(Q1137&lt;&gt;0,Q1137+H1137+L1137,0)</f>
        <v/>
      </c>
      <c r="S1137" s="9">
        <f>VLOOKUP(OPERAC[[#This Row],[especie]],[1]!ESPECIES[#Data],9,FALSE)</f>
        <v/>
      </c>
    </row>
    <row r="1138">
      <c r="A1138" s="4" t="n">
        <v>10079</v>
      </c>
      <c r="B1138" s="5" t="n">
        <v>44614</v>
      </c>
      <c r="C1138" s="13" t="inlineStr">
        <is>
          <t>VTA</t>
        </is>
      </c>
      <c r="D1138" s="13" t="n">
        <v>39</v>
      </c>
      <c r="E1138" s="10">
        <f>IF(D1138&gt;0,VLOOKUP(OPERAC[[#This Row],[COD CART]],[1]!MatrizCortoLargoCyl[#All],3,0),"")</f>
        <v/>
      </c>
      <c r="F1138" s="13" t="inlineStr">
        <is>
          <t>NFLX/V/200,00/20-01-23</t>
        </is>
      </c>
      <c r="G1138" s="6" t="n">
        <v>-3</v>
      </c>
      <c r="H1138" s="6" t="n">
        <v>19.33</v>
      </c>
      <c r="I1138" s="7">
        <f>-H1138/G1138</f>
        <v/>
      </c>
      <c r="J1138" s="11" t="n">
        <v>44617</v>
      </c>
      <c r="K1138" s="6" t="n">
        <v>-3</v>
      </c>
      <c r="L1138" s="6" t="n">
        <v>-20.2728</v>
      </c>
      <c r="M1138" s="7">
        <f>IF(N1138=0,+L1138+H1138,0)</f>
        <v/>
      </c>
      <c r="N1138" s="7">
        <f>IF((+G1138-K1138)=0,0,+G1138-K1138)</f>
        <v/>
      </c>
      <c r="O1138" s="7">
        <f>IF(N1138=0,0,(L1138+H1138)/-N1138)</f>
        <v/>
      </c>
      <c r="P1138" s="7">
        <f>VLOOKUP(OPERAC[[#This Row],[especie]],[1]!ESPECIES[#All],6,0)</f>
        <v/>
      </c>
      <c r="Q1138" s="7">
        <f>IF(N1138&lt;&gt;0,P1138*N1138,0)</f>
        <v/>
      </c>
      <c r="R1138" s="8">
        <f>IF(Q1138&lt;&gt;0,Q1138+H1138+L1138,0)</f>
        <v/>
      </c>
      <c r="S1138" s="9">
        <f>VLOOKUP(OPERAC[[#This Row],[especie]],[1]!ESPECIES[#Data],9,FALSE)</f>
        <v/>
      </c>
    </row>
    <row r="1139">
      <c r="A1139" s="4" t="n">
        <v>26140</v>
      </c>
      <c r="B1139" s="5" t="n">
        <v>44644</v>
      </c>
      <c r="C1139" s="13" t="inlineStr">
        <is>
          <t>VTA</t>
        </is>
      </c>
      <c r="D1139" s="13" t="n">
        <v>39</v>
      </c>
      <c r="E1139" s="10">
        <f>IF(D1139&gt;0,VLOOKUP(OPERAC[[#This Row],[COD CART]],[1]!MatrizCortoLargoCyl[#All],3,0),"")</f>
        <v/>
      </c>
      <c r="F1139" s="13" t="inlineStr">
        <is>
          <t>TSLA/V/620,00/20-05-22</t>
        </is>
      </c>
      <c r="G1139" s="6" t="n">
        <v>-4</v>
      </c>
      <c r="H1139" s="6" t="n">
        <v>19.04</v>
      </c>
      <c r="I1139" s="7">
        <f>-H1139/G1139</f>
        <v/>
      </c>
      <c r="J1139" s="11" t="n">
        <v>44672</v>
      </c>
      <c r="K1139" s="6" t="n">
        <v>-4</v>
      </c>
      <c r="L1139" s="6" t="n">
        <v>-3.4289</v>
      </c>
      <c r="M1139" s="7">
        <f>IF(N1139=0,+L1139+H1139,0)</f>
        <v/>
      </c>
      <c r="N1139" s="7">
        <f>IF((+G1139-K1139)=0,0,+G1139-K1139)</f>
        <v/>
      </c>
      <c r="O1139" s="7">
        <f>IF(N1139=0,0,(L1139+H1139)/-N1139)</f>
        <v/>
      </c>
      <c r="P1139" s="7">
        <f>VLOOKUP(OPERAC[[#This Row],[especie]],[1]!ESPECIES[#All],6,0)</f>
        <v/>
      </c>
      <c r="Q1139" s="7">
        <f>IF(N1139&lt;&gt;0,P1139*N1139,0)</f>
        <v/>
      </c>
      <c r="R1139" s="8">
        <f>IF(Q1139&lt;&gt;0,Q1139+H1139+L1139,0)</f>
        <v/>
      </c>
      <c r="S1139" s="9">
        <f>VLOOKUP(OPERAC[[#This Row],[especie]],[1]!ESPECIES[#Data],9,FALSE)</f>
        <v/>
      </c>
    </row>
    <row r="1140">
      <c r="A1140" s="4" t="n">
        <v>2255</v>
      </c>
      <c r="B1140" s="5" t="n">
        <v>44600</v>
      </c>
      <c r="C1140" s="13" t="inlineStr">
        <is>
          <t>VTA</t>
        </is>
      </c>
      <c r="D1140" s="13" t="n">
        <v>39</v>
      </c>
      <c r="E1140" s="10">
        <f>IF(D1140&gt;0,VLOOKUP(OPERAC[[#This Row],[COD CART]],[1]!MatrizCortoLargoCyl[#All],3,0),"")</f>
        <v/>
      </c>
      <c r="F1140" s="13" t="inlineStr">
        <is>
          <t>DDD/V/17,00/20-01-23</t>
        </is>
      </c>
      <c r="G1140" s="6" t="n">
        <v>-5</v>
      </c>
      <c r="H1140" s="6">
        <f>-3.8*OPERAC[[#This Row],[cantidad]]</f>
        <v/>
      </c>
      <c r="I1140" s="7">
        <f>-H1140/G1140</f>
        <v/>
      </c>
      <c r="J1140" s="11" t="n"/>
      <c r="K1140" s="6" t="n"/>
      <c r="L1140" s="6" t="n"/>
      <c r="M1140" s="7">
        <f>IF(N1140=0,+L1140+H1140,0)</f>
        <v/>
      </c>
      <c r="N1140" s="7">
        <f>IF((+G1140-K1140)=0,0,+G1140-K1140)</f>
        <v/>
      </c>
      <c r="O1140" s="7">
        <f>IF(N1140=0,0,(L1140+H1140)/-N1140)</f>
        <v/>
      </c>
      <c r="P1140" s="7">
        <f>VLOOKUP(OPERAC[[#This Row],[especie]],[1]!ESPECIES[#All],6,0)</f>
        <v/>
      </c>
      <c r="Q1140" s="7">
        <f>IF(N1140&lt;&gt;0,P1140*N1140,0)</f>
        <v/>
      </c>
      <c r="R1140" s="8">
        <f>IF(Q1140&lt;&gt;0,Q1140+H1140+L1140,0)</f>
        <v/>
      </c>
      <c r="S1140" s="9">
        <f>VLOOKUP(OPERAC[[#This Row],[especie]],[1]!ESPECIES[#Data],9,FALSE)</f>
        <v/>
      </c>
    </row>
    <row r="1141">
      <c r="A1141" s="4" t="n">
        <v>7925</v>
      </c>
      <c r="B1141" s="5" t="n">
        <v>44615</v>
      </c>
      <c r="C1141" s="13" t="inlineStr">
        <is>
          <t>VTA</t>
        </is>
      </c>
      <c r="D1141" s="13" t="n">
        <v>39</v>
      </c>
      <c r="E1141" s="10">
        <f>IF(D1141&gt;0,VLOOKUP(OPERAC[[#This Row],[COD CART]],[1]!MatrizCortoLargoCyl[#All],3,0),"")</f>
        <v/>
      </c>
      <c r="F1141" s="13" t="inlineStr">
        <is>
          <t>TSLA/V/380,00/20-01-23</t>
        </is>
      </c>
      <c r="G1141" s="6" t="n">
        <v>-1</v>
      </c>
      <c r="H1141" s="6" t="n">
        <v>18.84</v>
      </c>
      <c r="I1141" s="7">
        <f>-H1141/G1141</f>
        <v/>
      </c>
      <c r="J1141" s="11" t="n"/>
      <c r="K1141" s="6" t="n"/>
      <c r="L1141" s="6" t="n"/>
      <c r="M1141" s="7">
        <f>IF(N1141=0,+L1141+H1141,0)</f>
        <v/>
      </c>
      <c r="N1141" s="7">
        <f>IF((+G1141-K1141)=0,0,+G1141-K1141)</f>
        <v/>
      </c>
      <c r="O1141" s="7">
        <f>IF(N1141=0,0,(L1141+H1141)/-N1141)</f>
        <v/>
      </c>
      <c r="P1141" s="7">
        <f>VLOOKUP(OPERAC[[#This Row],[especie]],[1]!ESPECIES[#All],6,0)</f>
        <v/>
      </c>
      <c r="Q1141" s="7">
        <f>IF(N1141&lt;&gt;0,P1141*N1141,0)</f>
        <v/>
      </c>
      <c r="R1141" s="8">
        <f>IF(Q1141&lt;&gt;0,Q1141+H1141+L1141,0)</f>
        <v/>
      </c>
      <c r="S1141" s="9">
        <f>VLOOKUP(OPERAC[[#This Row],[especie]],[1]!ESPECIES[#Data],9,FALSE)</f>
        <v/>
      </c>
    </row>
    <row r="1142">
      <c r="A1142" s="4" t="n">
        <v>22393</v>
      </c>
      <c r="B1142" s="5" t="n">
        <v>44704</v>
      </c>
      <c r="C1142" s="13" t="inlineStr">
        <is>
          <t>VTA</t>
        </is>
      </c>
      <c r="D1142" s="13" t="n">
        <v>41</v>
      </c>
      <c r="E1142" s="10">
        <f>IF(D1142&gt;0,VLOOKUP(OPERAC[[#This Row],[COD CART]],[1]!MatrizCortoLargoCyl[#All],3,0),"")</f>
        <v/>
      </c>
      <c r="F1142" s="13" t="inlineStr">
        <is>
          <t>KWEB/P/25,00/17-06-22</t>
        </is>
      </c>
      <c r="G1142" s="6" t="n">
        <v>-100</v>
      </c>
      <c r="H1142" s="6" t="n">
        <v>18.839</v>
      </c>
      <c r="I1142" s="7">
        <f>-H1142/G1142</f>
        <v/>
      </c>
      <c r="J1142" s="5" t="n"/>
      <c r="K1142" s="6" t="n"/>
      <c r="L1142" s="6" t="n"/>
      <c r="M1142" s="7">
        <f>IF(N1142=0,+L1142+H1142,0)</f>
        <v/>
      </c>
      <c r="N1142" s="7">
        <f>IF((+G1142-K1142)=0,0,+G1142-K1142)</f>
        <v/>
      </c>
      <c r="O1142" s="7">
        <f>IF(N1142=0,0,(L1142+H1142)/-N1142)</f>
        <v/>
      </c>
      <c r="P1142" s="7">
        <f>VLOOKUP(OPERAC[[#This Row],[especie]],[1]!ESPECIES[#All],6,0)</f>
        <v/>
      </c>
      <c r="Q1142" s="7">
        <f>IF(N1142&lt;&gt;0,P1142*N1142,0)</f>
        <v/>
      </c>
      <c r="R1142" s="8">
        <f>IF(Q1142&lt;&gt;0,Q1142+H1142+L1142,0)</f>
        <v/>
      </c>
      <c r="S1142" s="9">
        <f>VLOOKUP(OPERAC[[#This Row],[especie]],[1]!ESPECIES[#Data],9,FALSE)</f>
        <v/>
      </c>
    </row>
    <row r="1143">
      <c r="A1143" s="4" t="n">
        <v>12674</v>
      </c>
      <c r="B1143" s="5" t="n">
        <v>44638</v>
      </c>
      <c r="C1143" s="13" t="inlineStr">
        <is>
          <t>VTA</t>
        </is>
      </c>
      <c r="D1143" s="13" t="n">
        <v>39</v>
      </c>
      <c r="E1143" s="10">
        <f>IF(D1143&gt;0,VLOOKUP(OPERAC[[#This Row],[COD CART]],[1]!MatrizCortoLargoCyl[#All],3,0),"")</f>
        <v/>
      </c>
      <c r="F1143" s="13" t="inlineStr">
        <is>
          <t>BABA/V/100,00/25-03-22</t>
        </is>
      </c>
      <c r="G1143" s="6" t="n">
        <v>-10</v>
      </c>
      <c r="H1143" s="6" t="n">
        <v>18.77</v>
      </c>
      <c r="I1143" s="7">
        <f>-H1143/G1143</f>
        <v/>
      </c>
      <c r="J1143" s="11" t="n">
        <v>44645</v>
      </c>
      <c r="K1143" s="6" t="n">
        <v>-10</v>
      </c>
      <c r="L1143" s="6" t="n">
        <v>0</v>
      </c>
      <c r="M1143" s="7">
        <f>IF(N1143=0,+L1143+H1143,0)</f>
        <v/>
      </c>
      <c r="N1143" s="7">
        <f>IF((+G1143-K1143)=0,0,+G1143-K1143)</f>
        <v/>
      </c>
      <c r="O1143" s="7">
        <f>IF(N1143=0,0,(L1143+H1143)/-N1143)</f>
        <v/>
      </c>
      <c r="P1143" s="7">
        <f>VLOOKUP(OPERAC[[#This Row],[especie]],[1]!ESPECIES[#All],6,0)</f>
        <v/>
      </c>
      <c r="Q1143" s="7">
        <f>IF(N1143&lt;&gt;0,P1143*N1143,0)</f>
        <v/>
      </c>
      <c r="R1143" s="8">
        <f>IF(Q1143&lt;&gt;0,Q1143+H1143+L1143,0)</f>
        <v/>
      </c>
      <c r="S1143" s="9">
        <f>VLOOKUP(OPERAC[[#This Row],[especie]],[1]!ESPECIES[#Data],9,FALSE)</f>
        <v/>
      </c>
    </row>
    <row r="1144">
      <c r="A1144" s="4" t="n">
        <v>4561</v>
      </c>
      <c r="B1144" s="5" t="n">
        <v>44614</v>
      </c>
      <c r="C1144" s="13" t="inlineStr">
        <is>
          <t>VTA</t>
        </is>
      </c>
      <c r="D1144" s="13" t="n">
        <v>39</v>
      </c>
      <c r="E1144" s="10">
        <f>IF(D1144&gt;0,VLOOKUP(OPERAC[[#This Row],[COD CART]],[1]!MatrizCortoLargoCyl[#All],3,0),"")</f>
        <v/>
      </c>
      <c r="F1144" s="13" t="inlineStr">
        <is>
          <t>DDD/V/15,00/20-01-23</t>
        </is>
      </c>
      <c r="G1144" s="6" t="n">
        <v>-6</v>
      </c>
      <c r="H1144" s="6" t="n">
        <v>18.42</v>
      </c>
      <c r="I1144" s="7">
        <f>-H1144/G1144</f>
        <v/>
      </c>
      <c r="J1144" s="11" t="n"/>
      <c r="K1144" s="6" t="n"/>
      <c r="L1144" s="6" t="n"/>
      <c r="M1144" s="7">
        <f>IF(N1144=0,+L1144+H1144,0)</f>
        <v/>
      </c>
      <c r="N1144" s="7">
        <f>IF((+G1144-K1144)=0,0,+G1144-K1144)</f>
        <v/>
      </c>
      <c r="O1144" s="7">
        <f>IF(N1144=0,0,(L1144+H1144)/-N1144)</f>
        <v/>
      </c>
      <c r="P1144" s="7">
        <f>VLOOKUP(OPERAC[[#This Row],[especie]],[1]!ESPECIES[#All],6,0)</f>
        <v/>
      </c>
      <c r="Q1144" s="7">
        <f>IF(N1144&lt;&gt;0,P1144*N1144,0)</f>
        <v/>
      </c>
      <c r="R1144" s="8">
        <f>IF(Q1144&lt;&gt;0,Q1144+H1144+L1144,0)</f>
        <v/>
      </c>
      <c r="S1144" s="9">
        <f>VLOOKUP(OPERAC[[#This Row],[especie]],[1]!ESPECIES[#Data],9,FALSE)</f>
        <v/>
      </c>
    </row>
    <row r="1145">
      <c r="A1145" s="4" t="n">
        <v>2257</v>
      </c>
      <c r="B1145" s="5" t="n">
        <v>44441</v>
      </c>
      <c r="C1145" s="13" t="inlineStr">
        <is>
          <t>VTA</t>
        </is>
      </c>
      <c r="D1145" s="13" t="n">
        <v>39</v>
      </c>
      <c r="E1145" s="10">
        <f>IF(D1145&gt;0,VLOOKUP(OPERAC[[#This Row],[COD CART]],[1]!MatrizCortoLargoCyl[#All],3,0),"")</f>
        <v/>
      </c>
      <c r="F1145" s="13" t="inlineStr">
        <is>
          <t>DDD/V/15,00/20-01-23</t>
        </is>
      </c>
      <c r="G1145" s="6" t="n">
        <v>-10</v>
      </c>
      <c r="H1145" s="6" t="n">
        <v>18.39</v>
      </c>
      <c r="I1145" s="7">
        <f>-H1145/G1145</f>
        <v/>
      </c>
      <c r="J1145" s="11" t="n"/>
      <c r="K1145" s="6" t="n"/>
      <c r="L1145" s="6" t="n"/>
      <c r="M1145" s="7">
        <f>IF(N1145=0,+L1145+H1145,0)</f>
        <v/>
      </c>
      <c r="N1145" s="7">
        <f>IF((+G1145-K1145)=0,0,+G1145-K1145)</f>
        <v/>
      </c>
      <c r="O1145" s="7">
        <f>IF(N1145=0,0,(L1145+H1145)/-N1145)</f>
        <v/>
      </c>
      <c r="P1145" s="7">
        <f>VLOOKUP(OPERAC[[#This Row],[especie]],[1]!ESPECIES[#All],6,0)</f>
        <v/>
      </c>
      <c r="Q1145" s="7">
        <f>IF(N1145&lt;&gt;0,P1145*N1145,0)</f>
        <v/>
      </c>
      <c r="R1145" s="8">
        <f>IF(Q1145&lt;&gt;0,Q1145+H1145+L1145,0)</f>
        <v/>
      </c>
      <c r="S1145" s="9">
        <f>VLOOKUP(OPERAC[[#This Row],[especie]],[1]!ESPECIES[#Data],9,FALSE)</f>
        <v/>
      </c>
    </row>
    <row r="1146">
      <c r="A1146" s="4" t="n">
        <v>20317</v>
      </c>
      <c r="B1146" s="5" t="n">
        <v>44441</v>
      </c>
      <c r="C1146" s="13" t="inlineStr">
        <is>
          <t>VTA</t>
        </is>
      </c>
      <c r="D1146" s="13" t="n">
        <v>39</v>
      </c>
      <c r="E1146" s="10">
        <f>IF(D1146&gt;0,VLOOKUP(OPERAC[[#This Row],[COD CART]],[1]!MatrizCortoLargoCyl[#All],3,0),"")</f>
        <v/>
      </c>
      <c r="F1146" s="13" t="inlineStr">
        <is>
          <t>DDD/V/15,00/20-01-23</t>
        </is>
      </c>
      <c r="G1146" s="6" t="n">
        <v>-10</v>
      </c>
      <c r="H1146" s="6" t="n">
        <v>18.39</v>
      </c>
      <c r="I1146" s="7">
        <f>-H1146/G1146</f>
        <v/>
      </c>
      <c r="J1146" s="11" t="n"/>
      <c r="K1146" s="6" t="n"/>
      <c r="L1146" s="6" t="n"/>
      <c r="M1146" s="7">
        <f>IF(N1146=0,+L1146+H1146,0)</f>
        <v/>
      </c>
      <c r="N1146" s="7">
        <f>IF((+G1146-K1146)=0,0,+G1146-K1146)</f>
        <v/>
      </c>
      <c r="O1146" s="7">
        <f>IF(N1146=0,0,(L1146+H1146)/-N1146)</f>
        <v/>
      </c>
      <c r="P1146" s="7">
        <f>VLOOKUP(OPERAC[[#This Row],[especie]],[1]!ESPECIES[#All],6,0)</f>
        <v/>
      </c>
      <c r="Q1146" s="7">
        <f>IF(N1146&lt;&gt;0,P1146*N1146,0)</f>
        <v/>
      </c>
      <c r="R1146" s="8">
        <f>IF(Q1146&lt;&gt;0,Q1146+H1146+L1146,0)</f>
        <v/>
      </c>
      <c r="S1146" s="9">
        <f>VLOOKUP(OPERAC[[#This Row],[especie]],[1]!ESPECIES[#Data],9,FALSE)</f>
        <v/>
      </c>
    </row>
    <row r="1147">
      <c r="A1147" s="4" t="n">
        <v>15189</v>
      </c>
      <c r="B1147" s="5" t="n">
        <v>44441</v>
      </c>
      <c r="C1147" s="13" t="inlineStr">
        <is>
          <t>VTA</t>
        </is>
      </c>
      <c r="D1147" s="13" t="n">
        <v>39</v>
      </c>
      <c r="E1147" s="10">
        <f>IF(D1147&gt;0,VLOOKUP(OPERAC[[#This Row],[COD CART]],[1]!MatrizCortoLargoCyl[#All],3,0),"")</f>
        <v/>
      </c>
      <c r="F1147" s="13" t="inlineStr">
        <is>
          <t>DDD/V/15,00/20-01-23</t>
        </is>
      </c>
      <c r="G1147" s="6" t="n">
        <v>-10</v>
      </c>
      <c r="H1147" s="6" t="n">
        <v>18.39</v>
      </c>
      <c r="I1147" s="7">
        <f>-H1147/G1147</f>
        <v/>
      </c>
      <c r="J1147" s="11" t="n">
        <v>44637</v>
      </c>
      <c r="K1147" s="6" t="n">
        <v>-2</v>
      </c>
      <c r="L1147" s="6" t="n">
        <v>-7.568</v>
      </c>
      <c r="M1147" s="7">
        <f>IF(N1147=0,+L1147+H1147,0)</f>
        <v/>
      </c>
      <c r="N1147" s="7">
        <f>IF((+G1147-K1147)=0,0,+G1147-K1147)</f>
        <v/>
      </c>
      <c r="O1147" s="7">
        <f>IF(N1147=0,0,(L1147+H1147)/-N1147)</f>
        <v/>
      </c>
      <c r="P1147" s="7">
        <f>VLOOKUP(OPERAC[[#This Row],[especie]],[1]!ESPECIES[#All],6,0)</f>
        <v/>
      </c>
      <c r="Q1147" s="7">
        <f>IF(N1147&lt;&gt;0,P1147*N1147,0)</f>
        <v/>
      </c>
      <c r="R1147" s="8">
        <f>IF(Q1147&lt;&gt;0,Q1147+H1147+L1147,0)</f>
        <v/>
      </c>
      <c r="S1147" s="9">
        <f>VLOOKUP(OPERAC[[#This Row],[especie]],[1]!ESPECIES[#Data],9,FALSE)</f>
        <v/>
      </c>
    </row>
    <row r="1148">
      <c r="A1148" s="4" t="n">
        <v>18651</v>
      </c>
      <c r="B1148" s="5" t="n">
        <v>44670</v>
      </c>
      <c r="C1148" s="13" t="inlineStr">
        <is>
          <t>VTA</t>
        </is>
      </c>
      <c r="D1148" s="13" t="n">
        <v>39</v>
      </c>
      <c r="E1148" s="10">
        <f>IF(D1148&gt;0,VLOOKUP(OPERAC[[#This Row],[COD CART]],[1]!MatrizCortoLargoCyl[#All],3,0),"")</f>
        <v/>
      </c>
      <c r="F1148" s="13" t="inlineStr">
        <is>
          <t>TSLA/V/400,00/20-01-23</t>
        </is>
      </c>
      <c r="G1148" s="6" t="n">
        <v>-2</v>
      </c>
      <c r="H1148" s="6" t="n">
        <v>18.2436</v>
      </c>
      <c r="I1148" s="7">
        <f>-H1148/G1148</f>
        <v/>
      </c>
      <c r="J1148" s="11" t="n"/>
      <c r="K1148" s="6" t="n"/>
      <c r="L1148" s="6" t="n"/>
      <c r="M1148" s="7">
        <f>IF(N1148=0,+L1148+H1148,0)</f>
        <v/>
      </c>
      <c r="N1148" s="7">
        <f>IF((+G1148-K1148)=0,0,+G1148-K1148)</f>
        <v/>
      </c>
      <c r="O1148" s="7">
        <f>IF(N1148=0,0,(L1148+H1148)/-N1148)</f>
        <v/>
      </c>
      <c r="P1148" s="7">
        <f>VLOOKUP(OPERAC[[#This Row],[especie]],[1]!ESPECIES[#All],6,0)</f>
        <v/>
      </c>
      <c r="Q1148" s="7">
        <f>IF(N1148&lt;&gt;0,P1148*N1148,0)</f>
        <v/>
      </c>
      <c r="R1148" s="8">
        <f>IF(Q1148&lt;&gt;0,Q1148+H1148+L1148,0)</f>
        <v/>
      </c>
      <c r="S1148" s="9">
        <f>VLOOKUP(OPERAC[[#This Row],[especie]],[1]!ESPECIES[#Data],9,FALSE)</f>
        <v/>
      </c>
    </row>
    <row r="1149">
      <c r="A1149" s="4" t="n">
        <v>2218</v>
      </c>
      <c r="B1149" s="5" t="n">
        <v>44431</v>
      </c>
      <c r="C1149" s="13" t="inlineStr">
        <is>
          <t>VTA</t>
        </is>
      </c>
      <c r="D1149" s="13" t="n">
        <v>39</v>
      </c>
      <c r="E1149" s="10">
        <f>IF(D1149&gt;0,VLOOKUP(OPERAC[[#This Row],[COD CART]],[1]!MatrizCortoLargoCyl[#All],3,0),"")</f>
        <v/>
      </c>
      <c r="F1149" s="13" t="inlineStr">
        <is>
          <t>EDU/V/20,00/20-01-23</t>
        </is>
      </c>
      <c r="G1149" s="6" t="n">
        <v>-20</v>
      </c>
      <c r="H1149" s="6" t="n">
        <v>18.11</v>
      </c>
      <c r="I1149" s="7">
        <f>-H1149/G1149</f>
        <v/>
      </c>
      <c r="J1149" s="11" t="n"/>
      <c r="K1149" s="6" t="n"/>
      <c r="L1149" s="6" t="n"/>
      <c r="M1149" s="7">
        <f>IF(N1149=0,+L1149+H1149,0)</f>
        <v/>
      </c>
      <c r="N1149" s="7">
        <f>IF((+G1149-K1149)=0,0,+G1149-K1149)</f>
        <v/>
      </c>
      <c r="O1149" s="7">
        <f>IF(N1149=0,0,(L1149+H1149)/-N1149)</f>
        <v/>
      </c>
      <c r="P1149" s="7">
        <f>VLOOKUP(OPERAC[[#This Row],[especie]],[1]!ESPECIES[#All],6,0)</f>
        <v/>
      </c>
      <c r="Q1149" s="7">
        <f>IF(N1149&lt;&gt;0,P1149*N1149,0)</f>
        <v/>
      </c>
      <c r="R1149" s="8">
        <f>IF(Q1149&lt;&gt;0,Q1149+H1149+L1149,0)</f>
        <v/>
      </c>
      <c r="S1149" s="9">
        <f>VLOOKUP(OPERAC[[#This Row],[especie]],[1]!ESPECIES[#Data],9,FALSE)</f>
        <v/>
      </c>
    </row>
    <row r="1150">
      <c r="A1150" s="4" t="n">
        <v>18662</v>
      </c>
      <c r="B1150" s="5" t="n">
        <v>44601</v>
      </c>
      <c r="C1150" s="13" t="inlineStr">
        <is>
          <t>VTA</t>
        </is>
      </c>
      <c r="D1150" s="13" t="n">
        <v>39</v>
      </c>
      <c r="E1150" s="10">
        <f>IF(D1150&gt;0,VLOOKUP(OPERAC[[#This Row],[COD CART]],[1]!MatrizCortoLargoCyl[#All],3,0),"")</f>
        <v/>
      </c>
      <c r="F1150" s="13" t="inlineStr">
        <is>
          <t>ACB/V/5,00/16-09-22</t>
        </is>
      </c>
      <c r="G1150" s="6" t="n">
        <v>-11</v>
      </c>
      <c r="H1150" s="6">
        <f>-1.56*OPERAC[[#This Row],[cantidad]]</f>
        <v/>
      </c>
      <c r="I1150" s="7">
        <f>-H1150/G1150</f>
        <v/>
      </c>
      <c r="J1150" s="11" t="n"/>
      <c r="K1150" s="6" t="n"/>
      <c r="L1150" s="6" t="n"/>
      <c r="M1150" s="7">
        <f>IF(N1150=0,+L1150+H1150,0)</f>
        <v/>
      </c>
      <c r="N1150" s="7">
        <f>IF((+G1150-K1150)=0,0,+G1150-K1150)</f>
        <v/>
      </c>
      <c r="O1150" s="7">
        <f>IF(N1150=0,0,(L1150+H1150)/-N1150)</f>
        <v/>
      </c>
      <c r="P1150" s="7">
        <f>VLOOKUP(OPERAC[[#This Row],[especie]],[1]!ESPECIES[#All],6,0)</f>
        <v/>
      </c>
      <c r="Q1150" s="7">
        <f>IF(N1150&lt;&gt;0,P1150*N1150,0)</f>
        <v/>
      </c>
      <c r="R1150" s="8">
        <f>IF(Q1150&lt;&gt;0,Q1150+H1150+L1150,0)</f>
        <v/>
      </c>
      <c r="S1150" s="9">
        <f>VLOOKUP(OPERAC[[#This Row],[especie]],[1]!ESPECIES[#Data],9,FALSE)</f>
        <v/>
      </c>
    </row>
    <row r="1151">
      <c r="A1151" s="4" t="n">
        <v>13246</v>
      </c>
      <c r="B1151" s="5" t="n">
        <v>44601</v>
      </c>
      <c r="C1151" s="13" t="inlineStr">
        <is>
          <t>VTA</t>
        </is>
      </c>
      <c r="D1151" s="13" t="n">
        <v>39</v>
      </c>
      <c r="E1151" s="10">
        <f>IF(D1151&gt;0,VLOOKUP(OPERAC[[#This Row],[COD CART]],[1]!MatrizCortoLargoCyl[#All],3,0),"")</f>
        <v/>
      </c>
      <c r="F1151" s="13" t="inlineStr">
        <is>
          <t>TLRY/V/8,00/14-04-22</t>
        </is>
      </c>
      <c r="G1151" s="6" t="n">
        <v>-8</v>
      </c>
      <c r="H1151" s="6">
        <f>-2.1*OPERAC[[#This Row],[cantidad]]</f>
        <v/>
      </c>
      <c r="I1151" s="7">
        <f>-H1151/G1151</f>
        <v/>
      </c>
      <c r="J1151" s="11" t="n">
        <v>44645</v>
      </c>
      <c r="K1151" s="6" t="n">
        <v>-8</v>
      </c>
      <c r="L1151" s="6" t="n">
        <v>-9.571440000000001</v>
      </c>
      <c r="M1151" s="7">
        <f>IF(N1151=0,+L1151+H1151,0)</f>
        <v/>
      </c>
      <c r="N1151" s="7">
        <f>IF((+G1151-K1151)=0,0,+G1151-K1151)</f>
        <v/>
      </c>
      <c r="O1151" s="7">
        <f>IF(N1151=0,0,(L1151+H1151)/-N1151)</f>
        <v/>
      </c>
      <c r="P1151" s="7">
        <f>VLOOKUP(OPERAC[[#This Row],[especie]],[1]!ESPECIES[#All],6,0)</f>
        <v/>
      </c>
      <c r="Q1151" s="7">
        <f>IF(N1151&lt;&gt;0,P1151*N1151,0)</f>
        <v/>
      </c>
      <c r="R1151" s="8">
        <f>IF(Q1151&lt;&gt;0,Q1151+H1151+L1151,0)</f>
        <v/>
      </c>
      <c r="S1151" s="9">
        <f>VLOOKUP(OPERAC[[#This Row],[especie]],[1]!ESPECIES[#Data],9,FALSE)</f>
        <v/>
      </c>
    </row>
    <row r="1152">
      <c r="A1152" s="4" t="n">
        <v>26140</v>
      </c>
      <c r="B1152" s="5" t="n">
        <v>44432</v>
      </c>
      <c r="C1152" s="13" t="inlineStr">
        <is>
          <t>VTA</t>
        </is>
      </c>
      <c r="D1152" s="13" t="n">
        <v>39</v>
      </c>
      <c r="E1152" s="10">
        <f>IF(D1152&gt;0,VLOOKUP(OPERAC[[#This Row],[COD CART]],[1]!MatrizCortoLargoCyl[#All],3,0),"")</f>
        <v/>
      </c>
      <c r="F1152" s="13" t="inlineStr">
        <is>
          <t>EDU/V/20,00/20-01-23</t>
        </is>
      </c>
      <c r="G1152" s="6" t="n">
        <v>-20</v>
      </c>
      <c r="H1152" s="6" t="n">
        <v>16.12</v>
      </c>
      <c r="I1152" s="7">
        <f>-H1152/G1152</f>
        <v/>
      </c>
      <c r="J1152" s="11" t="n"/>
      <c r="K1152" s="6" t="n"/>
      <c r="L1152" s="6" t="n"/>
      <c r="M1152" s="7">
        <f>IF(N1152=0,+L1152+H1152,0)</f>
        <v/>
      </c>
      <c r="N1152" s="7">
        <f>IF((+G1152-K1152)=0,0,+G1152-K1152)</f>
        <v/>
      </c>
      <c r="O1152" s="7">
        <f>IF(N1152=0,0,(L1152+H1152)/-N1152)</f>
        <v/>
      </c>
      <c r="P1152" s="7">
        <f>VLOOKUP(OPERAC[[#This Row],[especie]],[1]!ESPECIES[#All],6,0)</f>
        <v/>
      </c>
      <c r="Q1152" s="7">
        <f>IF(N1152&lt;&gt;0,P1152*N1152,0)</f>
        <v/>
      </c>
      <c r="R1152" s="8">
        <f>IF(Q1152&lt;&gt;0,Q1152+H1152+L1152,0)</f>
        <v/>
      </c>
      <c r="S1152" s="9">
        <f>VLOOKUP(OPERAC[[#This Row],[especie]],[1]!ESPECIES[#Data],9,FALSE)</f>
        <v/>
      </c>
    </row>
    <row r="1153">
      <c r="A1153" s="4" t="n">
        <v>1760</v>
      </c>
      <c r="B1153" s="5" t="n">
        <v>44600</v>
      </c>
      <c r="C1153" s="13" t="inlineStr">
        <is>
          <t>VTA</t>
        </is>
      </c>
      <c r="D1153" s="13" t="n">
        <v>39</v>
      </c>
      <c r="E1153" s="10">
        <f>IF(D1153&gt;0,VLOOKUP(OPERAC[[#This Row],[COD CART]],[1]!MatrizCortoLargoCyl[#All],3,0),"")</f>
        <v/>
      </c>
      <c r="F1153" s="13" t="inlineStr">
        <is>
          <t>DDD/V/12,00/20-01-23</t>
        </is>
      </c>
      <c r="G1153" s="6" t="n">
        <v>-10</v>
      </c>
      <c r="H1153" s="6" t="n">
        <v>15.5</v>
      </c>
      <c r="I1153" s="7">
        <f>-H1153/G1153</f>
        <v/>
      </c>
      <c r="J1153" s="11" t="n"/>
      <c r="K1153" s="6" t="n"/>
      <c r="L1153" s="6" t="n"/>
      <c r="M1153" s="7">
        <f>IF(N1153=0,+L1153+H1153,0)</f>
        <v/>
      </c>
      <c r="N1153" s="7">
        <f>IF((+G1153-K1153)=0,0,+G1153-K1153)</f>
        <v/>
      </c>
      <c r="O1153" s="7">
        <f>IF(N1153=0,0,(L1153+H1153)/-N1153)</f>
        <v/>
      </c>
      <c r="P1153" s="7">
        <f>VLOOKUP(OPERAC[[#This Row],[especie]],[1]!ESPECIES[#All],6,0)</f>
        <v/>
      </c>
      <c r="Q1153" s="7">
        <f>IF(N1153&lt;&gt;0,P1153*N1153,0)</f>
        <v/>
      </c>
      <c r="R1153" s="8">
        <f>IF(Q1153&lt;&gt;0,Q1153+H1153+L1153,0)</f>
        <v/>
      </c>
      <c r="S1153" s="9">
        <f>VLOOKUP(OPERAC[[#This Row],[especie]],[1]!ESPECIES[#Data],9,FALSE)</f>
        <v/>
      </c>
    </row>
    <row r="1154">
      <c r="A1154" s="4" t="n">
        <v>22407</v>
      </c>
      <c r="B1154" s="5" t="n">
        <v>44600</v>
      </c>
      <c r="C1154" s="13" t="inlineStr">
        <is>
          <t>VTA</t>
        </is>
      </c>
      <c r="D1154" s="13" t="n">
        <v>39</v>
      </c>
      <c r="E1154" s="10">
        <f>IF(D1154&gt;0,VLOOKUP(OPERAC[[#This Row],[COD CART]],[1]!MatrizCortoLargoCyl[#All],3,0),"")</f>
        <v/>
      </c>
      <c r="F1154" s="13" t="inlineStr">
        <is>
          <t>DDD/V/12,00/20-01-23</t>
        </is>
      </c>
      <c r="G1154" s="6" t="n">
        <v>-10</v>
      </c>
      <c r="H1154" s="6">
        <f>-1.55*OPERAC[[#This Row],[cantidad]]</f>
        <v/>
      </c>
      <c r="I1154" s="7">
        <f>-H1154/G1154</f>
        <v/>
      </c>
      <c r="J1154" s="11" t="n"/>
      <c r="K1154" s="6" t="n"/>
      <c r="L1154" s="6" t="n"/>
      <c r="M1154" s="7">
        <f>IF(N1154=0,+L1154+H1154,0)</f>
        <v/>
      </c>
      <c r="N1154" s="7">
        <f>IF((+G1154-K1154)=0,0,+G1154-K1154)</f>
        <v/>
      </c>
      <c r="O1154" s="7">
        <f>IF(N1154=0,0,(L1154+H1154)/-N1154)</f>
        <v/>
      </c>
      <c r="P1154" s="7">
        <f>VLOOKUP(OPERAC[[#This Row],[especie]],[1]!ESPECIES[#All],6,0)</f>
        <v/>
      </c>
      <c r="Q1154" s="7">
        <f>IF(N1154&lt;&gt;0,P1154*N1154,0)</f>
        <v/>
      </c>
      <c r="R1154" s="8">
        <f>IF(Q1154&lt;&gt;0,Q1154+H1154+L1154,0)</f>
        <v/>
      </c>
      <c r="S1154" s="9">
        <f>VLOOKUP(OPERAC[[#This Row],[especie]],[1]!ESPECIES[#Data],9,FALSE)</f>
        <v/>
      </c>
    </row>
    <row r="1155">
      <c r="A1155" s="4" t="n">
        <v>26137</v>
      </c>
      <c r="B1155" s="5" t="n">
        <v>44600</v>
      </c>
      <c r="C1155" s="13" t="inlineStr">
        <is>
          <t>VTA</t>
        </is>
      </c>
      <c r="D1155" s="13" t="n">
        <v>39</v>
      </c>
      <c r="E1155" s="10">
        <f>IF(D1155&gt;0,VLOOKUP(OPERAC[[#This Row],[COD CART]],[1]!MatrizCortoLargoCyl[#All],3,0),"")</f>
        <v/>
      </c>
      <c r="F1155" s="13" t="inlineStr">
        <is>
          <t>DDD/V/12,00/20-01-23</t>
        </is>
      </c>
      <c r="G1155" s="6" t="n">
        <v>-10</v>
      </c>
      <c r="H1155" s="6">
        <f>-1.55*OPERAC[[#This Row],[cantidad]]</f>
        <v/>
      </c>
      <c r="I1155" s="7">
        <f>-H1155/G1155</f>
        <v/>
      </c>
      <c r="J1155" s="11" t="n"/>
      <c r="K1155" s="6" t="n"/>
      <c r="L1155" s="6" t="n"/>
      <c r="M1155" s="7">
        <f>IF(N1155=0,+L1155+H1155,0)</f>
        <v/>
      </c>
      <c r="N1155" s="7">
        <f>IF((+G1155-K1155)=0,0,+G1155-K1155)</f>
        <v/>
      </c>
      <c r="O1155" s="7">
        <f>IF(N1155=0,0,(L1155+H1155)/-N1155)</f>
        <v/>
      </c>
      <c r="P1155" s="7">
        <f>VLOOKUP(OPERAC[[#This Row],[especie]],[1]!ESPECIES[#All],6,0)</f>
        <v/>
      </c>
      <c r="Q1155" s="7">
        <f>IF(N1155&lt;&gt;0,P1155*N1155,0)</f>
        <v/>
      </c>
      <c r="R1155" s="8">
        <f>IF(Q1155&lt;&gt;0,Q1155+H1155+L1155,0)</f>
        <v/>
      </c>
      <c r="S1155" s="9">
        <f>VLOOKUP(OPERAC[[#This Row],[especie]],[1]!ESPECIES[#Data],9,FALSE)</f>
        <v/>
      </c>
    </row>
    <row r="1156">
      <c r="A1156" s="4" t="n">
        <v>2255</v>
      </c>
      <c r="B1156" s="5" t="n">
        <v>44466</v>
      </c>
      <c r="C1156" s="13" t="inlineStr">
        <is>
          <t>VTA</t>
        </is>
      </c>
      <c r="D1156" s="13" t="n">
        <v>39</v>
      </c>
      <c r="E1156" s="10">
        <f>IF(D1156&gt;0,VLOOKUP(OPERAC[[#This Row],[COD CART]],[1]!MatrizCortoLargoCyl[#All],3,0),"")</f>
        <v/>
      </c>
      <c r="F1156" s="13" t="inlineStr">
        <is>
          <t>SOLO/V/2,50/20-01-23</t>
        </is>
      </c>
      <c r="G1156" s="6" t="n">
        <v>-25</v>
      </c>
      <c r="H1156" s="6" t="n">
        <v>15.41</v>
      </c>
      <c r="I1156" s="7">
        <f>-H1156/G1156</f>
        <v/>
      </c>
      <c r="J1156" s="11" t="n">
        <v>44617</v>
      </c>
      <c r="K1156" s="6" t="n">
        <v>-5</v>
      </c>
      <c r="L1156" s="6" t="n">
        <v>-6.23</v>
      </c>
      <c r="M1156" s="7">
        <f>IF(N1156=0,+L1156+H1156,0)</f>
        <v/>
      </c>
      <c r="N1156" s="7">
        <f>IF((+G1156-K1156)=0,0,+G1156-K1156)</f>
        <v/>
      </c>
      <c r="O1156" s="7">
        <f>IF(N1156=0,0,(L1156+H1156)/-N1156)</f>
        <v/>
      </c>
      <c r="P1156" s="7">
        <f>VLOOKUP(OPERAC[[#This Row],[especie]],[1]!ESPECIES[#All],6,0)</f>
        <v/>
      </c>
      <c r="Q1156" s="7">
        <f>IF(N1156&lt;&gt;0,P1156*N1156,0)</f>
        <v/>
      </c>
      <c r="R1156" s="8">
        <f>IF(Q1156&lt;&gt;0,Q1156+H1156+L1156,0)</f>
        <v/>
      </c>
      <c r="S1156" s="9">
        <f>VLOOKUP(OPERAC[[#This Row],[especie]],[1]!ESPECIES[#Data],9,FALSE)</f>
        <v/>
      </c>
    </row>
    <row r="1157">
      <c r="A1157" s="4" t="n">
        <v>2253</v>
      </c>
      <c r="B1157" s="5" t="n">
        <v>44712</v>
      </c>
      <c r="C1157" s="13" t="inlineStr">
        <is>
          <t>VTA</t>
        </is>
      </c>
      <c r="D1157" s="13" t="n">
        <v>39</v>
      </c>
      <c r="E1157" s="10">
        <f>IF(D1157&gt;0,VLOOKUP(OPERAC[[#This Row],[COD CART]],[1]!MatrizCortoLargoCyl[#All],3,0),"")</f>
        <v/>
      </c>
      <c r="F1157" s="13" t="inlineStr">
        <is>
          <t>MELI/V/350,00/20-01-23</t>
        </is>
      </c>
      <c r="G1157" s="6" t="n">
        <v>-1</v>
      </c>
      <c r="H1157" s="6" t="n">
        <v>15.36</v>
      </c>
      <c r="I1157" s="7">
        <f>-H1157/G1157</f>
        <v/>
      </c>
      <c r="J1157" s="5" t="n"/>
      <c r="K1157" s="6" t="n"/>
      <c r="L1157" s="6" t="n"/>
      <c r="M1157" s="7">
        <f>IF(N1157=0,+L1157+H1157,0)</f>
        <v/>
      </c>
      <c r="N1157" s="7">
        <f>IF((+G1157-K1157)=0,0,+G1157-K1157)</f>
        <v/>
      </c>
      <c r="O1157" s="7">
        <f>IF(N1157=0,0,(L1157+H1157)/-N1157)</f>
        <v/>
      </c>
      <c r="P1157" s="7">
        <f>VLOOKUP(OPERAC[[#This Row],[especie]],[1]!ESPECIES[#All],6,0)</f>
        <v/>
      </c>
      <c r="Q1157" s="7">
        <f>IF(N1157&lt;&gt;0,P1157*N1157,0)</f>
        <v/>
      </c>
      <c r="R1157" s="8">
        <f>IF(Q1157&lt;&gt;0,Q1157+H1157+L1157,0)</f>
        <v/>
      </c>
      <c r="S1157" s="9">
        <f>VLOOKUP(OPERAC[[#This Row],[especie]],[1]!ESPECIES[#Data],9,FALSE)</f>
        <v/>
      </c>
    </row>
    <row r="1158">
      <c r="A1158" s="4" t="n">
        <v>2255</v>
      </c>
      <c r="B1158" s="5" t="n">
        <v>44712</v>
      </c>
      <c r="C1158" s="13" t="inlineStr">
        <is>
          <t>VTA</t>
        </is>
      </c>
      <c r="D1158" s="13" t="n">
        <v>39</v>
      </c>
      <c r="E1158" s="10">
        <f>IF(D1158&gt;0,VLOOKUP(OPERAC[[#This Row],[COD CART]],[1]!MatrizCortoLargoCyl[#All],3,0),"")</f>
        <v/>
      </c>
      <c r="F1158" s="13" t="inlineStr">
        <is>
          <t>MELI/V/350,00/20-01-23</t>
        </is>
      </c>
      <c r="G1158" s="6" t="n">
        <v>-1</v>
      </c>
      <c r="H1158" s="6" t="n">
        <v>15.36</v>
      </c>
      <c r="I1158" s="7">
        <f>-H1158/G1158</f>
        <v/>
      </c>
      <c r="J1158" s="5" t="n"/>
      <c r="K1158" s="6" t="n"/>
      <c r="L1158" s="6" t="n"/>
      <c r="M1158" s="7">
        <f>IF(N1158=0,+L1158+H1158,0)</f>
        <v/>
      </c>
      <c r="N1158" s="7">
        <f>IF((+G1158-K1158)=0,0,+G1158-K1158)</f>
        <v/>
      </c>
      <c r="O1158" s="7">
        <f>IF(N1158=0,0,(L1158+H1158)/-N1158)</f>
        <v/>
      </c>
      <c r="P1158" s="7">
        <f>VLOOKUP(OPERAC[[#This Row],[especie]],[1]!ESPECIES[#All],6,0)</f>
        <v/>
      </c>
      <c r="Q1158" s="7">
        <f>IF(N1158&lt;&gt;0,P1158*N1158,0)</f>
        <v/>
      </c>
      <c r="R1158" s="8">
        <f>IF(Q1158&lt;&gt;0,Q1158+H1158+L1158,0)</f>
        <v/>
      </c>
      <c r="S1158" s="9">
        <f>VLOOKUP(OPERAC[[#This Row],[especie]],[1]!ESPECIES[#Data],9,FALSE)</f>
        <v/>
      </c>
    </row>
    <row r="1159">
      <c r="A1159" s="4" t="n">
        <v>10079</v>
      </c>
      <c r="B1159" s="5" t="n">
        <v>44712</v>
      </c>
      <c r="C1159" s="13" t="inlineStr">
        <is>
          <t>VTA</t>
        </is>
      </c>
      <c r="D1159" s="13" t="n">
        <v>39</v>
      </c>
      <c r="E1159" s="10">
        <f>IF(D1159&gt;0,VLOOKUP(OPERAC[[#This Row],[COD CART]],[1]!MatrizCortoLargoCyl[#All],3,0),"")</f>
        <v/>
      </c>
      <c r="F1159" s="13" t="inlineStr">
        <is>
          <t>MELI/V/350,00/20-01-23</t>
        </is>
      </c>
      <c r="G1159" s="6" t="n">
        <v>-1</v>
      </c>
      <c r="H1159" s="6" t="n">
        <v>15.36</v>
      </c>
      <c r="I1159" s="7">
        <f>-H1159/G1159</f>
        <v/>
      </c>
      <c r="J1159" s="5" t="n"/>
      <c r="K1159" s="6" t="n"/>
      <c r="L1159" s="6" t="n"/>
      <c r="M1159" s="7">
        <f>IF(N1159=0,+L1159+H1159,0)</f>
        <v/>
      </c>
      <c r="N1159" s="7">
        <f>IF((+G1159-K1159)=0,0,+G1159-K1159)</f>
        <v/>
      </c>
      <c r="O1159" s="7">
        <f>IF(N1159=0,0,(L1159+H1159)/-N1159)</f>
        <v/>
      </c>
      <c r="P1159" s="7">
        <f>VLOOKUP(OPERAC[[#This Row],[especie]],[1]!ESPECIES[#All],6,0)</f>
        <v/>
      </c>
      <c r="Q1159" s="7">
        <f>IF(N1159&lt;&gt;0,P1159*N1159,0)</f>
        <v/>
      </c>
      <c r="R1159" s="8">
        <f>IF(Q1159&lt;&gt;0,Q1159+H1159+L1159,0)</f>
        <v/>
      </c>
      <c r="S1159" s="9">
        <f>VLOOKUP(OPERAC[[#This Row],[especie]],[1]!ESPECIES[#Data],9,FALSE)</f>
        <v/>
      </c>
    </row>
    <row r="1160">
      <c r="A1160" s="4" t="n">
        <v>2289</v>
      </c>
      <c r="B1160" s="5" t="n">
        <v>44712</v>
      </c>
      <c r="C1160" s="13" t="inlineStr">
        <is>
          <t>VTA</t>
        </is>
      </c>
      <c r="D1160" s="13" t="n">
        <v>39</v>
      </c>
      <c r="E1160" s="10">
        <f>IF(D1160&gt;0,VLOOKUP(OPERAC[[#This Row],[COD CART]],[1]!MatrizCortoLargoCyl[#All],3,0),"")</f>
        <v/>
      </c>
      <c r="F1160" s="13" t="inlineStr">
        <is>
          <t>MELI/V/350,00/20-01-23</t>
        </is>
      </c>
      <c r="G1160" s="6" t="n">
        <v>-1</v>
      </c>
      <c r="H1160" s="6" t="n">
        <v>15.36</v>
      </c>
      <c r="I1160" s="7">
        <f>-H1160/G1160</f>
        <v/>
      </c>
      <c r="J1160" s="5" t="n"/>
      <c r="K1160" s="6" t="n"/>
      <c r="L1160" s="6" t="n"/>
      <c r="M1160" s="7">
        <f>IF(N1160=0,+L1160+H1160,0)</f>
        <v/>
      </c>
      <c r="N1160" s="7">
        <f>IF((+G1160-K1160)=0,0,+G1160-K1160)</f>
        <v/>
      </c>
      <c r="O1160" s="7">
        <f>IF(N1160=0,0,(L1160+H1160)/-N1160)</f>
        <v/>
      </c>
      <c r="P1160" s="7">
        <f>VLOOKUP(OPERAC[[#This Row],[especie]],[1]!ESPECIES[#All],6,0)</f>
        <v/>
      </c>
      <c r="Q1160" s="7">
        <f>IF(N1160&lt;&gt;0,P1160*N1160,0)</f>
        <v/>
      </c>
      <c r="R1160" s="8">
        <f>IF(Q1160&lt;&gt;0,Q1160+H1160+L1160,0)</f>
        <v/>
      </c>
      <c r="S1160" s="9">
        <f>VLOOKUP(OPERAC[[#This Row],[especie]],[1]!ESPECIES[#Data],9,FALSE)</f>
        <v/>
      </c>
    </row>
    <row r="1161">
      <c r="A1161" s="4" t="n">
        <v>12627</v>
      </c>
      <c r="B1161" s="5" t="n">
        <v>44656</v>
      </c>
      <c r="C1161" s="13" t="inlineStr">
        <is>
          <t>VTA</t>
        </is>
      </c>
      <c r="D1161" s="13" t="n">
        <v>39</v>
      </c>
      <c r="E1161" s="10">
        <f>IF(D1161&gt;0,VLOOKUP(OPERAC[[#This Row],[COD CART]],[1]!MatrizCortoLargoCyl[#All],3,0),"")</f>
        <v/>
      </c>
      <c r="F1161" s="13" t="inlineStr">
        <is>
          <t>EDIT/V/17,50/20-01-23</t>
        </is>
      </c>
      <c r="G1161" s="6" t="n">
        <v>-5</v>
      </c>
      <c r="H1161" s="6" t="n">
        <v>14.88</v>
      </c>
      <c r="I1161" s="7">
        <f>-H1161/G1161</f>
        <v/>
      </c>
      <c r="J1161" s="11" t="n"/>
      <c r="K1161" s="6" t="n"/>
      <c r="L1161" s="6" t="n"/>
      <c r="M1161" s="7">
        <f>IF(N1161=0,+L1161+H1161,0)</f>
        <v/>
      </c>
      <c r="N1161" s="7">
        <f>IF((+G1161-K1161)=0,0,+G1161-K1161)</f>
        <v/>
      </c>
      <c r="O1161" s="7">
        <f>IF(N1161=0,0,(L1161+H1161)/-N1161)</f>
        <v/>
      </c>
      <c r="P1161" s="7">
        <f>VLOOKUP(OPERAC[[#This Row],[especie]],[1]!ESPECIES[#All],6,0)</f>
        <v/>
      </c>
      <c r="Q1161" s="7">
        <f>IF(N1161&lt;&gt;0,P1161*N1161,0)</f>
        <v/>
      </c>
      <c r="R1161" s="8">
        <f>IF(Q1161&lt;&gt;0,Q1161+H1161+L1161,0)</f>
        <v/>
      </c>
      <c r="S1161" s="9">
        <f>VLOOKUP(OPERAC[[#This Row],[especie]],[1]!ESPECIES[#Data],9,FALSE)</f>
        <v/>
      </c>
    </row>
    <row r="1162">
      <c r="A1162" s="4" t="n">
        <v>19888</v>
      </c>
      <c r="B1162" s="5" t="n">
        <v>44656</v>
      </c>
      <c r="C1162" s="13" t="inlineStr">
        <is>
          <t>VTA</t>
        </is>
      </c>
      <c r="D1162" s="13" t="n">
        <v>39</v>
      </c>
      <c r="E1162" s="10">
        <f>IF(D1162&gt;0,VLOOKUP(OPERAC[[#This Row],[COD CART]],[1]!MatrizCortoLargoCyl[#All],3,0),"")</f>
        <v/>
      </c>
      <c r="F1162" s="13" t="inlineStr">
        <is>
          <t>EDIT/V/17,50/20-01-23</t>
        </is>
      </c>
      <c r="G1162" s="6" t="n">
        <v>-5</v>
      </c>
      <c r="H1162" s="6" t="n">
        <v>14.88</v>
      </c>
      <c r="I1162" s="7">
        <f>-H1162/G1162</f>
        <v/>
      </c>
      <c r="J1162" s="11" t="n"/>
      <c r="K1162" s="6" t="n"/>
      <c r="L1162" s="6" t="n"/>
      <c r="M1162" s="7">
        <f>IF(N1162=0,+L1162+H1162,0)</f>
        <v/>
      </c>
      <c r="N1162" s="7">
        <f>IF((+G1162-K1162)=0,0,+G1162-K1162)</f>
        <v/>
      </c>
      <c r="O1162" s="7">
        <f>IF(N1162=0,0,(L1162+H1162)/-N1162)</f>
        <v/>
      </c>
      <c r="P1162" s="7">
        <f>VLOOKUP(OPERAC[[#This Row],[especie]],[1]!ESPECIES[#All],6,0)</f>
        <v/>
      </c>
      <c r="Q1162" s="7">
        <f>IF(N1162&lt;&gt;0,P1162*N1162,0)</f>
        <v/>
      </c>
      <c r="R1162" s="8">
        <f>IF(Q1162&lt;&gt;0,Q1162+H1162+L1162,0)</f>
        <v/>
      </c>
      <c r="S1162" s="9">
        <f>VLOOKUP(OPERAC[[#This Row],[especie]],[1]!ESPECIES[#Data],9,FALSE)</f>
        <v/>
      </c>
    </row>
    <row r="1163">
      <c r="A1163" s="4" t="n">
        <v>12627</v>
      </c>
      <c r="B1163" s="5" t="n">
        <v>44531</v>
      </c>
      <c r="C1163" s="13" t="inlineStr">
        <is>
          <t>VTA</t>
        </is>
      </c>
      <c r="D1163" s="13" t="n">
        <v>39</v>
      </c>
      <c r="E1163" s="10">
        <f>IF(D1163&gt;0,VLOOKUP(OPERAC[[#This Row],[COD CART]],[1]!MatrizCortoLargoCyl[#All],3,0),"")</f>
        <v/>
      </c>
      <c r="F1163" s="13" t="inlineStr">
        <is>
          <t>V/V/145,00/16-09-22</t>
        </is>
      </c>
      <c r="G1163" s="6" t="n">
        <v>-3</v>
      </c>
      <c r="H1163" s="6" t="n">
        <v>14.8689</v>
      </c>
      <c r="I1163" s="7">
        <f>-H1163/G1163</f>
        <v/>
      </c>
      <c r="J1163" s="11" t="n">
        <v>44677</v>
      </c>
      <c r="K1163" s="6" t="n">
        <v>-3</v>
      </c>
      <c r="L1163" s="6" t="n">
        <v>-8.01</v>
      </c>
      <c r="M1163" s="7">
        <f>IF(N1163=0,+L1163+H1163,0)</f>
        <v/>
      </c>
      <c r="N1163" s="7">
        <f>IF((+G1163-K1163)=0,0,+G1163-K1163)</f>
        <v/>
      </c>
      <c r="O1163" s="7">
        <f>IF(N1163=0,0,(L1163+H1163)/-N1163)</f>
        <v/>
      </c>
      <c r="P1163" s="7">
        <f>VLOOKUP(OPERAC[[#This Row],[especie]],[1]!ESPECIES[#All],6,0)</f>
        <v/>
      </c>
      <c r="Q1163" s="7">
        <f>IF(N1163&lt;&gt;0,P1163*N1163,0)</f>
        <v/>
      </c>
      <c r="R1163" s="8">
        <f>IF(Q1163&lt;&gt;0,Q1163+H1163+L1163,0)</f>
        <v/>
      </c>
      <c r="S1163" s="9">
        <f>VLOOKUP(OPERAC[[#This Row],[especie]],[1]!ESPECIES[#Data],9,FALSE)</f>
        <v/>
      </c>
    </row>
    <row r="1164">
      <c r="A1164" s="4" t="n">
        <v>16795</v>
      </c>
      <c r="B1164" s="5" t="n">
        <v>44601</v>
      </c>
      <c r="C1164" s="13" t="inlineStr">
        <is>
          <t>VTA</t>
        </is>
      </c>
      <c r="D1164" s="13" t="n">
        <v>39</v>
      </c>
      <c r="E1164" s="10">
        <f>IF(D1164&gt;0,VLOOKUP(OPERAC[[#This Row],[COD CART]],[1]!MatrizCortoLargoCyl[#All],3,0),"")</f>
        <v/>
      </c>
      <c r="F1164" s="13" t="inlineStr">
        <is>
          <t>TLRY/V/8,00/14-04-22</t>
        </is>
      </c>
      <c r="G1164" s="6" t="n">
        <v>-7</v>
      </c>
      <c r="H1164" s="6">
        <f>-2.1*OPERAC[[#This Row],[cantidad]]</f>
        <v/>
      </c>
      <c r="I1164" s="7">
        <f>-H1164/G1164</f>
        <v/>
      </c>
      <c r="J1164" s="11" t="n">
        <v>44645</v>
      </c>
      <c r="K1164" s="6" t="n">
        <v>-7</v>
      </c>
      <c r="L1164" s="6" t="n">
        <v>-8.37501</v>
      </c>
      <c r="M1164" s="7">
        <f>IF(N1164=0,+L1164+H1164,0)</f>
        <v/>
      </c>
      <c r="N1164" s="7">
        <f>IF((+G1164-K1164)=0,0,+G1164-K1164)</f>
        <v/>
      </c>
      <c r="O1164" s="7">
        <f>IF(N1164=0,0,(L1164+H1164)/-N1164)</f>
        <v/>
      </c>
      <c r="P1164" s="7">
        <f>VLOOKUP(OPERAC[[#This Row],[especie]],[1]!ESPECIES[#All],6,0)</f>
        <v/>
      </c>
      <c r="Q1164" s="7">
        <f>IF(N1164&lt;&gt;0,P1164*N1164,0)</f>
        <v/>
      </c>
      <c r="R1164" s="8">
        <f>IF(Q1164&lt;&gt;0,Q1164+H1164+L1164,0)</f>
        <v/>
      </c>
      <c r="S1164" s="9">
        <f>VLOOKUP(OPERAC[[#This Row],[especie]],[1]!ESPECIES[#Data],9,FALSE)</f>
        <v/>
      </c>
    </row>
    <row r="1165">
      <c r="A1165" s="4" t="n">
        <v>19888</v>
      </c>
      <c r="B1165" s="5" t="n">
        <v>44424</v>
      </c>
      <c r="C1165" s="13" t="inlineStr">
        <is>
          <t>VTA</t>
        </is>
      </c>
      <c r="D1165" s="13" t="n">
        <v>39</v>
      </c>
      <c r="E1165" s="10">
        <f>IF(D1165&gt;0,VLOOKUP(OPERAC[[#This Row],[COD CART]],[1]!MatrizCortoLargoCyl[#All],3,0),"")</f>
        <v/>
      </c>
      <c r="F1165" s="13" t="inlineStr">
        <is>
          <t>ACB/V/5,00/20-01-23</t>
        </is>
      </c>
      <c r="G1165" s="6" t="n">
        <v>-10</v>
      </c>
      <c r="H1165" s="6" t="n">
        <v>14.37</v>
      </c>
      <c r="I1165" s="7">
        <f>-H1165/G1165</f>
        <v/>
      </c>
      <c r="J1165" s="11" t="n"/>
      <c r="K1165" s="6" t="n"/>
      <c r="L1165" s="6" t="n"/>
      <c r="M1165" s="7">
        <f>IF(N1165=0,+L1165+H1165,0)</f>
        <v/>
      </c>
      <c r="N1165" s="7">
        <f>IF((+G1165-K1165)=0,0,+G1165-K1165)</f>
        <v/>
      </c>
      <c r="O1165" s="7">
        <f>IF(N1165=0,0,(L1165+H1165)/-N1165)</f>
        <v/>
      </c>
      <c r="P1165" s="7">
        <f>VLOOKUP(OPERAC[[#This Row],[especie]],[1]!ESPECIES[#All],6,0)</f>
        <v/>
      </c>
      <c r="Q1165" s="7">
        <f>IF(N1165&lt;&gt;0,P1165*N1165,0)</f>
        <v/>
      </c>
      <c r="R1165" s="8">
        <f>IF(Q1165&lt;&gt;0,Q1165+H1165+L1165,0)</f>
        <v/>
      </c>
      <c r="S1165" s="9">
        <f>VLOOKUP(OPERAC[[#This Row],[especie]],[1]!ESPECIES[#Data],9,FALSE)</f>
        <v/>
      </c>
    </row>
    <row r="1166">
      <c r="A1166" s="4" t="n">
        <v>13188</v>
      </c>
      <c r="B1166" s="5" t="n">
        <v>44531</v>
      </c>
      <c r="C1166" s="13" t="inlineStr">
        <is>
          <t>VTA</t>
        </is>
      </c>
      <c r="D1166" s="13" t="n">
        <v>39</v>
      </c>
      <c r="E1166" s="10">
        <f>IF(D1166&gt;0,VLOOKUP(OPERAC[[#This Row],[COD CART]],[1]!MatrizCortoLargoCyl[#All],3,0),"")</f>
        <v/>
      </c>
      <c r="F1166" s="13" t="inlineStr">
        <is>
          <t>SOLO/V/3,00/17-06-22</t>
        </is>
      </c>
      <c r="G1166" s="6" t="n">
        <v>-15</v>
      </c>
      <c r="H1166" s="6" t="n">
        <v>14.0985</v>
      </c>
      <c r="I1166" s="7">
        <f>-H1166/G1166</f>
        <v/>
      </c>
      <c r="J1166" s="11" t="n">
        <v>44690</v>
      </c>
      <c r="K1166" s="6" t="n">
        <v>-15</v>
      </c>
      <c r="L1166" s="6" t="n">
        <v>-21.93</v>
      </c>
      <c r="M1166" s="7">
        <f>IF(N1166=0,+L1166+H1166,0)</f>
        <v/>
      </c>
      <c r="N1166" s="7">
        <f>IF((+G1166-K1166)=0,0,+G1166-K1166)</f>
        <v/>
      </c>
      <c r="O1166" s="7">
        <f>IF(N1166=0,0,(L1166+H1166)/-N1166)</f>
        <v/>
      </c>
      <c r="P1166" s="7">
        <f>VLOOKUP(OPERAC[[#This Row],[especie]],[1]!ESPECIES[#All],6,0)</f>
        <v/>
      </c>
      <c r="Q1166" s="7">
        <f>IF(N1166&lt;&gt;0,P1166*N1166,0)</f>
        <v/>
      </c>
      <c r="R1166" s="8">
        <f>IF(Q1166&lt;&gt;0,Q1166+H1166+L1166,0)</f>
        <v/>
      </c>
      <c r="S1166" s="9">
        <f>VLOOKUP(OPERAC[[#This Row],[especie]],[1]!ESPECIES[#Data],9,FALSE)</f>
        <v/>
      </c>
    </row>
    <row r="1167">
      <c r="A1167" s="4" t="n">
        <v>1760</v>
      </c>
      <c r="B1167" s="5" t="n">
        <v>44601</v>
      </c>
      <c r="C1167" s="13" t="inlineStr">
        <is>
          <t>VTA</t>
        </is>
      </c>
      <c r="D1167" s="13" t="n">
        <v>39</v>
      </c>
      <c r="E1167" s="10">
        <f>IF(D1167&gt;0,VLOOKUP(OPERAC[[#This Row],[COD CART]],[1]!MatrizCortoLargoCyl[#All],3,0),"")</f>
        <v/>
      </c>
      <c r="F1167" s="13" t="inlineStr">
        <is>
          <t>ACB/V/5,00/16-09-22</t>
        </is>
      </c>
      <c r="G1167" s="6" t="n">
        <v>-9</v>
      </c>
      <c r="H1167" s="6">
        <f>-1.56*OPERAC[[#This Row],[cantidad]]</f>
        <v/>
      </c>
      <c r="I1167" s="7">
        <f>-H1167/G1167</f>
        <v/>
      </c>
      <c r="J1167" s="11" t="n">
        <v>44622</v>
      </c>
      <c r="K1167" s="6" t="n">
        <v>-9</v>
      </c>
      <c r="L1167" s="6" t="n">
        <v>-17.75</v>
      </c>
      <c r="M1167" s="7">
        <f>IF(N1167=0,+L1167+H1167,0)</f>
        <v/>
      </c>
      <c r="N1167" s="7">
        <f>IF((+G1167-K1167)=0,0,+G1167-K1167)</f>
        <v/>
      </c>
      <c r="O1167" s="7">
        <f>IF(N1167=0,0,(L1167+H1167)/-N1167)</f>
        <v/>
      </c>
      <c r="P1167" s="7">
        <f>VLOOKUP(OPERAC[[#This Row],[especie]],[1]!ESPECIES[#All],6,0)</f>
        <v/>
      </c>
      <c r="Q1167" s="7">
        <f>IF(N1167&lt;&gt;0,P1167*N1167,0)</f>
        <v/>
      </c>
      <c r="R1167" s="8">
        <f>IF(Q1167&lt;&gt;0,Q1167+H1167+L1167,0)</f>
        <v/>
      </c>
      <c r="S1167" s="9">
        <f>VLOOKUP(OPERAC[[#This Row],[especie]],[1]!ESPECIES[#Data],9,FALSE)</f>
        <v/>
      </c>
    </row>
    <row r="1168">
      <c r="A1168" s="4" t="n">
        <v>18703</v>
      </c>
      <c r="B1168" s="5" t="n">
        <v>44614</v>
      </c>
      <c r="C1168" s="13" t="inlineStr">
        <is>
          <t>VTA</t>
        </is>
      </c>
      <c r="D1168" s="13" t="n">
        <v>39</v>
      </c>
      <c r="E1168" s="10">
        <f>IF(D1168&gt;0,VLOOKUP(OPERAC[[#This Row],[COD CART]],[1]!MatrizCortoLargoCyl[#All],3,0),"")</f>
        <v/>
      </c>
      <c r="F1168" s="13" t="inlineStr">
        <is>
          <t>SPWR/V/10,00/20-01-23</t>
        </is>
      </c>
      <c r="G1168" s="6" t="n">
        <v>-10</v>
      </c>
      <c r="H1168" s="6" t="n">
        <v>13.84</v>
      </c>
      <c r="I1168" s="7">
        <f>-H1168/G1168</f>
        <v/>
      </c>
      <c r="J1168" s="11" t="n"/>
      <c r="K1168" s="6" t="n"/>
      <c r="L1168" s="6" t="n"/>
      <c r="M1168" s="7">
        <f>IF(N1168=0,+L1168+H1168,0)</f>
        <v/>
      </c>
      <c r="N1168" s="7">
        <f>IF((+G1168-K1168)=0,0,+G1168-K1168)</f>
        <v/>
      </c>
      <c r="O1168" s="7">
        <f>IF(N1168=0,0,(L1168+H1168)/-N1168)</f>
        <v/>
      </c>
      <c r="P1168" s="7">
        <f>VLOOKUP(OPERAC[[#This Row],[especie]],[1]!ESPECIES[#All],6,0)</f>
        <v/>
      </c>
      <c r="Q1168" s="7">
        <f>IF(N1168&lt;&gt;0,P1168*N1168,0)</f>
        <v/>
      </c>
      <c r="R1168" s="8">
        <f>IF(Q1168&lt;&gt;0,Q1168+H1168+L1168,0)</f>
        <v/>
      </c>
      <c r="S1168" s="9">
        <f>VLOOKUP(OPERAC[[#This Row],[especie]],[1]!ESPECIES[#Data],9,FALSE)</f>
        <v/>
      </c>
    </row>
    <row r="1169">
      <c r="A1169" s="4" t="n">
        <v>4561</v>
      </c>
      <c r="B1169" s="5" t="n">
        <v>44614</v>
      </c>
      <c r="C1169" s="13" t="inlineStr">
        <is>
          <t>VTA</t>
        </is>
      </c>
      <c r="D1169" s="13" t="n">
        <v>39</v>
      </c>
      <c r="E1169" s="10">
        <f>IF(D1169&gt;0,VLOOKUP(OPERAC[[#This Row],[COD CART]],[1]!MatrizCortoLargoCyl[#All],3,0),"")</f>
        <v/>
      </c>
      <c r="F1169" s="13" t="inlineStr">
        <is>
          <t>SOLO/V/2,00/20-01-23</t>
        </is>
      </c>
      <c r="G1169" s="6" t="n">
        <v>-20</v>
      </c>
      <c r="H1169" s="6" t="n">
        <v>13.8</v>
      </c>
      <c r="I1169" s="7">
        <f>-H1169/G1169</f>
        <v/>
      </c>
      <c r="J1169" s="11" t="n"/>
      <c r="K1169" s="6" t="n"/>
      <c r="L1169" s="6" t="n"/>
      <c r="M1169" s="7">
        <f>IF(N1169=0,+L1169+H1169,0)</f>
        <v/>
      </c>
      <c r="N1169" s="7">
        <f>IF((+G1169-K1169)=0,0,+G1169-K1169)</f>
        <v/>
      </c>
      <c r="O1169" s="7">
        <f>IF(N1169=0,0,(L1169+H1169)/-N1169)</f>
        <v/>
      </c>
      <c r="P1169" s="7">
        <f>VLOOKUP(OPERAC[[#This Row],[especie]],[1]!ESPECIES[#All],6,0)</f>
        <v/>
      </c>
      <c r="Q1169" s="7">
        <f>IF(N1169&lt;&gt;0,P1169*N1169,0)</f>
        <v/>
      </c>
      <c r="R1169" s="8">
        <f>IF(Q1169&lt;&gt;0,Q1169+H1169+L1169,0)</f>
        <v/>
      </c>
      <c r="S1169" s="9">
        <f>VLOOKUP(OPERAC[[#This Row],[especie]],[1]!ESPECIES[#Data],9,FALSE)</f>
        <v/>
      </c>
    </row>
    <row r="1170">
      <c r="A1170" s="4" t="n">
        <v>19881</v>
      </c>
      <c r="B1170" s="5" t="n">
        <v>44614</v>
      </c>
      <c r="C1170" s="13" t="inlineStr">
        <is>
          <t>VTA</t>
        </is>
      </c>
      <c r="D1170" s="13" t="n">
        <v>39</v>
      </c>
      <c r="E1170" s="10">
        <f>IF(D1170&gt;0,VLOOKUP(OPERAC[[#This Row],[COD CART]],[1]!MatrizCortoLargoCyl[#All],3,0),"")</f>
        <v/>
      </c>
      <c r="F1170" s="13" t="inlineStr">
        <is>
          <t>SOLO/V/2,00/20-01-23</t>
        </is>
      </c>
      <c r="G1170" s="6" t="n">
        <v>-20</v>
      </c>
      <c r="H1170" s="6" t="n">
        <v>13.8</v>
      </c>
      <c r="I1170" s="7">
        <f>-H1170/G1170</f>
        <v/>
      </c>
      <c r="J1170" s="11" t="n"/>
      <c r="K1170" s="6" t="n"/>
      <c r="L1170" s="6" t="n"/>
      <c r="M1170" s="7">
        <f>IF(N1170=0,+L1170+H1170,0)</f>
        <v/>
      </c>
      <c r="N1170" s="7">
        <f>IF((+G1170-K1170)=0,0,+G1170-K1170)</f>
        <v/>
      </c>
      <c r="O1170" s="7">
        <f>IF(N1170=0,0,(L1170+H1170)/-N1170)</f>
        <v/>
      </c>
      <c r="P1170" s="7">
        <f>VLOOKUP(OPERAC[[#This Row],[especie]],[1]!ESPECIES[#All],6,0)</f>
        <v/>
      </c>
      <c r="Q1170" s="7">
        <f>IF(N1170&lt;&gt;0,P1170*N1170,0)</f>
        <v/>
      </c>
      <c r="R1170" s="8">
        <f>IF(Q1170&lt;&gt;0,Q1170+H1170+L1170,0)</f>
        <v/>
      </c>
      <c r="S1170" s="9">
        <f>VLOOKUP(OPERAC[[#This Row],[especie]],[1]!ESPECIES[#Data],9,FALSE)</f>
        <v/>
      </c>
    </row>
    <row r="1171">
      <c r="A1171" s="4" t="n">
        <v>22407</v>
      </c>
      <c r="B1171" s="5" t="n">
        <v>44645</v>
      </c>
      <c r="C1171" s="13" t="inlineStr">
        <is>
          <t>VTA</t>
        </is>
      </c>
      <c r="D1171" s="13" t="n">
        <v>39</v>
      </c>
      <c r="E1171" s="10">
        <f>IF(D1171&gt;0,VLOOKUP(OPERAC[[#This Row],[COD CART]],[1]!MatrizCortoLargoCyl[#All],3,0),"")</f>
        <v/>
      </c>
      <c r="F1171" s="13" t="inlineStr">
        <is>
          <t>TLRY/V/6,00/16-09-22</t>
        </is>
      </c>
      <c r="G1171" s="6" t="n">
        <v>-13</v>
      </c>
      <c r="H1171" s="6" t="n">
        <v>13.4498</v>
      </c>
      <c r="I1171" s="7">
        <f>-H1171/G1171</f>
        <v/>
      </c>
      <c r="J1171" s="11" t="n"/>
      <c r="K1171" s="6" t="n"/>
      <c r="L1171" s="6" t="n"/>
      <c r="M1171" s="7">
        <f>IF(N1171=0,+L1171+H1171,0)</f>
        <v/>
      </c>
      <c r="N1171" s="7">
        <f>IF((+G1171-K1171)=0,0,+G1171-K1171)</f>
        <v/>
      </c>
      <c r="O1171" s="7">
        <f>IF(N1171=0,0,(L1171+H1171)/-N1171)</f>
        <v/>
      </c>
      <c r="P1171" s="7">
        <f>VLOOKUP(OPERAC[[#This Row],[especie]],[1]!ESPECIES[#All],6,0)</f>
        <v/>
      </c>
      <c r="Q1171" s="7">
        <f>IF(N1171&lt;&gt;0,P1171*N1171,0)</f>
        <v/>
      </c>
      <c r="R1171" s="8">
        <f>IF(Q1171&lt;&gt;0,Q1171+H1171+L1171,0)</f>
        <v/>
      </c>
      <c r="S1171" s="9">
        <f>VLOOKUP(OPERAC[[#This Row],[especie]],[1]!ESPECIES[#Data],9,FALSE)</f>
        <v/>
      </c>
    </row>
    <row r="1172">
      <c r="A1172" s="4" t="n">
        <v>6579</v>
      </c>
      <c r="B1172" s="5" t="n">
        <v>44614</v>
      </c>
      <c r="C1172" s="13" t="inlineStr">
        <is>
          <t>VTA</t>
        </is>
      </c>
      <c r="D1172" s="13" t="n">
        <v>39</v>
      </c>
      <c r="E1172" s="10">
        <f>IF(D1172&gt;0,VLOOKUP(OPERAC[[#This Row],[COD CART]],[1]!MatrizCortoLargoCyl[#All],3,0),"")</f>
        <v/>
      </c>
      <c r="F1172" s="13" t="inlineStr">
        <is>
          <t>NFLX/V/200,00/20-01-23</t>
        </is>
      </c>
      <c r="G1172" s="6" t="n">
        <v>-2</v>
      </c>
      <c r="H1172" s="6" t="n">
        <v>12.88</v>
      </c>
      <c r="I1172" s="7">
        <f>-H1172/G1172</f>
        <v/>
      </c>
      <c r="J1172" s="11" t="n">
        <v>44617</v>
      </c>
      <c r="K1172" s="6" t="n">
        <v>-2</v>
      </c>
      <c r="L1172" s="6" t="n">
        <v>-13.7168</v>
      </c>
      <c r="M1172" s="7">
        <f>IF(N1172=0,+L1172+H1172,0)</f>
        <v/>
      </c>
      <c r="N1172" s="7">
        <f>IF((+G1172-K1172)=0,0,+G1172-K1172)</f>
        <v/>
      </c>
      <c r="O1172" s="7">
        <f>IF(N1172=0,0,(L1172+H1172)/-N1172)</f>
        <v/>
      </c>
      <c r="P1172" s="7">
        <f>VLOOKUP(OPERAC[[#This Row],[especie]],[1]!ESPECIES[#All],6,0)</f>
        <v/>
      </c>
      <c r="Q1172" s="7">
        <f>IF(N1172&lt;&gt;0,P1172*N1172,0)</f>
        <v/>
      </c>
      <c r="R1172" s="8">
        <f>IF(Q1172&lt;&gt;0,Q1172+H1172+L1172,0)</f>
        <v/>
      </c>
      <c r="S1172" s="9">
        <f>VLOOKUP(OPERAC[[#This Row],[especie]],[1]!ESPECIES[#Data],9,FALSE)</f>
        <v/>
      </c>
    </row>
    <row r="1173">
      <c r="A1173" s="4" t="n">
        <v>2257</v>
      </c>
      <c r="B1173" s="5" t="n">
        <v>44614</v>
      </c>
      <c r="C1173" s="13" t="inlineStr">
        <is>
          <t>VTA</t>
        </is>
      </c>
      <c r="D1173" s="13" t="n">
        <v>39</v>
      </c>
      <c r="E1173" s="10">
        <f>IF(D1173&gt;0,VLOOKUP(OPERAC[[#This Row],[COD CART]],[1]!MatrizCortoLargoCyl[#All],3,0),"")</f>
        <v/>
      </c>
      <c r="F1173" s="13" t="inlineStr">
        <is>
          <t>ACB/V/4,00/20-01-23</t>
        </is>
      </c>
      <c r="G1173" s="6" t="n">
        <v>-10</v>
      </c>
      <c r="H1173" s="6" t="n">
        <v>12.86</v>
      </c>
      <c r="I1173" s="7">
        <f>-H1173/G1173</f>
        <v/>
      </c>
      <c r="J1173" s="11" t="n"/>
      <c r="K1173" s="6" t="n"/>
      <c r="L1173" s="6" t="n"/>
      <c r="M1173" s="7">
        <f>IF(N1173=0,+L1173+H1173,0)</f>
        <v/>
      </c>
      <c r="N1173" s="7">
        <f>IF((+G1173-K1173)=0,0,+G1173-K1173)</f>
        <v/>
      </c>
      <c r="O1173" s="7">
        <f>IF(N1173=0,0,(L1173+H1173)/-N1173)</f>
        <v/>
      </c>
      <c r="P1173" s="7">
        <f>VLOOKUP(OPERAC[[#This Row],[especie]],[1]!ESPECIES[#All],6,0)</f>
        <v/>
      </c>
      <c r="Q1173" s="7">
        <f>IF(N1173&lt;&gt;0,P1173*N1173,0)</f>
        <v/>
      </c>
      <c r="R1173" s="8">
        <f>IF(Q1173&lt;&gt;0,Q1173+H1173+L1173,0)</f>
        <v/>
      </c>
      <c r="S1173" s="9">
        <f>VLOOKUP(OPERAC[[#This Row],[especie]],[1]!ESPECIES[#Data],9,FALSE)</f>
        <v/>
      </c>
    </row>
    <row r="1174">
      <c r="A1174" s="4" t="n">
        <v>7895</v>
      </c>
      <c r="B1174" s="5" t="n">
        <v>44614</v>
      </c>
      <c r="C1174" s="13" t="inlineStr">
        <is>
          <t>VTA</t>
        </is>
      </c>
      <c r="D1174" s="13" t="n">
        <v>39</v>
      </c>
      <c r="E1174" s="10">
        <f>IF(D1174&gt;0,VLOOKUP(OPERAC[[#This Row],[COD CART]],[1]!MatrizCortoLargoCyl[#All],3,0),"")</f>
        <v/>
      </c>
      <c r="F1174" s="13" t="inlineStr">
        <is>
          <t>ACB/V/4,00/20-01-23</t>
        </is>
      </c>
      <c r="G1174" s="6" t="n">
        <v>-10</v>
      </c>
      <c r="H1174" s="6" t="n">
        <v>12.86</v>
      </c>
      <c r="I1174" s="7">
        <f>-H1174/G1174</f>
        <v/>
      </c>
      <c r="J1174" s="11" t="n"/>
      <c r="K1174" s="6" t="n"/>
      <c r="L1174" s="6" t="n"/>
      <c r="M1174" s="7">
        <f>IF(N1174=0,+L1174+H1174,0)</f>
        <v/>
      </c>
      <c r="N1174" s="7">
        <f>IF((+G1174-K1174)=0,0,+G1174-K1174)</f>
        <v/>
      </c>
      <c r="O1174" s="7">
        <f>IF(N1174=0,0,(L1174+H1174)/-N1174)</f>
        <v/>
      </c>
      <c r="P1174" s="7">
        <f>VLOOKUP(OPERAC[[#This Row],[especie]],[1]!ESPECIES[#All],6,0)</f>
        <v/>
      </c>
      <c r="Q1174" s="7">
        <f>IF(N1174&lt;&gt;0,P1174*N1174,0)</f>
        <v/>
      </c>
      <c r="R1174" s="8">
        <f>IF(Q1174&lt;&gt;0,Q1174+H1174+L1174,0)</f>
        <v/>
      </c>
      <c r="S1174" s="9">
        <f>VLOOKUP(OPERAC[[#This Row],[especie]],[1]!ESPECIES[#Data],9,FALSE)</f>
        <v/>
      </c>
    </row>
    <row r="1175">
      <c r="A1175" s="4" t="n">
        <v>6578</v>
      </c>
      <c r="B1175" s="5" t="n">
        <v>44468</v>
      </c>
      <c r="C1175" s="13" t="inlineStr">
        <is>
          <t>VTA</t>
        </is>
      </c>
      <c r="D1175" s="13" t="n">
        <v>39</v>
      </c>
      <c r="E1175" s="10">
        <f>IF(D1175&gt;0,VLOOKUP(OPERAC[[#This Row],[COD CART]],[1]!MatrizCortoLargoCyl[#All],3,0),"")</f>
        <v/>
      </c>
      <c r="F1175" s="13" t="inlineStr">
        <is>
          <t>EDIT/V/15,00/20-01-23</t>
        </is>
      </c>
      <c r="G1175" s="6" t="n">
        <v>-10</v>
      </c>
      <c r="H1175" s="6" t="n">
        <v>12.74</v>
      </c>
      <c r="I1175" s="7">
        <f>-H1175/G1175</f>
        <v/>
      </c>
      <c r="J1175" s="11" t="n">
        <v>44693</v>
      </c>
      <c r="K1175" s="6" t="n">
        <v>-1</v>
      </c>
      <c r="L1175" s="6" t="n">
        <v>-6.17</v>
      </c>
      <c r="M1175" s="7">
        <f>IF(N1175=0,+L1175+H1175,0)</f>
        <v/>
      </c>
      <c r="N1175" s="7">
        <f>IF((+G1175-K1175)=0,0,+G1175-K1175)</f>
        <v/>
      </c>
      <c r="O1175" s="7">
        <f>IF(N1175=0,0,(L1175+H1175)/-N1175)</f>
        <v/>
      </c>
      <c r="P1175" s="7">
        <f>VLOOKUP(OPERAC[[#This Row],[especie]],[1]!ESPECIES[#All],6,0)</f>
        <v/>
      </c>
      <c r="Q1175" s="7">
        <f>IF(N1175&lt;&gt;0,P1175*N1175,0)</f>
        <v/>
      </c>
      <c r="R1175" s="8">
        <f>IF(Q1175&lt;&gt;0,Q1175+H1175+L1175,0)</f>
        <v/>
      </c>
      <c r="S1175" s="9">
        <f>VLOOKUP(OPERAC[[#This Row],[especie]],[1]!ESPECIES[#Data],9,FALSE)</f>
        <v/>
      </c>
    </row>
    <row r="1176">
      <c r="A1176" s="4" t="n">
        <v>10079</v>
      </c>
      <c r="B1176" s="5" t="n">
        <v>44614</v>
      </c>
      <c r="C1176" s="13" t="inlineStr">
        <is>
          <t>VTA</t>
        </is>
      </c>
      <c r="D1176" s="13" t="n">
        <v>39</v>
      </c>
      <c r="E1176" s="10">
        <f>IF(D1176&gt;0,VLOOKUP(OPERAC[[#This Row],[COD CART]],[1]!MatrizCortoLargoCyl[#All],3,0),"")</f>
        <v/>
      </c>
      <c r="F1176" s="13" t="inlineStr">
        <is>
          <t>NFLX/V/200,00/19-01-24</t>
        </is>
      </c>
      <c r="G1176" s="6" t="n">
        <v>-1</v>
      </c>
      <c r="H1176" s="6" t="n">
        <v>12.49</v>
      </c>
      <c r="I1176" s="7">
        <f>-H1176/G1176</f>
        <v/>
      </c>
      <c r="J1176" s="11" t="n"/>
      <c r="K1176" s="6" t="n"/>
      <c r="L1176" s="6" t="n"/>
      <c r="M1176" s="7">
        <f>IF(N1176=0,+L1176+H1176,0)</f>
        <v/>
      </c>
      <c r="N1176" s="7">
        <f>IF((+G1176-K1176)=0,0,+G1176-K1176)</f>
        <v/>
      </c>
      <c r="O1176" s="7">
        <f>IF(N1176=0,0,(L1176+H1176)/-N1176)</f>
        <v/>
      </c>
      <c r="P1176" s="7">
        <f>VLOOKUP(OPERAC[[#This Row],[especie]],[1]!ESPECIES[#All],6,0)</f>
        <v/>
      </c>
      <c r="Q1176" s="7">
        <f>IF(N1176&lt;&gt;0,P1176*N1176,0)</f>
        <v/>
      </c>
      <c r="R1176" s="8">
        <f>IF(Q1176&lt;&gt;0,Q1176+H1176+L1176,0)</f>
        <v/>
      </c>
      <c r="S1176" s="9">
        <f>VLOOKUP(OPERAC[[#This Row],[especie]],[1]!ESPECIES[#Data],9,FALSE)</f>
        <v/>
      </c>
    </row>
    <row r="1177">
      <c r="A1177" s="4" t="n">
        <v>6578</v>
      </c>
      <c r="B1177" s="5" t="n">
        <v>44431</v>
      </c>
      <c r="C1177" s="13" t="inlineStr">
        <is>
          <t>VTA</t>
        </is>
      </c>
      <c r="D1177" s="13" t="n">
        <v>39</v>
      </c>
      <c r="E1177" s="10">
        <f>IF(D1177&gt;0,VLOOKUP(OPERAC[[#This Row],[COD CART]],[1]!MatrizCortoLargoCyl[#All],3,0),"")</f>
        <v/>
      </c>
      <c r="F1177" s="13" t="inlineStr">
        <is>
          <t>GGAL/V/10,00/20-01-23</t>
        </is>
      </c>
      <c r="G1177" s="6" t="n">
        <v>-5</v>
      </c>
      <c r="H1177" s="6" t="n">
        <v>12.4</v>
      </c>
      <c r="I1177" s="7">
        <f>-H1177/G1177</f>
        <v/>
      </c>
      <c r="J1177" s="11" t="n"/>
      <c r="K1177" s="6" t="n"/>
      <c r="L1177" s="6" t="n"/>
      <c r="M1177" s="7">
        <f>IF(N1177=0,+L1177+H1177,0)</f>
        <v/>
      </c>
      <c r="N1177" s="7">
        <f>IF((+G1177-K1177)=0,0,+G1177-K1177)</f>
        <v/>
      </c>
      <c r="O1177" s="7">
        <f>IF(N1177=0,0,(L1177+H1177)/-N1177)</f>
        <v/>
      </c>
      <c r="P1177" s="7">
        <f>VLOOKUP(OPERAC[[#This Row],[especie]],[1]!ESPECIES[#All],6,0)</f>
        <v/>
      </c>
      <c r="Q1177" s="7">
        <f>IF(N1177&lt;&gt;0,P1177*N1177,0)</f>
        <v/>
      </c>
      <c r="R1177" s="8">
        <f>IF(Q1177&lt;&gt;0,Q1177+H1177+L1177,0)</f>
        <v/>
      </c>
      <c r="S1177" s="9">
        <f>VLOOKUP(OPERAC[[#This Row],[especie]],[1]!ESPECIES[#Data],9,FALSE)</f>
        <v/>
      </c>
    </row>
    <row r="1178">
      <c r="A1178" s="4" t="n">
        <v>19878</v>
      </c>
      <c r="B1178" s="5" t="n">
        <v>44431</v>
      </c>
      <c r="C1178" s="13" t="inlineStr">
        <is>
          <t>VTA</t>
        </is>
      </c>
      <c r="D1178" s="13" t="n">
        <v>39</v>
      </c>
      <c r="E1178" s="10">
        <f>IF(D1178&gt;0,VLOOKUP(OPERAC[[#This Row],[COD CART]],[1]!MatrizCortoLargoCyl[#All],3,0),"")</f>
        <v/>
      </c>
      <c r="F1178" s="13" t="inlineStr">
        <is>
          <t>GGAL/V/10,00/20-01-23</t>
        </is>
      </c>
      <c r="G1178" s="6" t="n">
        <v>-5</v>
      </c>
      <c r="H1178" s="6" t="n">
        <v>12.4</v>
      </c>
      <c r="I1178" s="7">
        <f>-H1178/G1178</f>
        <v/>
      </c>
      <c r="J1178" s="11" t="n"/>
      <c r="K1178" s="6" t="n"/>
      <c r="L1178" s="6" t="n"/>
      <c r="M1178" s="7">
        <f>IF(N1178=0,+L1178+H1178,0)</f>
        <v/>
      </c>
      <c r="N1178" s="7">
        <f>IF((+G1178-K1178)=0,0,+G1178-K1178)</f>
        <v/>
      </c>
      <c r="O1178" s="7">
        <f>IF(N1178=0,0,(L1178+H1178)/-N1178)</f>
        <v/>
      </c>
      <c r="P1178" s="7">
        <f>VLOOKUP(OPERAC[[#This Row],[especie]],[1]!ESPECIES[#All],6,0)</f>
        <v/>
      </c>
      <c r="Q1178" s="7">
        <f>IF(N1178&lt;&gt;0,P1178*N1178,0)</f>
        <v/>
      </c>
      <c r="R1178" s="8">
        <f>IF(Q1178&lt;&gt;0,Q1178+H1178+L1178,0)</f>
        <v/>
      </c>
      <c r="S1178" s="9">
        <f>VLOOKUP(OPERAC[[#This Row],[especie]],[1]!ESPECIES[#Data],9,FALSE)</f>
        <v/>
      </c>
    </row>
    <row r="1179">
      <c r="A1179" s="4" t="n">
        <v>22393</v>
      </c>
      <c r="B1179" s="5" t="n">
        <v>44509</v>
      </c>
      <c r="C1179" s="13" t="inlineStr">
        <is>
          <t>VTA</t>
        </is>
      </c>
      <c r="D1179" s="13" t="n">
        <v>39</v>
      </c>
      <c r="E1179" s="10">
        <f>IF(D1179&gt;0,VLOOKUP(OPERAC[[#This Row],[COD CART]],[1]!MatrizCortoLargoCyl[#All],3,0),"")</f>
        <v/>
      </c>
      <c r="F1179" s="13" t="inlineStr">
        <is>
          <t>TLRY/V/10,00/19-01-24</t>
        </is>
      </c>
      <c r="G1179" s="6" t="n">
        <v>-3</v>
      </c>
      <c r="H1179" s="6" t="n">
        <v>12.1941</v>
      </c>
      <c r="I1179" s="7">
        <f>-H1179/G1179</f>
        <v/>
      </c>
      <c r="J1179" s="11" t="n"/>
      <c r="K1179" s="6" t="n"/>
      <c r="L1179" s="6" t="n"/>
      <c r="M1179" s="7">
        <f>IF(N1179=0,+L1179+H1179,0)</f>
        <v/>
      </c>
      <c r="N1179" s="7">
        <f>IF((+G1179-K1179)=0,0,+G1179-K1179)</f>
        <v/>
      </c>
      <c r="O1179" s="7">
        <f>IF(N1179=0,0,(L1179+H1179)/-N1179)</f>
        <v/>
      </c>
      <c r="P1179" s="7">
        <f>VLOOKUP(OPERAC[[#This Row],[especie]],[1]!ESPECIES[#All],6,0)</f>
        <v/>
      </c>
      <c r="Q1179" s="7">
        <f>IF(N1179&lt;&gt;0,P1179*N1179,0)</f>
        <v/>
      </c>
      <c r="R1179" s="8">
        <f>IF(Q1179&lt;&gt;0,Q1179+H1179+L1179,0)</f>
        <v/>
      </c>
      <c r="S1179" s="9">
        <f>VLOOKUP(OPERAC[[#This Row],[especie]],[1]!ESPECIES[#Data],9,FALSE)</f>
        <v/>
      </c>
    </row>
    <row r="1180">
      <c r="A1180" s="4" t="n">
        <v>13180</v>
      </c>
      <c r="B1180" s="5" t="n">
        <v>44579</v>
      </c>
      <c r="C1180" s="13" t="inlineStr">
        <is>
          <t>VTA</t>
        </is>
      </c>
      <c r="D1180" s="13" t="n">
        <v>39</v>
      </c>
      <c r="E1180" s="10">
        <f>IF(D1180&gt;0,VLOOKUP(OPERAC[[#This Row],[COD CART]],[1]!MatrizCortoLargoCyl[#All],3,0),"")</f>
        <v/>
      </c>
      <c r="F1180" s="13" t="inlineStr">
        <is>
          <t>YPF/V/5,00/15-07-22</t>
        </is>
      </c>
      <c r="G1180" s="6" t="n">
        <v>-10</v>
      </c>
      <c r="H1180" s="6" t="n">
        <v>10.849</v>
      </c>
      <c r="I1180" s="7">
        <f>-H1180/G1180</f>
        <v/>
      </c>
      <c r="J1180" s="11" t="n"/>
      <c r="K1180" s="6" t="n"/>
      <c r="L1180" s="6" t="n"/>
      <c r="M1180" s="7">
        <f>IF(N1180=0,+L1180+H1180,0)</f>
        <v/>
      </c>
      <c r="N1180" s="7">
        <f>IF((+G1180-K1180)=0,0,+G1180-K1180)</f>
        <v/>
      </c>
      <c r="O1180" s="7">
        <f>IF(N1180=0,0,(L1180+H1180)/-N1180)</f>
        <v/>
      </c>
      <c r="P1180" s="7">
        <f>VLOOKUP(OPERAC[[#This Row],[especie]],[1]!ESPECIES[#All],6,0)</f>
        <v/>
      </c>
      <c r="Q1180" s="7">
        <f>IF(N1180&lt;&gt;0,P1180*N1180,0)</f>
        <v/>
      </c>
      <c r="R1180" s="8">
        <f>IF(Q1180&lt;&gt;0,Q1180+H1180+L1180,0)</f>
        <v/>
      </c>
      <c r="S1180" s="9">
        <f>VLOOKUP(OPERAC[[#This Row],[especie]],[1]!ESPECIES[#Data],9,FALSE)</f>
        <v/>
      </c>
    </row>
    <row r="1181">
      <c r="A1181" s="4" t="n">
        <v>3728</v>
      </c>
      <c r="B1181" s="5" t="n">
        <v>44620</v>
      </c>
      <c r="C1181" s="13" t="inlineStr">
        <is>
          <t>VTA</t>
        </is>
      </c>
      <c r="D1181" s="13" t="n">
        <v>39</v>
      </c>
      <c r="E1181" s="10">
        <f>IF(D1181&gt;0,VLOOKUP(OPERAC[[#This Row],[COD CART]],[1]!MatrizCortoLargoCyl[#All],3,0),"")</f>
        <v/>
      </c>
      <c r="F1181" s="13" t="inlineStr">
        <is>
          <t>SMH/V/225,00/18-03-22</t>
        </is>
      </c>
      <c r="G1181" s="6" t="n">
        <v>-10</v>
      </c>
      <c r="H1181" s="6" t="n">
        <v>10.58</v>
      </c>
      <c r="I1181" s="7">
        <f>-H1181/G1181</f>
        <v/>
      </c>
      <c r="J1181" s="11" t="n">
        <v>44635</v>
      </c>
      <c r="K1181" s="6" t="n">
        <v>-10</v>
      </c>
      <c r="L1181" s="6" t="n">
        <v>-5.5744</v>
      </c>
      <c r="M1181" s="7">
        <f>IF(N1181=0,+L1181+H1181,0)</f>
        <v/>
      </c>
      <c r="N1181" s="7">
        <f>IF((+G1181-K1181)=0,0,+G1181-K1181)</f>
        <v/>
      </c>
      <c r="O1181" s="7">
        <f>IF(N1181=0,0,(L1181+H1181)/-N1181)</f>
        <v/>
      </c>
      <c r="P1181" s="7">
        <f>VLOOKUP(OPERAC[[#This Row],[especie]],[1]!ESPECIES[#All],6,0)</f>
        <v/>
      </c>
      <c r="Q1181" s="7">
        <f>IF(N1181&lt;&gt;0,P1181*N1181,0)</f>
        <v/>
      </c>
      <c r="R1181" s="8">
        <f>IF(Q1181&lt;&gt;0,Q1181+H1181+L1181,0)</f>
        <v/>
      </c>
      <c r="S1181" s="9">
        <f>VLOOKUP(OPERAC[[#This Row],[especie]],[1]!ESPECIES[#Data],9,FALSE)</f>
        <v/>
      </c>
    </row>
    <row r="1182">
      <c r="A1182" s="4" t="n">
        <v>2253</v>
      </c>
      <c r="B1182" s="5" t="n">
        <v>44439</v>
      </c>
      <c r="C1182" s="13" t="inlineStr">
        <is>
          <t>VTA</t>
        </is>
      </c>
      <c r="D1182" s="13" t="n">
        <v>39</v>
      </c>
      <c r="E1182" s="10">
        <f>IF(D1182&gt;0,VLOOKUP(OPERAC[[#This Row],[COD CART]],[1]!MatrizCortoLargoCyl[#All],3,0),"")</f>
        <v/>
      </c>
      <c r="F1182" s="13" t="inlineStr">
        <is>
          <t>INO/V/5,00/20-01-23</t>
        </is>
      </c>
      <c r="G1182" s="6" t="n">
        <v>-10</v>
      </c>
      <c r="H1182" s="6" t="n">
        <v>10.43</v>
      </c>
      <c r="I1182" s="7">
        <f>-H1182/G1182</f>
        <v/>
      </c>
      <c r="J1182" s="11" t="n"/>
      <c r="K1182" s="6" t="n"/>
      <c r="L1182" s="6" t="n"/>
      <c r="M1182" s="7">
        <f>IF(N1182=0,+L1182+H1182,0)</f>
        <v/>
      </c>
      <c r="N1182" s="7">
        <f>IF((+G1182-K1182)=0,0,+G1182-K1182)</f>
        <v/>
      </c>
      <c r="O1182" s="7">
        <f>IF(N1182=0,0,(L1182+H1182)/-N1182)</f>
        <v/>
      </c>
      <c r="P1182" s="7">
        <f>VLOOKUP(OPERAC[[#This Row],[especie]],[1]!ESPECIES[#All],6,0)</f>
        <v/>
      </c>
      <c r="Q1182" s="7">
        <f>IF(N1182&lt;&gt;0,P1182*N1182,0)</f>
        <v/>
      </c>
      <c r="R1182" s="8">
        <f>IF(Q1182&lt;&gt;0,Q1182+H1182+L1182,0)</f>
        <v/>
      </c>
      <c r="S1182" s="9">
        <f>VLOOKUP(OPERAC[[#This Row],[especie]],[1]!ESPECIES[#Data],9,FALSE)</f>
        <v/>
      </c>
    </row>
    <row r="1183">
      <c r="A1183" s="4" t="n">
        <v>19878</v>
      </c>
      <c r="B1183" s="5" t="n">
        <v>44453</v>
      </c>
      <c r="C1183" s="13" t="inlineStr">
        <is>
          <t>VTA</t>
        </is>
      </c>
      <c r="D1183" s="13" t="n">
        <v>39</v>
      </c>
      <c r="E1183" s="10">
        <f>IF(D1183&gt;0,VLOOKUP(OPERAC[[#This Row],[COD CART]],[1]!MatrizCortoLargoCyl[#All],3,0),"")</f>
        <v/>
      </c>
      <c r="F1183" s="13" t="inlineStr">
        <is>
          <t>EDIT/V/20,00/20-01-23</t>
        </is>
      </c>
      <c r="G1183" s="6" t="n">
        <v>-5</v>
      </c>
      <c r="H1183" s="6" t="n">
        <v>10.37</v>
      </c>
      <c r="I1183" s="7">
        <f>-H1183/G1183</f>
        <v/>
      </c>
      <c r="J1183" s="11" t="n"/>
      <c r="K1183" s="6" t="n"/>
      <c r="L1183" s="6" t="n"/>
      <c r="M1183" s="7">
        <f>IF(N1183=0,+L1183+H1183,0)</f>
        <v/>
      </c>
      <c r="N1183" s="7">
        <f>IF((+G1183-K1183)=0,0,+G1183-K1183)</f>
        <v/>
      </c>
      <c r="O1183" s="7">
        <f>IF(N1183=0,0,(L1183+H1183)/-N1183)</f>
        <v/>
      </c>
      <c r="P1183" s="7">
        <f>VLOOKUP(OPERAC[[#This Row],[especie]],[1]!ESPECIES[#All],6,0)</f>
        <v/>
      </c>
      <c r="Q1183" s="7">
        <f>IF(N1183&lt;&gt;0,P1183*N1183,0)</f>
        <v/>
      </c>
      <c r="R1183" s="8">
        <f>IF(Q1183&lt;&gt;0,Q1183+H1183+L1183,0)</f>
        <v/>
      </c>
      <c r="S1183" s="9">
        <f>VLOOKUP(OPERAC[[#This Row],[especie]],[1]!ESPECIES[#Data],9,FALSE)</f>
        <v/>
      </c>
    </row>
    <row r="1184">
      <c r="A1184" s="4" t="n">
        <v>2257</v>
      </c>
      <c r="B1184" s="5" t="n">
        <v>44614</v>
      </c>
      <c r="C1184" s="13" t="inlineStr">
        <is>
          <t>VTA</t>
        </is>
      </c>
      <c r="D1184" s="13" t="n">
        <v>39</v>
      </c>
      <c r="E1184" s="10">
        <f>IF(D1184&gt;0,VLOOKUP(OPERAC[[#This Row],[COD CART]],[1]!MatrizCortoLargoCyl[#All],3,0),"")</f>
        <v/>
      </c>
      <c r="F1184" s="13" t="inlineStr">
        <is>
          <t>DDD/V/10,00/20-01-23</t>
        </is>
      </c>
      <c r="G1184" s="6" t="n">
        <v>-10</v>
      </c>
      <c r="H1184" s="6" t="n">
        <v>10.37</v>
      </c>
      <c r="I1184" s="7">
        <f>-H1184/G1184</f>
        <v/>
      </c>
      <c r="J1184" s="11" t="n"/>
      <c r="K1184" s="6" t="n"/>
      <c r="L1184" s="6" t="n"/>
      <c r="M1184" s="7">
        <f>IF(N1184=0,+L1184+H1184,0)</f>
        <v/>
      </c>
      <c r="N1184" s="7">
        <f>IF((+G1184-K1184)=0,0,+G1184-K1184)</f>
        <v/>
      </c>
      <c r="O1184" s="7">
        <f>IF(N1184=0,0,(L1184+H1184)/-N1184)</f>
        <v/>
      </c>
      <c r="P1184" s="7">
        <f>VLOOKUP(OPERAC[[#This Row],[especie]],[1]!ESPECIES[#All],6,0)</f>
        <v/>
      </c>
      <c r="Q1184" s="7">
        <f>IF(N1184&lt;&gt;0,P1184*N1184,0)</f>
        <v/>
      </c>
      <c r="R1184" s="8">
        <f>IF(Q1184&lt;&gt;0,Q1184+H1184+L1184,0)</f>
        <v/>
      </c>
      <c r="S1184" s="9">
        <f>VLOOKUP(OPERAC[[#This Row],[especie]],[1]!ESPECIES[#Data],9,FALSE)</f>
        <v/>
      </c>
    </row>
    <row r="1185">
      <c r="A1185" s="4" t="n">
        <v>18703</v>
      </c>
      <c r="B1185" s="5" t="n">
        <v>44614</v>
      </c>
      <c r="C1185" s="13" t="inlineStr">
        <is>
          <t>VTA</t>
        </is>
      </c>
      <c r="D1185" s="13" t="n">
        <v>39</v>
      </c>
      <c r="E1185" s="10">
        <f>IF(D1185&gt;0,VLOOKUP(OPERAC[[#This Row],[COD CART]],[1]!MatrizCortoLargoCyl[#All],3,0),"")</f>
        <v/>
      </c>
      <c r="F1185" s="13" t="inlineStr">
        <is>
          <t>DDD/V/10,00/20-01-23</t>
        </is>
      </c>
      <c r="G1185" s="6" t="n">
        <v>-10</v>
      </c>
      <c r="H1185" s="6" t="n">
        <v>10.37</v>
      </c>
      <c r="I1185" s="7">
        <f>-H1185/G1185</f>
        <v/>
      </c>
      <c r="J1185" s="11" t="n"/>
      <c r="K1185" s="6" t="n"/>
      <c r="L1185" s="6" t="n"/>
      <c r="M1185" s="7">
        <f>IF(N1185=0,+L1185+H1185,0)</f>
        <v/>
      </c>
      <c r="N1185" s="7">
        <f>IF((+G1185-K1185)=0,0,+G1185-K1185)</f>
        <v/>
      </c>
      <c r="O1185" s="7">
        <f>IF(N1185=0,0,(L1185+H1185)/-N1185)</f>
        <v/>
      </c>
      <c r="P1185" s="7">
        <f>VLOOKUP(OPERAC[[#This Row],[especie]],[1]!ESPECIES[#All],6,0)</f>
        <v/>
      </c>
      <c r="Q1185" s="7">
        <f>IF(N1185&lt;&gt;0,P1185*N1185,0)</f>
        <v/>
      </c>
      <c r="R1185" s="8">
        <f>IF(Q1185&lt;&gt;0,Q1185+H1185+L1185,0)</f>
        <v/>
      </c>
      <c r="S1185" s="9">
        <f>VLOOKUP(OPERAC[[#This Row],[especie]],[1]!ESPECIES[#Data],9,FALSE)</f>
        <v/>
      </c>
    </row>
    <row r="1186">
      <c r="A1186" s="4" t="n">
        <v>22421</v>
      </c>
      <c r="B1186" s="5" t="n">
        <v>44614</v>
      </c>
      <c r="C1186" s="13" t="inlineStr">
        <is>
          <t>VTA</t>
        </is>
      </c>
      <c r="D1186" s="13" t="n">
        <v>39</v>
      </c>
      <c r="E1186" s="10">
        <f>IF(D1186&gt;0,VLOOKUP(OPERAC[[#This Row],[COD CART]],[1]!MatrizCortoLargoCyl[#All],3,0),"")</f>
        <v/>
      </c>
      <c r="F1186" s="13" t="inlineStr">
        <is>
          <t>DDD/V/10,00/20-01-23</t>
        </is>
      </c>
      <c r="G1186" s="6" t="n">
        <v>-10</v>
      </c>
      <c r="H1186" s="6" t="n">
        <v>10.37</v>
      </c>
      <c r="I1186" s="7">
        <f>-H1186/G1186</f>
        <v/>
      </c>
      <c r="J1186" s="11" t="n"/>
      <c r="K1186" s="6" t="n"/>
      <c r="L1186" s="6" t="n"/>
      <c r="M1186" s="7">
        <f>IF(N1186=0,+L1186+H1186,0)</f>
        <v/>
      </c>
      <c r="N1186" s="7">
        <f>IF((+G1186-K1186)=0,0,+G1186-K1186)</f>
        <v/>
      </c>
      <c r="O1186" s="7">
        <f>IF(N1186=0,0,(L1186+H1186)/-N1186)</f>
        <v/>
      </c>
      <c r="P1186" s="7">
        <f>VLOOKUP(OPERAC[[#This Row],[especie]],[1]!ESPECIES[#All],6,0)</f>
        <v/>
      </c>
      <c r="Q1186" s="7">
        <f>IF(N1186&lt;&gt;0,P1186*N1186,0)</f>
        <v/>
      </c>
      <c r="R1186" s="8">
        <f>IF(Q1186&lt;&gt;0,Q1186+H1186+L1186,0)</f>
        <v/>
      </c>
      <c r="S1186" s="9">
        <f>VLOOKUP(OPERAC[[#This Row],[especie]],[1]!ESPECIES[#Data],9,FALSE)</f>
        <v/>
      </c>
    </row>
    <row r="1187">
      <c r="A1187" s="4" t="n">
        <v>6579</v>
      </c>
      <c r="B1187" s="5" t="n">
        <v>44614</v>
      </c>
      <c r="C1187" s="13" t="inlineStr">
        <is>
          <t>VTA</t>
        </is>
      </c>
      <c r="D1187" s="13" t="n">
        <v>39</v>
      </c>
      <c r="E1187" s="10">
        <f>IF(D1187&gt;0,VLOOKUP(OPERAC[[#This Row],[COD CART]],[1]!MatrizCortoLargoCyl[#All],3,0),"")</f>
        <v/>
      </c>
      <c r="F1187" s="13" t="inlineStr">
        <is>
          <t>DDD/V/10,00/20-01-23</t>
        </is>
      </c>
      <c r="G1187" s="6" t="n">
        <v>-10</v>
      </c>
      <c r="H1187" s="6" t="n">
        <v>10.37</v>
      </c>
      <c r="I1187" s="7">
        <f>-H1187/G1187</f>
        <v/>
      </c>
      <c r="J1187" s="11" t="n"/>
      <c r="K1187" s="6" t="n"/>
      <c r="L1187" s="6" t="n"/>
      <c r="M1187" s="7">
        <f>IF(N1187=0,+L1187+H1187,0)</f>
        <v/>
      </c>
      <c r="N1187" s="7">
        <f>IF((+G1187-K1187)=0,0,+G1187-K1187)</f>
        <v/>
      </c>
      <c r="O1187" s="7">
        <f>IF(N1187=0,0,(L1187+H1187)/-N1187)</f>
        <v/>
      </c>
      <c r="P1187" s="7">
        <f>VLOOKUP(OPERAC[[#This Row],[especie]],[1]!ESPECIES[#All],6,0)</f>
        <v/>
      </c>
      <c r="Q1187" s="7">
        <f>IF(N1187&lt;&gt;0,P1187*N1187,0)</f>
        <v/>
      </c>
      <c r="R1187" s="8">
        <f>IF(Q1187&lt;&gt;0,Q1187+H1187+L1187,0)</f>
        <v/>
      </c>
      <c r="S1187" s="9">
        <f>VLOOKUP(OPERAC[[#This Row],[especie]],[1]!ESPECIES[#Data],9,FALSE)</f>
        <v/>
      </c>
    </row>
    <row r="1188">
      <c r="A1188" s="4" t="n">
        <v>19932</v>
      </c>
      <c r="B1188" s="5" t="n">
        <v>44256</v>
      </c>
      <c r="C1188" s="13" t="inlineStr">
        <is>
          <t>VTA</t>
        </is>
      </c>
      <c r="D1188" s="13" t="n">
        <v>39</v>
      </c>
      <c r="E1188" s="10">
        <f>IF(D1188&gt;0,VLOOKUP(OPERAC[[#This Row],[COD CART]],[1]!MatrizCortoLargoCyl[#All],3,0),"")</f>
        <v/>
      </c>
      <c r="F1188" s="13" t="inlineStr">
        <is>
          <t>TLRY1/V/10,00/20-01-23</t>
        </is>
      </c>
      <c r="G1188" s="6" t="n">
        <v>-10</v>
      </c>
      <c r="H1188" s="6" t="n">
        <v>10</v>
      </c>
      <c r="I1188" s="7">
        <f>-H1188/G1188</f>
        <v/>
      </c>
      <c r="J1188" s="11" t="n">
        <v>44629</v>
      </c>
      <c r="K1188" s="6" t="n">
        <v>-10</v>
      </c>
      <c r="L1188" s="6" t="n">
        <v>-62.5659</v>
      </c>
      <c r="M1188" s="7">
        <f>IF(N1188=0,+L1188+H1188,0)</f>
        <v/>
      </c>
      <c r="N1188" s="7">
        <f>IF((+G1188-K1188)=0,0,+G1188-K1188)</f>
        <v/>
      </c>
      <c r="O1188" s="7">
        <f>IF(N1188=0,0,(L1188+H1188)/-N1188)</f>
        <v/>
      </c>
      <c r="P1188" s="7">
        <f>VLOOKUP(OPERAC[[#This Row],[especie]],[1]!ESPECIES[#All],6,0)</f>
        <v/>
      </c>
      <c r="Q1188" s="7">
        <f>IF(N1188&lt;&gt;0,P1188*N1188,0)</f>
        <v/>
      </c>
      <c r="R1188" s="8">
        <f>IF(Q1188&lt;&gt;0,Q1188+H1188+L1188,0)</f>
        <v/>
      </c>
      <c r="S1188" s="9">
        <f>VLOOKUP(OPERAC[[#This Row],[especie]],[1]!ESPECIES[#Data],9,FALSE)</f>
        <v/>
      </c>
    </row>
    <row r="1189">
      <c r="A1189" s="4" t="n">
        <v>3728</v>
      </c>
      <c r="B1189" s="5" t="n">
        <v>44620</v>
      </c>
      <c r="C1189" s="13" t="inlineStr">
        <is>
          <t>VTA</t>
        </is>
      </c>
      <c r="D1189" s="13" t="n">
        <v>39</v>
      </c>
      <c r="E1189" s="10">
        <f>IF(D1189&gt;0,VLOOKUP(OPERAC[[#This Row],[COD CART]],[1]!MatrizCortoLargoCyl[#All],3,0),"")</f>
        <v/>
      </c>
      <c r="F1189" s="13" t="inlineStr">
        <is>
          <t>ROKU/V/105,00/18-03-22</t>
        </is>
      </c>
      <c r="G1189" s="6" t="n">
        <v>-10</v>
      </c>
      <c r="H1189" s="6" t="n">
        <v>9.99</v>
      </c>
      <c r="I1189" s="7">
        <f>-H1189/G1189</f>
        <v/>
      </c>
      <c r="J1189" s="11" t="n">
        <v>44636</v>
      </c>
      <c r="K1189" s="6" t="n">
        <v>-10</v>
      </c>
      <c r="L1189" s="6" t="n">
        <v>-15.08</v>
      </c>
      <c r="M1189" s="7">
        <f>IF(N1189=0,+L1189+H1189,0)</f>
        <v/>
      </c>
      <c r="N1189" s="7">
        <f>IF((+G1189-K1189)=0,0,+G1189-K1189)</f>
        <v/>
      </c>
      <c r="O1189" s="7">
        <f>IF(N1189=0,0,(L1189+H1189)/-N1189)</f>
        <v/>
      </c>
      <c r="P1189" s="7">
        <f>VLOOKUP(OPERAC[[#This Row],[especie]],[1]!ESPECIES[#All],6,0)</f>
        <v/>
      </c>
      <c r="Q1189" s="7">
        <f>IF(N1189&lt;&gt;0,P1189*N1189,0)</f>
        <v/>
      </c>
      <c r="R1189" s="8">
        <f>IF(Q1189&lt;&gt;0,Q1189+H1189+L1189,0)</f>
        <v/>
      </c>
      <c r="S1189" s="9">
        <f>VLOOKUP(OPERAC[[#This Row],[especie]],[1]!ESPECIES[#Data],9,FALSE)</f>
        <v/>
      </c>
    </row>
    <row r="1190">
      <c r="A1190" s="4" t="n">
        <v>2194</v>
      </c>
      <c r="B1190" s="5" t="n">
        <v>44340</v>
      </c>
      <c r="C1190" s="13" t="inlineStr">
        <is>
          <t>VTA</t>
        </is>
      </c>
      <c r="D1190" s="13" t="n">
        <v>39</v>
      </c>
      <c r="E1190" s="10">
        <f>IF(D1190&gt;0,VLOOKUP(OPERAC[[#This Row],[COD CART]],[1]!MatrizCortoLargoCyl[#All],3,0),"")</f>
        <v/>
      </c>
      <c r="F1190" s="13" t="inlineStr">
        <is>
          <t>SOLO/V/2,50/20-01-23</t>
        </is>
      </c>
      <c r="G1190" s="6" t="n">
        <v>-10</v>
      </c>
      <c r="H1190" s="6" t="n">
        <v>9.960000000000001</v>
      </c>
      <c r="I1190" s="7">
        <f>-H1190/G1190</f>
        <v/>
      </c>
      <c r="J1190" s="11" t="n"/>
      <c r="K1190" s="6" t="n"/>
      <c r="L1190" s="6" t="n"/>
      <c r="M1190" s="7">
        <f>IF(N1190=0,+L1190+H1190,0)</f>
        <v/>
      </c>
      <c r="N1190" s="7">
        <f>IF((+G1190-K1190)=0,0,+G1190-K1190)</f>
        <v/>
      </c>
      <c r="O1190" s="7">
        <f>IF(N1190=0,0,(L1190+H1190)/-N1190)</f>
        <v/>
      </c>
      <c r="P1190" s="7">
        <f>VLOOKUP(OPERAC[[#This Row],[especie]],[1]!ESPECIES[#All],6,0)</f>
        <v/>
      </c>
      <c r="Q1190" s="7">
        <f>IF(N1190&lt;&gt;0,P1190*N1190,0)</f>
        <v/>
      </c>
      <c r="R1190" s="8">
        <f>IF(Q1190&lt;&gt;0,Q1190+H1190+L1190,0)</f>
        <v/>
      </c>
      <c r="S1190" s="9">
        <f>VLOOKUP(OPERAC[[#This Row],[especie]],[1]!ESPECIES[#Data],9,FALSE)</f>
        <v/>
      </c>
    </row>
    <row r="1191">
      <c r="A1191" s="4" t="n">
        <v>12627</v>
      </c>
      <c r="B1191" s="5" t="n">
        <v>44340</v>
      </c>
      <c r="C1191" s="13" t="inlineStr">
        <is>
          <t>VTA</t>
        </is>
      </c>
      <c r="D1191" s="13" t="n">
        <v>39</v>
      </c>
      <c r="E1191" s="10">
        <f>IF(D1191&gt;0,VLOOKUP(OPERAC[[#This Row],[COD CART]],[1]!MatrizCortoLargoCyl[#All],3,0),"")</f>
        <v/>
      </c>
      <c r="F1191" s="13" t="inlineStr">
        <is>
          <t>SOLO/V/2,50/20-01-23</t>
        </is>
      </c>
      <c r="G1191" s="6" t="n">
        <v>-10</v>
      </c>
      <c r="H1191" s="6" t="n">
        <v>9.960000000000001</v>
      </c>
      <c r="I1191" s="7">
        <f>-H1191/G1191</f>
        <v/>
      </c>
      <c r="J1191" s="11" t="n"/>
      <c r="K1191" s="6" t="n"/>
      <c r="L1191" s="6" t="n"/>
      <c r="M1191" s="7">
        <f>IF(N1191=0,+L1191+H1191,0)</f>
        <v/>
      </c>
      <c r="N1191" s="7">
        <f>IF((+G1191-K1191)=0,0,+G1191-K1191)</f>
        <v/>
      </c>
      <c r="O1191" s="7">
        <f>IF(N1191=0,0,(L1191+H1191)/-N1191)</f>
        <v/>
      </c>
      <c r="P1191" s="7">
        <f>VLOOKUP(OPERAC[[#This Row],[especie]],[1]!ESPECIES[#All],6,0)</f>
        <v/>
      </c>
      <c r="Q1191" s="7">
        <f>IF(N1191&lt;&gt;0,P1191*N1191,0)</f>
        <v/>
      </c>
      <c r="R1191" s="8">
        <f>IF(Q1191&lt;&gt;0,Q1191+H1191+L1191,0)</f>
        <v/>
      </c>
      <c r="S1191" s="9">
        <f>VLOOKUP(OPERAC[[#This Row],[especie]],[1]!ESPECIES[#Data],9,FALSE)</f>
        <v/>
      </c>
    </row>
    <row r="1192">
      <c r="A1192" s="4" t="n">
        <v>22393</v>
      </c>
      <c r="B1192" s="5" t="n">
        <v>44614</v>
      </c>
      <c r="C1192" s="13" t="inlineStr">
        <is>
          <t>VTA</t>
        </is>
      </c>
      <c r="D1192" s="13" t="n">
        <v>39</v>
      </c>
      <c r="E1192" s="10">
        <f>IF(D1192&gt;0,VLOOKUP(OPERAC[[#This Row],[COD CART]],[1]!MatrizCortoLargoCyl[#All],3,0),"")</f>
        <v/>
      </c>
      <c r="F1192" s="13" t="inlineStr">
        <is>
          <t>GGAL/V/7,50/20-01-23</t>
        </is>
      </c>
      <c r="G1192" s="6" t="n">
        <v>-10</v>
      </c>
      <c r="H1192" s="6" t="n">
        <v>9.92</v>
      </c>
      <c r="I1192" s="7">
        <f>-H1192/G1192</f>
        <v/>
      </c>
      <c r="J1192" s="11" t="n"/>
      <c r="K1192" s="6" t="n"/>
      <c r="L1192" s="6" t="n"/>
      <c r="M1192" s="7">
        <f>IF(N1192=0,+L1192+H1192,0)</f>
        <v/>
      </c>
      <c r="N1192" s="7">
        <f>IF((+G1192-K1192)=0,0,+G1192-K1192)</f>
        <v/>
      </c>
      <c r="O1192" s="7">
        <f>IF(N1192=0,0,(L1192+H1192)/-N1192)</f>
        <v/>
      </c>
      <c r="P1192" s="7">
        <f>VLOOKUP(OPERAC[[#This Row],[especie]],[1]!ESPECIES[#All],6,0)</f>
        <v/>
      </c>
      <c r="Q1192" s="7">
        <f>IF(N1192&lt;&gt;0,P1192*N1192,0)</f>
        <v/>
      </c>
      <c r="R1192" s="8">
        <f>IF(Q1192&lt;&gt;0,Q1192+H1192+L1192,0)</f>
        <v/>
      </c>
      <c r="S1192" s="9">
        <f>VLOOKUP(OPERAC[[#This Row],[especie]],[1]!ESPECIES[#Data],9,FALSE)</f>
        <v/>
      </c>
    </row>
    <row r="1193">
      <c r="A1193" s="4" t="n">
        <v>20234</v>
      </c>
      <c r="B1193" s="5" t="n">
        <v>44614</v>
      </c>
      <c r="C1193" s="13" t="inlineStr">
        <is>
          <t>VTA</t>
        </is>
      </c>
      <c r="D1193" s="13" t="n">
        <v>39</v>
      </c>
      <c r="E1193" s="10">
        <f>IF(D1193&gt;0,VLOOKUP(OPERAC[[#This Row],[COD CART]],[1]!MatrizCortoLargoCyl[#All],3,0),"")</f>
        <v/>
      </c>
      <c r="F1193" s="13" t="inlineStr">
        <is>
          <t>SOLO/V/2,00/19-01-24</t>
        </is>
      </c>
      <c r="G1193" s="6" t="n">
        <v>-10</v>
      </c>
      <c r="H1193" s="6" t="n">
        <v>9.869999999999999</v>
      </c>
      <c r="I1193" s="7">
        <f>-H1193/G1193</f>
        <v/>
      </c>
      <c r="J1193" s="11" t="n"/>
      <c r="K1193" s="6" t="n"/>
      <c r="L1193" s="6" t="n"/>
      <c r="M1193" s="7">
        <f>IF(N1193=0,+L1193+H1193,0)</f>
        <v/>
      </c>
      <c r="N1193" s="7">
        <f>IF((+G1193-K1193)=0,0,+G1193-K1193)</f>
        <v/>
      </c>
      <c r="O1193" s="7">
        <f>IF(N1193=0,0,(L1193+H1193)/-N1193)</f>
        <v/>
      </c>
      <c r="P1193" s="7">
        <f>VLOOKUP(OPERAC[[#This Row],[especie]],[1]!ESPECIES[#All],6,0)</f>
        <v/>
      </c>
      <c r="Q1193" s="7">
        <f>IF(N1193&lt;&gt;0,P1193*N1193,0)</f>
        <v/>
      </c>
      <c r="R1193" s="8">
        <f>IF(Q1193&lt;&gt;0,Q1193+H1193+L1193,0)</f>
        <v/>
      </c>
      <c r="S1193" s="9">
        <f>VLOOKUP(OPERAC[[#This Row],[especie]],[1]!ESPECIES[#Data],9,FALSE)</f>
        <v/>
      </c>
    </row>
    <row r="1194">
      <c r="A1194" s="4" t="n">
        <v>18677</v>
      </c>
      <c r="B1194" s="5" t="n">
        <v>44531</v>
      </c>
      <c r="C1194" s="13" t="inlineStr">
        <is>
          <t>VTA</t>
        </is>
      </c>
      <c r="D1194" s="13" t="n">
        <v>39</v>
      </c>
      <c r="E1194" s="10">
        <f>IF(D1194&gt;0,VLOOKUP(OPERAC[[#This Row],[COD CART]],[1]!MatrizCortoLargoCyl[#All],3,0),"")</f>
        <v/>
      </c>
      <c r="F1194" s="13" t="inlineStr">
        <is>
          <t>SOLO/V/3,00/17-06-22</t>
        </is>
      </c>
      <c r="G1194" s="6" t="n">
        <v>-10</v>
      </c>
      <c r="H1194" s="6" t="n">
        <v>9.4015</v>
      </c>
      <c r="I1194" s="7">
        <f>-H1194/G1194</f>
        <v/>
      </c>
      <c r="J1194" s="11" t="n">
        <v>44690</v>
      </c>
      <c r="K1194" s="6" t="n">
        <v>-10</v>
      </c>
      <c r="L1194" s="6" t="n">
        <v>-14.62</v>
      </c>
      <c r="M1194" s="7">
        <f>IF(N1194=0,+L1194+H1194,0)</f>
        <v/>
      </c>
      <c r="N1194" s="7">
        <f>IF((+G1194-K1194)=0,0,+G1194-K1194)</f>
        <v/>
      </c>
      <c r="O1194" s="7">
        <f>IF(N1194=0,0,(L1194+H1194)/-N1194)</f>
        <v/>
      </c>
      <c r="P1194" s="7">
        <f>VLOOKUP(OPERAC[[#This Row],[especie]],[1]!ESPECIES[#All],6,0)</f>
        <v/>
      </c>
      <c r="Q1194" s="7">
        <f>IF(N1194&lt;&gt;0,P1194*N1194,0)</f>
        <v/>
      </c>
      <c r="R1194" s="8">
        <f>IF(Q1194&lt;&gt;0,Q1194+H1194+L1194,0)</f>
        <v/>
      </c>
      <c r="S1194" s="9">
        <f>VLOOKUP(OPERAC[[#This Row],[especie]],[1]!ESPECIES[#Data],9,FALSE)</f>
        <v/>
      </c>
    </row>
    <row r="1195">
      <c r="A1195" s="4" t="n">
        <v>2218</v>
      </c>
      <c r="B1195" s="5" t="n">
        <v>44601</v>
      </c>
      <c r="C1195" s="13" t="inlineStr">
        <is>
          <t>VTA</t>
        </is>
      </c>
      <c r="D1195" s="13" t="n">
        <v>39</v>
      </c>
      <c r="E1195" s="10">
        <f>IF(D1195&gt;0,VLOOKUP(OPERAC[[#This Row],[COD CART]],[1]!MatrizCortoLargoCyl[#All],3,0),"")</f>
        <v/>
      </c>
      <c r="F1195" s="13" t="inlineStr">
        <is>
          <t>ACB/V/5,00/16-09-22</t>
        </is>
      </c>
      <c r="G1195" s="6" t="n">
        <v>-6</v>
      </c>
      <c r="H1195" s="6">
        <f>-1.56*OPERAC[[#This Row],[cantidad]]</f>
        <v/>
      </c>
      <c r="I1195" s="7">
        <f>-H1195/G1195</f>
        <v/>
      </c>
      <c r="J1195" s="11" t="n">
        <v>44627</v>
      </c>
      <c r="K1195" s="6" t="n">
        <v>-6</v>
      </c>
      <c r="L1195" s="6" t="n">
        <v>-13.35</v>
      </c>
      <c r="M1195" s="7">
        <f>IF(N1195=0,+L1195+H1195,0)</f>
        <v/>
      </c>
      <c r="N1195" s="7">
        <f>IF((+G1195-K1195)=0,0,+G1195-K1195)</f>
        <v/>
      </c>
      <c r="O1195" s="7">
        <f>IF(N1195=0,0,(L1195+H1195)/-N1195)</f>
        <v/>
      </c>
      <c r="P1195" s="7">
        <f>VLOOKUP(OPERAC[[#This Row],[especie]],[1]!ESPECIES[#All],6,0)</f>
        <v/>
      </c>
      <c r="Q1195" s="7">
        <f>IF(N1195&lt;&gt;0,P1195*N1195,0)</f>
        <v/>
      </c>
      <c r="R1195" s="8">
        <f>IF(Q1195&lt;&gt;0,Q1195+H1195+L1195,0)</f>
        <v/>
      </c>
      <c r="S1195" s="9">
        <f>VLOOKUP(OPERAC[[#This Row],[especie]],[1]!ESPECIES[#Data],9,FALSE)</f>
        <v/>
      </c>
    </row>
    <row r="1196">
      <c r="A1196" s="4" t="n">
        <v>4561</v>
      </c>
      <c r="B1196" s="5" t="n">
        <v>44601</v>
      </c>
      <c r="C1196" s="13" t="inlineStr">
        <is>
          <t>VTA</t>
        </is>
      </c>
      <c r="D1196" s="13" t="n">
        <v>39</v>
      </c>
      <c r="E1196" s="10">
        <f>IF(D1196&gt;0,VLOOKUP(OPERAC[[#This Row],[COD CART]],[1]!MatrizCortoLargoCyl[#All],3,0),"")</f>
        <v/>
      </c>
      <c r="F1196" s="13" t="inlineStr">
        <is>
          <t>ACB/V/5,00/16-09-22</t>
        </is>
      </c>
      <c r="G1196" s="6" t="n">
        <v>-6</v>
      </c>
      <c r="H1196" s="6">
        <f>-1.56*OPERAC[[#This Row],[cantidad]]</f>
        <v/>
      </c>
      <c r="I1196" s="7">
        <f>-H1196/G1196</f>
        <v/>
      </c>
      <c r="J1196" s="11" t="n">
        <v>44628</v>
      </c>
      <c r="K1196" s="6" t="n">
        <v>-6</v>
      </c>
      <c r="L1196" s="6" t="n">
        <v>-13.02</v>
      </c>
      <c r="M1196" s="7">
        <f>IF(N1196=0,+L1196+H1196,0)</f>
        <v/>
      </c>
      <c r="N1196" s="7">
        <f>IF((+G1196-K1196)=0,0,+G1196-K1196)</f>
        <v/>
      </c>
      <c r="O1196" s="7">
        <f>IF(N1196=0,0,(L1196+H1196)/-N1196)</f>
        <v/>
      </c>
      <c r="P1196" s="7">
        <f>VLOOKUP(OPERAC[[#This Row],[especie]],[1]!ESPECIES[#All],6,0)</f>
        <v/>
      </c>
      <c r="Q1196" s="7">
        <f>IF(N1196&lt;&gt;0,P1196*N1196,0)</f>
        <v/>
      </c>
      <c r="R1196" s="8">
        <f>IF(Q1196&lt;&gt;0,Q1196+H1196+L1196,0)</f>
        <v/>
      </c>
      <c r="S1196" s="9">
        <f>VLOOKUP(OPERAC[[#This Row],[especie]],[1]!ESPECIES[#Data],9,FALSE)</f>
        <v/>
      </c>
    </row>
    <row r="1197">
      <c r="A1197" s="4" t="n">
        <v>12662</v>
      </c>
      <c r="B1197" s="5" t="n">
        <v>44601</v>
      </c>
      <c r="C1197" s="13" t="inlineStr">
        <is>
          <t>VTA</t>
        </is>
      </c>
      <c r="D1197" s="13" t="n">
        <v>39</v>
      </c>
      <c r="E1197" s="10">
        <f>IF(D1197&gt;0,VLOOKUP(OPERAC[[#This Row],[COD CART]],[1]!MatrizCortoLargoCyl[#All],3,0),"")</f>
        <v/>
      </c>
      <c r="F1197" s="13" t="inlineStr">
        <is>
          <t>ACB/V/5,00/16-09-22</t>
        </is>
      </c>
      <c r="G1197" s="6" t="n">
        <v>-6</v>
      </c>
      <c r="H1197" s="6">
        <f>-1.56*OPERAC[[#This Row],[cantidad]]</f>
        <v/>
      </c>
      <c r="I1197" s="7">
        <f>-H1197/G1197</f>
        <v/>
      </c>
      <c r="J1197" s="11" t="n"/>
      <c r="K1197" s="6" t="n"/>
      <c r="L1197" s="6" t="n"/>
      <c r="M1197" s="7">
        <f>IF(N1197=0,+L1197+H1197,0)</f>
        <v/>
      </c>
      <c r="N1197" s="7">
        <f>IF((+G1197-K1197)=0,0,+G1197-K1197)</f>
        <v/>
      </c>
      <c r="O1197" s="7">
        <f>IF(N1197=0,0,(L1197+H1197)/-N1197)</f>
        <v/>
      </c>
      <c r="P1197" s="7">
        <f>VLOOKUP(OPERAC[[#This Row],[especie]],[1]!ESPECIES[#All],6,0)</f>
        <v/>
      </c>
      <c r="Q1197" s="7">
        <f>IF(N1197&lt;&gt;0,P1197*N1197,0)</f>
        <v/>
      </c>
      <c r="R1197" s="8">
        <f>IF(Q1197&lt;&gt;0,Q1197+H1197+L1197,0)</f>
        <v/>
      </c>
      <c r="S1197" s="9">
        <f>VLOOKUP(OPERAC[[#This Row],[especie]],[1]!ESPECIES[#Data],9,FALSE)</f>
        <v/>
      </c>
    </row>
    <row r="1198">
      <c r="A1198" s="4" t="n">
        <v>16824</v>
      </c>
      <c r="B1198" s="5" t="n">
        <v>44601</v>
      </c>
      <c r="C1198" s="13" t="inlineStr">
        <is>
          <t>VTA</t>
        </is>
      </c>
      <c r="D1198" s="13" t="n">
        <v>39</v>
      </c>
      <c r="E1198" s="10">
        <f>IF(D1198&gt;0,VLOOKUP(OPERAC[[#This Row],[COD CART]],[1]!MatrizCortoLargoCyl[#All],3,0),"")</f>
        <v/>
      </c>
      <c r="F1198" s="13" t="inlineStr">
        <is>
          <t>ACB/V/5,00/16-09-22</t>
        </is>
      </c>
      <c r="G1198" s="6" t="n">
        <v>-6</v>
      </c>
      <c r="H1198" s="6">
        <f>-1.56*OPERAC[[#This Row],[cantidad]]</f>
        <v/>
      </c>
      <c r="I1198" s="7">
        <f>-H1198/G1198</f>
        <v/>
      </c>
      <c r="J1198" s="11" t="n"/>
      <c r="K1198" s="6" t="n"/>
      <c r="L1198" s="6" t="n"/>
      <c r="M1198" s="7">
        <f>IF(N1198=0,+L1198+H1198,0)</f>
        <v/>
      </c>
      <c r="N1198" s="7">
        <f>IF((+G1198-K1198)=0,0,+G1198-K1198)</f>
        <v/>
      </c>
      <c r="O1198" s="7">
        <f>IF(N1198=0,0,(L1198+H1198)/-N1198)</f>
        <v/>
      </c>
      <c r="P1198" s="7">
        <f>VLOOKUP(OPERAC[[#This Row],[especie]],[1]!ESPECIES[#All],6,0)</f>
        <v/>
      </c>
      <c r="Q1198" s="7">
        <f>IF(N1198&lt;&gt;0,P1198*N1198,0)</f>
        <v/>
      </c>
      <c r="R1198" s="8">
        <f>IF(Q1198&lt;&gt;0,Q1198+H1198+L1198,0)</f>
        <v/>
      </c>
      <c r="S1198" s="9">
        <f>VLOOKUP(OPERAC[[#This Row],[especie]],[1]!ESPECIES[#Data],9,FALSE)</f>
        <v/>
      </c>
    </row>
    <row r="1199">
      <c r="A1199" s="4" t="n">
        <v>13230</v>
      </c>
      <c r="B1199" s="5" t="n">
        <v>44441</v>
      </c>
      <c r="C1199" s="13" t="inlineStr">
        <is>
          <t>VTA</t>
        </is>
      </c>
      <c r="D1199" s="13" t="n">
        <v>39</v>
      </c>
      <c r="E1199" s="10">
        <f>IF(D1199&gt;0,VLOOKUP(OPERAC[[#This Row],[COD CART]],[1]!MatrizCortoLargoCyl[#All],3,0),"")</f>
        <v/>
      </c>
      <c r="F1199" s="13" t="inlineStr">
        <is>
          <t>DDD/V/15,00/20-01-23</t>
        </is>
      </c>
      <c r="G1199" s="6" t="n">
        <v>-5</v>
      </c>
      <c r="H1199" s="6" t="n">
        <v>9.19</v>
      </c>
      <c r="I1199" s="7">
        <f>-H1199/G1199</f>
        <v/>
      </c>
      <c r="J1199" s="11" t="n">
        <v>44719</v>
      </c>
      <c r="K1199" s="6" t="n">
        <v>-5</v>
      </c>
      <c r="L1199" s="6" t="n">
        <v>-27.01</v>
      </c>
      <c r="M1199" s="7">
        <f>IF(N1199=0,+L1199+H1199,0)</f>
        <v/>
      </c>
      <c r="N1199" s="7">
        <f>IF((+G1199-K1199)=0,0,+G1199-K1199)</f>
        <v/>
      </c>
      <c r="O1199" s="7">
        <f>IF(N1199=0,0,(L1199+H1199)/-N1199)</f>
        <v/>
      </c>
      <c r="P1199" s="7">
        <f>VLOOKUP(OPERAC[[#This Row],[especie]],[1]!ESPECIES[#All],6,0)</f>
        <v/>
      </c>
      <c r="Q1199" s="7">
        <f>IF(N1199&lt;&gt;0,P1199*N1199,0)</f>
        <v/>
      </c>
      <c r="R1199" s="8">
        <f>IF(Q1199&lt;&gt;0,Q1199+H1199+L1199,0)</f>
        <v/>
      </c>
      <c r="S1199" s="9">
        <f>VLOOKUP(OPERAC[[#This Row],[especie]],[1]!ESPECIES[#Data],9,FALSE)</f>
        <v/>
      </c>
    </row>
    <row r="1200">
      <c r="A1200" s="4" t="n">
        <v>13246</v>
      </c>
      <c r="B1200" s="5" t="n">
        <v>44441</v>
      </c>
      <c r="C1200" s="13" t="inlineStr">
        <is>
          <t>VTA</t>
        </is>
      </c>
      <c r="D1200" s="13" t="n">
        <v>39</v>
      </c>
      <c r="E1200" s="10">
        <f>IF(D1200&gt;0,VLOOKUP(OPERAC[[#This Row],[COD CART]],[1]!MatrizCortoLargoCyl[#All],3,0),"")</f>
        <v/>
      </c>
      <c r="F1200" s="13" t="inlineStr">
        <is>
          <t>DDD/V/15,00/20-01-23</t>
        </is>
      </c>
      <c r="G1200" s="6" t="n">
        <v>-5</v>
      </c>
      <c r="H1200" s="6" t="n">
        <v>9.19</v>
      </c>
      <c r="I1200" s="7">
        <f>-H1200/G1200</f>
        <v/>
      </c>
      <c r="J1200" s="11" t="n"/>
      <c r="K1200" s="6" t="n"/>
      <c r="L1200" s="6" t="n"/>
      <c r="M1200" s="7">
        <f>IF(N1200=0,+L1200+H1200,0)</f>
        <v/>
      </c>
      <c r="N1200" s="7">
        <f>IF((+G1200-K1200)=0,0,+G1200-K1200)</f>
        <v/>
      </c>
      <c r="O1200" s="7">
        <f>IF(N1200=0,0,(L1200+H1200)/-N1200)</f>
        <v/>
      </c>
      <c r="P1200" s="7">
        <f>VLOOKUP(OPERAC[[#This Row],[especie]],[1]!ESPECIES[#All],6,0)</f>
        <v/>
      </c>
      <c r="Q1200" s="7">
        <f>IF(N1200&lt;&gt;0,P1200*N1200,0)</f>
        <v/>
      </c>
      <c r="R1200" s="8">
        <f>IF(Q1200&lt;&gt;0,Q1200+H1200+L1200,0)</f>
        <v/>
      </c>
      <c r="S1200" s="9">
        <f>VLOOKUP(OPERAC[[#This Row],[especie]],[1]!ESPECIES[#Data],9,FALSE)</f>
        <v/>
      </c>
    </row>
    <row r="1201">
      <c r="A1201" s="4" t="n">
        <v>1760</v>
      </c>
      <c r="B1201" s="5" t="n">
        <v>44670</v>
      </c>
      <c r="C1201" s="13" t="inlineStr">
        <is>
          <t>VTA</t>
        </is>
      </c>
      <c r="D1201" s="13" t="n">
        <v>39</v>
      </c>
      <c r="E1201" s="10">
        <f>IF(D1201&gt;0,VLOOKUP(OPERAC[[#This Row],[COD CART]],[1]!MatrizCortoLargoCyl[#All],3,0),"")</f>
        <v/>
      </c>
      <c r="F1201" s="13" t="inlineStr">
        <is>
          <t>TSLA/V/400,00/20-01-23</t>
        </is>
      </c>
      <c r="G1201" s="6" t="n">
        <v>-1</v>
      </c>
      <c r="H1201" s="6" t="n">
        <v>9.1218</v>
      </c>
      <c r="I1201" s="7">
        <f>-H1201/G1201</f>
        <v/>
      </c>
      <c r="J1201" s="11" t="n">
        <v>44692</v>
      </c>
      <c r="K1201" s="6" t="n">
        <v>-1</v>
      </c>
      <c r="L1201" s="6" t="n">
        <v>-33.165</v>
      </c>
      <c r="M1201" s="7">
        <f>IF(N1201=0,+L1201+H1201,0)</f>
        <v/>
      </c>
      <c r="N1201" s="7">
        <f>IF((+G1201-K1201)=0,0,+G1201-K1201)</f>
        <v/>
      </c>
      <c r="O1201" s="7">
        <f>IF(N1201=0,0,(L1201+H1201)/-N1201)</f>
        <v/>
      </c>
      <c r="P1201" s="7">
        <f>VLOOKUP(OPERAC[[#This Row],[especie]],[1]!ESPECIES[#All],6,0)</f>
        <v/>
      </c>
      <c r="Q1201" s="7">
        <f>IF(N1201&lt;&gt;0,P1201*N1201,0)</f>
        <v/>
      </c>
      <c r="R1201" s="8">
        <f>IF(Q1201&lt;&gt;0,Q1201+H1201+L1201,0)</f>
        <v/>
      </c>
      <c r="S1201" s="9">
        <f>VLOOKUP(OPERAC[[#This Row],[especie]],[1]!ESPECIES[#Data],9,FALSE)</f>
        <v/>
      </c>
    </row>
    <row r="1202">
      <c r="A1202" s="4" t="n">
        <v>2194</v>
      </c>
      <c r="B1202" s="5" t="n">
        <v>44299</v>
      </c>
      <c r="C1202" s="13" t="inlineStr">
        <is>
          <t>VTA</t>
        </is>
      </c>
      <c r="D1202" s="13" t="n">
        <v>39</v>
      </c>
      <c r="E1202" s="10">
        <f>IF(D1202&gt;0,VLOOKUP(OPERAC[[#This Row],[COD CART]],[1]!MatrizCortoLargoCyl[#All],3,0),"")</f>
        <v/>
      </c>
      <c r="F1202" s="13" t="inlineStr">
        <is>
          <t>TLRY1/V/10,00/20-01-23</t>
        </is>
      </c>
      <c r="G1202" s="6" t="n">
        <v>-3</v>
      </c>
      <c r="H1202" s="6" t="n">
        <v>9.08</v>
      </c>
      <c r="I1202" s="7">
        <f>-H1202/G1202</f>
        <v/>
      </c>
      <c r="J1202" s="11" t="n"/>
      <c r="K1202" s="6" t="n"/>
      <c r="L1202" s="6" t="n"/>
      <c r="M1202" s="7">
        <f>IF(N1202=0,+L1202+H1202,0)</f>
        <v/>
      </c>
      <c r="N1202" s="7">
        <f>IF((+G1202-K1202)=0,0,+G1202-K1202)</f>
        <v/>
      </c>
      <c r="O1202" s="7">
        <f>IF(N1202=0,0,(L1202+H1202)/-N1202)</f>
        <v/>
      </c>
      <c r="P1202" s="7">
        <f>VLOOKUP(OPERAC[[#This Row],[especie]],[1]!ESPECIES[#All],6,0)</f>
        <v/>
      </c>
      <c r="Q1202" s="7">
        <f>IF(N1202&lt;&gt;0,P1202*N1202,0)</f>
        <v/>
      </c>
      <c r="R1202" s="8">
        <f>IF(Q1202&lt;&gt;0,Q1202+H1202+L1202,0)</f>
        <v/>
      </c>
      <c r="S1202" s="9">
        <f>VLOOKUP(OPERAC[[#This Row],[especie]],[1]!ESPECIES[#Data],9,FALSE)</f>
        <v/>
      </c>
    </row>
    <row r="1203">
      <c r="A1203" s="4" t="n">
        <v>20234</v>
      </c>
      <c r="B1203" s="5" t="n">
        <v>44614</v>
      </c>
      <c r="C1203" s="13" t="inlineStr">
        <is>
          <t>VTA</t>
        </is>
      </c>
      <c r="D1203" s="13" t="n">
        <v>39</v>
      </c>
      <c r="E1203" s="10">
        <f>IF(D1203&gt;0,VLOOKUP(OPERAC[[#This Row],[COD CART]],[1]!MatrizCortoLargoCyl[#All],3,0),"")</f>
        <v/>
      </c>
      <c r="F1203" s="13" t="inlineStr">
        <is>
          <t>TSLA/V/200,00/19-01-24</t>
        </is>
      </c>
      <c r="G1203" s="6" t="n">
        <v>-1</v>
      </c>
      <c r="H1203" s="6" t="n">
        <v>8.92</v>
      </c>
      <c r="I1203" s="7">
        <f>-H1203/G1203</f>
        <v/>
      </c>
      <c r="J1203" s="11" t="n"/>
      <c r="K1203" s="6" t="n"/>
      <c r="L1203" s="6" t="n"/>
      <c r="M1203" s="7">
        <f>IF(N1203=0,+L1203+H1203,0)</f>
        <v/>
      </c>
      <c r="N1203" s="7">
        <f>IF((+G1203-K1203)=0,0,+G1203-K1203)</f>
        <v/>
      </c>
      <c r="O1203" s="7">
        <f>IF(N1203=0,0,(L1203+H1203)/-N1203)</f>
        <v/>
      </c>
      <c r="P1203" s="7">
        <f>VLOOKUP(OPERAC[[#This Row],[especie]],[1]!ESPECIES[#All],6,0)</f>
        <v/>
      </c>
      <c r="Q1203" s="7">
        <f>IF(N1203&lt;&gt;0,P1203*N1203,0)</f>
        <v/>
      </c>
      <c r="R1203" s="8">
        <f>IF(Q1203&lt;&gt;0,Q1203+H1203+L1203,0)</f>
        <v/>
      </c>
      <c r="S1203" s="9">
        <f>VLOOKUP(OPERAC[[#This Row],[especie]],[1]!ESPECIES[#Data],9,FALSE)</f>
        <v/>
      </c>
    </row>
    <row r="1204">
      <c r="A1204" s="4" t="n">
        <v>21070</v>
      </c>
      <c r="B1204" s="5" t="n">
        <v>44614</v>
      </c>
      <c r="C1204" s="13" t="inlineStr">
        <is>
          <t>VTA</t>
        </is>
      </c>
      <c r="D1204" s="13" t="n">
        <v>39</v>
      </c>
      <c r="E1204" s="10">
        <f>IF(D1204&gt;0,VLOOKUP(OPERAC[[#This Row],[COD CART]],[1]!MatrizCortoLargoCyl[#All],3,0),"")</f>
        <v/>
      </c>
      <c r="F1204" s="13" t="inlineStr">
        <is>
          <t>TSLA/V/200,00/19-01-24</t>
        </is>
      </c>
      <c r="G1204" s="6" t="n">
        <v>-1</v>
      </c>
      <c r="H1204" s="6" t="n">
        <v>8.92</v>
      </c>
      <c r="I1204" s="7">
        <f>-H1204/G1204</f>
        <v/>
      </c>
      <c r="J1204" s="11" t="n"/>
      <c r="K1204" s="6" t="n"/>
      <c r="L1204" s="6" t="n"/>
      <c r="M1204" s="7">
        <f>IF(N1204=0,+L1204+H1204,0)</f>
        <v/>
      </c>
      <c r="N1204" s="7">
        <f>IF((+G1204-K1204)=0,0,+G1204-K1204)</f>
        <v/>
      </c>
      <c r="O1204" s="7">
        <f>IF(N1204=0,0,(L1204+H1204)/-N1204)</f>
        <v/>
      </c>
      <c r="P1204" s="7">
        <f>VLOOKUP(OPERAC[[#This Row],[especie]],[1]!ESPECIES[#All],6,0)</f>
        <v/>
      </c>
      <c r="Q1204" s="7">
        <f>IF(N1204&lt;&gt;0,P1204*N1204,0)</f>
        <v/>
      </c>
      <c r="R1204" s="8">
        <f>IF(Q1204&lt;&gt;0,Q1204+H1204+L1204,0)</f>
        <v/>
      </c>
      <c r="S1204" s="9">
        <f>VLOOKUP(OPERAC[[#This Row],[especie]],[1]!ESPECIES[#Data],9,FALSE)</f>
        <v/>
      </c>
    </row>
    <row r="1205">
      <c r="A1205" s="4" t="n">
        <v>1760</v>
      </c>
      <c r="B1205" s="5" t="n">
        <v>44427</v>
      </c>
      <c r="C1205" s="13" t="inlineStr">
        <is>
          <t>VTA</t>
        </is>
      </c>
      <c r="D1205" s="13" t="n">
        <v>39</v>
      </c>
      <c r="E1205" s="10">
        <f>IF(D1205&gt;0,VLOOKUP(OPERAC[[#This Row],[COD CART]],[1]!MatrizCortoLargoCyl[#All],3,0),"")</f>
        <v/>
      </c>
      <c r="F1205" s="13" t="inlineStr">
        <is>
          <t>SPWR/V/15,00/20-01-23</t>
        </is>
      </c>
      <c r="G1205" s="6" t="n">
        <v>-3</v>
      </c>
      <c r="H1205" s="6" t="n">
        <v>8.52</v>
      </c>
      <c r="I1205" s="7">
        <f>-H1205/G1205</f>
        <v/>
      </c>
      <c r="J1205" s="11" t="n"/>
      <c r="K1205" s="6" t="n"/>
      <c r="L1205" s="6" t="n"/>
      <c r="M1205" s="7">
        <f>IF(N1205=0,+L1205+H1205,0)</f>
        <v/>
      </c>
      <c r="N1205" s="7">
        <f>IF((+G1205-K1205)=0,0,+G1205-K1205)</f>
        <v/>
      </c>
      <c r="O1205" s="7">
        <f>IF(N1205=0,0,(L1205+H1205)/-N1205)</f>
        <v/>
      </c>
      <c r="P1205" s="7">
        <f>VLOOKUP(OPERAC[[#This Row],[especie]],[1]!ESPECIES[#All],6,0)</f>
        <v/>
      </c>
      <c r="Q1205" s="7">
        <f>IF(N1205&lt;&gt;0,P1205*N1205,0)</f>
        <v/>
      </c>
      <c r="R1205" s="8">
        <f>IF(Q1205&lt;&gt;0,Q1205+H1205+L1205,0)</f>
        <v/>
      </c>
      <c r="S1205" s="9">
        <f>VLOOKUP(OPERAC[[#This Row],[especie]],[1]!ESPECIES[#Data],9,FALSE)</f>
        <v/>
      </c>
    </row>
    <row r="1206">
      <c r="A1206" s="4" t="n">
        <v>1760</v>
      </c>
      <c r="B1206" s="5" t="n">
        <v>44428</v>
      </c>
      <c r="C1206" s="13" t="inlineStr">
        <is>
          <t>VTA</t>
        </is>
      </c>
      <c r="D1206" s="13" t="n">
        <v>39</v>
      </c>
      <c r="E1206" s="10">
        <f>IF(D1206&gt;0,VLOOKUP(OPERAC[[#This Row],[COD CART]],[1]!MatrizCortoLargoCyl[#All],3,0),"")</f>
        <v/>
      </c>
      <c r="F1206" s="13" t="inlineStr">
        <is>
          <t>EDU/V/20,00/20-01-23</t>
        </is>
      </c>
      <c r="G1206" s="6" t="n">
        <v>-10</v>
      </c>
      <c r="H1206" s="6" t="n">
        <v>8.41</v>
      </c>
      <c r="I1206" s="7">
        <f>-H1206/G1206</f>
        <v/>
      </c>
      <c r="J1206" s="11" t="n"/>
      <c r="K1206" s="6" t="n"/>
      <c r="L1206" s="6" t="n"/>
      <c r="M1206" s="7">
        <f>IF(N1206=0,+L1206+H1206,0)</f>
        <v/>
      </c>
      <c r="N1206" s="7">
        <f>IF((+G1206-K1206)=0,0,+G1206-K1206)</f>
        <v/>
      </c>
      <c r="O1206" s="7">
        <f>IF(N1206=0,0,(L1206+H1206)/-N1206)</f>
        <v/>
      </c>
      <c r="P1206" s="7">
        <f>VLOOKUP(OPERAC[[#This Row],[especie]],[1]!ESPECIES[#All],6,0)</f>
        <v/>
      </c>
      <c r="Q1206" s="7">
        <f>IF(N1206&lt;&gt;0,P1206*N1206,0)</f>
        <v/>
      </c>
      <c r="R1206" s="8">
        <f>IF(Q1206&lt;&gt;0,Q1206+H1206+L1206,0)</f>
        <v/>
      </c>
      <c r="S1206" s="9">
        <f>VLOOKUP(OPERAC[[#This Row],[especie]],[1]!ESPECIES[#Data],9,FALSE)</f>
        <v/>
      </c>
    </row>
    <row r="1207">
      <c r="A1207" s="4" t="n">
        <v>3728</v>
      </c>
      <c r="B1207" s="5" t="n">
        <v>44411</v>
      </c>
      <c r="C1207" s="13" t="inlineStr">
        <is>
          <t>VTA</t>
        </is>
      </c>
      <c r="D1207" s="13" t="n">
        <v>39</v>
      </c>
      <c r="E1207" s="10">
        <f>IF(D1207&gt;0,VLOOKUP(OPERAC[[#This Row],[COD CART]],[1]!MatrizCortoLargoCyl[#All],3,0),"")</f>
        <v/>
      </c>
      <c r="F1207" s="13" t="inlineStr">
        <is>
          <t>EDU/V/25,00/20-01-23</t>
        </is>
      </c>
      <c r="G1207" s="6" t="n">
        <v>-7</v>
      </c>
      <c r="H1207" s="6" t="n">
        <v>8.33</v>
      </c>
      <c r="I1207" s="7">
        <f>-H1207/G1207</f>
        <v/>
      </c>
      <c r="J1207" s="11" t="n">
        <v>44637</v>
      </c>
      <c r="K1207" s="6" t="n">
        <v>-7</v>
      </c>
      <c r="L1207" s="6">
        <f>+OPERAC[[#This Row],[cantidad venta]]*1.559</f>
        <v/>
      </c>
      <c r="M1207" s="7">
        <f>IF(N1207=0,+L1207+H1207,0)</f>
        <v/>
      </c>
      <c r="N1207" s="7">
        <f>IF((+G1207-K1207)=0,0,+G1207-K1207)</f>
        <v/>
      </c>
      <c r="O1207" s="7">
        <f>IF(N1207=0,0,(L1207+H1207)/-N1207)</f>
        <v/>
      </c>
      <c r="P1207" s="7">
        <f>VLOOKUP(OPERAC[[#This Row],[especie]],[1]!ESPECIES[#All],6,0)</f>
        <v/>
      </c>
      <c r="Q1207" s="7">
        <f>IF(N1207&lt;&gt;0,P1207*N1207,0)</f>
        <v/>
      </c>
      <c r="R1207" s="8">
        <f>IF(Q1207&lt;&gt;0,Q1207+H1207+L1207,0)</f>
        <v/>
      </c>
      <c r="S1207" s="9">
        <f>VLOOKUP(OPERAC[[#This Row],[especie]],[1]!ESPECIES[#Data],9,FALSE)</f>
        <v/>
      </c>
    </row>
    <row r="1208">
      <c r="A1208" s="4" t="n">
        <v>13246</v>
      </c>
      <c r="B1208" s="5" t="n">
        <v>44645</v>
      </c>
      <c r="C1208" s="13" t="inlineStr">
        <is>
          <t>VTA</t>
        </is>
      </c>
      <c r="D1208" s="13" t="n">
        <v>39</v>
      </c>
      <c r="E1208" s="10">
        <f>IF(D1208&gt;0,VLOOKUP(OPERAC[[#This Row],[COD CART]],[1]!MatrizCortoLargoCyl[#All],3,0),"")</f>
        <v/>
      </c>
      <c r="F1208" s="13" t="inlineStr">
        <is>
          <t>TLRY/V/6,00/16-09-22</t>
        </is>
      </c>
      <c r="G1208" s="6" t="n">
        <v>-8</v>
      </c>
      <c r="H1208" s="6" t="n">
        <v>8.2768</v>
      </c>
      <c r="I1208" s="7">
        <f>-H1208/G1208</f>
        <v/>
      </c>
      <c r="J1208" s="11" t="n"/>
      <c r="K1208" s="6" t="n"/>
      <c r="L1208" s="6" t="n"/>
      <c r="M1208" s="7">
        <f>IF(N1208=0,+L1208+H1208,0)</f>
        <v/>
      </c>
      <c r="N1208" s="7">
        <f>IF((+G1208-K1208)=0,0,+G1208-K1208)</f>
        <v/>
      </c>
      <c r="O1208" s="7">
        <f>IF(N1208=0,0,(L1208+H1208)/-N1208)</f>
        <v/>
      </c>
      <c r="P1208" s="7">
        <f>VLOOKUP(OPERAC[[#This Row],[especie]],[1]!ESPECIES[#All],6,0)</f>
        <v/>
      </c>
      <c r="Q1208" s="7">
        <f>IF(N1208&lt;&gt;0,P1208*N1208,0)</f>
        <v/>
      </c>
      <c r="R1208" s="8">
        <f>IF(Q1208&lt;&gt;0,Q1208+H1208+L1208,0)</f>
        <v/>
      </c>
      <c r="S1208" s="9">
        <f>VLOOKUP(OPERAC[[#This Row],[especie]],[1]!ESPECIES[#Data],9,FALSE)</f>
        <v/>
      </c>
    </row>
    <row r="1209">
      <c r="A1209" s="4" t="n">
        <v>13180</v>
      </c>
      <c r="B1209" s="5" t="n">
        <v>44537</v>
      </c>
      <c r="C1209" s="13" t="inlineStr">
        <is>
          <t>VTA</t>
        </is>
      </c>
      <c r="D1209" s="13" t="n">
        <v>39</v>
      </c>
      <c r="E1209" s="10">
        <f>IF(D1209&gt;0,VLOOKUP(OPERAC[[#This Row],[COD CART]],[1]!MatrizCortoLargoCyl[#All],3,0),"")</f>
        <v/>
      </c>
      <c r="F1209" s="13" t="inlineStr">
        <is>
          <t>MELI/V/740,00/16-09-22</t>
        </is>
      </c>
      <c r="G1209" s="6" t="n">
        <v>-4</v>
      </c>
      <c r="H1209" s="6">
        <f>-2*OPERAC[[#This Row],[cantidad]]</f>
        <v/>
      </c>
      <c r="I1209" s="7">
        <f>-H1209/G1209</f>
        <v/>
      </c>
      <c r="J1209" s="11" t="n">
        <v>44614</v>
      </c>
      <c r="K1209" s="6">
        <f>-2-1</f>
        <v/>
      </c>
      <c r="L1209" s="6">
        <f>-4-2</f>
        <v/>
      </c>
      <c r="M1209" s="7">
        <f>IF(N1209=0,+L1209+H1209,0)</f>
        <v/>
      </c>
      <c r="N1209" s="7">
        <f>IF((+G1209-K1209)=0,0,+G1209-K1209)</f>
        <v/>
      </c>
      <c r="O1209" s="7">
        <f>IF(N1209=0,0,(L1209+H1209)/-N1209)</f>
        <v/>
      </c>
      <c r="P1209" s="7">
        <f>VLOOKUP(OPERAC[[#This Row],[especie]],[1]!ESPECIES[#All],6,0)</f>
        <v/>
      </c>
      <c r="Q1209" s="7">
        <f>IF(N1209&lt;&gt;0,P1209*N1209,0)</f>
        <v/>
      </c>
      <c r="R1209" s="8">
        <f>IF(Q1209&lt;&gt;0,Q1209+H1209+L1209,0)</f>
        <v/>
      </c>
      <c r="S1209" s="9">
        <f>VLOOKUP(OPERAC[[#This Row],[especie]],[1]!ESPECIES[#Data],9,FALSE)</f>
        <v/>
      </c>
    </row>
    <row r="1210">
      <c r="A1210" s="4" t="n">
        <v>18662</v>
      </c>
      <c r="B1210" s="5" t="n">
        <v>44600</v>
      </c>
      <c r="C1210" s="13" t="inlineStr">
        <is>
          <t>VTA</t>
        </is>
      </c>
      <c r="D1210" s="13" t="n">
        <v>39</v>
      </c>
      <c r="E1210" s="10">
        <f>IF(D1210&gt;0,VLOOKUP(OPERAC[[#This Row],[COD CART]],[1]!MatrizCortoLargoCyl[#All],3,0),"")</f>
        <v/>
      </c>
      <c r="F1210" s="13" t="inlineStr">
        <is>
          <t>DDD/V/12,00/20-01-23</t>
        </is>
      </c>
      <c r="G1210" s="6" t="n">
        <v>-5</v>
      </c>
      <c r="H1210" s="6">
        <f>-1.55*OPERAC[[#This Row],[cantidad]]</f>
        <v/>
      </c>
      <c r="I1210" s="7">
        <f>-H1210/G1210</f>
        <v/>
      </c>
      <c r="J1210" s="11" t="n"/>
      <c r="K1210" s="6" t="n"/>
      <c r="L1210" s="6" t="n"/>
      <c r="M1210" s="7">
        <f>IF(N1210=0,+L1210+H1210,0)</f>
        <v/>
      </c>
      <c r="N1210" s="7">
        <f>IF((+G1210-K1210)=0,0,+G1210-K1210)</f>
        <v/>
      </c>
      <c r="O1210" s="7">
        <f>IF(N1210=0,0,(L1210+H1210)/-N1210)</f>
        <v/>
      </c>
      <c r="P1210" s="7">
        <f>VLOOKUP(OPERAC[[#This Row],[especie]],[1]!ESPECIES[#All],6,0)</f>
        <v/>
      </c>
      <c r="Q1210" s="7">
        <f>IF(N1210&lt;&gt;0,P1210*N1210,0)</f>
        <v/>
      </c>
      <c r="R1210" s="8">
        <f>IF(Q1210&lt;&gt;0,Q1210+H1210+L1210,0)</f>
        <v/>
      </c>
      <c r="S1210" s="9">
        <f>VLOOKUP(OPERAC[[#This Row],[especie]],[1]!ESPECIES[#Data],9,FALSE)</f>
        <v/>
      </c>
    </row>
    <row r="1211">
      <c r="A1211" s="4" t="n">
        <v>1760</v>
      </c>
      <c r="B1211" s="5" t="n">
        <v>44579</v>
      </c>
      <c r="C1211" s="13" t="inlineStr">
        <is>
          <t>VTA</t>
        </is>
      </c>
      <c r="D1211" s="13" t="n">
        <v>39</v>
      </c>
      <c r="E1211" s="10">
        <f>IF(D1211&gt;0,VLOOKUP(OPERAC[[#This Row],[COD CART]],[1]!MatrizCortoLargoCyl[#All],3,0),"")</f>
        <v/>
      </c>
      <c r="F1211" s="13" t="inlineStr">
        <is>
          <t>YPF/V/5,00/15-07-22</t>
        </is>
      </c>
      <c r="G1211" s="6" t="n">
        <v>-7</v>
      </c>
      <c r="H1211" s="6" t="n">
        <v>7.5943</v>
      </c>
      <c r="I1211" s="7">
        <f>-H1211/G1211</f>
        <v/>
      </c>
      <c r="J1211" s="11" t="n"/>
      <c r="K1211" s="6" t="n"/>
      <c r="L1211" s="6" t="n"/>
      <c r="M1211" s="7">
        <f>IF(N1211=0,+L1211+H1211,0)</f>
        <v/>
      </c>
      <c r="N1211" s="7">
        <f>IF((+G1211-K1211)=0,0,+G1211-K1211)</f>
        <v/>
      </c>
      <c r="O1211" s="7">
        <f>IF(N1211=0,0,(L1211+H1211)/-N1211)</f>
        <v/>
      </c>
      <c r="P1211" s="7">
        <f>VLOOKUP(OPERAC[[#This Row],[especie]],[1]!ESPECIES[#All],6,0)</f>
        <v/>
      </c>
      <c r="Q1211" s="7">
        <f>IF(N1211&lt;&gt;0,P1211*N1211,0)</f>
        <v/>
      </c>
      <c r="R1211" s="8">
        <f>IF(Q1211&lt;&gt;0,Q1211+H1211+L1211,0)</f>
        <v/>
      </c>
      <c r="S1211" s="9">
        <f>VLOOKUP(OPERAC[[#This Row],[especie]],[1]!ESPECIES[#Data],9,FALSE)</f>
        <v/>
      </c>
    </row>
    <row r="1212">
      <c r="A1212" s="4" t="n">
        <v>10079</v>
      </c>
      <c r="B1212" s="5" t="n">
        <v>44579</v>
      </c>
      <c r="C1212" s="13" t="inlineStr">
        <is>
          <t>VTA</t>
        </is>
      </c>
      <c r="D1212" s="13" t="n">
        <v>39</v>
      </c>
      <c r="E1212" s="10">
        <f>IF(D1212&gt;0,VLOOKUP(OPERAC[[#This Row],[COD CART]],[1]!MatrizCortoLargoCyl[#All],3,0),"")</f>
        <v/>
      </c>
      <c r="F1212" s="13" t="inlineStr">
        <is>
          <t>YPF/V/5,00/15-07-22</t>
        </is>
      </c>
      <c r="G1212" s="6" t="n">
        <v>-7</v>
      </c>
      <c r="H1212" s="6" t="n">
        <v>7.59</v>
      </c>
      <c r="I1212" s="7">
        <f>-H1212/G1212</f>
        <v/>
      </c>
      <c r="J1212" s="11" t="n"/>
      <c r="K1212" s="6" t="n"/>
      <c r="L1212" s="6" t="n"/>
      <c r="M1212" s="7">
        <f>IF(N1212=0,+L1212+H1212,0)</f>
        <v/>
      </c>
      <c r="N1212" s="7">
        <f>IF((+G1212-K1212)=0,0,+G1212-K1212)</f>
        <v/>
      </c>
      <c r="O1212" s="7">
        <f>IF(N1212=0,0,(L1212+H1212)/-N1212)</f>
        <v/>
      </c>
      <c r="P1212" s="7">
        <f>VLOOKUP(OPERAC[[#This Row],[especie]],[1]!ESPECIES[#All],6,0)</f>
        <v/>
      </c>
      <c r="Q1212" s="7">
        <f>IF(N1212&lt;&gt;0,P1212*N1212,0)</f>
        <v/>
      </c>
      <c r="R1212" s="8">
        <f>IF(Q1212&lt;&gt;0,Q1212+H1212+L1212,0)</f>
        <v/>
      </c>
      <c r="S1212" s="9">
        <f>VLOOKUP(OPERAC[[#This Row],[especie]],[1]!ESPECIES[#Data],9,FALSE)</f>
        <v/>
      </c>
    </row>
    <row r="1213">
      <c r="A1213" s="4" t="n">
        <v>16780</v>
      </c>
      <c r="B1213" s="5" t="n">
        <v>44341</v>
      </c>
      <c r="C1213" s="13" t="inlineStr">
        <is>
          <t>VTA</t>
        </is>
      </c>
      <c r="D1213" s="13" t="n">
        <v>39</v>
      </c>
      <c r="E1213" s="10">
        <f>IF(D1213&gt;0,VLOOKUP(OPERAC[[#This Row],[COD CART]],[1]!MatrizCortoLargoCyl[#All],3,0),"")</f>
        <v/>
      </c>
      <c r="F1213" s="13" t="inlineStr">
        <is>
          <t>ACB/V/5,00/20-01-23</t>
        </is>
      </c>
      <c r="G1213" s="6" t="n">
        <v>-5</v>
      </c>
      <c r="H1213" s="6" t="n">
        <v>7.5</v>
      </c>
      <c r="I1213" s="7">
        <f>-H1213/G1213</f>
        <v/>
      </c>
      <c r="J1213" s="11" t="n"/>
      <c r="K1213" s="6" t="n"/>
      <c r="L1213" s="6" t="n"/>
      <c r="M1213" s="7">
        <f>IF(N1213=0,+L1213+H1213,0)</f>
        <v/>
      </c>
      <c r="N1213" s="7">
        <f>IF((+G1213-K1213)=0,0,+G1213-K1213)</f>
        <v/>
      </c>
      <c r="O1213" s="7">
        <f>IF(N1213=0,0,(L1213+H1213)/-N1213)</f>
        <v/>
      </c>
      <c r="P1213" s="7">
        <f>VLOOKUP(OPERAC[[#This Row],[especie]],[1]!ESPECIES[#All],6,0)</f>
        <v/>
      </c>
      <c r="Q1213" s="7">
        <f>IF(N1213&lt;&gt;0,P1213*N1213,0)</f>
        <v/>
      </c>
      <c r="R1213" s="8">
        <f>IF(Q1213&lt;&gt;0,Q1213+H1213+L1213,0)</f>
        <v/>
      </c>
      <c r="S1213" s="9">
        <f>VLOOKUP(OPERAC[[#This Row],[especie]],[1]!ESPECIES[#Data],9,FALSE)</f>
        <v/>
      </c>
    </row>
    <row r="1214">
      <c r="A1214" s="4" t="n">
        <v>19867</v>
      </c>
      <c r="B1214" s="5" t="n">
        <v>44341</v>
      </c>
      <c r="C1214" s="13" t="inlineStr">
        <is>
          <t>VTA</t>
        </is>
      </c>
      <c r="D1214" s="13" t="n">
        <v>39</v>
      </c>
      <c r="E1214" s="10">
        <f>IF(D1214&gt;0,VLOOKUP(OPERAC[[#This Row],[COD CART]],[1]!MatrizCortoLargoCyl[#All],3,0),"")</f>
        <v/>
      </c>
      <c r="F1214" s="13" t="inlineStr">
        <is>
          <t>ACB/V/5,00/20-01-23</t>
        </is>
      </c>
      <c r="G1214" s="6" t="n">
        <v>-5</v>
      </c>
      <c r="H1214" s="6" t="n">
        <v>7.5</v>
      </c>
      <c r="I1214" s="7">
        <f>-H1214/G1214</f>
        <v/>
      </c>
      <c r="J1214" s="11" t="n">
        <v>44629</v>
      </c>
      <c r="K1214" s="6" t="n">
        <v>-5</v>
      </c>
      <c r="L1214" s="6">
        <f>+OPERAC[[#This Row],[cantidad venta]]*2.345</f>
        <v/>
      </c>
      <c r="M1214" s="7">
        <f>IF(N1214=0,+L1214+H1214,0)</f>
        <v/>
      </c>
      <c r="N1214" s="7">
        <f>IF((+G1214-K1214)=0,0,+G1214-K1214)</f>
        <v/>
      </c>
      <c r="O1214" s="7">
        <f>IF(N1214=0,0,(L1214+H1214)/-N1214)</f>
        <v/>
      </c>
      <c r="P1214" s="7">
        <f>VLOOKUP(OPERAC[[#This Row],[especie]],[1]!ESPECIES[#All],6,0)</f>
        <v/>
      </c>
      <c r="Q1214" s="7">
        <f>IF(N1214&lt;&gt;0,P1214*N1214,0)</f>
        <v/>
      </c>
      <c r="R1214" s="8">
        <f>IF(Q1214&lt;&gt;0,Q1214+H1214+L1214,0)</f>
        <v/>
      </c>
      <c r="S1214" s="9">
        <f>VLOOKUP(OPERAC[[#This Row],[especie]],[1]!ESPECIES[#Data],9,FALSE)</f>
        <v/>
      </c>
    </row>
    <row r="1215">
      <c r="A1215" s="4" t="n">
        <v>19888</v>
      </c>
      <c r="B1215" s="5" t="n">
        <v>44341</v>
      </c>
      <c r="C1215" s="13" t="inlineStr">
        <is>
          <t>VTA</t>
        </is>
      </c>
      <c r="D1215" s="13" t="n">
        <v>39</v>
      </c>
      <c r="E1215" s="10">
        <f>IF(D1215&gt;0,VLOOKUP(OPERAC[[#This Row],[COD CART]],[1]!MatrizCortoLargoCyl[#All],3,0),"")</f>
        <v/>
      </c>
      <c r="F1215" s="13" t="inlineStr">
        <is>
          <t>ACB/V/5,00/20-01-23</t>
        </is>
      </c>
      <c r="G1215" s="6" t="n">
        <v>-5</v>
      </c>
      <c r="H1215" s="6" t="n">
        <v>7.5</v>
      </c>
      <c r="I1215" s="7">
        <f>-H1215/G1215</f>
        <v/>
      </c>
      <c r="J1215" s="11" t="n"/>
      <c r="K1215" s="6" t="n"/>
      <c r="L1215" s="6" t="n"/>
      <c r="M1215" s="7">
        <f>IF(N1215=0,+L1215+H1215,0)</f>
        <v/>
      </c>
      <c r="N1215" s="7">
        <f>IF((+G1215-K1215)=0,0,+G1215-K1215)</f>
        <v/>
      </c>
      <c r="O1215" s="7">
        <f>IF(N1215=0,0,(L1215+H1215)/-N1215)</f>
        <v/>
      </c>
      <c r="P1215" s="7">
        <f>VLOOKUP(OPERAC[[#This Row],[especie]],[1]!ESPECIES[#All],6,0)</f>
        <v/>
      </c>
      <c r="Q1215" s="7">
        <f>IF(N1215&lt;&gt;0,P1215*N1215,0)</f>
        <v/>
      </c>
      <c r="R1215" s="8">
        <f>IF(Q1215&lt;&gt;0,Q1215+H1215+L1215,0)</f>
        <v/>
      </c>
      <c r="S1215" s="9">
        <f>VLOOKUP(OPERAC[[#This Row],[especie]],[1]!ESPECIES[#Data],9,FALSE)</f>
        <v/>
      </c>
    </row>
    <row r="1216">
      <c r="A1216" s="4" t="n">
        <v>26138</v>
      </c>
      <c r="B1216" s="5" t="n">
        <v>44341</v>
      </c>
      <c r="C1216" s="13" t="inlineStr">
        <is>
          <t>VTA</t>
        </is>
      </c>
      <c r="D1216" s="13" t="n">
        <v>39</v>
      </c>
      <c r="E1216" s="10">
        <f>IF(D1216&gt;0,VLOOKUP(OPERAC[[#This Row],[COD CART]],[1]!MatrizCortoLargoCyl[#All],3,0),"")</f>
        <v/>
      </c>
      <c r="F1216" s="13" t="inlineStr">
        <is>
          <t>ACB/V/5,00/20-01-23</t>
        </is>
      </c>
      <c r="G1216" s="6" t="n">
        <v>-5</v>
      </c>
      <c r="H1216" s="6" t="n">
        <v>7.5</v>
      </c>
      <c r="I1216" s="7">
        <f>-H1216/G1216</f>
        <v/>
      </c>
      <c r="J1216" s="11" t="n"/>
      <c r="K1216" s="6" t="n"/>
      <c r="L1216" s="6" t="n"/>
      <c r="M1216" s="7">
        <f>IF(N1216=0,+L1216+H1216,0)</f>
        <v/>
      </c>
      <c r="N1216" s="7">
        <f>IF((+G1216-K1216)=0,0,+G1216-K1216)</f>
        <v/>
      </c>
      <c r="O1216" s="7">
        <f>IF(N1216=0,0,(L1216+H1216)/-N1216)</f>
        <v/>
      </c>
      <c r="P1216" s="7">
        <f>VLOOKUP(OPERAC[[#This Row],[especie]],[1]!ESPECIES[#All],6,0)</f>
        <v/>
      </c>
      <c r="Q1216" s="7">
        <f>IF(N1216&lt;&gt;0,P1216*N1216,0)</f>
        <v/>
      </c>
      <c r="R1216" s="8">
        <f>IF(Q1216&lt;&gt;0,Q1216+H1216+L1216,0)</f>
        <v/>
      </c>
      <c r="S1216" s="9">
        <f>VLOOKUP(OPERAC[[#This Row],[especie]],[1]!ESPECIES[#Data],9,FALSE)</f>
        <v/>
      </c>
    </row>
    <row r="1217">
      <c r="A1217" s="4" t="n">
        <v>22393</v>
      </c>
      <c r="B1217" s="5" t="n">
        <v>44299</v>
      </c>
      <c r="C1217" s="13" t="inlineStr">
        <is>
          <t>VTA</t>
        </is>
      </c>
      <c r="D1217" s="13" t="n">
        <v>39</v>
      </c>
      <c r="E1217" s="10">
        <f>IF(D1217&gt;0,VLOOKUP(OPERAC[[#This Row],[COD CART]],[1]!MatrizCortoLargoCyl[#All],3,0),"")</f>
        <v/>
      </c>
      <c r="F1217" s="13" t="inlineStr">
        <is>
          <t>TLRY/V/10,00/19-01-24</t>
        </is>
      </c>
      <c r="G1217" s="6" t="n">
        <v>-2</v>
      </c>
      <c r="H1217" s="6" t="n">
        <v>7.4926</v>
      </c>
      <c r="I1217" s="7">
        <f>-H1217/G1217</f>
        <v/>
      </c>
      <c r="J1217" s="11" t="n"/>
      <c r="K1217" s="6" t="n"/>
      <c r="L1217" s="6" t="n"/>
      <c r="M1217" s="7">
        <f>IF(N1217=0,+L1217+H1217,0)</f>
        <v/>
      </c>
      <c r="N1217" s="7">
        <f>IF((+G1217-K1217)=0,0,+G1217-K1217)</f>
        <v/>
      </c>
      <c r="O1217" s="7">
        <f>IF(N1217=0,0,(L1217+H1217)/-N1217)</f>
        <v/>
      </c>
      <c r="P1217" s="7">
        <f>VLOOKUP(OPERAC[[#This Row],[especie]],[1]!ESPECIES[#All],6,0)</f>
        <v/>
      </c>
      <c r="Q1217" s="7">
        <f>IF(N1217&lt;&gt;0,P1217*N1217,0)</f>
        <v/>
      </c>
      <c r="R1217" s="8">
        <f>IF(Q1217&lt;&gt;0,Q1217+H1217+L1217,0)</f>
        <v/>
      </c>
      <c r="S1217" s="9">
        <f>VLOOKUP(OPERAC[[#This Row],[especie]],[1]!ESPECIES[#Data],9,FALSE)</f>
        <v/>
      </c>
    </row>
    <row r="1218">
      <c r="A1218" s="4" t="n">
        <v>3838</v>
      </c>
      <c r="B1218" s="5" t="n">
        <v>44299</v>
      </c>
      <c r="C1218" s="13" t="inlineStr">
        <is>
          <t>VTA</t>
        </is>
      </c>
      <c r="D1218" s="13" t="n">
        <v>39</v>
      </c>
      <c r="E1218" s="10">
        <f>IF(D1218&gt;0,VLOOKUP(OPERAC[[#This Row],[COD CART]],[1]!MatrizCortoLargoCyl[#All],3,0),"")</f>
        <v/>
      </c>
      <c r="F1218" s="13" t="inlineStr">
        <is>
          <t>TLRY/V/10,00/19-01-24</t>
        </is>
      </c>
      <c r="G1218" s="6" t="n">
        <v>-2</v>
      </c>
      <c r="H1218" s="6" t="n">
        <v>7.4926</v>
      </c>
      <c r="I1218" s="7">
        <f>-H1218/G1218</f>
        <v/>
      </c>
      <c r="J1218" s="11" t="n"/>
      <c r="K1218" s="6" t="n"/>
      <c r="L1218" s="6" t="n"/>
      <c r="M1218" s="7">
        <f>IF(N1218=0,+L1218+H1218,0)</f>
        <v/>
      </c>
      <c r="N1218" s="7">
        <f>IF((+G1218-K1218)=0,0,+G1218-K1218)</f>
        <v/>
      </c>
      <c r="O1218" s="7">
        <f>IF(N1218=0,0,(L1218+H1218)/-N1218)</f>
        <v/>
      </c>
      <c r="P1218" s="7">
        <f>VLOOKUP(OPERAC[[#This Row],[especie]],[1]!ESPECIES[#All],6,0)</f>
        <v/>
      </c>
      <c r="Q1218" s="7">
        <f>IF(N1218&lt;&gt;0,P1218*N1218,0)</f>
        <v/>
      </c>
      <c r="R1218" s="8">
        <f>IF(Q1218&lt;&gt;0,Q1218+H1218+L1218,0)</f>
        <v/>
      </c>
      <c r="S1218" s="9">
        <f>VLOOKUP(OPERAC[[#This Row],[especie]],[1]!ESPECIES[#Data],9,FALSE)</f>
        <v/>
      </c>
    </row>
    <row r="1219">
      <c r="A1219" s="4" t="n">
        <v>16795</v>
      </c>
      <c r="B1219" s="5" t="n">
        <v>44645</v>
      </c>
      <c r="C1219" s="13" t="inlineStr">
        <is>
          <t>VTA</t>
        </is>
      </c>
      <c r="D1219" s="13" t="n">
        <v>39</v>
      </c>
      <c r="E1219" s="10">
        <f>IF(D1219&gt;0,VLOOKUP(OPERAC[[#This Row],[COD CART]],[1]!MatrizCortoLargoCyl[#All],3,0),"")</f>
        <v/>
      </c>
      <c r="F1219" s="13" t="inlineStr">
        <is>
          <t>TLRY/V/6,00/16-09-22</t>
        </is>
      </c>
      <c r="G1219" s="6" t="n">
        <v>-7</v>
      </c>
      <c r="H1219" s="6" t="n">
        <v>7.2422</v>
      </c>
      <c r="I1219" s="7">
        <f>-H1219/G1219</f>
        <v/>
      </c>
      <c r="J1219" s="11" t="n"/>
      <c r="K1219" s="6" t="n"/>
      <c r="L1219" s="6" t="n"/>
      <c r="M1219" s="7">
        <f>IF(N1219=0,+L1219+H1219,0)</f>
        <v/>
      </c>
      <c r="N1219" s="7">
        <f>IF((+G1219-K1219)=0,0,+G1219-K1219)</f>
        <v/>
      </c>
      <c r="O1219" s="7">
        <f>IF(N1219=0,0,(L1219+H1219)/-N1219)</f>
        <v/>
      </c>
      <c r="P1219" s="7">
        <f>VLOOKUP(OPERAC[[#This Row],[especie]],[1]!ESPECIES[#All],6,0)</f>
        <v/>
      </c>
      <c r="Q1219" s="7">
        <f>IF(N1219&lt;&gt;0,P1219*N1219,0)</f>
        <v/>
      </c>
      <c r="R1219" s="8">
        <f>IF(Q1219&lt;&gt;0,Q1219+H1219+L1219,0)</f>
        <v/>
      </c>
      <c r="S1219" s="9">
        <f>VLOOKUP(OPERAC[[#This Row],[especie]],[1]!ESPECIES[#Data],9,FALSE)</f>
        <v/>
      </c>
    </row>
    <row r="1220">
      <c r="A1220" s="4" t="n">
        <v>13269</v>
      </c>
      <c r="B1220" s="5" t="n">
        <v>44614</v>
      </c>
      <c r="C1220" s="13" t="inlineStr">
        <is>
          <t>VTA</t>
        </is>
      </c>
      <c r="D1220" s="13" t="n">
        <v>39</v>
      </c>
      <c r="E1220" s="10">
        <f>IF(D1220&gt;0,VLOOKUP(OPERAC[[#This Row],[COD CART]],[1]!MatrizCortoLargoCyl[#All],3,0),"")</f>
        <v/>
      </c>
      <c r="F1220" s="13" t="inlineStr">
        <is>
          <t>SOLO/V/2,00/20-01-23</t>
        </is>
      </c>
      <c r="G1220" s="6" t="n">
        <v>-10</v>
      </c>
      <c r="H1220" s="6" t="n">
        <v>6.9</v>
      </c>
      <c r="I1220" s="7">
        <f>-H1220/G1220</f>
        <v/>
      </c>
      <c r="J1220" s="11" t="n"/>
      <c r="K1220" s="6" t="n"/>
      <c r="L1220" s="6" t="n"/>
      <c r="M1220" s="7">
        <f>IF(N1220=0,+L1220+H1220,0)</f>
        <v/>
      </c>
      <c r="N1220" s="7">
        <f>IF((+G1220-K1220)=0,0,+G1220-K1220)</f>
        <v/>
      </c>
      <c r="O1220" s="7">
        <f>IF(N1220=0,0,(L1220+H1220)/-N1220)</f>
        <v/>
      </c>
      <c r="P1220" s="7">
        <f>VLOOKUP(OPERAC[[#This Row],[especie]],[1]!ESPECIES[#All],6,0)</f>
        <v/>
      </c>
      <c r="Q1220" s="7">
        <f>IF(N1220&lt;&gt;0,P1220*N1220,0)</f>
        <v/>
      </c>
      <c r="R1220" s="8">
        <f>IF(Q1220&lt;&gt;0,Q1220+H1220+L1220,0)</f>
        <v/>
      </c>
      <c r="S1220" s="9">
        <f>VLOOKUP(OPERAC[[#This Row],[especie]],[1]!ESPECIES[#Data],9,FALSE)</f>
        <v/>
      </c>
    </row>
    <row r="1221">
      <c r="A1221" s="4" t="n">
        <v>18703</v>
      </c>
      <c r="B1221" s="5" t="n">
        <v>44614</v>
      </c>
      <c r="C1221" s="13" t="inlineStr">
        <is>
          <t>VTA</t>
        </is>
      </c>
      <c r="D1221" s="13" t="n">
        <v>39</v>
      </c>
      <c r="E1221" s="10">
        <f>IF(D1221&gt;0,VLOOKUP(OPERAC[[#This Row],[COD CART]],[1]!MatrizCortoLargoCyl[#All],3,0),"")</f>
        <v/>
      </c>
      <c r="F1221" s="13" t="inlineStr">
        <is>
          <t>SOLO/V/2,00/20-01-23</t>
        </is>
      </c>
      <c r="G1221" s="6" t="n">
        <v>-10</v>
      </c>
      <c r="H1221" s="6" t="n">
        <v>6.9</v>
      </c>
      <c r="I1221" s="7">
        <f>-H1221/G1221</f>
        <v/>
      </c>
      <c r="J1221" s="11" t="n"/>
      <c r="K1221" s="6" t="n"/>
      <c r="L1221" s="6" t="n"/>
      <c r="M1221" s="7">
        <f>IF(N1221=0,+L1221+H1221,0)</f>
        <v/>
      </c>
      <c r="N1221" s="7">
        <f>IF((+G1221-K1221)=0,0,+G1221-K1221)</f>
        <v/>
      </c>
      <c r="O1221" s="7">
        <f>IF(N1221=0,0,(L1221+H1221)/-N1221)</f>
        <v/>
      </c>
      <c r="P1221" s="7">
        <f>VLOOKUP(OPERAC[[#This Row],[especie]],[1]!ESPECIES[#All],6,0)</f>
        <v/>
      </c>
      <c r="Q1221" s="7">
        <f>IF(N1221&lt;&gt;0,P1221*N1221,0)</f>
        <v/>
      </c>
      <c r="R1221" s="8">
        <f>IF(Q1221&lt;&gt;0,Q1221+H1221+L1221,0)</f>
        <v/>
      </c>
      <c r="S1221" s="9">
        <f>VLOOKUP(OPERAC[[#This Row],[especie]],[1]!ESPECIES[#Data],9,FALSE)</f>
        <v/>
      </c>
    </row>
    <row r="1222">
      <c r="A1222" s="4" t="n">
        <v>15195</v>
      </c>
      <c r="B1222" s="5" t="n">
        <v>44601</v>
      </c>
      <c r="C1222" s="13" t="inlineStr">
        <is>
          <t>VTA</t>
        </is>
      </c>
      <c r="D1222" s="13" t="n">
        <v>39</v>
      </c>
      <c r="E1222" s="10">
        <f>IF(D1222&gt;0,VLOOKUP(OPERAC[[#This Row],[COD CART]],[1]!MatrizCortoLargoCyl[#All],3,0),"")</f>
        <v/>
      </c>
      <c r="F1222" s="13" t="inlineStr">
        <is>
          <t>TLRY/V/8,00/14-04-22</t>
        </is>
      </c>
      <c r="G1222" s="6" t="n">
        <v>-3</v>
      </c>
      <c r="H1222" s="6">
        <f>-2.1*OPERAC[[#This Row],[cantidad]]</f>
        <v/>
      </c>
      <c r="I1222" s="7">
        <f>-H1222/G1222</f>
        <v/>
      </c>
      <c r="J1222" s="11" t="n">
        <v>44630</v>
      </c>
      <c r="K1222" s="6" t="n">
        <v>-3</v>
      </c>
      <c r="L1222" s="6" t="n">
        <v>-8.4756</v>
      </c>
      <c r="M1222" s="7">
        <f>IF(N1222=0,+L1222+H1222,0)</f>
        <v/>
      </c>
      <c r="N1222" s="7">
        <f>IF((+G1222-K1222)=0,0,+G1222-K1222)</f>
        <v/>
      </c>
      <c r="O1222" s="7">
        <f>IF(N1222=0,0,(L1222+H1222)/-N1222)</f>
        <v/>
      </c>
      <c r="P1222" s="7">
        <f>VLOOKUP(OPERAC[[#This Row],[especie]],[1]!ESPECIES[#All],6,0)</f>
        <v/>
      </c>
      <c r="Q1222" s="7">
        <f>IF(N1222&lt;&gt;0,P1222*N1222,0)</f>
        <v/>
      </c>
      <c r="R1222" s="8">
        <f>IF(Q1222&lt;&gt;0,Q1222+H1222+L1222,0)</f>
        <v/>
      </c>
      <c r="S1222" s="9">
        <f>VLOOKUP(OPERAC[[#This Row],[especie]],[1]!ESPECIES[#Data],9,FALSE)</f>
        <v/>
      </c>
    </row>
    <row r="1223">
      <c r="A1223" s="4" t="n">
        <v>19920</v>
      </c>
      <c r="B1223" s="5" t="n">
        <v>44614</v>
      </c>
      <c r="C1223" s="13" t="inlineStr">
        <is>
          <t>VTA</t>
        </is>
      </c>
      <c r="D1223" s="13" t="n">
        <v>39</v>
      </c>
      <c r="E1223" s="10">
        <f>IF(D1223&gt;0,VLOOKUP(OPERAC[[#This Row],[COD CART]],[1]!MatrizCortoLargoCyl[#All],3,0),"")</f>
        <v/>
      </c>
      <c r="F1223" s="13" t="inlineStr">
        <is>
          <t>DDD/V/15,00/20-01-23</t>
        </is>
      </c>
      <c r="G1223" s="6" t="n">
        <v>-2</v>
      </c>
      <c r="H1223" s="6" t="n">
        <v>6.14</v>
      </c>
      <c r="I1223" s="7">
        <f>-H1223/G1223</f>
        <v/>
      </c>
      <c r="J1223" s="11" t="n">
        <v>44678</v>
      </c>
      <c r="K1223" s="6" t="n">
        <v>-2</v>
      </c>
      <c r="L1223" s="6" t="n">
        <v>-9.470000000000001</v>
      </c>
      <c r="M1223" s="7">
        <f>IF(N1223=0,+L1223+H1223,0)</f>
        <v/>
      </c>
      <c r="N1223" s="7">
        <f>IF((+G1223-K1223)=0,0,+G1223-K1223)</f>
        <v/>
      </c>
      <c r="O1223" s="7">
        <f>IF(N1223=0,0,(L1223+H1223)/-N1223)</f>
        <v/>
      </c>
      <c r="P1223" s="7">
        <f>VLOOKUP(OPERAC[[#This Row],[especie]],[1]!ESPECIES[#All],6,0)</f>
        <v/>
      </c>
      <c r="Q1223" s="7">
        <f>IF(N1223&lt;&gt;0,P1223*N1223,0)</f>
        <v/>
      </c>
      <c r="R1223" s="8">
        <f>IF(Q1223&lt;&gt;0,Q1223+H1223+L1223,0)</f>
        <v/>
      </c>
      <c r="S1223" s="9">
        <f>VLOOKUP(OPERAC[[#This Row],[especie]],[1]!ESPECIES[#Data],9,FALSE)</f>
        <v/>
      </c>
    </row>
    <row r="1224">
      <c r="A1224" s="4" t="n">
        <v>12674</v>
      </c>
      <c r="B1224" s="5" t="n">
        <v>44441</v>
      </c>
      <c r="C1224" s="13" t="inlineStr">
        <is>
          <t>VTA</t>
        </is>
      </c>
      <c r="D1224" s="13" t="n">
        <v>39</v>
      </c>
      <c r="E1224" s="10">
        <f>IF(D1224&gt;0,VLOOKUP(OPERAC[[#This Row],[COD CART]],[1]!MatrizCortoLargoCyl[#All],3,0),"")</f>
        <v/>
      </c>
      <c r="F1224" s="13" t="inlineStr">
        <is>
          <t>EDIT/V/35,00/20-01-23</t>
        </is>
      </c>
      <c r="G1224" s="6" t="n">
        <v>-1</v>
      </c>
      <c r="H1224" s="6" t="n">
        <v>6</v>
      </c>
      <c r="I1224" s="7">
        <f>-H1224/G1224</f>
        <v/>
      </c>
      <c r="J1224" s="11" t="n">
        <v>44642</v>
      </c>
      <c r="K1224" s="6" t="n">
        <v>-1</v>
      </c>
      <c r="L1224" s="6" t="n">
        <v>-18.1545</v>
      </c>
      <c r="M1224" s="7">
        <f>IF(N1224=0,+L1224+H1224,0)</f>
        <v/>
      </c>
      <c r="N1224" s="7">
        <f>IF((+G1224-K1224)=0,0,+G1224-K1224)</f>
        <v/>
      </c>
      <c r="O1224" s="7">
        <f>IF(N1224=0,0,(L1224+H1224)/-N1224)</f>
        <v/>
      </c>
      <c r="P1224" s="7">
        <f>VLOOKUP(OPERAC[[#This Row],[especie]],[1]!ESPECIES[#All],6,0)</f>
        <v/>
      </c>
      <c r="Q1224" s="7">
        <f>IF(N1224&lt;&gt;0,P1224*N1224,0)</f>
        <v/>
      </c>
      <c r="R1224" s="8">
        <f>IF(Q1224&lt;&gt;0,Q1224+H1224+L1224,0)</f>
        <v/>
      </c>
      <c r="S1224" s="9">
        <f>VLOOKUP(OPERAC[[#This Row],[especie]],[1]!ESPECIES[#Data],9,FALSE)</f>
        <v/>
      </c>
    </row>
    <row r="1225">
      <c r="A1225" s="4" t="n">
        <v>26138</v>
      </c>
      <c r="B1225" s="5" t="n">
        <v>44441</v>
      </c>
      <c r="C1225" s="13" t="inlineStr">
        <is>
          <t>VTA</t>
        </is>
      </c>
      <c r="D1225" s="13" t="n">
        <v>39</v>
      </c>
      <c r="E1225" s="10">
        <f>IF(D1225&gt;0,VLOOKUP(OPERAC[[#This Row],[COD CART]],[1]!MatrizCortoLargoCyl[#All],3,0),"")</f>
        <v/>
      </c>
      <c r="F1225" s="13" t="inlineStr">
        <is>
          <t>EDIT/V/35,00/20-01-23</t>
        </is>
      </c>
      <c r="G1225" s="6" t="n">
        <v>-1</v>
      </c>
      <c r="H1225" s="6" t="n">
        <v>6</v>
      </c>
      <c r="I1225" s="7">
        <f>-H1225/G1225</f>
        <v/>
      </c>
      <c r="J1225" s="11" t="n"/>
      <c r="K1225" s="6" t="n"/>
      <c r="L1225" s="6" t="n"/>
      <c r="M1225" s="7">
        <f>IF(N1225=0,+L1225+H1225,0)</f>
        <v/>
      </c>
      <c r="N1225" s="7">
        <f>IF((+G1225-K1225)=0,0,+G1225-K1225)</f>
        <v/>
      </c>
      <c r="O1225" s="7">
        <f>IF(N1225=0,0,(L1225+H1225)/-N1225)</f>
        <v/>
      </c>
      <c r="P1225" s="7">
        <f>VLOOKUP(OPERAC[[#This Row],[especie]],[1]!ESPECIES[#All],6,0)</f>
        <v/>
      </c>
      <c r="Q1225" s="7">
        <f>IF(N1225&lt;&gt;0,P1225*N1225,0)</f>
        <v/>
      </c>
      <c r="R1225" s="8">
        <f>IF(Q1225&lt;&gt;0,Q1225+H1225+L1225,0)</f>
        <v/>
      </c>
      <c r="S1225" s="9">
        <f>VLOOKUP(OPERAC[[#This Row],[especie]],[1]!ESPECIES[#Data],9,FALSE)</f>
        <v/>
      </c>
    </row>
    <row r="1226">
      <c r="A1226" s="4" t="n">
        <v>20312</v>
      </c>
      <c r="B1226" s="5" t="n">
        <v>44614</v>
      </c>
      <c r="C1226" s="13" t="inlineStr">
        <is>
          <t>VTA</t>
        </is>
      </c>
      <c r="D1226" s="13" t="n">
        <v>39</v>
      </c>
      <c r="E1226" s="10">
        <f>IF(D1226&gt;0,VLOOKUP(OPERAC[[#This Row],[COD CART]],[1]!MatrizCortoLargoCyl[#All],3,0),"")</f>
        <v/>
      </c>
      <c r="F1226" s="13" t="inlineStr">
        <is>
          <t>SOLO/V/2,00/19-01-24</t>
        </is>
      </c>
      <c r="G1226" s="6" t="n">
        <v>-6</v>
      </c>
      <c r="H1226" s="6" t="n">
        <v>5.92</v>
      </c>
      <c r="I1226" s="7">
        <f>-H1226/G1226</f>
        <v/>
      </c>
      <c r="J1226" s="11" t="n"/>
      <c r="K1226" s="6" t="n"/>
      <c r="L1226" s="6" t="n"/>
      <c r="M1226" s="7">
        <f>IF(N1226=0,+L1226+H1226,0)</f>
        <v/>
      </c>
      <c r="N1226" s="7">
        <f>IF((+G1226-K1226)=0,0,+G1226-K1226)</f>
        <v/>
      </c>
      <c r="O1226" s="7">
        <f>IF(N1226=0,0,(L1226+H1226)/-N1226)</f>
        <v/>
      </c>
      <c r="P1226" s="7">
        <f>VLOOKUP(OPERAC[[#This Row],[especie]],[1]!ESPECIES[#All],6,0)</f>
        <v/>
      </c>
      <c r="Q1226" s="7">
        <f>IF(N1226&lt;&gt;0,P1226*N1226,0)</f>
        <v/>
      </c>
      <c r="R1226" s="8">
        <f>IF(Q1226&lt;&gt;0,Q1226+H1226+L1226,0)</f>
        <v/>
      </c>
      <c r="S1226" s="9">
        <f>VLOOKUP(OPERAC[[#This Row],[especie]],[1]!ESPECIES[#Data],9,FALSE)</f>
        <v/>
      </c>
    </row>
    <row r="1227">
      <c r="A1227" s="4" t="n">
        <v>26138</v>
      </c>
      <c r="B1227" s="5" t="n">
        <v>44441</v>
      </c>
      <c r="C1227" s="13" t="inlineStr">
        <is>
          <t>VTA</t>
        </is>
      </c>
      <c r="D1227" s="13" t="n">
        <v>39</v>
      </c>
      <c r="E1227" s="10">
        <f>IF(D1227&gt;0,VLOOKUP(OPERAC[[#This Row],[COD CART]],[1]!MatrizCortoLargoCyl[#All],3,0),"")</f>
        <v/>
      </c>
      <c r="F1227" s="13" t="inlineStr">
        <is>
          <t>DDD/V/15,00/20-01-23</t>
        </is>
      </c>
      <c r="G1227" s="6" t="n">
        <v>-3</v>
      </c>
      <c r="H1227" s="6" t="n">
        <v>5.31</v>
      </c>
      <c r="I1227" s="7">
        <f>-H1227/G1227</f>
        <v/>
      </c>
      <c r="J1227" s="11" t="n"/>
      <c r="K1227" s="6" t="n"/>
      <c r="L1227" s="6" t="n"/>
      <c r="M1227" s="7">
        <f>IF(N1227=0,+L1227+H1227,0)</f>
        <v/>
      </c>
      <c r="N1227" s="7">
        <f>IF((+G1227-K1227)=0,0,+G1227-K1227)</f>
        <v/>
      </c>
      <c r="O1227" s="7">
        <f>IF(N1227=0,0,(L1227+H1227)/-N1227)</f>
        <v/>
      </c>
      <c r="P1227" s="7">
        <f>VLOOKUP(OPERAC[[#This Row],[especie]],[1]!ESPECIES[#All],6,0)</f>
        <v/>
      </c>
      <c r="Q1227" s="7">
        <f>IF(N1227&lt;&gt;0,P1227*N1227,0)</f>
        <v/>
      </c>
      <c r="R1227" s="8">
        <f>IF(Q1227&lt;&gt;0,Q1227+H1227+L1227,0)</f>
        <v/>
      </c>
      <c r="S1227" s="9">
        <f>VLOOKUP(OPERAC[[#This Row],[especie]],[1]!ESPECIES[#Data],9,FALSE)</f>
        <v/>
      </c>
    </row>
    <row r="1228">
      <c r="A1228" s="4" t="n">
        <v>1800</v>
      </c>
      <c r="B1228" s="5" t="n">
        <v>44439</v>
      </c>
      <c r="C1228" s="13" t="inlineStr">
        <is>
          <t>VTA</t>
        </is>
      </c>
      <c r="D1228" s="13" t="n">
        <v>39</v>
      </c>
      <c r="E1228" s="10">
        <f>IF(D1228&gt;0,VLOOKUP(OPERAC[[#This Row],[COD CART]],[1]!MatrizCortoLargoCyl[#All],3,0),"")</f>
        <v/>
      </c>
      <c r="F1228" s="13" t="inlineStr">
        <is>
          <t>INO/V/5,00/20-01-23</t>
        </is>
      </c>
      <c r="G1228" s="6" t="n">
        <v>-5</v>
      </c>
      <c r="H1228" s="6" t="n">
        <v>5.215</v>
      </c>
      <c r="I1228" s="7">
        <f>-H1228/G1228</f>
        <v/>
      </c>
      <c r="J1228" s="11" t="n">
        <v>44643</v>
      </c>
      <c r="K1228" s="6" t="n">
        <v>-3</v>
      </c>
      <c r="L1228" s="6" t="n">
        <v>-6.51</v>
      </c>
      <c r="M1228" s="7">
        <f>IF(N1228=0,+L1228+H1228,0)</f>
        <v/>
      </c>
      <c r="N1228" s="7">
        <f>IF((+G1228-K1228)=0,0,+G1228-K1228)</f>
        <v/>
      </c>
      <c r="O1228" s="7">
        <f>IF(N1228=0,0,(L1228+H1228)/-N1228)</f>
        <v/>
      </c>
      <c r="P1228" s="7">
        <f>VLOOKUP(OPERAC[[#This Row],[especie]],[1]!ESPECIES[#All],6,0)</f>
        <v/>
      </c>
      <c r="Q1228" s="7">
        <f>IF(N1228&lt;&gt;0,P1228*N1228,0)</f>
        <v/>
      </c>
      <c r="R1228" s="8">
        <f>IF(Q1228&lt;&gt;0,Q1228+H1228+L1228,0)</f>
        <v/>
      </c>
      <c r="S1228" s="9">
        <f>VLOOKUP(OPERAC[[#This Row],[especie]],[1]!ESPECIES[#Data],9,FALSE)</f>
        <v/>
      </c>
    </row>
    <row r="1229">
      <c r="A1229" s="4" t="n">
        <v>12674</v>
      </c>
      <c r="B1229" s="5" t="n">
        <v>44644</v>
      </c>
      <c r="C1229" s="13" t="inlineStr">
        <is>
          <t>VTA</t>
        </is>
      </c>
      <c r="D1229" s="13" t="n">
        <v>39</v>
      </c>
      <c r="E1229" s="10">
        <f>IF(D1229&gt;0,VLOOKUP(OPERAC[[#This Row],[COD CART]],[1]!MatrizCortoLargoCyl[#All],3,0),"")</f>
        <v/>
      </c>
      <c r="F1229" s="13" t="inlineStr">
        <is>
          <t>TSLA/V/620,00/20-05-22</t>
        </is>
      </c>
      <c r="G1229" s="6" t="n">
        <v>-1</v>
      </c>
      <c r="H1229" s="6" t="n">
        <v>4.75886</v>
      </c>
      <c r="I1229" s="7">
        <f>-H1229/G1229</f>
        <v/>
      </c>
      <c r="J1229" s="11" t="n">
        <v>44672</v>
      </c>
      <c r="K1229" s="6" t="n">
        <v>-1</v>
      </c>
      <c r="L1229" s="6" t="n">
        <v>-0.85723</v>
      </c>
      <c r="M1229" s="7">
        <f>IF(N1229=0,+L1229+H1229,0)</f>
        <v/>
      </c>
      <c r="N1229" s="7">
        <f>IF((+G1229-K1229)=0,0,+G1229-K1229)</f>
        <v/>
      </c>
      <c r="O1229" s="7">
        <f>IF(N1229=0,0,(L1229+H1229)/-N1229)</f>
        <v/>
      </c>
      <c r="P1229" s="7">
        <f>VLOOKUP(OPERAC[[#This Row],[especie]],[1]!ESPECIES[#All],6,0)</f>
        <v/>
      </c>
      <c r="Q1229" s="7">
        <f>IF(N1229&lt;&gt;0,P1229*N1229,0)</f>
        <v/>
      </c>
      <c r="R1229" s="8">
        <f>IF(Q1229&lt;&gt;0,Q1229+H1229+L1229,0)</f>
        <v/>
      </c>
      <c r="S1229" s="9">
        <f>VLOOKUP(OPERAC[[#This Row],[especie]],[1]!ESPECIES[#Data],9,FALSE)</f>
        <v/>
      </c>
    </row>
    <row r="1230">
      <c r="A1230" s="4" t="n">
        <v>4543</v>
      </c>
      <c r="B1230" s="5" t="n">
        <v>44601</v>
      </c>
      <c r="C1230" s="13" t="inlineStr">
        <is>
          <t>VTA</t>
        </is>
      </c>
      <c r="D1230" s="13" t="n">
        <v>39</v>
      </c>
      <c r="E1230" s="10">
        <f>IF(D1230&gt;0,VLOOKUP(OPERAC[[#This Row],[COD CART]],[1]!MatrizCortoLargoCyl[#All],3,0),"")</f>
        <v/>
      </c>
      <c r="F1230" s="13" t="inlineStr">
        <is>
          <t>ACB/V/5,00/16-09-22</t>
        </is>
      </c>
      <c r="G1230" s="6" t="n">
        <v>-3</v>
      </c>
      <c r="H1230" s="6">
        <f>-1.56*OPERAC[[#This Row],[cantidad]]</f>
        <v/>
      </c>
      <c r="I1230" s="7">
        <f>-H1230/G1230</f>
        <v/>
      </c>
      <c r="J1230" s="11" t="n">
        <v>44623</v>
      </c>
      <c r="K1230" s="6" t="n">
        <v>-3</v>
      </c>
      <c r="L1230" s="6" t="n">
        <v>-5.9</v>
      </c>
      <c r="M1230" s="7">
        <f>IF(N1230=0,+L1230+H1230,0)</f>
        <v/>
      </c>
      <c r="N1230" s="7">
        <f>IF((+G1230-K1230)=0,0,+G1230-K1230)</f>
        <v/>
      </c>
      <c r="O1230" s="7">
        <f>IF(N1230=0,0,(L1230+H1230)/-N1230)</f>
        <v/>
      </c>
      <c r="P1230" s="7">
        <f>VLOOKUP(OPERAC[[#This Row],[especie]],[1]!ESPECIES[#All],6,0)</f>
        <v/>
      </c>
      <c r="Q1230" s="7">
        <f>IF(N1230&lt;&gt;0,P1230*N1230,0)</f>
        <v/>
      </c>
      <c r="R1230" s="8">
        <f>IF(Q1230&lt;&gt;0,Q1230+H1230+L1230,0)</f>
        <v/>
      </c>
      <c r="S1230" s="9">
        <f>VLOOKUP(OPERAC[[#This Row],[especie]],[1]!ESPECIES[#Data],9,FALSE)</f>
        <v/>
      </c>
    </row>
    <row r="1231">
      <c r="A1231" s="4" t="n">
        <v>6578</v>
      </c>
      <c r="B1231" s="5" t="n">
        <v>44601</v>
      </c>
      <c r="C1231" s="13" t="inlineStr">
        <is>
          <t>VTA</t>
        </is>
      </c>
      <c r="D1231" s="13" t="n">
        <v>39</v>
      </c>
      <c r="E1231" s="10">
        <f>IF(D1231&gt;0,VLOOKUP(OPERAC[[#This Row],[COD CART]],[1]!MatrizCortoLargoCyl[#All],3,0),"")</f>
        <v/>
      </c>
      <c r="F1231" s="13" t="inlineStr">
        <is>
          <t>ACB/V/5,00/16-09-22</t>
        </is>
      </c>
      <c r="G1231" s="6" t="n">
        <v>-3</v>
      </c>
      <c r="H1231" s="6">
        <f>-1.56*OPERAC[[#This Row],[cantidad]]</f>
        <v/>
      </c>
      <c r="I1231" s="7">
        <f>-H1231/G1231</f>
        <v/>
      </c>
      <c r="J1231" s="11" t="n">
        <v>44624</v>
      </c>
      <c r="K1231" s="6" t="n">
        <v>-3</v>
      </c>
      <c r="L1231" s="6" t="n">
        <v>-6.5226</v>
      </c>
      <c r="M1231" s="7">
        <f>IF(N1231=0,+L1231+H1231,0)</f>
        <v/>
      </c>
      <c r="N1231" s="7">
        <f>IF((+G1231-K1231)=0,0,+G1231-K1231)</f>
        <v/>
      </c>
      <c r="O1231" s="7">
        <f>IF(N1231=0,0,(L1231+H1231)/-N1231)</f>
        <v/>
      </c>
      <c r="P1231" s="7">
        <f>VLOOKUP(OPERAC[[#This Row],[especie]],[1]!ESPECIES[#All],6,0)</f>
        <v/>
      </c>
      <c r="Q1231" s="7">
        <f>IF(N1231&lt;&gt;0,P1231*N1231,0)</f>
        <v/>
      </c>
      <c r="R1231" s="8">
        <f>IF(Q1231&lt;&gt;0,Q1231+H1231+L1231,0)</f>
        <v/>
      </c>
      <c r="S1231" s="9">
        <f>VLOOKUP(OPERAC[[#This Row],[especie]],[1]!ESPECIES[#Data],9,FALSE)</f>
        <v/>
      </c>
    </row>
    <row r="1232">
      <c r="A1232" s="4" t="n">
        <v>12655</v>
      </c>
      <c r="B1232" s="5" t="n">
        <v>44601</v>
      </c>
      <c r="C1232" s="13" t="inlineStr">
        <is>
          <t>VTA</t>
        </is>
      </c>
      <c r="D1232" s="13" t="n">
        <v>39</v>
      </c>
      <c r="E1232" s="10">
        <f>IF(D1232&gt;0,VLOOKUP(OPERAC[[#This Row],[COD CART]],[1]!MatrizCortoLargoCyl[#All],3,0),"")</f>
        <v/>
      </c>
      <c r="F1232" s="13" t="inlineStr">
        <is>
          <t>ACB/V/5,00/16-09-22</t>
        </is>
      </c>
      <c r="G1232" s="6" t="n">
        <v>-3</v>
      </c>
      <c r="H1232" s="6">
        <f>-1.56*OPERAC[[#This Row],[cantidad]]</f>
        <v/>
      </c>
      <c r="I1232" s="7">
        <f>-H1232/G1232</f>
        <v/>
      </c>
      <c r="J1232" s="11" t="n"/>
      <c r="K1232" s="6" t="n"/>
      <c r="L1232" s="6" t="n"/>
      <c r="M1232" s="7">
        <f>IF(N1232=0,+L1232+H1232,0)</f>
        <v/>
      </c>
      <c r="N1232" s="7">
        <f>IF((+G1232-K1232)=0,0,+G1232-K1232)</f>
        <v/>
      </c>
      <c r="O1232" s="7">
        <f>IF(N1232=0,0,(L1232+H1232)/-N1232)</f>
        <v/>
      </c>
      <c r="P1232" s="7">
        <f>VLOOKUP(OPERAC[[#This Row],[especie]],[1]!ESPECIES[#All],6,0)</f>
        <v/>
      </c>
      <c r="Q1232" s="7">
        <f>IF(N1232&lt;&gt;0,P1232*N1232,0)</f>
        <v/>
      </c>
      <c r="R1232" s="8">
        <f>IF(Q1232&lt;&gt;0,Q1232+H1232+L1232,0)</f>
        <v/>
      </c>
      <c r="S1232" s="9">
        <f>VLOOKUP(OPERAC[[#This Row],[especie]],[1]!ESPECIES[#Data],9,FALSE)</f>
        <v/>
      </c>
    </row>
    <row r="1233">
      <c r="A1233" s="4" t="n">
        <v>21070</v>
      </c>
      <c r="B1233" s="5" t="n">
        <v>44601</v>
      </c>
      <c r="C1233" s="13" t="inlineStr">
        <is>
          <t>VTA</t>
        </is>
      </c>
      <c r="D1233" s="13" t="n">
        <v>39</v>
      </c>
      <c r="E1233" s="10">
        <f>IF(D1233&gt;0,VLOOKUP(OPERAC[[#This Row],[COD CART]],[1]!MatrizCortoLargoCyl[#All],3,0),"")</f>
        <v/>
      </c>
      <c r="F1233" s="13" t="inlineStr">
        <is>
          <t>TLRY/V/8,00/14-04-22</t>
        </is>
      </c>
      <c r="G1233" s="6" t="n">
        <v>-2</v>
      </c>
      <c r="H1233" s="6" t="n">
        <v>4.2</v>
      </c>
      <c r="I1233" s="7">
        <f>-H1233/G1233</f>
        <v/>
      </c>
      <c r="J1233" s="11" t="n">
        <v>44617</v>
      </c>
      <c r="K1233" s="6">
        <f>-1-1</f>
        <v/>
      </c>
      <c r="L1233" s="6">
        <f>-2.32-1.19643</f>
        <v/>
      </c>
      <c r="M1233" s="7">
        <f>IF(N1233=0,+L1233+H1233,0)</f>
        <v/>
      </c>
      <c r="N1233" s="7">
        <f>IF((+G1233-K1233)=0,0,+G1233-K1233)</f>
        <v/>
      </c>
      <c r="O1233" s="7">
        <f>IF(N1233=0,0,(L1233+H1233)/-N1233)</f>
        <v/>
      </c>
      <c r="P1233" s="7">
        <f>VLOOKUP(OPERAC[[#This Row],[especie]],[1]!ESPECIES[#All],6,0)</f>
        <v/>
      </c>
      <c r="Q1233" s="7">
        <f>IF(N1233&lt;&gt;0,P1233*N1233,0)</f>
        <v/>
      </c>
      <c r="R1233" s="8">
        <f>IF(Q1233&lt;&gt;0,Q1233+H1233+L1233,0)</f>
        <v/>
      </c>
      <c r="S1233" s="9">
        <f>VLOOKUP(OPERAC[[#This Row],[especie]],[1]!ESPECIES[#Data],9,FALSE)</f>
        <v/>
      </c>
    </row>
    <row r="1234">
      <c r="A1234" s="4" t="n">
        <v>7916</v>
      </c>
      <c r="B1234" s="5" t="n">
        <v>44601</v>
      </c>
      <c r="C1234" s="13" t="inlineStr">
        <is>
          <t>VTA</t>
        </is>
      </c>
      <c r="D1234" s="13" t="n">
        <v>39</v>
      </c>
      <c r="E1234" s="10">
        <f>IF(D1234&gt;0,VLOOKUP(OPERAC[[#This Row],[COD CART]],[1]!MatrizCortoLargoCyl[#All],3,0),"")</f>
        <v/>
      </c>
      <c r="F1234" s="13" t="inlineStr">
        <is>
          <t>TLRY/V/8,00/14-04-22</t>
        </is>
      </c>
      <c r="G1234" s="6" t="n">
        <v>-2</v>
      </c>
      <c r="H1234" s="6">
        <f>-2.1*OPERAC[[#This Row],[cantidad]]</f>
        <v/>
      </c>
      <c r="I1234" s="7">
        <f>-H1234/G1234</f>
        <v/>
      </c>
      <c r="J1234" s="11" t="n">
        <v>44645</v>
      </c>
      <c r="K1234" s="6" t="n">
        <v>-2</v>
      </c>
      <c r="L1234" s="6" t="n">
        <v>-2.39286</v>
      </c>
      <c r="M1234" s="7">
        <f>IF(N1234=0,+L1234+H1234,0)</f>
        <v/>
      </c>
      <c r="N1234" s="7">
        <f>IF((+G1234-K1234)=0,0,+G1234-K1234)</f>
        <v/>
      </c>
      <c r="O1234" s="7">
        <f>IF(N1234=0,0,(L1234+H1234)/-N1234)</f>
        <v/>
      </c>
      <c r="P1234" s="7">
        <f>VLOOKUP(OPERAC[[#This Row],[especie]],[1]!ESPECIES[#All],6,0)</f>
        <v/>
      </c>
      <c r="Q1234" s="7">
        <f>IF(N1234&lt;&gt;0,P1234*N1234,0)</f>
        <v/>
      </c>
      <c r="R1234" s="8">
        <f>IF(Q1234&lt;&gt;0,Q1234+H1234+L1234,0)</f>
        <v/>
      </c>
      <c r="S1234" s="9">
        <f>VLOOKUP(OPERAC[[#This Row],[especie]],[1]!ESPECIES[#Data],9,FALSE)</f>
        <v/>
      </c>
    </row>
    <row r="1235">
      <c r="A1235" s="4" t="n">
        <v>20317</v>
      </c>
      <c r="B1235" s="5" t="n">
        <v>44453</v>
      </c>
      <c r="C1235" s="13" t="inlineStr">
        <is>
          <t>VTA</t>
        </is>
      </c>
      <c r="D1235" s="13" t="n">
        <v>39</v>
      </c>
      <c r="E1235" s="10">
        <f>IF(D1235&gt;0,VLOOKUP(OPERAC[[#This Row],[COD CART]],[1]!MatrizCortoLargoCyl[#All],3,0),"")</f>
        <v/>
      </c>
      <c r="F1235" s="13" t="inlineStr">
        <is>
          <t>EDIT/V/20,00/20-01-23</t>
        </is>
      </c>
      <c r="G1235" s="6" t="n">
        <v>-2</v>
      </c>
      <c r="H1235" s="6" t="n">
        <v>4.14</v>
      </c>
      <c r="I1235" s="7">
        <f>-H1235/G1235</f>
        <v/>
      </c>
      <c r="J1235" s="11" t="n"/>
      <c r="K1235" s="6" t="n"/>
      <c r="L1235" s="6" t="n"/>
      <c r="M1235" s="7">
        <f>IF(N1235=0,+L1235+H1235,0)</f>
        <v/>
      </c>
      <c r="N1235" s="7">
        <f>IF((+G1235-K1235)=0,0,+G1235-K1235)</f>
        <v/>
      </c>
      <c r="O1235" s="7">
        <f>IF(N1235=0,0,(L1235+H1235)/-N1235)</f>
        <v/>
      </c>
      <c r="P1235" s="7">
        <f>VLOOKUP(OPERAC[[#This Row],[especie]],[1]!ESPECIES[#All],6,0)</f>
        <v/>
      </c>
      <c r="Q1235" s="7">
        <f>IF(N1235&lt;&gt;0,P1235*N1235,0)</f>
        <v/>
      </c>
      <c r="R1235" s="8">
        <f>IF(Q1235&lt;&gt;0,Q1235+H1235+L1235,0)</f>
        <v/>
      </c>
      <c r="S1235" s="9">
        <f>VLOOKUP(OPERAC[[#This Row],[especie]],[1]!ESPECIES[#Data],9,FALSE)</f>
        <v/>
      </c>
    </row>
    <row r="1236">
      <c r="A1236" s="4" t="n">
        <v>12672</v>
      </c>
      <c r="B1236" s="5" t="n">
        <v>44237</v>
      </c>
      <c r="C1236" s="13" t="inlineStr">
        <is>
          <t>VTA</t>
        </is>
      </c>
      <c r="D1236" s="13" t="n">
        <v>39</v>
      </c>
      <c r="E1236" s="10">
        <f>IF(D1236&gt;0,VLOOKUP(OPERAC[[#This Row],[COD CART]],[1]!MatrizCortoLargoCyl[#All],3,0),"")</f>
        <v/>
      </c>
      <c r="F1236" s="13" t="inlineStr">
        <is>
          <t>TLRY1/V/10,00/20-01-23</t>
        </is>
      </c>
      <c r="G1236" s="6" t="n">
        <v>-4</v>
      </c>
      <c r="H1236" s="6" t="n">
        <v>4</v>
      </c>
      <c r="I1236" s="7">
        <f>-H1236/G1236</f>
        <v/>
      </c>
      <c r="J1236" s="11" t="n"/>
      <c r="K1236" s="6" t="n"/>
      <c r="L1236" s="6" t="n"/>
      <c r="M1236" s="7">
        <f>IF(N1236=0,+L1236+H1236,0)</f>
        <v/>
      </c>
      <c r="N1236" s="7">
        <f>IF((+G1236-K1236)=0,0,+G1236-K1236)</f>
        <v/>
      </c>
      <c r="O1236" s="7">
        <f>IF(N1236=0,0,(L1236+H1236)/-N1236)</f>
        <v/>
      </c>
      <c r="P1236" s="7">
        <f>VLOOKUP(OPERAC[[#This Row],[especie]],[1]!ESPECIES[#All],6,0)</f>
        <v/>
      </c>
      <c r="Q1236" s="7">
        <f>IF(N1236&lt;&gt;0,P1236*N1236,0)</f>
        <v/>
      </c>
      <c r="R1236" s="8">
        <f>IF(Q1236&lt;&gt;0,Q1236+H1236+L1236,0)</f>
        <v/>
      </c>
      <c r="S1236" s="9">
        <f>VLOOKUP(OPERAC[[#This Row],[especie]],[1]!ESPECIES[#Data],9,FALSE)</f>
        <v/>
      </c>
    </row>
    <row r="1237">
      <c r="A1237" s="4" t="n">
        <v>2253</v>
      </c>
      <c r="B1237" s="5" t="n">
        <v>44253</v>
      </c>
      <c r="C1237" s="13" t="inlineStr">
        <is>
          <t>VTA</t>
        </is>
      </c>
      <c r="D1237" s="13" t="n">
        <v>39</v>
      </c>
      <c r="E1237" s="10">
        <f>IF(D1237&gt;0,VLOOKUP(OPERAC[[#This Row],[COD CART]],[1]!MatrizCortoLargoCyl[#All],3,0),"")</f>
        <v/>
      </c>
      <c r="F1237" s="13" t="inlineStr">
        <is>
          <t>TLRY1/V/10,00/20-01-23</t>
        </is>
      </c>
      <c r="G1237" s="6" t="n">
        <v>-4</v>
      </c>
      <c r="H1237" s="6" t="n">
        <v>4</v>
      </c>
      <c r="I1237" s="7">
        <f>-H1237/G1237</f>
        <v/>
      </c>
      <c r="J1237" s="11" t="n">
        <v>44617</v>
      </c>
      <c r="K1237" s="6" t="n">
        <v>-2</v>
      </c>
      <c r="L1237" s="6" t="n">
        <v>-10.29</v>
      </c>
      <c r="M1237" s="7">
        <f>IF(N1237=0,+L1237+H1237,0)</f>
        <v/>
      </c>
      <c r="N1237" s="7">
        <f>IF((+G1237-K1237)=0,0,+G1237-K1237)</f>
        <v/>
      </c>
      <c r="O1237" s="7">
        <f>IF(N1237=0,0,(L1237+H1237)/-N1237)</f>
        <v/>
      </c>
      <c r="P1237" s="7">
        <f>VLOOKUP(OPERAC[[#This Row],[especie]],[1]!ESPECIES[#All],6,0)</f>
        <v/>
      </c>
      <c r="Q1237" s="7">
        <f>IF(N1237&lt;&gt;0,P1237*N1237,0)</f>
        <v/>
      </c>
      <c r="R1237" s="8">
        <f>IF(Q1237&lt;&gt;0,Q1237+H1237+L1237,0)</f>
        <v/>
      </c>
      <c r="S1237" s="9">
        <f>VLOOKUP(OPERAC[[#This Row],[especie]],[1]!ESPECIES[#Data],9,FALSE)</f>
        <v/>
      </c>
    </row>
    <row r="1238">
      <c r="A1238" s="4" t="n">
        <v>3853</v>
      </c>
      <c r="B1238" s="5" t="n">
        <v>44531</v>
      </c>
      <c r="C1238" s="13" t="inlineStr">
        <is>
          <t>VTA</t>
        </is>
      </c>
      <c r="D1238" s="13" t="n">
        <v>39</v>
      </c>
      <c r="E1238" s="10">
        <f>IF(D1238&gt;0,VLOOKUP(OPERAC[[#This Row],[COD CART]],[1]!MatrizCortoLargoCyl[#All],3,0),"")</f>
        <v/>
      </c>
      <c r="F1238" s="13" t="inlineStr">
        <is>
          <t>MELI/V/740,00/16-09-22</t>
        </is>
      </c>
      <c r="G1238" s="6" t="n">
        <v>-2</v>
      </c>
      <c r="H1238" s="6" t="n">
        <v>4</v>
      </c>
      <c r="I1238" s="7">
        <f>-H1238/G1238</f>
        <v/>
      </c>
      <c r="J1238" s="11" t="n">
        <v>44726</v>
      </c>
      <c r="K1238" s="6" t="n">
        <v>-2</v>
      </c>
      <c r="L1238" s="6" t="n">
        <v>-4</v>
      </c>
      <c r="M1238" s="7">
        <f>IF(N1238=0,+L1238+H1238,0)</f>
        <v/>
      </c>
      <c r="N1238" s="7">
        <f>IF((+G1238-K1238)=0,0,+G1238-K1238)</f>
        <v/>
      </c>
      <c r="O1238" s="7">
        <f>IF(N1238=0,0,(L1238+H1238)/-N1238)</f>
        <v/>
      </c>
      <c r="P1238" s="7">
        <f>VLOOKUP(OPERAC[[#This Row],[especie]],[1]!ESPECIES[#All],6,0)</f>
        <v/>
      </c>
      <c r="Q1238" s="7">
        <f>IF(N1238&lt;&gt;0,P1238*N1238,0)</f>
        <v/>
      </c>
      <c r="R1238" s="8">
        <f>IF(Q1238&lt;&gt;0,Q1238+H1238+L1238,0)</f>
        <v/>
      </c>
      <c r="S1238" s="9">
        <f>VLOOKUP(OPERAC[[#This Row],[especie]],[1]!ESPECIES[#Data],9,FALSE)</f>
        <v/>
      </c>
    </row>
    <row r="1239">
      <c r="A1239" s="4" t="n">
        <v>7925</v>
      </c>
      <c r="B1239" s="5" t="n">
        <v>44531</v>
      </c>
      <c r="C1239" s="13" t="inlineStr">
        <is>
          <t>VTA</t>
        </is>
      </c>
      <c r="D1239" s="13" t="n">
        <v>39</v>
      </c>
      <c r="E1239" s="10">
        <f>IF(D1239&gt;0,VLOOKUP(OPERAC[[#This Row],[COD CART]],[1]!MatrizCortoLargoCyl[#All],3,0),"")</f>
        <v/>
      </c>
      <c r="F1239" s="13" t="inlineStr">
        <is>
          <t>MELI/V/740,00/16-09-22</t>
        </is>
      </c>
      <c r="G1239" s="6" t="n">
        <v>-2</v>
      </c>
      <c r="H1239" s="6">
        <f>-2*OPERAC[[#This Row],[cantidad]]</f>
        <v/>
      </c>
      <c r="I1239" s="7">
        <f>-H1239/G1239</f>
        <v/>
      </c>
      <c r="J1239" s="11" t="n">
        <v>44614</v>
      </c>
      <c r="K1239" s="6">
        <f>-1-1</f>
        <v/>
      </c>
      <c r="L1239" s="6">
        <f>-2-2</f>
        <v/>
      </c>
      <c r="M1239" s="7">
        <f>IF(N1239=0,+L1239+H1239,0)</f>
        <v/>
      </c>
      <c r="N1239" s="7">
        <f>IF((+G1239-K1239)=0,0,+G1239-K1239)</f>
        <v/>
      </c>
      <c r="O1239" s="7">
        <f>IF(N1239=0,0,(L1239+H1239)/-N1239)</f>
        <v/>
      </c>
      <c r="P1239" s="7">
        <f>VLOOKUP(OPERAC[[#This Row],[especie]],[1]!ESPECIES[#All],6,0)</f>
        <v/>
      </c>
      <c r="Q1239" s="7">
        <f>IF(N1239&lt;&gt;0,P1239*N1239,0)</f>
        <v/>
      </c>
      <c r="R1239" s="8">
        <f>IF(Q1239&lt;&gt;0,Q1239+H1239+L1239,0)</f>
        <v/>
      </c>
      <c r="S1239" s="9">
        <f>VLOOKUP(OPERAC[[#This Row],[especie]],[1]!ESPECIES[#Data],9,FALSE)</f>
        <v/>
      </c>
    </row>
    <row r="1240">
      <c r="A1240" s="4" t="n">
        <v>16783</v>
      </c>
      <c r="B1240" s="5" t="n">
        <v>44531</v>
      </c>
      <c r="C1240" s="13" t="inlineStr">
        <is>
          <t>VTA</t>
        </is>
      </c>
      <c r="D1240" s="13" t="n">
        <v>39</v>
      </c>
      <c r="E1240" s="10">
        <f>IF(D1240&gt;0,VLOOKUP(OPERAC[[#This Row],[COD CART]],[1]!MatrizCortoLargoCyl[#All],3,0),"")</f>
        <v/>
      </c>
      <c r="F1240" s="13" t="inlineStr">
        <is>
          <t>MELI/V/740,00/16-09-22</t>
        </is>
      </c>
      <c r="G1240" s="6" t="n">
        <v>-2</v>
      </c>
      <c r="H1240" s="6" t="n">
        <v>4</v>
      </c>
      <c r="I1240" s="7">
        <f>-H1240/G1240</f>
        <v/>
      </c>
      <c r="J1240" s="11" t="n">
        <v>44616</v>
      </c>
      <c r="K1240" s="6" t="n">
        <v>-1</v>
      </c>
      <c r="L1240" s="6" t="n">
        <v>-2</v>
      </c>
      <c r="M1240" s="7">
        <f>IF(N1240=0,+L1240+H1240,0)</f>
        <v/>
      </c>
      <c r="N1240" s="7">
        <f>IF((+G1240-K1240)=0,0,+G1240-K1240)</f>
        <v/>
      </c>
      <c r="O1240" s="7">
        <f>IF(N1240=0,0,(L1240+H1240)/-N1240)</f>
        <v/>
      </c>
      <c r="P1240" s="7">
        <f>VLOOKUP(OPERAC[[#This Row],[especie]],[1]!ESPECIES[#All],6,0)</f>
        <v/>
      </c>
      <c r="Q1240" s="7">
        <f>IF(N1240&lt;&gt;0,P1240*N1240,0)</f>
        <v/>
      </c>
      <c r="R1240" s="8">
        <f>IF(Q1240&lt;&gt;0,Q1240+H1240+L1240,0)</f>
        <v/>
      </c>
      <c r="S1240" s="9">
        <f>VLOOKUP(OPERAC[[#This Row],[especie]],[1]!ESPECIES[#Data],9,FALSE)</f>
        <v/>
      </c>
    </row>
    <row r="1241">
      <c r="A1241" s="4" t="n">
        <v>12619</v>
      </c>
      <c r="B1241" s="5" t="n">
        <v>44531</v>
      </c>
      <c r="C1241" s="13" t="inlineStr">
        <is>
          <t>VTA</t>
        </is>
      </c>
      <c r="D1241" s="13" t="n">
        <v>39</v>
      </c>
      <c r="E1241" s="10">
        <f>IF(D1241&gt;0,VLOOKUP(OPERAC[[#This Row],[COD CART]],[1]!MatrizCortoLargoCyl[#All],3,0),"")</f>
        <v/>
      </c>
      <c r="F1241" s="13" t="inlineStr">
        <is>
          <t>MELI/V/640,00/16-09-22</t>
        </is>
      </c>
      <c r="G1241" s="6" t="n">
        <v>-2</v>
      </c>
      <c r="H1241" s="6" t="n">
        <v>4</v>
      </c>
      <c r="I1241" s="7">
        <f>-H1241/G1241</f>
        <v/>
      </c>
      <c r="J1241" s="11" t="n"/>
      <c r="K1241" s="6" t="n"/>
      <c r="L1241" s="6" t="n"/>
      <c r="M1241" s="7">
        <f>IF(N1241=0,+L1241+H1241,0)</f>
        <v/>
      </c>
      <c r="N1241" s="7">
        <f>IF((+G1241-K1241)=0,0,+G1241-K1241)</f>
        <v/>
      </c>
      <c r="O1241" s="7">
        <f>IF(N1241=0,0,(L1241+H1241)/-N1241)</f>
        <v/>
      </c>
      <c r="P1241" s="7">
        <f>VLOOKUP(OPERAC[[#This Row],[especie]],[1]!ESPECIES[#All],6,0)</f>
        <v/>
      </c>
      <c r="Q1241" s="7">
        <f>IF(N1241&lt;&gt;0,P1241*N1241,0)</f>
        <v/>
      </c>
      <c r="R1241" s="8">
        <f>IF(Q1241&lt;&gt;0,Q1241+H1241+L1241,0)</f>
        <v/>
      </c>
      <c r="S1241" s="9">
        <f>VLOOKUP(OPERAC[[#This Row],[especie]],[1]!ESPECIES[#Data],9,FALSE)</f>
        <v/>
      </c>
    </row>
    <row r="1242">
      <c r="A1242" s="4" t="n">
        <v>22433</v>
      </c>
      <c r="B1242" s="5" t="n">
        <v>44441</v>
      </c>
      <c r="C1242" s="13" t="inlineStr">
        <is>
          <t>VTA</t>
        </is>
      </c>
      <c r="D1242" s="13" t="n">
        <v>39</v>
      </c>
      <c r="E1242" s="10">
        <f>IF(D1242&gt;0,VLOOKUP(OPERAC[[#This Row],[COD CART]],[1]!MatrizCortoLargoCyl[#All],3,0),"")</f>
        <v/>
      </c>
      <c r="F1242" s="13" t="inlineStr">
        <is>
          <t>DDD/V/15,00/20-01-23</t>
        </is>
      </c>
      <c r="G1242" s="6" t="n">
        <v>-2</v>
      </c>
      <c r="H1242" s="6" t="n">
        <v>3.37</v>
      </c>
      <c r="I1242" s="7">
        <f>-H1242/G1242</f>
        <v/>
      </c>
      <c r="J1242" s="11" t="n"/>
      <c r="K1242" s="6" t="n"/>
      <c r="L1242" s="6" t="n"/>
      <c r="M1242" s="7">
        <f>IF(N1242=0,+L1242+H1242,0)</f>
        <v/>
      </c>
      <c r="N1242" s="7">
        <f>IF((+G1242-K1242)=0,0,+G1242-K1242)</f>
        <v/>
      </c>
      <c r="O1242" s="7">
        <f>IF(N1242=0,0,(L1242+H1242)/-N1242)</f>
        <v/>
      </c>
      <c r="P1242" s="7">
        <f>VLOOKUP(OPERAC[[#This Row],[especie]],[1]!ESPECIES[#All],6,0)</f>
        <v/>
      </c>
      <c r="Q1242" s="7">
        <f>IF(N1242&lt;&gt;0,P1242*N1242,0)</f>
        <v/>
      </c>
      <c r="R1242" s="8">
        <f>IF(Q1242&lt;&gt;0,Q1242+H1242+L1242,0)</f>
        <v/>
      </c>
      <c r="S1242" s="9">
        <f>VLOOKUP(OPERAC[[#This Row],[especie]],[1]!ESPECIES[#Data],9,FALSE)</f>
        <v/>
      </c>
    </row>
    <row r="1243">
      <c r="A1243" s="4" t="n">
        <v>1792</v>
      </c>
      <c r="B1243" s="5" t="n">
        <v>44579</v>
      </c>
      <c r="C1243" s="13" t="inlineStr">
        <is>
          <t>VTA</t>
        </is>
      </c>
      <c r="D1243" s="13" t="n">
        <v>39</v>
      </c>
      <c r="E1243" s="10">
        <f>IF(D1243&gt;0,VLOOKUP(OPERAC[[#This Row],[COD CART]],[1]!MatrizCortoLargoCyl[#All],3,0),"")</f>
        <v/>
      </c>
      <c r="F1243" s="13" t="inlineStr">
        <is>
          <t>YPF/V/5,00/15-07-22</t>
        </is>
      </c>
      <c r="G1243" s="6" t="n">
        <v>-3</v>
      </c>
      <c r="H1243" s="6" t="n">
        <v>3.2547</v>
      </c>
      <c r="I1243" s="7">
        <f>-H1243/G1243</f>
        <v/>
      </c>
      <c r="J1243" s="11" t="n"/>
      <c r="K1243" s="6" t="n"/>
      <c r="L1243" s="6" t="n"/>
      <c r="M1243" s="7">
        <f>IF(N1243=0,+L1243+H1243,0)</f>
        <v/>
      </c>
      <c r="N1243" s="7">
        <f>IF((+G1243-K1243)=0,0,+G1243-K1243)</f>
        <v/>
      </c>
      <c r="O1243" s="7">
        <f>IF(N1243=0,0,(L1243+H1243)/-N1243)</f>
        <v/>
      </c>
      <c r="P1243" s="7">
        <f>VLOOKUP(OPERAC[[#This Row],[especie]],[1]!ESPECIES[#All],6,0)</f>
        <v/>
      </c>
      <c r="Q1243" s="7">
        <f>IF(N1243&lt;&gt;0,P1243*N1243,0)</f>
        <v/>
      </c>
      <c r="R1243" s="8">
        <f>IF(Q1243&lt;&gt;0,Q1243+H1243+L1243,0)</f>
        <v/>
      </c>
      <c r="S1243" s="9">
        <f>VLOOKUP(OPERAC[[#This Row],[especie]],[1]!ESPECIES[#Data],9,FALSE)</f>
        <v/>
      </c>
    </row>
    <row r="1244">
      <c r="A1244" s="4" t="n">
        <v>2194</v>
      </c>
      <c r="B1244" s="5" t="n">
        <v>44579</v>
      </c>
      <c r="C1244" s="13" t="inlineStr">
        <is>
          <t>VTA</t>
        </is>
      </c>
      <c r="D1244" s="13" t="n">
        <v>39</v>
      </c>
      <c r="E1244" s="10">
        <f>IF(D1244&gt;0,VLOOKUP(OPERAC[[#This Row],[COD CART]],[1]!MatrizCortoLargoCyl[#All],3,0),"")</f>
        <v/>
      </c>
      <c r="F1244" s="13" t="inlineStr">
        <is>
          <t>YPF/V/5,00/15-07-22</t>
        </is>
      </c>
      <c r="G1244" s="6" t="n">
        <v>-3</v>
      </c>
      <c r="H1244" s="6" t="n">
        <v>3.2547</v>
      </c>
      <c r="I1244" s="7">
        <f>-H1244/G1244</f>
        <v/>
      </c>
      <c r="J1244" s="11" t="n"/>
      <c r="K1244" s="6" t="n"/>
      <c r="L1244" s="6" t="n"/>
      <c r="M1244" s="7">
        <f>IF(N1244=0,+L1244+H1244,0)</f>
        <v/>
      </c>
      <c r="N1244" s="7">
        <f>IF((+G1244-K1244)=0,0,+G1244-K1244)</f>
        <v/>
      </c>
      <c r="O1244" s="7">
        <f>IF(N1244=0,0,(L1244+H1244)/-N1244)</f>
        <v/>
      </c>
      <c r="P1244" s="7">
        <f>VLOOKUP(OPERAC[[#This Row],[especie]],[1]!ESPECIES[#All],6,0)</f>
        <v/>
      </c>
      <c r="Q1244" s="7">
        <f>IF(N1244&lt;&gt;0,P1244*N1244,0)</f>
        <v/>
      </c>
      <c r="R1244" s="8">
        <f>IF(Q1244&lt;&gt;0,Q1244+H1244+L1244,0)</f>
        <v/>
      </c>
      <c r="S1244" s="9">
        <f>VLOOKUP(OPERAC[[#This Row],[especie]],[1]!ESPECIES[#Data],9,FALSE)</f>
        <v/>
      </c>
    </row>
    <row r="1245">
      <c r="A1245" s="4" t="n">
        <v>10079</v>
      </c>
      <c r="B1245" s="5" t="n">
        <v>44579</v>
      </c>
      <c r="C1245" s="13" t="inlineStr">
        <is>
          <t>VTA</t>
        </is>
      </c>
      <c r="D1245" s="13" t="n">
        <v>39</v>
      </c>
      <c r="E1245" s="10">
        <f>IF(D1245&gt;0,VLOOKUP(OPERAC[[#This Row],[COD CART]],[1]!MatrizCortoLargoCyl[#All],3,0),"")</f>
        <v/>
      </c>
      <c r="F1245" s="13" t="inlineStr">
        <is>
          <t>YPF/V/5,00/15-07-22</t>
        </is>
      </c>
      <c r="G1245" s="6" t="n">
        <v>-3</v>
      </c>
      <c r="H1245" s="6" t="n">
        <v>3.2547</v>
      </c>
      <c r="I1245" s="7">
        <f>-H1245/G1245</f>
        <v/>
      </c>
      <c r="J1245" s="11" t="n"/>
      <c r="K1245" s="6" t="n"/>
      <c r="L1245" s="6" t="n"/>
      <c r="M1245" s="7">
        <f>IF(N1245=0,+L1245+H1245,0)</f>
        <v/>
      </c>
      <c r="N1245" s="7">
        <f>IF((+G1245-K1245)=0,0,+G1245-K1245)</f>
        <v/>
      </c>
      <c r="O1245" s="7">
        <f>IF(N1245=0,0,(L1245+H1245)/-N1245)</f>
        <v/>
      </c>
      <c r="P1245" s="7">
        <f>VLOOKUP(OPERAC[[#This Row],[especie]],[1]!ESPECIES[#All],6,0)</f>
        <v/>
      </c>
      <c r="Q1245" s="7">
        <f>IF(N1245&lt;&gt;0,P1245*N1245,0)</f>
        <v/>
      </c>
      <c r="R1245" s="8">
        <f>IF(Q1245&lt;&gt;0,Q1245+H1245+L1245,0)</f>
        <v/>
      </c>
      <c r="S1245" s="9">
        <f>VLOOKUP(OPERAC[[#This Row],[especie]],[1]!ESPECIES[#Data],9,FALSE)</f>
        <v/>
      </c>
    </row>
    <row r="1246">
      <c r="A1246" s="4" t="n">
        <v>18713</v>
      </c>
      <c r="B1246" s="5" t="n">
        <v>44453</v>
      </c>
      <c r="C1246" s="13" t="inlineStr">
        <is>
          <t>VTA</t>
        </is>
      </c>
      <c r="D1246" s="13" t="n">
        <v>39</v>
      </c>
      <c r="E1246" s="10">
        <f>IF(D1246&gt;0,VLOOKUP(OPERAC[[#This Row],[COD CART]],[1]!MatrizCortoLargoCyl[#All],3,0),"")</f>
        <v/>
      </c>
      <c r="F1246" s="13" t="inlineStr">
        <is>
          <t>EDIT/V/20,00/20-01-23</t>
        </is>
      </c>
      <c r="G1246" s="6" t="n">
        <v>-1</v>
      </c>
      <c r="H1246" s="6" t="n">
        <v>2.07</v>
      </c>
      <c r="I1246" s="7">
        <f>-H1246/G1246</f>
        <v/>
      </c>
      <c r="J1246" s="11" t="n"/>
      <c r="K1246" s="6" t="n"/>
      <c r="L1246" s="6" t="n"/>
      <c r="M1246" s="7">
        <f>IF(N1246=0,+L1246+H1246,0)</f>
        <v/>
      </c>
      <c r="N1246" s="7">
        <f>IF((+G1246-K1246)=0,0,+G1246-K1246)</f>
        <v/>
      </c>
      <c r="O1246" s="7">
        <f>IF(N1246=0,0,(L1246+H1246)/-N1246)</f>
        <v/>
      </c>
      <c r="P1246" s="7">
        <f>VLOOKUP(OPERAC[[#This Row],[especie]],[1]!ESPECIES[#All],6,0)</f>
        <v/>
      </c>
      <c r="Q1246" s="7">
        <f>IF(N1246&lt;&gt;0,P1246*N1246,0)</f>
        <v/>
      </c>
      <c r="R1246" s="8">
        <f>IF(Q1246&lt;&gt;0,Q1246+H1246+L1246,0)</f>
        <v/>
      </c>
      <c r="S1246" s="9">
        <f>VLOOKUP(OPERAC[[#This Row],[especie]],[1]!ESPECIES[#Data],9,FALSE)</f>
        <v/>
      </c>
    </row>
    <row r="1247">
      <c r="A1247" s="4" t="n">
        <v>7916</v>
      </c>
      <c r="B1247" s="5" t="n">
        <v>44645</v>
      </c>
      <c r="C1247" s="13" t="inlineStr">
        <is>
          <t>VTA</t>
        </is>
      </c>
      <c r="D1247" s="13" t="n">
        <v>39</v>
      </c>
      <c r="E1247" s="10">
        <f>IF(D1247&gt;0,VLOOKUP(OPERAC[[#This Row],[COD CART]],[1]!MatrizCortoLargoCyl[#All],3,0),"")</f>
        <v/>
      </c>
      <c r="F1247" s="13" t="inlineStr">
        <is>
          <t>TLRY/V/6,00/16-09-22</t>
        </is>
      </c>
      <c r="G1247" s="6" t="n">
        <v>-2</v>
      </c>
      <c r="H1247" s="6" t="n">
        <v>2.0692</v>
      </c>
      <c r="I1247" s="7">
        <f>-H1247/G1247</f>
        <v/>
      </c>
      <c r="J1247" s="11" t="n"/>
      <c r="K1247" s="6" t="n"/>
      <c r="L1247" s="6" t="n"/>
      <c r="M1247" s="7">
        <f>IF(N1247=0,+L1247+H1247,0)</f>
        <v/>
      </c>
      <c r="N1247" s="7">
        <f>IF((+G1247-K1247)=0,0,+G1247-K1247)</f>
        <v/>
      </c>
      <c r="O1247" s="7">
        <f>IF(N1247=0,0,(L1247+H1247)/-N1247)</f>
        <v/>
      </c>
      <c r="P1247" s="7">
        <f>VLOOKUP(OPERAC[[#This Row],[especie]],[1]!ESPECIES[#All],6,0)</f>
        <v/>
      </c>
      <c r="Q1247" s="7">
        <f>IF(N1247&lt;&gt;0,P1247*N1247,0)</f>
        <v/>
      </c>
      <c r="R1247" s="8">
        <f>IF(Q1247&lt;&gt;0,Q1247+H1247+L1247,0)</f>
        <v/>
      </c>
      <c r="S1247" s="9">
        <f>VLOOKUP(OPERAC[[#This Row],[especie]],[1]!ESPECIES[#Data],9,FALSE)</f>
        <v/>
      </c>
    </row>
    <row r="1248">
      <c r="A1248" s="4" t="n">
        <v>12671</v>
      </c>
      <c r="B1248" s="5" t="n">
        <v>44237</v>
      </c>
      <c r="C1248" s="13" t="inlineStr">
        <is>
          <t>VTA</t>
        </is>
      </c>
      <c r="D1248" s="13" t="n">
        <v>39</v>
      </c>
      <c r="E1248" s="10">
        <f>IF(D1248&gt;0,VLOOKUP(OPERAC[[#This Row],[COD CART]],[1]!MatrizCortoLargoCyl[#All],3,0),"")</f>
        <v/>
      </c>
      <c r="F1248" s="13" t="inlineStr">
        <is>
          <t>TLRY1/V/10,00/20-01-23</t>
        </is>
      </c>
      <c r="G1248" s="6" t="n">
        <v>-2</v>
      </c>
      <c r="H1248" s="6" t="n">
        <v>2</v>
      </c>
      <c r="I1248" s="7">
        <f>-H1248/G1248</f>
        <v/>
      </c>
      <c r="J1248" s="11" t="n"/>
      <c r="K1248" s="6" t="n"/>
      <c r="L1248" s="6" t="n"/>
      <c r="M1248" s="7">
        <f>IF(N1248=0,+L1248+H1248,0)</f>
        <v/>
      </c>
      <c r="N1248" s="7">
        <f>IF((+G1248-K1248)=0,0,+G1248-K1248)</f>
        <v/>
      </c>
      <c r="O1248" s="7">
        <f>IF(N1248=0,0,(L1248+H1248)/-N1248)</f>
        <v/>
      </c>
      <c r="P1248" s="7">
        <f>VLOOKUP(OPERAC[[#This Row],[especie]],[1]!ESPECIES[#All],6,0)</f>
        <v/>
      </c>
      <c r="Q1248" s="7">
        <f>IF(N1248&lt;&gt;0,P1248*N1248,0)</f>
        <v/>
      </c>
      <c r="R1248" s="8">
        <f>IF(Q1248&lt;&gt;0,Q1248+H1248+L1248,0)</f>
        <v/>
      </c>
      <c r="S1248" s="9">
        <f>VLOOKUP(OPERAC[[#This Row],[especie]],[1]!ESPECIES[#Data],9,FALSE)</f>
        <v/>
      </c>
    </row>
    <row r="1249">
      <c r="A1249" s="4" t="n">
        <v>16818</v>
      </c>
      <c r="B1249" s="5" t="n">
        <v>44237</v>
      </c>
      <c r="C1249" s="13" t="inlineStr">
        <is>
          <t>VTA</t>
        </is>
      </c>
      <c r="D1249" s="13" t="n">
        <v>39</v>
      </c>
      <c r="E1249" s="10">
        <f>IF(D1249&gt;0,VLOOKUP(OPERAC[[#This Row],[COD CART]],[1]!MatrizCortoLargoCyl[#All],3,0),"")</f>
        <v/>
      </c>
      <c r="F1249" s="13" t="inlineStr">
        <is>
          <t>TLRY1/V/10,00/20-01-23</t>
        </is>
      </c>
      <c r="G1249" s="6" t="n">
        <v>-2</v>
      </c>
      <c r="H1249" s="6" t="n">
        <v>2</v>
      </c>
      <c r="I1249" s="7">
        <f>-H1249/G1249</f>
        <v/>
      </c>
      <c r="J1249" s="11" t="n"/>
      <c r="K1249" s="6" t="n"/>
      <c r="L1249" s="6" t="n"/>
      <c r="M1249" s="7">
        <f>IF(N1249=0,+L1249+H1249,0)</f>
        <v/>
      </c>
      <c r="N1249" s="7">
        <f>IF((+G1249-K1249)=0,0,+G1249-K1249)</f>
        <v/>
      </c>
      <c r="O1249" s="7">
        <f>IF(N1249=0,0,(L1249+H1249)/-N1249)</f>
        <v/>
      </c>
      <c r="P1249" s="7">
        <f>VLOOKUP(OPERAC[[#This Row],[especie]],[1]!ESPECIES[#All],6,0)</f>
        <v/>
      </c>
      <c r="Q1249" s="7">
        <f>IF(N1249&lt;&gt;0,P1249*N1249,0)</f>
        <v/>
      </c>
      <c r="R1249" s="8">
        <f>IF(Q1249&lt;&gt;0,Q1249+H1249+L1249,0)</f>
        <v/>
      </c>
      <c r="S1249" s="9">
        <f>VLOOKUP(OPERAC[[#This Row],[especie]],[1]!ESPECIES[#Data],9,FALSE)</f>
        <v/>
      </c>
    </row>
    <row r="1250">
      <c r="A1250" s="4" t="n">
        <v>26140</v>
      </c>
      <c r="B1250" s="5" t="n">
        <v>44237</v>
      </c>
      <c r="C1250" s="13" t="inlineStr">
        <is>
          <t>VTA</t>
        </is>
      </c>
      <c r="D1250" s="13" t="n">
        <v>39</v>
      </c>
      <c r="E1250" s="10">
        <f>IF(D1250&gt;0,VLOOKUP(OPERAC[[#This Row],[COD CART]],[1]!MatrizCortoLargoCyl[#All],3,0),"")</f>
        <v/>
      </c>
      <c r="F1250" s="13" t="inlineStr">
        <is>
          <t>TLRY1/V/10,00/20-01-23</t>
        </is>
      </c>
      <c r="G1250" s="6" t="n">
        <v>-2</v>
      </c>
      <c r="H1250" s="6" t="n">
        <v>2</v>
      </c>
      <c r="I1250" s="7">
        <f>-H1250/G1250</f>
        <v/>
      </c>
      <c r="J1250" s="11" t="n"/>
      <c r="K1250" s="6" t="n"/>
      <c r="L1250" s="6" t="n"/>
      <c r="M1250" s="7">
        <f>IF(N1250=0,+L1250+H1250,0)</f>
        <v/>
      </c>
      <c r="N1250" s="7">
        <f>IF((+G1250-K1250)=0,0,+G1250-K1250)</f>
        <v/>
      </c>
      <c r="O1250" s="7">
        <f>IF(N1250=0,0,(L1250+H1250)/-N1250)</f>
        <v/>
      </c>
      <c r="P1250" s="7">
        <f>VLOOKUP(OPERAC[[#This Row],[especie]],[1]!ESPECIES[#All],6,0)</f>
        <v/>
      </c>
      <c r="Q1250" s="7">
        <f>IF(N1250&lt;&gt;0,P1250*N1250,0)</f>
        <v/>
      </c>
      <c r="R1250" s="8">
        <f>IF(Q1250&lt;&gt;0,Q1250+H1250+L1250,0)</f>
        <v/>
      </c>
      <c r="S1250" s="9">
        <f>VLOOKUP(OPERAC[[#This Row],[especie]],[1]!ESPECIES[#Data],9,FALSE)</f>
        <v/>
      </c>
    </row>
    <row r="1251">
      <c r="A1251" s="4" t="n">
        <v>12627</v>
      </c>
      <c r="B1251" s="5" t="n">
        <v>44277</v>
      </c>
      <c r="C1251" s="13" t="inlineStr">
        <is>
          <t>VTA</t>
        </is>
      </c>
      <c r="D1251" s="13" t="n">
        <v>39</v>
      </c>
      <c r="E1251" s="10">
        <f>IF(D1251&gt;0,VLOOKUP(OPERAC[[#This Row],[COD CART]],[1]!MatrizCortoLargoCyl[#All],3,0),"")</f>
        <v/>
      </c>
      <c r="F1251" s="13" t="inlineStr">
        <is>
          <t>TLRY1/V/10,00/20-01-23</t>
        </is>
      </c>
      <c r="G1251" s="6" t="n">
        <v>-2</v>
      </c>
      <c r="H1251" s="6" t="n">
        <v>2</v>
      </c>
      <c r="I1251" s="7">
        <f>-H1251/G1251</f>
        <v/>
      </c>
      <c r="J1251" s="11" t="n">
        <v>44628</v>
      </c>
      <c r="K1251" s="6" t="n">
        <v>-2</v>
      </c>
      <c r="L1251" s="6" t="n">
        <v>-12.49</v>
      </c>
      <c r="M1251" s="7">
        <f>IF(N1251=0,+L1251+H1251,0)</f>
        <v/>
      </c>
      <c r="N1251" s="7">
        <f>IF((+G1251-K1251)=0,0,+G1251-K1251)</f>
        <v/>
      </c>
      <c r="O1251" s="7">
        <f>IF(N1251=0,0,(L1251+H1251)/-N1251)</f>
        <v/>
      </c>
      <c r="P1251" s="7">
        <f>VLOOKUP(OPERAC[[#This Row],[especie]],[1]!ESPECIES[#All],6,0)</f>
        <v/>
      </c>
      <c r="Q1251" s="7">
        <f>IF(N1251&lt;&gt;0,P1251*N1251,0)</f>
        <v/>
      </c>
      <c r="R1251" s="8">
        <f>IF(Q1251&lt;&gt;0,Q1251+H1251+L1251,0)</f>
        <v/>
      </c>
      <c r="S1251" s="9">
        <f>VLOOKUP(OPERAC[[#This Row],[especie]],[1]!ESPECIES[#Data],9,FALSE)</f>
        <v/>
      </c>
    </row>
    <row r="1252">
      <c r="A1252" s="4" t="n">
        <v>12611</v>
      </c>
      <c r="B1252" s="5" t="n">
        <v>44531</v>
      </c>
      <c r="C1252" s="13" t="inlineStr">
        <is>
          <t>VTA</t>
        </is>
      </c>
      <c r="D1252" s="13" t="n">
        <v>39</v>
      </c>
      <c r="E1252" s="10">
        <f>IF(D1252&gt;0,VLOOKUP(OPERAC[[#This Row],[COD CART]],[1]!MatrizCortoLargoCyl[#All],3,0),"")</f>
        <v/>
      </c>
      <c r="F1252" s="13" t="inlineStr">
        <is>
          <t>MELI/V/740,00/16-09-22</t>
        </is>
      </c>
      <c r="G1252" s="6" t="n">
        <v>-1</v>
      </c>
      <c r="H1252" s="6" t="n">
        <v>2</v>
      </c>
      <c r="I1252" s="7">
        <f>-H1252/G1252</f>
        <v/>
      </c>
      <c r="J1252" s="11" t="n"/>
      <c r="K1252" s="6" t="n"/>
      <c r="L1252" s="6" t="n"/>
      <c r="M1252" s="7">
        <f>IF(N1252=0,+L1252+H1252,0)</f>
        <v/>
      </c>
      <c r="N1252" s="7">
        <f>IF((+G1252-K1252)=0,0,+G1252-K1252)</f>
        <v/>
      </c>
      <c r="O1252" s="7">
        <f>IF(N1252=0,0,(L1252+H1252)/-N1252)</f>
        <v/>
      </c>
      <c r="P1252" s="7">
        <f>VLOOKUP(OPERAC[[#This Row],[especie]],[1]!ESPECIES[#All],6,0)</f>
        <v/>
      </c>
      <c r="Q1252" s="7">
        <f>IF(N1252&lt;&gt;0,P1252*N1252,0)</f>
        <v/>
      </c>
      <c r="R1252" s="8">
        <f>IF(Q1252&lt;&gt;0,Q1252+H1252+L1252,0)</f>
        <v/>
      </c>
      <c r="S1252" s="9">
        <f>VLOOKUP(OPERAC[[#This Row],[especie]],[1]!ESPECIES[#Data],9,FALSE)</f>
        <v/>
      </c>
    </row>
    <row r="1253">
      <c r="A1253" s="4" t="n">
        <v>13188</v>
      </c>
      <c r="B1253" s="5" t="n">
        <v>44537</v>
      </c>
      <c r="C1253" s="13" t="inlineStr">
        <is>
          <t>VTA</t>
        </is>
      </c>
      <c r="D1253" s="13" t="n">
        <v>39</v>
      </c>
      <c r="E1253" s="10">
        <f>IF(D1253&gt;0,VLOOKUP(OPERAC[[#This Row],[COD CART]],[1]!MatrizCortoLargoCyl[#All],3,0),"")</f>
        <v/>
      </c>
      <c r="F1253" s="13" t="inlineStr">
        <is>
          <t>MELI/V/740,00/16-09-22</t>
        </is>
      </c>
      <c r="G1253" s="6" t="n">
        <v>-1</v>
      </c>
      <c r="H1253" s="6">
        <f>-2*OPERAC[[#This Row],[cantidad]]</f>
        <v/>
      </c>
      <c r="I1253" s="7">
        <f>-H1253/G1253</f>
        <v/>
      </c>
      <c r="J1253" s="11" t="n"/>
      <c r="K1253" s="6" t="n"/>
      <c r="L1253" s="6" t="n"/>
      <c r="M1253" s="7">
        <f>IF(N1253=0,+L1253+H1253,0)</f>
        <v/>
      </c>
      <c r="N1253" s="7">
        <f>IF((+G1253-K1253)=0,0,+G1253-K1253)</f>
        <v/>
      </c>
      <c r="O1253" s="7">
        <f>IF(N1253=0,0,(L1253+H1253)/-N1253)</f>
        <v/>
      </c>
      <c r="P1253" s="7">
        <f>VLOOKUP(OPERAC[[#This Row],[especie]],[1]!ESPECIES[#All],6,0)</f>
        <v/>
      </c>
      <c r="Q1253" s="7">
        <f>IF(N1253&lt;&gt;0,P1253*N1253,0)</f>
        <v/>
      </c>
      <c r="R1253" s="8">
        <f>IF(Q1253&lt;&gt;0,Q1253+H1253+L1253,0)</f>
        <v/>
      </c>
      <c r="S1253" s="9">
        <f>VLOOKUP(OPERAC[[#This Row],[especie]],[1]!ESPECIES[#Data],9,FALSE)</f>
        <v/>
      </c>
    </row>
    <row r="1254">
      <c r="A1254" s="4" t="n">
        <v>18677</v>
      </c>
      <c r="B1254" s="5" t="n">
        <v>44579</v>
      </c>
      <c r="C1254" s="13" t="inlineStr">
        <is>
          <t>VTA</t>
        </is>
      </c>
      <c r="D1254" s="13" t="n">
        <v>39</v>
      </c>
      <c r="E1254" s="10">
        <f>IF(D1254&gt;0,VLOOKUP(OPERAC[[#This Row],[COD CART]],[1]!MatrizCortoLargoCyl[#All],3,0),"")</f>
        <v/>
      </c>
      <c r="F1254" s="13" t="inlineStr">
        <is>
          <t>YPF/V/5,00/15-07-22</t>
        </is>
      </c>
      <c r="G1254" s="6" t="n">
        <v>-1</v>
      </c>
      <c r="H1254" s="6" t="n">
        <v>1.0849</v>
      </c>
      <c r="I1254" s="7">
        <f>-H1254/G1254</f>
        <v/>
      </c>
      <c r="J1254" s="11" t="n"/>
      <c r="K1254" s="6" t="n"/>
      <c r="L1254" s="6" t="n"/>
      <c r="M1254" s="7">
        <f>IF(N1254=0,+L1254+H1254,0)</f>
        <v/>
      </c>
      <c r="N1254" s="7">
        <f>IF((+G1254-K1254)=0,0,+G1254-K1254)</f>
        <v/>
      </c>
      <c r="O1254" s="7">
        <f>IF(N1254=0,0,(L1254+H1254)/-N1254)</f>
        <v/>
      </c>
      <c r="P1254" s="7">
        <f>VLOOKUP(OPERAC[[#This Row],[especie]],[1]!ESPECIES[#All],6,0)</f>
        <v/>
      </c>
      <c r="Q1254" s="7">
        <f>IF(N1254&lt;&gt;0,P1254*N1254,0)</f>
        <v/>
      </c>
      <c r="R1254" s="8">
        <f>IF(Q1254&lt;&gt;0,Q1254+H1254+L1254,0)</f>
        <v/>
      </c>
      <c r="S1254" s="9">
        <f>VLOOKUP(OPERAC[[#This Row],[especie]],[1]!ESPECIES[#Data],9,FALSE)</f>
        <v/>
      </c>
    </row>
    <row r="1255">
      <c r="A1255" s="4" t="n">
        <v>21070</v>
      </c>
      <c r="B1255" s="5" t="n">
        <v>44645</v>
      </c>
      <c r="C1255" s="13" t="inlineStr">
        <is>
          <t>VTA</t>
        </is>
      </c>
      <c r="D1255" s="13" t="n">
        <v>39</v>
      </c>
      <c r="E1255" s="10">
        <f>IF(D1255&gt;0,VLOOKUP(OPERAC[[#This Row],[COD CART]],[1]!MatrizCortoLargoCyl[#All],3,0),"")</f>
        <v/>
      </c>
      <c r="F1255" s="13" t="inlineStr">
        <is>
          <t>TLRY/V/6,00/16-09-22</t>
        </is>
      </c>
      <c r="G1255" s="6" t="n">
        <v>-1</v>
      </c>
      <c r="H1255" s="6" t="n">
        <v>1.0346</v>
      </c>
      <c r="I1255" s="7">
        <f>-H1255/G1255</f>
        <v/>
      </c>
      <c r="J1255" s="11" t="n">
        <v>44721</v>
      </c>
      <c r="K1255" s="6" t="n">
        <v>-1</v>
      </c>
      <c r="L1255" s="6" t="n">
        <v>-2.63219</v>
      </c>
      <c r="M1255" s="7">
        <f>IF(N1255=0,+L1255+H1255,0)</f>
        <v/>
      </c>
      <c r="N1255" s="7">
        <f>IF((+G1255-K1255)=0,0,+G1255-K1255)</f>
        <v/>
      </c>
      <c r="O1255" s="7">
        <f>IF(N1255=0,0,(L1255+H1255)/-N1255)</f>
        <v/>
      </c>
      <c r="P1255" s="7">
        <f>VLOOKUP(OPERAC[[#This Row],[especie]],[1]!ESPECIES[#All],6,0)</f>
        <v/>
      </c>
      <c r="Q1255" s="7">
        <f>IF(N1255&lt;&gt;0,P1255*N1255,0)</f>
        <v/>
      </c>
      <c r="R1255" s="8">
        <f>IF(Q1255&lt;&gt;0,Q1255+H1255+L1255,0)</f>
        <v/>
      </c>
      <c r="S1255" s="9">
        <f>VLOOKUP(OPERAC[[#This Row],[especie]],[1]!ESPECIES[#Data],9,FALSE)</f>
        <v/>
      </c>
    </row>
    <row r="1256">
      <c r="A1256" s="4" t="n">
        <v>18663</v>
      </c>
      <c r="B1256" s="5" t="n">
        <v>44197</v>
      </c>
      <c r="C1256" s="13" t="inlineStr">
        <is>
          <t>VTA</t>
        </is>
      </c>
      <c r="D1256" s="13" t="n">
        <v>41</v>
      </c>
      <c r="E1256" s="10">
        <f>IF(D1256&gt;0,VLOOKUP(OPERAC[[#This Row],[COD CART]],[1]!MatrizCortoLargoCyl[#All],3,0),"")</f>
        <v/>
      </c>
      <c r="F1256" s="13" t="inlineStr">
        <is>
          <t>VTRS</t>
        </is>
      </c>
      <c r="G1256" s="6" t="n">
        <v>1</v>
      </c>
      <c r="H1256" s="6" t="n">
        <v>0</v>
      </c>
      <c r="I1256" s="7">
        <f>-H1256/G1256</f>
        <v/>
      </c>
      <c r="J1256" s="11" t="n"/>
      <c r="K1256" s="6" t="n"/>
      <c r="L1256" s="6" t="n"/>
      <c r="M1256" s="7">
        <f>IF(N1256=0,+L1256+H1256,0)</f>
        <v/>
      </c>
      <c r="N1256" s="7">
        <f>IF((+G1256-K1256)=0,0,+G1256-K1256)</f>
        <v/>
      </c>
      <c r="O1256" s="7">
        <f>IF(N1256=0,0,(L1256+H1256)/-N1256)</f>
        <v/>
      </c>
      <c r="P1256" s="7">
        <f>VLOOKUP(OPERAC[[#This Row],[especie]],[1]!ESPECIES[#All],6,0)</f>
        <v/>
      </c>
      <c r="Q1256" s="7">
        <f>IF(N1256&lt;&gt;0,P1256*N1256,0)</f>
        <v/>
      </c>
      <c r="R1256" s="8">
        <f>IF(Q1256&lt;&gt;0,Q1256+H1256+L1256,0)</f>
        <v/>
      </c>
      <c r="S1256" s="9">
        <f>VLOOKUP(OPERAC[[#This Row],[especie]],[1]!ESPECIES[#Data],9,FALSE)</f>
        <v/>
      </c>
    </row>
    <row r="1257">
      <c r="A1257" s="4" t="n">
        <v>18663</v>
      </c>
      <c r="B1257" s="5" t="n">
        <v>44197</v>
      </c>
      <c r="C1257" s="13" t="inlineStr">
        <is>
          <t>VTA</t>
        </is>
      </c>
      <c r="D1257" s="13" t="n">
        <v>41</v>
      </c>
      <c r="E1257" s="10">
        <f>IF(D1257&gt;0,VLOOKUP(OPERAC[[#This Row],[COD CART]],[1]!MatrizCortoLargoCyl[#All],3,0),"")</f>
        <v/>
      </c>
      <c r="F1257" s="13" t="inlineStr">
        <is>
          <t>MAXN</t>
        </is>
      </c>
      <c r="G1257" s="6" t="n">
        <v>3</v>
      </c>
      <c r="H1257" s="6" t="n">
        <v>0</v>
      </c>
      <c r="I1257" s="7">
        <f>-H1257/G1257</f>
        <v/>
      </c>
      <c r="J1257" s="11" t="n"/>
      <c r="K1257" s="6" t="n"/>
      <c r="L1257" s="6" t="n"/>
      <c r="M1257" s="7">
        <f>IF(N1257=0,+L1257+H1257,0)</f>
        <v/>
      </c>
      <c r="N1257" s="7">
        <f>IF((+G1257-K1257)=0,0,+G1257-K1257)</f>
        <v/>
      </c>
      <c r="O1257" s="7">
        <f>IF(N1257=0,0,(L1257+H1257)/-N1257)</f>
        <v/>
      </c>
      <c r="P1257" s="7">
        <f>VLOOKUP(OPERAC[[#This Row],[especie]],[1]!ESPECIES[#All],6,0)</f>
        <v/>
      </c>
      <c r="Q1257" s="7">
        <f>IF(N1257&lt;&gt;0,P1257*N1257,0)</f>
        <v/>
      </c>
      <c r="R1257" s="8">
        <f>IF(Q1257&lt;&gt;0,Q1257+H1257+L1257,0)</f>
        <v/>
      </c>
      <c r="S1257" s="9">
        <f>VLOOKUP(OPERAC[[#This Row],[especie]],[1]!ESPECIES[#Data],9,FALSE)</f>
        <v/>
      </c>
    </row>
    <row r="1258">
      <c r="A1258" s="4" t="n">
        <v>22393</v>
      </c>
      <c r="B1258" s="5" t="n">
        <v>44377</v>
      </c>
      <c r="C1258" s="13" t="inlineStr">
        <is>
          <t>VTA</t>
        </is>
      </c>
      <c r="D1258" s="13" t="n">
        <v>31</v>
      </c>
      <c r="E1258" s="10">
        <f>IF(D1258&gt;0,VLOOKUP(OPERAC[[#This Row],[COD CART]],[1]!MatrizCortoLargoCyl[#All],3,0),"")</f>
        <v/>
      </c>
      <c r="F1258" s="13" t="inlineStr">
        <is>
          <t>NTTHF</t>
        </is>
      </c>
      <c r="G1258" s="6" t="n">
        <v>100</v>
      </c>
      <c r="H1258" s="6" t="n">
        <v>-1</v>
      </c>
      <c r="I1258" s="7">
        <f>-H1258/G1258</f>
        <v/>
      </c>
      <c r="J1258" s="11" t="n">
        <v>44603</v>
      </c>
      <c r="K1258" s="6" t="n">
        <v>100</v>
      </c>
      <c r="L1258" s="6" t="n">
        <v>508.53</v>
      </c>
      <c r="M1258" s="7">
        <f>IF(N1258=0,+L1258+H1258,0)</f>
        <v/>
      </c>
      <c r="N1258" s="7">
        <f>IF((+G1258-K1258)=0,0,+G1258-K1258)</f>
        <v/>
      </c>
      <c r="O1258" s="7">
        <f>IF(N1258=0,0,(L1258+H1258)/-N1258)</f>
        <v/>
      </c>
      <c r="P1258" s="7">
        <f>VLOOKUP(OPERAC[[#This Row],[especie]],[1]!ESPECIES[#All],6,0)</f>
        <v/>
      </c>
      <c r="Q1258" s="7">
        <f>IF(N1258&lt;&gt;0,P1258*N1258,0)</f>
        <v/>
      </c>
      <c r="R1258" s="8">
        <f>IF(Q1258&lt;&gt;0,Q1258+H1258+L1258,0)</f>
        <v/>
      </c>
      <c r="S1258" s="9">
        <f>VLOOKUP(OPERAC[[#This Row],[especie]],[1]!ESPECIES[#Data],9,FALSE)</f>
        <v/>
      </c>
    </row>
    <row r="1259">
      <c r="A1259" s="4" t="n">
        <v>7939</v>
      </c>
      <c r="B1259" s="5" t="n">
        <v>44714</v>
      </c>
      <c r="C1259" s="13" t="inlineStr">
        <is>
          <t>VTA</t>
        </is>
      </c>
      <c r="D1259" s="13" t="n">
        <v>41</v>
      </c>
      <c r="E1259" s="10">
        <f>IF(D1259&gt;0,VLOOKUP(OPERAC[[#This Row],[COD CART]],[1]!MatrizCortoLargoCyl[#All],3,0),"")</f>
        <v/>
      </c>
      <c r="F1259" s="13" t="inlineStr">
        <is>
          <t>HEXO</t>
        </is>
      </c>
      <c r="G1259" s="6" t="n">
        <v>26</v>
      </c>
      <c r="H1259" s="6" t="n">
        <v>-6.9222</v>
      </c>
      <c r="I1259" s="7">
        <f>-H1259/G1259</f>
        <v/>
      </c>
      <c r="J1259" s="5" t="n"/>
      <c r="K1259" s="6" t="n"/>
      <c r="L1259" s="6" t="n"/>
      <c r="M1259" s="7">
        <f>IF(N1259=0,+L1259+H1259,0)</f>
        <v/>
      </c>
      <c r="N1259" s="7">
        <f>IF((+G1259-K1259)=0,0,+G1259-K1259)</f>
        <v/>
      </c>
      <c r="O1259" s="7" t="n">
        <v>0.5853</v>
      </c>
      <c r="P1259" s="7">
        <f>VLOOKUP(OPERAC[[#This Row],[especie]],[1]!ESPECIES[#All],6,0)</f>
        <v/>
      </c>
      <c r="Q1259" s="7">
        <f>IF(N1259&lt;&gt;0,P1259*N1259,0)</f>
        <v/>
      </c>
      <c r="R1259" s="8">
        <f>IF(Q1259&lt;&gt;0,Q1259+H1259+L1259,0)</f>
        <v/>
      </c>
      <c r="S1259" s="9">
        <f>VLOOKUP(OPERAC[[#This Row],[especie]],[1]!ESPECIES[#Data],9,FALSE)</f>
        <v/>
      </c>
    </row>
    <row r="1260">
      <c r="A1260" s="4" t="n">
        <v>3838</v>
      </c>
      <c r="B1260" s="5" t="n">
        <v>44536</v>
      </c>
      <c r="C1260" s="13" t="inlineStr">
        <is>
          <t>VTA</t>
        </is>
      </c>
      <c r="D1260" s="13" t="n">
        <v>43</v>
      </c>
      <c r="E1260" s="10">
        <f>IF(D1260&gt;0,VLOOKUP(OPERAC[[#This Row],[COD CART]],[1]!MatrizCortoLargoCyl[#All],3,0),"")</f>
        <v/>
      </c>
      <c r="F1260" s="13" t="inlineStr">
        <is>
          <t>HEXO/CYL-PUT/1,00/20-01-23</t>
        </is>
      </c>
      <c r="G1260" s="6" t="n">
        <v>100</v>
      </c>
      <c r="H1260" s="6">
        <f>-0.1671*OPERAC[[#This Row],[cantidad]]</f>
        <v/>
      </c>
      <c r="I1260" s="7">
        <f>-H1260/G1260</f>
        <v/>
      </c>
      <c r="J1260" s="11" t="n"/>
      <c r="K1260" s="6" t="n"/>
      <c r="L1260" s="6" t="n"/>
      <c r="M1260" s="7">
        <f>IF(N1260=0,+L1260+H1260,0)</f>
        <v/>
      </c>
      <c r="N1260" s="7">
        <f>IF((+G1260-K1260)=0,0,+G1260-K1260)</f>
        <v/>
      </c>
      <c r="O1260" s="7">
        <f>IF(N1260=0,0,(L1260+H1260)/-N1260)</f>
        <v/>
      </c>
      <c r="P1260" s="7">
        <f>VLOOKUP(OPERAC[[#This Row],[especie]],[1]!ESPECIES[#All],6,0)</f>
        <v/>
      </c>
      <c r="Q1260" s="7">
        <f>IF(N1260&lt;&gt;0,P1260*N1260,0)</f>
        <v/>
      </c>
      <c r="R1260" s="8">
        <f>IF(Q1260&lt;&gt;0,Q1260+H1260+L1260,0)</f>
        <v/>
      </c>
      <c r="S1260" s="9">
        <f>VLOOKUP(OPERAC[[#This Row],[especie]],[1]!ESPECIES[#Data],9,FALSE)</f>
        <v/>
      </c>
    </row>
    <row r="1261">
      <c r="A1261" s="4" t="n">
        <v>16842</v>
      </c>
      <c r="B1261" s="5" t="n">
        <v>44662</v>
      </c>
      <c r="C1261" s="13" t="inlineStr">
        <is>
          <t>VTA</t>
        </is>
      </c>
      <c r="D1261" s="13" t="n">
        <v>42</v>
      </c>
      <c r="E1261" s="10">
        <f>IF(D1261&gt;0,VLOOKUP(OPERAC[[#This Row],[COD CART]],[1]!MatrizCortoLargoCyl[#All],3,0),"")</f>
        <v/>
      </c>
      <c r="F1261" s="13" t="inlineStr">
        <is>
          <t>HYDR</t>
        </is>
      </c>
      <c r="G1261" s="6" t="n">
        <v>1</v>
      </c>
      <c r="H1261" s="6" t="n">
        <v>-18.570344</v>
      </c>
      <c r="I1261" s="7">
        <f>-H1261/G1261</f>
        <v/>
      </c>
      <c r="J1261" s="11" t="n">
        <v>44691</v>
      </c>
      <c r="K1261" s="6" t="n">
        <v>1</v>
      </c>
      <c r="L1261" s="6" t="n">
        <v>12.9</v>
      </c>
      <c r="M1261" s="7">
        <f>IF(N1261=0,+L1261+H1261,0)</f>
        <v/>
      </c>
      <c r="N1261" s="7">
        <f>IF((+G1261-K1261)=0,0,+G1261-K1261)</f>
        <v/>
      </c>
      <c r="O1261" s="7">
        <f>IF(N1261=0,0,(L1261+H1261)/-N1261)</f>
        <v/>
      </c>
      <c r="P1261" s="7">
        <f>VLOOKUP(OPERAC[[#This Row],[especie]],[1]!ESPECIES[#All],6,0)</f>
        <v/>
      </c>
      <c r="Q1261" s="7">
        <f>IF(N1261&lt;&gt;0,P1261*N1261,0)</f>
        <v/>
      </c>
      <c r="R1261" s="8">
        <f>IF(Q1261&lt;&gt;0,Q1261+H1261+L1261,0)</f>
        <v/>
      </c>
      <c r="S1261" s="9">
        <f>VLOOKUP(OPERAC[[#This Row],[especie]],[1]!ESPECIES[#Data],9,FALSE)</f>
        <v/>
      </c>
    </row>
    <row r="1262">
      <c r="A1262" s="4" t="n">
        <v>22431</v>
      </c>
      <c r="B1262" s="5" t="n">
        <v>44538</v>
      </c>
      <c r="C1262" s="13" t="inlineStr">
        <is>
          <t>VTA</t>
        </is>
      </c>
      <c r="D1262" s="13" t="n">
        <v>43</v>
      </c>
      <c r="E1262" s="10">
        <f>IF(D1262&gt;0,VLOOKUP(OPERAC[[#This Row],[COD CART]],[1]!MatrizCortoLargoCyl[#All],3,0),"")</f>
        <v/>
      </c>
      <c r="F1262" s="13" t="inlineStr">
        <is>
          <t>HEXO/CYL-PUT/1,00/20-01-23</t>
        </is>
      </c>
      <c r="G1262" s="6" t="n">
        <v>100</v>
      </c>
      <c r="H1262" s="6" t="n">
        <v>-18.862</v>
      </c>
      <c r="I1262" s="7">
        <f>-H1262/G1262</f>
        <v/>
      </c>
      <c r="J1262" s="11" t="n">
        <v>44698</v>
      </c>
      <c r="K1262" s="6" t="n">
        <v>100</v>
      </c>
      <c r="L1262" s="6" t="n">
        <v>22.04</v>
      </c>
      <c r="M1262" s="7">
        <f>IF(N1262=0,+L1262+H1262,0)</f>
        <v/>
      </c>
      <c r="N1262" s="7">
        <f>IF((+G1262-K1262)=0,0,+G1262-K1262)</f>
        <v/>
      </c>
      <c r="O1262" s="7">
        <f>IF(N1262=0,0,(L1262+H1262)/-N1262)</f>
        <v/>
      </c>
      <c r="P1262" s="7">
        <f>VLOOKUP(OPERAC[[#This Row],[especie]],[1]!ESPECIES[#All],6,0)</f>
        <v/>
      </c>
      <c r="Q1262" s="7">
        <f>IF(N1262&lt;&gt;0,P1262*N1262,0)</f>
        <v/>
      </c>
      <c r="R1262" s="8">
        <f>IF(Q1262&lt;&gt;0,Q1262+H1262+L1262,0)</f>
        <v/>
      </c>
      <c r="S1262" s="9">
        <f>VLOOKUP(OPERAC[[#This Row],[especie]],[1]!ESPECIES[#Data],9,FALSE)</f>
        <v/>
      </c>
    </row>
    <row r="1263">
      <c r="A1263" s="4" t="n">
        <v>2203</v>
      </c>
      <c r="B1263" s="5" t="n">
        <v>43831</v>
      </c>
      <c r="C1263" s="13" t="inlineStr">
        <is>
          <t>VTA</t>
        </is>
      </c>
      <c r="D1263" s="13" t="n">
        <v>40</v>
      </c>
      <c r="E1263" s="10">
        <f>IF(D1263&gt;0,VLOOKUP(OPERAC[[#This Row],[COD CART]],[1]!MatrizCortoLargoCyl[#All],3,0),"")</f>
        <v/>
      </c>
      <c r="F1263" s="13" t="inlineStr">
        <is>
          <t>PNTV</t>
        </is>
      </c>
      <c r="G1263" s="6" t="n">
        <v>2000</v>
      </c>
      <c r="H1263" s="6" t="n">
        <v>-20</v>
      </c>
      <c r="I1263" s="7">
        <f>-H1263/G1263</f>
        <v/>
      </c>
      <c r="J1263" s="5" t="n"/>
      <c r="K1263" s="6" t="n"/>
      <c r="L1263" s="6" t="n"/>
      <c r="M1263" s="7">
        <f>IF(N1263=0,+L1263+H1263,0)</f>
        <v/>
      </c>
      <c r="N1263" s="7">
        <f>IF((+G1263-K1263)=0,0,+G1263-K1263)</f>
        <v/>
      </c>
      <c r="O1263" s="7">
        <f>IF(N1263=0,0,(L1263+H1263)/-N1263)</f>
        <v/>
      </c>
      <c r="P1263" s="7">
        <f>VLOOKUP(OPERAC[[#This Row],[especie]],[1]!ESPECIES[#All],6,0)</f>
        <v/>
      </c>
      <c r="Q1263" s="7">
        <f>IF(N1263&lt;&gt;0,P1263*N1263,0)</f>
        <v/>
      </c>
      <c r="R1263" s="8">
        <f>IF(Q1263&lt;&gt;0,Q1263+H1263+L1263,0)</f>
        <v/>
      </c>
      <c r="S1263" s="9">
        <f>VLOOKUP(OPERAC[[#This Row],[especie]],[1]!ESPECIES[#Data],9,FALSE)</f>
        <v/>
      </c>
    </row>
    <row r="1264">
      <c r="A1264" s="4" t="n">
        <v>2276</v>
      </c>
      <c r="B1264" s="5" t="n">
        <v>44355</v>
      </c>
      <c r="C1264" s="13" t="inlineStr">
        <is>
          <t>VTA</t>
        </is>
      </c>
      <c r="D1264" s="13" t="n">
        <v>41</v>
      </c>
      <c r="E1264" s="10">
        <f>IF(D1264&gt;0,VLOOKUP(OPERAC[[#This Row],[COD CART]],[1]!MatrizCortoLargoCyl[#All],3,0),"")</f>
        <v/>
      </c>
      <c r="F1264" s="13" t="inlineStr">
        <is>
          <t>JMIA</t>
        </is>
      </c>
      <c r="G1264" s="6" t="n">
        <v>1</v>
      </c>
      <c r="H1264" s="6" t="n">
        <v>-31.86288</v>
      </c>
      <c r="I1264" s="7">
        <f>-H1264/G1264</f>
        <v/>
      </c>
      <c r="J1264" s="11" t="n"/>
      <c r="K1264" s="6" t="n"/>
      <c r="L1264" s="6" t="n"/>
      <c r="M1264" s="7">
        <f>IF(N1264=0,+L1264+H1264,0)</f>
        <v/>
      </c>
      <c r="N1264" s="7">
        <f>IF((+G1264-K1264)=0,0,+G1264-K1264)</f>
        <v/>
      </c>
      <c r="O1264" s="7">
        <f>IF(N1264=0,0,(L1264+H1264)/-N1264)</f>
        <v/>
      </c>
      <c r="P1264" s="7">
        <f>VLOOKUP(OPERAC[[#This Row],[especie]],[1]!ESPECIES[#All],6,0)</f>
        <v/>
      </c>
      <c r="Q1264" s="7">
        <f>IF(N1264&lt;&gt;0,P1264*N1264,0)</f>
        <v/>
      </c>
      <c r="R1264" s="8">
        <f>IF(Q1264&lt;&gt;0,Q1264+H1264+L1264,0)</f>
        <v/>
      </c>
      <c r="S1264" s="9">
        <f>VLOOKUP(OPERAC[[#This Row],[especie]],[1]!ESPECIES[#Data],9,FALSE)</f>
        <v/>
      </c>
    </row>
    <row r="1265">
      <c r="A1265" s="4" t="n">
        <v>22393</v>
      </c>
      <c r="B1265" s="5" t="n">
        <v>44536</v>
      </c>
      <c r="C1265" s="13" t="inlineStr">
        <is>
          <t>VTA</t>
        </is>
      </c>
      <c r="D1265" s="13" t="n">
        <v>43</v>
      </c>
      <c r="E1265" s="10">
        <f>IF(D1265&gt;0,VLOOKUP(OPERAC[[#This Row],[COD CART]],[1]!MatrizCortoLargoCyl[#All],3,0),"")</f>
        <v/>
      </c>
      <c r="F1265" s="13" t="inlineStr">
        <is>
          <t>HEXO/CYL-PUT/1,00/20-01-23</t>
        </is>
      </c>
      <c r="G1265" s="6" t="n">
        <v>200</v>
      </c>
      <c r="H1265" s="6">
        <f>-0.1671*OPERAC[[#This Row],[cantidad]]</f>
        <v/>
      </c>
      <c r="I1265" s="7">
        <f>-H1265/G1265</f>
        <v/>
      </c>
      <c r="J1265" s="11" t="n"/>
      <c r="K1265" s="6" t="n"/>
      <c r="L1265" s="6" t="n"/>
      <c r="M1265" s="7">
        <f>IF(N1265=0,+L1265+H1265,0)</f>
        <v/>
      </c>
      <c r="N1265" s="7">
        <f>IF((+G1265-K1265)=0,0,+G1265-K1265)</f>
        <v/>
      </c>
      <c r="O1265" s="7">
        <f>IF(N1265=0,0,(L1265+H1265)/-N1265)</f>
        <v/>
      </c>
      <c r="P1265" s="7">
        <f>VLOOKUP(OPERAC[[#This Row],[especie]],[1]!ESPECIES[#All],6,0)</f>
        <v/>
      </c>
      <c r="Q1265" s="7">
        <f>IF(N1265&lt;&gt;0,P1265*N1265,0)</f>
        <v/>
      </c>
      <c r="R1265" s="8">
        <f>IF(Q1265&lt;&gt;0,Q1265+H1265+L1265,0)</f>
        <v/>
      </c>
      <c r="S1265" s="9">
        <f>VLOOKUP(OPERAC[[#This Row],[especie]],[1]!ESPECIES[#Data],9,FALSE)</f>
        <v/>
      </c>
    </row>
    <row r="1266">
      <c r="A1266" s="4" t="n">
        <v>16829</v>
      </c>
      <c r="B1266" s="5" t="n">
        <v>44662</v>
      </c>
      <c r="C1266" s="13" t="inlineStr">
        <is>
          <t>VTA</t>
        </is>
      </c>
      <c r="D1266" s="13" t="n">
        <v>42</v>
      </c>
      <c r="E1266" s="10">
        <f>IF(D1266&gt;0,VLOOKUP(OPERAC[[#This Row],[COD CART]],[1]!MatrizCortoLargoCyl[#All],3,0),"")</f>
        <v/>
      </c>
      <c r="F1266" s="13" t="inlineStr">
        <is>
          <t>HYDR</t>
        </is>
      </c>
      <c r="G1266" s="6" t="n">
        <v>2</v>
      </c>
      <c r="H1266" s="6" t="n">
        <v>-36.99334399999999</v>
      </c>
      <c r="I1266" s="7">
        <f>-H1266/G1266</f>
        <v/>
      </c>
      <c r="J1266" s="11" t="n"/>
      <c r="K1266" s="6" t="n"/>
      <c r="L1266" s="6" t="n"/>
      <c r="M1266" s="7">
        <f>IF(N1266=0,+L1266+H1266,0)</f>
        <v/>
      </c>
      <c r="N1266" s="7">
        <f>IF((+G1266-K1266)=0,0,+G1266-K1266)</f>
        <v/>
      </c>
      <c r="O1266" s="7">
        <f>IF(N1266=0,0,(L1266+H1266)/-N1266)</f>
        <v/>
      </c>
      <c r="P1266" s="7">
        <f>VLOOKUP(OPERAC[[#This Row],[especie]],[1]!ESPECIES[#All],6,0)</f>
        <v/>
      </c>
      <c r="Q1266" s="7">
        <f>IF(N1266&lt;&gt;0,P1266*N1266,0)</f>
        <v/>
      </c>
      <c r="R1266" s="8">
        <f>IF(Q1266&lt;&gt;0,Q1266+H1266+L1266,0)</f>
        <v/>
      </c>
      <c r="S1266" s="9">
        <f>VLOOKUP(OPERAC[[#This Row],[especie]],[1]!ESPECIES[#Data],9,FALSE)</f>
        <v/>
      </c>
    </row>
    <row r="1267">
      <c r="A1267" s="4" t="n">
        <v>15192</v>
      </c>
      <c r="B1267" s="5" t="n">
        <v>44662</v>
      </c>
      <c r="C1267" s="13" t="inlineStr">
        <is>
          <t>VTA</t>
        </is>
      </c>
      <c r="D1267" s="13" t="n">
        <v>42</v>
      </c>
      <c r="E1267" s="10">
        <f>IF(D1267&gt;0,VLOOKUP(OPERAC[[#This Row],[COD CART]],[1]!MatrizCortoLargoCyl[#All],3,0),"")</f>
        <v/>
      </c>
      <c r="F1267" s="13" t="inlineStr">
        <is>
          <t>HYDR</t>
        </is>
      </c>
      <c r="G1267" s="6" t="n">
        <v>2</v>
      </c>
      <c r="H1267" s="6" t="n">
        <v>-37.140688</v>
      </c>
      <c r="I1267" s="7">
        <f>-H1267/G1267</f>
        <v/>
      </c>
      <c r="J1267" s="11" t="n">
        <v>44693</v>
      </c>
      <c r="K1267" s="6">
        <f>+OPERAC[[#This Row],[cantidad]]</f>
        <v/>
      </c>
      <c r="L1267" s="6">
        <f>+OPERAC[[#This Row],[cantidad venta]]*12.027</f>
        <v/>
      </c>
      <c r="M1267" s="7">
        <f>IF(N1267=0,+L1267+H1267,0)</f>
        <v/>
      </c>
      <c r="N1267" s="7">
        <f>IF((+G1267-K1267)=0,0,+G1267-K1267)</f>
        <v/>
      </c>
      <c r="O1267" s="7">
        <f>IF(N1267=0,0,(L1267+H1267)/-N1267)</f>
        <v/>
      </c>
      <c r="P1267" s="7">
        <f>VLOOKUP(OPERAC[[#This Row],[especie]],[1]!ESPECIES[#All],6,0)</f>
        <v/>
      </c>
      <c r="Q1267" s="7">
        <f>IF(N1267&lt;&gt;0,P1267*N1267,0)</f>
        <v/>
      </c>
      <c r="R1267" s="8">
        <f>IF(Q1267&lt;&gt;0,Q1267+H1267+L1267,0)</f>
        <v/>
      </c>
      <c r="S1267" s="9">
        <f>VLOOKUP(OPERAC[[#This Row],[especie]],[1]!ESPECIES[#Data],9,FALSE)</f>
        <v/>
      </c>
    </row>
    <row r="1268">
      <c r="A1268" s="4" t="n">
        <v>11164</v>
      </c>
      <c r="B1268" s="5" t="n">
        <v>44538</v>
      </c>
      <c r="C1268" s="13" t="inlineStr">
        <is>
          <t>VTA</t>
        </is>
      </c>
      <c r="D1268" s="13" t="n">
        <v>43</v>
      </c>
      <c r="E1268" s="10">
        <f>IF(D1268&gt;0,VLOOKUP(OPERAC[[#This Row],[COD CART]],[1]!MatrizCortoLargoCyl[#All],3,0),"")</f>
        <v/>
      </c>
      <c r="F1268" s="13" t="inlineStr">
        <is>
          <t>HEXO/CYL-PUT/1,00/20-01-23</t>
        </is>
      </c>
      <c r="G1268" s="6" t="n">
        <v>200</v>
      </c>
      <c r="H1268" s="6">
        <f>-0.1886*OPERAC[[#This Row],[cantidad]]</f>
        <v/>
      </c>
      <c r="I1268" s="7">
        <f>-H1268/G1268</f>
        <v/>
      </c>
      <c r="J1268" s="11" t="n"/>
      <c r="K1268" s="6" t="n"/>
      <c r="L1268" s="6" t="n"/>
      <c r="M1268" s="7">
        <f>IF(N1268=0,+L1268+H1268,0)</f>
        <v/>
      </c>
      <c r="N1268" s="7">
        <f>IF((+G1268-K1268)=0,0,+G1268-K1268)</f>
        <v/>
      </c>
      <c r="O1268" s="7">
        <f>IF(N1268=0,0,(L1268+H1268)/-N1268)</f>
        <v/>
      </c>
      <c r="P1268" s="7">
        <f>VLOOKUP(OPERAC[[#This Row],[especie]],[1]!ESPECIES[#All],6,0)</f>
        <v/>
      </c>
      <c r="Q1268" s="7">
        <f>IF(N1268&lt;&gt;0,P1268*N1268,0)</f>
        <v/>
      </c>
      <c r="R1268" s="8">
        <f>IF(Q1268&lt;&gt;0,Q1268+H1268+L1268,0)</f>
        <v/>
      </c>
      <c r="S1268" s="9">
        <f>VLOOKUP(OPERAC[[#This Row],[especie]],[1]!ESPECIES[#Data],9,FALSE)</f>
        <v/>
      </c>
    </row>
    <row r="1269">
      <c r="A1269" s="4" t="n">
        <v>15192</v>
      </c>
      <c r="B1269" s="5" t="n">
        <v>44637</v>
      </c>
      <c r="C1269" s="13" t="inlineStr">
        <is>
          <t>VTA</t>
        </is>
      </c>
      <c r="D1269" s="13" t="n">
        <v>43</v>
      </c>
      <c r="E1269" s="10">
        <f>IF(D1269&gt;0,VLOOKUP(OPERAC[[#This Row],[COD CART]],[1]!MatrizCortoLargoCyl[#All],3,0),"")</f>
        <v/>
      </c>
      <c r="F1269" s="13" t="inlineStr">
        <is>
          <t>GMBL/CYL-PUT/1,00/20-01-23</t>
        </is>
      </c>
      <c r="G1269" s="6" t="n">
        <v>200</v>
      </c>
      <c r="H1269" s="6" t="n">
        <v>-41.566352</v>
      </c>
      <c r="I1269" s="7">
        <f>-H1269/G1269</f>
        <v/>
      </c>
      <c r="J1269" s="11" t="n"/>
      <c r="K1269" s="6" t="n"/>
      <c r="L1269" s="6" t="n"/>
      <c r="M1269" s="7">
        <f>IF(N1269=0,+L1269+H1269,0)</f>
        <v/>
      </c>
      <c r="N1269" s="7">
        <f>IF((+G1269-K1269)=0,0,+G1269-K1269)</f>
        <v/>
      </c>
      <c r="O1269" s="7">
        <f>IF(N1269=0,0,(L1269+H1269)/-N1269)</f>
        <v/>
      </c>
      <c r="P1269" s="7">
        <f>VLOOKUP(OPERAC[[#This Row],[especie]],[1]!ESPECIES[#All],6,0)</f>
        <v/>
      </c>
      <c r="Q1269" s="7">
        <f>IF(N1269&lt;&gt;0,P1269*N1269,0)</f>
        <v/>
      </c>
      <c r="R1269" s="8">
        <f>IF(Q1269&lt;&gt;0,Q1269+H1269+L1269,0)</f>
        <v/>
      </c>
      <c r="S1269" s="9">
        <f>VLOOKUP(OPERAC[[#This Row],[especie]],[1]!ESPECIES[#Data],9,FALSE)</f>
        <v/>
      </c>
    </row>
    <row r="1270">
      <c r="A1270" s="4" t="n">
        <v>3838</v>
      </c>
      <c r="B1270" s="5" t="n">
        <v>44536</v>
      </c>
      <c r="C1270" s="13" t="inlineStr">
        <is>
          <t>VTA</t>
        </is>
      </c>
      <c r="D1270" s="13" t="n">
        <v>43</v>
      </c>
      <c r="E1270" s="10">
        <f>IF(D1270&gt;0,VLOOKUP(OPERAC[[#This Row],[COD CART]],[1]!MatrizCortoLargoCyl[#All],3,0),"")</f>
        <v/>
      </c>
      <c r="F1270" s="13" t="inlineStr">
        <is>
          <t>XSPA/CYL-PUT/1,50/20-01-23</t>
        </is>
      </c>
      <c r="G1270" s="6" t="n">
        <v>100</v>
      </c>
      <c r="H1270" s="6">
        <f>-0.4462*OPERAC[[#This Row],[cantidad]]</f>
        <v/>
      </c>
      <c r="I1270" s="7">
        <f>-H1270/G1270</f>
        <v/>
      </c>
      <c r="J1270" s="11" t="n"/>
      <c r="K1270" s="6" t="n"/>
      <c r="L1270" s="6" t="n"/>
      <c r="M1270" s="7">
        <f>IF(N1270=0,+L1270+H1270,0)</f>
        <v/>
      </c>
      <c r="N1270" s="7">
        <f>IF((+G1270-K1270)=0,0,+G1270-K1270)</f>
        <v/>
      </c>
      <c r="O1270" s="7">
        <f>IF(N1270=0,0,(L1270+H1270)/-N1270)</f>
        <v/>
      </c>
      <c r="P1270" s="7">
        <f>VLOOKUP(OPERAC[[#This Row],[especie]],[1]!ESPECIES[#All],6,0)</f>
        <v/>
      </c>
      <c r="Q1270" s="7">
        <f>IF(N1270&lt;&gt;0,P1270*N1270,0)</f>
        <v/>
      </c>
      <c r="R1270" s="8">
        <f>IF(Q1270&lt;&gt;0,Q1270+H1270+L1270,0)</f>
        <v/>
      </c>
      <c r="S1270" s="9">
        <f>VLOOKUP(OPERAC[[#This Row],[especie]],[1]!ESPECIES[#Data],9,FALSE)</f>
        <v/>
      </c>
    </row>
    <row r="1271">
      <c r="A1271" s="4" t="n">
        <v>15192</v>
      </c>
      <c r="B1271" s="5" t="n">
        <v>44636</v>
      </c>
      <c r="C1271" s="13" t="inlineStr">
        <is>
          <t>VTA</t>
        </is>
      </c>
      <c r="D1271" s="13" t="n">
        <v>43</v>
      </c>
      <c r="E1271" s="10">
        <f>IF(D1271&gt;0,VLOOKUP(OPERAC[[#This Row],[COD CART]],[1]!MatrizCortoLargoCyl[#All],3,0),"")</f>
        <v/>
      </c>
      <c r="F1271" s="13" t="inlineStr">
        <is>
          <t>GMBL/CYL-PUT/1,00/20-01-23</t>
        </is>
      </c>
      <c r="G1271" s="6" t="n">
        <v>300</v>
      </c>
      <c r="H1271" s="6" t="n">
        <v>-49.01659499999998</v>
      </c>
      <c r="I1271" s="7">
        <f>-H1271/G1271</f>
        <v/>
      </c>
      <c r="J1271" s="11" t="n"/>
      <c r="K1271" s="6" t="n"/>
      <c r="L1271" s="6" t="n"/>
      <c r="M1271" s="7">
        <f>IF(N1271=0,+L1271+H1271,0)</f>
        <v/>
      </c>
      <c r="N1271" s="7">
        <f>IF((+G1271-K1271)=0,0,+G1271-K1271)</f>
        <v/>
      </c>
      <c r="O1271" s="7">
        <f>IF(N1271=0,0,(L1271+H1271)/-N1271)</f>
        <v/>
      </c>
      <c r="P1271" s="7">
        <f>VLOOKUP(OPERAC[[#This Row],[especie]],[1]!ESPECIES[#All],6,0)</f>
        <v/>
      </c>
      <c r="Q1271" s="7">
        <f>IF(N1271&lt;&gt;0,P1271*N1271,0)</f>
        <v/>
      </c>
      <c r="R1271" s="8">
        <f>IF(Q1271&lt;&gt;0,Q1271+H1271+L1271,0)</f>
        <v/>
      </c>
      <c r="S1271" s="9">
        <f>VLOOKUP(OPERAC[[#This Row],[especie]],[1]!ESPECIES[#Data],9,FALSE)</f>
        <v/>
      </c>
    </row>
    <row r="1272">
      <c r="A1272" s="4" t="n">
        <v>2211</v>
      </c>
      <c r="B1272" s="5" t="n">
        <v>44705</v>
      </c>
      <c r="C1272" s="13" t="inlineStr">
        <is>
          <t>VTA</t>
        </is>
      </c>
      <c r="D1272" s="13" t="n">
        <v>41</v>
      </c>
      <c r="E1272" s="10">
        <f>IF(D1272&gt;0,VLOOKUP(OPERAC[[#This Row],[COD CART]],[1]!MatrizCortoLargoCyl[#All],3,0),"")</f>
        <v/>
      </c>
      <c r="F1272" s="13" t="inlineStr">
        <is>
          <t>HYG/V/75,00/17-06-22</t>
        </is>
      </c>
      <c r="G1272" s="6" t="n">
        <v>100</v>
      </c>
      <c r="H1272" s="6" t="n">
        <v>-50.2</v>
      </c>
      <c r="I1272" s="7">
        <f>-H1272/G1272</f>
        <v/>
      </c>
      <c r="J1272" s="5" t="n">
        <v>44707</v>
      </c>
      <c r="K1272" s="6" t="n">
        <v>100</v>
      </c>
      <c r="L1272" s="6" t="n">
        <v>17.847</v>
      </c>
      <c r="M1272" s="7">
        <f>IF(N1272=0,+L1272+H1272,0)</f>
        <v/>
      </c>
      <c r="N1272" s="7">
        <f>IF((+G1272-K1272)=0,0,+G1272-K1272)</f>
        <v/>
      </c>
      <c r="O1272" s="7">
        <f>IF(N1272=0,0,(L1272+H1272)/-N1272)</f>
        <v/>
      </c>
      <c r="P1272" s="7">
        <f>VLOOKUP(OPERAC[[#This Row],[especie]],[1]!ESPECIES[#All],6,0)</f>
        <v/>
      </c>
      <c r="Q1272" s="7">
        <f>IF(N1272&lt;&gt;0,P1272*N1272,0)</f>
        <v/>
      </c>
      <c r="R1272" s="8">
        <f>IF(Q1272&lt;&gt;0,Q1272+H1272+L1272,0)</f>
        <v/>
      </c>
      <c r="S1272" s="9">
        <f>VLOOKUP(OPERAC[[#This Row],[especie]],[1]!ESPECIES[#Data],9,FALSE)</f>
        <v/>
      </c>
    </row>
    <row r="1273">
      <c r="A1273" s="4" t="n">
        <v>1801</v>
      </c>
      <c r="B1273" s="5" t="n">
        <v>44511</v>
      </c>
      <c r="C1273" s="13" t="inlineStr">
        <is>
          <t>VTA</t>
        </is>
      </c>
      <c r="D1273" s="13" t="n">
        <v>31</v>
      </c>
      <c r="E1273" s="10">
        <f>IF(D1273&gt;0,VLOOKUP(OPERAC[[#This Row],[COD CART]],[1]!MatrizCortoLargoCyl[#All],3,0),"")</f>
        <v/>
      </c>
      <c r="F1273" s="13" t="inlineStr">
        <is>
          <t>IPIX</t>
        </is>
      </c>
      <c r="G1273" s="6" t="n">
        <v>500</v>
      </c>
      <c r="H1273" s="6" t="n">
        <v>-54.995</v>
      </c>
      <c r="I1273" s="7">
        <f>-H1273/G1273</f>
        <v/>
      </c>
      <c r="J1273" s="11" t="n"/>
      <c r="K1273" s="6" t="n"/>
      <c r="L1273" s="6" t="n"/>
      <c r="M1273" s="7">
        <f>IF(N1273=0,+L1273+H1273,0)</f>
        <v/>
      </c>
      <c r="N1273" s="7">
        <f>IF((+G1273-K1273)=0,0,+G1273-K1273)</f>
        <v/>
      </c>
      <c r="O1273" s="7">
        <f>IF(N1273=0,0,(L1273+H1273)/-N1273)</f>
        <v/>
      </c>
      <c r="P1273" s="7">
        <f>VLOOKUP(OPERAC[[#This Row],[especie]],[1]!ESPECIES[#All],6,0)</f>
        <v/>
      </c>
      <c r="Q1273" s="7">
        <f>IF(N1273&lt;&gt;0,P1273*N1273,0)</f>
        <v/>
      </c>
      <c r="R1273" s="8">
        <f>IF(Q1273&lt;&gt;0,Q1273+H1273+L1273,0)</f>
        <v/>
      </c>
      <c r="S1273" s="9">
        <f>VLOOKUP(OPERAC[[#This Row],[especie]],[1]!ESPECIES[#Data],9,FALSE)</f>
        <v/>
      </c>
    </row>
    <row r="1274">
      <c r="A1274" s="4" t="n">
        <v>2218</v>
      </c>
      <c r="B1274" s="5" t="n">
        <v>44686</v>
      </c>
      <c r="C1274" s="13" t="inlineStr">
        <is>
          <t>VTA</t>
        </is>
      </c>
      <c r="D1274" s="13" t="n">
        <v>32</v>
      </c>
      <c r="E1274" s="10">
        <f>IF(D1274&gt;0,VLOOKUP(OPERAC[[#This Row],[COD CART]],[1]!MatrizCortoLargoCyl[#All],3,0),"")</f>
        <v/>
      </c>
      <c r="F1274" s="13" t="inlineStr">
        <is>
          <t>HEXO/CYL/1,00/20-01-23</t>
        </is>
      </c>
      <c r="G1274" s="6" t="n">
        <v>100</v>
      </c>
      <c r="H1274" s="6">
        <f>-0.55*OPERAC[[#This Row],[cantidad]]</f>
        <v/>
      </c>
      <c r="I1274" s="7">
        <f>-H1274/G1274</f>
        <v/>
      </c>
      <c r="J1274" s="11" t="n"/>
      <c r="K1274" s="6" t="n"/>
      <c r="L1274" s="6" t="n"/>
      <c r="M1274" s="7">
        <f>IF(N1274=0,+L1274+H1274,0)</f>
        <v/>
      </c>
      <c r="N1274" s="7">
        <f>IF((+G1274-K1274)=0,0,+G1274-K1274)</f>
        <v/>
      </c>
      <c r="O1274" s="7">
        <f>IF(N1274=0,0,(L1274+H1274)/-N1274)</f>
        <v/>
      </c>
      <c r="P1274" s="7">
        <f>VLOOKUP(OPERAC[[#This Row],[especie]],[1]!ESPECIES[#All],6,0)</f>
        <v/>
      </c>
      <c r="Q1274" s="7">
        <f>IF(N1274&lt;&gt;0,P1274*N1274,0)</f>
        <v/>
      </c>
      <c r="R1274" s="8">
        <f>IF(Q1274&lt;&gt;0,Q1274+H1274+L1274,0)</f>
        <v/>
      </c>
      <c r="S1274" s="9">
        <f>VLOOKUP(OPERAC[[#This Row],[especie]],[1]!ESPECIES[#Data],9,FALSE)</f>
        <v/>
      </c>
    </row>
    <row r="1275">
      <c r="A1275" s="4" t="n">
        <v>13253</v>
      </c>
      <c r="B1275" s="5" t="n">
        <v>44669</v>
      </c>
      <c r="C1275" s="13" t="inlineStr">
        <is>
          <t>VTA</t>
        </is>
      </c>
      <c r="D1275" s="13" t="n">
        <v>41</v>
      </c>
      <c r="E1275" s="10">
        <f>IF(D1275&gt;0,VLOOKUP(OPERAC[[#This Row],[COD CART]],[1]!MatrizCortoLargoCyl[#All],3,0),"")</f>
        <v/>
      </c>
      <c r="F1275" s="13" t="inlineStr">
        <is>
          <t>WBD</t>
        </is>
      </c>
      <c r="G1275" s="6" t="n">
        <v>10</v>
      </c>
      <c r="H1275" s="6">
        <f>-5.6*OPERAC[[#This Row],[cantidad]]</f>
        <v/>
      </c>
      <c r="I1275" s="7">
        <f>-H1275/G1275</f>
        <v/>
      </c>
      <c r="J1275" s="11" t="n"/>
      <c r="K1275" s="6" t="n"/>
      <c r="L1275" s="6" t="n"/>
      <c r="M1275" s="7">
        <f>IF(N1275=0,+L1275+H1275,0)</f>
        <v/>
      </c>
      <c r="N1275" s="7">
        <f>IF((+G1275-K1275)=0,0,+G1275-K1275)</f>
        <v/>
      </c>
      <c r="O1275" s="7">
        <f>IF(N1275=0,0,(L1275+H1275)/-N1275)</f>
        <v/>
      </c>
      <c r="P1275" s="7">
        <f>VLOOKUP(OPERAC[[#This Row],[especie]],[1]!ESPECIES[#All],6,0)</f>
        <v/>
      </c>
      <c r="Q1275" s="7">
        <f>IF(N1275&lt;&gt;0,P1275*N1275,0)</f>
        <v/>
      </c>
      <c r="R1275" s="8">
        <f>IF(Q1275&lt;&gt;0,Q1275+H1275+L1275,0)</f>
        <v/>
      </c>
      <c r="S1275" s="9">
        <f>VLOOKUP(OPERAC[[#This Row],[especie]],[1]!ESPECIES[#Data],9,FALSE)</f>
        <v/>
      </c>
    </row>
    <row r="1276">
      <c r="A1276" s="4" t="n">
        <v>18668</v>
      </c>
      <c r="B1276" s="5" t="n">
        <v>43831</v>
      </c>
      <c r="C1276" s="13" t="inlineStr">
        <is>
          <t>VTA</t>
        </is>
      </c>
      <c r="D1276" s="13" t="n">
        <v>41</v>
      </c>
      <c r="E1276" s="10">
        <f>IF(D1276&gt;0,VLOOKUP(OPERAC[[#This Row],[COD CART]],[1]!MatrizCortoLargoCyl[#All],3,0),"")</f>
        <v/>
      </c>
      <c r="F1276" s="13" t="inlineStr">
        <is>
          <t>ACB</t>
        </is>
      </c>
      <c r="G1276" s="6" t="n">
        <v>8</v>
      </c>
      <c r="H1276" s="6" t="n">
        <v>-59.2</v>
      </c>
      <c r="I1276" s="7" t="n">
        <v>7.4</v>
      </c>
      <c r="J1276" s="5" t="n"/>
      <c r="K1276" s="6" t="n"/>
      <c r="L1276" s="6" t="n"/>
      <c r="M1276" s="7">
        <f>IF(N1276=0,+L1276+H1276,0)</f>
        <v/>
      </c>
      <c r="N1276" s="7">
        <f>IF((+G1276-K1276)=0,0,+G1276-K1276)</f>
        <v/>
      </c>
      <c r="O1276" s="7">
        <f>IF(N1276=0,0,(L1276+H1276)/-N1276)</f>
        <v/>
      </c>
      <c r="P1276" s="7">
        <f>VLOOKUP(OPERAC[[#This Row],[especie]],[1]!ESPECIES[#All],6,0)</f>
        <v/>
      </c>
      <c r="Q1276" s="7">
        <f>IF(N1276&lt;&gt;0,P1276*N1276,0)</f>
        <v/>
      </c>
      <c r="R1276" s="8">
        <f>IF(Q1276&lt;&gt;0,Q1276+H1276+L1276,0)</f>
        <v/>
      </c>
      <c r="S1276" s="9">
        <f>VLOOKUP(OPERAC[[#This Row],[especie]],[1]!ESPECIES[#Data],9,FALSE)</f>
        <v/>
      </c>
    </row>
    <row r="1277">
      <c r="A1277" s="4" t="n">
        <v>22433</v>
      </c>
      <c r="B1277" s="5" t="n">
        <v>44538</v>
      </c>
      <c r="C1277" s="13" t="inlineStr">
        <is>
          <t>VTA</t>
        </is>
      </c>
      <c r="D1277" s="13" t="n">
        <v>43</v>
      </c>
      <c r="E1277" s="10">
        <f>IF(D1277&gt;0,VLOOKUP(OPERAC[[#This Row],[COD CART]],[1]!MatrizCortoLargoCyl[#All],3,0),"")</f>
        <v/>
      </c>
      <c r="F1277" s="13" t="inlineStr">
        <is>
          <t>XSPA/CYL-PUT/1,50/20-01-23</t>
        </is>
      </c>
      <c r="G1277" s="6" t="n">
        <v>100</v>
      </c>
      <c r="H1277" s="6" t="n">
        <v>-59.863</v>
      </c>
      <c r="I1277" s="7">
        <f>-H1277/G1277</f>
        <v/>
      </c>
      <c r="J1277" s="11" t="n"/>
      <c r="K1277" s="6" t="n"/>
      <c r="L1277" s="6" t="n"/>
      <c r="M1277" s="7">
        <f>IF(N1277=0,+L1277+H1277,0)</f>
        <v/>
      </c>
      <c r="N1277" s="7">
        <f>IF((+G1277-K1277)=0,0,+G1277-K1277)</f>
        <v/>
      </c>
      <c r="O1277" s="7">
        <f>IF(N1277=0,0,(L1277+H1277)/-N1277)</f>
        <v/>
      </c>
      <c r="P1277" s="7">
        <f>VLOOKUP(OPERAC[[#This Row],[especie]],[1]!ESPECIES[#All],6,0)</f>
        <v/>
      </c>
      <c r="Q1277" s="7">
        <f>IF(N1277&lt;&gt;0,P1277*N1277,0)</f>
        <v/>
      </c>
      <c r="R1277" s="8">
        <f>IF(Q1277&lt;&gt;0,Q1277+H1277+L1277,0)</f>
        <v/>
      </c>
      <c r="S1277" s="9">
        <f>VLOOKUP(OPERAC[[#This Row],[especie]],[1]!ESPECIES[#Data],9,FALSE)</f>
        <v/>
      </c>
    </row>
    <row r="1278">
      <c r="A1278" s="4" t="n">
        <v>13188</v>
      </c>
      <c r="B1278" s="5" t="n">
        <v>43831</v>
      </c>
      <c r="C1278" s="13" t="inlineStr">
        <is>
          <t>VTA</t>
        </is>
      </c>
      <c r="D1278" s="13" t="n">
        <v>41</v>
      </c>
      <c r="E1278" s="10">
        <f>IF(D1278&gt;0,VLOOKUP(OPERAC[[#This Row],[COD CART]],[1]!MatrizCortoLargoCyl[#All],3,0),"")</f>
        <v/>
      </c>
      <c r="F1278" s="13" t="inlineStr">
        <is>
          <t>PNTV</t>
        </is>
      </c>
      <c r="G1278" s="6" t="n">
        <v>1000</v>
      </c>
      <c r="H1278" s="6" t="n">
        <v>-60</v>
      </c>
      <c r="I1278" s="7" t="n">
        <v>0.06</v>
      </c>
      <c r="J1278" s="5" t="n"/>
      <c r="K1278" s="6" t="n"/>
      <c r="L1278" s="6" t="n"/>
      <c r="M1278" s="7">
        <f>IF(N1278=0,+L1278+H1278,0)</f>
        <v/>
      </c>
      <c r="N1278" s="7">
        <f>IF((+G1278-K1278)=0,0,+G1278-K1278)</f>
        <v/>
      </c>
      <c r="O1278" s="7">
        <f>IF(N1278=0,0,(L1278+H1278)/-N1278)</f>
        <v/>
      </c>
      <c r="P1278" s="7">
        <f>VLOOKUP(OPERAC[[#This Row],[especie]],[1]!ESPECIES[#All],6,0)</f>
        <v/>
      </c>
      <c r="Q1278" s="7">
        <f>IF(N1278&lt;&gt;0,P1278*N1278,0)</f>
        <v/>
      </c>
      <c r="R1278" s="8">
        <f>IF(Q1278&lt;&gt;0,Q1278+H1278+L1278,0)</f>
        <v/>
      </c>
      <c r="S1278" s="9">
        <f>VLOOKUP(OPERAC[[#This Row],[especie]],[1]!ESPECIES[#Data],9,FALSE)</f>
        <v/>
      </c>
    </row>
    <row r="1279">
      <c r="A1279" s="4" t="n">
        <v>22393</v>
      </c>
      <c r="B1279" s="5" t="n">
        <v>44343</v>
      </c>
      <c r="C1279" s="13" t="inlineStr">
        <is>
          <t>VTA</t>
        </is>
      </c>
      <c r="D1279" s="13" t="n">
        <v>31</v>
      </c>
      <c r="E1279" s="10">
        <f>IF(D1279&gt;0,VLOOKUP(OPERAC[[#This Row],[COD CART]],[1]!MatrizCortoLargoCyl[#All],3,0),"")</f>
        <v/>
      </c>
      <c r="F1279" s="13" t="inlineStr">
        <is>
          <t>JEPI</t>
        </is>
      </c>
      <c r="G1279" s="6" t="n">
        <v>1</v>
      </c>
      <c r="H1279" s="6" t="n">
        <v>-60.91368</v>
      </c>
      <c r="I1279" s="7">
        <f>-H1279/G1279</f>
        <v/>
      </c>
      <c r="J1279" s="11" t="n"/>
      <c r="K1279" s="6" t="n"/>
      <c r="L1279" s="6" t="n"/>
      <c r="M1279" s="7">
        <f>IF(N1279=0,+L1279+H1279,0)</f>
        <v/>
      </c>
      <c r="N1279" s="7">
        <f>IF((+G1279-K1279)=0,0,+G1279-K1279)</f>
        <v/>
      </c>
      <c r="O1279" s="7">
        <f>IF(N1279=0,0,(L1279+H1279)/-N1279)</f>
        <v/>
      </c>
      <c r="P1279" s="7">
        <f>VLOOKUP(OPERAC[[#This Row],[especie]],[1]!ESPECIES[#All],6,0)</f>
        <v/>
      </c>
      <c r="Q1279" s="7">
        <f>IF(N1279&lt;&gt;0,P1279*N1279,0)</f>
        <v/>
      </c>
      <c r="R1279" s="8">
        <f>IF(Q1279&lt;&gt;0,Q1279+H1279+L1279,0)</f>
        <v/>
      </c>
      <c r="S1279" s="9">
        <f>VLOOKUP(OPERAC[[#This Row],[especie]],[1]!ESPECIES[#Data],9,FALSE)</f>
        <v/>
      </c>
    </row>
    <row r="1280">
      <c r="A1280" s="4" t="n">
        <v>11164</v>
      </c>
      <c r="B1280" s="5" t="n">
        <v>44664</v>
      </c>
      <c r="C1280" s="13" t="inlineStr">
        <is>
          <t>VTA</t>
        </is>
      </c>
      <c r="D1280" s="13" t="n">
        <v>42</v>
      </c>
      <c r="E1280" s="10">
        <f>IF(D1280&gt;0,VLOOKUP(OPERAC[[#This Row],[COD CART]],[1]!MatrizCortoLargoCyl[#All],3,0),"")</f>
        <v/>
      </c>
      <c r="F1280" s="13" t="inlineStr">
        <is>
          <t>PSQ</t>
        </is>
      </c>
      <c r="G1280" s="6" t="n">
        <v>5</v>
      </c>
      <c r="H1280" s="6" t="n">
        <v>-62.162860905</v>
      </c>
      <c r="I1280" s="7">
        <f>-H1280/G1280</f>
        <v/>
      </c>
      <c r="J1280" s="11" t="n">
        <v>44680</v>
      </c>
      <c r="K1280" s="6">
        <f>+OPERAC[[#This Row],[cantidad]]</f>
        <v/>
      </c>
      <c r="L1280" s="6">
        <f>12.848*OPERAC[[#This Row],[cantidad venta]]</f>
        <v/>
      </c>
      <c r="M1280" s="7">
        <f>IF(N1280=0,+L1280+H1280,0)</f>
        <v/>
      </c>
      <c r="N1280" s="7">
        <f>IF((+G1280-K1280)=0,0,+G1280-K1280)</f>
        <v/>
      </c>
      <c r="O1280" s="7">
        <f>IF(N1280=0,0,(L1280+H1280)/-N1280)</f>
        <v/>
      </c>
      <c r="P1280" s="7">
        <f>VLOOKUP(OPERAC[[#This Row],[especie]],[1]!ESPECIES[#All],6,0)</f>
        <v/>
      </c>
      <c r="Q1280" s="7">
        <f>IF(N1280&lt;&gt;0,P1280*N1280,0)</f>
        <v/>
      </c>
      <c r="R1280" s="8">
        <f>IF(Q1280&lt;&gt;0,Q1280+H1280+L1280,0)</f>
        <v/>
      </c>
      <c r="S1280" s="9">
        <f>VLOOKUP(OPERAC[[#This Row],[especie]],[1]!ESPECIES[#Data],9,FALSE)</f>
        <v/>
      </c>
    </row>
    <row r="1281">
      <c r="A1281" s="4" t="n">
        <v>13268</v>
      </c>
      <c r="B1281" s="5" t="n">
        <v>44664</v>
      </c>
      <c r="C1281" s="13" t="inlineStr">
        <is>
          <t>VTA</t>
        </is>
      </c>
      <c r="D1281" s="13" t="n">
        <v>42</v>
      </c>
      <c r="E1281" s="10">
        <f>IF(D1281&gt;0,VLOOKUP(OPERAC[[#This Row],[COD CART]],[1]!MatrizCortoLargoCyl[#All],3,0),"")</f>
        <v/>
      </c>
      <c r="F1281" s="13" t="inlineStr">
        <is>
          <t>PSQ</t>
        </is>
      </c>
      <c r="G1281" s="6" t="n">
        <v>5</v>
      </c>
      <c r="H1281" s="6" t="n">
        <v>-62.162860905</v>
      </c>
      <c r="I1281" s="7">
        <f>-H1281/G1281</f>
        <v/>
      </c>
      <c r="J1281" s="11" t="n">
        <v>44680</v>
      </c>
      <c r="K1281" s="6">
        <f>+OPERAC[[#This Row],[cantidad]]</f>
        <v/>
      </c>
      <c r="L1281" s="6">
        <f>12.848*OPERAC[[#This Row],[cantidad venta]]</f>
        <v/>
      </c>
      <c r="M1281" s="7">
        <f>IF(N1281=0,+L1281+H1281,0)</f>
        <v/>
      </c>
      <c r="N1281" s="7">
        <f>IF((+G1281-K1281)=0,0,+G1281-K1281)</f>
        <v/>
      </c>
      <c r="O1281" s="7">
        <f>IF(N1281=0,0,(L1281+H1281)/-N1281)</f>
        <v/>
      </c>
      <c r="P1281" s="7">
        <f>VLOOKUP(OPERAC[[#This Row],[especie]],[1]!ESPECIES[#All],6,0)</f>
        <v/>
      </c>
      <c r="Q1281" s="7">
        <f>IF(N1281&lt;&gt;0,P1281*N1281,0)</f>
        <v/>
      </c>
      <c r="R1281" s="8">
        <f>IF(Q1281&lt;&gt;0,Q1281+H1281+L1281,0)</f>
        <v/>
      </c>
      <c r="S1281" s="9">
        <f>VLOOKUP(OPERAC[[#This Row],[especie]],[1]!ESPECIES[#Data],9,FALSE)</f>
        <v/>
      </c>
    </row>
    <row r="1282">
      <c r="A1282" s="4" t="n">
        <v>12688</v>
      </c>
      <c r="B1282" s="5" t="n">
        <v>44637</v>
      </c>
      <c r="C1282" s="13" t="inlineStr">
        <is>
          <t>VTA</t>
        </is>
      </c>
      <c r="D1282" s="13" t="n">
        <v>43</v>
      </c>
      <c r="E1282" s="10">
        <f>IF(D1282&gt;0,VLOOKUP(OPERAC[[#This Row],[COD CART]],[1]!MatrizCortoLargoCyl[#All],3,0),"")</f>
        <v/>
      </c>
      <c r="F1282" s="13" t="inlineStr">
        <is>
          <t>GMBL/CYL-PUT/1,00/20-01-23</t>
        </is>
      </c>
      <c r="G1282" s="6" t="n">
        <v>300</v>
      </c>
      <c r="H1282" s="6" t="n">
        <v>-62.34952799999999</v>
      </c>
      <c r="I1282" s="7">
        <f>-H1282/G1282</f>
        <v/>
      </c>
      <c r="J1282" s="11" t="n">
        <v>44694</v>
      </c>
      <c r="K1282" s="6" t="n">
        <v>300</v>
      </c>
      <c r="L1282" s="6">
        <f>-0.2931*OPERAC[[#This Row],[cantidad venta]]</f>
        <v/>
      </c>
      <c r="M1282" s="7">
        <f>IF(N1282=0,+L1282+H1282,0)</f>
        <v/>
      </c>
      <c r="N1282" s="7">
        <f>IF((+G1282-K1282)=0,0,+G1282-K1282)</f>
        <v/>
      </c>
      <c r="O1282" s="7">
        <f>IF(N1282=0,0,(L1282+H1282)/-N1282)</f>
        <v/>
      </c>
      <c r="P1282" s="7">
        <f>VLOOKUP(OPERAC[[#This Row],[especie]],[1]!ESPECIES[#All],6,0)</f>
        <v/>
      </c>
      <c r="Q1282" s="7">
        <f>IF(N1282&lt;&gt;0,P1282*N1282,0)</f>
        <v/>
      </c>
      <c r="R1282" s="8">
        <f>IF(Q1282&lt;&gt;0,Q1282+H1282+L1282,0)</f>
        <v/>
      </c>
      <c r="S1282" s="9">
        <f>VLOOKUP(OPERAC[[#This Row],[especie]],[1]!ESPECIES[#Data],9,FALSE)</f>
        <v/>
      </c>
    </row>
    <row r="1283">
      <c r="A1283" s="4" t="n">
        <v>1817</v>
      </c>
      <c r="B1283" s="5" t="n">
        <v>44657</v>
      </c>
      <c r="C1283" s="13" t="inlineStr">
        <is>
          <t>VTA</t>
        </is>
      </c>
      <c r="D1283" s="13" t="n">
        <v>41</v>
      </c>
      <c r="E1283" s="10">
        <f>IF(D1283&gt;0,VLOOKUP(OPERAC[[#This Row],[COD CART]],[1]!MatrizCortoLargoCyl[#All],3,0),"")</f>
        <v/>
      </c>
      <c r="F1283" s="13" t="inlineStr">
        <is>
          <t>TEO</t>
        </is>
      </c>
      <c r="G1283" s="6" t="n">
        <v>10</v>
      </c>
      <c r="H1283" s="6" t="n">
        <v>-65.17899999999999</v>
      </c>
      <c r="I1283" s="7">
        <f>-H1283/G1283</f>
        <v/>
      </c>
      <c r="J1283" s="11" t="n"/>
      <c r="K1283" s="6" t="n"/>
      <c r="L1283" s="6" t="n"/>
      <c r="M1283" s="7">
        <f>IF(N1283=0,+L1283+H1283,0)</f>
        <v/>
      </c>
      <c r="N1283" s="7">
        <f>IF((+G1283-K1283)=0,0,+G1283-K1283)</f>
        <v/>
      </c>
      <c r="O1283" s="7">
        <f>IF(N1283=0,0,(L1283+H1283)/-N1283)</f>
        <v/>
      </c>
      <c r="P1283" s="7">
        <f>VLOOKUP(OPERAC[[#This Row],[especie]],[1]!ESPECIES[#All],6,0)</f>
        <v/>
      </c>
      <c r="Q1283" s="7">
        <f>IF(N1283&lt;&gt;0,P1283*N1283,0)</f>
        <v/>
      </c>
      <c r="R1283" s="8">
        <f>IF(Q1283&lt;&gt;0,Q1283+H1283+L1283,0)</f>
        <v/>
      </c>
      <c r="S1283" s="9">
        <f>VLOOKUP(OPERAC[[#This Row],[especie]],[1]!ESPECIES[#Data],9,FALSE)</f>
        <v/>
      </c>
    </row>
    <row r="1284">
      <c r="A1284" s="4" t="n">
        <v>1817</v>
      </c>
      <c r="B1284" s="5" t="n">
        <v>44657</v>
      </c>
      <c r="C1284" s="13" t="inlineStr">
        <is>
          <t>VTA</t>
        </is>
      </c>
      <c r="D1284" s="13" t="n">
        <v>41</v>
      </c>
      <c r="E1284" s="10">
        <f>IF(D1284&gt;0,VLOOKUP(OPERAC[[#This Row],[COD CART]],[1]!MatrizCortoLargoCyl[#All],3,0),"")</f>
        <v/>
      </c>
      <c r="F1284" s="13" t="inlineStr">
        <is>
          <t>GGAL</t>
        </is>
      </c>
      <c r="G1284" s="6" t="n">
        <v>7</v>
      </c>
      <c r="H1284" s="6" t="n">
        <v>-75.57594999999999</v>
      </c>
      <c r="I1284" s="7">
        <f>-H1284/G1284</f>
        <v/>
      </c>
      <c r="J1284" s="11" t="n"/>
      <c r="K1284" s="6" t="n"/>
      <c r="L1284" s="6" t="n"/>
      <c r="M1284" s="7">
        <f>IF(N1284=0,+L1284+H1284,0)</f>
        <v/>
      </c>
      <c r="N1284" s="7">
        <f>IF((+G1284-K1284)=0,0,+G1284-K1284)</f>
        <v/>
      </c>
      <c r="O1284" s="7">
        <f>IF(N1284=0,0,(L1284+H1284)/-N1284)</f>
        <v/>
      </c>
      <c r="P1284" s="7">
        <f>VLOOKUP(OPERAC[[#This Row],[especie]],[1]!ESPECIES[#All],6,0)</f>
        <v/>
      </c>
      <c r="Q1284" s="7">
        <f>IF(N1284&lt;&gt;0,P1284*N1284,0)</f>
        <v/>
      </c>
      <c r="R1284" s="8">
        <f>IF(Q1284&lt;&gt;0,Q1284+H1284+L1284,0)</f>
        <v/>
      </c>
      <c r="S1284" s="9">
        <f>VLOOKUP(OPERAC[[#This Row],[especie]],[1]!ESPECIES[#Data],9,FALSE)</f>
        <v/>
      </c>
    </row>
    <row r="1285">
      <c r="A1285" s="4" t="n">
        <v>11164</v>
      </c>
      <c r="B1285" s="5" t="n">
        <v>44680</v>
      </c>
      <c r="C1285" s="13" t="inlineStr">
        <is>
          <t>VTA</t>
        </is>
      </c>
      <c r="D1285" s="13" t="n">
        <v>42</v>
      </c>
      <c r="E1285" s="10">
        <f>IF(D1285&gt;0,VLOOKUP(OPERAC[[#This Row],[COD CART]],[1]!MatrizCortoLargoCyl[#All],3,0),"")</f>
        <v/>
      </c>
      <c r="F1285" s="14" t="inlineStr">
        <is>
          <t>XLP</t>
        </is>
      </c>
      <c r="G1285" s="6" t="n">
        <v>1</v>
      </c>
      <c r="H1285" s="6" t="n">
        <v>-79.43450249999999</v>
      </c>
      <c r="I1285" s="7">
        <f>-H1285/G1285</f>
        <v/>
      </c>
      <c r="J1285" s="11" t="n">
        <v>44691</v>
      </c>
      <c r="K1285" s="6" t="n">
        <v>1</v>
      </c>
      <c r="L1285" s="6" t="n">
        <v>75.55200000000001</v>
      </c>
      <c r="M1285" s="7">
        <f>IF(N1285=0,+L1285+H1285,0)</f>
        <v/>
      </c>
      <c r="N1285" s="7">
        <f>IF((+G1285-K1285)=0,0,+G1285-K1285)</f>
        <v/>
      </c>
      <c r="O1285" s="7">
        <f>IF(N1285=0,0,(L1285+H1285)/-N1285)</f>
        <v/>
      </c>
      <c r="P1285" s="7">
        <f>VLOOKUP(OPERAC[[#This Row],[especie]],[1]!ESPECIES[#All],6,0)</f>
        <v/>
      </c>
      <c r="Q1285" s="7">
        <f>IF(N1285&lt;&gt;0,P1285*N1285,0)</f>
        <v/>
      </c>
      <c r="R1285" s="8">
        <f>IF(Q1285&lt;&gt;0,Q1285+H1285+L1285,0)</f>
        <v/>
      </c>
      <c r="S1285" s="9">
        <f>VLOOKUP(OPERAC[[#This Row],[especie]],[1]!ESPECIES[#Data],9,FALSE)</f>
        <v/>
      </c>
    </row>
    <row r="1286">
      <c r="A1286" s="4" t="n">
        <v>13268</v>
      </c>
      <c r="B1286" s="5" t="n">
        <v>44680</v>
      </c>
      <c r="C1286" s="13" t="inlineStr">
        <is>
          <t>VTA</t>
        </is>
      </c>
      <c r="D1286" s="13" t="n">
        <v>42</v>
      </c>
      <c r="E1286" s="10">
        <f>IF(D1286&gt;0,VLOOKUP(OPERAC[[#This Row],[COD CART]],[1]!MatrizCortoLargoCyl[#All],3,0),"")</f>
        <v/>
      </c>
      <c r="F1286" s="14" t="inlineStr">
        <is>
          <t>XLP</t>
        </is>
      </c>
      <c r="G1286" s="6" t="n">
        <v>1</v>
      </c>
      <c r="H1286" s="6" t="n">
        <v>-79.43450249999999</v>
      </c>
      <c r="I1286" s="7">
        <f>-H1286/G1286</f>
        <v/>
      </c>
      <c r="J1286" s="11" t="n">
        <v>44693</v>
      </c>
      <c r="K1286" s="6">
        <f>+OPERAC[[#This Row],[cantidad]]</f>
        <v/>
      </c>
      <c r="L1286" s="6">
        <f>+OPERAC[[#This Row],[cantidad venta]]*74.848</f>
        <v/>
      </c>
      <c r="M1286" s="7">
        <f>IF(N1286=0,+L1286+H1286,0)</f>
        <v/>
      </c>
      <c r="N1286" s="7">
        <f>IF((+G1286-K1286)=0,0,+G1286-K1286)</f>
        <v/>
      </c>
      <c r="O1286" s="7">
        <f>IF(N1286=0,0,(L1286+H1286)/-N1286)</f>
        <v/>
      </c>
      <c r="P1286" s="7">
        <f>VLOOKUP(OPERAC[[#This Row],[especie]],[1]!ESPECIES[#All],6,0)</f>
        <v/>
      </c>
      <c r="Q1286" s="7">
        <f>IF(N1286&lt;&gt;0,P1286*N1286,0)</f>
        <v/>
      </c>
      <c r="R1286" s="8">
        <f>IF(Q1286&lt;&gt;0,Q1286+H1286+L1286,0)</f>
        <v/>
      </c>
      <c r="S1286" s="9">
        <f>VLOOKUP(OPERAC[[#This Row],[especie]],[1]!ESPECIES[#Data],9,FALSE)</f>
        <v/>
      </c>
    </row>
    <row r="1287">
      <c r="A1287" s="4" t="n">
        <v>1817</v>
      </c>
      <c r="B1287" s="5" t="n">
        <v>44657</v>
      </c>
      <c r="C1287" s="13" t="inlineStr">
        <is>
          <t>VTA</t>
        </is>
      </c>
      <c r="D1287" s="13" t="n">
        <v>41</v>
      </c>
      <c r="E1287" s="10">
        <f>IF(D1287&gt;0,VLOOKUP(OPERAC[[#This Row],[COD CART]],[1]!MatrizCortoLargoCyl[#All],3,0),"")</f>
        <v/>
      </c>
      <c r="F1287" s="13" t="inlineStr">
        <is>
          <t>CRESY</t>
        </is>
      </c>
      <c r="G1287" s="6" t="n">
        <v>10</v>
      </c>
      <c r="H1287" s="6" t="n">
        <v>-80.075</v>
      </c>
      <c r="I1287" s="7">
        <f>-H1287/G1287</f>
        <v/>
      </c>
      <c r="J1287" s="11" t="n"/>
      <c r="K1287" s="6" t="n"/>
      <c r="L1287" s="6" t="n"/>
      <c r="M1287" s="7">
        <f>IF(N1287=0,+L1287+H1287,0)</f>
        <v/>
      </c>
      <c r="N1287" s="7">
        <f>IF((+G1287-K1287)=0,0,+G1287-K1287)</f>
        <v/>
      </c>
      <c r="O1287" s="7">
        <f>IF(N1287=0,0,(L1287+H1287)/-N1287)</f>
        <v/>
      </c>
      <c r="P1287" s="7">
        <f>VLOOKUP(OPERAC[[#This Row],[especie]],[1]!ESPECIES[#All],6,0)</f>
        <v/>
      </c>
      <c r="Q1287" s="7">
        <f>IF(N1287&lt;&gt;0,P1287*N1287,0)</f>
        <v/>
      </c>
      <c r="R1287" s="8">
        <f>IF(Q1287&lt;&gt;0,Q1287+H1287+L1287,0)</f>
        <v/>
      </c>
      <c r="S1287" s="9">
        <f>VLOOKUP(OPERAC[[#This Row],[especie]],[1]!ESPECIES[#Data],9,FALSE)</f>
        <v/>
      </c>
    </row>
    <row r="1288">
      <c r="A1288" s="4" t="n">
        <v>2276</v>
      </c>
      <c r="B1288" s="5" t="n">
        <v>44337</v>
      </c>
      <c r="C1288" s="13" t="inlineStr">
        <is>
          <t>VTA</t>
        </is>
      </c>
      <c r="D1288" s="13" t="n">
        <v>41</v>
      </c>
      <c r="E1288" s="10">
        <f>IF(D1288&gt;0,VLOOKUP(OPERAC[[#This Row],[COD CART]],[1]!MatrizCortoLargoCyl[#All],3,0),"")</f>
        <v/>
      </c>
      <c r="F1288" s="13" t="inlineStr">
        <is>
          <t>EFA</t>
        </is>
      </c>
      <c r="G1288" s="6" t="n">
        <v>1</v>
      </c>
      <c r="H1288" s="6" t="n">
        <v>-81.42488</v>
      </c>
      <c r="I1288" s="7">
        <f>-H1288/G1288</f>
        <v/>
      </c>
      <c r="J1288" s="11" t="n"/>
      <c r="K1288" s="6" t="n"/>
      <c r="L1288" s="6" t="n"/>
      <c r="M1288" s="7">
        <f>IF(N1288=0,+L1288+H1288,0)</f>
        <v/>
      </c>
      <c r="N1288" s="7">
        <f>IF((+G1288-K1288)=0,0,+G1288-K1288)</f>
        <v/>
      </c>
      <c r="O1288" s="7">
        <f>IF(N1288=0,0,(L1288+H1288)/-N1288)</f>
        <v/>
      </c>
      <c r="P1288" s="7">
        <f>VLOOKUP(OPERAC[[#This Row],[especie]],[1]!ESPECIES[#All],6,0)</f>
        <v/>
      </c>
      <c r="Q1288" s="7">
        <f>IF(N1288&lt;&gt;0,P1288*N1288,0)</f>
        <v/>
      </c>
      <c r="R1288" s="8">
        <f>IF(Q1288&lt;&gt;0,Q1288+H1288+L1288,0)</f>
        <v/>
      </c>
      <c r="S1288" s="9">
        <f>VLOOKUP(OPERAC[[#This Row],[especie]],[1]!ESPECIES[#Data],9,FALSE)</f>
        <v/>
      </c>
    </row>
    <row r="1289">
      <c r="A1289" s="4" t="n">
        <v>2255</v>
      </c>
      <c r="B1289" s="5" t="n">
        <v>44713</v>
      </c>
      <c r="C1289" s="13" t="inlineStr">
        <is>
          <t>VTA</t>
        </is>
      </c>
      <c r="D1289" s="13" t="n">
        <v>39</v>
      </c>
      <c r="E1289" s="10">
        <f>IF(D1289&gt;0,VLOOKUP(OPERAC[[#This Row],[COD CART]],[1]!MatrizCortoLargoCyl[#All],3,0),"")</f>
        <v/>
      </c>
      <c r="F1289" s="14" t="inlineStr">
        <is>
          <t>ACB/V/3,00/20-01-23</t>
        </is>
      </c>
      <c r="G1289" s="6" t="n">
        <v>50</v>
      </c>
      <c r="H1289" s="6" t="n">
        <v>-81.81</v>
      </c>
      <c r="I1289" s="7">
        <f>-H1289/G1289</f>
        <v/>
      </c>
      <c r="J1289" s="5" t="n"/>
      <c r="K1289" s="6" t="n"/>
      <c r="L1289" s="6" t="n"/>
      <c r="M1289" s="7">
        <f>IF(N1289=0,+L1289+H1289,0)</f>
        <v/>
      </c>
      <c r="N1289" s="7">
        <f>IF((+G1289-K1289)=0,0,+G1289-K1289)</f>
        <v/>
      </c>
      <c r="O1289" s="7">
        <f>IF(N1289=0,0,(L1289+H1289)/-N1289)</f>
        <v/>
      </c>
      <c r="P1289" s="7">
        <f>VLOOKUP(OPERAC[[#This Row],[especie]],[1]!ESPECIES[#All],6,0)</f>
        <v/>
      </c>
      <c r="Q1289" s="7">
        <f>IF(N1289&lt;&gt;0,P1289*N1289,0)</f>
        <v/>
      </c>
      <c r="R1289" s="8">
        <f>IF(Q1289&lt;&gt;0,Q1289+H1289+L1289,0)</f>
        <v/>
      </c>
      <c r="S1289" s="9">
        <f>VLOOKUP(OPERAC[[#This Row],[especie]],[1]!ESPECIES[#Data],9,FALSE)</f>
        <v/>
      </c>
    </row>
    <row r="1290">
      <c r="A1290" s="4" t="n">
        <v>12619</v>
      </c>
      <c r="B1290" s="5" t="n">
        <v>44721</v>
      </c>
      <c r="C1290" s="13" t="inlineStr">
        <is>
          <t>VTA</t>
        </is>
      </c>
      <c r="D1290" s="13" t="n">
        <v>32</v>
      </c>
      <c r="E1290" s="10">
        <f>IF(D1290&gt;0,VLOOKUP(OPERAC[[#This Row],[COD CART]],[1]!MatrizCortoLargoCyl[#All],3,0),"")</f>
        <v/>
      </c>
      <c r="F1290" s="13" t="inlineStr">
        <is>
          <t>SESN/CYP/1,00/20-01-23</t>
        </is>
      </c>
      <c r="G1290" s="6" t="n">
        <v>500</v>
      </c>
      <c r="H1290" s="6">
        <f>-0.176*OPERAC[[#This Row],[cantidad]]</f>
        <v/>
      </c>
      <c r="I1290" s="7">
        <f>-H1290/G1290</f>
        <v/>
      </c>
      <c r="J1290" s="5" t="n"/>
      <c r="K1290" s="6" t="n"/>
      <c r="L1290" s="6" t="n"/>
      <c r="M1290" s="7">
        <f>IF(N1290=0,+L1290+H1290,0)</f>
        <v/>
      </c>
      <c r="N1290" s="7">
        <f>IF((+G1290-K1290)=0,0,+G1290-K1290)</f>
        <v/>
      </c>
      <c r="O1290" s="7">
        <f>IF(N1290=0,0,(L1290+H1290)/-N1290)</f>
        <v/>
      </c>
      <c r="P1290" s="7">
        <f>VLOOKUP(OPERAC[[#This Row],[especie]],[1]!ESPECIES[#All],6,0)</f>
        <v/>
      </c>
      <c r="Q1290" s="7">
        <f>IF(N1290&lt;&gt;0,P1290*N1290,0)</f>
        <v/>
      </c>
      <c r="R1290" s="8">
        <f>IF(Q1290&lt;&gt;0,Q1290+H1290+L1290,0)</f>
        <v/>
      </c>
      <c r="S1290" s="9">
        <f>VLOOKUP(OPERAC[[#This Row],[especie]],[1]!ESPECIES[#Data],9,FALSE)</f>
        <v/>
      </c>
    </row>
    <row r="1291">
      <c r="A1291" s="4" t="n">
        <v>13238</v>
      </c>
      <c r="B1291" s="5" t="n">
        <v>44721</v>
      </c>
      <c r="C1291" s="13" t="inlineStr">
        <is>
          <t>VTA</t>
        </is>
      </c>
      <c r="D1291" s="13" t="n">
        <v>32</v>
      </c>
      <c r="E1291" s="10">
        <f>IF(D1291&gt;0,VLOOKUP(OPERAC[[#This Row],[COD CART]],[1]!MatrizCortoLargoCyl[#All],3,0),"")</f>
        <v/>
      </c>
      <c r="F1291" s="13" t="inlineStr">
        <is>
          <t>SESN/CYP/1,00/20-01-23</t>
        </is>
      </c>
      <c r="G1291" s="6" t="n">
        <v>500</v>
      </c>
      <c r="H1291" s="6">
        <f>-0.176*OPERAC[[#This Row],[cantidad]]</f>
        <v/>
      </c>
      <c r="I1291" s="7">
        <f>-H1291/G1291</f>
        <v/>
      </c>
      <c r="J1291" s="5" t="n"/>
      <c r="K1291" s="6" t="n"/>
      <c r="L1291" s="6" t="n"/>
      <c r="M1291" s="7">
        <f>IF(N1291=0,+L1291+H1291,0)</f>
        <v/>
      </c>
      <c r="N1291" s="7">
        <f>IF((+G1291-K1291)=0,0,+G1291-K1291)</f>
        <v/>
      </c>
      <c r="O1291" s="7">
        <f>IF(N1291=0,0,(L1291+H1291)/-N1291)</f>
        <v/>
      </c>
      <c r="P1291" s="7">
        <f>VLOOKUP(OPERAC[[#This Row],[especie]],[1]!ESPECIES[#All],6,0)</f>
        <v/>
      </c>
      <c r="Q1291" s="7">
        <f>IF(N1291&lt;&gt;0,P1291*N1291,0)</f>
        <v/>
      </c>
      <c r="R1291" s="8">
        <f>IF(Q1291&lt;&gt;0,Q1291+H1291+L1291,0)</f>
        <v/>
      </c>
      <c r="S1291" s="9">
        <f>VLOOKUP(OPERAC[[#This Row],[especie]],[1]!ESPECIES[#Data],9,FALSE)</f>
        <v/>
      </c>
    </row>
    <row r="1292">
      <c r="A1292" s="4" t="n">
        <v>22393</v>
      </c>
      <c r="B1292" s="5" t="n">
        <v>44536</v>
      </c>
      <c r="C1292" s="13" t="inlineStr">
        <is>
          <t>VTA</t>
        </is>
      </c>
      <c r="D1292" s="13" t="n">
        <v>43</v>
      </c>
      <c r="E1292" s="10">
        <f>IF(D1292&gt;0,VLOOKUP(OPERAC[[#This Row],[COD CART]],[1]!MatrizCortoLargoCyl[#All],3,0),"")</f>
        <v/>
      </c>
      <c r="F1292" s="13" t="inlineStr">
        <is>
          <t>XSPA/CYL-PUT/1,50/20-01-23</t>
        </is>
      </c>
      <c r="G1292" s="6" t="n">
        <v>200</v>
      </c>
      <c r="H1292" s="6">
        <f>-0.4462*OPERAC[[#This Row],[cantidad]]</f>
        <v/>
      </c>
      <c r="I1292" s="7">
        <f>-H1292/G1292</f>
        <v/>
      </c>
      <c r="J1292" s="11" t="n"/>
      <c r="K1292" s="6" t="n"/>
      <c r="L1292" s="6" t="n"/>
      <c r="M1292" s="7">
        <f>IF(N1292=0,+L1292+H1292,0)</f>
        <v/>
      </c>
      <c r="N1292" s="7">
        <f>IF((+G1292-K1292)=0,0,+G1292-K1292)</f>
        <v/>
      </c>
      <c r="O1292" s="7">
        <f>IF(N1292=0,0,(L1292+H1292)/-N1292)</f>
        <v/>
      </c>
      <c r="P1292" s="7">
        <f>VLOOKUP(OPERAC[[#This Row],[especie]],[1]!ESPECIES[#All],6,0)</f>
        <v/>
      </c>
      <c r="Q1292" s="7">
        <f>IF(N1292&lt;&gt;0,P1292*N1292,0)</f>
        <v/>
      </c>
      <c r="R1292" s="8">
        <f>IF(Q1292&lt;&gt;0,Q1292+H1292+L1292,0)</f>
        <v/>
      </c>
      <c r="S1292" s="9">
        <f>VLOOKUP(OPERAC[[#This Row],[especie]],[1]!ESPECIES[#Data],9,FALSE)</f>
        <v/>
      </c>
    </row>
    <row r="1293">
      <c r="A1293" s="4" t="n">
        <v>18663</v>
      </c>
      <c r="B1293" s="5" t="n">
        <v>44669</v>
      </c>
      <c r="C1293" s="13" t="inlineStr">
        <is>
          <t>VTA</t>
        </is>
      </c>
      <c r="D1293" s="13" t="n">
        <v>41</v>
      </c>
      <c r="E1293" s="10">
        <f>IF(D1293&gt;0,VLOOKUP(OPERAC[[#This Row],[COD CART]],[1]!MatrizCortoLargoCyl[#All],3,0),"")</f>
        <v/>
      </c>
      <c r="F1293" s="13" t="inlineStr">
        <is>
          <t>WBD</t>
        </is>
      </c>
      <c r="G1293" s="6" t="n">
        <v>14</v>
      </c>
      <c r="H1293" s="6">
        <f>-6.57*OPERAC[[#This Row],[cantidad]]</f>
        <v/>
      </c>
      <c r="I1293" s="7">
        <f>-H1293/G1293</f>
        <v/>
      </c>
      <c r="J1293" s="11" t="n"/>
      <c r="K1293" s="6" t="n"/>
      <c r="L1293" s="6" t="n"/>
      <c r="M1293" s="7">
        <f>IF(N1293=0,+L1293+H1293,0)</f>
        <v/>
      </c>
      <c r="N1293" s="7">
        <f>IF((+G1293-K1293)=0,0,+G1293-K1293)</f>
        <v/>
      </c>
      <c r="O1293" s="7">
        <f>IF(N1293=0,0,(L1293+H1293)/-N1293)</f>
        <v/>
      </c>
      <c r="P1293" s="7">
        <f>VLOOKUP(OPERAC[[#This Row],[especie]],[1]!ESPECIES[#All],6,0)</f>
        <v/>
      </c>
      <c r="Q1293" s="7">
        <f>IF(N1293&lt;&gt;0,P1293*N1293,0)</f>
        <v/>
      </c>
      <c r="R1293" s="8">
        <f>IF(Q1293&lt;&gt;0,Q1293+H1293+L1293,0)</f>
        <v/>
      </c>
      <c r="S1293" s="9">
        <f>VLOOKUP(OPERAC[[#This Row],[especie]],[1]!ESPECIES[#Data],9,FALSE)</f>
        <v/>
      </c>
    </row>
    <row r="1294">
      <c r="A1294" s="4" t="n">
        <v>3852</v>
      </c>
      <c r="B1294" s="5" t="n">
        <v>44662</v>
      </c>
      <c r="C1294" s="13" t="inlineStr">
        <is>
          <t>VTA</t>
        </is>
      </c>
      <c r="D1294" s="13" t="n">
        <v>42</v>
      </c>
      <c r="E1294" s="10">
        <f>IF(D1294&gt;0,VLOOKUP(OPERAC[[#This Row],[COD CART]],[1]!MatrizCortoLargoCyl[#All],3,0),"")</f>
        <v/>
      </c>
      <c r="F1294" s="13" t="inlineStr">
        <is>
          <t>HYDR</t>
        </is>
      </c>
      <c r="G1294" s="6" t="n">
        <v>5</v>
      </c>
      <c r="H1294" s="6" t="n">
        <v>-92.20709000000001</v>
      </c>
      <c r="I1294" s="7">
        <f>-H1294/G1294</f>
        <v/>
      </c>
      <c r="J1294" s="11" t="n"/>
      <c r="K1294" s="6" t="n"/>
      <c r="L1294" s="6" t="n"/>
      <c r="M1294" s="7">
        <f>IF(N1294=0,+L1294+H1294,0)</f>
        <v/>
      </c>
      <c r="N1294" s="7">
        <f>IF((+G1294-K1294)=0,0,+G1294-K1294)</f>
        <v/>
      </c>
      <c r="O1294" s="7">
        <f>IF(N1294=0,0,(L1294+H1294)/-N1294)</f>
        <v/>
      </c>
      <c r="P1294" s="7">
        <f>VLOOKUP(OPERAC[[#This Row],[especie]],[1]!ESPECIES[#All],6,0)</f>
        <v/>
      </c>
      <c r="Q1294" s="7">
        <f>IF(N1294&lt;&gt;0,P1294*N1294,0)</f>
        <v/>
      </c>
      <c r="R1294" s="8">
        <f>IF(Q1294&lt;&gt;0,Q1294+H1294+L1294,0)</f>
        <v/>
      </c>
      <c r="S1294" s="9">
        <f>VLOOKUP(OPERAC[[#This Row],[especie]],[1]!ESPECIES[#Data],9,FALSE)</f>
        <v/>
      </c>
    </row>
    <row r="1295">
      <c r="A1295" s="4" t="n">
        <v>18663</v>
      </c>
      <c r="B1295" s="5" t="n">
        <v>44078</v>
      </c>
      <c r="C1295" s="13" t="inlineStr">
        <is>
          <t>VTA</t>
        </is>
      </c>
      <c r="D1295" s="13" t="n">
        <v>41</v>
      </c>
      <c r="E1295" s="10">
        <f>IF(D1295&gt;0,VLOOKUP(OPERAC[[#This Row],[COD CART]],[1]!MatrizCortoLargoCyl[#All],3,0),"")</f>
        <v/>
      </c>
      <c r="F1295" s="13" t="inlineStr">
        <is>
          <t>ABBV</t>
        </is>
      </c>
      <c r="G1295" s="6" t="n">
        <v>1</v>
      </c>
      <c r="H1295" s="6" t="n">
        <v>-92.77911999999999</v>
      </c>
      <c r="I1295" s="7">
        <f>-H1295/G1295</f>
        <v/>
      </c>
      <c r="J1295" s="5" t="n"/>
      <c r="K1295" s="6" t="n"/>
      <c r="L1295" s="6" t="n"/>
      <c r="M1295" s="7">
        <f>IF(N1295=0,+L1295+H1295,0)</f>
        <v/>
      </c>
      <c r="N1295" s="7">
        <f>IF((+G1295-K1295)=0,0,+G1295-K1295)</f>
        <v/>
      </c>
      <c r="O1295" s="7">
        <f>IF(N1295=0,0,(L1295+H1295)/-N1295)</f>
        <v/>
      </c>
      <c r="P1295" s="7">
        <f>VLOOKUP(OPERAC[[#This Row],[especie]],[1]!ESPECIES[#All],6,0)</f>
        <v/>
      </c>
      <c r="Q1295" s="7">
        <f>IF(N1295&lt;&gt;0,P1295*N1295,0)</f>
        <v/>
      </c>
      <c r="R1295" s="8">
        <f>IF(Q1295&lt;&gt;0,Q1295+H1295+L1295,0)</f>
        <v/>
      </c>
      <c r="S1295" s="9">
        <f>VLOOKUP(OPERAC[[#This Row],[especie]],[1]!ESPECIES[#Data],9,FALSE)</f>
        <v/>
      </c>
    </row>
    <row r="1296">
      <c r="A1296" s="4" t="n">
        <v>1801</v>
      </c>
      <c r="B1296" s="5" t="n">
        <v>44662</v>
      </c>
      <c r="C1296" s="13" t="inlineStr">
        <is>
          <t>VTA</t>
        </is>
      </c>
      <c r="D1296" s="13" t="n">
        <v>42</v>
      </c>
      <c r="E1296" s="10">
        <f>IF(D1296&gt;0,VLOOKUP(OPERAC[[#This Row],[COD CART]],[1]!MatrizCortoLargoCyl[#All],3,0),"")</f>
        <v/>
      </c>
      <c r="F1296" s="13" t="inlineStr">
        <is>
          <t>HYDR</t>
        </is>
      </c>
      <c r="G1296" s="6" t="n">
        <v>5</v>
      </c>
      <c r="H1296" s="6" t="n">
        <v>-92.85172000000001</v>
      </c>
      <c r="I1296" s="7">
        <f>-H1296/G1296</f>
        <v/>
      </c>
      <c r="J1296" s="11" t="n">
        <v>44704</v>
      </c>
      <c r="K1296" s="6" t="n">
        <v>5</v>
      </c>
      <c r="L1296" s="6" t="n">
        <v>67.17400000000001</v>
      </c>
      <c r="M1296" s="7">
        <f>IF(N1296=0,+L1296+H1296,0)</f>
        <v/>
      </c>
      <c r="N1296" s="7">
        <f>IF((+G1296-K1296)=0,0,+G1296-K1296)</f>
        <v/>
      </c>
      <c r="O1296" s="7">
        <f>IF(N1296=0,0,(L1296+H1296)/-N1296)</f>
        <v/>
      </c>
      <c r="P1296" s="7">
        <f>VLOOKUP(OPERAC[[#This Row],[especie]],[1]!ESPECIES[#All],6,0)</f>
        <v/>
      </c>
      <c r="Q1296" s="7">
        <f>IF(N1296&lt;&gt;0,P1296*N1296,0)</f>
        <v/>
      </c>
      <c r="R1296" s="8">
        <f>IF(Q1296&lt;&gt;0,Q1296+H1296+L1296,0)</f>
        <v/>
      </c>
      <c r="S1296" s="9">
        <f>VLOOKUP(OPERAC[[#This Row],[especie]],[1]!ESPECIES[#Data],9,FALSE)</f>
        <v/>
      </c>
    </row>
    <row r="1297">
      <c r="A1297" s="4" t="n">
        <v>1816</v>
      </c>
      <c r="B1297" s="5" t="n">
        <v>44662</v>
      </c>
      <c r="C1297" s="13" t="inlineStr">
        <is>
          <t>VTA</t>
        </is>
      </c>
      <c r="D1297" s="13" t="n">
        <v>41</v>
      </c>
      <c r="E1297" s="10">
        <f>IF(D1297&gt;0,VLOOKUP(OPERAC[[#This Row],[COD CART]],[1]!MatrizCortoLargoCyl[#All],3,0),"")</f>
        <v/>
      </c>
      <c r="F1297" s="13" t="inlineStr">
        <is>
          <t>HYDR</t>
        </is>
      </c>
      <c r="G1297" s="6" t="n">
        <v>5</v>
      </c>
      <c r="H1297" s="6" t="n">
        <v>-92.85172000000001</v>
      </c>
      <c r="I1297" s="7">
        <f>-H1297/G1297</f>
        <v/>
      </c>
      <c r="J1297" s="11" t="n"/>
      <c r="K1297" s="6" t="n"/>
      <c r="L1297" s="6" t="n"/>
      <c r="M1297" s="7">
        <f>IF(N1297=0,+L1297+H1297,0)</f>
        <v/>
      </c>
      <c r="N1297" s="7">
        <f>IF((+G1297-K1297)=0,0,+G1297-K1297)</f>
        <v/>
      </c>
      <c r="O1297" s="7">
        <f>IF(N1297=0,0,(L1297+H1297)/-N1297)</f>
        <v/>
      </c>
      <c r="P1297" s="7">
        <f>VLOOKUP(OPERAC[[#This Row],[especie]],[1]!ESPECIES[#All],6,0)</f>
        <v/>
      </c>
      <c r="Q1297" s="7">
        <f>IF(N1297&lt;&gt;0,P1297*N1297,0)</f>
        <v/>
      </c>
      <c r="R1297" s="8">
        <f>IF(Q1297&lt;&gt;0,Q1297+H1297+L1297,0)</f>
        <v/>
      </c>
      <c r="S1297" s="9">
        <f>VLOOKUP(OPERAC[[#This Row],[especie]],[1]!ESPECIES[#Data],9,FALSE)</f>
        <v/>
      </c>
    </row>
    <row r="1298">
      <c r="A1298" s="4" t="n">
        <v>2244</v>
      </c>
      <c r="B1298" s="5" t="n">
        <v>44662</v>
      </c>
      <c r="C1298" s="13" t="inlineStr">
        <is>
          <t>VTA</t>
        </is>
      </c>
      <c r="D1298" s="13" t="n">
        <v>42</v>
      </c>
      <c r="E1298" s="10">
        <f>IF(D1298&gt;0,VLOOKUP(OPERAC[[#This Row],[COD CART]],[1]!MatrizCortoLargoCyl[#All],3,0),"")</f>
        <v/>
      </c>
      <c r="F1298" s="13" t="inlineStr">
        <is>
          <t>HYDR</t>
        </is>
      </c>
      <c r="G1298" s="6" t="n">
        <v>5</v>
      </c>
      <c r="H1298" s="6" t="n">
        <v>-92.85172000000001</v>
      </c>
      <c r="I1298" s="7">
        <f>-H1298/G1298</f>
        <v/>
      </c>
      <c r="J1298" s="11" t="n">
        <v>44693</v>
      </c>
      <c r="K1298" s="6">
        <f>+OPERAC[[#This Row],[cantidad]]</f>
        <v/>
      </c>
      <c r="L1298" s="6">
        <f>+OPERAC[[#This Row],[cantidad venta]]*11.63</f>
        <v/>
      </c>
      <c r="M1298" s="7">
        <f>IF(N1298=0,+L1298+H1298,0)</f>
        <v/>
      </c>
      <c r="N1298" s="7">
        <f>IF((+G1298-K1298)=0,0,+G1298-K1298)</f>
        <v/>
      </c>
      <c r="O1298" s="7">
        <f>IF(N1298=0,0,(L1298+H1298)/-N1298)</f>
        <v/>
      </c>
      <c r="P1298" s="7">
        <f>VLOOKUP(OPERAC[[#This Row],[especie]],[1]!ESPECIES[#All],6,0)</f>
        <v/>
      </c>
      <c r="Q1298" s="7">
        <f>IF(N1298&lt;&gt;0,P1298*N1298,0)</f>
        <v/>
      </c>
      <c r="R1298" s="8">
        <f>IF(Q1298&lt;&gt;0,Q1298+H1298+L1298,0)</f>
        <v/>
      </c>
      <c r="S1298" s="9">
        <f>VLOOKUP(OPERAC[[#This Row],[especie]],[1]!ESPECIES[#Data],9,FALSE)</f>
        <v/>
      </c>
    </row>
    <row r="1299">
      <c r="A1299" s="4" t="n">
        <v>3823</v>
      </c>
      <c r="B1299" s="5" t="n">
        <v>44662</v>
      </c>
      <c r="C1299" s="13" t="inlineStr">
        <is>
          <t>VTA</t>
        </is>
      </c>
      <c r="D1299" s="13" t="n">
        <v>42</v>
      </c>
      <c r="E1299" s="10">
        <f>IF(D1299&gt;0,VLOOKUP(OPERAC[[#This Row],[COD CART]],[1]!MatrizCortoLargoCyl[#All],3,0),"")</f>
        <v/>
      </c>
      <c r="F1299" s="13" t="inlineStr">
        <is>
          <t>HYDR</t>
        </is>
      </c>
      <c r="G1299" s="6" t="n">
        <v>5</v>
      </c>
      <c r="H1299" s="6" t="n">
        <v>-92.85172000000001</v>
      </c>
      <c r="I1299" s="7">
        <f>-H1299/G1299</f>
        <v/>
      </c>
      <c r="J1299" s="11" t="n">
        <v>44693</v>
      </c>
      <c r="K1299" s="6">
        <f>+OPERAC[[#This Row],[cantidad]]</f>
        <v/>
      </c>
      <c r="L1299" s="6">
        <f>+OPERAC[[#This Row],[cantidad venta]]*12.027</f>
        <v/>
      </c>
      <c r="M1299" s="7">
        <f>IF(N1299=0,+L1299+H1299,0)</f>
        <v/>
      </c>
      <c r="N1299" s="7">
        <f>IF((+G1299-K1299)=0,0,+G1299-K1299)</f>
        <v/>
      </c>
      <c r="O1299" s="7">
        <f>IF(N1299=0,0,(L1299+H1299)/-N1299)</f>
        <v/>
      </c>
      <c r="P1299" s="7">
        <f>VLOOKUP(OPERAC[[#This Row],[especie]],[1]!ESPECIES[#All],6,0)</f>
        <v/>
      </c>
      <c r="Q1299" s="7">
        <f>IF(N1299&lt;&gt;0,P1299*N1299,0)</f>
        <v/>
      </c>
      <c r="R1299" s="8">
        <f>IF(Q1299&lt;&gt;0,Q1299+H1299+L1299,0)</f>
        <v/>
      </c>
      <c r="S1299" s="9">
        <f>VLOOKUP(OPERAC[[#This Row],[especie]],[1]!ESPECIES[#Data],9,FALSE)</f>
        <v/>
      </c>
    </row>
    <row r="1300">
      <c r="A1300" s="4" t="n">
        <v>7925</v>
      </c>
      <c r="B1300" s="5" t="n">
        <v>44662</v>
      </c>
      <c r="C1300" s="13" t="inlineStr">
        <is>
          <t>VTA</t>
        </is>
      </c>
      <c r="D1300" s="13" t="n">
        <v>42</v>
      </c>
      <c r="E1300" s="10">
        <f>IF(D1300&gt;0,VLOOKUP(OPERAC[[#This Row],[COD CART]],[1]!MatrizCortoLargoCyl[#All],3,0),"")</f>
        <v/>
      </c>
      <c r="F1300" s="13" t="inlineStr">
        <is>
          <t>HYDR</t>
        </is>
      </c>
      <c r="G1300" s="6" t="n">
        <v>5</v>
      </c>
      <c r="H1300" s="6" t="n">
        <v>-92.85172000000001</v>
      </c>
      <c r="I1300" s="7">
        <f>-H1300/G1300</f>
        <v/>
      </c>
      <c r="J1300" s="11" t="n">
        <v>44690</v>
      </c>
      <c r="K1300" s="6" t="n">
        <v>5</v>
      </c>
      <c r="L1300" s="6" t="n">
        <v>65.935</v>
      </c>
      <c r="M1300" s="7">
        <f>IF(N1300=0,+L1300+H1300,0)</f>
        <v/>
      </c>
      <c r="N1300" s="7">
        <f>IF((+G1300-K1300)=0,0,+G1300-K1300)</f>
        <v/>
      </c>
      <c r="O1300" s="7">
        <f>IF(N1300=0,0,(L1300+H1300)/-N1300)</f>
        <v/>
      </c>
      <c r="P1300" s="7">
        <f>VLOOKUP(OPERAC[[#This Row],[especie]],[1]!ESPECIES[#All],6,0)</f>
        <v/>
      </c>
      <c r="Q1300" s="7">
        <f>IF(N1300&lt;&gt;0,P1300*N1300,0)</f>
        <v/>
      </c>
      <c r="R1300" s="8">
        <f>IF(Q1300&lt;&gt;0,Q1300+H1300+L1300,0)</f>
        <v/>
      </c>
      <c r="S1300" s="9">
        <f>VLOOKUP(OPERAC[[#This Row],[especie]],[1]!ESPECIES[#Data],9,FALSE)</f>
        <v/>
      </c>
    </row>
    <row r="1301">
      <c r="A1301" s="4" t="n">
        <v>11164</v>
      </c>
      <c r="B1301" s="5" t="n">
        <v>44662</v>
      </c>
      <c r="C1301" s="13" t="inlineStr">
        <is>
          <t>VTA</t>
        </is>
      </c>
      <c r="D1301" s="13" t="n">
        <v>42</v>
      </c>
      <c r="E1301" s="10">
        <f>IF(D1301&gt;0,VLOOKUP(OPERAC[[#This Row],[COD CART]],[1]!MatrizCortoLargoCyl[#All],3,0),"")</f>
        <v/>
      </c>
      <c r="F1301" s="13" t="inlineStr">
        <is>
          <t>HYDR</t>
        </is>
      </c>
      <c r="G1301" s="6" t="n">
        <v>5</v>
      </c>
      <c r="H1301" s="6" t="n">
        <v>-92.85172000000001</v>
      </c>
      <c r="I1301" s="7">
        <f>-H1301/G1301</f>
        <v/>
      </c>
      <c r="J1301" s="11" t="n">
        <v>44691</v>
      </c>
      <c r="K1301" s="6" t="n">
        <v>5</v>
      </c>
      <c r="L1301" s="6" t="n">
        <v>62.911</v>
      </c>
      <c r="M1301" s="7">
        <f>IF(N1301=0,+L1301+H1301,0)</f>
        <v/>
      </c>
      <c r="N1301" s="7">
        <f>IF((+G1301-K1301)=0,0,+G1301-K1301)</f>
        <v/>
      </c>
      <c r="O1301" s="7">
        <f>IF(N1301=0,0,(L1301+H1301)/-N1301)</f>
        <v/>
      </c>
      <c r="P1301" s="7">
        <f>VLOOKUP(OPERAC[[#This Row],[especie]],[1]!ESPECIES[#All],6,0)</f>
        <v/>
      </c>
      <c r="Q1301" s="7">
        <f>IF(N1301&lt;&gt;0,P1301*N1301,0)</f>
        <v/>
      </c>
      <c r="R1301" s="8">
        <f>IF(Q1301&lt;&gt;0,Q1301+H1301+L1301,0)</f>
        <v/>
      </c>
      <c r="S1301" s="9">
        <f>VLOOKUP(OPERAC[[#This Row],[especie]],[1]!ESPECIES[#Data],9,FALSE)</f>
        <v/>
      </c>
    </row>
    <row r="1302">
      <c r="A1302" s="4" t="n">
        <v>11170</v>
      </c>
      <c r="B1302" s="5" t="n">
        <v>44662</v>
      </c>
      <c r="C1302" s="13" t="inlineStr">
        <is>
          <t>VTA</t>
        </is>
      </c>
      <c r="D1302" s="13" t="n">
        <v>42</v>
      </c>
      <c r="E1302" s="10">
        <f>IF(D1302&gt;0,VLOOKUP(OPERAC[[#This Row],[COD CART]],[1]!MatrizCortoLargoCyl[#All],3,0),"")</f>
        <v/>
      </c>
      <c r="F1302" s="13" t="inlineStr">
        <is>
          <t>HYDR</t>
        </is>
      </c>
      <c r="G1302" s="6" t="n">
        <v>5</v>
      </c>
      <c r="H1302" s="6" t="n">
        <v>-92.85172000000001</v>
      </c>
      <c r="I1302" s="7">
        <f>-H1302/G1302</f>
        <v/>
      </c>
      <c r="J1302" s="11" t="n">
        <v>44691</v>
      </c>
      <c r="K1302" s="6" t="n">
        <v>5</v>
      </c>
      <c r="L1302" s="6" t="n">
        <v>62.96</v>
      </c>
      <c r="M1302" s="7">
        <f>IF(N1302=0,+L1302+H1302,0)</f>
        <v/>
      </c>
      <c r="N1302" s="7">
        <f>IF((+G1302-K1302)=0,0,+G1302-K1302)</f>
        <v/>
      </c>
      <c r="O1302" s="7">
        <f>IF(N1302=0,0,(L1302+H1302)/-N1302)</f>
        <v/>
      </c>
      <c r="P1302" s="7">
        <f>VLOOKUP(OPERAC[[#This Row],[especie]],[1]!ESPECIES[#All],6,0)</f>
        <v/>
      </c>
      <c r="Q1302" s="7">
        <f>IF(N1302&lt;&gt;0,P1302*N1302,0)</f>
        <v/>
      </c>
      <c r="R1302" s="8">
        <f>IF(Q1302&lt;&gt;0,Q1302+H1302+L1302,0)</f>
        <v/>
      </c>
      <c r="S1302" s="9">
        <f>VLOOKUP(OPERAC[[#This Row],[especie]],[1]!ESPECIES[#Data],9,FALSE)</f>
        <v/>
      </c>
    </row>
    <row r="1303">
      <c r="A1303" s="4" t="n">
        <v>12684</v>
      </c>
      <c r="B1303" s="5" t="n">
        <v>44662</v>
      </c>
      <c r="C1303" s="13" t="inlineStr">
        <is>
          <t>VTA</t>
        </is>
      </c>
      <c r="D1303" s="13" t="n">
        <v>42</v>
      </c>
      <c r="E1303" s="10">
        <f>IF(D1303&gt;0,VLOOKUP(OPERAC[[#This Row],[COD CART]],[1]!MatrizCortoLargoCyl[#All],3,0),"")</f>
        <v/>
      </c>
      <c r="F1303" s="13" t="inlineStr">
        <is>
          <t>HYDR</t>
        </is>
      </c>
      <c r="G1303" s="6" t="n">
        <v>5</v>
      </c>
      <c r="H1303" s="6" t="n">
        <v>-92.85172000000001</v>
      </c>
      <c r="I1303" s="7">
        <f>-H1303/G1303</f>
        <v/>
      </c>
      <c r="J1303" s="11" t="n">
        <v>44691</v>
      </c>
      <c r="K1303" s="6" t="n">
        <v>5</v>
      </c>
      <c r="L1303" s="6" t="n">
        <v>64.398</v>
      </c>
      <c r="M1303" s="7">
        <f>IF(N1303=0,+L1303+H1303,0)</f>
        <v/>
      </c>
      <c r="N1303" s="7">
        <f>IF((+G1303-K1303)=0,0,+G1303-K1303)</f>
        <v/>
      </c>
      <c r="O1303" s="7">
        <f>IF(N1303=0,0,(L1303+H1303)/-N1303)</f>
        <v/>
      </c>
      <c r="P1303" s="7">
        <f>VLOOKUP(OPERAC[[#This Row],[especie]],[1]!ESPECIES[#All],6,0)</f>
        <v/>
      </c>
      <c r="Q1303" s="7">
        <f>IF(N1303&lt;&gt;0,P1303*N1303,0)</f>
        <v/>
      </c>
      <c r="R1303" s="8">
        <f>IF(Q1303&lt;&gt;0,Q1303+H1303+L1303,0)</f>
        <v/>
      </c>
      <c r="S1303" s="9">
        <f>VLOOKUP(OPERAC[[#This Row],[especie]],[1]!ESPECIES[#Data],9,FALSE)</f>
        <v/>
      </c>
    </row>
    <row r="1304">
      <c r="A1304" s="4" t="n">
        <v>13204</v>
      </c>
      <c r="B1304" s="5" t="n">
        <v>44662</v>
      </c>
      <c r="C1304" s="13" t="inlineStr">
        <is>
          <t>VTA</t>
        </is>
      </c>
      <c r="D1304" s="13" t="n">
        <v>42</v>
      </c>
      <c r="E1304" s="10">
        <f>IF(D1304&gt;0,VLOOKUP(OPERAC[[#This Row],[COD CART]],[1]!MatrizCortoLargoCyl[#All],3,0),"")</f>
        <v/>
      </c>
      <c r="F1304" s="13" t="inlineStr">
        <is>
          <t>HYDR</t>
        </is>
      </c>
      <c r="G1304" s="6" t="n">
        <v>5</v>
      </c>
      <c r="H1304" s="6" t="n">
        <v>-92.85172000000001</v>
      </c>
      <c r="I1304" s="7">
        <f>-H1304/G1304</f>
        <v/>
      </c>
      <c r="J1304" s="11" t="n">
        <v>44693</v>
      </c>
      <c r="K1304" s="6">
        <f>+OPERAC[[#This Row],[cantidad]]</f>
        <v/>
      </c>
      <c r="L1304" s="6">
        <f>+OPERAC[[#This Row],[cantidad venta]]*12.027</f>
        <v/>
      </c>
      <c r="M1304" s="7">
        <f>IF(N1304=0,+L1304+H1304,0)</f>
        <v/>
      </c>
      <c r="N1304" s="7">
        <f>IF((+G1304-K1304)=0,0,+G1304-K1304)</f>
        <v/>
      </c>
      <c r="O1304" s="7">
        <f>IF(N1304=0,0,(L1304+H1304)/-N1304)</f>
        <v/>
      </c>
      <c r="P1304" s="7">
        <f>VLOOKUP(OPERAC[[#This Row],[especie]],[1]!ESPECIES[#All],6,0)</f>
        <v/>
      </c>
      <c r="Q1304" s="7">
        <f>IF(N1304&lt;&gt;0,P1304*N1304,0)</f>
        <v/>
      </c>
      <c r="R1304" s="8">
        <f>IF(Q1304&lt;&gt;0,Q1304+H1304+L1304,0)</f>
        <v/>
      </c>
      <c r="S1304" s="9">
        <f>VLOOKUP(OPERAC[[#This Row],[especie]],[1]!ESPECIES[#Data],9,FALSE)</f>
        <v/>
      </c>
    </row>
    <row r="1305">
      <c r="A1305" s="4" t="n">
        <v>13238</v>
      </c>
      <c r="B1305" s="5" t="n">
        <v>44662</v>
      </c>
      <c r="C1305" s="13" t="inlineStr">
        <is>
          <t>VTA</t>
        </is>
      </c>
      <c r="D1305" s="13" t="n">
        <v>42</v>
      </c>
      <c r="E1305" s="10">
        <f>IF(D1305&gt;0,VLOOKUP(OPERAC[[#This Row],[COD CART]],[1]!MatrizCortoLargoCyl[#All],3,0),"")</f>
        <v/>
      </c>
      <c r="F1305" s="13" t="inlineStr">
        <is>
          <t>HYDR</t>
        </is>
      </c>
      <c r="G1305" s="6" t="n">
        <v>5</v>
      </c>
      <c r="H1305" s="6" t="n">
        <v>-92.85172000000001</v>
      </c>
      <c r="I1305" s="7">
        <f>-H1305/G1305</f>
        <v/>
      </c>
      <c r="J1305" s="11" t="n">
        <v>44693</v>
      </c>
      <c r="K1305" s="6">
        <f>+OPERAC[[#This Row],[cantidad]]</f>
        <v/>
      </c>
      <c r="L1305" s="6">
        <f>+OPERAC[[#This Row],[cantidad venta]]*12.027</f>
        <v/>
      </c>
      <c r="M1305" s="7">
        <f>IF(N1305=0,+L1305+H1305,0)</f>
        <v/>
      </c>
      <c r="N1305" s="7">
        <f>IF((+G1305-K1305)=0,0,+G1305-K1305)</f>
        <v/>
      </c>
      <c r="O1305" s="7">
        <f>IF(N1305=0,0,(L1305+H1305)/-N1305)</f>
        <v/>
      </c>
      <c r="P1305" s="7">
        <f>VLOOKUP(OPERAC[[#This Row],[especie]],[1]!ESPECIES[#All],6,0)</f>
        <v/>
      </c>
      <c r="Q1305" s="7">
        <f>IF(N1305&lt;&gt;0,P1305*N1305,0)</f>
        <v/>
      </c>
      <c r="R1305" s="8">
        <f>IF(Q1305&lt;&gt;0,Q1305+H1305+L1305,0)</f>
        <v/>
      </c>
      <c r="S1305" s="9">
        <f>VLOOKUP(OPERAC[[#This Row],[especie]],[1]!ESPECIES[#Data],9,FALSE)</f>
        <v/>
      </c>
    </row>
    <row r="1306">
      <c r="A1306" s="4" t="n">
        <v>13268</v>
      </c>
      <c r="B1306" s="5" t="n">
        <v>44662</v>
      </c>
      <c r="C1306" s="13" t="inlineStr">
        <is>
          <t>VTA</t>
        </is>
      </c>
      <c r="D1306" s="13" t="n">
        <v>42</v>
      </c>
      <c r="E1306" s="10">
        <f>IF(D1306&gt;0,VLOOKUP(OPERAC[[#This Row],[COD CART]],[1]!MatrizCortoLargoCyl[#All],3,0),"")</f>
        <v/>
      </c>
      <c r="F1306" s="13" t="inlineStr">
        <is>
          <t>HYDR</t>
        </is>
      </c>
      <c r="G1306" s="6" t="n">
        <v>5</v>
      </c>
      <c r="H1306" s="6" t="n">
        <v>-92.85172000000001</v>
      </c>
      <c r="I1306" s="7">
        <f>-H1306/G1306</f>
        <v/>
      </c>
      <c r="J1306" s="11" t="n">
        <v>44693</v>
      </c>
      <c r="K1306" s="6">
        <f>+OPERAC[[#This Row],[cantidad]]</f>
        <v/>
      </c>
      <c r="L1306" s="6">
        <f>+OPERAC[[#This Row],[cantidad venta]]*12.027</f>
        <v/>
      </c>
      <c r="M1306" s="7">
        <f>IF(N1306=0,+L1306+H1306,0)</f>
        <v/>
      </c>
      <c r="N1306" s="7">
        <f>IF((+G1306-K1306)=0,0,+G1306-K1306)</f>
        <v/>
      </c>
      <c r="O1306" s="7">
        <f>IF(N1306=0,0,(L1306+H1306)/-N1306)</f>
        <v/>
      </c>
      <c r="P1306" s="7">
        <f>VLOOKUP(OPERAC[[#This Row],[especie]],[1]!ESPECIES[#All],6,0)</f>
        <v/>
      </c>
      <c r="Q1306" s="7">
        <f>IF(N1306&lt;&gt;0,P1306*N1306,0)</f>
        <v/>
      </c>
      <c r="R1306" s="8">
        <f>IF(Q1306&lt;&gt;0,Q1306+H1306+L1306,0)</f>
        <v/>
      </c>
      <c r="S1306" s="9">
        <f>VLOOKUP(OPERAC[[#This Row],[especie]],[1]!ESPECIES[#Data],9,FALSE)</f>
        <v/>
      </c>
    </row>
    <row r="1307">
      <c r="A1307" s="4" t="n">
        <v>17042</v>
      </c>
      <c r="B1307" s="5" t="n">
        <v>44662</v>
      </c>
      <c r="C1307" s="13" t="inlineStr">
        <is>
          <t>VTA</t>
        </is>
      </c>
      <c r="D1307" s="13" t="n">
        <v>42</v>
      </c>
      <c r="E1307" s="10">
        <f>IF(D1307&gt;0,VLOOKUP(OPERAC[[#This Row],[COD CART]],[1]!MatrizCortoLargoCyl[#All],3,0),"")</f>
        <v/>
      </c>
      <c r="F1307" s="13" t="inlineStr">
        <is>
          <t>HYDR</t>
        </is>
      </c>
      <c r="G1307" s="6" t="n">
        <v>5</v>
      </c>
      <c r="H1307" s="6" t="n">
        <v>-92.85172000000001</v>
      </c>
      <c r="I1307" s="7">
        <f>-H1307/G1307</f>
        <v/>
      </c>
      <c r="J1307" s="11" t="n">
        <v>44691</v>
      </c>
      <c r="K1307" s="6" t="n">
        <v>5</v>
      </c>
      <c r="L1307" s="6" t="n">
        <v>64.44799999999999</v>
      </c>
      <c r="M1307" s="7">
        <f>IF(N1307=0,+L1307+H1307,0)</f>
        <v/>
      </c>
      <c r="N1307" s="7">
        <f>IF((+G1307-K1307)=0,0,+G1307-K1307)</f>
        <v/>
      </c>
      <c r="O1307" s="7">
        <f>IF(N1307=0,0,(L1307+H1307)/-N1307)</f>
        <v/>
      </c>
      <c r="P1307" s="7">
        <f>VLOOKUP(OPERAC[[#This Row],[especie]],[1]!ESPECIES[#All],6,0)</f>
        <v/>
      </c>
      <c r="Q1307" s="7">
        <f>IF(N1307&lt;&gt;0,P1307*N1307,0)</f>
        <v/>
      </c>
      <c r="R1307" s="8">
        <f>IF(Q1307&lt;&gt;0,Q1307+H1307+L1307,0)</f>
        <v/>
      </c>
      <c r="S1307" s="9">
        <f>VLOOKUP(OPERAC[[#This Row],[especie]],[1]!ESPECIES[#Data],9,FALSE)</f>
        <v/>
      </c>
    </row>
    <row r="1308">
      <c r="A1308" s="4" t="n">
        <v>19897</v>
      </c>
      <c r="B1308" s="5" t="n">
        <v>44662</v>
      </c>
      <c r="C1308" s="13" t="inlineStr">
        <is>
          <t>VTA</t>
        </is>
      </c>
      <c r="D1308" s="13" t="n">
        <v>42</v>
      </c>
      <c r="E1308" s="10">
        <f>IF(D1308&gt;0,VLOOKUP(OPERAC[[#This Row],[COD CART]],[1]!MatrizCortoLargoCyl[#All],3,0),"")</f>
        <v/>
      </c>
      <c r="F1308" s="13" t="inlineStr">
        <is>
          <t>HYDR</t>
        </is>
      </c>
      <c r="G1308" s="6" t="n">
        <v>5</v>
      </c>
      <c r="H1308" s="6" t="n">
        <v>-92.85172000000001</v>
      </c>
      <c r="I1308" s="7">
        <f>-H1308/G1308</f>
        <v/>
      </c>
      <c r="J1308" s="11" t="n">
        <v>44693</v>
      </c>
      <c r="K1308" s="6">
        <f>+OPERAC[[#This Row],[cantidad]]</f>
        <v/>
      </c>
      <c r="L1308" s="6">
        <f>+OPERAC[[#This Row],[cantidad venta]]*11.986</f>
        <v/>
      </c>
      <c r="M1308" s="7">
        <f>IF(N1308=0,+L1308+H1308,0)</f>
        <v/>
      </c>
      <c r="N1308" s="7">
        <f>IF((+G1308-K1308)=0,0,+G1308-K1308)</f>
        <v/>
      </c>
      <c r="O1308" s="7">
        <f>IF(N1308=0,0,(L1308+H1308)/-N1308)</f>
        <v/>
      </c>
      <c r="P1308" s="7">
        <f>VLOOKUP(OPERAC[[#This Row],[especie]],[1]!ESPECIES[#All],6,0)</f>
        <v/>
      </c>
      <c r="Q1308" s="7">
        <f>IF(N1308&lt;&gt;0,P1308*N1308,0)</f>
        <v/>
      </c>
      <c r="R1308" s="8">
        <f>IF(Q1308&lt;&gt;0,Q1308+H1308+L1308,0)</f>
        <v/>
      </c>
      <c r="S1308" s="9">
        <f>VLOOKUP(OPERAC[[#This Row],[especie]],[1]!ESPECIES[#Data],9,FALSE)</f>
        <v/>
      </c>
    </row>
    <row r="1309">
      <c r="A1309" s="4" t="n">
        <v>19931</v>
      </c>
      <c r="B1309" s="5" t="n">
        <v>44662</v>
      </c>
      <c r="C1309" s="13" t="inlineStr">
        <is>
          <t>VTA</t>
        </is>
      </c>
      <c r="D1309" s="13" t="n">
        <v>42</v>
      </c>
      <c r="E1309" s="10">
        <f>IF(D1309&gt;0,VLOOKUP(OPERAC[[#This Row],[COD CART]],[1]!MatrizCortoLargoCyl[#All],3,0),"")</f>
        <v/>
      </c>
      <c r="F1309" s="13" t="inlineStr">
        <is>
          <t>HYDR</t>
        </is>
      </c>
      <c r="G1309" s="6" t="n">
        <v>5</v>
      </c>
      <c r="H1309" s="6" t="n">
        <v>-92.85172000000001</v>
      </c>
      <c r="I1309" s="7">
        <f>-H1309/G1309</f>
        <v/>
      </c>
      <c r="J1309" s="11" t="n">
        <v>44691</v>
      </c>
      <c r="K1309" s="6" t="n">
        <v>5</v>
      </c>
      <c r="L1309" s="6" t="n">
        <v>63.803</v>
      </c>
      <c r="M1309" s="7">
        <f>IF(N1309=0,+L1309+H1309,0)</f>
        <v/>
      </c>
      <c r="N1309" s="7">
        <f>IF((+G1309-K1309)=0,0,+G1309-K1309)</f>
        <v/>
      </c>
      <c r="O1309" s="7">
        <f>IF(N1309=0,0,(L1309+H1309)/-N1309)</f>
        <v/>
      </c>
      <c r="P1309" s="7">
        <f>VLOOKUP(OPERAC[[#This Row],[especie]],[1]!ESPECIES[#All],6,0)</f>
        <v/>
      </c>
      <c r="Q1309" s="7">
        <f>IF(N1309&lt;&gt;0,P1309*N1309,0)</f>
        <v/>
      </c>
      <c r="R1309" s="8">
        <f>IF(Q1309&lt;&gt;0,Q1309+H1309+L1309,0)</f>
        <v/>
      </c>
      <c r="S1309" s="9">
        <f>VLOOKUP(OPERAC[[#This Row],[especie]],[1]!ESPECIES[#Data],9,FALSE)</f>
        <v/>
      </c>
    </row>
    <row r="1310">
      <c r="A1310" s="4" t="n">
        <v>3818</v>
      </c>
      <c r="B1310" s="5" t="n">
        <v>44489</v>
      </c>
      <c r="C1310" s="13" t="inlineStr">
        <is>
          <t>VTA</t>
        </is>
      </c>
      <c r="D1310" s="13" t="n">
        <v>43</v>
      </c>
      <c r="E1310" s="10">
        <f>IF(D1310&gt;0,VLOOKUP(OPERAC[[#This Row],[COD CART]],[1]!MatrizCortoLargoCyl[#All],3,0),"")</f>
        <v/>
      </c>
      <c r="F1310" s="13" t="inlineStr">
        <is>
          <t>SESN/CYL-PUT/1,00/19-01-24</t>
        </is>
      </c>
      <c r="G1310" s="6" t="n">
        <v>500</v>
      </c>
      <c r="H1310" s="6">
        <f>-0.1885*OPERAC[[#This Row],[cantidad]]</f>
        <v/>
      </c>
      <c r="I1310" s="7">
        <f>-H1310/G1310</f>
        <v/>
      </c>
      <c r="J1310" s="11" t="n">
        <v>44582</v>
      </c>
      <c r="K1310" s="6" t="n">
        <v>500</v>
      </c>
      <c r="L1310" s="6" t="n">
        <v>-205.85</v>
      </c>
      <c r="M1310" s="7">
        <f>IF(N1310=0,+L1310+H1310,0)</f>
        <v/>
      </c>
      <c r="N1310" s="7">
        <f>IF((+G1310-K1310)=0,0,+G1310-K1310)</f>
        <v/>
      </c>
      <c r="O1310" s="7">
        <f>IF(N1310=0,0,(L1310+H1310)/-N1310)</f>
        <v/>
      </c>
      <c r="P1310" s="7">
        <f>VLOOKUP(OPERAC[[#This Row],[especie]],[1]!ESPECIES[#All],6,0)</f>
        <v/>
      </c>
      <c r="Q1310" s="7">
        <f>IF(N1310&lt;&gt;0,P1310*N1310,0)</f>
        <v/>
      </c>
      <c r="R1310" s="8">
        <f>IF(Q1310&lt;&gt;0,Q1310+H1310+L1310,0)</f>
        <v/>
      </c>
      <c r="S1310" s="9">
        <f>VLOOKUP(OPERAC[[#This Row],[especie]],[1]!ESPECIES[#Data],9,FALSE)</f>
        <v/>
      </c>
    </row>
    <row r="1311">
      <c r="A1311" s="4" t="n">
        <v>12672</v>
      </c>
      <c r="B1311" s="5" t="n">
        <v>44489</v>
      </c>
      <c r="C1311" s="13" t="inlineStr">
        <is>
          <t>VTA</t>
        </is>
      </c>
      <c r="D1311" s="13" t="n">
        <v>43</v>
      </c>
      <c r="E1311" s="10">
        <f>IF(D1311&gt;0,VLOOKUP(OPERAC[[#This Row],[COD CART]],[1]!MatrizCortoLargoCyl[#All],3,0),"")</f>
        <v/>
      </c>
      <c r="F1311" s="13" t="inlineStr">
        <is>
          <t>SESN/CYL-PUT/1,00/19-01-24</t>
        </is>
      </c>
      <c r="G1311" s="6" t="n">
        <v>500</v>
      </c>
      <c r="H1311" s="6">
        <f>-0.1885*OPERAC[[#This Row],[cantidad]]</f>
        <v/>
      </c>
      <c r="I1311" s="7">
        <f>-H1311/G1311</f>
        <v/>
      </c>
      <c r="J1311" s="11" t="n"/>
      <c r="K1311" s="6" t="n"/>
      <c r="L1311" s="6" t="n"/>
      <c r="M1311" s="7">
        <f>IF(N1311=0,+L1311+H1311,0)</f>
        <v/>
      </c>
      <c r="N1311" s="7">
        <f>IF((+G1311-K1311)=0,0,+G1311-K1311)</f>
        <v/>
      </c>
      <c r="O1311" s="7">
        <f>IF(N1311=0,0,(L1311+H1311)/-N1311)</f>
        <v/>
      </c>
      <c r="P1311" s="7">
        <f>VLOOKUP(OPERAC[[#This Row],[especie]],[1]!ESPECIES[#All],6,0)</f>
        <v/>
      </c>
      <c r="Q1311" s="7">
        <f>IF(N1311&lt;&gt;0,P1311*N1311,0)</f>
        <v/>
      </c>
      <c r="R1311" s="8">
        <f>IF(Q1311&lt;&gt;0,Q1311+H1311+L1311,0)</f>
        <v/>
      </c>
      <c r="S1311" s="9">
        <f>VLOOKUP(OPERAC[[#This Row],[especie]],[1]!ESPECIES[#Data],9,FALSE)</f>
        <v/>
      </c>
    </row>
    <row r="1312">
      <c r="A1312" s="4" t="n">
        <v>16829</v>
      </c>
      <c r="B1312" s="5" t="n">
        <v>44489</v>
      </c>
      <c r="C1312" s="13" t="inlineStr">
        <is>
          <t>VTA</t>
        </is>
      </c>
      <c r="D1312" s="13" t="n">
        <v>43</v>
      </c>
      <c r="E1312" s="10">
        <f>IF(D1312&gt;0,VLOOKUP(OPERAC[[#This Row],[COD CART]],[1]!MatrizCortoLargoCyl[#All],3,0),"")</f>
        <v/>
      </c>
      <c r="F1312" s="13" t="inlineStr">
        <is>
          <t>SESN/CYL-PUT/1,00/19-01-24</t>
        </is>
      </c>
      <c r="G1312" s="6" t="n">
        <v>500</v>
      </c>
      <c r="H1312" s="6">
        <f>-0.1885*OPERAC[[#This Row],[cantidad]]</f>
        <v/>
      </c>
      <c r="I1312" s="7">
        <f>-H1312/G1312</f>
        <v/>
      </c>
      <c r="J1312" s="11" t="n">
        <v>44614</v>
      </c>
      <c r="K1312" s="6" t="n">
        <v>500</v>
      </c>
      <c r="L1312" s="6" t="n">
        <v>134.99</v>
      </c>
      <c r="M1312" s="7">
        <f>IF(N1312=0,+L1312+H1312,0)</f>
        <v/>
      </c>
      <c r="N1312" s="7">
        <f>IF((+G1312-K1312)=0,0,+G1312-K1312)</f>
        <v/>
      </c>
      <c r="O1312" s="7">
        <f>IF(N1312=0,0,(L1312+H1312)/-N1312)</f>
        <v/>
      </c>
      <c r="P1312" s="7">
        <f>VLOOKUP(OPERAC[[#This Row],[especie]],[1]!ESPECIES[#All],6,0)</f>
        <v/>
      </c>
      <c r="Q1312" s="7">
        <f>IF(N1312&lt;&gt;0,P1312*N1312,0)</f>
        <v/>
      </c>
      <c r="R1312" s="8">
        <f>IF(Q1312&lt;&gt;0,Q1312+H1312+L1312,0)</f>
        <v/>
      </c>
      <c r="S1312" s="9">
        <f>VLOOKUP(OPERAC[[#This Row],[especie]],[1]!ESPECIES[#Data],9,FALSE)</f>
        <v/>
      </c>
    </row>
    <row r="1313">
      <c r="A1313" s="4" t="n">
        <v>22433</v>
      </c>
      <c r="B1313" s="5" t="n">
        <v>44538</v>
      </c>
      <c r="C1313" s="13" t="inlineStr">
        <is>
          <t>VTA</t>
        </is>
      </c>
      <c r="D1313" s="13" t="n">
        <v>43</v>
      </c>
      <c r="E1313" s="10">
        <f>IF(D1313&gt;0,VLOOKUP(OPERAC[[#This Row],[COD CART]],[1]!MatrizCortoLargoCyl[#All],3,0),"")</f>
        <v/>
      </c>
      <c r="F1313" s="13" t="inlineStr">
        <is>
          <t>HEXO/CYL-PUT/1,00/20-01-23</t>
        </is>
      </c>
      <c r="G1313" s="6" t="n">
        <v>500</v>
      </c>
      <c r="H1313" s="6">
        <f>-0.1886*OPERAC[[#This Row],[cantidad]]</f>
        <v/>
      </c>
      <c r="I1313" s="7">
        <f>-H1313/G1313</f>
        <v/>
      </c>
      <c r="J1313" s="11" t="n">
        <v>44693</v>
      </c>
      <c r="K1313" s="6" t="n">
        <v>500</v>
      </c>
      <c r="L1313" s="6" t="n">
        <v>-329.76</v>
      </c>
      <c r="M1313" s="7">
        <f>IF(N1313=0,+L1313+H1313,0)</f>
        <v/>
      </c>
      <c r="N1313" s="7">
        <f>IF((+G1313-K1313)=0,0,+G1313-K1313)</f>
        <v/>
      </c>
      <c r="O1313" s="7">
        <f>IF(N1313=0,0,(L1313+H1313)/-N1313)</f>
        <v/>
      </c>
      <c r="P1313" s="7">
        <f>VLOOKUP(OPERAC[[#This Row],[especie]],[1]!ESPECIES[#All],6,0)</f>
        <v/>
      </c>
      <c r="Q1313" s="7">
        <f>IF(N1313&lt;&gt;0,P1313*N1313,0)</f>
        <v/>
      </c>
      <c r="R1313" s="8">
        <f>IF(Q1313&lt;&gt;0,Q1313+H1313+L1313,0)</f>
        <v/>
      </c>
      <c r="S1313" s="9">
        <f>VLOOKUP(OPERAC[[#This Row],[especie]],[1]!ESPECIES[#Data],9,FALSE)</f>
        <v/>
      </c>
    </row>
    <row r="1314">
      <c r="A1314" s="4" t="n">
        <v>22399</v>
      </c>
      <c r="B1314" s="5" t="n">
        <v>44489</v>
      </c>
      <c r="C1314" s="13" t="inlineStr">
        <is>
          <t>VTA</t>
        </is>
      </c>
      <c r="D1314" s="13" t="n">
        <v>43</v>
      </c>
      <c r="E1314" s="10">
        <f>IF(D1314&gt;0,VLOOKUP(OPERAC[[#This Row],[COD CART]],[1]!MatrizCortoLargoCyl[#All],3,0),"")</f>
        <v/>
      </c>
      <c r="F1314" s="13" t="inlineStr">
        <is>
          <t>SESN/CYL-PUT/1,00/19-01-24</t>
        </is>
      </c>
      <c r="G1314" s="6" t="n">
        <v>500</v>
      </c>
      <c r="H1314" s="6">
        <f>-0.19*OPERAC[[#This Row],[cantidad]]</f>
        <v/>
      </c>
      <c r="I1314" s="7">
        <f>-H1314/G1314</f>
        <v/>
      </c>
      <c r="J1314" s="11" t="n"/>
      <c r="K1314" s="6" t="n"/>
      <c r="L1314" s="6" t="n"/>
      <c r="M1314" s="7">
        <f>IF(N1314=0,+L1314+H1314,0)</f>
        <v/>
      </c>
      <c r="N1314" s="7">
        <f>IF((+G1314-K1314)=0,0,+G1314-K1314)</f>
        <v/>
      </c>
      <c r="O1314" s="7">
        <f>IF(N1314=0,0,(L1314+H1314)/-N1314)</f>
        <v/>
      </c>
      <c r="P1314" s="7">
        <f>VLOOKUP(OPERAC[[#This Row],[especie]],[1]!ESPECIES[#All],6,0)</f>
        <v/>
      </c>
      <c r="Q1314" s="7">
        <f>IF(N1314&lt;&gt;0,P1314*N1314,0)</f>
        <v/>
      </c>
      <c r="R1314" s="8">
        <f>IF(Q1314&lt;&gt;0,Q1314+H1314+L1314,0)</f>
        <v/>
      </c>
      <c r="S1314" s="9">
        <f>VLOOKUP(OPERAC[[#This Row],[especie]],[1]!ESPECIES[#Data],9,FALSE)</f>
        <v/>
      </c>
    </row>
    <row r="1315">
      <c r="A1315" s="4" t="n">
        <v>1817</v>
      </c>
      <c r="B1315" s="5" t="n">
        <v>44657</v>
      </c>
      <c r="C1315" s="13" t="inlineStr">
        <is>
          <t>VTA</t>
        </is>
      </c>
      <c r="D1315" s="13" t="n">
        <v>41</v>
      </c>
      <c r="E1315" s="10">
        <f>IF(D1315&gt;0,VLOOKUP(OPERAC[[#This Row],[COD CART]],[1]!MatrizCortoLargoCyl[#All],3,0),"")</f>
        <v/>
      </c>
      <c r="F1315" s="13" t="inlineStr">
        <is>
          <t>HYDR</t>
        </is>
      </c>
      <c r="G1315" s="6" t="n">
        <v>5</v>
      </c>
      <c r="H1315" s="6" t="n">
        <v>-95.98099999999999</v>
      </c>
      <c r="I1315" s="7">
        <f>-H1315/G1315</f>
        <v/>
      </c>
      <c r="J1315" s="11" t="n"/>
      <c r="K1315" s="6" t="n"/>
      <c r="L1315" s="6" t="n"/>
      <c r="M1315" s="7">
        <f>IF(N1315=0,+L1315+H1315,0)</f>
        <v/>
      </c>
      <c r="N1315" s="7">
        <f>IF((+G1315-K1315)=0,0,+G1315-K1315)</f>
        <v/>
      </c>
      <c r="O1315" s="7">
        <f>IF(N1315=0,0,(L1315+H1315)/-N1315)</f>
        <v/>
      </c>
      <c r="P1315" s="7">
        <f>VLOOKUP(OPERAC[[#This Row],[especie]],[1]!ESPECIES[#All],6,0)</f>
        <v/>
      </c>
      <c r="Q1315" s="7">
        <f>IF(N1315&lt;&gt;0,P1315*N1315,0)</f>
        <v/>
      </c>
      <c r="R1315" s="8">
        <f>IF(Q1315&lt;&gt;0,Q1315+H1315+L1315,0)</f>
        <v/>
      </c>
      <c r="S1315" s="9">
        <f>VLOOKUP(OPERAC[[#This Row],[especie]],[1]!ESPECIES[#Data],9,FALSE)</f>
        <v/>
      </c>
    </row>
    <row r="1316">
      <c r="A1316" s="4" t="n">
        <v>2305</v>
      </c>
      <c r="B1316" s="5" t="n">
        <v>44657</v>
      </c>
      <c r="C1316" s="13" t="inlineStr">
        <is>
          <t>VTA</t>
        </is>
      </c>
      <c r="D1316" s="13" t="n">
        <v>41</v>
      </c>
      <c r="E1316" s="10">
        <f>IF(D1316&gt;0,VLOOKUP(OPERAC[[#This Row],[COD CART]],[1]!MatrizCortoLargoCyl[#All],3,0),"")</f>
        <v/>
      </c>
      <c r="F1316" s="13" t="inlineStr">
        <is>
          <t>PAM</t>
        </is>
      </c>
      <c r="G1316" s="6" t="n">
        <v>4</v>
      </c>
      <c r="H1316" s="6" t="n">
        <v>-96.0012</v>
      </c>
      <c r="I1316" s="7">
        <f>-H1316/G1316</f>
        <v/>
      </c>
      <c r="J1316" s="11" t="n"/>
      <c r="K1316" s="6" t="n"/>
      <c r="L1316" s="6" t="n"/>
      <c r="M1316" s="7">
        <f>IF(N1316=0,+L1316+H1316,0)</f>
        <v/>
      </c>
      <c r="N1316" s="7">
        <f>IF((+G1316-K1316)=0,0,+G1316-K1316)</f>
        <v/>
      </c>
      <c r="O1316" s="7">
        <f>IF(N1316=0,0,(L1316+H1316)/-N1316)</f>
        <v/>
      </c>
      <c r="P1316" s="7">
        <f>VLOOKUP(OPERAC[[#This Row],[especie]],[1]!ESPECIES[#All],6,0)</f>
        <v/>
      </c>
      <c r="Q1316" s="7">
        <f>IF(N1316&lt;&gt;0,P1316*N1316,0)</f>
        <v/>
      </c>
      <c r="R1316" s="8">
        <f>IF(Q1316&lt;&gt;0,Q1316+H1316+L1316,0)</f>
        <v/>
      </c>
      <c r="S1316" s="9">
        <f>VLOOKUP(OPERAC[[#This Row],[especie]],[1]!ESPECIES[#Data],9,FALSE)</f>
        <v/>
      </c>
    </row>
    <row r="1317">
      <c r="A1317" s="4" t="n">
        <v>1807</v>
      </c>
      <c r="B1317" s="5" t="n">
        <v>44642</v>
      </c>
      <c r="C1317" s="13" t="inlineStr">
        <is>
          <t>VTA</t>
        </is>
      </c>
      <c r="D1317" s="13" t="n">
        <v>42</v>
      </c>
      <c r="E1317" s="10">
        <f>IF(D1317&gt;0,VLOOKUP(OPERAC[[#This Row],[COD CART]],[1]!MatrizCortoLargoCyl[#All],3,0),"")</f>
        <v/>
      </c>
      <c r="F1317" s="13" t="inlineStr">
        <is>
          <t>HYDR</t>
        </is>
      </c>
      <c r="G1317" s="6" t="n">
        <v>5</v>
      </c>
      <c r="H1317" s="6">
        <f>-19.39*OPERAC[[#This Row],[cantidad]]</f>
        <v/>
      </c>
      <c r="I1317" s="7">
        <f>-H1317/G1317</f>
        <v/>
      </c>
      <c r="J1317" s="11" t="n">
        <v>44693</v>
      </c>
      <c r="K1317" s="6">
        <f>+OPERAC[[#This Row],[cantidad]]</f>
        <v/>
      </c>
      <c r="L1317" s="6">
        <f>+OPERAC[[#This Row],[cantidad venta]]*11.63</f>
        <v/>
      </c>
      <c r="M1317" s="7">
        <f>IF(N1317=0,+L1317+H1317,0)</f>
        <v/>
      </c>
      <c r="N1317" s="7">
        <f>IF((+G1317-K1317)=0,0,+G1317-K1317)</f>
        <v/>
      </c>
      <c r="O1317" s="7">
        <f>IF(N1317=0,0,(L1317+H1317)/-N1317)</f>
        <v/>
      </c>
      <c r="P1317" s="7">
        <f>VLOOKUP(OPERAC[[#This Row],[especie]],[1]!ESPECIES[#All],6,0)</f>
        <v/>
      </c>
      <c r="Q1317" s="7">
        <f>IF(N1317&lt;&gt;0,P1317*N1317,0)</f>
        <v/>
      </c>
      <c r="R1317" s="8">
        <f>IF(Q1317&lt;&gt;0,Q1317+H1317+L1317,0)</f>
        <v/>
      </c>
      <c r="S1317" s="9">
        <f>VLOOKUP(OPERAC[[#This Row],[especie]],[1]!ESPECIES[#Data],9,FALSE)</f>
        <v/>
      </c>
    </row>
    <row r="1318">
      <c r="A1318" s="4" t="n">
        <v>7919</v>
      </c>
      <c r="B1318" s="5" t="n">
        <v>44319</v>
      </c>
      <c r="C1318" s="13" t="inlineStr">
        <is>
          <t>VTA</t>
        </is>
      </c>
      <c r="D1318" s="13" t="n">
        <v>41</v>
      </c>
      <c r="E1318" s="10">
        <f>IF(D1318&gt;0,VLOOKUP(OPERAC[[#This Row],[COD CART]],[1]!MatrizCortoLargoCyl[#All],3,0),"")</f>
        <v/>
      </c>
      <c r="F1318" s="13" t="inlineStr">
        <is>
          <t>GBTC</t>
        </is>
      </c>
      <c r="G1318" s="6" t="n">
        <v>2</v>
      </c>
      <c r="H1318" s="6" t="n">
        <v>-97.06272</v>
      </c>
      <c r="I1318" s="7">
        <f>-H1318/G1318</f>
        <v/>
      </c>
      <c r="J1318" s="11" t="n"/>
      <c r="K1318" s="6" t="n"/>
      <c r="L1318" s="6" t="n"/>
      <c r="M1318" s="7">
        <f>IF(N1318=0,+L1318+H1318,0)</f>
        <v/>
      </c>
      <c r="N1318" s="7">
        <f>IF((+G1318-K1318)=0,0,+G1318-K1318)</f>
        <v/>
      </c>
      <c r="O1318" s="7">
        <f>IF(N1318=0,0,(L1318+H1318)/-N1318)</f>
        <v/>
      </c>
      <c r="P1318" s="7">
        <f>VLOOKUP(OPERAC[[#This Row],[especie]],[1]!ESPECIES[#All],6,0)</f>
        <v/>
      </c>
      <c r="Q1318" s="7">
        <f>IF(N1318&lt;&gt;0,P1318*N1318,0)</f>
        <v/>
      </c>
      <c r="R1318" s="8">
        <f>IF(Q1318&lt;&gt;0,Q1318+H1318+L1318,0)</f>
        <v/>
      </c>
      <c r="S1318" s="9">
        <f>VLOOKUP(OPERAC[[#This Row],[especie]],[1]!ESPECIES[#Data],9,FALSE)</f>
        <v/>
      </c>
    </row>
    <row r="1319">
      <c r="A1319" s="4" t="n">
        <v>15192</v>
      </c>
      <c r="B1319" s="5" t="n">
        <v>44592</v>
      </c>
      <c r="C1319" s="13" t="inlineStr">
        <is>
          <t>VTA</t>
        </is>
      </c>
      <c r="D1319" s="13" t="n">
        <v>43</v>
      </c>
      <c r="E1319" s="10">
        <f>IF(D1319&gt;0,VLOOKUP(OPERAC[[#This Row],[COD CART]],[1]!MatrizCortoLargoCyl[#All],3,0),"")</f>
        <v/>
      </c>
      <c r="F1319" s="13" t="inlineStr">
        <is>
          <t>GMBL/CYL-PUT/2,50/20-01-23</t>
        </is>
      </c>
      <c r="G1319" s="6" t="n">
        <v>100</v>
      </c>
      <c r="H1319" s="6" t="n">
        <v>-99.276</v>
      </c>
      <c r="I1319" s="7">
        <f>-H1319/G1319</f>
        <v/>
      </c>
      <c r="J1319" s="11" t="n">
        <v>44636</v>
      </c>
      <c r="K1319" s="6" t="n">
        <v>100</v>
      </c>
      <c r="L1319" s="6" t="n">
        <v>-136.14</v>
      </c>
      <c r="M1319" s="7">
        <f>IF(N1319=0,+L1319+H1319,0)</f>
        <v/>
      </c>
      <c r="N1319" s="7">
        <f>IF((+G1319-K1319)=0,0,+G1319-K1319)</f>
        <v/>
      </c>
      <c r="O1319" s="7">
        <f>IF(N1319=0,0,(L1319+H1319)/-N1319)</f>
        <v/>
      </c>
      <c r="P1319" s="7">
        <f>VLOOKUP(OPERAC[[#This Row],[especie]],[1]!ESPECIES[#All],6,0)</f>
        <v/>
      </c>
      <c r="Q1319" s="7">
        <f>IF(N1319&lt;&gt;0,P1319*N1319,0)</f>
        <v/>
      </c>
      <c r="R1319" s="8">
        <f>IF(Q1319&lt;&gt;0,Q1319+H1319+L1319,0)</f>
        <v/>
      </c>
      <c r="S1319" s="9">
        <f>VLOOKUP(OPERAC[[#This Row],[especie]],[1]!ESPECIES[#Data],9,FALSE)</f>
        <v/>
      </c>
    </row>
    <row r="1320">
      <c r="A1320" s="4" t="n">
        <v>18663</v>
      </c>
      <c r="B1320" s="5" t="n">
        <v>43831</v>
      </c>
      <c r="C1320" s="13" t="inlineStr">
        <is>
          <t>VTA</t>
        </is>
      </c>
      <c r="D1320" s="13" t="n">
        <v>41</v>
      </c>
      <c r="E1320" s="10">
        <f>IF(D1320&gt;0,VLOOKUP(OPERAC[[#This Row],[COD CART]],[1]!MatrizCortoLargoCyl[#All],3,0),"")</f>
        <v/>
      </c>
      <c r="F1320" s="13" t="inlineStr">
        <is>
          <t>PNTV</t>
        </is>
      </c>
      <c r="G1320" s="6" t="n">
        <v>9950</v>
      </c>
      <c r="H1320" s="6" t="n">
        <v>-99.5</v>
      </c>
      <c r="I1320" s="7" t="n">
        <v>0.01</v>
      </c>
      <c r="J1320" s="5" t="n"/>
      <c r="K1320" s="6" t="n"/>
      <c r="L1320" s="6" t="n"/>
      <c r="M1320" s="7">
        <f>IF(N1320=0,+L1320+H1320,0)</f>
        <v/>
      </c>
      <c r="N1320" s="7">
        <f>IF((+G1320-K1320)=0,0,+G1320-K1320)</f>
        <v/>
      </c>
      <c r="O1320" s="7">
        <f>IF(N1320=0,0,(L1320+H1320)/-N1320)</f>
        <v/>
      </c>
      <c r="P1320" s="7">
        <f>VLOOKUP(OPERAC[[#This Row],[especie]],[1]!ESPECIES[#All],6,0)</f>
        <v/>
      </c>
      <c r="Q1320" s="7">
        <f>IF(N1320&lt;&gt;0,P1320*N1320,0)</f>
        <v/>
      </c>
      <c r="R1320" s="8">
        <f>IF(Q1320&lt;&gt;0,Q1320+H1320+L1320,0)</f>
        <v/>
      </c>
      <c r="S1320" s="9">
        <f>VLOOKUP(OPERAC[[#This Row],[especie]],[1]!ESPECIES[#Data],9,FALSE)</f>
        <v/>
      </c>
    </row>
    <row r="1321">
      <c r="A1321" s="4" t="n">
        <v>15189</v>
      </c>
      <c r="B1321" s="5" t="n">
        <v>44340</v>
      </c>
      <c r="C1321" s="13" t="inlineStr">
        <is>
          <t>VTA</t>
        </is>
      </c>
      <c r="D1321" s="13" t="n">
        <v>39</v>
      </c>
      <c r="E1321" s="10">
        <f>IF(D1321&gt;0,VLOOKUP(OPERAC[[#This Row],[COD CART]],[1]!MatrizCortoLargoCyl[#All],3,0),"")</f>
        <v/>
      </c>
      <c r="F1321" s="13" t="inlineStr">
        <is>
          <t>SOLO/V/2,50/20-01-23</t>
        </is>
      </c>
      <c r="G1321" s="6" t="n">
        <v>-10</v>
      </c>
      <c r="H1321" s="6" t="n">
        <v>-99.69</v>
      </c>
      <c r="I1321" s="7">
        <f>-H1321/G1321</f>
        <v/>
      </c>
      <c r="J1321" s="11" t="n">
        <v>44617</v>
      </c>
      <c r="K1321" s="6" t="n">
        <v>-5</v>
      </c>
      <c r="L1321" s="6" t="n">
        <v>-5.816</v>
      </c>
      <c r="M1321" s="7">
        <f>IF(N1321=0,+L1321+H1321,0)</f>
        <v/>
      </c>
      <c r="N1321" s="7">
        <f>IF((+G1321-K1321)=0,0,+G1321-K1321)</f>
        <v/>
      </c>
      <c r="O1321" s="7">
        <f>IF(N1321=0,0,(L1321+H1321)/-N1321)</f>
        <v/>
      </c>
      <c r="P1321" s="7">
        <f>VLOOKUP(OPERAC[[#This Row],[especie]],[1]!ESPECIES[#All],6,0)</f>
        <v/>
      </c>
      <c r="Q1321" s="7">
        <f>IF(N1321&lt;&gt;0,P1321*N1321,0)</f>
        <v/>
      </c>
      <c r="R1321" s="8">
        <f>IF(Q1321&lt;&gt;0,Q1321+H1321+L1321,0)</f>
        <v/>
      </c>
      <c r="S1321" s="9">
        <f>VLOOKUP(OPERAC[[#This Row],[especie]],[1]!ESPECIES[#Data],9,FALSE)</f>
        <v/>
      </c>
    </row>
    <row r="1322">
      <c r="A1322" s="4" t="n">
        <v>18661</v>
      </c>
      <c r="B1322" s="5" t="n">
        <v>44281</v>
      </c>
      <c r="C1322" s="13" t="inlineStr">
        <is>
          <t>VTA</t>
        </is>
      </c>
      <c r="D1322" s="13" t="n">
        <v>31</v>
      </c>
      <c r="E1322" s="10">
        <f>IF(D1322&gt;0,VLOOKUP(OPERAC[[#This Row],[COD CART]],[1]!MatrizCortoLargoCyl[#All],3,0),"")</f>
        <v/>
      </c>
      <c r="F1322" s="13" t="inlineStr">
        <is>
          <t>RIOT</t>
        </is>
      </c>
      <c r="G1322" s="6" t="n">
        <v>2</v>
      </c>
      <c r="H1322" s="6" t="n">
        <v>-99.7842</v>
      </c>
      <c r="I1322" s="7">
        <f>-H1322/G1322</f>
        <v/>
      </c>
      <c r="J1322" s="11" t="n"/>
      <c r="K1322" s="6" t="n"/>
      <c r="L1322" s="6" t="n"/>
      <c r="M1322" s="7">
        <f>IF(N1322=0,+L1322+H1322,0)</f>
        <v/>
      </c>
      <c r="N1322" s="7">
        <f>IF((+G1322-K1322)=0,0,+G1322-K1322)</f>
        <v/>
      </c>
      <c r="O1322" s="7">
        <f>IF(N1322=0,0,(L1322+H1322)/-N1322)</f>
        <v/>
      </c>
      <c r="P1322" s="7">
        <f>VLOOKUP(OPERAC[[#This Row],[especie]],[1]!ESPECIES[#All],6,0)</f>
        <v/>
      </c>
      <c r="Q1322" s="7">
        <f>IF(N1322&lt;&gt;0,P1322*N1322,0)</f>
        <v/>
      </c>
      <c r="R1322" s="8">
        <f>IF(Q1322&lt;&gt;0,Q1322+H1322+L1322,0)</f>
        <v/>
      </c>
      <c r="S1322" s="9">
        <f>VLOOKUP(OPERAC[[#This Row],[especie]],[1]!ESPECIES[#Data],9,FALSE)</f>
        <v/>
      </c>
    </row>
    <row r="1323">
      <c r="A1323" s="4" t="n">
        <v>2209</v>
      </c>
      <c r="B1323" s="5" t="n">
        <v>43831</v>
      </c>
      <c r="C1323" s="13" t="inlineStr">
        <is>
          <t>VTA</t>
        </is>
      </c>
      <c r="D1323" s="13" t="n">
        <v>41</v>
      </c>
      <c r="E1323" s="10">
        <f>IF(D1323&gt;0,VLOOKUP(OPERAC[[#This Row],[COD CART]],[1]!MatrizCortoLargoCyl[#All],3,0),"")</f>
        <v/>
      </c>
      <c r="F1323" s="13" t="inlineStr">
        <is>
          <t>ACB</t>
        </is>
      </c>
      <c r="G1323" s="6" t="n">
        <v>25</v>
      </c>
      <c r="H1323" s="6" t="n">
        <v>-100</v>
      </c>
      <c r="I1323" s="7">
        <f>-H1323/G1323</f>
        <v/>
      </c>
      <c r="J1323" s="5" t="n"/>
      <c r="K1323" s="6" t="n"/>
      <c r="L1323" s="6" t="n"/>
      <c r="M1323" s="7">
        <f>IF(N1323=0,+L1323+H1323,0)</f>
        <v/>
      </c>
      <c r="N1323" s="7">
        <f>IF((+G1323-K1323)=0,0,+G1323-K1323)</f>
        <v/>
      </c>
      <c r="O1323" s="7">
        <f>IF(N1323=0,0,(L1323+H1323)/-N1323)</f>
        <v/>
      </c>
      <c r="P1323" s="7">
        <f>VLOOKUP(OPERAC[[#This Row],[especie]],[1]!ESPECIES[#All],6,0)</f>
        <v/>
      </c>
      <c r="Q1323" s="7">
        <f>IF(N1323&lt;&gt;0,P1323*N1323,0)</f>
        <v/>
      </c>
      <c r="R1323" s="8">
        <f>IF(Q1323&lt;&gt;0,Q1323+H1323+L1323,0)</f>
        <v/>
      </c>
      <c r="S1323" s="9">
        <f>VLOOKUP(OPERAC[[#This Row],[especie]],[1]!ESPECIES[#Data],9,FALSE)</f>
        <v/>
      </c>
    </row>
    <row r="1324">
      <c r="A1324" s="4" t="n">
        <v>18677</v>
      </c>
      <c r="B1324" s="5" t="n">
        <v>44586</v>
      </c>
      <c r="C1324" s="13" t="inlineStr">
        <is>
          <t>VTA</t>
        </is>
      </c>
      <c r="D1324" s="13" t="n">
        <v>43</v>
      </c>
      <c r="E1324" s="10">
        <f>IF(D1324&gt;0,VLOOKUP(OPERAC[[#This Row],[COD CART]],[1]!MatrizCortoLargoCyl[#All],3,0),"")</f>
        <v/>
      </c>
      <c r="F1324" s="13" t="inlineStr">
        <is>
          <t>GMBL/CYL-PUT/2,50/20-01-23</t>
        </is>
      </c>
      <c r="G1324" s="6" t="n">
        <v>100</v>
      </c>
      <c r="H1324" s="6" t="n">
        <v>-101.6063</v>
      </c>
      <c r="I1324" s="7">
        <f>-H1324/G1324</f>
        <v/>
      </c>
      <c r="J1324" s="11" t="n">
        <v>44643</v>
      </c>
      <c r="K1324" s="6" t="n">
        <v>100</v>
      </c>
      <c r="L1324" s="6" t="n">
        <v>-112.485</v>
      </c>
      <c r="M1324" s="7">
        <f>IF(N1324=0,+L1324+H1324,0)</f>
        <v/>
      </c>
      <c r="N1324" s="7">
        <f>IF((+G1324-K1324)=0,0,+G1324-K1324)</f>
        <v/>
      </c>
      <c r="O1324" s="7">
        <f>IF(N1324=0,0,(L1324+H1324)/-N1324)</f>
        <v/>
      </c>
      <c r="P1324" s="7">
        <f>VLOOKUP(OPERAC[[#This Row],[especie]],[1]!ESPECIES[#All],6,0)</f>
        <v/>
      </c>
      <c r="Q1324" s="7">
        <f>IF(N1324&lt;&gt;0,P1324*N1324,0)</f>
        <v/>
      </c>
      <c r="R1324" s="8">
        <f>IF(Q1324&lt;&gt;0,Q1324+H1324+L1324,0)</f>
        <v/>
      </c>
      <c r="S1324" s="9">
        <f>VLOOKUP(OPERAC[[#This Row],[especie]],[1]!ESPECIES[#Data],9,FALSE)</f>
        <v/>
      </c>
    </row>
    <row r="1325">
      <c r="A1325" s="4" t="n">
        <v>18711</v>
      </c>
      <c r="B1325" s="5" t="n">
        <v>44586</v>
      </c>
      <c r="C1325" s="13" t="inlineStr">
        <is>
          <t>VTA</t>
        </is>
      </c>
      <c r="D1325" s="13" t="n">
        <v>43</v>
      </c>
      <c r="E1325" s="10">
        <f>IF(D1325&gt;0,VLOOKUP(OPERAC[[#This Row],[COD CART]],[1]!MatrizCortoLargoCyl[#All],3,0),"")</f>
        <v/>
      </c>
      <c r="F1325" s="13" t="inlineStr">
        <is>
          <t>GMBL/CYL-PUT/2,50/20-01-23</t>
        </is>
      </c>
      <c r="G1325" s="6" t="n">
        <v>100</v>
      </c>
      <c r="H1325" s="6" t="n">
        <v>-101.6063</v>
      </c>
      <c r="I1325" s="7">
        <f>-H1325/G1325</f>
        <v/>
      </c>
      <c r="J1325" s="11" t="n">
        <v>44637</v>
      </c>
      <c r="K1325" s="6" t="n">
        <v>100</v>
      </c>
      <c r="L1325" s="6" t="n">
        <v>-124.06</v>
      </c>
      <c r="M1325" s="7">
        <f>IF(N1325=0,+L1325+H1325,0)</f>
        <v/>
      </c>
      <c r="N1325" s="7">
        <f>IF((+G1325-K1325)=0,0,+G1325-K1325)</f>
        <v/>
      </c>
      <c r="O1325" s="7">
        <f>IF(N1325=0,0,(L1325+H1325)/-N1325)</f>
        <v/>
      </c>
      <c r="P1325" s="7">
        <f>VLOOKUP(OPERAC[[#This Row],[especie]],[1]!ESPECIES[#All],6,0)</f>
        <v/>
      </c>
      <c r="Q1325" s="7">
        <f>IF(N1325&lt;&gt;0,P1325*N1325,0)</f>
        <v/>
      </c>
      <c r="R1325" s="8">
        <f>IF(Q1325&lt;&gt;0,Q1325+H1325+L1325,0)</f>
        <v/>
      </c>
      <c r="S1325" s="9">
        <f>VLOOKUP(OPERAC[[#This Row],[especie]],[1]!ESPECIES[#Data],9,FALSE)</f>
        <v/>
      </c>
    </row>
    <row r="1326">
      <c r="A1326" s="4" t="n">
        <v>22393</v>
      </c>
      <c r="B1326" s="5" t="n">
        <v>44586</v>
      </c>
      <c r="C1326" s="13" t="inlineStr">
        <is>
          <t>VTA</t>
        </is>
      </c>
      <c r="D1326" s="13" t="n">
        <v>43</v>
      </c>
      <c r="E1326" s="10">
        <f>IF(D1326&gt;0,VLOOKUP(OPERAC[[#This Row],[COD CART]],[1]!MatrizCortoLargoCyl[#All],3,0),"")</f>
        <v/>
      </c>
      <c r="F1326" s="13" t="inlineStr">
        <is>
          <t>GMBL/CYL-PUT/2,50/20-01-23</t>
        </is>
      </c>
      <c r="G1326" s="6" t="n">
        <v>100</v>
      </c>
      <c r="H1326" s="6" t="n">
        <v>-101.6063</v>
      </c>
      <c r="I1326" s="7">
        <f>-H1326/G1326</f>
        <v/>
      </c>
      <c r="J1326" s="11" t="n">
        <v>44638</v>
      </c>
      <c r="K1326" s="6" t="n">
        <v>100</v>
      </c>
      <c r="L1326" s="6" t="n">
        <v>-127.44</v>
      </c>
      <c r="M1326" s="7">
        <f>IF(N1326=0,+L1326+H1326,0)</f>
        <v/>
      </c>
      <c r="N1326" s="7">
        <f>IF((+G1326-K1326)=0,0,+G1326-K1326)</f>
        <v/>
      </c>
      <c r="O1326" s="7">
        <f>IF(N1326=0,0,(L1326+H1326)/-N1326)</f>
        <v/>
      </c>
      <c r="P1326" s="7">
        <f>VLOOKUP(OPERAC[[#This Row],[especie]],[1]!ESPECIES[#All],6,0)</f>
        <v/>
      </c>
      <c r="Q1326" s="7">
        <f>IF(N1326&lt;&gt;0,P1326*N1326,0)</f>
        <v/>
      </c>
      <c r="R1326" s="8">
        <f>IF(Q1326&lt;&gt;0,Q1326+H1326+L1326,0)</f>
        <v/>
      </c>
      <c r="S1326" s="9">
        <f>VLOOKUP(OPERAC[[#This Row],[especie]],[1]!ESPECIES[#Data],9,FALSE)</f>
        <v/>
      </c>
    </row>
    <row r="1327">
      <c r="A1327" s="4" t="n">
        <v>2279</v>
      </c>
      <c r="B1327" s="5" t="n">
        <v>44523</v>
      </c>
      <c r="C1327" s="13" t="inlineStr">
        <is>
          <t>VTA</t>
        </is>
      </c>
      <c r="D1327" s="13" t="n">
        <v>41</v>
      </c>
      <c r="E1327" s="10">
        <f>IF(D1327&gt;0,VLOOKUP(OPERAC[[#This Row],[COD CART]],[1]!MatrizCortoLargoCyl[#All],3,0),"")</f>
        <v/>
      </c>
      <c r="F1327" s="13" t="inlineStr">
        <is>
          <t>PLTR</t>
        </is>
      </c>
      <c r="G1327" s="6" t="n">
        <v>5</v>
      </c>
      <c r="H1327" s="6" t="n">
        <v>-102.934</v>
      </c>
      <c r="I1327" s="7">
        <f>-H1327/G1327</f>
        <v/>
      </c>
      <c r="J1327" s="11" t="n"/>
      <c r="K1327" s="6" t="n"/>
      <c r="L1327" s="6" t="n"/>
      <c r="M1327" s="7">
        <f>IF(N1327=0,+L1327+H1327,0)</f>
        <v/>
      </c>
      <c r="N1327" s="7">
        <f>IF((+G1327-K1327)=0,0,+G1327-K1327)</f>
        <v/>
      </c>
      <c r="O1327" s="7">
        <f>IF(N1327=0,0,(L1327+H1327)/-N1327)</f>
        <v/>
      </c>
      <c r="P1327" s="7">
        <f>VLOOKUP(OPERAC[[#This Row],[especie]],[1]!ESPECIES[#All],6,0)</f>
        <v/>
      </c>
      <c r="Q1327" s="7">
        <f>IF(N1327&lt;&gt;0,P1327*N1327,0)</f>
        <v/>
      </c>
      <c r="R1327" s="8">
        <f>IF(Q1327&lt;&gt;0,Q1327+H1327+L1327,0)</f>
        <v/>
      </c>
      <c r="S1327" s="9">
        <f>VLOOKUP(OPERAC[[#This Row],[especie]],[1]!ESPECIES[#Data],9,FALSE)</f>
        <v/>
      </c>
    </row>
    <row r="1328">
      <c r="A1328" s="4" t="n">
        <v>3853</v>
      </c>
      <c r="B1328" s="5" t="n">
        <v>44637</v>
      </c>
      <c r="C1328" s="13" t="inlineStr">
        <is>
          <t>VTA</t>
        </is>
      </c>
      <c r="D1328" s="13" t="n">
        <v>43</v>
      </c>
      <c r="E1328" s="10">
        <f>IF(D1328&gt;0,VLOOKUP(OPERAC[[#This Row],[COD CART]],[1]!MatrizCortoLargoCyl[#All],3,0),"")</f>
        <v/>
      </c>
      <c r="F1328" s="13" t="inlineStr">
        <is>
          <t>GMBL/CYL-PUT/1,00/20-01-23</t>
        </is>
      </c>
      <c r="G1328" s="6" t="n">
        <v>500</v>
      </c>
      <c r="H1328" s="6" t="n">
        <v>-103.91588</v>
      </c>
      <c r="I1328" s="7">
        <f>-H1328/G1328</f>
        <v/>
      </c>
      <c r="J1328" s="11" t="n"/>
      <c r="K1328" s="6" t="n"/>
      <c r="L1328" s="6" t="n"/>
      <c r="M1328" s="7">
        <f>IF(N1328=0,+L1328+H1328,0)</f>
        <v/>
      </c>
      <c r="N1328" s="7">
        <f>IF((+G1328-K1328)=0,0,+G1328-K1328)</f>
        <v/>
      </c>
      <c r="O1328" s="7">
        <f>IF(N1328=0,0,(L1328+H1328)/-N1328)</f>
        <v/>
      </c>
      <c r="P1328" s="7">
        <f>VLOOKUP(OPERAC[[#This Row],[especie]],[1]!ESPECIES[#All],6,0)</f>
        <v/>
      </c>
      <c r="Q1328" s="7">
        <f>IF(N1328&lt;&gt;0,P1328*N1328,0)</f>
        <v/>
      </c>
      <c r="R1328" s="8">
        <f>IF(Q1328&lt;&gt;0,Q1328+H1328+L1328,0)</f>
        <v/>
      </c>
      <c r="S1328" s="9">
        <f>VLOOKUP(OPERAC[[#This Row],[especie]],[1]!ESPECIES[#Data],9,FALSE)</f>
        <v/>
      </c>
    </row>
    <row r="1329">
      <c r="A1329" s="4" t="n">
        <v>6578</v>
      </c>
      <c r="B1329" s="5" t="n">
        <v>44637</v>
      </c>
      <c r="C1329" s="13" t="inlineStr">
        <is>
          <t>VTA</t>
        </is>
      </c>
      <c r="D1329" s="13" t="n">
        <v>43</v>
      </c>
      <c r="E1329" s="10">
        <f>IF(D1329&gt;0,VLOOKUP(OPERAC[[#This Row],[COD CART]],[1]!MatrizCortoLargoCyl[#All],3,0),"")</f>
        <v/>
      </c>
      <c r="F1329" s="13" t="inlineStr">
        <is>
          <t>GMBL/CYL-PUT/1,00/20-01-23</t>
        </is>
      </c>
      <c r="G1329" s="6" t="n">
        <v>500</v>
      </c>
      <c r="H1329" s="6" t="n">
        <v>-103.91588</v>
      </c>
      <c r="I1329" s="7">
        <f>-H1329/G1329</f>
        <v/>
      </c>
      <c r="J1329" s="11" t="n"/>
      <c r="K1329" s="6" t="n"/>
      <c r="L1329" s="6" t="n"/>
      <c r="M1329" s="7">
        <f>IF(N1329=0,+L1329+H1329,0)</f>
        <v/>
      </c>
      <c r="N1329" s="7">
        <f>IF((+G1329-K1329)=0,0,+G1329-K1329)</f>
        <v/>
      </c>
      <c r="O1329" s="7">
        <f>IF(N1329=0,0,(L1329+H1329)/-N1329)</f>
        <v/>
      </c>
      <c r="P1329" s="7">
        <f>VLOOKUP(OPERAC[[#This Row],[especie]],[1]!ESPECIES[#All],6,0)</f>
        <v/>
      </c>
      <c r="Q1329" s="7">
        <f>IF(N1329&lt;&gt;0,P1329*N1329,0)</f>
        <v/>
      </c>
      <c r="R1329" s="8">
        <f>IF(Q1329&lt;&gt;0,Q1329+H1329+L1329,0)</f>
        <v/>
      </c>
      <c r="S1329" s="9">
        <f>VLOOKUP(OPERAC[[#This Row],[especie]],[1]!ESPECIES[#Data],9,FALSE)</f>
        <v/>
      </c>
    </row>
    <row r="1330">
      <c r="A1330" s="4" t="n">
        <v>6579</v>
      </c>
      <c r="B1330" s="5" t="n">
        <v>44637</v>
      </c>
      <c r="C1330" s="13" t="inlineStr">
        <is>
          <t>VTA</t>
        </is>
      </c>
      <c r="D1330" s="13" t="n">
        <v>43</v>
      </c>
      <c r="E1330" s="10">
        <f>IF(D1330&gt;0,VLOOKUP(OPERAC[[#This Row],[COD CART]],[1]!MatrizCortoLargoCyl[#All],3,0),"")</f>
        <v/>
      </c>
      <c r="F1330" s="13" t="inlineStr">
        <is>
          <t>GMBL/CYL-PUT/1,00/20-01-23</t>
        </is>
      </c>
      <c r="G1330" s="6" t="n">
        <v>500</v>
      </c>
      <c r="H1330" s="6" t="n">
        <v>-103.91588</v>
      </c>
      <c r="I1330" s="7">
        <f>-H1330/G1330</f>
        <v/>
      </c>
      <c r="J1330" s="11" t="n"/>
      <c r="K1330" s="6" t="n"/>
      <c r="L1330" s="6" t="n"/>
      <c r="M1330" s="7">
        <f>IF(N1330=0,+L1330+H1330,0)</f>
        <v/>
      </c>
      <c r="N1330" s="7">
        <f>IF((+G1330-K1330)=0,0,+G1330-K1330)</f>
        <v/>
      </c>
      <c r="O1330" s="7">
        <f>IF(N1330=0,0,(L1330+H1330)/-N1330)</f>
        <v/>
      </c>
      <c r="P1330" s="7">
        <f>VLOOKUP(OPERAC[[#This Row],[especie]],[1]!ESPECIES[#All],6,0)</f>
        <v/>
      </c>
      <c r="Q1330" s="7">
        <f>IF(N1330&lt;&gt;0,P1330*N1330,0)</f>
        <v/>
      </c>
      <c r="R1330" s="8">
        <f>IF(Q1330&lt;&gt;0,Q1330+H1330+L1330,0)</f>
        <v/>
      </c>
      <c r="S1330" s="9">
        <f>VLOOKUP(OPERAC[[#This Row],[especie]],[1]!ESPECIES[#Data],9,FALSE)</f>
        <v/>
      </c>
    </row>
    <row r="1331">
      <c r="A1331" s="4" t="n">
        <v>12619</v>
      </c>
      <c r="B1331" s="5" t="n">
        <v>44637</v>
      </c>
      <c r="C1331" s="13" t="inlineStr">
        <is>
          <t>VTA</t>
        </is>
      </c>
      <c r="D1331" s="13" t="n">
        <v>43</v>
      </c>
      <c r="E1331" s="10">
        <f>IF(D1331&gt;0,VLOOKUP(OPERAC[[#This Row],[COD CART]],[1]!MatrizCortoLargoCyl[#All],3,0),"")</f>
        <v/>
      </c>
      <c r="F1331" s="13" t="inlineStr">
        <is>
          <t>GMBL/CYL-PUT/1,00/20-01-23</t>
        </is>
      </c>
      <c r="G1331" s="6" t="n">
        <v>500</v>
      </c>
      <c r="H1331" s="6" t="n">
        <v>-103.91588</v>
      </c>
      <c r="I1331" s="7">
        <f>-H1331/G1331</f>
        <v/>
      </c>
      <c r="J1331" s="11" t="n"/>
      <c r="K1331" s="6" t="n"/>
      <c r="L1331" s="6" t="n"/>
      <c r="M1331" s="7">
        <f>IF(N1331=0,+L1331+H1331,0)</f>
        <v/>
      </c>
      <c r="N1331" s="7">
        <f>IF((+G1331-K1331)=0,0,+G1331-K1331)</f>
        <v/>
      </c>
      <c r="O1331" s="7">
        <f>IF(N1331=0,0,(L1331+H1331)/-N1331)</f>
        <v/>
      </c>
      <c r="P1331" s="7">
        <f>VLOOKUP(OPERAC[[#This Row],[especie]],[1]!ESPECIES[#All],6,0)</f>
        <v/>
      </c>
      <c r="Q1331" s="7">
        <f>IF(N1331&lt;&gt;0,P1331*N1331,0)</f>
        <v/>
      </c>
      <c r="R1331" s="8">
        <f>IF(Q1331&lt;&gt;0,Q1331+H1331+L1331,0)</f>
        <v/>
      </c>
      <c r="S1331" s="9">
        <f>VLOOKUP(OPERAC[[#This Row],[especie]],[1]!ESPECIES[#Data],9,FALSE)</f>
        <v/>
      </c>
    </row>
    <row r="1332">
      <c r="A1332" s="4" t="n">
        <v>12652</v>
      </c>
      <c r="B1332" s="5" t="n">
        <v>44637</v>
      </c>
      <c r="C1332" s="13" t="inlineStr">
        <is>
          <t>VTA</t>
        </is>
      </c>
      <c r="D1332" s="13" t="n">
        <v>43</v>
      </c>
      <c r="E1332" s="10">
        <f>IF(D1332&gt;0,VLOOKUP(OPERAC[[#This Row],[COD CART]],[1]!MatrizCortoLargoCyl[#All],3,0),"")</f>
        <v/>
      </c>
      <c r="F1332" s="13" t="inlineStr">
        <is>
          <t>GMBL/CYL-PUT/1,00/20-01-23</t>
        </is>
      </c>
      <c r="G1332" s="6" t="n">
        <v>500</v>
      </c>
      <c r="H1332" s="6" t="n">
        <v>-103.91588</v>
      </c>
      <c r="I1332" s="7">
        <f>-H1332/G1332</f>
        <v/>
      </c>
      <c r="J1332" s="11" t="n"/>
      <c r="K1332" s="6" t="n"/>
      <c r="L1332" s="6" t="n"/>
      <c r="M1332" s="7">
        <f>IF(N1332=0,+L1332+H1332,0)</f>
        <v/>
      </c>
      <c r="N1332" s="7">
        <f>IF((+G1332-K1332)=0,0,+G1332-K1332)</f>
        <v/>
      </c>
      <c r="O1332" s="7">
        <f>IF(N1332=0,0,(L1332+H1332)/-N1332)</f>
        <v/>
      </c>
      <c r="P1332" s="7">
        <f>VLOOKUP(OPERAC[[#This Row],[especie]],[1]!ESPECIES[#All],6,0)</f>
        <v/>
      </c>
      <c r="Q1332" s="7">
        <f>IF(N1332&lt;&gt;0,P1332*N1332,0)</f>
        <v/>
      </c>
      <c r="R1332" s="8">
        <f>IF(Q1332&lt;&gt;0,Q1332+H1332+L1332,0)</f>
        <v/>
      </c>
      <c r="S1332" s="9">
        <f>VLOOKUP(OPERAC[[#This Row],[especie]],[1]!ESPECIES[#Data],9,FALSE)</f>
        <v/>
      </c>
    </row>
    <row r="1333">
      <c r="A1333" s="4" t="n">
        <v>13273</v>
      </c>
      <c r="B1333" s="5" t="n">
        <v>44637</v>
      </c>
      <c r="C1333" s="13" t="inlineStr">
        <is>
          <t>VTA</t>
        </is>
      </c>
      <c r="D1333" s="13" t="n">
        <v>43</v>
      </c>
      <c r="E1333" s="10">
        <f>IF(D1333&gt;0,VLOOKUP(OPERAC[[#This Row],[COD CART]],[1]!MatrizCortoLargoCyl[#All],3,0),"")</f>
        <v/>
      </c>
      <c r="F1333" s="13" t="inlineStr">
        <is>
          <t>GMBL/CYL-PUT/1,00/20-01-23</t>
        </is>
      </c>
      <c r="G1333" s="6" t="n">
        <v>500</v>
      </c>
      <c r="H1333" s="6" t="n">
        <v>-103.91588</v>
      </c>
      <c r="I1333" s="7">
        <f>-H1333/G1333</f>
        <v/>
      </c>
      <c r="J1333" s="11" t="n"/>
      <c r="K1333" s="6" t="n"/>
      <c r="L1333" s="6" t="n"/>
      <c r="M1333" s="7">
        <f>IF(N1333=0,+L1333+H1333,0)</f>
        <v/>
      </c>
      <c r="N1333" s="7">
        <f>IF((+G1333-K1333)=0,0,+G1333-K1333)</f>
        <v/>
      </c>
      <c r="O1333" s="7">
        <f>IF(N1333=0,0,(L1333+H1333)/-N1333)</f>
        <v/>
      </c>
      <c r="P1333" s="7">
        <f>VLOOKUP(OPERAC[[#This Row],[especie]],[1]!ESPECIES[#All],6,0)</f>
        <v/>
      </c>
      <c r="Q1333" s="7">
        <f>IF(N1333&lt;&gt;0,P1333*N1333,0)</f>
        <v/>
      </c>
      <c r="R1333" s="8">
        <f>IF(Q1333&lt;&gt;0,Q1333+H1333+L1333,0)</f>
        <v/>
      </c>
      <c r="S1333" s="9">
        <f>VLOOKUP(OPERAC[[#This Row],[especie]],[1]!ESPECIES[#Data],9,FALSE)</f>
        <v/>
      </c>
    </row>
    <row r="1334">
      <c r="A1334" s="4" t="n">
        <v>1792</v>
      </c>
      <c r="B1334" s="5" t="n">
        <v>44266</v>
      </c>
      <c r="C1334" s="13" t="inlineStr">
        <is>
          <t>VTA</t>
        </is>
      </c>
      <c r="D1334" s="13" t="n">
        <v>31</v>
      </c>
      <c r="E1334" s="10">
        <f>IF(D1334&gt;0,VLOOKUP(OPERAC[[#This Row],[COD CART]],[1]!MatrizCortoLargoCyl[#All],3,0),"")</f>
        <v/>
      </c>
      <c r="F1334" s="13" t="inlineStr">
        <is>
          <t>IPIX</t>
        </is>
      </c>
      <c r="G1334" s="6" t="n">
        <v>300</v>
      </c>
      <c r="H1334" s="6" t="n">
        <v>-105.6</v>
      </c>
      <c r="I1334" s="7">
        <f>-H1334/G1334</f>
        <v/>
      </c>
      <c r="J1334" s="11" t="n"/>
      <c r="K1334" s="6" t="n"/>
      <c r="L1334" s="6" t="n"/>
      <c r="M1334" s="7">
        <f>IF(N1334=0,+L1334+H1334,0)</f>
        <v/>
      </c>
      <c r="N1334" s="7">
        <f>IF((+G1334-K1334)=0,0,+G1334-K1334)</f>
        <v/>
      </c>
      <c r="O1334" s="7">
        <f>IF(N1334=0,0,(L1334+H1334)/-N1334)</f>
        <v/>
      </c>
      <c r="P1334" s="7">
        <f>VLOOKUP(OPERAC[[#This Row],[especie]],[1]!ESPECIES[#All],6,0)</f>
        <v/>
      </c>
      <c r="Q1334" s="7">
        <f>IF(N1334&lt;&gt;0,P1334*N1334,0)</f>
        <v/>
      </c>
      <c r="R1334" s="8">
        <f>IF(Q1334&lt;&gt;0,Q1334+H1334+L1334,0)</f>
        <v/>
      </c>
      <c r="S1334" s="9">
        <f>VLOOKUP(OPERAC[[#This Row],[especie]],[1]!ESPECIES[#Data],9,FALSE)</f>
        <v/>
      </c>
    </row>
    <row r="1335">
      <c r="A1335" s="4" t="n">
        <v>18663</v>
      </c>
      <c r="B1335" s="5" t="n">
        <v>44259</v>
      </c>
      <c r="C1335" s="13" t="inlineStr">
        <is>
          <t>VTA</t>
        </is>
      </c>
      <c r="D1335" s="13" t="n">
        <v>41</v>
      </c>
      <c r="E1335" s="10">
        <f>IF(D1335&gt;0,VLOOKUP(OPERAC[[#This Row],[COD CART]],[1]!MatrizCortoLargoCyl[#All],3,0),"")</f>
        <v/>
      </c>
      <c r="F1335" s="13" t="inlineStr">
        <is>
          <t>VIOT</t>
        </is>
      </c>
      <c r="G1335" s="6" t="n">
        <v>10</v>
      </c>
      <c r="H1335" s="6" t="n">
        <v>-105.832</v>
      </c>
      <c r="I1335" s="7">
        <f>-H1335/G1335</f>
        <v/>
      </c>
      <c r="J1335" s="11" t="n"/>
      <c r="K1335" s="6" t="n"/>
      <c r="L1335" s="6" t="n"/>
      <c r="M1335" s="7">
        <f>IF(N1335=0,+L1335+H1335,0)</f>
        <v/>
      </c>
      <c r="N1335" s="7">
        <f>IF((+G1335-K1335)=0,0,+G1335-K1335)</f>
        <v/>
      </c>
      <c r="O1335" s="7">
        <f>IF(N1335=0,0,(L1335+H1335)/-N1335)</f>
        <v/>
      </c>
      <c r="P1335" s="7">
        <f>VLOOKUP(OPERAC[[#This Row],[especie]],[1]!ESPECIES[#All],6,0)</f>
        <v/>
      </c>
      <c r="Q1335" s="7">
        <f>IF(N1335&lt;&gt;0,P1335*N1335,0)</f>
        <v/>
      </c>
      <c r="R1335" s="8">
        <f>IF(Q1335&lt;&gt;0,Q1335+H1335+L1335,0)</f>
        <v/>
      </c>
      <c r="S1335" s="9">
        <f>VLOOKUP(OPERAC[[#This Row],[especie]],[1]!ESPECIES[#Data],9,FALSE)</f>
        <v/>
      </c>
    </row>
    <row r="1336">
      <c r="A1336" s="4" t="n">
        <v>18663</v>
      </c>
      <c r="B1336" s="5" t="n">
        <v>44321</v>
      </c>
      <c r="C1336" s="13" t="inlineStr">
        <is>
          <t>VTA</t>
        </is>
      </c>
      <c r="D1336" s="13" t="n">
        <v>41</v>
      </c>
      <c r="E1336" s="10">
        <f>IF(D1336&gt;0,VLOOKUP(OPERAC[[#This Row],[COD CART]],[1]!MatrizCortoLargoCyl[#All],3,0),"")</f>
        <v/>
      </c>
      <c r="F1336" s="13" t="inlineStr">
        <is>
          <t>NRZ</t>
        </is>
      </c>
      <c r="G1336" s="6" t="n">
        <v>10</v>
      </c>
      <c r="H1336" s="6" t="n">
        <v>-106.185</v>
      </c>
      <c r="I1336" s="7">
        <f>-H1336/G1336</f>
        <v/>
      </c>
      <c r="J1336" s="11" t="n"/>
      <c r="K1336" s="6" t="n"/>
      <c r="L1336" s="6" t="n"/>
      <c r="M1336" s="7">
        <f>IF(N1336=0,+L1336+H1336,0)</f>
        <v/>
      </c>
      <c r="N1336" s="7">
        <f>IF((+G1336-K1336)=0,0,+G1336-K1336)</f>
        <v/>
      </c>
      <c r="O1336" s="7">
        <f>IF(N1336=0,0,(L1336+H1336)/-N1336)</f>
        <v/>
      </c>
      <c r="P1336" s="7">
        <f>VLOOKUP(OPERAC[[#This Row],[especie]],[1]!ESPECIES[#All],6,0)</f>
        <v/>
      </c>
      <c r="Q1336" s="7">
        <f>IF(N1336&lt;&gt;0,P1336*N1336,0)</f>
        <v/>
      </c>
      <c r="R1336" s="8">
        <f>IF(Q1336&lt;&gt;0,Q1336+H1336+L1336,0)</f>
        <v/>
      </c>
      <c r="S1336" s="9">
        <f>VLOOKUP(OPERAC[[#This Row],[especie]],[1]!ESPECIES[#Data],9,FALSE)</f>
        <v/>
      </c>
    </row>
    <row r="1337">
      <c r="A1337" s="4" t="n">
        <v>18663</v>
      </c>
      <c r="B1337" s="5" t="n">
        <v>44524</v>
      </c>
      <c r="C1337" s="13" t="inlineStr">
        <is>
          <t>VTA</t>
        </is>
      </c>
      <c r="D1337" s="13" t="n">
        <v>41</v>
      </c>
      <c r="E1337" s="10">
        <f>IF(D1337&gt;0,VLOOKUP(OPERAC[[#This Row],[COD CART]],[1]!MatrizCortoLargoCyl[#All],3,0),"")</f>
        <v/>
      </c>
      <c r="F1337" s="13" t="inlineStr">
        <is>
          <t>VIOT</t>
        </is>
      </c>
      <c r="G1337" s="6" t="n">
        <v>30</v>
      </c>
      <c r="H1337" s="6" t="n">
        <v>-107.747</v>
      </c>
      <c r="I1337" s="7">
        <f>-H1337/G1337</f>
        <v/>
      </c>
      <c r="J1337" s="11" t="n"/>
      <c r="K1337" s="6" t="n"/>
      <c r="L1337" s="6" t="n"/>
      <c r="M1337" s="7">
        <f>IF(N1337=0,+L1337+H1337,0)</f>
        <v/>
      </c>
      <c r="N1337" s="7">
        <f>IF((+G1337-K1337)=0,0,+G1337-K1337)</f>
        <v/>
      </c>
      <c r="O1337" s="7">
        <f>IF(N1337=0,0,(L1337+H1337)/-N1337)</f>
        <v/>
      </c>
      <c r="P1337" s="7">
        <f>VLOOKUP(OPERAC[[#This Row],[especie]],[1]!ESPECIES[#All],6,0)</f>
        <v/>
      </c>
      <c r="Q1337" s="7">
        <f>IF(N1337&lt;&gt;0,P1337*N1337,0)</f>
        <v/>
      </c>
      <c r="R1337" s="8">
        <f>IF(Q1337&lt;&gt;0,Q1337+H1337+L1337,0)</f>
        <v/>
      </c>
      <c r="S1337" s="9">
        <f>VLOOKUP(OPERAC[[#This Row],[especie]],[1]!ESPECIES[#Data],9,FALSE)</f>
        <v/>
      </c>
    </row>
    <row r="1338">
      <c r="A1338" s="4" t="n">
        <v>3838</v>
      </c>
      <c r="B1338" s="5" t="n">
        <v>44536</v>
      </c>
      <c r="C1338" s="13" t="inlineStr">
        <is>
          <t>VTA</t>
        </is>
      </c>
      <c r="D1338" s="13" t="n">
        <v>43</v>
      </c>
      <c r="E1338" s="10">
        <f>IF(D1338&gt;0,VLOOKUP(OPERAC[[#This Row],[COD CART]],[1]!MatrizCortoLargoCyl[#All],3,0),"")</f>
        <v/>
      </c>
      <c r="F1338" s="13" t="inlineStr">
        <is>
          <t>NNDM/CYL-PUT/2,50/19-01-24</t>
        </is>
      </c>
      <c r="G1338" s="6" t="n">
        <v>100</v>
      </c>
      <c r="H1338" s="6">
        <f>-1.08*OPERAC[[#This Row],[cantidad]]</f>
        <v/>
      </c>
      <c r="I1338" s="7">
        <f>-H1338/G1338</f>
        <v/>
      </c>
      <c r="J1338" s="11" t="n"/>
      <c r="K1338" s="6" t="n"/>
      <c r="L1338" s="6" t="n"/>
      <c r="M1338" s="7">
        <f>IF(N1338=0,+L1338+H1338,0)</f>
        <v/>
      </c>
      <c r="N1338" s="7">
        <f>IF((+G1338-K1338)=0,0,+G1338-K1338)</f>
        <v/>
      </c>
      <c r="O1338" s="7">
        <f>IF(N1338=0,0,(L1338+H1338)/-N1338)</f>
        <v/>
      </c>
      <c r="P1338" s="7">
        <f>VLOOKUP(OPERAC[[#This Row],[especie]],[1]!ESPECIES[#All],6,0)</f>
        <v/>
      </c>
      <c r="Q1338" s="7">
        <f>IF(N1338&lt;&gt;0,P1338*N1338,0)</f>
        <v/>
      </c>
      <c r="R1338" s="8">
        <f>IF(Q1338&lt;&gt;0,Q1338+H1338+L1338,0)</f>
        <v/>
      </c>
      <c r="S1338" s="9">
        <f>VLOOKUP(OPERAC[[#This Row],[especie]],[1]!ESPECIES[#Data],9,FALSE)</f>
        <v/>
      </c>
    </row>
    <row r="1339">
      <c r="A1339" s="4" t="n">
        <v>2211</v>
      </c>
      <c r="B1339" s="5" t="n">
        <v>44669</v>
      </c>
      <c r="C1339" s="13" t="inlineStr">
        <is>
          <t>VTA</t>
        </is>
      </c>
      <c r="D1339" s="13" t="n">
        <v>41</v>
      </c>
      <c r="E1339" s="10">
        <f>IF(D1339&gt;0,VLOOKUP(OPERAC[[#This Row],[COD CART]],[1]!MatrizCortoLargoCyl[#All],3,0),"")</f>
        <v/>
      </c>
      <c r="F1339" s="13" t="inlineStr">
        <is>
          <t>SPXL</t>
        </is>
      </c>
      <c r="G1339" s="6" t="n">
        <v>1</v>
      </c>
      <c r="H1339" s="6" t="n">
        <v>-108.391</v>
      </c>
      <c r="I1339" s="7">
        <f>-H1339/G1339</f>
        <v/>
      </c>
      <c r="J1339" s="11" t="n"/>
      <c r="K1339" s="6" t="n"/>
      <c r="L1339" s="6" t="n"/>
      <c r="M1339" s="7">
        <f>IF(N1339=0,+L1339+H1339,0)</f>
        <v/>
      </c>
      <c r="N1339" s="7">
        <f>IF((+G1339-K1339)=0,0,+G1339-K1339)</f>
        <v/>
      </c>
      <c r="O1339" s="7">
        <f>IF(N1339=0,0,(L1339+H1339)/-N1339)</f>
        <v/>
      </c>
      <c r="P1339" s="7">
        <f>VLOOKUP(OPERAC[[#This Row],[especie]],[1]!ESPECIES[#All],6,0)</f>
        <v/>
      </c>
      <c r="Q1339" s="7">
        <f>IF(N1339&lt;&gt;0,P1339*N1339,0)</f>
        <v/>
      </c>
      <c r="R1339" s="8">
        <f>IF(Q1339&lt;&gt;0,Q1339+H1339+L1339,0)</f>
        <v/>
      </c>
      <c r="S1339" s="9">
        <f>VLOOKUP(OPERAC[[#This Row],[especie]],[1]!ESPECIES[#Data],9,FALSE)</f>
        <v/>
      </c>
    </row>
    <row r="1340">
      <c r="A1340" s="4" t="n">
        <v>2255</v>
      </c>
      <c r="B1340" s="5" t="n">
        <v>43987</v>
      </c>
      <c r="C1340" s="13" t="inlineStr">
        <is>
          <t>VTA</t>
        </is>
      </c>
      <c r="D1340" s="13" t="n">
        <v>41</v>
      </c>
      <c r="E1340" s="10">
        <f>IF(D1340&gt;0,VLOOKUP(OPERAC[[#This Row],[COD CART]],[1]!MatrizCortoLargoCyl[#All],3,0),"")</f>
        <v/>
      </c>
      <c r="F1340" s="13" t="inlineStr">
        <is>
          <t>SLB</t>
        </is>
      </c>
      <c r="G1340" s="6" t="n">
        <v>5</v>
      </c>
      <c r="H1340" s="6" t="n">
        <v>-109.21</v>
      </c>
      <c r="I1340" s="7" t="n">
        <v>21.842</v>
      </c>
      <c r="J1340" s="5" t="n"/>
      <c r="K1340" s="6" t="n"/>
      <c r="L1340" s="6" t="n"/>
      <c r="M1340" s="7">
        <f>IF(N1340=0,+L1340+H1340,0)</f>
        <v/>
      </c>
      <c r="N1340" s="7">
        <f>IF((+G1340-K1340)=0,0,+G1340-K1340)</f>
        <v/>
      </c>
      <c r="O1340" s="7">
        <f>IF(N1340=0,0,(L1340+H1340)/-N1340)</f>
        <v/>
      </c>
      <c r="P1340" s="7">
        <f>VLOOKUP(OPERAC[[#This Row],[especie]],[1]!ESPECIES[#All],6,0)</f>
        <v/>
      </c>
      <c r="Q1340" s="7">
        <f>IF(N1340&lt;&gt;0,P1340*N1340,0)</f>
        <v/>
      </c>
      <c r="R1340" s="8">
        <f>IF(Q1340&lt;&gt;0,Q1340+H1340+L1340,0)</f>
        <v/>
      </c>
      <c r="S1340" s="9">
        <f>VLOOKUP(OPERAC[[#This Row],[especie]],[1]!ESPECIES[#Data],9,FALSE)</f>
        <v/>
      </c>
    </row>
    <row r="1341">
      <c r="A1341" s="4" t="n">
        <v>1792</v>
      </c>
      <c r="B1341" s="5" t="n">
        <v>44511</v>
      </c>
      <c r="C1341" s="13" t="inlineStr">
        <is>
          <t>VTA</t>
        </is>
      </c>
      <c r="D1341" s="13" t="n">
        <v>31</v>
      </c>
      <c r="E1341" s="10">
        <f>IF(D1341&gt;0,VLOOKUP(OPERAC[[#This Row],[COD CART]],[1]!MatrizCortoLargoCyl[#All],3,0),"")</f>
        <v/>
      </c>
      <c r="F1341" s="13" t="inlineStr">
        <is>
          <t>IPIX</t>
        </is>
      </c>
      <c r="G1341" s="6" t="n">
        <v>1000</v>
      </c>
      <c r="H1341" s="6" t="n">
        <v>-109.99</v>
      </c>
      <c r="I1341" s="7">
        <f>-H1341/G1341</f>
        <v/>
      </c>
      <c r="J1341" s="11" t="n"/>
      <c r="K1341" s="6" t="n"/>
      <c r="L1341" s="6" t="n"/>
      <c r="M1341" s="7">
        <f>IF(N1341=0,+L1341+H1341,0)</f>
        <v/>
      </c>
      <c r="N1341" s="7">
        <f>IF((+G1341-K1341)=0,0,+G1341-K1341)</f>
        <v/>
      </c>
      <c r="O1341" s="7">
        <f>IF(N1341=0,0,(L1341+H1341)/-N1341)</f>
        <v/>
      </c>
      <c r="P1341" s="7">
        <f>VLOOKUP(OPERAC[[#This Row],[especie]],[1]!ESPECIES[#All],6,0)</f>
        <v/>
      </c>
      <c r="Q1341" s="7">
        <f>IF(N1341&lt;&gt;0,P1341*N1341,0)</f>
        <v/>
      </c>
      <c r="R1341" s="8">
        <f>IF(Q1341&lt;&gt;0,Q1341+H1341+L1341,0)</f>
        <v/>
      </c>
      <c r="S1341" s="9">
        <f>VLOOKUP(OPERAC[[#This Row],[especie]],[1]!ESPECIES[#Data],9,FALSE)</f>
        <v/>
      </c>
    </row>
    <row r="1342">
      <c r="A1342" s="4" t="n">
        <v>1800</v>
      </c>
      <c r="B1342" s="5" t="n">
        <v>44511</v>
      </c>
      <c r="C1342" s="13" t="inlineStr">
        <is>
          <t>VTA</t>
        </is>
      </c>
      <c r="D1342" s="13" t="n">
        <v>31</v>
      </c>
      <c r="E1342" s="10">
        <f>IF(D1342&gt;0,VLOOKUP(OPERAC[[#This Row],[COD CART]],[1]!MatrizCortoLargoCyl[#All],3,0),"")</f>
        <v/>
      </c>
      <c r="F1342" s="13" t="inlineStr">
        <is>
          <t>IPIX</t>
        </is>
      </c>
      <c r="G1342" s="6" t="n">
        <v>1000</v>
      </c>
      <c r="H1342" s="6" t="n">
        <v>-109.99</v>
      </c>
      <c r="I1342" s="7">
        <f>-H1342/G1342</f>
        <v/>
      </c>
      <c r="J1342" s="11" t="n"/>
      <c r="K1342" s="6" t="n"/>
      <c r="L1342" s="6" t="n"/>
      <c r="M1342" s="7">
        <f>IF(N1342=0,+L1342+H1342,0)</f>
        <v/>
      </c>
      <c r="N1342" s="7">
        <f>IF((+G1342-K1342)=0,0,+G1342-K1342)</f>
        <v/>
      </c>
      <c r="O1342" s="7">
        <f>IF(N1342=0,0,(L1342+H1342)/-N1342)</f>
        <v/>
      </c>
      <c r="P1342" s="7">
        <f>VLOOKUP(OPERAC[[#This Row],[especie]],[1]!ESPECIES[#All],6,0)</f>
        <v/>
      </c>
      <c r="Q1342" s="7">
        <f>IF(N1342&lt;&gt;0,P1342*N1342,0)</f>
        <v/>
      </c>
      <c r="R1342" s="8">
        <f>IF(Q1342&lt;&gt;0,Q1342+H1342+L1342,0)</f>
        <v/>
      </c>
      <c r="S1342" s="9">
        <f>VLOOKUP(OPERAC[[#This Row],[especie]],[1]!ESPECIES[#Data],9,FALSE)</f>
        <v/>
      </c>
    </row>
    <row r="1343">
      <c r="A1343" s="4" t="n">
        <v>2211</v>
      </c>
      <c r="B1343" s="5" t="n">
        <v>44511</v>
      </c>
      <c r="C1343" s="13" t="inlineStr">
        <is>
          <t>VTA</t>
        </is>
      </c>
      <c r="D1343" s="13" t="n">
        <v>31</v>
      </c>
      <c r="E1343" s="10">
        <f>IF(D1343&gt;0,VLOOKUP(OPERAC[[#This Row],[COD CART]],[1]!MatrizCortoLargoCyl[#All],3,0),"")</f>
        <v/>
      </c>
      <c r="F1343" s="13" t="inlineStr">
        <is>
          <t>IPIX</t>
        </is>
      </c>
      <c r="G1343" s="6" t="n">
        <v>1000</v>
      </c>
      <c r="H1343" s="6" t="n">
        <v>-109.99</v>
      </c>
      <c r="I1343" s="7">
        <f>-H1343/G1343</f>
        <v/>
      </c>
      <c r="J1343" s="11" t="n"/>
      <c r="K1343" s="6" t="n"/>
      <c r="L1343" s="6" t="n"/>
      <c r="M1343" s="7">
        <f>IF(N1343=0,+L1343+H1343,0)</f>
        <v/>
      </c>
      <c r="N1343" s="7">
        <f>IF((+G1343-K1343)=0,0,+G1343-K1343)</f>
        <v/>
      </c>
      <c r="O1343" s="7">
        <f>IF(N1343=0,0,(L1343+H1343)/-N1343)</f>
        <v/>
      </c>
      <c r="P1343" s="7">
        <f>VLOOKUP(OPERAC[[#This Row],[especie]],[1]!ESPECIES[#All],6,0)</f>
        <v/>
      </c>
      <c r="Q1343" s="7">
        <f>IF(N1343&lt;&gt;0,P1343*N1343,0)</f>
        <v/>
      </c>
      <c r="R1343" s="8">
        <f>IF(Q1343&lt;&gt;0,Q1343+H1343+L1343,0)</f>
        <v/>
      </c>
      <c r="S1343" s="9">
        <f>VLOOKUP(OPERAC[[#This Row],[especie]],[1]!ESPECIES[#Data],9,FALSE)</f>
        <v/>
      </c>
    </row>
    <row r="1344">
      <c r="A1344" s="4" t="n">
        <v>2289</v>
      </c>
      <c r="B1344" s="5" t="n">
        <v>44511</v>
      </c>
      <c r="C1344" s="13" t="inlineStr">
        <is>
          <t>VTA</t>
        </is>
      </c>
      <c r="D1344" s="13" t="n">
        <v>31</v>
      </c>
      <c r="E1344" s="10">
        <f>IF(D1344&gt;0,VLOOKUP(OPERAC[[#This Row],[COD CART]],[1]!MatrizCortoLargoCyl[#All],3,0),"")</f>
        <v/>
      </c>
      <c r="F1344" s="13" t="inlineStr">
        <is>
          <t>IPIX</t>
        </is>
      </c>
      <c r="G1344" s="6" t="n">
        <v>1000</v>
      </c>
      <c r="H1344" s="6" t="n">
        <v>-109.99</v>
      </c>
      <c r="I1344" s="7">
        <f>-H1344/G1344</f>
        <v/>
      </c>
      <c r="J1344" s="11" t="n"/>
      <c r="K1344" s="6" t="n"/>
      <c r="L1344" s="6" t="n"/>
      <c r="M1344" s="7">
        <f>IF(N1344=0,+L1344+H1344,0)</f>
        <v/>
      </c>
      <c r="N1344" s="7">
        <f>IF((+G1344-K1344)=0,0,+G1344-K1344)</f>
        <v/>
      </c>
      <c r="O1344" s="7">
        <f>IF(N1344=0,0,(L1344+H1344)/-N1344)</f>
        <v/>
      </c>
      <c r="P1344" s="7">
        <f>VLOOKUP(OPERAC[[#This Row],[especie]],[1]!ESPECIES[#All],6,0)</f>
        <v/>
      </c>
      <c r="Q1344" s="7">
        <f>IF(N1344&lt;&gt;0,P1344*N1344,0)</f>
        <v/>
      </c>
      <c r="R1344" s="8">
        <f>IF(Q1344&lt;&gt;0,Q1344+H1344+L1344,0)</f>
        <v/>
      </c>
      <c r="S1344" s="9">
        <f>VLOOKUP(OPERAC[[#This Row],[especie]],[1]!ESPECIES[#Data],9,FALSE)</f>
        <v/>
      </c>
    </row>
    <row r="1345">
      <c r="A1345" s="4" t="n">
        <v>7867</v>
      </c>
      <c r="B1345" s="5" t="n">
        <v>44511</v>
      </c>
      <c r="C1345" s="13" t="inlineStr">
        <is>
          <t>VTA</t>
        </is>
      </c>
      <c r="D1345" s="13" t="n">
        <v>31</v>
      </c>
      <c r="E1345" s="10">
        <f>IF(D1345&gt;0,VLOOKUP(OPERAC[[#This Row],[COD CART]],[1]!MatrizCortoLargoCyl[#All],3,0),"")</f>
        <v/>
      </c>
      <c r="F1345" s="13" t="inlineStr">
        <is>
          <t>IPIX</t>
        </is>
      </c>
      <c r="G1345" s="6" t="n">
        <v>1000</v>
      </c>
      <c r="H1345" s="6" t="n">
        <v>-109.99</v>
      </c>
      <c r="I1345" s="7">
        <f>-H1345/G1345</f>
        <v/>
      </c>
      <c r="J1345" s="11" t="n"/>
      <c r="K1345" s="6" t="n"/>
      <c r="L1345" s="6" t="n"/>
      <c r="M1345" s="7">
        <f>IF(N1345=0,+L1345+H1345,0)</f>
        <v/>
      </c>
      <c r="N1345" s="7">
        <f>IF((+G1345-K1345)=0,0,+G1345-K1345)</f>
        <v/>
      </c>
      <c r="O1345" s="7">
        <f>IF(N1345=0,0,(L1345+H1345)/-N1345)</f>
        <v/>
      </c>
      <c r="P1345" s="7">
        <f>VLOOKUP(OPERAC[[#This Row],[especie]],[1]!ESPECIES[#All],6,0)</f>
        <v/>
      </c>
      <c r="Q1345" s="7">
        <f>IF(N1345&lt;&gt;0,P1345*N1345,0)</f>
        <v/>
      </c>
      <c r="R1345" s="8">
        <f>IF(Q1345&lt;&gt;0,Q1345+H1345+L1345,0)</f>
        <v/>
      </c>
      <c r="S1345" s="9">
        <f>VLOOKUP(OPERAC[[#This Row],[especie]],[1]!ESPECIES[#Data],9,FALSE)</f>
        <v/>
      </c>
    </row>
    <row r="1346">
      <c r="A1346" s="4" t="n">
        <v>7895</v>
      </c>
      <c r="B1346" s="5" t="n">
        <v>44511</v>
      </c>
      <c r="C1346" s="13" t="inlineStr">
        <is>
          <t>VTA</t>
        </is>
      </c>
      <c r="D1346" s="13" t="n">
        <v>31</v>
      </c>
      <c r="E1346" s="10">
        <f>IF(D1346&gt;0,VLOOKUP(OPERAC[[#This Row],[COD CART]],[1]!MatrizCortoLargoCyl[#All],3,0),"")</f>
        <v/>
      </c>
      <c r="F1346" s="13" t="inlineStr">
        <is>
          <t>IPIX</t>
        </is>
      </c>
      <c r="G1346" s="6" t="n">
        <v>1000</v>
      </c>
      <c r="H1346" s="6" t="n">
        <v>-109.99</v>
      </c>
      <c r="I1346" s="7">
        <f>-H1346/G1346</f>
        <v/>
      </c>
      <c r="J1346" s="11" t="n"/>
      <c r="K1346" s="6" t="n"/>
      <c r="L1346" s="6" t="n"/>
      <c r="M1346" s="7">
        <f>IF(N1346=0,+L1346+H1346,0)</f>
        <v/>
      </c>
      <c r="N1346" s="7">
        <f>IF((+G1346-K1346)=0,0,+G1346-K1346)</f>
        <v/>
      </c>
      <c r="O1346" s="7">
        <f>IF(N1346=0,0,(L1346+H1346)/-N1346)</f>
        <v/>
      </c>
      <c r="P1346" s="7">
        <f>VLOOKUP(OPERAC[[#This Row],[especie]],[1]!ESPECIES[#All],6,0)</f>
        <v/>
      </c>
      <c r="Q1346" s="7">
        <f>IF(N1346&lt;&gt;0,P1346*N1346,0)</f>
        <v/>
      </c>
      <c r="R1346" s="8">
        <f>IF(Q1346&lt;&gt;0,Q1346+H1346+L1346,0)</f>
        <v/>
      </c>
      <c r="S1346" s="9">
        <f>VLOOKUP(OPERAC[[#This Row],[especie]],[1]!ESPECIES[#Data],9,FALSE)</f>
        <v/>
      </c>
    </row>
    <row r="1347">
      <c r="A1347" s="4" t="n">
        <v>7925</v>
      </c>
      <c r="B1347" s="5" t="n">
        <v>44511</v>
      </c>
      <c r="C1347" s="13" t="inlineStr">
        <is>
          <t>VTA</t>
        </is>
      </c>
      <c r="D1347" s="13" t="n">
        <v>31</v>
      </c>
      <c r="E1347" s="10">
        <f>IF(D1347&gt;0,VLOOKUP(OPERAC[[#This Row],[COD CART]],[1]!MatrizCortoLargoCyl[#All],3,0),"")</f>
        <v/>
      </c>
      <c r="F1347" s="13" t="inlineStr">
        <is>
          <t>IPIX</t>
        </is>
      </c>
      <c r="G1347" s="6" t="n">
        <v>1000</v>
      </c>
      <c r="H1347" s="6" t="n">
        <v>-109.99</v>
      </c>
      <c r="I1347" s="7">
        <f>-H1347/G1347</f>
        <v/>
      </c>
      <c r="J1347" s="11" t="n">
        <v>44690</v>
      </c>
      <c r="K1347" s="6" t="n">
        <v>1000</v>
      </c>
      <c r="L1347" s="6" t="n">
        <v>24.788</v>
      </c>
      <c r="M1347" s="7">
        <f>IF(N1347=0,+L1347+H1347,0)</f>
        <v/>
      </c>
      <c r="N1347" s="7">
        <f>IF((+G1347-K1347)=0,0,+G1347-K1347)</f>
        <v/>
      </c>
      <c r="O1347" s="7">
        <f>IF(N1347=0,0,(L1347+H1347)/-N1347)</f>
        <v/>
      </c>
      <c r="P1347" s="7">
        <f>VLOOKUP(OPERAC[[#This Row],[especie]],[1]!ESPECIES[#All],6,0)</f>
        <v/>
      </c>
      <c r="Q1347" s="7">
        <f>IF(N1347&lt;&gt;0,P1347*N1347,0)</f>
        <v/>
      </c>
      <c r="R1347" s="8">
        <f>IF(Q1347&lt;&gt;0,Q1347+H1347+L1347,0)</f>
        <v/>
      </c>
      <c r="S1347" s="9">
        <f>VLOOKUP(OPERAC[[#This Row],[especie]],[1]!ESPECIES[#Data],9,FALSE)</f>
        <v/>
      </c>
    </row>
    <row r="1348">
      <c r="A1348" s="4" t="n">
        <v>11168</v>
      </c>
      <c r="B1348" s="5" t="n">
        <v>44511</v>
      </c>
      <c r="C1348" s="13" t="inlineStr">
        <is>
          <t>VTA</t>
        </is>
      </c>
      <c r="D1348" s="13" t="n">
        <v>31</v>
      </c>
      <c r="E1348" s="10">
        <f>IF(D1348&gt;0,VLOOKUP(OPERAC[[#This Row],[COD CART]],[1]!MatrizCortoLargoCyl[#All],3,0),"")</f>
        <v/>
      </c>
      <c r="F1348" s="13" t="inlineStr">
        <is>
          <t>IPIX</t>
        </is>
      </c>
      <c r="G1348" s="6" t="n">
        <v>1000</v>
      </c>
      <c r="H1348" s="6" t="n">
        <v>-109.99</v>
      </c>
      <c r="I1348" s="7">
        <f>-H1348/G1348</f>
        <v/>
      </c>
      <c r="J1348" s="11" t="n"/>
      <c r="K1348" s="6" t="n"/>
      <c r="L1348" s="6" t="n"/>
      <c r="M1348" s="7">
        <f>IF(N1348=0,+L1348+H1348,0)</f>
        <v/>
      </c>
      <c r="N1348" s="7">
        <f>IF((+G1348-K1348)=0,0,+G1348-K1348)</f>
        <v/>
      </c>
      <c r="O1348" s="7">
        <f>IF(N1348=0,0,(L1348+H1348)/-N1348)</f>
        <v/>
      </c>
      <c r="P1348" s="7">
        <f>VLOOKUP(OPERAC[[#This Row],[especie]],[1]!ESPECIES[#All],6,0)</f>
        <v/>
      </c>
      <c r="Q1348" s="7">
        <f>IF(N1348&lt;&gt;0,P1348*N1348,0)</f>
        <v/>
      </c>
      <c r="R1348" s="8">
        <f>IF(Q1348&lt;&gt;0,Q1348+H1348+L1348,0)</f>
        <v/>
      </c>
      <c r="S1348" s="9">
        <f>VLOOKUP(OPERAC[[#This Row],[especie]],[1]!ESPECIES[#Data],9,FALSE)</f>
        <v/>
      </c>
    </row>
    <row r="1349">
      <c r="A1349" s="4" t="n">
        <v>12022</v>
      </c>
      <c r="B1349" s="5" t="n">
        <v>44511</v>
      </c>
      <c r="C1349" s="13" t="inlineStr">
        <is>
          <t>VTA</t>
        </is>
      </c>
      <c r="D1349" s="13" t="n">
        <v>31</v>
      </c>
      <c r="E1349" s="10">
        <f>IF(D1349&gt;0,VLOOKUP(OPERAC[[#This Row],[COD CART]],[1]!MatrizCortoLargoCyl[#All],3,0),"")</f>
        <v/>
      </c>
      <c r="F1349" s="13" t="inlineStr">
        <is>
          <t>IPIX</t>
        </is>
      </c>
      <c r="G1349" s="6" t="n">
        <v>1000</v>
      </c>
      <c r="H1349" s="6" t="n">
        <v>-109.99</v>
      </c>
      <c r="I1349" s="7">
        <f>-H1349/G1349</f>
        <v/>
      </c>
      <c r="J1349" s="11" t="n"/>
      <c r="K1349" s="6" t="n"/>
      <c r="L1349" s="6" t="n"/>
      <c r="M1349" s="7">
        <f>IF(N1349=0,+L1349+H1349,0)</f>
        <v/>
      </c>
      <c r="N1349" s="7">
        <f>IF((+G1349-K1349)=0,0,+G1349-K1349)</f>
        <v/>
      </c>
      <c r="O1349" s="7">
        <f>IF(N1349=0,0,(L1349+H1349)/-N1349)</f>
        <v/>
      </c>
      <c r="P1349" s="7">
        <f>VLOOKUP(OPERAC[[#This Row],[especie]],[1]!ESPECIES[#All],6,0)</f>
        <v/>
      </c>
      <c r="Q1349" s="7">
        <f>IF(N1349&lt;&gt;0,P1349*N1349,0)</f>
        <v/>
      </c>
      <c r="R1349" s="8">
        <f>IF(Q1349&lt;&gt;0,Q1349+H1349+L1349,0)</f>
        <v/>
      </c>
      <c r="S1349" s="9">
        <f>VLOOKUP(OPERAC[[#This Row],[especie]],[1]!ESPECIES[#Data],9,FALSE)</f>
        <v/>
      </c>
    </row>
    <row r="1350">
      <c r="A1350" s="4" t="n">
        <v>12671</v>
      </c>
      <c r="B1350" s="5" t="n">
        <v>44511</v>
      </c>
      <c r="C1350" s="13" t="inlineStr">
        <is>
          <t>VTA</t>
        </is>
      </c>
      <c r="D1350" s="13" t="n">
        <v>31</v>
      </c>
      <c r="E1350" s="10">
        <f>IF(D1350&gt;0,VLOOKUP(OPERAC[[#This Row],[COD CART]],[1]!MatrizCortoLargoCyl[#All],3,0),"")</f>
        <v/>
      </c>
      <c r="F1350" s="13" t="inlineStr">
        <is>
          <t>IPIX</t>
        </is>
      </c>
      <c r="G1350" s="6" t="n">
        <v>1000</v>
      </c>
      <c r="H1350" s="6" t="n">
        <v>-109.99</v>
      </c>
      <c r="I1350" s="7">
        <f>-H1350/G1350</f>
        <v/>
      </c>
      <c r="J1350" s="11" t="n"/>
      <c r="K1350" s="6" t="n"/>
      <c r="L1350" s="6" t="n"/>
      <c r="M1350" s="7">
        <f>IF(N1350=0,+L1350+H1350,0)</f>
        <v/>
      </c>
      <c r="N1350" s="7">
        <f>IF((+G1350-K1350)=0,0,+G1350-K1350)</f>
        <v/>
      </c>
      <c r="O1350" s="7">
        <f>IF(N1350=0,0,(L1350+H1350)/-N1350)</f>
        <v/>
      </c>
      <c r="P1350" s="7">
        <f>VLOOKUP(OPERAC[[#This Row],[especie]],[1]!ESPECIES[#All],6,0)</f>
        <v/>
      </c>
      <c r="Q1350" s="7">
        <f>IF(N1350&lt;&gt;0,P1350*N1350,0)</f>
        <v/>
      </c>
      <c r="R1350" s="8">
        <f>IF(Q1350&lt;&gt;0,Q1350+H1350+L1350,0)</f>
        <v/>
      </c>
      <c r="S1350" s="9">
        <f>VLOOKUP(OPERAC[[#This Row],[especie]],[1]!ESPECIES[#Data],9,FALSE)</f>
        <v/>
      </c>
    </row>
    <row r="1351">
      <c r="A1351" s="4" t="n">
        <v>12672</v>
      </c>
      <c r="B1351" s="5" t="n">
        <v>44511</v>
      </c>
      <c r="C1351" s="13" t="inlineStr">
        <is>
          <t>VTA</t>
        </is>
      </c>
      <c r="D1351" s="13" t="n">
        <v>31</v>
      </c>
      <c r="E1351" s="10">
        <f>IF(D1351&gt;0,VLOOKUP(OPERAC[[#This Row],[COD CART]],[1]!MatrizCortoLargoCyl[#All],3,0),"")</f>
        <v/>
      </c>
      <c r="F1351" s="13" t="inlineStr">
        <is>
          <t>IPIX</t>
        </is>
      </c>
      <c r="G1351" s="6" t="n">
        <v>1000</v>
      </c>
      <c r="H1351" s="6" t="n">
        <v>-109.99</v>
      </c>
      <c r="I1351" s="7">
        <f>-H1351/G1351</f>
        <v/>
      </c>
      <c r="J1351" s="11" t="n"/>
      <c r="K1351" s="6" t="n"/>
      <c r="L1351" s="6" t="n"/>
      <c r="M1351" s="7">
        <f>IF(N1351=0,+L1351+H1351,0)</f>
        <v/>
      </c>
      <c r="N1351" s="7">
        <f>IF((+G1351-K1351)=0,0,+G1351-K1351)</f>
        <v/>
      </c>
      <c r="O1351" s="7">
        <f>IF(N1351=0,0,(L1351+H1351)/-N1351)</f>
        <v/>
      </c>
      <c r="P1351" s="7">
        <f>VLOOKUP(OPERAC[[#This Row],[especie]],[1]!ESPECIES[#All],6,0)</f>
        <v/>
      </c>
      <c r="Q1351" s="7">
        <f>IF(N1351&lt;&gt;0,P1351*N1351,0)</f>
        <v/>
      </c>
      <c r="R1351" s="8">
        <f>IF(Q1351&lt;&gt;0,Q1351+H1351+L1351,0)</f>
        <v/>
      </c>
      <c r="S1351" s="9">
        <f>VLOOKUP(OPERAC[[#This Row],[especie]],[1]!ESPECIES[#Data],9,FALSE)</f>
        <v/>
      </c>
    </row>
    <row r="1352">
      <c r="A1352" s="4" t="n">
        <v>12686</v>
      </c>
      <c r="B1352" s="5" t="n">
        <v>44511</v>
      </c>
      <c r="C1352" s="13" t="inlineStr">
        <is>
          <t>VTA</t>
        </is>
      </c>
      <c r="D1352" s="13" t="n">
        <v>31</v>
      </c>
      <c r="E1352" s="10">
        <f>IF(D1352&gt;0,VLOOKUP(OPERAC[[#This Row],[COD CART]],[1]!MatrizCortoLargoCyl[#All],3,0),"")</f>
        <v/>
      </c>
      <c r="F1352" s="13" t="inlineStr">
        <is>
          <t>IPIX</t>
        </is>
      </c>
      <c r="G1352" s="6" t="n">
        <v>1000</v>
      </c>
      <c r="H1352" s="6" t="n">
        <v>-109.99</v>
      </c>
      <c r="I1352" s="7">
        <f>-H1352/G1352</f>
        <v/>
      </c>
      <c r="J1352" s="11" t="n"/>
      <c r="K1352" s="6" t="n"/>
      <c r="L1352" s="6" t="n"/>
      <c r="M1352" s="7">
        <f>IF(N1352=0,+L1352+H1352,0)</f>
        <v/>
      </c>
      <c r="N1352" s="7">
        <f>IF((+G1352-K1352)=0,0,+G1352-K1352)</f>
        <v/>
      </c>
      <c r="O1352" s="7">
        <f>IF(N1352=0,0,(L1352+H1352)/-N1352)</f>
        <v/>
      </c>
      <c r="P1352" s="7">
        <f>VLOOKUP(OPERAC[[#This Row],[especie]],[1]!ESPECIES[#All],6,0)</f>
        <v/>
      </c>
      <c r="Q1352" s="7">
        <f>IF(N1352&lt;&gt;0,P1352*N1352,0)</f>
        <v/>
      </c>
      <c r="R1352" s="8">
        <f>IF(Q1352&lt;&gt;0,Q1352+H1352+L1352,0)</f>
        <v/>
      </c>
      <c r="S1352" s="9">
        <f>VLOOKUP(OPERAC[[#This Row],[especie]],[1]!ESPECIES[#Data],9,FALSE)</f>
        <v/>
      </c>
    </row>
    <row r="1353">
      <c r="A1353" s="4" t="n">
        <v>12688</v>
      </c>
      <c r="B1353" s="5" t="n">
        <v>44511</v>
      </c>
      <c r="C1353" s="13" t="inlineStr">
        <is>
          <t>VTA</t>
        </is>
      </c>
      <c r="D1353" s="13" t="n">
        <v>31</v>
      </c>
      <c r="E1353" s="10">
        <f>IF(D1353&gt;0,VLOOKUP(OPERAC[[#This Row],[COD CART]],[1]!MatrizCortoLargoCyl[#All],3,0),"")</f>
        <v/>
      </c>
      <c r="F1353" s="13" t="inlineStr">
        <is>
          <t>IPIX</t>
        </is>
      </c>
      <c r="G1353" s="6" t="n">
        <v>1000</v>
      </c>
      <c r="H1353" s="6" t="n">
        <v>-109.99</v>
      </c>
      <c r="I1353" s="7">
        <f>-H1353/G1353</f>
        <v/>
      </c>
      <c r="J1353" s="11" t="n"/>
      <c r="K1353" s="6" t="n"/>
      <c r="L1353" s="6" t="n"/>
      <c r="M1353" s="7">
        <f>IF(N1353=0,+L1353+H1353,0)</f>
        <v/>
      </c>
      <c r="N1353" s="7">
        <f>IF((+G1353-K1353)=0,0,+G1353-K1353)</f>
        <v/>
      </c>
      <c r="O1353" s="7">
        <f>IF(N1353=0,0,(L1353+H1353)/-N1353)</f>
        <v/>
      </c>
      <c r="P1353" s="7">
        <f>VLOOKUP(OPERAC[[#This Row],[especie]],[1]!ESPECIES[#All],6,0)</f>
        <v/>
      </c>
      <c r="Q1353" s="7">
        <f>IF(N1353&lt;&gt;0,P1353*N1353,0)</f>
        <v/>
      </c>
      <c r="R1353" s="8">
        <f>IF(Q1353&lt;&gt;0,Q1353+H1353+L1353,0)</f>
        <v/>
      </c>
      <c r="S1353" s="9">
        <f>VLOOKUP(OPERAC[[#This Row],[especie]],[1]!ESPECIES[#Data],9,FALSE)</f>
        <v/>
      </c>
    </row>
    <row r="1354">
      <c r="A1354" s="4" t="n">
        <v>18705</v>
      </c>
      <c r="B1354" s="5" t="n">
        <v>44511</v>
      </c>
      <c r="C1354" s="13" t="inlineStr">
        <is>
          <t>VTA</t>
        </is>
      </c>
      <c r="D1354" s="13" t="n">
        <v>31</v>
      </c>
      <c r="E1354" s="10">
        <f>IF(D1354&gt;0,VLOOKUP(OPERAC[[#This Row],[COD CART]],[1]!MatrizCortoLargoCyl[#All],3,0),"")</f>
        <v/>
      </c>
      <c r="F1354" s="13" t="inlineStr">
        <is>
          <t>IPIX</t>
        </is>
      </c>
      <c r="G1354" s="6" t="n">
        <v>1000</v>
      </c>
      <c r="H1354" s="6" t="n">
        <v>-109.99</v>
      </c>
      <c r="I1354" s="7">
        <f>-H1354/G1354</f>
        <v/>
      </c>
      <c r="J1354" s="11" t="n"/>
      <c r="K1354" s="6" t="n"/>
      <c r="L1354" s="6" t="n"/>
      <c r="M1354" s="7">
        <f>IF(N1354=0,+L1354+H1354,0)</f>
        <v/>
      </c>
      <c r="N1354" s="7">
        <f>IF((+G1354-K1354)=0,0,+G1354-K1354)</f>
        <v/>
      </c>
      <c r="O1354" s="7">
        <f>IF(N1354=0,0,(L1354+H1354)/-N1354)</f>
        <v/>
      </c>
      <c r="P1354" s="7">
        <f>VLOOKUP(OPERAC[[#This Row],[especie]],[1]!ESPECIES[#All],6,0)</f>
        <v/>
      </c>
      <c r="Q1354" s="7">
        <f>IF(N1354&lt;&gt;0,P1354*N1354,0)</f>
        <v/>
      </c>
      <c r="R1354" s="8">
        <f>IF(Q1354&lt;&gt;0,Q1354+H1354+L1354,0)</f>
        <v/>
      </c>
      <c r="S1354" s="9">
        <f>VLOOKUP(OPERAC[[#This Row],[especie]],[1]!ESPECIES[#Data],9,FALSE)</f>
        <v/>
      </c>
    </row>
    <row r="1355">
      <c r="A1355" s="4" t="n">
        <v>18711</v>
      </c>
      <c r="B1355" s="5" t="n">
        <v>44511</v>
      </c>
      <c r="C1355" s="13" t="inlineStr">
        <is>
          <t>VTA</t>
        </is>
      </c>
      <c r="D1355" s="13" t="n">
        <v>31</v>
      </c>
      <c r="E1355" s="10">
        <f>IF(D1355&gt;0,VLOOKUP(OPERAC[[#This Row],[COD CART]],[1]!MatrizCortoLargoCyl[#All],3,0),"")</f>
        <v/>
      </c>
      <c r="F1355" s="13" t="inlineStr">
        <is>
          <t>IPIX</t>
        </is>
      </c>
      <c r="G1355" s="6" t="n">
        <v>1000</v>
      </c>
      <c r="H1355" s="6" t="n">
        <v>-109.99</v>
      </c>
      <c r="I1355" s="7">
        <f>-H1355/G1355</f>
        <v/>
      </c>
      <c r="J1355" s="11" t="n"/>
      <c r="K1355" s="6" t="n"/>
      <c r="L1355" s="6" t="n"/>
      <c r="M1355" s="7">
        <f>IF(N1355=0,+L1355+H1355,0)</f>
        <v/>
      </c>
      <c r="N1355" s="7">
        <f>IF((+G1355-K1355)=0,0,+G1355-K1355)</f>
        <v/>
      </c>
      <c r="O1355" s="7">
        <f>IF(N1355=0,0,(L1355+H1355)/-N1355)</f>
        <v/>
      </c>
      <c r="P1355" s="7">
        <f>VLOOKUP(OPERAC[[#This Row],[especie]],[1]!ESPECIES[#All],6,0)</f>
        <v/>
      </c>
      <c r="Q1355" s="7">
        <f>IF(N1355&lt;&gt;0,P1355*N1355,0)</f>
        <v/>
      </c>
      <c r="R1355" s="8">
        <f>IF(Q1355&lt;&gt;0,Q1355+H1355+L1355,0)</f>
        <v/>
      </c>
      <c r="S1355" s="9">
        <f>VLOOKUP(OPERAC[[#This Row],[especie]],[1]!ESPECIES[#Data],9,FALSE)</f>
        <v/>
      </c>
    </row>
    <row r="1356">
      <c r="A1356" s="4" t="n">
        <v>18713</v>
      </c>
      <c r="B1356" s="5" t="n">
        <v>44511</v>
      </c>
      <c r="C1356" s="13" t="inlineStr">
        <is>
          <t>VTA</t>
        </is>
      </c>
      <c r="D1356" s="13" t="n">
        <v>31</v>
      </c>
      <c r="E1356" s="10">
        <f>IF(D1356&gt;0,VLOOKUP(OPERAC[[#This Row],[COD CART]],[1]!MatrizCortoLargoCyl[#All],3,0),"")</f>
        <v/>
      </c>
      <c r="F1356" s="13" t="inlineStr">
        <is>
          <t>IPIX</t>
        </is>
      </c>
      <c r="G1356" s="6" t="n">
        <v>1000</v>
      </c>
      <c r="H1356" s="6" t="n">
        <v>-109.99</v>
      </c>
      <c r="I1356" s="7">
        <f>-H1356/G1356</f>
        <v/>
      </c>
      <c r="J1356" s="11" t="n"/>
      <c r="K1356" s="6" t="n"/>
      <c r="L1356" s="6" t="n"/>
      <c r="M1356" s="7">
        <f>IF(N1356=0,+L1356+H1356,0)</f>
        <v/>
      </c>
      <c r="N1356" s="7">
        <f>IF((+G1356-K1356)=0,0,+G1356-K1356)</f>
        <v/>
      </c>
      <c r="O1356" s="7">
        <f>IF(N1356=0,0,(L1356+H1356)/-N1356)</f>
        <v/>
      </c>
      <c r="P1356" s="7">
        <f>VLOOKUP(OPERAC[[#This Row],[especie]],[1]!ESPECIES[#All],6,0)</f>
        <v/>
      </c>
      <c r="Q1356" s="7">
        <f>IF(N1356&lt;&gt;0,P1356*N1356,0)</f>
        <v/>
      </c>
      <c r="R1356" s="8">
        <f>IF(Q1356&lt;&gt;0,Q1356+H1356+L1356,0)</f>
        <v/>
      </c>
      <c r="S1356" s="9">
        <f>VLOOKUP(OPERAC[[#This Row],[especie]],[1]!ESPECIES[#Data],9,FALSE)</f>
        <v/>
      </c>
    </row>
    <row r="1357">
      <c r="A1357" s="4" t="n">
        <v>19931</v>
      </c>
      <c r="B1357" s="5" t="n">
        <v>44511</v>
      </c>
      <c r="C1357" s="13" t="inlineStr">
        <is>
          <t>VTA</t>
        </is>
      </c>
      <c r="D1357" s="13" t="n">
        <v>31</v>
      </c>
      <c r="E1357" s="10">
        <f>IF(D1357&gt;0,VLOOKUP(OPERAC[[#This Row],[COD CART]],[1]!MatrizCortoLargoCyl[#All],3,0),"")</f>
        <v/>
      </c>
      <c r="F1357" s="13" t="inlineStr">
        <is>
          <t>IPIX</t>
        </is>
      </c>
      <c r="G1357" s="6" t="n">
        <v>1000</v>
      </c>
      <c r="H1357" s="6" t="n">
        <v>-109.99</v>
      </c>
      <c r="I1357" s="7">
        <f>-H1357/G1357</f>
        <v/>
      </c>
      <c r="J1357" s="11" t="n"/>
      <c r="K1357" s="6" t="n"/>
      <c r="L1357" s="6" t="n"/>
      <c r="M1357" s="7">
        <f>IF(N1357=0,+L1357+H1357,0)</f>
        <v/>
      </c>
      <c r="N1357" s="7">
        <f>IF((+G1357-K1357)=0,0,+G1357-K1357)</f>
        <v/>
      </c>
      <c r="O1357" s="7">
        <f>IF(N1357=0,0,(L1357+H1357)/-N1357)</f>
        <v/>
      </c>
      <c r="P1357" s="7">
        <f>VLOOKUP(OPERAC[[#This Row],[especie]],[1]!ESPECIES[#All],6,0)</f>
        <v/>
      </c>
      <c r="Q1357" s="7">
        <f>IF(N1357&lt;&gt;0,P1357*N1357,0)</f>
        <v/>
      </c>
      <c r="R1357" s="8">
        <f>IF(Q1357&lt;&gt;0,Q1357+H1357+L1357,0)</f>
        <v/>
      </c>
      <c r="S1357" s="9">
        <f>VLOOKUP(OPERAC[[#This Row],[especie]],[1]!ESPECIES[#Data],9,FALSE)</f>
        <v/>
      </c>
    </row>
    <row r="1358">
      <c r="A1358" s="4" t="n">
        <v>20317</v>
      </c>
      <c r="B1358" s="5" t="n">
        <v>44511</v>
      </c>
      <c r="C1358" s="13" t="inlineStr">
        <is>
          <t>VTA</t>
        </is>
      </c>
      <c r="D1358" s="13" t="n">
        <v>31</v>
      </c>
      <c r="E1358" s="10">
        <f>IF(D1358&gt;0,VLOOKUP(OPERAC[[#This Row],[COD CART]],[1]!MatrizCortoLargoCyl[#All],3,0),"")</f>
        <v/>
      </c>
      <c r="F1358" s="13" t="inlineStr">
        <is>
          <t>IPIX</t>
        </is>
      </c>
      <c r="G1358" s="6" t="n">
        <v>1000</v>
      </c>
      <c r="H1358" s="6" t="n">
        <v>-109.99</v>
      </c>
      <c r="I1358" s="7">
        <f>-H1358/G1358</f>
        <v/>
      </c>
      <c r="J1358" s="11" t="n"/>
      <c r="K1358" s="6" t="n"/>
      <c r="L1358" s="6" t="n"/>
      <c r="M1358" s="7">
        <f>IF(N1358=0,+L1358+H1358,0)</f>
        <v/>
      </c>
      <c r="N1358" s="7">
        <f>IF((+G1358-K1358)=0,0,+G1358-K1358)</f>
        <v/>
      </c>
      <c r="O1358" s="7">
        <f>IF(N1358=0,0,(L1358+H1358)/-N1358)</f>
        <v/>
      </c>
      <c r="P1358" s="7">
        <f>VLOOKUP(OPERAC[[#This Row],[especie]],[1]!ESPECIES[#All],6,0)</f>
        <v/>
      </c>
      <c r="Q1358" s="7">
        <f>IF(N1358&lt;&gt;0,P1358*N1358,0)</f>
        <v/>
      </c>
      <c r="R1358" s="8">
        <f>IF(Q1358&lt;&gt;0,Q1358+H1358+L1358,0)</f>
        <v/>
      </c>
      <c r="S1358" s="9">
        <f>VLOOKUP(OPERAC[[#This Row],[especie]],[1]!ESPECIES[#Data],9,FALSE)</f>
        <v/>
      </c>
    </row>
    <row r="1359">
      <c r="A1359" s="4" t="n">
        <v>22421</v>
      </c>
      <c r="B1359" s="5" t="n">
        <v>44511</v>
      </c>
      <c r="C1359" s="13" t="inlineStr">
        <is>
          <t>VTA</t>
        </is>
      </c>
      <c r="D1359" s="13" t="n">
        <v>31</v>
      </c>
      <c r="E1359" s="10">
        <f>IF(D1359&gt;0,VLOOKUP(OPERAC[[#This Row],[COD CART]],[1]!MatrizCortoLargoCyl[#All],3,0),"")</f>
        <v/>
      </c>
      <c r="F1359" s="13" t="inlineStr">
        <is>
          <t>IPIX</t>
        </is>
      </c>
      <c r="G1359" s="6" t="n">
        <v>1000</v>
      </c>
      <c r="H1359" s="6" t="n">
        <v>-109.99</v>
      </c>
      <c r="I1359" s="7">
        <f>-H1359/G1359</f>
        <v/>
      </c>
      <c r="J1359" s="11" t="n"/>
      <c r="K1359" s="6" t="n"/>
      <c r="L1359" s="6" t="n"/>
      <c r="M1359" s="7">
        <f>IF(N1359=0,+L1359+H1359,0)</f>
        <v/>
      </c>
      <c r="N1359" s="7">
        <f>IF((+G1359-K1359)=0,0,+G1359-K1359)</f>
        <v/>
      </c>
      <c r="O1359" s="7">
        <f>IF(N1359=0,0,(L1359+H1359)/-N1359)</f>
        <v/>
      </c>
      <c r="P1359" s="7">
        <f>VLOOKUP(OPERAC[[#This Row],[especie]],[1]!ESPECIES[#All],6,0)</f>
        <v/>
      </c>
      <c r="Q1359" s="7">
        <f>IF(N1359&lt;&gt;0,P1359*N1359,0)</f>
        <v/>
      </c>
      <c r="R1359" s="8">
        <f>IF(Q1359&lt;&gt;0,Q1359+H1359+L1359,0)</f>
        <v/>
      </c>
      <c r="S1359" s="9">
        <f>VLOOKUP(OPERAC[[#This Row],[especie]],[1]!ESPECIES[#Data],9,FALSE)</f>
        <v/>
      </c>
    </row>
    <row r="1360">
      <c r="A1360" s="4" t="n">
        <v>22431</v>
      </c>
      <c r="B1360" s="5" t="n">
        <v>44511</v>
      </c>
      <c r="C1360" s="13" t="inlineStr">
        <is>
          <t>VTA</t>
        </is>
      </c>
      <c r="D1360" s="13" t="n">
        <v>31</v>
      </c>
      <c r="E1360" s="10">
        <f>IF(D1360&gt;0,VLOOKUP(OPERAC[[#This Row],[COD CART]],[1]!MatrizCortoLargoCyl[#All],3,0),"")</f>
        <v/>
      </c>
      <c r="F1360" s="13" t="inlineStr">
        <is>
          <t>IPIX</t>
        </is>
      </c>
      <c r="G1360" s="6" t="n">
        <v>1000</v>
      </c>
      <c r="H1360" s="6" t="n">
        <v>-109.99</v>
      </c>
      <c r="I1360" s="7">
        <f>-H1360/G1360</f>
        <v/>
      </c>
      <c r="J1360" s="11" t="n"/>
      <c r="K1360" s="6" t="n"/>
      <c r="L1360" s="6" t="n"/>
      <c r="M1360" s="7">
        <f>IF(N1360=0,+L1360+H1360,0)</f>
        <v/>
      </c>
      <c r="N1360" s="7">
        <f>IF((+G1360-K1360)=0,0,+G1360-K1360)</f>
        <v/>
      </c>
      <c r="O1360" s="7">
        <f>IF(N1360=0,0,(L1360+H1360)/-N1360)</f>
        <v/>
      </c>
      <c r="P1360" s="7">
        <f>VLOOKUP(OPERAC[[#This Row],[especie]],[1]!ESPECIES[#All],6,0)</f>
        <v/>
      </c>
      <c r="Q1360" s="7">
        <f>IF(N1360&lt;&gt;0,P1360*N1360,0)</f>
        <v/>
      </c>
      <c r="R1360" s="8">
        <f>IF(Q1360&lt;&gt;0,Q1360+H1360+L1360,0)</f>
        <v/>
      </c>
      <c r="S1360" s="9">
        <f>VLOOKUP(OPERAC[[#This Row],[especie]],[1]!ESPECIES[#Data],9,FALSE)</f>
        <v/>
      </c>
    </row>
    <row r="1361">
      <c r="A1361" s="4" t="n">
        <v>22433</v>
      </c>
      <c r="B1361" s="5" t="n">
        <v>44511</v>
      </c>
      <c r="C1361" s="13" t="inlineStr">
        <is>
          <t>VTA</t>
        </is>
      </c>
      <c r="D1361" s="13" t="n">
        <v>31</v>
      </c>
      <c r="E1361" s="10">
        <f>IF(D1361&gt;0,VLOOKUP(OPERAC[[#This Row],[COD CART]],[1]!MatrizCortoLargoCyl[#All],3,0),"")</f>
        <v/>
      </c>
      <c r="F1361" s="13" t="inlineStr">
        <is>
          <t>IPIX</t>
        </is>
      </c>
      <c r="G1361" s="6" t="n">
        <v>1000</v>
      </c>
      <c r="H1361" s="6" t="n">
        <v>-109.99</v>
      </c>
      <c r="I1361" s="7">
        <f>-H1361/G1361</f>
        <v/>
      </c>
      <c r="J1361" s="11" t="n"/>
      <c r="K1361" s="6" t="n"/>
      <c r="L1361" s="6" t="n"/>
      <c r="M1361" s="7">
        <f>IF(N1361=0,+L1361+H1361,0)</f>
        <v/>
      </c>
      <c r="N1361" s="7">
        <f>IF((+G1361-K1361)=0,0,+G1361-K1361)</f>
        <v/>
      </c>
      <c r="O1361" s="7">
        <f>IF(N1361=0,0,(L1361+H1361)/-N1361)</f>
        <v/>
      </c>
      <c r="P1361" s="7">
        <f>VLOOKUP(OPERAC[[#This Row],[especie]],[1]!ESPECIES[#All],6,0)</f>
        <v/>
      </c>
      <c r="Q1361" s="7">
        <f>IF(N1361&lt;&gt;0,P1361*N1361,0)</f>
        <v/>
      </c>
      <c r="R1361" s="8">
        <f>IF(Q1361&lt;&gt;0,Q1361+H1361+L1361,0)</f>
        <v/>
      </c>
      <c r="S1361" s="9">
        <f>VLOOKUP(OPERAC[[#This Row],[especie]],[1]!ESPECIES[#Data],9,FALSE)</f>
        <v/>
      </c>
    </row>
    <row r="1362">
      <c r="A1362" s="4" t="n">
        <v>22393</v>
      </c>
      <c r="B1362" s="5" t="n">
        <v>44511</v>
      </c>
      <c r="C1362" s="13" t="inlineStr">
        <is>
          <t>VTA</t>
        </is>
      </c>
      <c r="D1362" s="13" t="n">
        <v>31</v>
      </c>
      <c r="E1362" s="10">
        <f>IF(D1362&gt;0,VLOOKUP(OPERAC[[#This Row],[COD CART]],[1]!MatrizCortoLargoCyl[#All],3,0),"")</f>
        <v/>
      </c>
      <c r="F1362" s="13" t="inlineStr">
        <is>
          <t>IPIX</t>
        </is>
      </c>
      <c r="G1362" s="6" t="n">
        <v>1000</v>
      </c>
      <c r="H1362" s="6" t="n">
        <v>-109.99</v>
      </c>
      <c r="I1362" s="7">
        <f>-H1362/G1362</f>
        <v/>
      </c>
      <c r="J1362" s="11" t="n"/>
      <c r="K1362" s="6" t="n"/>
      <c r="L1362" s="6" t="n"/>
      <c r="M1362" s="7">
        <f>IF(N1362=0,+L1362+H1362,0)</f>
        <v/>
      </c>
      <c r="N1362" s="7">
        <f>IF((+G1362-K1362)=0,0,+G1362-K1362)</f>
        <v/>
      </c>
      <c r="O1362" s="7">
        <f>IF(N1362=0,0,(L1362+H1362)/-N1362)</f>
        <v/>
      </c>
      <c r="P1362" s="7">
        <f>VLOOKUP(OPERAC[[#This Row],[especie]],[1]!ESPECIES[#All],6,0)</f>
        <v/>
      </c>
      <c r="Q1362" s="7">
        <f>IF(N1362&lt;&gt;0,P1362*N1362,0)</f>
        <v/>
      </c>
      <c r="R1362" s="8">
        <f>IF(Q1362&lt;&gt;0,Q1362+H1362+L1362,0)</f>
        <v/>
      </c>
      <c r="S1362" s="9">
        <f>VLOOKUP(OPERAC[[#This Row],[especie]],[1]!ESPECIES[#Data],9,FALSE)</f>
        <v/>
      </c>
    </row>
    <row r="1363">
      <c r="A1363" s="4" t="n">
        <v>18663</v>
      </c>
      <c r="B1363" s="5" t="n">
        <v>44722</v>
      </c>
      <c r="C1363" s="13" t="inlineStr">
        <is>
          <t>VTA</t>
        </is>
      </c>
      <c r="D1363" s="13" t="n">
        <v>41</v>
      </c>
      <c r="E1363" s="10">
        <f>IF(D1363&gt;0,VLOOKUP(OPERAC[[#This Row],[COD CART]],[1]!MatrizCortoLargoCyl[#All],3,0),"")</f>
        <v/>
      </c>
      <c r="F1363" s="13" t="inlineStr">
        <is>
          <t>NTLA/C/70,00/15-07-2022</t>
        </is>
      </c>
      <c r="G1363" s="6" t="n">
        <v>200</v>
      </c>
      <c r="H1363" s="6" t="n">
        <v>-110.935</v>
      </c>
      <c r="I1363" s="7">
        <f>-H1363/G1363</f>
        <v/>
      </c>
      <c r="J1363" s="5" t="n"/>
      <c r="K1363" s="6" t="n"/>
      <c r="L1363" s="6" t="n"/>
      <c r="M1363" s="7">
        <f>IF(N1363=0,+L1363+H1363,0)</f>
        <v/>
      </c>
      <c r="N1363" s="7">
        <f>IF((+G1363-K1363)=0,0,+G1363-K1363)</f>
        <v/>
      </c>
      <c r="O1363" s="7">
        <f>IF(N1363=0,0,(L1363+H1363)/-N1363)</f>
        <v/>
      </c>
      <c r="P1363" s="7">
        <f>VLOOKUP(OPERAC[[#This Row],[especie]],[1]!ESPECIES[#All],6,0)</f>
        <v/>
      </c>
      <c r="Q1363" s="7">
        <f>IF(N1363&lt;&gt;0,P1363*N1363,0)</f>
        <v/>
      </c>
      <c r="R1363" s="8">
        <f>IF(Q1363&lt;&gt;0,Q1363+H1363+L1363,0)</f>
        <v/>
      </c>
      <c r="S1363" s="9">
        <f>VLOOKUP(OPERAC[[#This Row],[especie]],[1]!ESPECIES[#Data],9,FALSE)</f>
        <v/>
      </c>
    </row>
    <row r="1364">
      <c r="A1364" s="4" t="n">
        <v>2211</v>
      </c>
      <c r="B1364" s="5" t="n">
        <v>44623</v>
      </c>
      <c r="C1364" s="13" t="inlineStr">
        <is>
          <t>VTA</t>
        </is>
      </c>
      <c r="D1364" s="13" t="n">
        <v>41</v>
      </c>
      <c r="E1364" s="10">
        <f>IF(D1364&gt;0,VLOOKUP(OPERAC[[#This Row],[COD CART]],[1]!MatrizCortoLargoCyl[#All],3,0),"")</f>
        <v/>
      </c>
      <c r="F1364" s="13" t="inlineStr">
        <is>
          <t>TSM</t>
        </is>
      </c>
      <c r="G1364" s="6" t="n">
        <v>1</v>
      </c>
      <c r="H1364" s="6" t="n">
        <v>-111.416</v>
      </c>
      <c r="I1364" s="7">
        <f>-H1364/G1364</f>
        <v/>
      </c>
      <c r="J1364" s="11" t="n">
        <v>44624</v>
      </c>
      <c r="K1364" s="6" t="n">
        <v>1</v>
      </c>
      <c r="L1364" s="6" t="n">
        <v>102.168</v>
      </c>
      <c r="M1364" s="7">
        <f>IF(N1364=0,+L1364+H1364,0)</f>
        <v/>
      </c>
      <c r="N1364" s="7">
        <f>IF((+G1364-K1364)=0,0,+G1364-K1364)</f>
        <v/>
      </c>
      <c r="O1364" s="7">
        <f>IF(N1364=0,0,(L1364+H1364)/-N1364)</f>
        <v/>
      </c>
      <c r="P1364" s="7">
        <f>VLOOKUP(OPERAC[[#This Row],[especie]],[1]!ESPECIES[#All],6,0)</f>
        <v/>
      </c>
      <c r="Q1364" s="7">
        <f>IF(N1364&lt;&gt;0,P1364*N1364,0)</f>
        <v/>
      </c>
      <c r="R1364" s="8">
        <f>IF(Q1364&lt;&gt;0,Q1364+H1364+L1364,0)</f>
        <v/>
      </c>
      <c r="S1364" s="9">
        <f>VLOOKUP(OPERAC[[#This Row],[especie]],[1]!ESPECIES[#Data],9,FALSE)</f>
        <v/>
      </c>
    </row>
    <row r="1365">
      <c r="A1365" s="4" t="n">
        <v>2255</v>
      </c>
      <c r="B1365" s="5" t="n">
        <v>44543</v>
      </c>
      <c r="C1365" s="13" t="inlineStr">
        <is>
          <t>VTA</t>
        </is>
      </c>
      <c r="D1365" s="13" t="n">
        <v>40</v>
      </c>
      <c r="E1365" s="10">
        <f>IF(D1365&gt;0,VLOOKUP(OPERAC[[#This Row],[COD CART]],[1]!MatrizCortoLargoCyl[#All],3,0),"")</f>
        <v/>
      </c>
      <c r="F1365" s="13" t="inlineStr">
        <is>
          <t>VIST</t>
        </is>
      </c>
      <c r="G1365" s="6" t="n">
        <v>20</v>
      </c>
      <c r="H1365" s="6" t="n">
        <v>-111.544</v>
      </c>
      <c r="I1365" s="7">
        <f>-H1365/G1365</f>
        <v/>
      </c>
      <c r="J1365" s="11" t="n">
        <v>44574</v>
      </c>
      <c r="K1365" s="6">
        <f>+OPERAC[[#This Row],[cantidad]]</f>
        <v/>
      </c>
      <c r="L1365" s="6">
        <f>+OPERAC[[#This Row],[cantidad venta]]*6.125</f>
        <v/>
      </c>
      <c r="M1365" s="7">
        <f>IF(N1365=0,+L1365+H1365,0)</f>
        <v/>
      </c>
      <c r="N1365" s="7">
        <f>IF((+G1365-K1365)=0,0,+G1365-K1365)</f>
        <v/>
      </c>
      <c r="O1365" s="7">
        <f>IF(N1365=0,0,(L1365+H1365)/-N1365)</f>
        <v/>
      </c>
      <c r="P1365" s="7">
        <f>VLOOKUP(OPERAC[[#This Row],[especie]],[1]!ESPECIES[#All],6,0)</f>
        <v/>
      </c>
      <c r="Q1365" s="7">
        <f>IF(N1365&lt;&gt;0,P1365*N1365,0)</f>
        <v/>
      </c>
      <c r="R1365" s="8">
        <f>IF(Q1365&lt;&gt;0,Q1365+H1365+L1365,0)</f>
        <v/>
      </c>
      <c r="S1365" s="9">
        <f>VLOOKUP(OPERAC[[#This Row],[especie]],[1]!ESPECIES[#Data],9,FALSE)</f>
        <v/>
      </c>
    </row>
    <row r="1366">
      <c r="A1366" s="4" t="n">
        <v>19972</v>
      </c>
      <c r="B1366" s="5" t="n">
        <v>44470</v>
      </c>
      <c r="C1366" s="13" t="inlineStr">
        <is>
          <t>VTA</t>
        </is>
      </c>
      <c r="D1366" s="13" t="n">
        <v>41</v>
      </c>
      <c r="E1366" s="10">
        <f>IF(D1366&gt;0,VLOOKUP(OPERAC[[#This Row],[COD CART]],[1]!MatrizCortoLargoCyl[#All],3,0),"")</f>
        <v/>
      </c>
      <c r="F1366" s="13" t="inlineStr">
        <is>
          <t>TLRY</t>
        </is>
      </c>
      <c r="G1366" s="6" t="n">
        <v>10</v>
      </c>
      <c r="H1366" s="6" t="n">
        <v>-111.628</v>
      </c>
      <c r="I1366" s="7">
        <f>-H1366/G1366</f>
        <v/>
      </c>
      <c r="J1366" s="11" t="n">
        <v>44606</v>
      </c>
      <c r="K1366" s="6" t="n">
        <v>10</v>
      </c>
      <c r="L1366" s="6" t="n">
        <v>68.343</v>
      </c>
      <c r="M1366" s="7">
        <f>IF(N1366=0,+L1366+H1366,0)</f>
        <v/>
      </c>
      <c r="N1366" s="7">
        <f>IF((+G1366-K1366)=0,0,+G1366-K1366)</f>
        <v/>
      </c>
      <c r="O1366" s="7">
        <f>IF(N1366=0,0,(L1366+H1366)/-N1366)</f>
        <v/>
      </c>
      <c r="P1366" s="7">
        <f>VLOOKUP(OPERAC[[#This Row],[especie]],[1]!ESPECIES[#All],6,0)</f>
        <v/>
      </c>
      <c r="Q1366" s="7">
        <f>IF(N1366&lt;&gt;0,P1366*N1366,0)</f>
        <v/>
      </c>
      <c r="R1366" s="8">
        <f>IF(Q1366&lt;&gt;0,Q1366+H1366+L1366,0)</f>
        <v/>
      </c>
      <c r="S1366" s="9">
        <f>VLOOKUP(OPERAC[[#This Row],[especie]],[1]!ESPECIES[#Data],9,FALSE)</f>
        <v/>
      </c>
    </row>
    <row r="1367">
      <c r="A1367" s="4" t="n">
        <v>18663</v>
      </c>
      <c r="B1367" s="5" t="n">
        <v>44078</v>
      </c>
      <c r="C1367" s="13" t="inlineStr">
        <is>
          <t>VTA</t>
        </is>
      </c>
      <c r="D1367" s="13" t="n">
        <v>41</v>
      </c>
      <c r="E1367" s="10">
        <f>IF(D1367&gt;0,VLOOKUP(OPERAC[[#This Row],[COD CART]],[1]!MatrizCortoLargoCyl[#All],3,0),"")</f>
        <v/>
      </c>
      <c r="F1367" s="13" t="inlineStr">
        <is>
          <t>MPW</t>
        </is>
      </c>
      <c r="G1367" s="6" t="n">
        <v>6</v>
      </c>
      <c r="H1367" s="6" t="n">
        <v>-111.92032</v>
      </c>
      <c r="I1367" s="7">
        <f>-H1367/G1367</f>
        <v/>
      </c>
      <c r="J1367" s="5" t="n"/>
      <c r="K1367" s="6" t="n"/>
      <c r="L1367" s="6" t="n"/>
      <c r="M1367" s="7">
        <f>IF(N1367=0,+L1367+H1367,0)</f>
        <v/>
      </c>
      <c r="N1367" s="7">
        <f>IF((+G1367-K1367)=0,0,+G1367-K1367)</f>
        <v/>
      </c>
      <c r="O1367" s="7">
        <f>IF(N1367=0,0,(L1367+H1367)/-N1367)</f>
        <v/>
      </c>
      <c r="P1367" s="7">
        <f>VLOOKUP(OPERAC[[#This Row],[especie]],[1]!ESPECIES[#All],6,0)</f>
        <v/>
      </c>
      <c r="Q1367" s="7">
        <f>IF(N1367&lt;&gt;0,P1367*N1367,0)</f>
        <v/>
      </c>
      <c r="R1367" s="8">
        <f>IF(Q1367&lt;&gt;0,Q1367+H1367+L1367,0)</f>
        <v/>
      </c>
      <c r="S1367" s="9">
        <f>VLOOKUP(OPERAC[[#This Row],[especie]],[1]!ESPECIES[#Data],9,FALSE)</f>
        <v/>
      </c>
    </row>
    <row r="1368">
      <c r="A1368" s="4" t="n">
        <v>1801</v>
      </c>
      <c r="B1368" s="5" t="n">
        <v>44543</v>
      </c>
      <c r="C1368" s="13" t="inlineStr">
        <is>
          <t>VTA</t>
        </is>
      </c>
      <c r="D1368" s="13" t="n">
        <v>40</v>
      </c>
      <c r="E1368" s="10">
        <f>IF(D1368&gt;0,VLOOKUP(OPERAC[[#This Row],[COD CART]],[1]!MatrizCortoLargoCyl[#All],3,0),"")</f>
        <v/>
      </c>
      <c r="F1368" s="13" t="inlineStr">
        <is>
          <t>VIST</t>
        </is>
      </c>
      <c r="G1368" s="6" t="n">
        <v>20</v>
      </c>
      <c r="H1368" s="6" t="n">
        <v>-111.988</v>
      </c>
      <c r="I1368" s="7">
        <f>-H1368/G1368</f>
        <v/>
      </c>
      <c r="J1368" s="11" t="n">
        <v>44574</v>
      </c>
      <c r="K1368" s="6">
        <f>+OPERAC[[#This Row],[cantidad]]</f>
        <v/>
      </c>
      <c r="L1368" s="6">
        <f>+OPERAC[[#This Row],[cantidad venta]]*6.125</f>
        <v/>
      </c>
      <c r="M1368" s="7">
        <f>IF(N1368=0,+L1368+H1368,0)</f>
        <v/>
      </c>
      <c r="N1368" s="7">
        <f>IF((+G1368-K1368)=0,0,+G1368-K1368)</f>
        <v/>
      </c>
      <c r="O1368" s="7">
        <f>IF(N1368=0,0,(L1368+H1368)/-N1368)</f>
        <v/>
      </c>
      <c r="P1368" s="7">
        <f>VLOOKUP(OPERAC[[#This Row],[especie]],[1]!ESPECIES[#All],6,0)</f>
        <v/>
      </c>
      <c r="Q1368" s="7">
        <f>IF(N1368&lt;&gt;0,P1368*N1368,0)</f>
        <v/>
      </c>
      <c r="R1368" s="8">
        <f>IF(Q1368&lt;&gt;0,Q1368+H1368+L1368,0)</f>
        <v/>
      </c>
      <c r="S1368" s="9">
        <f>VLOOKUP(OPERAC[[#This Row],[especie]],[1]!ESPECIES[#Data],9,FALSE)</f>
        <v/>
      </c>
    </row>
    <row r="1369">
      <c r="A1369" s="4" t="n">
        <v>18663</v>
      </c>
      <c r="B1369" s="5" t="n">
        <v>44116</v>
      </c>
      <c r="C1369" s="13" t="inlineStr">
        <is>
          <t>VTA</t>
        </is>
      </c>
      <c r="D1369" s="13" t="n">
        <v>41</v>
      </c>
      <c r="E1369" s="10">
        <f>IF(D1369&gt;0,VLOOKUP(OPERAC[[#This Row],[COD CART]],[1]!MatrizCortoLargoCyl[#All],3,0),"")</f>
        <v/>
      </c>
      <c r="F1369" s="13" t="inlineStr">
        <is>
          <t>MPW</t>
        </is>
      </c>
      <c r="G1369" s="6" t="n">
        <v>6</v>
      </c>
      <c r="H1369" s="6" t="n">
        <v>-114</v>
      </c>
      <c r="I1369" s="7">
        <f>-H1369/G1369</f>
        <v/>
      </c>
      <c r="J1369" s="11" t="n"/>
      <c r="K1369" s="6" t="n"/>
      <c r="L1369" s="6" t="n"/>
      <c r="M1369" s="7">
        <f>IF(N1369=0,+L1369+H1369,0)</f>
        <v/>
      </c>
      <c r="N1369" s="7">
        <f>IF((+G1369-K1369)=0,0,+G1369-K1369)</f>
        <v/>
      </c>
      <c r="O1369" s="7">
        <f>IF(N1369=0,0,(L1369+H1369)/-N1369)</f>
        <v/>
      </c>
      <c r="P1369" s="7">
        <f>VLOOKUP(OPERAC[[#This Row],[especie]],[1]!ESPECIES[#All],6,0)</f>
        <v/>
      </c>
      <c r="Q1369" s="7">
        <f>IF(N1369&lt;&gt;0,P1369*N1369,0)</f>
        <v/>
      </c>
      <c r="R1369" s="8">
        <f>IF(Q1369&lt;&gt;0,Q1369+H1369+L1369,0)</f>
        <v/>
      </c>
      <c r="S1369" s="9">
        <f>VLOOKUP(OPERAC[[#This Row],[especie]],[1]!ESPECIES[#Data],9,FALSE)</f>
        <v/>
      </c>
    </row>
    <row r="1370">
      <c r="A1370" s="4" t="n">
        <v>16818</v>
      </c>
      <c r="B1370" s="5" t="n">
        <v>44536</v>
      </c>
      <c r="C1370" s="13" t="inlineStr">
        <is>
          <t>VTA</t>
        </is>
      </c>
      <c r="D1370" s="13" t="n">
        <v>40</v>
      </c>
      <c r="E1370" s="10">
        <f>IF(D1370&gt;0,VLOOKUP(OPERAC[[#This Row],[COD CART]],[1]!MatrizCortoLargoCyl[#All],3,0),"")</f>
        <v/>
      </c>
      <c r="F1370" s="13" t="inlineStr">
        <is>
          <t>UVXY</t>
        </is>
      </c>
      <c r="G1370" s="6" t="n">
        <v>5</v>
      </c>
      <c r="H1370" s="6" t="n">
        <v>-115.8946</v>
      </c>
      <c r="I1370" s="7">
        <f>-H1370/G1370</f>
        <v/>
      </c>
      <c r="J1370" s="11" t="n">
        <v>44571</v>
      </c>
      <c r="K1370" s="6">
        <f>+OPERAC[[#This Row],[cantidad]]</f>
        <v/>
      </c>
      <c r="L1370" s="6">
        <f>+OPERAC[[#This Row],[cantidad venta]]*14.135</f>
        <v/>
      </c>
      <c r="M1370" s="7">
        <f>IF(N1370=0,+L1370+H1370,0)</f>
        <v/>
      </c>
      <c r="N1370" s="7">
        <f>IF((+G1370-K1370)=0,0,+G1370-K1370)</f>
        <v/>
      </c>
      <c r="O1370" s="7">
        <f>IF(N1370=0,0,(L1370+H1370)/-N1370)</f>
        <v/>
      </c>
      <c r="P1370" s="7">
        <f>VLOOKUP(OPERAC[[#This Row],[especie]],[1]!ESPECIES[#All],6,0)</f>
        <v/>
      </c>
      <c r="Q1370" s="7">
        <f>IF(N1370&lt;&gt;0,P1370*N1370,0)</f>
        <v/>
      </c>
      <c r="R1370" s="8">
        <f>IF(Q1370&lt;&gt;0,Q1370+H1370+L1370,0)</f>
        <v/>
      </c>
      <c r="S1370" s="9">
        <f>VLOOKUP(OPERAC[[#This Row],[especie]],[1]!ESPECIES[#Data],9,FALSE)</f>
        <v/>
      </c>
    </row>
    <row r="1371">
      <c r="A1371" s="4" t="n">
        <v>3728</v>
      </c>
      <c r="B1371" s="5" t="n">
        <v>44645</v>
      </c>
      <c r="C1371" s="13" t="inlineStr">
        <is>
          <t>VTA</t>
        </is>
      </c>
      <c r="D1371" s="13" t="n">
        <v>40</v>
      </c>
      <c r="E1371" s="10">
        <f>IF(D1371&gt;0,VLOOKUP(OPERAC[[#This Row],[COD CART]],[1]!MatrizCortoLargoCyl[#All],3,0),"")</f>
        <v/>
      </c>
      <c r="F1371" s="13" t="inlineStr">
        <is>
          <t>REMX</t>
        </is>
      </c>
      <c r="G1371" s="6" t="n">
        <v>1</v>
      </c>
      <c r="H1371" s="6" t="n">
        <v>-118.077</v>
      </c>
      <c r="I1371" s="7">
        <f>-H1371/G1371</f>
        <v/>
      </c>
      <c r="J1371" s="11" t="n">
        <v>44690</v>
      </c>
      <c r="K1371" s="6" t="n">
        <v>1</v>
      </c>
      <c r="L1371" s="6" t="n">
        <v>86.41</v>
      </c>
      <c r="M1371" s="7">
        <f>IF(N1371=0,+L1371+H1371,0)</f>
        <v/>
      </c>
      <c r="N1371" s="7">
        <f>IF((+G1371-K1371)=0,0,+G1371-K1371)</f>
        <v/>
      </c>
      <c r="O1371" s="7">
        <f>IF(N1371=0,0,(L1371+H1371)/-N1371)</f>
        <v/>
      </c>
      <c r="P1371" s="7">
        <f>VLOOKUP(OPERAC[[#This Row],[especie]],[1]!ESPECIES[#All],6,0)</f>
        <v/>
      </c>
      <c r="Q1371" s="7">
        <f>IF(N1371&lt;&gt;0,P1371*N1371,0)</f>
        <v/>
      </c>
      <c r="R1371" s="8">
        <f>IF(Q1371&lt;&gt;0,Q1371+H1371+L1371,0)</f>
        <v/>
      </c>
      <c r="S1371" s="9">
        <f>VLOOKUP(OPERAC[[#This Row],[especie]],[1]!ESPECIES[#Data],9,FALSE)</f>
        <v/>
      </c>
    </row>
    <row r="1372">
      <c r="A1372" s="4" t="n">
        <v>7879</v>
      </c>
      <c r="B1372" s="5" t="n">
        <v>44725</v>
      </c>
      <c r="C1372" s="13" t="inlineStr">
        <is>
          <t>VTA</t>
        </is>
      </c>
      <c r="D1372" s="13" t="n">
        <v>41</v>
      </c>
      <c r="E1372" s="10">
        <f>IF(D1372&gt;0,VLOOKUP(OPERAC[[#This Row],[COD CART]],[1]!MatrizCortoLargoCyl[#All],3,0),"")</f>
        <v/>
      </c>
      <c r="F1372" s="13" t="inlineStr">
        <is>
          <t>ETHE</t>
        </is>
      </c>
      <c r="G1372" s="6" t="n">
        <v>15</v>
      </c>
      <c r="H1372" s="6" t="n">
        <v>-124.196775</v>
      </c>
      <c r="I1372" s="7">
        <f>-H1372/G1372</f>
        <v/>
      </c>
      <c r="J1372" s="5" t="n"/>
      <c r="K1372" s="6" t="n"/>
      <c r="L1372" s="6" t="n"/>
      <c r="M1372" s="7">
        <f>IF(N1372=0,+L1372+H1372,0)</f>
        <v/>
      </c>
      <c r="N1372" s="7">
        <f>IF((+G1372-K1372)=0,0,+G1372-K1372)</f>
        <v/>
      </c>
      <c r="O1372" s="7">
        <f>IF(N1372=0,0,(L1372+H1372)/-N1372)</f>
        <v/>
      </c>
      <c r="P1372" s="7">
        <f>VLOOKUP(OPERAC[[#This Row],[especie]],[1]!ESPECIES[#All],6,0)</f>
        <v/>
      </c>
      <c r="Q1372" s="7">
        <f>IF(N1372&lt;&gt;0,P1372*N1372,0)</f>
        <v/>
      </c>
      <c r="R1372" s="8">
        <f>IF(Q1372&lt;&gt;0,Q1372+H1372+L1372,0)</f>
        <v/>
      </c>
      <c r="S1372" s="9">
        <f>VLOOKUP(OPERAC[[#This Row],[especie]],[1]!ESPECIES[#Data],9,FALSE)</f>
        <v/>
      </c>
    </row>
    <row r="1373">
      <c r="A1373" s="4" t="n">
        <v>2289</v>
      </c>
      <c r="B1373" s="5" t="n">
        <v>44664</v>
      </c>
      <c r="C1373" s="13" t="inlineStr">
        <is>
          <t>VTA</t>
        </is>
      </c>
      <c r="D1373" s="13" t="n">
        <v>42</v>
      </c>
      <c r="E1373" s="10">
        <f>IF(D1373&gt;0,VLOOKUP(OPERAC[[#This Row],[COD CART]],[1]!MatrizCortoLargoCyl[#All],3,0),"")</f>
        <v/>
      </c>
      <c r="F1373" s="13" t="inlineStr">
        <is>
          <t>PSQ</t>
        </is>
      </c>
      <c r="G1373" s="6" t="n">
        <v>10</v>
      </c>
      <c r="H1373" s="6" t="n">
        <v>-124.32572181</v>
      </c>
      <c r="I1373" s="7">
        <f>-H1373/G1373</f>
        <v/>
      </c>
      <c r="J1373" s="11" t="n">
        <v>44680</v>
      </c>
      <c r="K1373" s="6">
        <f>+OPERAC[[#This Row],[cantidad]]</f>
        <v/>
      </c>
      <c r="L1373" s="6">
        <f>12.848*OPERAC[[#This Row],[cantidad venta]]</f>
        <v/>
      </c>
      <c r="M1373" s="7">
        <f>IF(N1373=0,+L1373+H1373,0)</f>
        <v/>
      </c>
      <c r="N1373" s="7">
        <f>IF((+G1373-K1373)=0,0,+G1373-K1373)</f>
        <v/>
      </c>
      <c r="O1373" s="7">
        <f>IF(N1373=0,0,(L1373+H1373)/-N1373)</f>
        <v/>
      </c>
      <c r="P1373" s="7">
        <f>VLOOKUP(OPERAC[[#This Row],[especie]],[1]!ESPECIES[#All],6,0)</f>
        <v/>
      </c>
      <c r="Q1373" s="7">
        <f>IF(N1373&lt;&gt;0,P1373*N1373,0)</f>
        <v/>
      </c>
      <c r="R1373" s="8">
        <f>IF(Q1373&lt;&gt;0,Q1373+H1373+L1373,0)</f>
        <v/>
      </c>
      <c r="S1373" s="9">
        <f>VLOOKUP(OPERAC[[#This Row],[especie]],[1]!ESPECIES[#Data],9,FALSE)</f>
        <v/>
      </c>
    </row>
    <row r="1374">
      <c r="A1374" s="4" t="n">
        <v>2305</v>
      </c>
      <c r="B1374" s="5" t="n">
        <v>44664</v>
      </c>
      <c r="C1374" s="13" t="inlineStr">
        <is>
          <t>VTA</t>
        </is>
      </c>
      <c r="D1374" s="13" t="n">
        <v>42</v>
      </c>
      <c r="E1374" s="10">
        <f>IF(D1374&gt;0,VLOOKUP(OPERAC[[#This Row],[COD CART]],[1]!MatrizCortoLargoCyl[#All],3,0),"")</f>
        <v/>
      </c>
      <c r="F1374" s="13" t="inlineStr">
        <is>
          <t>PSQ</t>
        </is>
      </c>
      <c r="G1374" s="6" t="n">
        <v>10</v>
      </c>
      <c r="H1374" s="6" t="n">
        <v>-124.32572181</v>
      </c>
      <c r="I1374" s="7">
        <f>-H1374/G1374</f>
        <v/>
      </c>
      <c r="J1374" s="11" t="n">
        <v>44680</v>
      </c>
      <c r="K1374" s="6">
        <f>+OPERAC[[#This Row],[cantidad]]</f>
        <v/>
      </c>
      <c r="L1374" s="6">
        <f>12.848*OPERAC[[#This Row],[cantidad venta]]</f>
        <v/>
      </c>
      <c r="M1374" s="7">
        <f>IF(N1374=0,+L1374+H1374,0)</f>
        <v/>
      </c>
      <c r="N1374" s="7">
        <f>IF((+G1374-K1374)=0,0,+G1374-K1374)</f>
        <v/>
      </c>
      <c r="O1374" s="7">
        <f>IF(N1374=0,0,(L1374+H1374)/-N1374)</f>
        <v/>
      </c>
      <c r="P1374" s="7">
        <f>VLOOKUP(OPERAC[[#This Row],[especie]],[1]!ESPECIES[#All],6,0)</f>
        <v/>
      </c>
      <c r="Q1374" s="7">
        <f>IF(N1374&lt;&gt;0,P1374*N1374,0)</f>
        <v/>
      </c>
      <c r="R1374" s="8">
        <f>IF(Q1374&lt;&gt;0,Q1374+H1374+L1374,0)</f>
        <v/>
      </c>
      <c r="S1374" s="9">
        <f>VLOOKUP(OPERAC[[#This Row],[especie]],[1]!ESPECIES[#Data],9,FALSE)</f>
        <v/>
      </c>
    </row>
    <row r="1375">
      <c r="A1375" s="4" t="n">
        <v>3838</v>
      </c>
      <c r="B1375" s="5" t="n">
        <v>44664</v>
      </c>
      <c r="C1375" s="13" t="inlineStr">
        <is>
          <t>VTA</t>
        </is>
      </c>
      <c r="D1375" s="13" t="n">
        <v>42</v>
      </c>
      <c r="E1375" s="10">
        <f>IF(D1375&gt;0,VLOOKUP(OPERAC[[#This Row],[COD CART]],[1]!MatrizCortoLargoCyl[#All],3,0),"")</f>
        <v/>
      </c>
      <c r="F1375" s="13" t="inlineStr">
        <is>
          <t>PSQ</t>
        </is>
      </c>
      <c r="G1375" s="6" t="n">
        <v>10</v>
      </c>
      <c r="H1375" s="6" t="n">
        <v>-124.32572181</v>
      </c>
      <c r="I1375" s="7">
        <f>-H1375/G1375</f>
        <v/>
      </c>
      <c r="J1375" s="11" t="n">
        <v>44680</v>
      </c>
      <c r="K1375" s="6">
        <f>+OPERAC[[#This Row],[cantidad]]</f>
        <v/>
      </c>
      <c r="L1375" s="6">
        <f>12.848*OPERAC[[#This Row],[cantidad venta]]</f>
        <v/>
      </c>
      <c r="M1375" s="7">
        <f>IF(N1375=0,+L1375+H1375,0)</f>
        <v/>
      </c>
      <c r="N1375" s="7">
        <f>IF((+G1375-K1375)=0,0,+G1375-K1375)</f>
        <v/>
      </c>
      <c r="O1375" s="7">
        <f>IF(N1375=0,0,(L1375+H1375)/-N1375)</f>
        <v/>
      </c>
      <c r="P1375" s="7">
        <f>VLOOKUP(OPERAC[[#This Row],[especie]],[1]!ESPECIES[#All],6,0)</f>
        <v/>
      </c>
      <c r="Q1375" s="7">
        <f>IF(N1375&lt;&gt;0,P1375*N1375,0)</f>
        <v/>
      </c>
      <c r="R1375" s="8">
        <f>IF(Q1375&lt;&gt;0,Q1375+H1375+L1375,0)</f>
        <v/>
      </c>
      <c r="S1375" s="9">
        <f>VLOOKUP(OPERAC[[#This Row],[especie]],[1]!ESPECIES[#Data],9,FALSE)</f>
        <v/>
      </c>
    </row>
    <row r="1376">
      <c r="A1376" s="4" t="n">
        <v>6628</v>
      </c>
      <c r="B1376" s="5" t="n">
        <v>44664</v>
      </c>
      <c r="C1376" s="13" t="inlineStr">
        <is>
          <t>VTA</t>
        </is>
      </c>
      <c r="D1376" s="13" t="n">
        <v>42</v>
      </c>
      <c r="E1376" s="10">
        <f>IF(D1376&gt;0,VLOOKUP(OPERAC[[#This Row],[COD CART]],[1]!MatrizCortoLargoCyl[#All],3,0),"")</f>
        <v/>
      </c>
      <c r="F1376" s="13" t="inlineStr">
        <is>
          <t>PSQ</t>
        </is>
      </c>
      <c r="G1376" s="6" t="n">
        <v>10</v>
      </c>
      <c r="H1376" s="6" t="n">
        <v>-124.32572181</v>
      </c>
      <c r="I1376" s="7">
        <f>-H1376/G1376</f>
        <v/>
      </c>
      <c r="J1376" s="11" t="n">
        <v>44680</v>
      </c>
      <c r="K1376" s="6">
        <f>+OPERAC[[#This Row],[cantidad]]</f>
        <v/>
      </c>
      <c r="L1376" s="6">
        <f>12.848*OPERAC[[#This Row],[cantidad venta]]</f>
        <v/>
      </c>
      <c r="M1376" s="7">
        <f>IF(N1376=0,+L1376+H1376,0)</f>
        <v/>
      </c>
      <c r="N1376" s="7">
        <f>IF((+G1376-K1376)=0,0,+G1376-K1376)</f>
        <v/>
      </c>
      <c r="O1376" s="7">
        <f>IF(N1376=0,0,(L1376+H1376)/-N1376)</f>
        <v/>
      </c>
      <c r="P1376" s="7">
        <f>VLOOKUP(OPERAC[[#This Row],[especie]],[1]!ESPECIES[#All],6,0)</f>
        <v/>
      </c>
      <c r="Q1376" s="7">
        <f>IF(N1376&lt;&gt;0,P1376*N1376,0)</f>
        <v/>
      </c>
      <c r="R1376" s="8">
        <f>IF(Q1376&lt;&gt;0,Q1376+H1376+L1376,0)</f>
        <v/>
      </c>
      <c r="S1376" s="9">
        <f>VLOOKUP(OPERAC[[#This Row],[especie]],[1]!ESPECIES[#Data],9,FALSE)</f>
        <v/>
      </c>
    </row>
    <row r="1377">
      <c r="A1377" s="4" t="n">
        <v>7867</v>
      </c>
      <c r="B1377" s="5" t="n">
        <v>44664</v>
      </c>
      <c r="C1377" s="13" t="inlineStr">
        <is>
          <t>VTA</t>
        </is>
      </c>
      <c r="D1377" s="13" t="n">
        <v>42</v>
      </c>
      <c r="E1377" s="10">
        <f>IF(D1377&gt;0,VLOOKUP(OPERAC[[#This Row],[COD CART]],[1]!MatrizCortoLargoCyl[#All],3,0),"")</f>
        <v/>
      </c>
      <c r="F1377" s="13" t="inlineStr">
        <is>
          <t>PSQ</t>
        </is>
      </c>
      <c r="G1377" s="6" t="n">
        <v>10</v>
      </c>
      <c r="H1377" s="6" t="n">
        <v>-124.32572181</v>
      </c>
      <c r="I1377" s="7">
        <f>-H1377/G1377</f>
        <v/>
      </c>
      <c r="J1377" s="11" t="n">
        <v>44680</v>
      </c>
      <c r="K1377" s="6">
        <f>+OPERAC[[#This Row],[cantidad]]</f>
        <v/>
      </c>
      <c r="L1377" s="6">
        <f>12.848*OPERAC[[#This Row],[cantidad venta]]</f>
        <v/>
      </c>
      <c r="M1377" s="7">
        <f>IF(N1377=0,+L1377+H1377,0)</f>
        <v/>
      </c>
      <c r="N1377" s="7">
        <f>IF((+G1377-K1377)=0,0,+G1377-K1377)</f>
        <v/>
      </c>
      <c r="O1377" s="7">
        <f>IF(N1377=0,0,(L1377+H1377)/-N1377)</f>
        <v/>
      </c>
      <c r="P1377" s="7">
        <f>VLOOKUP(OPERAC[[#This Row],[especie]],[1]!ESPECIES[#All],6,0)</f>
        <v/>
      </c>
      <c r="Q1377" s="7">
        <f>IF(N1377&lt;&gt;0,P1377*N1377,0)</f>
        <v/>
      </c>
      <c r="R1377" s="8">
        <f>IF(Q1377&lt;&gt;0,Q1377+H1377+L1377,0)</f>
        <v/>
      </c>
      <c r="S1377" s="9">
        <f>VLOOKUP(OPERAC[[#This Row],[especie]],[1]!ESPECIES[#Data],9,FALSE)</f>
        <v/>
      </c>
    </row>
    <row r="1378">
      <c r="A1378" s="4" t="n">
        <v>8066</v>
      </c>
      <c r="B1378" s="5" t="n">
        <v>44664</v>
      </c>
      <c r="C1378" s="13" t="inlineStr">
        <is>
          <t>VTA</t>
        </is>
      </c>
      <c r="D1378" s="13" t="n">
        <v>42</v>
      </c>
      <c r="E1378" s="10">
        <f>IF(D1378&gt;0,VLOOKUP(OPERAC[[#This Row],[COD CART]],[1]!MatrizCortoLargoCyl[#All],3,0),"")</f>
        <v/>
      </c>
      <c r="F1378" s="13" t="inlineStr">
        <is>
          <t>PSQ</t>
        </is>
      </c>
      <c r="G1378" s="6" t="n">
        <v>10</v>
      </c>
      <c r="H1378" s="6" t="n">
        <v>-124.32572181</v>
      </c>
      <c r="I1378" s="7">
        <f>-H1378/G1378</f>
        <v/>
      </c>
      <c r="J1378" s="11" t="n">
        <v>44680</v>
      </c>
      <c r="K1378" s="6">
        <f>+OPERAC[[#This Row],[cantidad]]</f>
        <v/>
      </c>
      <c r="L1378" s="6">
        <f>12.848*OPERAC[[#This Row],[cantidad venta]]</f>
        <v/>
      </c>
      <c r="M1378" s="7">
        <f>IF(N1378=0,+L1378+H1378,0)</f>
        <v/>
      </c>
      <c r="N1378" s="7">
        <f>IF((+G1378-K1378)=0,0,+G1378-K1378)</f>
        <v/>
      </c>
      <c r="O1378" s="7">
        <f>IF(N1378=0,0,(L1378+H1378)/-N1378)</f>
        <v/>
      </c>
      <c r="P1378" s="7">
        <f>VLOOKUP(OPERAC[[#This Row],[especie]],[1]!ESPECIES[#All],6,0)</f>
        <v/>
      </c>
      <c r="Q1378" s="7">
        <f>IF(N1378&lt;&gt;0,P1378*N1378,0)</f>
        <v/>
      </c>
      <c r="R1378" s="8">
        <f>IF(Q1378&lt;&gt;0,Q1378+H1378+L1378,0)</f>
        <v/>
      </c>
      <c r="S1378" s="9">
        <f>VLOOKUP(OPERAC[[#This Row],[especie]],[1]!ESPECIES[#Data],9,FALSE)</f>
        <v/>
      </c>
    </row>
    <row r="1379">
      <c r="A1379" s="4" t="n">
        <v>13273</v>
      </c>
      <c r="B1379" s="5" t="n">
        <v>44491</v>
      </c>
      <c r="C1379" s="13" t="inlineStr">
        <is>
          <t>VTA</t>
        </is>
      </c>
      <c r="D1379" s="13" t="n">
        <v>41</v>
      </c>
      <c r="E1379" s="10">
        <f>IF(D1379&gt;0,VLOOKUP(OPERAC[[#This Row],[COD CART]],[1]!MatrizCortoLargoCyl[#All],3,0),"")</f>
        <v/>
      </c>
      <c r="F1379" s="13" t="inlineStr">
        <is>
          <t>FAST</t>
        </is>
      </c>
      <c r="G1379" s="6" t="n">
        <v>2</v>
      </c>
      <c r="H1379" s="6">
        <f>-109.848-14.89</f>
        <v/>
      </c>
      <c r="I1379" s="7">
        <f>-H1379/G1379</f>
        <v/>
      </c>
      <c r="J1379" s="11" t="n"/>
      <c r="K1379" s="6" t="n"/>
      <c r="L1379" s="6" t="n"/>
      <c r="M1379" s="7">
        <f>IF(N1379=0,+L1379+H1379,0)</f>
        <v/>
      </c>
      <c r="N1379" s="7">
        <f>IF((+G1379-K1379)=0,0,+G1379-K1379)</f>
        <v/>
      </c>
      <c r="O1379" s="7">
        <f>IF(N1379=0,0,(L1379+H1379)/-N1379)</f>
        <v/>
      </c>
      <c r="P1379" s="7">
        <f>VLOOKUP(OPERAC[[#This Row],[especie]],[1]!ESPECIES[#All],6,0)</f>
        <v/>
      </c>
      <c r="Q1379" s="7">
        <f>IF(N1379&lt;&gt;0,P1379*N1379,0)</f>
        <v/>
      </c>
      <c r="R1379" s="8">
        <f>IF(Q1379&lt;&gt;0,Q1379+H1379+L1379,0)</f>
        <v/>
      </c>
      <c r="S1379" s="9">
        <f>VLOOKUP(OPERAC[[#This Row],[especie]],[1]!ESPECIES[#Data],9,FALSE)</f>
        <v/>
      </c>
    </row>
    <row r="1380">
      <c r="A1380" s="4" t="n">
        <v>13253</v>
      </c>
      <c r="B1380" s="5" t="n">
        <v>44530</v>
      </c>
      <c r="C1380" s="13" t="inlineStr">
        <is>
          <t>VTA</t>
        </is>
      </c>
      <c r="D1380" s="13" t="n">
        <v>41</v>
      </c>
      <c r="E1380" s="10">
        <f>IF(D1380&gt;0,VLOOKUP(OPERAC[[#This Row],[COD CART]],[1]!MatrizCortoLargoCyl[#All],3,0),"")</f>
        <v/>
      </c>
      <c r="F1380" s="13" t="inlineStr">
        <is>
          <t>TLRY</t>
        </is>
      </c>
      <c r="G1380" s="6" t="n">
        <v>12</v>
      </c>
      <c r="H1380" s="6" t="n">
        <v>-125.70976</v>
      </c>
      <c r="I1380" s="7">
        <f>-H1380/G1380</f>
        <v/>
      </c>
      <c r="J1380" s="11" t="n"/>
      <c r="K1380" s="6" t="n"/>
      <c r="L1380" s="6" t="n"/>
      <c r="M1380" s="7">
        <f>IF(N1380=0,+L1380+H1380,0)</f>
        <v/>
      </c>
      <c r="N1380" s="7">
        <f>IF((+G1380-K1380)=0,0,+G1380-K1380)</f>
        <v/>
      </c>
      <c r="O1380" s="7">
        <f>IF(N1380=0,0,(L1380+H1380)/-N1380)</f>
        <v/>
      </c>
      <c r="P1380" s="7">
        <f>VLOOKUP(OPERAC[[#This Row],[especie]],[1]!ESPECIES[#All],6,0)</f>
        <v/>
      </c>
      <c r="Q1380" s="7">
        <f>IF(N1380&lt;&gt;0,P1380*N1380,0)</f>
        <v/>
      </c>
      <c r="R1380" s="8">
        <f>IF(Q1380&lt;&gt;0,Q1380+H1380+L1380,0)</f>
        <v/>
      </c>
      <c r="S1380" s="9">
        <f>VLOOKUP(OPERAC[[#This Row],[especie]],[1]!ESPECIES[#Data],9,FALSE)</f>
        <v/>
      </c>
    </row>
    <row r="1381">
      <c r="A1381" s="4" t="n">
        <v>18663</v>
      </c>
      <c r="B1381" s="5" t="n">
        <v>43831</v>
      </c>
      <c r="C1381" s="13" t="inlineStr">
        <is>
          <t>VTA</t>
        </is>
      </c>
      <c r="D1381" s="13" t="n">
        <v>41</v>
      </c>
      <c r="E1381" s="10">
        <f>IF(D1381&gt;0,VLOOKUP(OPERAC[[#This Row],[COD CART]],[1]!MatrizCortoLargoCyl[#All],3,0),"")</f>
        <v/>
      </c>
      <c r="F1381" s="13" t="inlineStr">
        <is>
          <t>IPIX</t>
        </is>
      </c>
      <c r="G1381" s="6" t="n">
        <v>2100</v>
      </c>
      <c r="H1381" s="6" t="n">
        <v>-126</v>
      </c>
      <c r="I1381" s="7" t="n">
        <v>0.06</v>
      </c>
      <c r="J1381" s="5" t="n"/>
      <c r="K1381" s="6" t="n">
        <v>1000</v>
      </c>
      <c r="L1381" s="6" t="n">
        <v>505</v>
      </c>
      <c r="M1381" s="7">
        <f>IF(N1381=0,+L1381+H1381,0)</f>
        <v/>
      </c>
      <c r="N1381" s="7">
        <f>IF((+G1381-K1381)=0,0,+G1381-K1381)</f>
        <v/>
      </c>
      <c r="O1381" s="7">
        <f>IF(N1381=0,0,(L1381+H1381)/-N1381)</f>
        <v/>
      </c>
      <c r="P1381" s="7">
        <f>VLOOKUP(OPERAC[[#This Row],[especie]],[1]!ESPECIES[#All],6,0)</f>
        <v/>
      </c>
      <c r="Q1381" s="7">
        <f>IF(N1381&lt;&gt;0,P1381*N1381,0)</f>
        <v/>
      </c>
      <c r="R1381" s="8">
        <f>IF(Q1381&lt;&gt;0,Q1381+H1381+L1381,0)</f>
        <v/>
      </c>
      <c r="S1381" s="9">
        <f>VLOOKUP(OPERAC[[#This Row],[especie]],[1]!ESPECIES[#Data],9,FALSE)</f>
        <v/>
      </c>
    </row>
    <row r="1382">
      <c r="A1382" s="4" t="n">
        <v>16818</v>
      </c>
      <c r="B1382" s="5" t="n">
        <v>43983</v>
      </c>
      <c r="C1382" s="13" t="inlineStr">
        <is>
          <t>VTA</t>
        </is>
      </c>
      <c r="D1382" s="13" t="n">
        <v>31</v>
      </c>
      <c r="E1382" s="10">
        <f>IF(D1382&gt;0,VLOOKUP(OPERAC[[#This Row],[COD CART]],[1]!MatrizCortoLargoCyl[#All],3,0),"")</f>
        <v/>
      </c>
      <c r="F1382" s="13" t="inlineStr">
        <is>
          <t>YPF</t>
        </is>
      </c>
      <c r="G1382" s="6" t="n">
        <v>30</v>
      </c>
      <c r="H1382" s="6" t="n">
        <v>-126.6</v>
      </c>
      <c r="I1382" s="7" t="n">
        <v>4.22</v>
      </c>
      <c r="J1382" s="5" t="n"/>
      <c r="K1382" s="6" t="n"/>
      <c r="L1382" s="6" t="n"/>
      <c r="M1382" s="7">
        <f>IF(N1382=0,+L1382+H1382,0)</f>
        <v/>
      </c>
      <c r="N1382" s="7">
        <f>IF((+G1382-K1382)=0,0,+G1382-K1382)</f>
        <v/>
      </c>
      <c r="O1382" s="7">
        <f>IF(N1382=0,0,(L1382+H1382)/-N1382)</f>
        <v/>
      </c>
      <c r="P1382" s="7">
        <f>VLOOKUP(OPERAC[[#This Row],[especie]],[1]!ESPECIES[#All],6,0)</f>
        <v/>
      </c>
      <c r="Q1382" s="7">
        <f>IF(N1382&lt;&gt;0,P1382*N1382,0)</f>
        <v/>
      </c>
      <c r="R1382" s="8">
        <f>IF(Q1382&lt;&gt;0,Q1382+H1382+L1382,0)</f>
        <v/>
      </c>
      <c r="S1382" s="9">
        <f>VLOOKUP(OPERAC[[#This Row],[especie]],[1]!ESPECIES[#Data],9,FALSE)</f>
        <v/>
      </c>
    </row>
    <row r="1383">
      <c r="A1383" s="4" t="n">
        <v>7879</v>
      </c>
      <c r="B1383" s="5" t="n">
        <v>44202</v>
      </c>
      <c r="C1383" s="13" t="inlineStr">
        <is>
          <t>VTA</t>
        </is>
      </c>
      <c r="D1383" s="13" t="n">
        <v>41</v>
      </c>
      <c r="E1383" s="10">
        <f>IF(D1383&gt;0,VLOOKUP(OPERAC[[#This Row],[COD CART]],[1]!MatrizCortoLargoCyl[#All],3,0),"")</f>
        <v/>
      </c>
      <c r="F1383" s="13" t="inlineStr">
        <is>
          <t>GBTC</t>
        </is>
      </c>
      <c r="G1383" s="6" t="n">
        <v>3</v>
      </c>
      <c r="H1383" s="6" t="n">
        <v>-128.17</v>
      </c>
      <c r="I1383" s="7">
        <f>-H1383/G1383</f>
        <v/>
      </c>
      <c r="J1383" s="11" t="n"/>
      <c r="K1383" s="6" t="n"/>
      <c r="L1383" s="6" t="n"/>
      <c r="M1383" s="7">
        <f>IF(N1383=0,+L1383+H1383,0)</f>
        <v/>
      </c>
      <c r="N1383" s="7">
        <f>IF((+G1383-K1383)=0,0,+G1383-K1383)</f>
        <v/>
      </c>
      <c r="O1383" s="7" t="n">
        <v>23.7</v>
      </c>
      <c r="P1383" s="7">
        <f>VLOOKUP(OPERAC[[#This Row],[especie]],[1]!ESPECIES[#All],6,0)</f>
        <v/>
      </c>
      <c r="Q1383" s="7">
        <f>IF(N1383&lt;&gt;0,P1383*N1383,0)</f>
        <v/>
      </c>
      <c r="R1383" s="8">
        <f>IF(Q1383&lt;&gt;0,Q1383+H1383+L1383,0)</f>
        <v/>
      </c>
      <c r="S1383" s="9">
        <f>VLOOKUP(OPERAC[[#This Row],[especie]],[1]!ESPECIES[#Data],9,FALSE)</f>
        <v/>
      </c>
    </row>
    <row r="1384">
      <c r="A1384" s="4" t="n">
        <v>2211</v>
      </c>
      <c r="B1384" s="5" t="n">
        <v>44448</v>
      </c>
      <c r="C1384" s="13" t="inlineStr">
        <is>
          <t>VTA</t>
        </is>
      </c>
      <c r="D1384" s="13" t="n">
        <v>41</v>
      </c>
      <c r="E1384" s="10">
        <f>IF(D1384&gt;0,VLOOKUP(OPERAC[[#This Row],[COD CART]],[1]!MatrizCortoLargoCyl[#All],3,0),"")</f>
        <v/>
      </c>
      <c r="F1384" s="13" t="inlineStr">
        <is>
          <t>HMY</t>
        </is>
      </c>
      <c r="G1384" s="6" t="n">
        <v>40</v>
      </c>
      <c r="H1384" s="6" t="n">
        <v>-128.21</v>
      </c>
      <c r="I1384" s="7">
        <f>-H1384/G1384</f>
        <v/>
      </c>
      <c r="J1384" s="11" t="n">
        <v>44683</v>
      </c>
      <c r="K1384" s="6" t="n">
        <v>40</v>
      </c>
      <c r="L1384" s="6" t="n">
        <v>158.045</v>
      </c>
      <c r="M1384" s="7">
        <f>IF(N1384=0,+L1384+H1384,0)</f>
        <v/>
      </c>
      <c r="N1384" s="7">
        <f>IF((+G1384-K1384)=0,0,+G1384-K1384)</f>
        <v/>
      </c>
      <c r="O1384" s="7">
        <f>IF(N1384=0,0,(L1384+H1384)/-N1384)</f>
        <v/>
      </c>
      <c r="P1384" s="7">
        <f>VLOOKUP(OPERAC[[#This Row],[especie]],[1]!ESPECIES[#All],6,0)</f>
        <v/>
      </c>
      <c r="Q1384" s="7">
        <f>IF(N1384&lt;&gt;0,P1384*N1384,0)</f>
        <v/>
      </c>
      <c r="R1384" s="8">
        <f>IF(Q1384&lt;&gt;0,Q1384+H1384+L1384,0)</f>
        <v/>
      </c>
      <c r="S1384" s="9">
        <f>VLOOKUP(OPERAC[[#This Row],[especie]],[1]!ESPECIES[#Data],9,FALSE)</f>
        <v/>
      </c>
    </row>
    <row r="1385">
      <c r="A1385" s="4" t="n">
        <v>1000</v>
      </c>
      <c r="B1385" s="5" t="n">
        <v>44552</v>
      </c>
      <c r="C1385" s="13" t="inlineStr">
        <is>
          <t>VTA</t>
        </is>
      </c>
      <c r="D1385" s="13" t="n">
        <v>41</v>
      </c>
      <c r="E1385" s="10">
        <f>IF(D1385&gt;0,VLOOKUP(OPERAC[[#This Row],[COD CART]],[1]!MatrizCortoLargoCyl[#All],3,0),"")</f>
        <v/>
      </c>
      <c r="F1385" s="13" t="inlineStr">
        <is>
          <t>SKLZ</t>
        </is>
      </c>
      <c r="G1385" s="6" t="n">
        <v>15</v>
      </c>
      <c r="H1385" s="6" t="n">
        <v>-129.1</v>
      </c>
      <c r="I1385" s="7">
        <f>-H1385/G1385</f>
        <v/>
      </c>
      <c r="J1385" s="11" t="n">
        <v>44572</v>
      </c>
      <c r="K1385" s="6" t="n">
        <v>15</v>
      </c>
      <c r="L1385" s="6" t="n">
        <v>96.52</v>
      </c>
      <c r="M1385" s="7">
        <f>IF(N1385=0,+L1385+H1385,0)</f>
        <v/>
      </c>
      <c r="N1385" s="7">
        <f>IF((+G1385-K1385)=0,0,+G1385-K1385)</f>
        <v/>
      </c>
      <c r="O1385" s="7">
        <f>IF(N1385=0,0,(L1385+H1385)/-N1385)</f>
        <v/>
      </c>
      <c r="P1385" s="7">
        <f>VLOOKUP(OPERAC[[#This Row],[especie]],[1]!ESPECIES[#All],6,0)</f>
        <v/>
      </c>
      <c r="Q1385" s="7">
        <f>IF(N1385&lt;&gt;0,P1385*N1385,0)</f>
        <v/>
      </c>
      <c r="R1385" s="8">
        <f>IF(Q1385&lt;&gt;0,Q1385+H1385+L1385,0)</f>
        <v/>
      </c>
      <c r="S1385" s="9">
        <f>VLOOKUP(OPERAC[[#This Row],[especie]],[1]!ESPECIES[#Data],9,FALSE)</f>
        <v/>
      </c>
    </row>
    <row r="1386">
      <c r="A1386" s="4" t="n">
        <v>18663</v>
      </c>
      <c r="B1386" s="5" t="n">
        <v>44133</v>
      </c>
      <c r="C1386" s="13" t="inlineStr">
        <is>
          <t>VTA</t>
        </is>
      </c>
      <c r="D1386" s="13" t="n">
        <v>41</v>
      </c>
      <c r="E1386" s="10">
        <f>IF(D1386&gt;0,VLOOKUP(OPERAC[[#This Row],[COD CART]],[1]!MatrizCortoLargoCyl[#All],3,0),"")</f>
        <v/>
      </c>
      <c r="F1386" s="13" t="inlineStr">
        <is>
          <t>STOR</t>
        </is>
      </c>
      <c r="G1386" s="6" t="n">
        <v>5</v>
      </c>
      <c r="H1386" s="6" t="n">
        <v>-130.25</v>
      </c>
      <c r="I1386" s="7">
        <f>-H1386/G1386</f>
        <v/>
      </c>
      <c r="J1386" s="11" t="n"/>
      <c r="K1386" s="6" t="n"/>
      <c r="L1386" s="6" t="n"/>
      <c r="M1386" s="7">
        <f>IF(N1386=0,+L1386+H1386,0)</f>
        <v/>
      </c>
      <c r="N1386" s="7">
        <f>IF((+G1386-K1386)=0,0,+G1386-K1386)</f>
        <v/>
      </c>
      <c r="O1386" s="7">
        <f>IF(N1386=0,0,(L1386+H1386)/-N1386)</f>
        <v/>
      </c>
      <c r="P1386" s="7">
        <f>VLOOKUP(OPERAC[[#This Row],[especie]],[1]!ESPECIES[#All],6,0)</f>
        <v/>
      </c>
      <c r="Q1386" s="7">
        <f>IF(N1386&lt;&gt;0,P1386*N1386,0)</f>
        <v/>
      </c>
      <c r="R1386" s="8">
        <f>IF(Q1386&lt;&gt;0,Q1386+H1386+L1386,0)</f>
        <v/>
      </c>
      <c r="S1386" s="9">
        <f>VLOOKUP(OPERAC[[#This Row],[especie]],[1]!ESPECIES[#Data],9,FALSE)</f>
        <v/>
      </c>
    </row>
    <row r="1387">
      <c r="A1387" s="4" t="n">
        <v>22433</v>
      </c>
      <c r="B1387" s="5" t="n">
        <v>44538</v>
      </c>
      <c r="C1387" s="13" t="inlineStr">
        <is>
          <t>VTA</t>
        </is>
      </c>
      <c r="D1387" s="13" t="n">
        <v>43</v>
      </c>
      <c r="E1387" s="10">
        <f>IF(D1387&gt;0,VLOOKUP(OPERAC[[#This Row],[COD CART]],[1]!MatrizCortoLargoCyl[#All],3,0),"")</f>
        <v/>
      </c>
      <c r="F1387" s="13" t="inlineStr">
        <is>
          <t>NNDM/CYL-PUT/2,50/19-01-24</t>
        </is>
      </c>
      <c r="G1387" s="6" t="n">
        <v>100</v>
      </c>
      <c r="H1387" s="6" t="n">
        <v>-130.595</v>
      </c>
      <c r="I1387" s="7">
        <f>-H1387/G1387</f>
        <v/>
      </c>
      <c r="J1387" s="11" t="n"/>
      <c r="K1387" s="6" t="n"/>
      <c r="L1387" s="6" t="n"/>
      <c r="M1387" s="7">
        <f>IF(N1387=0,+L1387+H1387,0)</f>
        <v/>
      </c>
      <c r="N1387" s="7">
        <f>IF((+G1387-K1387)=0,0,+G1387-K1387)</f>
        <v/>
      </c>
      <c r="O1387" s="7">
        <f>IF(N1387=0,0,(L1387+H1387)/-N1387)</f>
        <v/>
      </c>
      <c r="P1387" s="7">
        <f>VLOOKUP(OPERAC[[#This Row],[especie]],[1]!ESPECIES[#All],6,0)</f>
        <v/>
      </c>
      <c r="Q1387" s="7">
        <f>IF(N1387&lt;&gt;0,P1387*N1387,0)</f>
        <v/>
      </c>
      <c r="R1387" s="8">
        <f>IF(Q1387&lt;&gt;0,Q1387+H1387+L1387,0)</f>
        <v/>
      </c>
      <c r="S1387" s="9">
        <f>VLOOKUP(OPERAC[[#This Row],[especie]],[1]!ESPECIES[#Data],9,FALSE)</f>
        <v/>
      </c>
    </row>
    <row r="1388">
      <c r="A1388" s="4" t="n">
        <v>18663</v>
      </c>
      <c r="B1388" s="5" t="n">
        <v>44145</v>
      </c>
      <c r="C1388" s="13" t="inlineStr">
        <is>
          <t>VTA</t>
        </is>
      </c>
      <c r="D1388" s="13" t="n">
        <v>41</v>
      </c>
      <c r="E1388" s="10">
        <f>IF(D1388&gt;0,VLOOKUP(OPERAC[[#This Row],[COD CART]],[1]!MatrizCortoLargoCyl[#All],3,0),"")</f>
        <v/>
      </c>
      <c r="F1388" s="13" t="inlineStr">
        <is>
          <t>ACB</t>
        </is>
      </c>
      <c r="G1388" s="6" t="n">
        <v>15</v>
      </c>
      <c r="H1388" s="6" t="n">
        <v>-130.774</v>
      </c>
      <c r="I1388" s="7">
        <f>-H1388/G1388</f>
        <v/>
      </c>
      <c r="J1388" s="11" t="n">
        <v>44223</v>
      </c>
      <c r="K1388" s="6" t="n">
        <v>10</v>
      </c>
      <c r="L1388" s="6" t="n">
        <v>110.69</v>
      </c>
      <c r="M1388" s="7">
        <f>IF(N1388=0,+L1388+H1388,0)</f>
        <v/>
      </c>
      <c r="N1388" s="7">
        <f>IF((+G1388-K1388)=0,0,+G1388-K1388)</f>
        <v/>
      </c>
      <c r="O1388" s="7">
        <f>IF(N1388=0,0,(L1388+H1388)/-N1388)</f>
        <v/>
      </c>
      <c r="P1388" s="7">
        <f>VLOOKUP(OPERAC[[#This Row],[especie]],[1]!ESPECIES[#All],6,0)</f>
        <v/>
      </c>
      <c r="Q1388" s="7">
        <f>IF(N1388&lt;&gt;0,P1388*N1388,0)</f>
        <v/>
      </c>
      <c r="R1388" s="8">
        <f>IF(Q1388&lt;&gt;0,Q1388+H1388+L1388,0)</f>
        <v/>
      </c>
      <c r="S1388" s="9">
        <f>VLOOKUP(OPERAC[[#This Row],[especie]],[1]!ESPECIES[#Data],9,FALSE)</f>
        <v/>
      </c>
    </row>
    <row r="1389">
      <c r="A1389" s="4" t="n">
        <v>18663</v>
      </c>
      <c r="B1389" s="5" t="n">
        <v>44146</v>
      </c>
      <c r="C1389" s="13" t="inlineStr">
        <is>
          <t>VTA</t>
        </is>
      </c>
      <c r="D1389" s="13" t="n">
        <v>41</v>
      </c>
      <c r="E1389" s="10">
        <f>IF(D1389&gt;0,VLOOKUP(OPERAC[[#This Row],[COD CART]],[1]!MatrizCortoLargoCyl[#All],3,0),"")</f>
        <v/>
      </c>
      <c r="F1389" s="13" t="inlineStr">
        <is>
          <t>TCNNF</t>
        </is>
      </c>
      <c r="G1389" s="6" t="n">
        <v>5</v>
      </c>
      <c r="H1389" s="6" t="n">
        <v>-132.04</v>
      </c>
      <c r="I1389" s="7">
        <f>-H1389/G1389</f>
        <v/>
      </c>
      <c r="J1389" s="11" t="n"/>
      <c r="K1389" s="6" t="n"/>
      <c r="L1389" s="6" t="n"/>
      <c r="M1389" s="7">
        <f>IF(N1389=0,+L1389+H1389,0)</f>
        <v/>
      </c>
      <c r="N1389" s="7">
        <f>IF((+G1389-K1389)=0,0,+G1389-K1389)</f>
        <v/>
      </c>
      <c r="O1389" s="7">
        <f>IF(N1389=0,0,(L1389+H1389)/-N1389)</f>
        <v/>
      </c>
      <c r="P1389" s="7">
        <f>VLOOKUP(OPERAC[[#This Row],[especie]],[1]!ESPECIES[#All],6,0)</f>
        <v/>
      </c>
      <c r="Q1389" s="7">
        <f>IF(N1389&lt;&gt;0,P1389*N1389,0)</f>
        <v/>
      </c>
      <c r="R1389" s="8">
        <f>IF(Q1389&lt;&gt;0,Q1389+H1389+L1389,0)</f>
        <v/>
      </c>
      <c r="S1389" s="9">
        <f>VLOOKUP(OPERAC[[#This Row],[especie]],[1]!ESPECIES[#Data],9,FALSE)</f>
        <v/>
      </c>
    </row>
    <row r="1390">
      <c r="A1390" s="4" t="n">
        <v>13240</v>
      </c>
      <c r="B1390" s="5" t="n">
        <v>44536</v>
      </c>
      <c r="C1390" s="13" t="inlineStr">
        <is>
          <t>VTA</t>
        </is>
      </c>
      <c r="D1390" s="13" t="n">
        <v>43</v>
      </c>
      <c r="E1390" s="10">
        <f>IF(D1390&gt;0,VLOOKUP(OPERAC[[#This Row],[COD CART]],[1]!MatrizCortoLargoCyl[#All],3,0),"")</f>
        <v/>
      </c>
      <c r="F1390" s="13" t="inlineStr">
        <is>
          <t>HEXO/CYL-PUT/1,00/20-01-23</t>
        </is>
      </c>
      <c r="G1390" s="6" t="n">
        <v>800</v>
      </c>
      <c r="H1390" s="6">
        <f>-0.1671*OPERAC[[#This Row],[cantidad]]</f>
        <v/>
      </c>
      <c r="I1390" s="7">
        <f>-H1390/G1390</f>
        <v/>
      </c>
      <c r="J1390" s="11" t="n">
        <v>44614</v>
      </c>
      <c r="K1390" s="6" t="n">
        <v>800</v>
      </c>
      <c r="L1390" s="6">
        <f>0.3306*OPERAC[[#This Row],[cantidad venta]]</f>
        <v/>
      </c>
      <c r="M1390" s="7">
        <f>IF(N1390=0,+L1390+H1390,0)</f>
        <v/>
      </c>
      <c r="N1390" s="7">
        <f>IF((+G1390-K1390)=0,0,+G1390-K1390)</f>
        <v/>
      </c>
      <c r="O1390" s="7">
        <f>IF(N1390=0,0,(L1390+H1390)/-N1390)</f>
        <v/>
      </c>
      <c r="P1390" s="7">
        <f>VLOOKUP(OPERAC[[#This Row],[especie]],[1]!ESPECIES[#All],6,0)</f>
        <v/>
      </c>
      <c r="Q1390" s="7">
        <f>IF(N1390&lt;&gt;0,P1390*N1390,0)</f>
        <v/>
      </c>
      <c r="R1390" s="8">
        <f>IF(Q1390&lt;&gt;0,Q1390+H1390+L1390,0)</f>
        <v/>
      </c>
      <c r="S1390" s="9">
        <f>VLOOKUP(OPERAC[[#This Row],[especie]],[1]!ESPECIES[#Data],9,FALSE)</f>
        <v/>
      </c>
    </row>
    <row r="1391">
      <c r="A1391" s="4" t="n">
        <v>22393</v>
      </c>
      <c r="B1391" s="5" t="n">
        <v>44641</v>
      </c>
      <c r="C1391" s="13" t="inlineStr">
        <is>
          <t>VTA</t>
        </is>
      </c>
      <c r="D1391" s="13" t="n">
        <v>43</v>
      </c>
      <c r="E1391" s="10">
        <f>IF(D1391&gt;0,VLOOKUP(OPERAC[[#This Row],[COD CART]],[1]!MatrizCortoLargoCyl[#All],3,0),"")</f>
        <v/>
      </c>
      <c r="F1391" s="13" t="inlineStr">
        <is>
          <t>GMBL/CYL-PUT/1,00/20-01-23</t>
        </is>
      </c>
      <c r="G1391" s="6" t="n">
        <v>500</v>
      </c>
      <c r="H1391" s="6" t="n">
        <v>-137.307</v>
      </c>
      <c r="I1391" s="7">
        <f>-H1391/G1391</f>
        <v/>
      </c>
      <c r="J1391" s="11" t="n"/>
      <c r="K1391" s="6" t="n"/>
      <c r="L1391" s="6" t="n"/>
      <c r="M1391" s="7">
        <f>IF(N1391=0,+L1391+H1391,0)</f>
        <v/>
      </c>
      <c r="N1391" s="7">
        <f>IF((+G1391-K1391)=0,0,+G1391-K1391)</f>
        <v/>
      </c>
      <c r="O1391" s="7">
        <f>IF(N1391=0,0,(L1391+H1391)/-N1391)</f>
        <v/>
      </c>
      <c r="P1391" s="7">
        <f>VLOOKUP(OPERAC[[#This Row],[especie]],[1]!ESPECIES[#All],6,0)</f>
        <v/>
      </c>
      <c r="Q1391" s="7">
        <f>IF(N1391&lt;&gt;0,P1391*N1391,0)</f>
        <v/>
      </c>
      <c r="R1391" s="8">
        <f>IF(Q1391&lt;&gt;0,Q1391+H1391+L1391,0)</f>
        <v/>
      </c>
      <c r="S1391" s="9">
        <f>VLOOKUP(OPERAC[[#This Row],[especie]],[1]!ESPECIES[#Data],9,FALSE)</f>
        <v/>
      </c>
    </row>
    <row r="1392">
      <c r="A1392" s="4" t="n">
        <v>16818</v>
      </c>
      <c r="B1392" s="5" t="n">
        <v>44645</v>
      </c>
      <c r="C1392" s="13" t="inlineStr">
        <is>
          <t>VTA</t>
        </is>
      </c>
      <c r="D1392" s="13" t="n">
        <v>42</v>
      </c>
      <c r="E1392" s="10">
        <f>IF(D1392&gt;0,VLOOKUP(OPERAC[[#This Row],[COD CART]],[1]!MatrizCortoLargoCyl[#All],3,0),"")</f>
        <v/>
      </c>
      <c r="F1392" s="13" t="inlineStr">
        <is>
          <t>PLUG</t>
        </is>
      </c>
      <c r="G1392" s="6" t="n">
        <v>5</v>
      </c>
      <c r="H1392" s="6" t="n">
        <v>-139.1041</v>
      </c>
      <c r="I1392" s="7">
        <f>-H1392/G1392</f>
        <v/>
      </c>
      <c r="J1392" s="11" t="n">
        <v>44652</v>
      </c>
      <c r="K1392" s="6">
        <f>+OPERAC[[#This Row],[cantidad]]</f>
        <v/>
      </c>
      <c r="L1392" s="6">
        <f>+OPERAC[[#This Row],[cantidad venta]]*27.754</f>
        <v/>
      </c>
      <c r="M1392" s="7">
        <f>IF(N1392=0,+L1392+H1392,0)</f>
        <v/>
      </c>
      <c r="N1392" s="7">
        <f>IF((+G1392-K1392)=0,0,+G1392-K1392)</f>
        <v/>
      </c>
      <c r="O1392" s="7">
        <f>IF(N1392=0,0,(L1392+H1392)/-N1392)</f>
        <v/>
      </c>
      <c r="P1392" s="7">
        <f>VLOOKUP(OPERAC[[#This Row],[especie]],[1]!ESPECIES[#All],6,0)</f>
        <v/>
      </c>
      <c r="Q1392" s="7">
        <f>IF(N1392&lt;&gt;0,P1392*N1392,0)</f>
        <v/>
      </c>
      <c r="R1392" s="8">
        <f>IF(Q1392&lt;&gt;0,Q1392+H1392+L1392,0)</f>
        <v/>
      </c>
      <c r="S1392" s="9">
        <f>VLOOKUP(OPERAC[[#This Row],[especie]],[1]!ESPECIES[#Data],9,FALSE)</f>
        <v/>
      </c>
    </row>
    <row r="1393">
      <c r="A1393" s="4" t="n">
        <v>18663</v>
      </c>
      <c r="B1393" s="5" t="n">
        <v>44228</v>
      </c>
      <c r="C1393" s="13" t="inlineStr">
        <is>
          <t>VTA</t>
        </is>
      </c>
      <c r="D1393" s="13" t="n">
        <v>41</v>
      </c>
      <c r="E1393" s="10">
        <f>IF(D1393&gt;0,VLOOKUP(OPERAC[[#This Row],[COD CART]],[1]!MatrizCortoLargoCyl[#All],3,0),"")</f>
        <v/>
      </c>
      <c r="F1393" s="13" t="inlineStr">
        <is>
          <t>SPWR</t>
        </is>
      </c>
      <c r="G1393" s="6" t="n">
        <v>3</v>
      </c>
      <c r="H1393" s="6" t="n">
        <v>-139.3700752</v>
      </c>
      <c r="I1393" s="7">
        <f>-H1393/G1393</f>
        <v/>
      </c>
      <c r="J1393" s="11" t="n"/>
      <c r="K1393" s="6" t="n"/>
      <c r="L1393" s="6" t="n"/>
      <c r="M1393" s="7">
        <f>IF(N1393=0,+L1393+H1393,0)</f>
        <v/>
      </c>
      <c r="N1393" s="7">
        <f>IF((+G1393-K1393)=0,0,+G1393-K1393)</f>
        <v/>
      </c>
      <c r="O1393" s="7">
        <f>IF(N1393=0,0,(L1393+H1393)/-N1393)</f>
        <v/>
      </c>
      <c r="P1393" s="7">
        <f>VLOOKUP(OPERAC[[#This Row],[especie]],[1]!ESPECIES[#All],6,0)</f>
        <v/>
      </c>
      <c r="Q1393" s="7">
        <f>IF(N1393&lt;&gt;0,P1393*N1393,0)</f>
        <v/>
      </c>
      <c r="R1393" s="8">
        <f>IF(Q1393&lt;&gt;0,Q1393+H1393+L1393,0)</f>
        <v/>
      </c>
      <c r="S1393" s="9">
        <f>VLOOKUP(OPERAC[[#This Row],[especie]],[1]!ESPECIES[#Data],9,FALSE)</f>
        <v/>
      </c>
    </row>
    <row r="1394">
      <c r="A1394" s="4" t="n">
        <v>2289</v>
      </c>
      <c r="B1394" s="5" t="n">
        <v>44645</v>
      </c>
      <c r="C1394" s="13" t="inlineStr">
        <is>
          <t>VTA</t>
        </is>
      </c>
      <c r="D1394" s="13" t="n">
        <v>42</v>
      </c>
      <c r="E1394" s="10">
        <f>IF(D1394&gt;0,VLOOKUP(OPERAC[[#This Row],[COD CART]],[1]!MatrizCortoLargoCyl[#All],3,0),"")</f>
        <v/>
      </c>
      <c r="F1394" s="13" t="inlineStr">
        <is>
          <t>PLUG</t>
        </is>
      </c>
      <c r="G1394" s="6" t="n">
        <v>5</v>
      </c>
      <c r="H1394" s="6" t="n">
        <v>-139.6582</v>
      </c>
      <c r="I1394" s="7">
        <f>-H1394/G1394</f>
        <v/>
      </c>
      <c r="J1394" s="11" t="n">
        <v>44652</v>
      </c>
      <c r="K1394" s="6">
        <f>+OPERAC[[#This Row],[cantidad]]</f>
        <v/>
      </c>
      <c r="L1394" s="6">
        <f>+OPERAC[[#This Row],[cantidad venta]]*27.754</f>
        <v/>
      </c>
      <c r="M1394" s="7">
        <f>IF(N1394=0,+L1394+H1394,0)</f>
        <v/>
      </c>
      <c r="N1394" s="7">
        <f>IF((+G1394-K1394)=0,0,+G1394-K1394)</f>
        <v/>
      </c>
      <c r="O1394" s="7">
        <f>IF(N1394=0,0,(L1394+H1394)/-N1394)</f>
        <v/>
      </c>
      <c r="P1394" s="7">
        <f>VLOOKUP(OPERAC[[#This Row],[especie]],[1]!ESPECIES[#All],6,0)</f>
        <v/>
      </c>
      <c r="Q1394" s="7">
        <f>IF(N1394&lt;&gt;0,P1394*N1394,0)</f>
        <v/>
      </c>
      <c r="R1394" s="8">
        <f>IF(Q1394&lt;&gt;0,Q1394+H1394+L1394,0)</f>
        <v/>
      </c>
      <c r="S1394" s="9">
        <f>VLOOKUP(OPERAC[[#This Row],[especie]],[1]!ESPECIES[#Data],9,FALSE)</f>
        <v/>
      </c>
    </row>
    <row r="1395">
      <c r="A1395" s="4" t="n">
        <v>22393</v>
      </c>
      <c r="B1395" s="5" t="n">
        <v>43831</v>
      </c>
      <c r="C1395" s="13" t="inlineStr">
        <is>
          <t>VTA</t>
        </is>
      </c>
      <c r="D1395" s="13" t="n">
        <v>31</v>
      </c>
      <c r="E1395" s="10">
        <f>IF(D1395&gt;0,VLOOKUP(OPERAC[[#This Row],[COD CART]],[1]!MatrizCortoLargoCyl[#All],3,0),"")</f>
        <v/>
      </c>
      <c r="F1395" s="13" t="inlineStr">
        <is>
          <t>PNTV</t>
        </is>
      </c>
      <c r="G1395" s="6" t="n">
        <v>2000</v>
      </c>
      <c r="H1395" s="6" t="n">
        <v>-140</v>
      </c>
      <c r="I1395" s="7" t="n">
        <v>0.07000000000000001</v>
      </c>
      <c r="J1395" s="5" t="n">
        <v>44645</v>
      </c>
      <c r="K1395" s="6" t="n">
        <v>2000</v>
      </c>
      <c r="L1395" s="6" t="n">
        <v>140</v>
      </c>
      <c r="M1395" s="7">
        <f>IF(N1395=0,+L1395+H1395,0)</f>
        <v/>
      </c>
      <c r="N1395" s="7">
        <f>IF((+G1395-K1395)=0,0,+G1395-K1395)</f>
        <v/>
      </c>
      <c r="O1395" s="7">
        <f>IF(N1395=0,0,(L1395+H1395)/-N1395)</f>
        <v/>
      </c>
      <c r="P1395" s="7">
        <f>VLOOKUP(OPERAC[[#This Row],[especie]],[1]!ESPECIES[#All],6,0)</f>
        <v/>
      </c>
      <c r="Q1395" s="7">
        <f>IF(N1395&lt;&gt;0,P1395*N1395,0)</f>
        <v/>
      </c>
      <c r="R1395" s="8">
        <f>IF(Q1395&lt;&gt;0,Q1395+H1395+L1395,0)</f>
        <v/>
      </c>
      <c r="S1395" s="9">
        <f>VLOOKUP(OPERAC[[#This Row],[especie]],[1]!ESPECIES[#Data],9,FALSE)</f>
        <v/>
      </c>
    </row>
    <row r="1396">
      <c r="A1396" s="4" t="n">
        <v>1800</v>
      </c>
      <c r="B1396" s="5" t="n">
        <v>44648</v>
      </c>
      <c r="C1396" s="13" t="inlineStr">
        <is>
          <t>VTA</t>
        </is>
      </c>
      <c r="D1396" s="13" t="n">
        <v>42</v>
      </c>
      <c r="E1396" s="10">
        <f>IF(D1396&gt;0,VLOOKUP(OPERAC[[#This Row],[COD CART]],[1]!MatrizCortoLargoCyl[#All],3,0),"")</f>
        <v/>
      </c>
      <c r="F1396" s="13" t="inlineStr">
        <is>
          <t>JPM</t>
        </is>
      </c>
      <c r="G1396" s="6" t="n">
        <v>1</v>
      </c>
      <c r="H1396" s="6" t="n">
        <v>-140.13048</v>
      </c>
      <c r="I1396" s="7">
        <f>-H1396/G1396</f>
        <v/>
      </c>
      <c r="J1396" s="11" t="n">
        <v>44664</v>
      </c>
      <c r="K1396" s="6">
        <f>+OPERAC[[#This Row],[cantidad]]</f>
        <v/>
      </c>
      <c r="L1396" s="6">
        <f>+OPERAC[[#This Row],[cantidad venta]]*125.943</f>
        <v/>
      </c>
      <c r="M1396" s="7">
        <f>IF(N1396=0,+L1396+H1396,0)</f>
        <v/>
      </c>
      <c r="N1396" s="7">
        <f>IF((+G1396-K1396)=0,0,+G1396-K1396)</f>
        <v/>
      </c>
      <c r="O1396" s="7">
        <f>IF(N1396=0,0,(L1396+H1396)/-N1396)</f>
        <v/>
      </c>
      <c r="P1396" s="7">
        <f>VLOOKUP(OPERAC[[#This Row],[especie]],[1]!ESPECIES[#All],6,0)</f>
        <v/>
      </c>
      <c r="Q1396" s="7">
        <f>IF(N1396&lt;&gt;0,P1396*N1396,0)</f>
        <v/>
      </c>
      <c r="R1396" s="8">
        <f>IF(Q1396&lt;&gt;0,Q1396+H1396+L1396,0)</f>
        <v/>
      </c>
      <c r="S1396" s="9">
        <f>VLOOKUP(OPERAC[[#This Row],[especie]],[1]!ESPECIES[#Data],9,FALSE)</f>
        <v/>
      </c>
    </row>
    <row r="1397">
      <c r="A1397" s="4" t="n">
        <v>13185</v>
      </c>
      <c r="B1397" s="5" t="n">
        <v>44648</v>
      </c>
      <c r="C1397" s="13" t="inlineStr">
        <is>
          <t>VTA</t>
        </is>
      </c>
      <c r="D1397" s="13" t="n">
        <v>42</v>
      </c>
      <c r="E1397" s="10">
        <f>IF(D1397&gt;0,VLOOKUP(OPERAC[[#This Row],[COD CART]],[1]!MatrizCortoLargoCyl[#All],3,0),"")</f>
        <v/>
      </c>
      <c r="F1397" s="13" t="inlineStr">
        <is>
          <t>JPM</t>
        </is>
      </c>
      <c r="G1397" s="6" t="n">
        <v>1</v>
      </c>
      <c r="H1397" s="6" t="n">
        <v>-140.13048</v>
      </c>
      <c r="I1397" s="7">
        <f>-H1397/G1397</f>
        <v/>
      </c>
      <c r="J1397" s="11" t="n">
        <v>44664</v>
      </c>
      <c r="K1397" s="6">
        <f>+OPERAC[[#This Row],[cantidad]]</f>
        <v/>
      </c>
      <c r="L1397" s="6">
        <f>+OPERAC[[#This Row],[cantidad venta]]*125.943</f>
        <v/>
      </c>
      <c r="M1397" s="7">
        <f>IF(N1397=0,+L1397+H1397,0)</f>
        <v/>
      </c>
      <c r="N1397" s="7">
        <f>IF((+G1397-K1397)=0,0,+G1397-K1397)</f>
        <v/>
      </c>
      <c r="O1397" s="7">
        <f>IF(N1397=0,0,(L1397+H1397)/-N1397)</f>
        <v/>
      </c>
      <c r="P1397" s="7">
        <f>VLOOKUP(OPERAC[[#This Row],[especie]],[1]!ESPECIES[#All],6,0)</f>
        <v/>
      </c>
      <c r="Q1397" s="7">
        <f>IF(N1397&lt;&gt;0,P1397*N1397,0)</f>
        <v/>
      </c>
      <c r="R1397" s="8">
        <f>IF(Q1397&lt;&gt;0,Q1397+H1397+L1397,0)</f>
        <v/>
      </c>
      <c r="S1397" s="9">
        <f>VLOOKUP(OPERAC[[#This Row],[especie]],[1]!ESPECIES[#Data],9,FALSE)</f>
        <v/>
      </c>
    </row>
    <row r="1398">
      <c r="A1398" s="4" t="n">
        <v>1000</v>
      </c>
      <c r="B1398" s="5" t="n">
        <v>44552</v>
      </c>
      <c r="C1398" s="13" t="inlineStr">
        <is>
          <t>VTA</t>
        </is>
      </c>
      <c r="D1398" s="13" t="n">
        <v>41</v>
      </c>
      <c r="E1398" s="10">
        <f>IF(D1398&gt;0,VLOOKUP(OPERAC[[#This Row],[COD CART]],[1]!MatrizCortoLargoCyl[#All],3,0),"")</f>
        <v/>
      </c>
      <c r="F1398" s="13" t="inlineStr">
        <is>
          <t>BYND</t>
        </is>
      </c>
      <c r="G1398" s="6" t="n">
        <v>2</v>
      </c>
      <c r="H1398" s="6" t="n">
        <v>-140.4</v>
      </c>
      <c r="I1398" s="7">
        <f>-H1398/G1398</f>
        <v/>
      </c>
      <c r="J1398" s="11" t="n">
        <v>44572</v>
      </c>
      <c r="K1398" s="6" t="n">
        <v>2</v>
      </c>
      <c r="L1398" s="6" t="n">
        <v>137.4</v>
      </c>
      <c r="M1398" s="7">
        <f>IF(N1398=0,+L1398+H1398,0)</f>
        <v/>
      </c>
      <c r="N1398" s="7">
        <f>IF((+G1398-K1398)=0,0,+G1398-K1398)</f>
        <v/>
      </c>
      <c r="O1398" s="7">
        <f>IF(N1398=0,0,(L1398+H1398)/-N1398)</f>
        <v/>
      </c>
      <c r="P1398" s="7">
        <f>VLOOKUP(OPERAC[[#This Row],[especie]],[1]!ESPECIES[#All],6,0)</f>
        <v/>
      </c>
      <c r="Q1398" s="7">
        <f>IF(N1398&lt;&gt;0,P1398*N1398,0)</f>
        <v/>
      </c>
      <c r="R1398" s="8">
        <f>IF(Q1398&lt;&gt;0,Q1398+H1398+L1398,0)</f>
        <v/>
      </c>
      <c r="S1398" s="9">
        <f>VLOOKUP(OPERAC[[#This Row],[especie]],[1]!ESPECIES[#Data],9,FALSE)</f>
        <v/>
      </c>
    </row>
    <row r="1399">
      <c r="A1399" s="4" t="n">
        <v>25070</v>
      </c>
      <c r="B1399" s="5" t="n">
        <v>44641</v>
      </c>
      <c r="C1399" s="13" t="inlineStr">
        <is>
          <t>VTA</t>
        </is>
      </c>
      <c r="D1399" s="13" t="n">
        <v>42</v>
      </c>
      <c r="E1399" s="10">
        <f>IF(D1399&gt;0,VLOOKUP(OPERAC[[#This Row],[COD CART]],[1]!MatrizCortoLargoCyl[#All],3,0),"")</f>
        <v/>
      </c>
      <c r="F1399" s="13" t="inlineStr">
        <is>
          <t>JPM</t>
        </is>
      </c>
      <c r="G1399" s="6" t="n">
        <v>1</v>
      </c>
      <c r="H1399" s="6" t="n">
        <v>-140.45</v>
      </c>
      <c r="I1399" s="7">
        <f>-H1399/G1399</f>
        <v/>
      </c>
      <c r="J1399" s="11" t="n">
        <v>44664</v>
      </c>
      <c r="K1399" s="6">
        <f>+OPERAC[[#This Row],[cantidad]]</f>
        <v/>
      </c>
      <c r="L1399" s="6">
        <f>+OPERAC[[#This Row],[cantidad venta]]*125.943</f>
        <v/>
      </c>
      <c r="M1399" s="7">
        <f>IF(N1399=0,+L1399+H1399,0)</f>
        <v/>
      </c>
      <c r="N1399" s="7">
        <f>IF((+G1399-K1399)=0,0,+G1399-K1399)</f>
        <v/>
      </c>
      <c r="O1399" s="7">
        <f>IF(N1399=0,0,(L1399+H1399)/-N1399)</f>
        <v/>
      </c>
      <c r="P1399" s="7">
        <f>VLOOKUP(OPERAC[[#This Row],[especie]],[1]!ESPECIES[#All],6,0)</f>
        <v/>
      </c>
      <c r="Q1399" s="7">
        <f>IF(N1399&lt;&gt;0,P1399*N1399,0)</f>
        <v/>
      </c>
      <c r="R1399" s="8">
        <f>IF(Q1399&lt;&gt;0,Q1399+H1399+L1399,0)</f>
        <v/>
      </c>
      <c r="S1399" s="9">
        <f>VLOOKUP(OPERAC[[#This Row],[especie]],[1]!ESPECIES[#Data],9,FALSE)</f>
        <v/>
      </c>
    </row>
    <row r="1400">
      <c r="A1400" s="4" t="n">
        <v>3838</v>
      </c>
      <c r="B1400" s="5" t="n">
        <v>44641</v>
      </c>
      <c r="C1400" s="13" t="inlineStr">
        <is>
          <t>VTA</t>
        </is>
      </c>
      <c r="D1400" s="13" t="n">
        <v>42</v>
      </c>
      <c r="E1400" s="10">
        <f>IF(D1400&gt;0,VLOOKUP(OPERAC[[#This Row],[COD CART]],[1]!MatrizCortoLargoCyl[#All],3,0),"")</f>
        <v/>
      </c>
      <c r="F1400" s="13" t="inlineStr">
        <is>
          <t>JPM</t>
        </is>
      </c>
      <c r="G1400" s="6" t="n">
        <v>1</v>
      </c>
      <c r="H1400" s="6" t="n">
        <v>-140.45434</v>
      </c>
      <c r="I1400" s="7">
        <f>-H1400/G1400</f>
        <v/>
      </c>
      <c r="J1400" s="11" t="n">
        <v>44664</v>
      </c>
      <c r="K1400" s="6">
        <f>+OPERAC[[#This Row],[cantidad]]</f>
        <v/>
      </c>
      <c r="L1400" s="6">
        <f>+OPERAC[[#This Row],[cantidad venta]]*125.943</f>
        <v/>
      </c>
      <c r="M1400" s="7">
        <f>IF(N1400=0,+L1400+H1400,0)</f>
        <v/>
      </c>
      <c r="N1400" s="7">
        <f>IF((+G1400-K1400)=0,0,+G1400-K1400)</f>
        <v/>
      </c>
      <c r="O1400" s="7">
        <f>IF(N1400=0,0,(L1400+H1400)/-N1400)</f>
        <v/>
      </c>
      <c r="P1400" s="7">
        <f>VLOOKUP(OPERAC[[#This Row],[especie]],[1]!ESPECIES[#All],6,0)</f>
        <v/>
      </c>
      <c r="Q1400" s="7">
        <f>IF(N1400&lt;&gt;0,P1400*N1400,0)</f>
        <v/>
      </c>
      <c r="R1400" s="8">
        <f>IF(Q1400&lt;&gt;0,Q1400+H1400+L1400,0)</f>
        <v/>
      </c>
      <c r="S1400" s="9">
        <f>VLOOKUP(OPERAC[[#This Row],[especie]],[1]!ESPECIES[#Data],9,FALSE)</f>
        <v/>
      </c>
    </row>
    <row r="1401">
      <c r="A1401" s="4" t="n">
        <v>7925</v>
      </c>
      <c r="B1401" s="5" t="n">
        <v>44641</v>
      </c>
      <c r="C1401" s="13" t="inlineStr">
        <is>
          <t>VTA</t>
        </is>
      </c>
      <c r="D1401" s="13" t="n">
        <v>42</v>
      </c>
      <c r="E1401" s="10">
        <f>IF(D1401&gt;0,VLOOKUP(OPERAC[[#This Row],[COD CART]],[1]!MatrizCortoLargoCyl[#All],3,0),"")</f>
        <v/>
      </c>
      <c r="F1401" s="13" t="inlineStr">
        <is>
          <t>JPM</t>
        </is>
      </c>
      <c r="G1401" s="6" t="n">
        <v>1</v>
      </c>
      <c r="H1401" s="6" t="n">
        <v>-140.45434</v>
      </c>
      <c r="I1401" s="7">
        <f>-H1401/G1401</f>
        <v/>
      </c>
      <c r="J1401" s="11" t="n">
        <v>44664</v>
      </c>
      <c r="K1401" s="6">
        <f>+OPERAC[[#This Row],[cantidad]]</f>
        <v/>
      </c>
      <c r="L1401" s="6">
        <f>+OPERAC[[#This Row],[cantidad venta]]*125.943</f>
        <v/>
      </c>
      <c r="M1401" s="7">
        <f>IF(N1401=0,+L1401+H1401,0)</f>
        <v/>
      </c>
      <c r="N1401" s="7">
        <f>IF((+G1401-K1401)=0,0,+G1401-K1401)</f>
        <v/>
      </c>
      <c r="O1401" s="7">
        <f>IF(N1401=0,0,(L1401+H1401)/-N1401)</f>
        <v/>
      </c>
      <c r="P1401" s="7">
        <f>VLOOKUP(OPERAC[[#This Row],[especie]],[1]!ESPECIES[#All],6,0)</f>
        <v/>
      </c>
      <c r="Q1401" s="7">
        <f>IF(N1401&lt;&gt;0,P1401*N1401,0)</f>
        <v/>
      </c>
      <c r="R1401" s="8">
        <f>IF(Q1401&lt;&gt;0,Q1401+H1401+L1401,0)</f>
        <v/>
      </c>
      <c r="S1401" s="9">
        <f>VLOOKUP(OPERAC[[#This Row],[especie]],[1]!ESPECIES[#Data],9,FALSE)</f>
        <v/>
      </c>
    </row>
    <row r="1402">
      <c r="A1402" s="4" t="n">
        <v>12686</v>
      </c>
      <c r="B1402" s="5" t="n">
        <v>44641</v>
      </c>
      <c r="C1402" s="13" t="inlineStr">
        <is>
          <t>VTA</t>
        </is>
      </c>
      <c r="D1402" s="13" t="n">
        <v>42</v>
      </c>
      <c r="E1402" s="10">
        <f>IF(D1402&gt;0,VLOOKUP(OPERAC[[#This Row],[COD CART]],[1]!MatrizCortoLargoCyl[#All],3,0),"")</f>
        <v/>
      </c>
      <c r="F1402" s="13" t="inlineStr">
        <is>
          <t>JPM</t>
        </is>
      </c>
      <c r="G1402" s="6" t="n">
        <v>1</v>
      </c>
      <c r="H1402" s="6" t="n">
        <v>-140.45434</v>
      </c>
      <c r="I1402" s="7">
        <f>-H1402/G1402</f>
        <v/>
      </c>
      <c r="J1402" s="11" t="n">
        <v>44664</v>
      </c>
      <c r="K1402" s="6">
        <f>+OPERAC[[#This Row],[cantidad]]</f>
        <v/>
      </c>
      <c r="L1402" s="6">
        <f>+OPERAC[[#This Row],[cantidad venta]]*125.943</f>
        <v/>
      </c>
      <c r="M1402" s="7">
        <f>IF(N1402=0,+L1402+H1402,0)</f>
        <v/>
      </c>
      <c r="N1402" s="7">
        <f>IF((+G1402-K1402)=0,0,+G1402-K1402)</f>
        <v/>
      </c>
      <c r="O1402" s="7">
        <f>IF(N1402=0,0,(L1402+H1402)/-N1402)</f>
        <v/>
      </c>
      <c r="P1402" s="7">
        <f>VLOOKUP(OPERAC[[#This Row],[especie]],[1]!ESPECIES[#All],6,0)</f>
        <v/>
      </c>
      <c r="Q1402" s="7">
        <f>IF(N1402&lt;&gt;0,P1402*N1402,0)</f>
        <v/>
      </c>
      <c r="R1402" s="8">
        <f>IF(Q1402&lt;&gt;0,Q1402+H1402+L1402,0)</f>
        <v/>
      </c>
      <c r="S1402" s="9">
        <f>VLOOKUP(OPERAC[[#This Row],[especie]],[1]!ESPECIES[#Data],9,FALSE)</f>
        <v/>
      </c>
    </row>
    <row r="1403">
      <c r="A1403" s="4" t="n">
        <v>12688</v>
      </c>
      <c r="B1403" s="5" t="n">
        <v>44641</v>
      </c>
      <c r="C1403" s="13" t="inlineStr">
        <is>
          <t>VTA</t>
        </is>
      </c>
      <c r="D1403" s="13" t="n">
        <v>42</v>
      </c>
      <c r="E1403" s="10">
        <f>IF(D1403&gt;0,VLOOKUP(OPERAC[[#This Row],[COD CART]],[1]!MatrizCortoLargoCyl[#All],3,0),"")</f>
        <v/>
      </c>
      <c r="F1403" s="13" t="inlineStr">
        <is>
          <t>JPM</t>
        </is>
      </c>
      <c r="G1403" s="6" t="n">
        <v>1</v>
      </c>
      <c r="H1403" s="6" t="n">
        <v>-140.45434</v>
      </c>
      <c r="I1403" s="7">
        <f>-H1403/G1403</f>
        <v/>
      </c>
      <c r="J1403" s="11" t="n">
        <v>44664</v>
      </c>
      <c r="K1403" s="6">
        <f>+OPERAC[[#This Row],[cantidad]]</f>
        <v/>
      </c>
      <c r="L1403" s="6">
        <f>+OPERAC[[#This Row],[cantidad venta]]*125.943</f>
        <v/>
      </c>
      <c r="M1403" s="7">
        <f>IF(N1403=0,+L1403+H1403,0)</f>
        <v/>
      </c>
      <c r="N1403" s="7">
        <f>IF((+G1403-K1403)=0,0,+G1403-K1403)</f>
        <v/>
      </c>
      <c r="O1403" s="7">
        <f>IF(N1403=0,0,(L1403+H1403)/-N1403)</f>
        <v/>
      </c>
      <c r="P1403" s="7">
        <f>VLOOKUP(OPERAC[[#This Row],[especie]],[1]!ESPECIES[#All],6,0)</f>
        <v/>
      </c>
      <c r="Q1403" s="7">
        <f>IF(N1403&lt;&gt;0,P1403*N1403,0)</f>
        <v/>
      </c>
      <c r="R1403" s="8">
        <f>IF(Q1403&lt;&gt;0,Q1403+H1403+L1403,0)</f>
        <v/>
      </c>
      <c r="S1403" s="9">
        <f>VLOOKUP(OPERAC[[#This Row],[especie]],[1]!ESPECIES[#Data],9,FALSE)</f>
        <v/>
      </c>
    </row>
    <row r="1404">
      <c r="A1404" s="4" t="n">
        <v>13204</v>
      </c>
      <c r="B1404" s="5" t="n">
        <v>44641</v>
      </c>
      <c r="C1404" s="13" t="inlineStr">
        <is>
          <t>VTA</t>
        </is>
      </c>
      <c r="D1404" s="13" t="n">
        <v>42</v>
      </c>
      <c r="E1404" s="10">
        <f>IF(D1404&gt;0,VLOOKUP(OPERAC[[#This Row],[COD CART]],[1]!MatrizCortoLargoCyl[#All],3,0),"")</f>
        <v/>
      </c>
      <c r="F1404" s="13" t="inlineStr">
        <is>
          <t>JPM</t>
        </is>
      </c>
      <c r="G1404" s="6" t="n">
        <v>1</v>
      </c>
      <c r="H1404" s="6" t="n">
        <v>-140.45434</v>
      </c>
      <c r="I1404" s="7">
        <f>-H1404/G1404</f>
        <v/>
      </c>
      <c r="J1404" s="11" t="n">
        <v>44664</v>
      </c>
      <c r="K1404" s="6">
        <f>+OPERAC[[#This Row],[cantidad]]</f>
        <v/>
      </c>
      <c r="L1404" s="6">
        <f>+OPERAC[[#This Row],[cantidad venta]]*125.943</f>
        <v/>
      </c>
      <c r="M1404" s="7">
        <f>IF(N1404=0,+L1404+H1404,0)</f>
        <v/>
      </c>
      <c r="N1404" s="7">
        <f>IF((+G1404-K1404)=0,0,+G1404-K1404)</f>
        <v/>
      </c>
      <c r="O1404" s="7">
        <f>IF(N1404=0,0,(L1404+H1404)/-N1404)</f>
        <v/>
      </c>
      <c r="P1404" s="7">
        <f>VLOOKUP(OPERAC[[#This Row],[especie]],[1]!ESPECIES[#All],6,0)</f>
        <v/>
      </c>
      <c r="Q1404" s="7">
        <f>IF(N1404&lt;&gt;0,P1404*N1404,0)</f>
        <v/>
      </c>
      <c r="R1404" s="8">
        <f>IF(Q1404&lt;&gt;0,Q1404+H1404+L1404,0)</f>
        <v/>
      </c>
      <c r="S1404" s="9">
        <f>VLOOKUP(OPERAC[[#This Row],[especie]],[1]!ESPECIES[#Data],9,FALSE)</f>
        <v/>
      </c>
    </row>
    <row r="1405">
      <c r="A1405" s="4" t="n">
        <v>13281</v>
      </c>
      <c r="B1405" s="5" t="n">
        <v>44641</v>
      </c>
      <c r="C1405" s="13" t="inlineStr">
        <is>
          <t>VTA</t>
        </is>
      </c>
      <c r="D1405" s="13" t="n">
        <v>42</v>
      </c>
      <c r="E1405" s="10">
        <f>IF(D1405&gt;0,VLOOKUP(OPERAC[[#This Row],[COD CART]],[1]!MatrizCortoLargoCyl[#All],3,0),"")</f>
        <v/>
      </c>
      <c r="F1405" s="13" t="inlineStr">
        <is>
          <t>JPM</t>
        </is>
      </c>
      <c r="G1405" s="6" t="n">
        <v>1</v>
      </c>
      <c r="H1405" s="6" t="n">
        <v>-140.45434</v>
      </c>
      <c r="I1405" s="7">
        <f>-H1405/G1405</f>
        <v/>
      </c>
      <c r="J1405" s="11" t="n">
        <v>44664</v>
      </c>
      <c r="K1405" s="6">
        <f>+OPERAC[[#This Row],[cantidad]]</f>
        <v/>
      </c>
      <c r="L1405" s="6">
        <f>+OPERAC[[#This Row],[cantidad venta]]*125.943</f>
        <v/>
      </c>
      <c r="M1405" s="7">
        <f>IF(N1405=0,+L1405+H1405,0)</f>
        <v/>
      </c>
      <c r="N1405" s="7">
        <f>IF((+G1405-K1405)=0,0,+G1405-K1405)</f>
        <v/>
      </c>
      <c r="O1405" s="7">
        <f>IF(N1405=0,0,(L1405+H1405)/-N1405)</f>
        <v/>
      </c>
      <c r="P1405" s="7">
        <f>VLOOKUP(OPERAC[[#This Row],[especie]],[1]!ESPECIES[#All],6,0)</f>
        <v/>
      </c>
      <c r="Q1405" s="7">
        <f>IF(N1405&lt;&gt;0,P1405*N1405,0)</f>
        <v/>
      </c>
      <c r="R1405" s="8">
        <f>IF(Q1405&lt;&gt;0,Q1405+H1405+L1405,0)</f>
        <v/>
      </c>
      <c r="S1405" s="9">
        <f>VLOOKUP(OPERAC[[#This Row],[especie]],[1]!ESPECIES[#Data],9,FALSE)</f>
        <v/>
      </c>
    </row>
    <row r="1406">
      <c r="A1406" s="4" t="n">
        <v>16842</v>
      </c>
      <c r="B1406" s="5" t="n">
        <v>44641</v>
      </c>
      <c r="C1406" s="13" t="inlineStr">
        <is>
          <t>VTA</t>
        </is>
      </c>
      <c r="D1406" s="13" t="n">
        <v>42</v>
      </c>
      <c r="E1406" s="10">
        <f>IF(D1406&gt;0,VLOOKUP(OPERAC[[#This Row],[COD CART]],[1]!MatrizCortoLargoCyl[#All],3,0),"")</f>
        <v/>
      </c>
      <c r="F1406" s="13" t="inlineStr">
        <is>
          <t>JPM</t>
        </is>
      </c>
      <c r="G1406" s="6" t="n">
        <v>1</v>
      </c>
      <c r="H1406" s="6" t="n">
        <v>-140.45434</v>
      </c>
      <c r="I1406" s="7">
        <f>-H1406/G1406</f>
        <v/>
      </c>
      <c r="J1406" s="11" t="n">
        <v>44664</v>
      </c>
      <c r="K1406" s="6">
        <f>+OPERAC[[#This Row],[cantidad]]</f>
        <v/>
      </c>
      <c r="L1406" s="6">
        <f>+OPERAC[[#This Row],[cantidad venta]]*125.943</f>
        <v/>
      </c>
      <c r="M1406" s="7">
        <f>IF(N1406=0,+L1406+H1406,0)</f>
        <v/>
      </c>
      <c r="N1406" s="7">
        <f>IF((+G1406-K1406)=0,0,+G1406-K1406)</f>
        <v/>
      </c>
      <c r="O1406" s="7">
        <f>IF(N1406=0,0,(L1406+H1406)/-N1406)</f>
        <v/>
      </c>
      <c r="P1406" s="7">
        <f>VLOOKUP(OPERAC[[#This Row],[especie]],[1]!ESPECIES[#All],6,0)</f>
        <v/>
      </c>
      <c r="Q1406" s="7">
        <f>IF(N1406&lt;&gt;0,P1406*N1406,0)</f>
        <v/>
      </c>
      <c r="R1406" s="8">
        <f>IF(Q1406&lt;&gt;0,Q1406+H1406+L1406,0)</f>
        <v/>
      </c>
      <c r="S1406" s="9">
        <f>VLOOKUP(OPERAC[[#This Row],[especie]],[1]!ESPECIES[#Data],9,FALSE)</f>
        <v/>
      </c>
    </row>
    <row r="1407">
      <c r="A1407" s="4" t="n">
        <v>17042</v>
      </c>
      <c r="B1407" s="5" t="n">
        <v>44641</v>
      </c>
      <c r="C1407" s="13" t="inlineStr">
        <is>
          <t>VTA</t>
        </is>
      </c>
      <c r="D1407" s="13" t="n">
        <v>42</v>
      </c>
      <c r="E1407" s="10">
        <f>IF(D1407&gt;0,VLOOKUP(OPERAC[[#This Row],[COD CART]],[1]!MatrizCortoLargoCyl[#All],3,0),"")</f>
        <v/>
      </c>
      <c r="F1407" s="13" t="inlineStr">
        <is>
          <t>JPM</t>
        </is>
      </c>
      <c r="G1407" s="6" t="n">
        <v>1</v>
      </c>
      <c r="H1407" s="6" t="n">
        <v>-140.45434</v>
      </c>
      <c r="I1407" s="7">
        <f>-H1407/G1407</f>
        <v/>
      </c>
      <c r="J1407" s="11" t="n">
        <v>44664</v>
      </c>
      <c r="K1407" s="6">
        <f>+OPERAC[[#This Row],[cantidad]]</f>
        <v/>
      </c>
      <c r="L1407" s="6">
        <f>+OPERAC[[#This Row],[cantidad venta]]*125.943</f>
        <v/>
      </c>
      <c r="M1407" s="7">
        <f>IF(N1407=0,+L1407+H1407,0)</f>
        <v/>
      </c>
      <c r="N1407" s="7">
        <f>IF((+G1407-K1407)=0,0,+G1407-K1407)</f>
        <v/>
      </c>
      <c r="O1407" s="7">
        <f>IF(N1407=0,0,(L1407+H1407)/-N1407)</f>
        <v/>
      </c>
      <c r="P1407" s="7">
        <f>VLOOKUP(OPERAC[[#This Row],[especie]],[1]!ESPECIES[#All],6,0)</f>
        <v/>
      </c>
      <c r="Q1407" s="7">
        <f>IF(N1407&lt;&gt;0,P1407*N1407,0)</f>
        <v/>
      </c>
      <c r="R1407" s="8">
        <f>IF(Q1407&lt;&gt;0,Q1407+H1407+L1407,0)</f>
        <v/>
      </c>
      <c r="S1407" s="9">
        <f>VLOOKUP(OPERAC[[#This Row],[especie]],[1]!ESPECIES[#Data],9,FALSE)</f>
        <v/>
      </c>
    </row>
    <row r="1408">
      <c r="A1408" s="4" t="n">
        <v>13253</v>
      </c>
      <c r="B1408" s="5" t="n">
        <v>44228</v>
      </c>
      <c r="C1408" s="13" t="inlineStr">
        <is>
          <t>VTA</t>
        </is>
      </c>
      <c r="D1408" s="13" t="n">
        <v>41</v>
      </c>
      <c r="E1408" s="10">
        <f>IF(D1408&gt;0,VLOOKUP(OPERAC[[#This Row],[COD CART]],[1]!MatrizCortoLargoCyl[#All],3,0),"")</f>
        <v/>
      </c>
      <c r="F1408" s="13" t="inlineStr">
        <is>
          <t>SPWR</t>
        </is>
      </c>
      <c r="G1408" s="6" t="n">
        <v>3</v>
      </c>
      <c r="H1408" s="6" t="n">
        <v>-140.46688</v>
      </c>
      <c r="I1408" s="7">
        <f>-H1408/G1408</f>
        <v/>
      </c>
      <c r="J1408" s="11" t="n">
        <v>44629</v>
      </c>
      <c r="K1408" s="6" t="n">
        <v>3</v>
      </c>
      <c r="L1408" s="6">
        <f>+OPERAC[[#This Row],[cantidad venta]]*20.538</f>
        <v/>
      </c>
      <c r="M1408" s="7">
        <f>IF(N1408=0,+L1408+H1408,0)</f>
        <v/>
      </c>
      <c r="N1408" s="7">
        <f>IF((+G1408-K1408)=0,0,+G1408-K1408)</f>
        <v/>
      </c>
      <c r="O1408" s="7">
        <f>IF(N1408=0,0,(L1408+H1408)/-N1408)</f>
        <v/>
      </c>
      <c r="P1408" s="7">
        <f>VLOOKUP(OPERAC[[#This Row],[especie]],[1]!ESPECIES[#All],6,0)</f>
        <v/>
      </c>
      <c r="Q1408" s="7">
        <f>IF(N1408&lt;&gt;0,P1408*N1408,0)</f>
        <v/>
      </c>
      <c r="R1408" s="8">
        <f>IF(Q1408&lt;&gt;0,Q1408+H1408+L1408,0)</f>
        <v/>
      </c>
      <c r="S1408" s="9">
        <f>VLOOKUP(OPERAC[[#This Row],[especie]],[1]!ESPECIES[#Data],9,FALSE)</f>
        <v/>
      </c>
    </row>
    <row r="1409">
      <c r="A1409" s="4" t="n">
        <v>21070</v>
      </c>
      <c r="B1409" s="5" t="n">
        <v>44643</v>
      </c>
      <c r="C1409" s="13" t="inlineStr">
        <is>
          <t>VTA</t>
        </is>
      </c>
      <c r="D1409" s="13" t="n">
        <v>42</v>
      </c>
      <c r="E1409" s="10">
        <f>IF(D1409&gt;0,VLOOKUP(OPERAC[[#This Row],[COD CART]],[1]!MatrizCortoLargoCyl[#All],3,0),"")</f>
        <v/>
      </c>
      <c r="F1409" s="13" t="inlineStr">
        <is>
          <t>JPM</t>
        </is>
      </c>
      <c r="G1409" s="6" t="n">
        <v>1</v>
      </c>
      <c r="H1409" s="6" t="n">
        <v>-141.24664</v>
      </c>
      <c r="I1409" s="7">
        <f>-H1409/G1409</f>
        <v/>
      </c>
      <c r="J1409" s="11" t="n">
        <v>44664</v>
      </c>
      <c r="K1409" s="6">
        <f>+OPERAC[[#This Row],[cantidad]]</f>
        <v/>
      </c>
      <c r="L1409" s="6">
        <f>+OPERAC[[#This Row],[cantidad venta]]*125.943</f>
        <v/>
      </c>
      <c r="M1409" s="7">
        <f>IF(N1409=0,+L1409+H1409,0)</f>
        <v/>
      </c>
      <c r="N1409" s="7">
        <f>IF((+G1409-K1409)=0,0,+G1409-K1409)</f>
        <v/>
      </c>
      <c r="O1409" s="7">
        <f>IF(N1409=0,0,(L1409+H1409)/-N1409)</f>
        <v/>
      </c>
      <c r="P1409" s="7">
        <f>VLOOKUP(OPERAC[[#This Row],[especie]],[1]!ESPECIES[#All],6,0)</f>
        <v/>
      </c>
      <c r="Q1409" s="7">
        <f>IF(N1409&lt;&gt;0,P1409*N1409,0)</f>
        <v/>
      </c>
      <c r="R1409" s="8">
        <f>IF(Q1409&lt;&gt;0,Q1409+H1409+L1409,0)</f>
        <v/>
      </c>
      <c r="S1409" s="9">
        <f>VLOOKUP(OPERAC[[#This Row],[especie]],[1]!ESPECIES[#Data],9,FALSE)</f>
        <v/>
      </c>
    </row>
    <row r="1410">
      <c r="A1410" s="4" t="n">
        <v>22431</v>
      </c>
      <c r="B1410" s="5" t="n">
        <v>44643</v>
      </c>
      <c r="C1410" s="13" t="inlineStr">
        <is>
          <t>VTA</t>
        </is>
      </c>
      <c r="D1410" s="13" t="n">
        <v>42</v>
      </c>
      <c r="E1410" s="10">
        <f>IF(D1410&gt;0,VLOOKUP(OPERAC[[#This Row],[COD CART]],[1]!MatrizCortoLargoCyl[#All],3,0),"")</f>
        <v/>
      </c>
      <c r="F1410" s="13" t="inlineStr">
        <is>
          <t>JPM</t>
        </is>
      </c>
      <c r="G1410" s="6" t="n">
        <v>1</v>
      </c>
      <c r="H1410" s="6" t="n">
        <v>-141.24664</v>
      </c>
      <c r="I1410" s="7">
        <f>-H1410/G1410</f>
        <v/>
      </c>
      <c r="J1410" s="11" t="n">
        <v>44664</v>
      </c>
      <c r="K1410" s="6">
        <f>+OPERAC[[#This Row],[cantidad]]</f>
        <v/>
      </c>
      <c r="L1410" s="6">
        <f>+OPERAC[[#This Row],[cantidad venta]]*125.943</f>
        <v/>
      </c>
      <c r="M1410" s="7">
        <f>IF(N1410=0,+L1410+H1410,0)</f>
        <v/>
      </c>
      <c r="N1410" s="7">
        <f>IF((+G1410-K1410)=0,0,+G1410-K1410)</f>
        <v/>
      </c>
      <c r="O1410" s="7">
        <f>IF(N1410=0,0,(L1410+H1410)/-N1410)</f>
        <v/>
      </c>
      <c r="P1410" s="7">
        <f>VLOOKUP(OPERAC[[#This Row],[especie]],[1]!ESPECIES[#All],6,0)</f>
        <v/>
      </c>
      <c r="Q1410" s="7">
        <f>IF(N1410&lt;&gt;0,P1410*N1410,0)</f>
        <v/>
      </c>
      <c r="R1410" s="8">
        <f>IF(Q1410&lt;&gt;0,Q1410+H1410+L1410,0)</f>
        <v/>
      </c>
      <c r="S1410" s="9">
        <f>VLOOKUP(OPERAC[[#This Row],[especie]],[1]!ESPECIES[#Data],9,FALSE)</f>
        <v/>
      </c>
    </row>
    <row r="1411">
      <c r="A1411" s="4" t="n">
        <v>22439</v>
      </c>
      <c r="B1411" s="5" t="n">
        <v>44643</v>
      </c>
      <c r="C1411" s="13" t="inlineStr">
        <is>
          <t>VTA</t>
        </is>
      </c>
      <c r="D1411" s="13" t="n">
        <v>42</v>
      </c>
      <c r="E1411" s="10">
        <f>IF(D1411&gt;0,VLOOKUP(OPERAC[[#This Row],[COD CART]],[1]!MatrizCortoLargoCyl[#All],3,0),"")</f>
        <v/>
      </c>
      <c r="F1411" s="13" t="inlineStr">
        <is>
          <t>JPM</t>
        </is>
      </c>
      <c r="G1411" s="6" t="n">
        <v>1</v>
      </c>
      <c r="H1411" s="6" t="n">
        <v>-141.24664</v>
      </c>
      <c r="I1411" s="7">
        <f>-H1411/G1411</f>
        <v/>
      </c>
      <c r="J1411" s="11" t="n">
        <v>44664</v>
      </c>
      <c r="K1411" s="6">
        <f>+OPERAC[[#This Row],[cantidad]]</f>
        <v/>
      </c>
      <c r="L1411" s="6">
        <f>+OPERAC[[#This Row],[cantidad venta]]*125.943</f>
        <v/>
      </c>
      <c r="M1411" s="7">
        <f>IF(N1411=0,+L1411+H1411,0)</f>
        <v/>
      </c>
      <c r="N1411" s="7">
        <f>IF((+G1411-K1411)=0,0,+G1411-K1411)</f>
        <v/>
      </c>
      <c r="O1411" s="7">
        <f>IF(N1411=0,0,(L1411+H1411)/-N1411)</f>
        <v/>
      </c>
      <c r="P1411" s="7">
        <f>VLOOKUP(OPERAC[[#This Row],[especie]],[1]!ESPECIES[#All],6,0)</f>
        <v/>
      </c>
      <c r="Q1411" s="7">
        <f>IF(N1411&lt;&gt;0,P1411*N1411,0)</f>
        <v/>
      </c>
      <c r="R1411" s="8">
        <f>IF(Q1411&lt;&gt;0,Q1411+H1411+L1411,0)</f>
        <v/>
      </c>
      <c r="S1411" s="9">
        <f>VLOOKUP(OPERAC[[#This Row],[especie]],[1]!ESPECIES[#Data],9,FALSE)</f>
        <v/>
      </c>
    </row>
    <row r="1412">
      <c r="A1412" s="4" t="n">
        <v>12674</v>
      </c>
      <c r="B1412" s="5" t="n">
        <v>44650</v>
      </c>
      <c r="C1412" s="13" t="inlineStr">
        <is>
          <t>VTA</t>
        </is>
      </c>
      <c r="D1412" s="13" t="n">
        <v>42</v>
      </c>
      <c r="E1412" s="10">
        <f>IF(D1412&gt;0,VLOOKUP(OPERAC[[#This Row],[COD CART]],[1]!MatrizCortoLargoCyl[#All],3,0),"")</f>
        <v/>
      </c>
      <c r="F1412" s="13" t="inlineStr">
        <is>
          <t>JPM</t>
        </is>
      </c>
      <c r="G1412" s="6" t="n">
        <v>1</v>
      </c>
      <c r="H1412" s="6" t="n">
        <v>-142.193552</v>
      </c>
      <c r="I1412" s="7">
        <f>-H1412/G1412</f>
        <v/>
      </c>
      <c r="J1412" s="11" t="n">
        <v>44664</v>
      </c>
      <c r="K1412" s="6">
        <f>+OPERAC[[#This Row],[cantidad]]</f>
        <v/>
      </c>
      <c r="L1412" s="6">
        <f>+OPERAC[[#This Row],[cantidad venta]]*125.943</f>
        <v/>
      </c>
      <c r="M1412" s="7">
        <f>IF(N1412=0,+L1412+H1412,0)</f>
        <v/>
      </c>
      <c r="N1412" s="7">
        <f>IF((+G1412-K1412)=0,0,+G1412-K1412)</f>
        <v/>
      </c>
      <c r="O1412" s="7">
        <f>IF(N1412=0,0,(L1412+H1412)/-N1412)</f>
        <v/>
      </c>
      <c r="P1412" s="7">
        <f>VLOOKUP(OPERAC[[#This Row],[especie]],[1]!ESPECIES[#All],6,0)</f>
        <v/>
      </c>
      <c r="Q1412" s="7">
        <f>IF(N1412&lt;&gt;0,P1412*N1412,0)</f>
        <v/>
      </c>
      <c r="R1412" s="8">
        <f>IF(Q1412&lt;&gt;0,Q1412+H1412+L1412,0)</f>
        <v/>
      </c>
      <c r="S1412" s="9">
        <f>VLOOKUP(OPERAC[[#This Row],[especie]],[1]!ESPECIES[#Data],9,FALSE)</f>
        <v/>
      </c>
    </row>
    <row r="1413">
      <c r="A1413" s="4" t="n">
        <v>16780</v>
      </c>
      <c r="B1413" s="5" t="n">
        <v>44650</v>
      </c>
      <c r="C1413" s="13" t="inlineStr">
        <is>
          <t>VTA</t>
        </is>
      </c>
      <c r="D1413" s="13" t="n">
        <v>42</v>
      </c>
      <c r="E1413" s="10">
        <f>IF(D1413&gt;0,VLOOKUP(OPERAC[[#This Row],[COD CART]],[1]!MatrizCortoLargoCyl[#All],3,0),"")</f>
        <v/>
      </c>
      <c r="F1413" s="13" t="inlineStr">
        <is>
          <t>JPM</t>
        </is>
      </c>
      <c r="G1413" s="6" t="n">
        <v>1</v>
      </c>
      <c r="H1413" s="6" t="n">
        <v>-142.193552</v>
      </c>
      <c r="I1413" s="7">
        <f>-H1413/G1413</f>
        <v/>
      </c>
      <c r="J1413" s="11" t="n">
        <v>44664</v>
      </c>
      <c r="K1413" s="6">
        <f>+OPERAC[[#This Row],[cantidad]]</f>
        <v/>
      </c>
      <c r="L1413" s="6">
        <f>+OPERAC[[#This Row],[cantidad venta]]*125.943</f>
        <v/>
      </c>
      <c r="M1413" s="7">
        <f>IF(N1413=0,+L1413+H1413,0)</f>
        <v/>
      </c>
      <c r="N1413" s="7">
        <f>IF((+G1413-K1413)=0,0,+G1413-K1413)</f>
        <v/>
      </c>
      <c r="O1413" s="7">
        <f>IF(N1413=0,0,(L1413+H1413)/-N1413)</f>
        <v/>
      </c>
      <c r="P1413" s="7">
        <f>VLOOKUP(OPERAC[[#This Row],[especie]],[1]!ESPECIES[#All],6,0)</f>
        <v/>
      </c>
      <c r="Q1413" s="7">
        <f>IF(N1413&lt;&gt;0,P1413*N1413,0)</f>
        <v/>
      </c>
      <c r="R1413" s="8">
        <f>IF(Q1413&lt;&gt;0,Q1413+H1413+L1413,0)</f>
        <v/>
      </c>
      <c r="S1413" s="9">
        <f>VLOOKUP(OPERAC[[#This Row],[especie]],[1]!ESPECIES[#Data],9,FALSE)</f>
        <v/>
      </c>
    </row>
    <row r="1414">
      <c r="A1414" s="4" t="n">
        <v>7925</v>
      </c>
      <c r="B1414" s="5" t="n">
        <v>44649</v>
      </c>
      <c r="C1414" s="13" t="inlineStr">
        <is>
          <t>VTA</t>
        </is>
      </c>
      <c r="D1414" s="13" t="n">
        <v>42</v>
      </c>
      <c r="E1414" s="10">
        <f>IF(D1414&gt;0,VLOOKUP(OPERAC[[#This Row],[COD CART]],[1]!MatrizCortoLargoCyl[#All],3,0),"")</f>
        <v/>
      </c>
      <c r="F1414" s="13" t="inlineStr">
        <is>
          <t>JPM</t>
        </is>
      </c>
      <c r="G1414" s="6" t="n">
        <v>1</v>
      </c>
      <c r="H1414" s="6" t="n">
        <v>-142.38173</v>
      </c>
      <c r="I1414" s="7">
        <f>-H1414/G1414</f>
        <v/>
      </c>
      <c r="J1414" s="11" t="n">
        <v>44664</v>
      </c>
      <c r="K1414" s="6">
        <f>+OPERAC[[#This Row],[cantidad]]</f>
        <v/>
      </c>
      <c r="L1414" s="6">
        <f>+OPERAC[[#This Row],[cantidad venta]]*125.943</f>
        <v/>
      </c>
      <c r="M1414" s="7">
        <f>IF(N1414=0,+L1414+H1414,0)</f>
        <v/>
      </c>
      <c r="N1414" s="7">
        <f>IF((+G1414-K1414)=0,0,+G1414-K1414)</f>
        <v/>
      </c>
      <c r="O1414" s="7">
        <f>IF(N1414=0,0,(L1414+H1414)/-N1414)</f>
        <v/>
      </c>
      <c r="P1414" s="7">
        <f>VLOOKUP(OPERAC[[#This Row],[especie]],[1]!ESPECIES[#All],6,0)</f>
        <v/>
      </c>
      <c r="Q1414" s="7">
        <f>IF(N1414&lt;&gt;0,P1414*N1414,0)</f>
        <v/>
      </c>
      <c r="R1414" s="8">
        <f>IF(Q1414&lt;&gt;0,Q1414+H1414+L1414,0)</f>
        <v/>
      </c>
      <c r="S1414" s="9">
        <f>VLOOKUP(OPERAC[[#This Row],[especie]],[1]!ESPECIES[#Data],9,FALSE)</f>
        <v/>
      </c>
    </row>
    <row r="1415">
      <c r="A1415" s="4" t="n">
        <v>2211</v>
      </c>
      <c r="B1415" s="5" t="n">
        <v>44705</v>
      </c>
      <c r="C1415" s="13" t="inlineStr">
        <is>
          <t>VTA</t>
        </is>
      </c>
      <c r="D1415" s="13" t="n">
        <v>41</v>
      </c>
      <c r="E1415" s="10">
        <f>IF(D1415&gt;0,VLOOKUP(OPERAC[[#This Row],[COD CART]],[1]!MatrizCortoLargoCyl[#All],3,0),"")</f>
        <v/>
      </c>
      <c r="F1415" s="13" t="inlineStr">
        <is>
          <t>FDX/C/225.00/17-06-22</t>
        </is>
      </c>
      <c r="G1415" s="6" t="n">
        <v>100</v>
      </c>
      <c r="H1415" s="6" t="n">
        <v>-143.207</v>
      </c>
      <c r="I1415" s="7">
        <f>-H1415/G1415</f>
        <v/>
      </c>
      <c r="J1415" s="5" t="n">
        <v>44726</v>
      </c>
      <c r="K1415" s="6" t="n">
        <v>100</v>
      </c>
      <c r="L1415" s="6" t="n">
        <v>624.645</v>
      </c>
      <c r="M1415" s="7">
        <f>IF(N1415=0,+L1415+H1415,0)</f>
        <v/>
      </c>
      <c r="N1415" s="7">
        <f>IF((+G1415-K1415)=0,0,+G1415-K1415)</f>
        <v/>
      </c>
      <c r="O1415" s="7">
        <f>IF(N1415=0,0,(L1415+H1415)/-N1415)</f>
        <v/>
      </c>
      <c r="P1415" s="7">
        <f>VLOOKUP(OPERAC[[#This Row],[especie]],[1]!ESPECIES[#All],6,0)</f>
        <v/>
      </c>
      <c r="Q1415" s="7">
        <f>IF(N1415&lt;&gt;0,P1415*N1415,0)</f>
        <v/>
      </c>
      <c r="R1415" s="8">
        <f>IF(Q1415&lt;&gt;0,Q1415+H1415+L1415,0)</f>
        <v/>
      </c>
      <c r="S1415" s="9">
        <f>VLOOKUP(OPERAC[[#This Row],[especie]],[1]!ESPECIES[#Data],9,FALSE)</f>
        <v/>
      </c>
    </row>
    <row r="1416">
      <c r="A1416" s="4" t="n">
        <v>18663</v>
      </c>
      <c r="B1416" s="5" t="n">
        <v>44116</v>
      </c>
      <c r="C1416" s="13" t="inlineStr">
        <is>
          <t>VTA</t>
        </is>
      </c>
      <c r="D1416" s="13" t="n">
        <v>41</v>
      </c>
      <c r="E1416" s="10">
        <f>IF(D1416&gt;0,VLOOKUP(OPERAC[[#This Row],[COD CART]],[1]!MatrizCortoLargoCyl[#All],3,0),"")</f>
        <v/>
      </c>
      <c r="F1416" s="13" t="inlineStr">
        <is>
          <t>LTC</t>
        </is>
      </c>
      <c r="G1416" s="6" t="n">
        <v>4</v>
      </c>
      <c r="H1416" s="6" t="n">
        <v>-145</v>
      </c>
      <c r="I1416" s="7">
        <f>-H1416/G1416</f>
        <v/>
      </c>
      <c r="J1416" s="11" t="n"/>
      <c r="K1416" s="6" t="n"/>
      <c r="L1416" s="6" t="n"/>
      <c r="M1416" s="7">
        <f>IF(N1416=0,+L1416+H1416,0)</f>
        <v/>
      </c>
      <c r="N1416" s="7">
        <f>IF((+G1416-K1416)=0,0,+G1416-K1416)</f>
        <v/>
      </c>
      <c r="O1416" s="7">
        <f>IF(N1416=0,0,(L1416+H1416)/-N1416)</f>
        <v/>
      </c>
      <c r="P1416" s="7">
        <f>VLOOKUP(OPERAC[[#This Row],[especie]],[1]!ESPECIES[#All],6,0)</f>
        <v/>
      </c>
      <c r="Q1416" s="7">
        <f>IF(N1416&lt;&gt;0,P1416*N1416,0)</f>
        <v/>
      </c>
      <c r="R1416" s="8">
        <f>IF(Q1416&lt;&gt;0,Q1416+H1416+L1416,0)</f>
        <v/>
      </c>
      <c r="S1416" s="9">
        <f>VLOOKUP(OPERAC[[#This Row],[especie]],[1]!ESPECIES[#Data],9,FALSE)</f>
        <v/>
      </c>
    </row>
    <row r="1417">
      <c r="A1417" s="4" t="n">
        <v>18663</v>
      </c>
      <c r="B1417" s="5" t="n">
        <v>43831</v>
      </c>
      <c r="C1417" s="13" t="inlineStr">
        <is>
          <t>VTA</t>
        </is>
      </c>
      <c r="D1417" s="13" t="n">
        <v>41</v>
      </c>
      <c r="E1417" s="10">
        <f>IF(D1417&gt;0,VLOOKUP(OPERAC[[#This Row],[COD CART]],[1]!MatrizCortoLargoCyl[#All],3,0),"")</f>
        <v/>
      </c>
      <c r="F1417" s="13" t="inlineStr">
        <is>
          <t>BMA</t>
        </is>
      </c>
      <c r="G1417" s="6" t="n">
        <v>4</v>
      </c>
      <c r="H1417" s="6" t="n">
        <v>-145.44</v>
      </c>
      <c r="I1417" s="7" t="n">
        <v>36.36</v>
      </c>
      <c r="J1417" s="5" t="n"/>
      <c r="K1417" s="6" t="n"/>
      <c r="L1417" s="6" t="n"/>
      <c r="M1417" s="7">
        <f>IF(N1417=0,+L1417+H1417,0)</f>
        <v/>
      </c>
      <c r="N1417" s="7">
        <f>IF((+G1417-K1417)=0,0,+G1417-K1417)</f>
        <v/>
      </c>
      <c r="O1417" s="7">
        <f>IF(N1417=0,0,(L1417+H1417)/-N1417)</f>
        <v/>
      </c>
      <c r="P1417" s="7">
        <f>VLOOKUP(OPERAC[[#This Row],[especie]],[1]!ESPECIES[#All],6,0)</f>
        <v/>
      </c>
      <c r="Q1417" s="7">
        <f>IF(N1417&lt;&gt;0,P1417*N1417,0)</f>
        <v/>
      </c>
      <c r="R1417" s="8">
        <f>IF(Q1417&lt;&gt;0,Q1417+H1417+L1417,0)</f>
        <v/>
      </c>
      <c r="S1417" s="9">
        <f>VLOOKUP(OPERAC[[#This Row],[especie]],[1]!ESPECIES[#Data],9,FALSE)</f>
        <v/>
      </c>
    </row>
    <row r="1418">
      <c r="A1418" s="4" t="n">
        <v>7879</v>
      </c>
      <c r="B1418" s="5" t="n">
        <v>44203</v>
      </c>
      <c r="C1418" s="13" t="inlineStr">
        <is>
          <t>VTA</t>
        </is>
      </c>
      <c r="D1418" s="13" t="n">
        <v>41</v>
      </c>
      <c r="E1418" s="10">
        <f>IF(D1418&gt;0,VLOOKUP(OPERAC[[#This Row],[COD CART]],[1]!MatrizCortoLargoCyl[#All],3,0),"")</f>
        <v/>
      </c>
      <c r="F1418" s="13" t="inlineStr">
        <is>
          <t>GBTC</t>
        </is>
      </c>
      <c r="G1418" s="6" t="n">
        <v>3</v>
      </c>
      <c r="H1418" s="6" t="n">
        <v>-145.78912</v>
      </c>
      <c r="I1418" s="7">
        <f>-H1418/G1418</f>
        <v/>
      </c>
      <c r="J1418" s="11" t="n"/>
      <c r="K1418" s="6" t="n"/>
      <c r="L1418" s="6" t="n"/>
      <c r="M1418" s="7">
        <f>IF(N1418=0,+L1418+H1418,0)</f>
        <v/>
      </c>
      <c r="N1418" s="7">
        <f>IF((+G1418-K1418)=0,0,+G1418-K1418)</f>
        <v/>
      </c>
      <c r="O1418" s="7" t="n">
        <v>23.7</v>
      </c>
      <c r="P1418" s="7">
        <f>VLOOKUP(OPERAC[[#This Row],[especie]],[1]!ESPECIES[#All],6,0)</f>
        <v/>
      </c>
      <c r="Q1418" s="7">
        <f>IF(N1418&lt;&gt;0,P1418*N1418,0)</f>
        <v/>
      </c>
      <c r="R1418" s="8">
        <f>IF(Q1418&lt;&gt;0,Q1418+H1418+L1418,0)</f>
        <v/>
      </c>
      <c r="S1418" s="9">
        <f>VLOOKUP(OPERAC[[#This Row],[especie]],[1]!ESPECIES[#Data],9,FALSE)</f>
        <v/>
      </c>
    </row>
    <row r="1419">
      <c r="A1419" s="4" t="n">
        <v>18663</v>
      </c>
      <c r="B1419" s="5" t="n">
        <v>44145</v>
      </c>
      <c r="C1419" s="13" t="inlineStr">
        <is>
          <t>VTA</t>
        </is>
      </c>
      <c r="D1419" s="13" t="n">
        <v>41</v>
      </c>
      <c r="E1419" s="10">
        <f>IF(D1419&gt;0,VLOOKUP(OPERAC[[#This Row],[COD CART]],[1]!MatrizCortoLargoCyl[#All],3,0),"")</f>
        <v/>
      </c>
      <c r="F1419" s="13" t="inlineStr">
        <is>
          <t>TCEHY</t>
        </is>
      </c>
      <c r="G1419" s="6" t="n">
        <v>2</v>
      </c>
      <c r="H1419" s="6" t="n">
        <v>-149.338</v>
      </c>
      <c r="I1419" s="7">
        <f>-H1419/G1419</f>
        <v/>
      </c>
      <c r="J1419" s="11" t="n"/>
      <c r="K1419" s="6" t="n"/>
      <c r="L1419" s="6" t="n"/>
      <c r="M1419" s="7">
        <f>IF(N1419=0,+L1419+H1419,0)</f>
        <v/>
      </c>
      <c r="N1419" s="7">
        <f>IF((+G1419-K1419)=0,0,+G1419-K1419)</f>
        <v/>
      </c>
      <c r="O1419" s="7">
        <f>IF(N1419=0,0,(L1419+H1419)/-N1419)</f>
        <v/>
      </c>
      <c r="P1419" s="7">
        <f>VLOOKUP(OPERAC[[#This Row],[especie]],[1]!ESPECIES[#All],6,0)</f>
        <v/>
      </c>
      <c r="Q1419" s="7">
        <f>IF(N1419&lt;&gt;0,P1419*N1419,0)</f>
        <v/>
      </c>
      <c r="R1419" s="8">
        <f>IF(Q1419&lt;&gt;0,Q1419+H1419+L1419,0)</f>
        <v/>
      </c>
      <c r="S1419" s="9">
        <f>VLOOKUP(OPERAC[[#This Row],[especie]],[1]!ESPECIES[#Data],9,FALSE)</f>
        <v/>
      </c>
    </row>
    <row r="1420">
      <c r="A1420" s="4" t="n">
        <v>9195</v>
      </c>
      <c r="B1420" s="5" t="n">
        <v>44558</v>
      </c>
      <c r="C1420" s="13" t="inlineStr">
        <is>
          <t>VTA</t>
        </is>
      </c>
      <c r="D1420" s="13" t="n">
        <v>40</v>
      </c>
      <c r="E1420" s="10">
        <f>IF(D1420&gt;0,VLOOKUP(OPERAC[[#This Row],[COD CART]],[1]!MatrizCortoLargoCyl[#All],3,0),"")</f>
        <v/>
      </c>
      <c r="F1420" s="13" t="inlineStr">
        <is>
          <t>UPST</t>
        </is>
      </c>
      <c r="G1420" s="6" t="n">
        <v>1</v>
      </c>
      <c r="H1420" s="6" t="n">
        <v>-150.0026</v>
      </c>
      <c r="I1420" s="7">
        <f>-H1420/G1420</f>
        <v/>
      </c>
      <c r="J1420" s="11" t="n">
        <v>44606</v>
      </c>
      <c r="K1420" s="6">
        <f>+OPERAC[[#This Row],[cantidad]]</f>
        <v/>
      </c>
      <c r="L1420" s="6">
        <f>+OPERAC[[#This Row],[cantidad venta]]*98.994</f>
        <v/>
      </c>
      <c r="M1420" s="7">
        <f>IF(N1420=0,+L1420+H1420,0)</f>
        <v/>
      </c>
      <c r="N1420" s="7">
        <f>IF((+G1420-K1420)=0,0,+G1420-K1420)</f>
        <v/>
      </c>
      <c r="O1420" s="7">
        <f>IF(N1420=0,0,(L1420+H1420)/-N1420)</f>
        <v/>
      </c>
      <c r="P1420" s="7">
        <f>VLOOKUP(OPERAC[[#This Row],[especie]],[1]!ESPECIES[#All],6,0)</f>
        <v/>
      </c>
      <c r="Q1420" s="7">
        <f>IF(N1420&lt;&gt;0,P1420*N1420,0)</f>
        <v/>
      </c>
      <c r="R1420" s="8">
        <f>IF(Q1420&lt;&gt;0,Q1420+H1420+L1420,0)</f>
        <v/>
      </c>
      <c r="S1420" s="9">
        <f>VLOOKUP(OPERAC[[#This Row],[especie]],[1]!ESPECIES[#Data],9,FALSE)</f>
        <v/>
      </c>
    </row>
    <row r="1421">
      <c r="A1421" s="4" t="n">
        <v>7879</v>
      </c>
      <c r="B1421" s="5" t="n">
        <v>44692</v>
      </c>
      <c r="C1421" s="13" t="inlineStr">
        <is>
          <t>VTA</t>
        </is>
      </c>
      <c r="D1421" s="13" t="n">
        <v>41</v>
      </c>
      <c r="E1421" s="10">
        <f>IF(D1421&gt;0,VLOOKUP(OPERAC[[#This Row],[COD CART]],[1]!MatrizCortoLargoCyl[#All],3,0),"")</f>
        <v/>
      </c>
      <c r="F1421" s="13" t="inlineStr">
        <is>
          <t>ETHE</t>
        </is>
      </c>
      <c r="G1421" s="6" t="n">
        <v>10</v>
      </c>
      <c r="H1421" s="6" t="n">
        <v>-150.569</v>
      </c>
      <c r="I1421" s="7">
        <f>-H1421/G1421</f>
        <v/>
      </c>
      <c r="J1421" s="11" t="n"/>
      <c r="K1421" s="6" t="n"/>
      <c r="L1421" s="6" t="n"/>
      <c r="M1421" s="7">
        <f>IF(N1421=0,+L1421+H1421,0)</f>
        <v/>
      </c>
      <c r="N1421" s="7">
        <f>IF((+G1421-K1421)=0,0,+G1421-K1421)</f>
        <v/>
      </c>
      <c r="O1421" s="7" t="n">
        <v>31.09</v>
      </c>
      <c r="P1421" s="7">
        <f>VLOOKUP(OPERAC[[#This Row],[especie]],[1]!ESPECIES[#All],6,0)</f>
        <v/>
      </c>
      <c r="Q1421" s="7">
        <f>IF(N1421&lt;&gt;0,P1421*N1421,0)</f>
        <v/>
      </c>
      <c r="R1421" s="8">
        <f>IF(Q1421&lt;&gt;0,Q1421+H1421+L1421,0)</f>
        <v/>
      </c>
      <c r="S1421" s="9">
        <f>VLOOKUP(OPERAC[[#This Row],[especie]],[1]!ESPECIES[#Data],9,FALSE)</f>
        <v/>
      </c>
    </row>
    <row r="1422">
      <c r="A1422" s="4" t="n">
        <v>1800</v>
      </c>
      <c r="B1422" s="5" t="n">
        <v>44558</v>
      </c>
      <c r="C1422" s="13" t="inlineStr">
        <is>
          <t>VTA</t>
        </is>
      </c>
      <c r="D1422" s="13" t="n">
        <v>40</v>
      </c>
      <c r="E1422" s="10">
        <f>IF(D1422&gt;0,VLOOKUP(OPERAC[[#This Row],[COD CART]],[1]!MatrizCortoLargoCyl[#All],3,0),"")</f>
        <v/>
      </c>
      <c r="F1422" s="13" t="inlineStr">
        <is>
          <t>UPST</t>
        </is>
      </c>
      <c r="G1422" s="6" t="n">
        <v>1</v>
      </c>
      <c r="H1422" s="6" t="n">
        <v>-150.6002</v>
      </c>
      <c r="I1422" s="7">
        <f>-H1422/G1422</f>
        <v/>
      </c>
      <c r="J1422" s="11" t="n">
        <v>44606</v>
      </c>
      <c r="K1422" s="6">
        <f>+OPERAC[[#This Row],[cantidad]]</f>
        <v/>
      </c>
      <c r="L1422" s="6">
        <f>+OPERAC[[#This Row],[cantidad venta]]*98.994</f>
        <v/>
      </c>
      <c r="M1422" s="7">
        <f>IF(N1422=0,+L1422+H1422,0)</f>
        <v/>
      </c>
      <c r="N1422" s="7">
        <f>IF((+G1422-K1422)=0,0,+G1422-K1422)</f>
        <v/>
      </c>
      <c r="O1422" s="7">
        <f>IF(N1422=0,0,(L1422+H1422)/-N1422)</f>
        <v/>
      </c>
      <c r="P1422" s="7">
        <f>VLOOKUP(OPERAC[[#This Row],[especie]],[1]!ESPECIES[#All],6,0)</f>
        <v/>
      </c>
      <c r="Q1422" s="7">
        <f>IF(N1422&lt;&gt;0,P1422*N1422,0)</f>
        <v/>
      </c>
      <c r="R1422" s="8">
        <f>IF(Q1422&lt;&gt;0,Q1422+H1422+L1422,0)</f>
        <v/>
      </c>
      <c r="S1422" s="9">
        <f>VLOOKUP(OPERAC[[#This Row],[especie]],[1]!ESPECIES[#Data],9,FALSE)</f>
        <v/>
      </c>
    </row>
    <row r="1423">
      <c r="A1423" s="4" t="n">
        <v>1801</v>
      </c>
      <c r="B1423" s="5" t="n">
        <v>44558</v>
      </c>
      <c r="C1423" s="13" t="inlineStr">
        <is>
          <t>VTA</t>
        </is>
      </c>
      <c r="D1423" s="13" t="n">
        <v>40</v>
      </c>
      <c r="E1423" s="10">
        <f>IF(D1423&gt;0,VLOOKUP(OPERAC[[#This Row],[COD CART]],[1]!MatrizCortoLargoCyl[#All],3,0),"")</f>
        <v/>
      </c>
      <c r="F1423" s="13" t="inlineStr">
        <is>
          <t>UPST</t>
        </is>
      </c>
      <c r="G1423" s="6" t="n">
        <v>1</v>
      </c>
      <c r="H1423" s="6" t="n">
        <v>-150.6002</v>
      </c>
      <c r="I1423" s="7">
        <f>-H1423/G1423</f>
        <v/>
      </c>
      <c r="J1423" s="11" t="n">
        <v>44606</v>
      </c>
      <c r="K1423" s="6">
        <f>+OPERAC[[#This Row],[cantidad]]</f>
        <v/>
      </c>
      <c r="L1423" s="6">
        <f>+OPERAC[[#This Row],[cantidad venta]]*98.994</f>
        <v/>
      </c>
      <c r="M1423" s="7">
        <f>IF(N1423=0,+L1423+H1423,0)</f>
        <v/>
      </c>
      <c r="N1423" s="7">
        <f>IF((+G1423-K1423)=0,0,+G1423-K1423)</f>
        <v/>
      </c>
      <c r="O1423" s="7">
        <f>IF(N1423=0,0,(L1423+H1423)/-N1423)</f>
        <v/>
      </c>
      <c r="P1423" s="7">
        <f>VLOOKUP(OPERAC[[#This Row],[especie]],[1]!ESPECIES[#All],6,0)</f>
        <v/>
      </c>
      <c r="Q1423" s="7">
        <f>IF(N1423&lt;&gt;0,P1423*N1423,0)</f>
        <v/>
      </c>
      <c r="R1423" s="8">
        <f>IF(Q1423&lt;&gt;0,Q1423+H1423+L1423,0)</f>
        <v/>
      </c>
      <c r="S1423" s="9">
        <f>VLOOKUP(OPERAC[[#This Row],[especie]],[1]!ESPECIES[#Data],9,FALSE)</f>
        <v/>
      </c>
    </row>
    <row r="1424">
      <c r="A1424" s="4" t="n">
        <v>4561</v>
      </c>
      <c r="B1424" s="5" t="n">
        <v>44558</v>
      </c>
      <c r="C1424" s="13" t="inlineStr">
        <is>
          <t>VTA</t>
        </is>
      </c>
      <c r="D1424" s="13" t="n">
        <v>40</v>
      </c>
      <c r="E1424" s="10">
        <f>IF(D1424&gt;0,VLOOKUP(OPERAC[[#This Row],[COD CART]],[1]!MatrizCortoLargoCyl[#All],3,0),"")</f>
        <v/>
      </c>
      <c r="F1424" s="13" t="inlineStr">
        <is>
          <t>UPST</t>
        </is>
      </c>
      <c r="G1424" s="6" t="n">
        <v>1</v>
      </c>
      <c r="H1424" s="6" t="n">
        <v>-150.6002</v>
      </c>
      <c r="I1424" s="7">
        <f>-H1424/G1424</f>
        <v/>
      </c>
      <c r="J1424" s="11" t="n">
        <v>44606</v>
      </c>
      <c r="K1424" s="6">
        <f>+OPERAC[[#This Row],[cantidad]]</f>
        <v/>
      </c>
      <c r="L1424" s="6">
        <f>+OPERAC[[#This Row],[cantidad venta]]*98.994</f>
        <v/>
      </c>
      <c r="M1424" s="7">
        <f>IF(N1424=0,+L1424+H1424,0)</f>
        <v/>
      </c>
      <c r="N1424" s="7">
        <f>IF((+G1424-K1424)=0,0,+G1424-K1424)</f>
        <v/>
      </c>
      <c r="O1424" s="7">
        <f>IF(N1424=0,0,(L1424+H1424)/-N1424)</f>
        <v/>
      </c>
      <c r="P1424" s="7">
        <f>VLOOKUP(OPERAC[[#This Row],[especie]],[1]!ESPECIES[#All],6,0)</f>
        <v/>
      </c>
      <c r="Q1424" s="7">
        <f>IF(N1424&lt;&gt;0,P1424*N1424,0)</f>
        <v/>
      </c>
      <c r="R1424" s="8">
        <f>IF(Q1424&lt;&gt;0,Q1424+H1424+L1424,0)</f>
        <v/>
      </c>
      <c r="S1424" s="9">
        <f>VLOOKUP(OPERAC[[#This Row],[especie]],[1]!ESPECIES[#Data],9,FALSE)</f>
        <v/>
      </c>
    </row>
    <row r="1425">
      <c r="A1425" s="4" t="n">
        <v>7919</v>
      </c>
      <c r="B1425" s="5" t="n">
        <v>44558</v>
      </c>
      <c r="C1425" s="13" t="inlineStr">
        <is>
          <t>VTA</t>
        </is>
      </c>
      <c r="D1425" s="13" t="n">
        <v>40</v>
      </c>
      <c r="E1425" s="10">
        <f>IF(D1425&gt;0,VLOOKUP(OPERAC[[#This Row],[COD CART]],[1]!MatrizCortoLargoCyl[#All],3,0),"")</f>
        <v/>
      </c>
      <c r="F1425" s="13" t="inlineStr">
        <is>
          <t>UPST</t>
        </is>
      </c>
      <c r="G1425" s="6" t="n">
        <v>1</v>
      </c>
      <c r="H1425" s="6" t="n">
        <v>-150.6002</v>
      </c>
      <c r="I1425" s="7">
        <f>-H1425/G1425</f>
        <v/>
      </c>
      <c r="J1425" s="11" t="n">
        <v>44606</v>
      </c>
      <c r="K1425" s="6">
        <f>+OPERAC[[#This Row],[cantidad]]</f>
        <v/>
      </c>
      <c r="L1425" s="6">
        <f>+OPERAC[[#This Row],[cantidad venta]]*98.994</f>
        <v/>
      </c>
      <c r="M1425" s="7">
        <f>IF(N1425=0,+L1425+H1425,0)</f>
        <v/>
      </c>
      <c r="N1425" s="7">
        <f>IF((+G1425-K1425)=0,0,+G1425-K1425)</f>
        <v/>
      </c>
      <c r="O1425" s="7">
        <f>IF(N1425=0,0,(L1425+H1425)/-N1425)</f>
        <v/>
      </c>
      <c r="P1425" s="7">
        <f>VLOOKUP(OPERAC[[#This Row],[especie]],[1]!ESPECIES[#All],6,0)</f>
        <v/>
      </c>
      <c r="Q1425" s="7">
        <f>IF(N1425&lt;&gt;0,P1425*N1425,0)</f>
        <v/>
      </c>
      <c r="R1425" s="8">
        <f>IF(Q1425&lt;&gt;0,Q1425+H1425+L1425,0)</f>
        <v/>
      </c>
      <c r="S1425" s="9">
        <f>VLOOKUP(OPERAC[[#This Row],[especie]],[1]!ESPECIES[#Data],9,FALSE)</f>
        <v/>
      </c>
    </row>
    <row r="1426">
      <c r="A1426" s="4" t="n">
        <v>12627</v>
      </c>
      <c r="B1426" s="5" t="n">
        <v>44558</v>
      </c>
      <c r="C1426" s="13" t="inlineStr">
        <is>
          <t>VTA</t>
        </is>
      </c>
      <c r="D1426" s="13" t="n">
        <v>40</v>
      </c>
      <c r="E1426" s="10">
        <f>IF(D1426&gt;0,VLOOKUP(OPERAC[[#This Row],[COD CART]],[1]!MatrizCortoLargoCyl[#All],3,0),"")</f>
        <v/>
      </c>
      <c r="F1426" s="13" t="inlineStr">
        <is>
          <t>UPST</t>
        </is>
      </c>
      <c r="G1426" s="6" t="n">
        <v>1</v>
      </c>
      <c r="H1426" s="6" t="n">
        <v>-150.6002</v>
      </c>
      <c r="I1426" s="7">
        <f>-H1426/G1426</f>
        <v/>
      </c>
      <c r="J1426" s="11" t="n">
        <v>44606</v>
      </c>
      <c r="K1426" s="6">
        <f>+OPERAC[[#This Row],[cantidad]]</f>
        <v/>
      </c>
      <c r="L1426" s="6">
        <f>+OPERAC[[#This Row],[cantidad venta]]*98.994</f>
        <v/>
      </c>
      <c r="M1426" s="7">
        <f>IF(N1426=0,+L1426+H1426,0)</f>
        <v/>
      </c>
      <c r="N1426" s="7">
        <f>IF((+G1426-K1426)=0,0,+G1426-K1426)</f>
        <v/>
      </c>
      <c r="O1426" s="7">
        <f>IF(N1426=0,0,(L1426+H1426)/-N1426)</f>
        <v/>
      </c>
      <c r="P1426" s="7">
        <f>VLOOKUP(OPERAC[[#This Row],[especie]],[1]!ESPECIES[#All],6,0)</f>
        <v/>
      </c>
      <c r="Q1426" s="7">
        <f>IF(N1426&lt;&gt;0,P1426*N1426,0)</f>
        <v/>
      </c>
      <c r="R1426" s="8">
        <f>IF(Q1426&lt;&gt;0,Q1426+H1426+L1426,0)</f>
        <v/>
      </c>
      <c r="S1426" s="9">
        <f>VLOOKUP(OPERAC[[#This Row],[especie]],[1]!ESPECIES[#Data],9,FALSE)</f>
        <v/>
      </c>
    </row>
    <row r="1427">
      <c r="A1427" s="4" t="n">
        <v>12662</v>
      </c>
      <c r="B1427" s="5" t="n">
        <v>44558</v>
      </c>
      <c r="C1427" s="13" t="inlineStr">
        <is>
          <t>VTA</t>
        </is>
      </c>
      <c r="D1427" s="13" t="n">
        <v>40</v>
      </c>
      <c r="E1427" s="10">
        <f>IF(D1427&gt;0,VLOOKUP(OPERAC[[#This Row],[COD CART]],[1]!MatrizCortoLargoCyl[#All],3,0),"")</f>
        <v/>
      </c>
      <c r="F1427" s="13" t="inlineStr">
        <is>
          <t>UPST</t>
        </is>
      </c>
      <c r="G1427" s="6" t="n">
        <v>1</v>
      </c>
      <c r="H1427" s="6" t="n">
        <v>-150.6002</v>
      </c>
      <c r="I1427" s="7">
        <f>-H1427/G1427</f>
        <v/>
      </c>
      <c r="J1427" s="11" t="n">
        <v>44606</v>
      </c>
      <c r="K1427" s="6">
        <f>+OPERAC[[#This Row],[cantidad]]</f>
        <v/>
      </c>
      <c r="L1427" s="6">
        <f>+OPERAC[[#This Row],[cantidad venta]]*98.994</f>
        <v/>
      </c>
      <c r="M1427" s="7">
        <f>IF(N1427=0,+L1427+H1427,0)</f>
        <v/>
      </c>
      <c r="N1427" s="7">
        <f>IF((+G1427-K1427)=0,0,+G1427-K1427)</f>
        <v/>
      </c>
      <c r="O1427" s="7">
        <f>IF(N1427=0,0,(L1427+H1427)/-N1427)</f>
        <v/>
      </c>
      <c r="P1427" s="7">
        <f>VLOOKUP(OPERAC[[#This Row],[especie]],[1]!ESPECIES[#All],6,0)</f>
        <v/>
      </c>
      <c r="Q1427" s="7">
        <f>IF(N1427&lt;&gt;0,P1427*N1427,0)</f>
        <v/>
      </c>
      <c r="R1427" s="8">
        <f>IF(Q1427&lt;&gt;0,Q1427+H1427+L1427,0)</f>
        <v/>
      </c>
      <c r="S1427" s="9">
        <f>VLOOKUP(OPERAC[[#This Row],[especie]],[1]!ESPECIES[#Data],9,FALSE)</f>
        <v/>
      </c>
    </row>
    <row r="1428">
      <c r="A1428" s="4" t="n">
        <v>12672</v>
      </c>
      <c r="B1428" s="5" t="n">
        <v>44558</v>
      </c>
      <c r="C1428" s="13" t="inlineStr">
        <is>
          <t>VTA</t>
        </is>
      </c>
      <c r="D1428" s="13" t="n">
        <v>40</v>
      </c>
      <c r="E1428" s="10">
        <f>IF(D1428&gt;0,VLOOKUP(OPERAC[[#This Row],[COD CART]],[1]!MatrizCortoLargoCyl[#All],3,0),"")</f>
        <v/>
      </c>
      <c r="F1428" s="13" t="inlineStr">
        <is>
          <t>UPST</t>
        </is>
      </c>
      <c r="G1428" s="6" t="n">
        <v>1</v>
      </c>
      <c r="H1428" s="6" t="n">
        <v>-150.6002</v>
      </c>
      <c r="I1428" s="7">
        <f>-H1428/G1428</f>
        <v/>
      </c>
      <c r="J1428" s="11" t="n">
        <v>44606</v>
      </c>
      <c r="K1428" s="6">
        <f>+OPERAC[[#This Row],[cantidad]]</f>
        <v/>
      </c>
      <c r="L1428" s="6">
        <f>+OPERAC[[#This Row],[cantidad venta]]*98.994</f>
        <v/>
      </c>
      <c r="M1428" s="7">
        <f>IF(N1428=0,+L1428+H1428,0)</f>
        <v/>
      </c>
      <c r="N1428" s="7">
        <f>IF((+G1428-K1428)=0,0,+G1428-K1428)</f>
        <v/>
      </c>
      <c r="O1428" s="7">
        <f>IF(N1428=0,0,(L1428+H1428)/-N1428)</f>
        <v/>
      </c>
      <c r="P1428" s="7">
        <f>VLOOKUP(OPERAC[[#This Row],[especie]],[1]!ESPECIES[#All],6,0)</f>
        <v/>
      </c>
      <c r="Q1428" s="7">
        <f>IF(N1428&lt;&gt;0,P1428*N1428,0)</f>
        <v/>
      </c>
      <c r="R1428" s="8">
        <f>IF(Q1428&lt;&gt;0,Q1428+H1428+L1428,0)</f>
        <v/>
      </c>
      <c r="S1428" s="9">
        <f>VLOOKUP(OPERAC[[#This Row],[especie]],[1]!ESPECIES[#Data],9,FALSE)</f>
        <v/>
      </c>
    </row>
    <row r="1429">
      <c r="A1429" s="4" t="n">
        <v>13246</v>
      </c>
      <c r="B1429" s="5" t="n">
        <v>44558</v>
      </c>
      <c r="C1429" s="13" t="inlineStr">
        <is>
          <t>VTA</t>
        </is>
      </c>
      <c r="D1429" s="13" t="n">
        <v>40</v>
      </c>
      <c r="E1429" s="10">
        <f>IF(D1429&gt;0,VLOOKUP(OPERAC[[#This Row],[COD CART]],[1]!MatrizCortoLargoCyl[#All],3,0),"")</f>
        <v/>
      </c>
      <c r="F1429" s="13" t="inlineStr">
        <is>
          <t>UPST</t>
        </is>
      </c>
      <c r="G1429" s="6" t="n">
        <v>1</v>
      </c>
      <c r="H1429" s="6" t="n">
        <v>-150.6002</v>
      </c>
      <c r="I1429" s="7">
        <f>-H1429/G1429</f>
        <v/>
      </c>
      <c r="J1429" s="11" t="n">
        <v>44606</v>
      </c>
      <c r="K1429" s="6">
        <f>+OPERAC[[#This Row],[cantidad]]</f>
        <v/>
      </c>
      <c r="L1429" s="6">
        <f>+OPERAC[[#This Row],[cantidad venta]]*98.994</f>
        <v/>
      </c>
      <c r="M1429" s="7">
        <f>IF(N1429=0,+L1429+H1429,0)</f>
        <v/>
      </c>
      <c r="N1429" s="7">
        <f>IF((+G1429-K1429)=0,0,+G1429-K1429)</f>
        <v/>
      </c>
      <c r="O1429" s="7">
        <f>IF(N1429=0,0,(L1429+H1429)/-N1429)</f>
        <v/>
      </c>
      <c r="P1429" s="7">
        <f>VLOOKUP(OPERAC[[#This Row],[especie]],[1]!ESPECIES[#All],6,0)</f>
        <v/>
      </c>
      <c r="Q1429" s="7">
        <f>IF(N1429&lt;&gt;0,P1429*N1429,0)</f>
        <v/>
      </c>
      <c r="R1429" s="8">
        <f>IF(Q1429&lt;&gt;0,Q1429+H1429+L1429,0)</f>
        <v/>
      </c>
      <c r="S1429" s="9">
        <f>VLOOKUP(OPERAC[[#This Row],[especie]],[1]!ESPECIES[#Data],9,FALSE)</f>
        <v/>
      </c>
    </row>
    <row r="1430">
      <c r="A1430" s="4" t="n">
        <v>18663</v>
      </c>
      <c r="B1430" s="5" t="n">
        <v>43831</v>
      </c>
      <c r="C1430" s="13" t="inlineStr">
        <is>
          <t>VTA</t>
        </is>
      </c>
      <c r="D1430" s="13" t="n">
        <v>41</v>
      </c>
      <c r="E1430" s="10">
        <f>IF(D1430&gt;0,VLOOKUP(OPERAC[[#This Row],[COD CART]],[1]!MatrizCortoLargoCyl[#All],3,0),"")</f>
        <v/>
      </c>
      <c r="F1430" s="13" t="inlineStr">
        <is>
          <t>NTTHF</t>
        </is>
      </c>
      <c r="G1430" s="6" t="n">
        <v>400</v>
      </c>
      <c r="H1430" s="6" t="n">
        <v>-152</v>
      </c>
      <c r="I1430" s="7" t="n">
        <v>0.38</v>
      </c>
      <c r="J1430" s="5" t="n">
        <v>44358</v>
      </c>
      <c r="K1430" s="6">
        <f>300+100</f>
        <v/>
      </c>
      <c r="L1430" s="6">
        <f>699.36+508.53</f>
        <v/>
      </c>
      <c r="M1430" s="7">
        <f>IF(N1430=0,+L1430+H1430,0)</f>
        <v/>
      </c>
      <c r="N1430" s="7">
        <f>IF((+G1430-K1430)=0,0,+G1430-K1430)</f>
        <v/>
      </c>
      <c r="O1430" s="7">
        <f>IF(N1430=0,0,(L1430+H1430)/-N1430)</f>
        <v/>
      </c>
      <c r="P1430" s="7">
        <f>VLOOKUP(OPERAC[[#This Row],[especie]],[1]!ESPECIES[#All],6,0)</f>
        <v/>
      </c>
      <c r="Q1430" s="7">
        <f>IF(N1430&lt;&gt;0,P1430*N1430,0)</f>
        <v/>
      </c>
      <c r="R1430" s="8">
        <f>IF(Q1430&lt;&gt;0,Q1430+H1430+L1430,0)</f>
        <v/>
      </c>
      <c r="S1430" s="9">
        <f>VLOOKUP(OPERAC[[#This Row],[especie]],[1]!ESPECIES[#Data],9,FALSE)</f>
        <v/>
      </c>
    </row>
    <row r="1431">
      <c r="A1431" s="4" t="n">
        <v>1807</v>
      </c>
      <c r="B1431" s="5" t="n">
        <v>44585</v>
      </c>
      <c r="C1431" s="13" t="inlineStr">
        <is>
          <t>VTA</t>
        </is>
      </c>
      <c r="D1431" s="13" t="n">
        <v>40</v>
      </c>
      <c r="E1431" s="10">
        <f>IF(D1431&gt;0,VLOOKUP(OPERAC[[#This Row],[COD CART]],[1]!MatrizCortoLargoCyl[#All],3,0),"")</f>
        <v/>
      </c>
      <c r="F1431" s="13" t="inlineStr">
        <is>
          <t>ROKU</t>
        </is>
      </c>
      <c r="G1431" s="6" t="n">
        <v>1</v>
      </c>
      <c r="H1431" s="6" t="n">
        <v>-152.099</v>
      </c>
      <c r="I1431" s="7">
        <f>-H1431/G1431</f>
        <v/>
      </c>
      <c r="J1431" s="11" t="n">
        <v>44606</v>
      </c>
      <c r="K1431" s="6">
        <f>+OPERAC[[#This Row],[cantidad]]</f>
        <v/>
      </c>
      <c r="L1431" s="6">
        <f>+OPERAC[[#This Row],[cantidad venta]]*160.574</f>
        <v/>
      </c>
      <c r="M1431" s="7">
        <f>IF(N1431=0,+L1431+H1431,0)</f>
        <v/>
      </c>
      <c r="N1431" s="7">
        <f>IF((+G1431-K1431)=0,0,+G1431-K1431)</f>
        <v/>
      </c>
      <c r="O1431" s="7">
        <f>IF(N1431=0,0,(L1431+H1431)/-N1431)</f>
        <v/>
      </c>
      <c r="P1431" s="7">
        <f>VLOOKUP(OPERAC[[#This Row],[especie]],[1]!ESPECIES[#All],6,0)</f>
        <v/>
      </c>
      <c r="Q1431" s="7">
        <f>IF(N1431&lt;&gt;0,P1431*N1431,0)</f>
        <v/>
      </c>
      <c r="R1431" s="8">
        <f>IF(Q1431&lt;&gt;0,Q1431+H1431+L1431,0)</f>
        <v/>
      </c>
      <c r="S1431" s="9">
        <f>VLOOKUP(OPERAC[[#This Row],[especie]],[1]!ESPECIES[#Data],9,FALSE)</f>
        <v/>
      </c>
    </row>
    <row r="1432">
      <c r="A1432" s="4" t="n">
        <v>18661</v>
      </c>
      <c r="B1432" s="5" t="n">
        <v>44116</v>
      </c>
      <c r="C1432" s="13" t="inlineStr">
        <is>
          <t>VTA</t>
        </is>
      </c>
      <c r="D1432" s="13" t="n">
        <v>31</v>
      </c>
      <c r="E1432" s="10">
        <f>IF(D1432&gt;0,VLOOKUP(OPERAC[[#This Row],[COD CART]],[1]!MatrizCortoLargoCyl[#All],3,0),"")</f>
        <v/>
      </c>
      <c r="F1432" s="13" t="inlineStr">
        <is>
          <t>HEOFF</t>
        </is>
      </c>
      <c r="G1432" s="6" t="n">
        <v>100</v>
      </c>
      <c r="H1432" s="6" t="n">
        <v>-152.4455</v>
      </c>
      <c r="I1432" s="7">
        <f>-H1432/G1432</f>
        <v/>
      </c>
      <c r="J1432" s="11" t="n">
        <v>44582</v>
      </c>
      <c r="K1432" s="6" t="n">
        <v>100</v>
      </c>
      <c r="L1432" s="6" t="n">
        <v>185.496</v>
      </c>
      <c r="M1432" s="7">
        <f>IF(N1432=0,+L1432+H1432,0)</f>
        <v/>
      </c>
      <c r="N1432" s="7">
        <f>IF((+G1432-K1432)=0,0,+G1432-K1432)</f>
        <v/>
      </c>
      <c r="O1432" s="7">
        <f>IF(N1432=0,0,(L1432+H1432)/-N1432)</f>
        <v/>
      </c>
      <c r="P1432" s="7">
        <f>VLOOKUP(OPERAC[[#This Row],[especie]],[1]!ESPECIES[#All],6,0)</f>
        <v/>
      </c>
      <c r="Q1432" s="7">
        <f>IF(N1432&lt;&gt;0,P1432*N1432,0)</f>
        <v/>
      </c>
      <c r="R1432" s="8">
        <f>IF(Q1432&lt;&gt;0,Q1432+H1432+L1432,0)</f>
        <v/>
      </c>
      <c r="S1432" s="9">
        <f>VLOOKUP(OPERAC[[#This Row],[especie]],[1]!ESPECIES[#Data],9,FALSE)</f>
        <v/>
      </c>
    </row>
    <row r="1433">
      <c r="A1433" s="4" t="n">
        <v>2255</v>
      </c>
      <c r="B1433" s="5" t="n">
        <v>44116</v>
      </c>
      <c r="C1433" s="13" t="inlineStr">
        <is>
          <t>VTA</t>
        </is>
      </c>
      <c r="D1433" s="13" t="n">
        <v>31</v>
      </c>
      <c r="E1433" s="10">
        <f>IF(D1433&gt;0,VLOOKUP(OPERAC[[#This Row],[COD CART]],[1]!MatrizCortoLargoCyl[#All],3,0),"")</f>
        <v/>
      </c>
      <c r="F1433" s="13" t="inlineStr">
        <is>
          <t>HEOFF</t>
        </is>
      </c>
      <c r="G1433" s="6" t="n">
        <v>100</v>
      </c>
      <c r="H1433" s="6" t="n">
        <v>-152.4455</v>
      </c>
      <c r="I1433" s="7">
        <f>-H1433/G1433</f>
        <v/>
      </c>
      <c r="J1433" s="11" t="n"/>
      <c r="K1433" s="6" t="n"/>
      <c r="L1433" s="6" t="n"/>
      <c r="M1433" s="7">
        <f>IF(N1433=0,+L1433+H1433,0)</f>
        <v/>
      </c>
      <c r="N1433" s="7">
        <f>IF((+G1433-K1433)=0,0,+G1433-K1433)</f>
        <v/>
      </c>
      <c r="O1433" s="7">
        <f>IF(N1433=0,0,(L1433+H1433)/-N1433)</f>
        <v/>
      </c>
      <c r="P1433" s="7">
        <f>VLOOKUP(OPERAC[[#This Row],[especie]],[1]!ESPECIES[#All],6,0)</f>
        <v/>
      </c>
      <c r="Q1433" s="7">
        <f>IF(N1433&lt;&gt;0,P1433*N1433,0)</f>
        <v/>
      </c>
      <c r="R1433" s="8">
        <f>IF(Q1433&lt;&gt;0,Q1433+H1433+L1433,0)</f>
        <v/>
      </c>
      <c r="S1433" s="9">
        <f>VLOOKUP(OPERAC[[#This Row],[especie]],[1]!ESPECIES[#Data],9,FALSE)</f>
        <v/>
      </c>
    </row>
    <row r="1434">
      <c r="A1434" s="4" t="n">
        <v>18663</v>
      </c>
      <c r="B1434" s="5" t="n">
        <v>44531</v>
      </c>
      <c r="C1434" s="13" t="inlineStr">
        <is>
          <t>VTA</t>
        </is>
      </c>
      <c r="D1434" s="13" t="n">
        <v>41</v>
      </c>
      <c r="E1434" s="10">
        <f>IF(D1434&gt;0,VLOOKUP(OPERAC[[#This Row],[COD CART]],[1]!MatrizCortoLargoCyl[#All],3,0),"")</f>
        <v/>
      </c>
      <c r="F1434" s="13" t="inlineStr">
        <is>
          <t>TLRY</t>
        </is>
      </c>
      <c r="G1434" s="6" t="n">
        <v>15</v>
      </c>
      <c r="H1434" s="6" t="n">
        <v>-152.805</v>
      </c>
      <c r="I1434" s="7">
        <f>-H1434/G1434</f>
        <v/>
      </c>
      <c r="J1434" s="11" t="n"/>
      <c r="K1434" s="6" t="n"/>
      <c r="L1434" s="6" t="n"/>
      <c r="M1434" s="7">
        <f>IF(N1434=0,+L1434+H1434,0)</f>
        <v/>
      </c>
      <c r="N1434" s="7">
        <f>IF((+G1434-K1434)=0,0,+G1434-K1434)</f>
        <v/>
      </c>
      <c r="O1434" s="7">
        <f>IF(N1434=0,0,(L1434+H1434)/-N1434)</f>
        <v/>
      </c>
      <c r="P1434" s="7">
        <f>VLOOKUP(OPERAC[[#This Row],[especie]],[1]!ESPECIES[#All],6,0)</f>
        <v/>
      </c>
      <c r="Q1434" s="7">
        <f>IF(N1434&lt;&gt;0,P1434*N1434,0)</f>
        <v/>
      </c>
      <c r="R1434" s="8">
        <f>IF(Q1434&lt;&gt;0,Q1434+H1434+L1434,0)</f>
        <v/>
      </c>
      <c r="S1434" s="9">
        <f>VLOOKUP(OPERAC[[#This Row],[especie]],[1]!ESPECIES[#Data],9,FALSE)</f>
        <v/>
      </c>
    </row>
    <row r="1435">
      <c r="A1435" s="4" t="n">
        <v>18663</v>
      </c>
      <c r="B1435" s="5" t="n">
        <v>44421</v>
      </c>
      <c r="C1435" s="13" t="inlineStr">
        <is>
          <t>VTA</t>
        </is>
      </c>
      <c r="D1435" s="13" t="n">
        <v>41</v>
      </c>
      <c r="E1435" s="10">
        <f>IF(D1435&gt;0,VLOOKUP(OPERAC[[#This Row],[COD CART]],[1]!MatrizCortoLargoCyl[#All],3,0),"")</f>
        <v/>
      </c>
      <c r="F1435" s="13" t="inlineStr">
        <is>
          <t>TCNNF</t>
        </is>
      </c>
      <c r="G1435" s="6" t="n">
        <v>5</v>
      </c>
      <c r="H1435" s="6" t="n">
        <v>-153.3592</v>
      </c>
      <c r="I1435" s="7">
        <f>-H1435/G1435</f>
        <v/>
      </c>
      <c r="J1435" s="11" t="n"/>
      <c r="K1435" s="6" t="n"/>
      <c r="L1435" s="6" t="n"/>
      <c r="M1435" s="7">
        <f>IF(N1435=0,+L1435+H1435,0)</f>
        <v/>
      </c>
      <c r="N1435" s="7">
        <f>IF((+G1435-K1435)=0,0,+G1435-K1435)</f>
        <v/>
      </c>
      <c r="O1435" s="7">
        <f>IF(N1435=0,0,(L1435+H1435)/-N1435)</f>
        <v/>
      </c>
      <c r="P1435" s="7">
        <f>VLOOKUP(OPERAC[[#This Row],[especie]],[1]!ESPECIES[#All],6,0)</f>
        <v/>
      </c>
      <c r="Q1435" s="7">
        <f>IF(N1435&lt;&gt;0,P1435*N1435,0)</f>
        <v/>
      </c>
      <c r="R1435" s="8">
        <f>IF(Q1435&lt;&gt;0,Q1435+H1435+L1435,0)</f>
        <v/>
      </c>
      <c r="S1435" s="9">
        <f>VLOOKUP(OPERAC[[#This Row],[especie]],[1]!ESPECIES[#Data],9,FALSE)</f>
        <v/>
      </c>
    </row>
    <row r="1436">
      <c r="A1436" s="4" t="n">
        <v>1817</v>
      </c>
      <c r="B1436" s="5" t="n">
        <v>44657</v>
      </c>
      <c r="C1436" s="13" t="inlineStr">
        <is>
          <t>VTA</t>
        </is>
      </c>
      <c r="D1436" s="13" t="n">
        <v>41</v>
      </c>
      <c r="E1436" s="10">
        <f>IF(D1436&gt;0,VLOOKUP(OPERAC[[#This Row],[COD CART]],[1]!MatrizCortoLargoCyl[#All],3,0),"")</f>
        <v/>
      </c>
      <c r="F1436" s="13" t="inlineStr">
        <is>
          <t>ICLN</t>
        </is>
      </c>
      <c r="G1436" s="6" t="n">
        <v>7</v>
      </c>
      <c r="H1436" s="6" t="n">
        <v>-153.74735</v>
      </c>
      <c r="I1436" s="7">
        <f>-H1436/G1436</f>
        <v/>
      </c>
      <c r="J1436" s="11" t="n"/>
      <c r="K1436" s="6" t="n"/>
      <c r="L1436" s="6" t="n"/>
      <c r="M1436" s="7">
        <f>IF(N1436=0,+L1436+H1436,0)</f>
        <v/>
      </c>
      <c r="N1436" s="7">
        <f>IF((+G1436-K1436)=0,0,+G1436-K1436)</f>
        <v/>
      </c>
      <c r="O1436" s="7">
        <f>IF(N1436=0,0,(L1436+H1436)/-N1436)</f>
        <v/>
      </c>
      <c r="P1436" s="7">
        <f>VLOOKUP(OPERAC[[#This Row],[especie]],[1]!ESPECIES[#All],6,0)</f>
        <v/>
      </c>
      <c r="Q1436" s="7">
        <f>IF(N1436&lt;&gt;0,P1436*N1436,0)</f>
        <v/>
      </c>
      <c r="R1436" s="8">
        <f>IF(Q1436&lt;&gt;0,Q1436+H1436+L1436,0)</f>
        <v/>
      </c>
      <c r="S1436" s="9">
        <f>VLOOKUP(OPERAC[[#This Row],[especie]],[1]!ESPECIES[#Data],9,FALSE)</f>
        <v/>
      </c>
    </row>
    <row r="1437">
      <c r="A1437" s="4" t="n">
        <v>18663</v>
      </c>
      <c r="B1437" s="5" t="n">
        <v>44301</v>
      </c>
      <c r="C1437" s="13" t="inlineStr">
        <is>
          <t>VTA</t>
        </is>
      </c>
      <c r="D1437" s="13" t="n">
        <v>41</v>
      </c>
      <c r="E1437" s="10">
        <f>IF(D1437&gt;0,VLOOKUP(OPERAC[[#This Row],[COD CART]],[1]!MatrizCortoLargoCyl[#All],3,0),"")</f>
        <v/>
      </c>
      <c r="F1437" s="13" t="inlineStr">
        <is>
          <t>VIOT</t>
        </is>
      </c>
      <c r="G1437" s="6" t="n">
        <v>20</v>
      </c>
      <c r="H1437" s="6" t="n">
        <v>-154.1192</v>
      </c>
      <c r="I1437" s="7">
        <f>-H1437/G1437</f>
        <v/>
      </c>
      <c r="J1437" s="11" t="n"/>
      <c r="K1437" s="6" t="n"/>
      <c r="L1437" s="6" t="n"/>
      <c r="M1437" s="7">
        <f>IF(N1437=0,+L1437+H1437,0)</f>
        <v/>
      </c>
      <c r="N1437" s="7">
        <f>IF((+G1437-K1437)=0,0,+G1437-K1437)</f>
        <v/>
      </c>
      <c r="O1437" s="7">
        <f>IF(N1437=0,0,(L1437+H1437)/-N1437)</f>
        <v/>
      </c>
      <c r="P1437" s="7">
        <f>VLOOKUP(OPERAC[[#This Row],[especie]],[1]!ESPECIES[#All],6,0)</f>
        <v/>
      </c>
      <c r="Q1437" s="7">
        <f>IF(N1437&lt;&gt;0,P1437*N1437,0)</f>
        <v/>
      </c>
      <c r="R1437" s="8">
        <f>IF(Q1437&lt;&gt;0,Q1437+H1437+L1437,0)</f>
        <v/>
      </c>
      <c r="S1437" s="9">
        <f>VLOOKUP(OPERAC[[#This Row],[especie]],[1]!ESPECIES[#Data],9,FALSE)</f>
        <v/>
      </c>
    </row>
    <row r="1438">
      <c r="A1438" s="4" t="n">
        <v>18663</v>
      </c>
      <c r="B1438" s="5" t="n">
        <v>44120</v>
      </c>
      <c r="C1438" s="13" t="inlineStr">
        <is>
          <t>VTA</t>
        </is>
      </c>
      <c r="D1438" s="13" t="n">
        <v>41</v>
      </c>
      <c r="E1438" s="10">
        <f>IF(D1438&gt;0,VLOOKUP(OPERAC[[#This Row],[COD CART]],[1]!MatrizCortoLargoCyl[#All],3,0),"")</f>
        <v/>
      </c>
      <c r="F1438" s="13" t="inlineStr">
        <is>
          <t>TCNNF</t>
        </is>
      </c>
      <c r="G1438" s="6" t="n">
        <v>7</v>
      </c>
      <c r="H1438" s="6" t="n">
        <v>-154.96192</v>
      </c>
      <c r="I1438" s="7">
        <f>-H1438/G1438</f>
        <v/>
      </c>
      <c r="J1438" s="11" t="n"/>
      <c r="K1438" s="6" t="n"/>
      <c r="L1438" s="6" t="n"/>
      <c r="M1438" s="7">
        <f>IF(N1438=0,+L1438+H1438,0)</f>
        <v/>
      </c>
      <c r="N1438" s="7">
        <f>IF((+G1438-K1438)=0,0,+G1438-K1438)</f>
        <v/>
      </c>
      <c r="O1438" s="7">
        <f>IF(N1438=0,0,(L1438+H1438)/-N1438)</f>
        <v/>
      </c>
      <c r="P1438" s="7">
        <f>VLOOKUP(OPERAC[[#This Row],[especie]],[1]!ESPECIES[#All],6,0)</f>
        <v/>
      </c>
      <c r="Q1438" s="7">
        <f>IF(N1438&lt;&gt;0,P1438*N1438,0)</f>
        <v/>
      </c>
      <c r="R1438" s="8">
        <f>IF(Q1438&lt;&gt;0,Q1438+H1438+L1438,0)</f>
        <v/>
      </c>
      <c r="S1438" s="9">
        <f>VLOOKUP(OPERAC[[#This Row],[especie]],[1]!ESPECIES[#Data],9,FALSE)</f>
        <v/>
      </c>
    </row>
    <row r="1439">
      <c r="A1439" s="4" t="n">
        <v>2211</v>
      </c>
      <c r="B1439" s="5" t="n">
        <v>44411</v>
      </c>
      <c r="C1439" s="13" t="inlineStr">
        <is>
          <t>VTA</t>
        </is>
      </c>
      <c r="D1439" s="13" t="n">
        <v>41</v>
      </c>
      <c r="E1439" s="10">
        <f>IF(D1439&gt;0,VLOOKUP(OPERAC[[#This Row],[COD CART]],[1]!MatrizCortoLargoCyl[#All],3,0),"")</f>
        <v/>
      </c>
      <c r="F1439" s="13" t="inlineStr">
        <is>
          <t>TDOC</t>
        </is>
      </c>
      <c r="G1439" s="6" t="n">
        <v>1</v>
      </c>
      <c r="H1439" s="6" t="n">
        <v>-155.31</v>
      </c>
      <c r="I1439" s="7">
        <f>-H1439/G1439</f>
        <v/>
      </c>
      <c r="J1439" s="11" t="n">
        <v>44683</v>
      </c>
      <c r="K1439" s="6" t="n">
        <v>1</v>
      </c>
      <c r="L1439" s="6" t="n">
        <v>36.19</v>
      </c>
      <c r="M1439" s="7">
        <f>IF(N1439=0,+L1439+H1439,0)</f>
        <v/>
      </c>
      <c r="N1439" s="7">
        <f>IF((+G1439-K1439)=0,0,+G1439-K1439)</f>
        <v/>
      </c>
      <c r="O1439" s="7">
        <f>IF(N1439=0,0,(L1439+H1439)/-N1439)</f>
        <v/>
      </c>
      <c r="P1439" s="7">
        <f>VLOOKUP(OPERAC[[#This Row],[especie]],[1]!ESPECIES[#All],6,0)</f>
        <v/>
      </c>
      <c r="Q1439" s="7">
        <f>IF(N1439&lt;&gt;0,P1439*N1439,0)</f>
        <v/>
      </c>
      <c r="R1439" s="8">
        <f>IF(Q1439&lt;&gt;0,Q1439+H1439+L1439,0)</f>
        <v/>
      </c>
      <c r="S1439" s="9">
        <f>VLOOKUP(OPERAC[[#This Row],[especie]],[1]!ESPECIES[#Data],9,FALSE)</f>
        <v/>
      </c>
    </row>
    <row r="1440">
      <c r="A1440" s="4" t="n">
        <v>1800</v>
      </c>
      <c r="B1440" s="5" t="n">
        <v>44537</v>
      </c>
      <c r="C1440" s="13" t="inlineStr">
        <is>
          <t>VTA</t>
        </is>
      </c>
      <c r="D1440" s="13" t="n">
        <v>43</v>
      </c>
      <c r="E1440" s="10">
        <f>IF(D1440&gt;0,VLOOKUP(OPERAC[[#This Row],[COD CART]],[1]!MatrizCortoLargoCyl[#All],3,0),"")</f>
        <v/>
      </c>
      <c r="F1440" s="13" t="inlineStr">
        <is>
          <t>XSPA/CYL-PUT/1,50/20-01-23</t>
        </is>
      </c>
      <c r="G1440" s="6" t="n">
        <v>300</v>
      </c>
      <c r="H1440" s="6">
        <f>-0.52*OPERAC[[#This Row],[cantidad]]</f>
        <v/>
      </c>
      <c r="I1440" s="7">
        <f>-H1440/G1440</f>
        <v/>
      </c>
      <c r="J1440" s="11" t="n"/>
      <c r="K1440" s="6" t="n"/>
      <c r="L1440" s="6" t="n"/>
      <c r="M1440" s="7">
        <f>IF(N1440=0,+L1440+H1440,0)</f>
        <v/>
      </c>
      <c r="N1440" s="7">
        <f>IF((+G1440-K1440)=0,0,+G1440-K1440)</f>
        <v/>
      </c>
      <c r="O1440" s="7">
        <f>IF(N1440=0,0,(L1440+H1440)/-N1440)</f>
        <v/>
      </c>
      <c r="P1440" s="7">
        <f>VLOOKUP(OPERAC[[#This Row],[especie]],[1]!ESPECIES[#All],6,0)</f>
        <v/>
      </c>
      <c r="Q1440" s="7">
        <f>IF(N1440&lt;&gt;0,P1440*N1440,0)</f>
        <v/>
      </c>
      <c r="R1440" s="8">
        <f>IF(Q1440&lt;&gt;0,Q1440+H1440+L1440,0)</f>
        <v/>
      </c>
      <c r="S1440" s="9">
        <f>VLOOKUP(OPERAC[[#This Row],[especie]],[1]!ESPECIES[#Data],9,FALSE)</f>
        <v/>
      </c>
    </row>
    <row r="1441">
      <c r="A1441" s="4" t="n">
        <v>16783</v>
      </c>
      <c r="B1441" s="5" t="n">
        <v>44147</v>
      </c>
      <c r="C1441" s="13" t="inlineStr">
        <is>
          <t>VTA</t>
        </is>
      </c>
      <c r="D1441" s="13" t="n">
        <v>32</v>
      </c>
      <c r="E1441" s="10">
        <f>IF(D1441&gt;0,VLOOKUP(OPERAC[[#This Row],[COD CART]],[1]!MatrizCortoLargoCyl[#All],3,0),"")</f>
        <v/>
      </c>
      <c r="F1441" s="13" t="inlineStr">
        <is>
          <t>MNKD/CYL/2,50/20-01-23</t>
        </is>
      </c>
      <c r="G1441" s="6" t="n">
        <v>100</v>
      </c>
      <c r="H1441" s="6" t="n">
        <v>-157.94818</v>
      </c>
      <c r="I1441" s="7">
        <f>-H1441/G1441</f>
        <v/>
      </c>
      <c r="J1441" s="11" t="n"/>
      <c r="K1441" s="6" t="n"/>
      <c r="L1441" s="6" t="n"/>
      <c r="M1441" s="7">
        <f>IF(N1441=0,+L1441+H1441,0)</f>
        <v/>
      </c>
      <c r="N1441" s="7">
        <f>IF((+G1441-K1441)=0,0,+G1441-K1441)</f>
        <v/>
      </c>
      <c r="O1441" s="7">
        <f>IF(N1441=0,0,(L1441+H1441)/-N1441)</f>
        <v/>
      </c>
      <c r="P1441" s="7">
        <f>VLOOKUP(OPERAC[[#This Row],[especie]],[1]!ESPECIES[#All],6,0)</f>
        <v/>
      </c>
      <c r="Q1441" s="7">
        <f>IF(N1441&lt;&gt;0,P1441*N1441,0)</f>
        <v/>
      </c>
      <c r="R1441" s="8">
        <f>IF(Q1441&lt;&gt;0,Q1441+H1441+L1441,0)</f>
        <v/>
      </c>
      <c r="S1441" s="9">
        <f>VLOOKUP(OPERAC[[#This Row],[especie]],[1]!ESPECIES[#Data],9,FALSE)</f>
        <v/>
      </c>
    </row>
    <row r="1442">
      <c r="A1442" s="4" t="n">
        <v>1816</v>
      </c>
      <c r="B1442" s="5" t="n">
        <v>44656</v>
      </c>
      <c r="C1442" s="13" t="inlineStr">
        <is>
          <t>VTA</t>
        </is>
      </c>
      <c r="D1442" s="13" t="n">
        <v>41</v>
      </c>
      <c r="E1442" s="10">
        <f>IF(D1442&gt;0,VLOOKUP(OPERAC[[#This Row],[COD CART]],[1]!MatrizCortoLargoCyl[#All],3,0),"")</f>
        <v/>
      </c>
      <c r="F1442" s="13" t="inlineStr">
        <is>
          <t>LIT</t>
        </is>
      </c>
      <c r="G1442" s="6" t="n">
        <v>2</v>
      </c>
      <c r="H1442" s="6" t="n">
        <v>-158.182</v>
      </c>
      <c r="I1442" s="7">
        <f>-H1442/G1442</f>
        <v/>
      </c>
      <c r="J1442" s="11" t="n"/>
      <c r="K1442" s="6" t="n"/>
      <c r="L1442" s="6" t="n"/>
      <c r="M1442" s="7">
        <f>IF(N1442=0,+L1442+H1442,0)</f>
        <v/>
      </c>
      <c r="N1442" s="7">
        <f>IF((+G1442-K1442)=0,0,+G1442-K1442)</f>
        <v/>
      </c>
      <c r="O1442" s="7">
        <f>IF(N1442=0,0,(L1442+H1442)/-N1442)</f>
        <v/>
      </c>
      <c r="P1442" s="7">
        <f>VLOOKUP(OPERAC[[#This Row],[especie]],[1]!ESPECIES[#All],6,0)</f>
        <v/>
      </c>
      <c r="Q1442" s="7">
        <f>IF(N1442&lt;&gt;0,P1442*N1442,0)</f>
        <v/>
      </c>
      <c r="R1442" s="8">
        <f>IF(Q1442&lt;&gt;0,Q1442+H1442+L1442,0)</f>
        <v/>
      </c>
      <c r="S1442" s="9">
        <f>VLOOKUP(OPERAC[[#This Row],[especie]],[1]!ESPECIES[#Data],9,FALSE)</f>
        <v/>
      </c>
    </row>
    <row r="1443">
      <c r="A1443" s="4" t="n">
        <v>2289</v>
      </c>
      <c r="B1443" s="5" t="n">
        <v>44680</v>
      </c>
      <c r="C1443" s="13" t="inlineStr">
        <is>
          <t>VTA</t>
        </is>
      </c>
      <c r="D1443" s="13" t="n">
        <v>42</v>
      </c>
      <c r="E1443" s="10">
        <f>IF(D1443&gt;0,VLOOKUP(OPERAC[[#This Row],[COD CART]],[1]!MatrizCortoLargoCyl[#All],3,0),"")</f>
        <v/>
      </c>
      <c r="F1443" s="14" t="inlineStr">
        <is>
          <t>XLP</t>
        </is>
      </c>
      <c r="G1443" s="6" t="n">
        <v>2</v>
      </c>
      <c r="H1443" s="6" t="n">
        <v>-158.869005</v>
      </c>
      <c r="I1443" s="7">
        <f>-H1443/G1443</f>
        <v/>
      </c>
      <c r="J1443" s="11" t="n">
        <v>44693</v>
      </c>
      <c r="K1443" s="6">
        <f>+OPERAC[[#This Row],[cantidad]]</f>
        <v/>
      </c>
      <c r="L1443" s="6">
        <f>+OPERAC[[#This Row],[cantidad venta]]*75.648</f>
        <v/>
      </c>
      <c r="M1443" s="7">
        <f>IF(N1443=0,+L1443+H1443,0)</f>
        <v/>
      </c>
      <c r="N1443" s="7">
        <f>IF((+G1443-K1443)=0,0,+G1443-K1443)</f>
        <v/>
      </c>
      <c r="O1443" s="7">
        <f>IF(N1443=0,0,(L1443+H1443)/-N1443)</f>
        <v/>
      </c>
      <c r="P1443" s="7">
        <f>VLOOKUP(OPERAC[[#This Row],[especie]],[1]!ESPECIES[#All],6,0)</f>
        <v/>
      </c>
      <c r="Q1443" s="7">
        <f>IF(N1443&lt;&gt;0,P1443*N1443,0)</f>
        <v/>
      </c>
      <c r="R1443" s="8">
        <f>IF(Q1443&lt;&gt;0,Q1443+H1443+L1443,0)</f>
        <v/>
      </c>
      <c r="S1443" s="9">
        <f>VLOOKUP(OPERAC[[#This Row],[especie]],[1]!ESPECIES[#Data],9,FALSE)</f>
        <v/>
      </c>
    </row>
    <row r="1444">
      <c r="A1444" s="4" t="n">
        <v>2305</v>
      </c>
      <c r="B1444" s="5" t="n">
        <v>44680</v>
      </c>
      <c r="C1444" s="13" t="inlineStr">
        <is>
          <t>VTA</t>
        </is>
      </c>
      <c r="D1444" s="13" t="n">
        <v>42</v>
      </c>
      <c r="E1444" s="10">
        <f>IF(D1444&gt;0,VLOOKUP(OPERAC[[#This Row],[COD CART]],[1]!MatrizCortoLargoCyl[#All],3,0),"")</f>
        <v/>
      </c>
      <c r="F1444" s="14" t="inlineStr">
        <is>
          <t>XLP</t>
        </is>
      </c>
      <c r="G1444" s="6" t="n">
        <v>2</v>
      </c>
      <c r="H1444" s="6" t="n">
        <v>-158.869005</v>
      </c>
      <c r="I1444" s="7">
        <f>-H1444/G1444</f>
        <v/>
      </c>
      <c r="J1444" s="11" t="n">
        <v>44693</v>
      </c>
      <c r="K1444" s="6">
        <f>+OPERAC[[#This Row],[cantidad]]</f>
        <v/>
      </c>
      <c r="L1444" s="6">
        <f>+OPERAC[[#This Row],[cantidad venta]]*75.648</f>
        <v/>
      </c>
      <c r="M1444" s="7">
        <f>IF(N1444=0,+L1444+H1444,0)</f>
        <v/>
      </c>
      <c r="N1444" s="7">
        <f>IF((+G1444-K1444)=0,0,+G1444-K1444)</f>
        <v/>
      </c>
      <c r="O1444" s="7">
        <f>IF(N1444=0,0,(L1444+H1444)/-N1444)</f>
        <v/>
      </c>
      <c r="P1444" s="7">
        <f>VLOOKUP(OPERAC[[#This Row],[especie]],[1]!ESPECIES[#All],6,0)</f>
        <v/>
      </c>
      <c r="Q1444" s="7">
        <f>IF(N1444&lt;&gt;0,P1444*N1444,0)</f>
        <v/>
      </c>
      <c r="R1444" s="8">
        <f>IF(Q1444&lt;&gt;0,Q1444+H1444+L1444,0)</f>
        <v/>
      </c>
      <c r="S1444" s="9">
        <f>VLOOKUP(OPERAC[[#This Row],[especie]],[1]!ESPECIES[#Data],9,FALSE)</f>
        <v/>
      </c>
    </row>
    <row r="1445">
      <c r="A1445" s="4" t="n">
        <v>3838</v>
      </c>
      <c r="B1445" s="5" t="n">
        <v>44680</v>
      </c>
      <c r="C1445" s="13" t="inlineStr">
        <is>
          <t>VTA</t>
        </is>
      </c>
      <c r="D1445" s="13" t="n">
        <v>42</v>
      </c>
      <c r="E1445" s="10">
        <f>IF(D1445&gt;0,VLOOKUP(OPERAC[[#This Row],[COD CART]],[1]!MatrizCortoLargoCyl[#All],3,0),"")</f>
        <v/>
      </c>
      <c r="F1445" s="14" t="inlineStr">
        <is>
          <t>XLP</t>
        </is>
      </c>
      <c r="G1445" s="6" t="n">
        <v>2</v>
      </c>
      <c r="H1445" s="6" t="n">
        <v>-158.869005</v>
      </c>
      <c r="I1445" s="7">
        <f>-H1445/G1445</f>
        <v/>
      </c>
      <c r="J1445" s="11" t="n">
        <v>44693</v>
      </c>
      <c r="K1445" s="6">
        <f>+OPERAC[[#This Row],[cantidad]]</f>
        <v/>
      </c>
      <c r="L1445" s="6">
        <f>+OPERAC[[#This Row],[cantidad venta]]*75.648</f>
        <v/>
      </c>
      <c r="M1445" s="7">
        <f>IF(N1445=0,+L1445+H1445,0)</f>
        <v/>
      </c>
      <c r="N1445" s="7">
        <f>IF((+G1445-K1445)=0,0,+G1445-K1445)</f>
        <v/>
      </c>
      <c r="O1445" s="7">
        <f>IF(N1445=0,0,(L1445+H1445)/-N1445)</f>
        <v/>
      </c>
      <c r="P1445" s="7">
        <f>VLOOKUP(OPERAC[[#This Row],[especie]],[1]!ESPECIES[#All],6,0)</f>
        <v/>
      </c>
      <c r="Q1445" s="7">
        <f>IF(N1445&lt;&gt;0,P1445*N1445,0)</f>
        <v/>
      </c>
      <c r="R1445" s="8">
        <f>IF(Q1445&lt;&gt;0,Q1445+H1445+L1445,0)</f>
        <v/>
      </c>
      <c r="S1445" s="9">
        <f>VLOOKUP(OPERAC[[#This Row],[especie]],[1]!ESPECIES[#Data],9,FALSE)</f>
        <v/>
      </c>
    </row>
    <row r="1446">
      <c r="A1446" s="4" t="n">
        <v>6628</v>
      </c>
      <c r="B1446" s="5" t="n">
        <v>44680</v>
      </c>
      <c r="C1446" s="13" t="inlineStr">
        <is>
          <t>VTA</t>
        </is>
      </c>
      <c r="D1446" s="13" t="n">
        <v>42</v>
      </c>
      <c r="E1446" s="10">
        <f>IF(D1446&gt;0,VLOOKUP(OPERAC[[#This Row],[COD CART]],[1]!MatrizCortoLargoCyl[#All],3,0),"")</f>
        <v/>
      </c>
      <c r="F1446" s="14" t="inlineStr">
        <is>
          <t>XLP</t>
        </is>
      </c>
      <c r="G1446" s="6" t="n">
        <v>2</v>
      </c>
      <c r="H1446" s="6" t="n">
        <v>-158.869005</v>
      </c>
      <c r="I1446" s="7">
        <f>-H1446/G1446</f>
        <v/>
      </c>
      <c r="J1446" s="11" t="n">
        <v>44693</v>
      </c>
      <c r="K1446" s="6">
        <f>+OPERAC[[#This Row],[cantidad]]</f>
        <v/>
      </c>
      <c r="L1446" s="6">
        <f>+OPERAC[[#This Row],[cantidad venta]]*75.648</f>
        <v/>
      </c>
      <c r="M1446" s="7">
        <f>IF(N1446=0,+L1446+H1446,0)</f>
        <v/>
      </c>
      <c r="N1446" s="7">
        <f>IF((+G1446-K1446)=0,0,+G1446-K1446)</f>
        <v/>
      </c>
      <c r="O1446" s="7">
        <f>IF(N1446=0,0,(L1446+H1446)/-N1446)</f>
        <v/>
      </c>
      <c r="P1446" s="7">
        <f>VLOOKUP(OPERAC[[#This Row],[especie]],[1]!ESPECIES[#All],6,0)</f>
        <v/>
      </c>
      <c r="Q1446" s="7">
        <f>IF(N1446&lt;&gt;0,P1446*N1446,0)</f>
        <v/>
      </c>
      <c r="R1446" s="8">
        <f>IF(Q1446&lt;&gt;0,Q1446+H1446+L1446,0)</f>
        <v/>
      </c>
      <c r="S1446" s="9">
        <f>VLOOKUP(OPERAC[[#This Row],[especie]],[1]!ESPECIES[#Data],9,FALSE)</f>
        <v/>
      </c>
    </row>
    <row r="1447">
      <c r="A1447" s="4" t="n">
        <v>7867</v>
      </c>
      <c r="B1447" s="5" t="n">
        <v>44680</v>
      </c>
      <c r="C1447" s="13" t="inlineStr">
        <is>
          <t>VTA</t>
        </is>
      </c>
      <c r="D1447" s="13" t="n">
        <v>42</v>
      </c>
      <c r="E1447" s="10">
        <f>IF(D1447&gt;0,VLOOKUP(OPERAC[[#This Row],[COD CART]],[1]!MatrizCortoLargoCyl[#All],3,0),"")</f>
        <v/>
      </c>
      <c r="F1447" s="14" t="inlineStr">
        <is>
          <t>XLP</t>
        </is>
      </c>
      <c r="G1447" s="6" t="n">
        <v>2</v>
      </c>
      <c r="H1447" s="6" t="n">
        <v>-158.869005</v>
      </c>
      <c r="I1447" s="7">
        <f>-H1447/G1447</f>
        <v/>
      </c>
      <c r="J1447" s="11" t="n">
        <v>44693</v>
      </c>
      <c r="K1447" s="6">
        <f>+OPERAC[[#This Row],[cantidad]]</f>
        <v/>
      </c>
      <c r="L1447" s="6">
        <f>+OPERAC[[#This Row],[cantidad venta]]*75.648</f>
        <v/>
      </c>
      <c r="M1447" s="7">
        <f>IF(N1447=0,+L1447+H1447,0)</f>
        <v/>
      </c>
      <c r="N1447" s="7">
        <f>IF((+G1447-K1447)=0,0,+G1447-K1447)</f>
        <v/>
      </c>
      <c r="O1447" s="7">
        <f>IF(N1447=0,0,(L1447+H1447)/-N1447)</f>
        <v/>
      </c>
      <c r="P1447" s="7">
        <f>VLOOKUP(OPERAC[[#This Row],[especie]],[1]!ESPECIES[#All],6,0)</f>
        <v/>
      </c>
      <c r="Q1447" s="7">
        <f>IF(N1447&lt;&gt;0,P1447*N1447,0)</f>
        <v/>
      </c>
      <c r="R1447" s="8">
        <f>IF(Q1447&lt;&gt;0,Q1447+H1447+L1447,0)</f>
        <v/>
      </c>
      <c r="S1447" s="9">
        <f>VLOOKUP(OPERAC[[#This Row],[especie]],[1]!ESPECIES[#Data],9,FALSE)</f>
        <v/>
      </c>
    </row>
    <row r="1448">
      <c r="A1448" s="4" t="n">
        <v>8066</v>
      </c>
      <c r="B1448" s="5" t="n">
        <v>44680</v>
      </c>
      <c r="C1448" s="13" t="inlineStr">
        <is>
          <t>VTA</t>
        </is>
      </c>
      <c r="D1448" s="13" t="n">
        <v>42</v>
      </c>
      <c r="E1448" s="10">
        <f>IF(D1448&gt;0,VLOOKUP(OPERAC[[#This Row],[COD CART]],[1]!MatrizCortoLargoCyl[#All],3,0),"")</f>
        <v/>
      </c>
      <c r="F1448" s="14" t="inlineStr">
        <is>
          <t>XLP</t>
        </is>
      </c>
      <c r="G1448" s="6" t="n">
        <v>2</v>
      </c>
      <c r="H1448" s="6" t="n">
        <v>-158.869005</v>
      </c>
      <c r="I1448" s="7">
        <f>-H1448/G1448</f>
        <v/>
      </c>
      <c r="J1448" s="11" t="n">
        <v>44693</v>
      </c>
      <c r="K1448" s="6">
        <f>+OPERAC[[#This Row],[cantidad]]</f>
        <v/>
      </c>
      <c r="L1448" s="6">
        <f>+OPERAC[[#This Row],[cantidad venta]]*74.848</f>
        <v/>
      </c>
      <c r="M1448" s="7">
        <f>IF(N1448=0,+L1448+H1448,0)</f>
        <v/>
      </c>
      <c r="N1448" s="7">
        <f>IF((+G1448-K1448)=0,0,+G1448-K1448)</f>
        <v/>
      </c>
      <c r="O1448" s="7">
        <f>IF(N1448=0,0,(L1448+H1448)/-N1448)</f>
        <v/>
      </c>
      <c r="P1448" s="7">
        <f>VLOOKUP(OPERAC[[#This Row],[especie]],[1]!ESPECIES[#All],6,0)</f>
        <v/>
      </c>
      <c r="Q1448" s="7">
        <f>IF(N1448&lt;&gt;0,P1448*N1448,0)</f>
        <v/>
      </c>
      <c r="R1448" s="8">
        <f>IF(Q1448&lt;&gt;0,Q1448+H1448+L1448,0)</f>
        <v/>
      </c>
      <c r="S1448" s="9">
        <f>VLOOKUP(OPERAC[[#This Row],[especie]],[1]!ESPECIES[#Data],9,FALSE)</f>
        <v/>
      </c>
    </row>
    <row r="1449">
      <c r="A1449" s="4" t="n">
        <v>18663</v>
      </c>
      <c r="B1449" s="5" t="n">
        <v>44421</v>
      </c>
      <c r="C1449" s="13" t="inlineStr">
        <is>
          <t>VTA</t>
        </is>
      </c>
      <c r="D1449" s="13" t="n">
        <v>41</v>
      </c>
      <c r="E1449" s="10">
        <f>IF(D1449&gt;0,VLOOKUP(OPERAC[[#This Row],[COD CART]],[1]!MatrizCortoLargoCyl[#All],3,0),"")</f>
        <v/>
      </c>
      <c r="F1449" s="13" t="inlineStr">
        <is>
          <t>TCNNF</t>
        </is>
      </c>
      <c r="G1449" s="6" t="n">
        <v>5</v>
      </c>
      <c r="H1449" s="6" t="n">
        <v>-158.9536</v>
      </c>
      <c r="I1449" s="7">
        <f>-H1449/G1449</f>
        <v/>
      </c>
      <c r="J1449" s="11" t="n"/>
      <c r="K1449" s="6" t="n"/>
      <c r="L1449" s="6" t="n"/>
      <c r="M1449" s="7">
        <f>IF(N1449=0,+L1449+H1449,0)</f>
        <v/>
      </c>
      <c r="N1449" s="7">
        <f>IF((+G1449-K1449)=0,0,+G1449-K1449)</f>
        <v/>
      </c>
      <c r="O1449" s="7">
        <f>IF(N1449=0,0,(L1449+H1449)/-N1449)</f>
        <v/>
      </c>
      <c r="P1449" s="7">
        <f>VLOOKUP(OPERAC[[#This Row],[especie]],[1]!ESPECIES[#All],6,0)</f>
        <v/>
      </c>
      <c r="Q1449" s="7">
        <f>IF(N1449&lt;&gt;0,P1449*N1449,0)</f>
        <v/>
      </c>
      <c r="R1449" s="8">
        <f>IF(Q1449&lt;&gt;0,Q1449+H1449+L1449,0)</f>
        <v/>
      </c>
      <c r="S1449" s="9">
        <f>VLOOKUP(OPERAC[[#This Row],[especie]],[1]!ESPECIES[#Data],9,FALSE)</f>
        <v/>
      </c>
    </row>
    <row r="1450">
      <c r="A1450" s="4" t="n">
        <v>13253</v>
      </c>
      <c r="B1450" s="5" t="n">
        <v>44530</v>
      </c>
      <c r="C1450" s="13" t="inlineStr">
        <is>
          <t>VTA</t>
        </is>
      </c>
      <c r="D1450" s="13" t="n">
        <v>41</v>
      </c>
      <c r="E1450" s="10">
        <f>IF(D1450&gt;0,VLOOKUP(OPERAC[[#This Row],[COD CART]],[1]!MatrizCortoLargoCyl[#All],3,0),"")</f>
        <v/>
      </c>
      <c r="F1450" s="13" t="inlineStr">
        <is>
          <t>VIOT</t>
        </is>
      </c>
      <c r="G1450" s="6" t="n">
        <v>50</v>
      </c>
      <c r="H1450" s="6" t="n">
        <v>-159.62392</v>
      </c>
      <c r="I1450" s="7">
        <f>-H1450/G1450</f>
        <v/>
      </c>
      <c r="J1450" s="11" t="n"/>
      <c r="K1450" s="6" t="n"/>
      <c r="L1450" s="6" t="n"/>
      <c r="M1450" s="7">
        <f>IF(N1450=0,+L1450+H1450,0)</f>
        <v/>
      </c>
      <c r="N1450" s="7">
        <f>IF((+G1450-K1450)=0,0,+G1450-K1450)</f>
        <v/>
      </c>
      <c r="O1450" s="7">
        <f>IF(N1450=0,0,(L1450+H1450)/-N1450)</f>
        <v/>
      </c>
      <c r="P1450" s="7">
        <f>VLOOKUP(OPERAC[[#This Row],[especie]],[1]!ESPECIES[#All],6,0)</f>
        <v/>
      </c>
      <c r="Q1450" s="7">
        <f>IF(N1450&lt;&gt;0,P1450*N1450,0)</f>
        <v/>
      </c>
      <c r="R1450" s="8">
        <f>IF(Q1450&lt;&gt;0,Q1450+H1450+L1450,0)</f>
        <v/>
      </c>
      <c r="S1450" s="9">
        <f>VLOOKUP(OPERAC[[#This Row],[especie]],[1]!ESPECIES[#Data],9,FALSE)</f>
        <v/>
      </c>
    </row>
    <row r="1451">
      <c r="A1451" s="4" t="n">
        <v>16818</v>
      </c>
      <c r="B1451" s="5" t="n">
        <v>44652</v>
      </c>
      <c r="C1451" s="13" t="inlineStr">
        <is>
          <t>VTA</t>
        </is>
      </c>
      <c r="D1451" s="13" t="n">
        <v>42</v>
      </c>
      <c r="E1451" s="10">
        <f>IF(D1451&gt;0,VLOOKUP(OPERAC[[#This Row],[COD CART]],[1]!MatrizCortoLargoCyl[#All],3,0),"")</f>
        <v/>
      </c>
      <c r="F1451" s="13" t="inlineStr">
        <is>
          <t>GBTC</t>
        </is>
      </c>
      <c r="G1451" s="6" t="n">
        <v>5</v>
      </c>
      <c r="H1451" s="6" t="n">
        <v>-159.912</v>
      </c>
      <c r="I1451" s="7">
        <f>-H1451/G1451</f>
        <v/>
      </c>
      <c r="J1451" s="11" t="n">
        <v>44662</v>
      </c>
      <c r="K1451" s="6">
        <f>+OPERAC[[#This Row],[cantidad]]</f>
        <v/>
      </c>
      <c r="L1451" s="6">
        <f>27.99*OPERAC[[#This Row],[cantidad venta]]</f>
        <v/>
      </c>
      <c r="M1451" s="7">
        <f>IF(N1451=0,+L1451+H1451,0)</f>
        <v/>
      </c>
      <c r="N1451" s="7">
        <f>IF((+G1451-K1451)=0,0,+G1451-K1451)</f>
        <v/>
      </c>
      <c r="O1451" s="7">
        <f>IF(N1451=0,0,(L1451+H1451)/-N1451)</f>
        <v/>
      </c>
      <c r="P1451" s="7">
        <f>VLOOKUP(OPERAC[[#This Row],[especie]],[1]!ESPECIES[#All],6,0)</f>
        <v/>
      </c>
      <c r="Q1451" s="7">
        <f>IF(N1451&lt;&gt;0,P1451*N1451,0)</f>
        <v/>
      </c>
      <c r="R1451" s="8">
        <f>IF(Q1451&lt;&gt;0,Q1451+H1451+L1451,0)</f>
        <v/>
      </c>
      <c r="S1451" s="9">
        <f>VLOOKUP(OPERAC[[#This Row],[especie]],[1]!ESPECIES[#Data],9,FALSE)</f>
        <v/>
      </c>
    </row>
    <row r="1452">
      <c r="A1452" s="4" t="n">
        <v>18663</v>
      </c>
      <c r="B1452" s="5" t="n">
        <v>43831</v>
      </c>
      <c r="C1452" s="13" t="inlineStr">
        <is>
          <t>VTA</t>
        </is>
      </c>
      <c r="D1452" s="13" t="n">
        <v>41</v>
      </c>
      <c r="E1452" s="10">
        <f>IF(D1452&gt;0,VLOOKUP(OPERAC[[#This Row],[COD CART]],[1]!MatrizCortoLargoCyl[#All],3,0),"")</f>
        <v/>
      </c>
      <c r="F1452" s="13" t="inlineStr">
        <is>
          <t>NRZ</t>
        </is>
      </c>
      <c r="G1452" s="6" t="n">
        <v>10</v>
      </c>
      <c r="H1452" s="6" t="n">
        <v>-160</v>
      </c>
      <c r="I1452" s="7" t="n">
        <v>16</v>
      </c>
      <c r="J1452" s="5" t="n"/>
      <c r="K1452" s="6" t="n"/>
      <c r="L1452" s="6" t="n"/>
      <c r="M1452" s="7">
        <f>IF(N1452=0,+L1452+H1452,0)</f>
        <v/>
      </c>
      <c r="N1452" s="7">
        <f>IF((+G1452-K1452)=0,0,+G1452-K1452)</f>
        <v/>
      </c>
      <c r="O1452" s="7">
        <f>IF(N1452=0,0,(L1452+H1452)/-N1452)</f>
        <v/>
      </c>
      <c r="P1452" s="7">
        <f>VLOOKUP(OPERAC[[#This Row],[especie]],[1]!ESPECIES[#All],6,0)</f>
        <v/>
      </c>
      <c r="Q1452" s="7">
        <f>IF(N1452&lt;&gt;0,P1452*N1452,0)</f>
        <v/>
      </c>
      <c r="R1452" s="8">
        <f>IF(Q1452&lt;&gt;0,Q1452+H1452+L1452,0)</f>
        <v/>
      </c>
      <c r="S1452" s="9">
        <f>VLOOKUP(OPERAC[[#This Row],[especie]],[1]!ESPECIES[#Data],9,FALSE)</f>
        <v/>
      </c>
    </row>
    <row r="1453">
      <c r="A1453" s="4" t="n">
        <v>2289</v>
      </c>
      <c r="B1453" s="5" t="n">
        <v>44652</v>
      </c>
      <c r="C1453" s="13" t="inlineStr">
        <is>
          <t>VTA</t>
        </is>
      </c>
      <c r="D1453" s="13" t="n">
        <v>42</v>
      </c>
      <c r="E1453" s="10">
        <f>IF(D1453&gt;0,VLOOKUP(OPERAC[[#This Row],[COD CART]],[1]!MatrizCortoLargoCyl[#All],3,0),"")</f>
        <v/>
      </c>
      <c r="F1453" s="13" t="inlineStr">
        <is>
          <t>GBTC</t>
        </is>
      </c>
      <c r="G1453" s="6" t="n">
        <v>5</v>
      </c>
      <c r="H1453" s="6" t="n">
        <v>-160.549</v>
      </c>
      <c r="I1453" s="7">
        <f>-H1453/G1453</f>
        <v/>
      </c>
      <c r="J1453" s="11" t="n">
        <v>44662</v>
      </c>
      <c r="K1453" s="6">
        <f>+OPERAC[[#This Row],[cantidad]]</f>
        <v/>
      </c>
      <c r="L1453" s="6">
        <f>27.99*OPERAC[[#This Row],[cantidad venta]]</f>
        <v/>
      </c>
      <c r="M1453" s="7">
        <f>IF(N1453=0,+L1453+H1453,0)</f>
        <v/>
      </c>
      <c r="N1453" s="7">
        <f>IF((+G1453-K1453)=0,0,+G1453-K1453)</f>
        <v/>
      </c>
      <c r="O1453" s="7">
        <f>IF(N1453=0,0,(L1453+H1453)/-N1453)</f>
        <v/>
      </c>
      <c r="P1453" s="7">
        <f>VLOOKUP(OPERAC[[#This Row],[especie]],[1]!ESPECIES[#All],6,0)</f>
        <v/>
      </c>
      <c r="Q1453" s="7">
        <f>IF(N1453&lt;&gt;0,P1453*N1453,0)</f>
        <v/>
      </c>
      <c r="R1453" s="8">
        <f>IF(Q1453&lt;&gt;0,Q1453+H1453+L1453,0)</f>
        <v/>
      </c>
      <c r="S1453" s="9">
        <f>VLOOKUP(OPERAC[[#This Row],[especie]],[1]!ESPECIES[#Data],9,FALSE)</f>
        <v/>
      </c>
    </row>
    <row r="1454">
      <c r="A1454" s="4" t="n">
        <v>2276</v>
      </c>
      <c r="B1454" s="5" t="n">
        <v>44342</v>
      </c>
      <c r="C1454" s="13" t="inlineStr">
        <is>
          <t>VTA</t>
        </is>
      </c>
      <c r="D1454" s="13" t="n">
        <v>41</v>
      </c>
      <c r="E1454" s="10">
        <f>IF(D1454&gt;0,VLOOKUP(OPERAC[[#This Row],[COD CART]],[1]!MatrizCortoLargoCyl[#All],3,0),"")</f>
        <v/>
      </c>
      <c r="F1454" s="13" t="inlineStr">
        <is>
          <t>EFA</t>
        </is>
      </c>
      <c r="G1454" s="6" t="n">
        <v>2</v>
      </c>
      <c r="H1454" s="6" t="n">
        <v>-163.25776</v>
      </c>
      <c r="I1454" s="7">
        <f>-H1454/G1454</f>
        <v/>
      </c>
      <c r="J1454" s="11" t="n"/>
      <c r="K1454" s="6" t="n"/>
      <c r="L1454" s="6" t="n"/>
      <c r="M1454" s="7">
        <f>IF(N1454=0,+L1454+H1454,0)</f>
        <v/>
      </c>
      <c r="N1454" s="7">
        <f>IF((+G1454-K1454)=0,0,+G1454-K1454)</f>
        <v/>
      </c>
      <c r="O1454" s="7">
        <f>IF(N1454=0,0,(L1454+H1454)/-N1454)</f>
        <v/>
      </c>
      <c r="P1454" s="7">
        <f>VLOOKUP(OPERAC[[#This Row],[especie]],[1]!ESPECIES[#All],6,0)</f>
        <v/>
      </c>
      <c r="Q1454" s="7">
        <f>IF(N1454&lt;&gt;0,P1454*N1454,0)</f>
        <v/>
      </c>
      <c r="R1454" s="8">
        <f>IF(Q1454&lt;&gt;0,Q1454+H1454+L1454,0)</f>
        <v/>
      </c>
      <c r="S1454" s="9">
        <f>VLOOKUP(OPERAC[[#This Row],[especie]],[1]!ESPECIES[#Data],9,FALSE)</f>
        <v/>
      </c>
    </row>
    <row r="1455">
      <c r="A1455" s="4" t="n">
        <v>8066</v>
      </c>
      <c r="B1455" s="5" t="n">
        <v>44636</v>
      </c>
      <c r="C1455" s="13" t="inlineStr">
        <is>
          <t>VTA</t>
        </is>
      </c>
      <c r="D1455" s="13" t="n">
        <v>43</v>
      </c>
      <c r="E1455" s="10">
        <f>IF(D1455&gt;0,VLOOKUP(OPERAC[[#This Row],[COD CART]],[1]!MatrizCortoLargoCyl[#All],3,0),"")</f>
        <v/>
      </c>
      <c r="F1455" s="13" t="inlineStr">
        <is>
          <t>GMBL/CYL-PUT/1,00/20-01-23</t>
        </is>
      </c>
      <c r="G1455" s="6" t="n">
        <v>1000</v>
      </c>
      <c r="H1455" s="6" t="n">
        <v>-163.3886500000001</v>
      </c>
      <c r="I1455" s="7">
        <f>-H1455/G1455</f>
        <v/>
      </c>
      <c r="J1455" s="11" t="n">
        <v>44698</v>
      </c>
      <c r="K1455" s="6" t="n">
        <v>1000</v>
      </c>
      <c r="L1455" s="6" t="n">
        <v>-300.285</v>
      </c>
      <c r="M1455" s="7">
        <f>IF(N1455=0,+L1455+H1455,0)</f>
        <v/>
      </c>
      <c r="N1455" s="7">
        <f>IF((+G1455-K1455)=0,0,+G1455-K1455)</f>
        <v/>
      </c>
      <c r="O1455" s="7">
        <f>IF(N1455=0,0,(L1455+H1455)/-N1455)</f>
        <v/>
      </c>
      <c r="P1455" s="7">
        <f>VLOOKUP(OPERAC[[#This Row],[especie]],[1]!ESPECIES[#All],6,0)</f>
        <v/>
      </c>
      <c r="Q1455" s="7">
        <f>IF(N1455&lt;&gt;0,P1455*N1455,0)</f>
        <v/>
      </c>
      <c r="R1455" s="8">
        <f>IF(Q1455&lt;&gt;0,Q1455+H1455+L1455,0)</f>
        <v/>
      </c>
      <c r="S1455" s="9">
        <f>VLOOKUP(OPERAC[[#This Row],[especie]],[1]!ESPECIES[#Data],9,FALSE)</f>
        <v/>
      </c>
    </row>
    <row r="1456">
      <c r="A1456" s="4" t="n">
        <v>12688</v>
      </c>
      <c r="B1456" s="5" t="n">
        <v>44636</v>
      </c>
      <c r="C1456" s="13" t="inlineStr">
        <is>
          <t>VTA</t>
        </is>
      </c>
      <c r="D1456" s="13" t="n">
        <v>43</v>
      </c>
      <c r="E1456" s="10">
        <f>IF(D1456&gt;0,VLOOKUP(OPERAC[[#This Row],[COD CART]],[1]!MatrizCortoLargoCyl[#All],3,0),"")</f>
        <v/>
      </c>
      <c r="F1456" s="13" t="inlineStr">
        <is>
          <t>GMBL/CYL-PUT/1,00/20-01-23</t>
        </is>
      </c>
      <c r="G1456" s="6" t="n">
        <v>1000</v>
      </c>
      <c r="H1456" s="6" t="n">
        <v>-163.3886500000001</v>
      </c>
      <c r="I1456" s="7">
        <f>-H1456/G1456</f>
        <v/>
      </c>
      <c r="J1456" s="11" t="n">
        <v>44694</v>
      </c>
      <c r="K1456" s="6" t="n">
        <v>1000</v>
      </c>
      <c r="L1456" s="6">
        <f>-0.2931*OPERAC[[#This Row],[cantidad venta]]</f>
        <v/>
      </c>
      <c r="M1456" s="7">
        <f>IF(N1456=0,+L1456+H1456,0)</f>
        <v/>
      </c>
      <c r="N1456" s="7">
        <f>IF((+G1456-K1456)=0,0,+G1456-K1456)</f>
        <v/>
      </c>
      <c r="O1456" s="7">
        <f>IF(N1456=0,0,(L1456+H1456)/-N1456)</f>
        <v/>
      </c>
      <c r="P1456" s="7">
        <f>VLOOKUP(OPERAC[[#This Row],[especie]],[1]!ESPECIES[#All],6,0)</f>
        <v/>
      </c>
      <c r="Q1456" s="7">
        <f>IF(N1456&lt;&gt;0,P1456*N1456,0)</f>
        <v/>
      </c>
      <c r="R1456" s="8">
        <f>IF(Q1456&lt;&gt;0,Q1456+H1456+L1456,0)</f>
        <v/>
      </c>
      <c r="S1456" s="9">
        <f>VLOOKUP(OPERAC[[#This Row],[especie]],[1]!ESPECIES[#Data],9,FALSE)</f>
        <v/>
      </c>
    </row>
    <row r="1457">
      <c r="A1457" s="4" t="n">
        <v>1816</v>
      </c>
      <c r="B1457" s="5" t="n">
        <v>44656</v>
      </c>
      <c r="C1457" s="13" t="inlineStr">
        <is>
          <t>VTA</t>
        </is>
      </c>
      <c r="D1457" s="13" t="n">
        <v>41</v>
      </c>
      <c r="E1457" s="10">
        <f>IF(D1457&gt;0,VLOOKUP(OPERAC[[#This Row],[COD CART]],[1]!MatrizCortoLargoCyl[#All],3,0),"")</f>
        <v/>
      </c>
      <c r="F1457" s="13" t="inlineStr">
        <is>
          <t>GGAL</t>
        </is>
      </c>
      <c r="G1457" s="6" t="n">
        <v>15</v>
      </c>
      <c r="H1457" s="6" t="n">
        <v>-163.54</v>
      </c>
      <c r="I1457" s="7">
        <f>-H1457/G1457</f>
        <v/>
      </c>
      <c r="J1457" s="11" t="n"/>
      <c r="K1457" s="6" t="n"/>
      <c r="L1457" s="6" t="n"/>
      <c r="M1457" s="7">
        <f>IF(N1457=0,+L1457+H1457,0)</f>
        <v/>
      </c>
      <c r="N1457" s="7">
        <f>IF((+G1457-K1457)=0,0,+G1457-K1457)</f>
        <v/>
      </c>
      <c r="O1457" s="7">
        <f>IF(N1457=0,0,(L1457+H1457)/-N1457)</f>
        <v/>
      </c>
      <c r="P1457" s="7">
        <f>VLOOKUP(OPERAC[[#This Row],[especie]],[1]!ESPECIES[#All],6,0)</f>
        <v/>
      </c>
      <c r="Q1457" s="7">
        <f>IF(N1457&lt;&gt;0,P1457*N1457,0)</f>
        <v/>
      </c>
      <c r="R1457" s="8">
        <f>IF(Q1457&lt;&gt;0,Q1457+H1457+L1457,0)</f>
        <v/>
      </c>
      <c r="S1457" s="9">
        <f>VLOOKUP(OPERAC[[#This Row],[especie]],[1]!ESPECIES[#Data],9,FALSE)</f>
        <v/>
      </c>
    </row>
    <row r="1458">
      <c r="A1458" s="4" t="n">
        <v>1800</v>
      </c>
      <c r="B1458" s="5" t="n">
        <v>44587</v>
      </c>
      <c r="C1458" s="13" t="inlineStr">
        <is>
          <t>VTA</t>
        </is>
      </c>
      <c r="D1458" s="13" t="n">
        <v>40</v>
      </c>
      <c r="E1458" s="10">
        <f>IF(D1458&gt;0,VLOOKUP(OPERAC[[#This Row],[COD CART]],[1]!MatrizCortoLargoCyl[#All],3,0),"")</f>
        <v/>
      </c>
      <c r="F1458" s="13" t="inlineStr">
        <is>
          <t>AAPL</t>
        </is>
      </c>
      <c r="G1458" s="6" t="n">
        <v>1</v>
      </c>
      <c r="H1458" s="6" t="n">
        <v>-164.05442</v>
      </c>
      <c r="I1458" s="7">
        <f>-H1458/G1458</f>
        <v/>
      </c>
      <c r="J1458" s="11" t="n">
        <v>44601</v>
      </c>
      <c r="K1458" s="6" t="n">
        <v>1</v>
      </c>
      <c r="L1458" s="6">
        <f>175.66*OPERAC[[#This Row],[cantidad venta]]</f>
        <v/>
      </c>
      <c r="M1458" s="7">
        <f>IF(N1458=0,+L1458+H1458,0)</f>
        <v/>
      </c>
      <c r="N1458" s="7">
        <f>IF((+G1458-K1458)=0,0,+G1458-K1458)</f>
        <v/>
      </c>
      <c r="O1458" s="7">
        <f>IF(N1458=0,0,(L1458+H1458)/-N1458)</f>
        <v/>
      </c>
      <c r="P1458" s="7">
        <f>VLOOKUP(OPERAC[[#This Row],[especie]],[1]!ESPECIES[#All],6,0)</f>
        <v/>
      </c>
      <c r="Q1458" s="7">
        <f>IF(N1458&lt;&gt;0,P1458*N1458,0)</f>
        <v/>
      </c>
      <c r="R1458" s="8">
        <f>IF(Q1458&lt;&gt;0,Q1458+H1458+L1458,0)</f>
        <v/>
      </c>
      <c r="S1458" s="9">
        <f>VLOOKUP(OPERAC[[#This Row],[especie]],[1]!ESPECIES[#Data],9,FALSE)</f>
        <v/>
      </c>
    </row>
    <row r="1459">
      <c r="A1459" s="4" t="n">
        <v>1801</v>
      </c>
      <c r="B1459" s="5" t="n">
        <v>44587</v>
      </c>
      <c r="C1459" s="13" t="inlineStr">
        <is>
          <t>VTA</t>
        </is>
      </c>
      <c r="D1459" s="13" t="n">
        <v>40</v>
      </c>
      <c r="E1459" s="10">
        <f>IF(D1459&gt;0,VLOOKUP(OPERAC[[#This Row],[COD CART]],[1]!MatrizCortoLargoCyl[#All],3,0),"")</f>
        <v/>
      </c>
      <c r="F1459" s="13" t="inlineStr">
        <is>
          <t>AAPL</t>
        </is>
      </c>
      <c r="G1459" s="6" t="n">
        <v>1</v>
      </c>
      <c r="H1459" s="6" t="n">
        <v>-164.05442</v>
      </c>
      <c r="I1459" s="7">
        <f>-H1459/G1459</f>
        <v/>
      </c>
      <c r="J1459" s="11" t="n">
        <v>44601</v>
      </c>
      <c r="K1459" s="6" t="n">
        <v>1</v>
      </c>
      <c r="L1459" s="6">
        <f>175.66*OPERAC[[#This Row],[cantidad venta]]</f>
        <v/>
      </c>
      <c r="M1459" s="7">
        <f>IF(N1459=0,+L1459+H1459,0)</f>
        <v/>
      </c>
      <c r="N1459" s="7">
        <f>IF((+G1459-K1459)=0,0,+G1459-K1459)</f>
        <v/>
      </c>
      <c r="O1459" s="7">
        <f>IF(N1459=0,0,(L1459+H1459)/-N1459)</f>
        <v/>
      </c>
      <c r="P1459" s="7">
        <f>VLOOKUP(OPERAC[[#This Row],[especie]],[1]!ESPECIES[#All],6,0)</f>
        <v/>
      </c>
      <c r="Q1459" s="7">
        <f>IF(N1459&lt;&gt;0,P1459*N1459,0)</f>
        <v/>
      </c>
      <c r="R1459" s="8">
        <f>IF(Q1459&lt;&gt;0,Q1459+H1459+L1459,0)</f>
        <v/>
      </c>
      <c r="S1459" s="9">
        <f>VLOOKUP(OPERAC[[#This Row],[especie]],[1]!ESPECIES[#Data],9,FALSE)</f>
        <v/>
      </c>
    </row>
    <row r="1460">
      <c r="A1460" s="4" t="n">
        <v>2217</v>
      </c>
      <c r="B1460" s="5" t="n">
        <v>44587</v>
      </c>
      <c r="C1460" s="13" t="inlineStr">
        <is>
          <t>VTA</t>
        </is>
      </c>
      <c r="D1460" s="13" t="n">
        <v>40</v>
      </c>
      <c r="E1460" s="10">
        <f>IF(D1460&gt;0,VLOOKUP(OPERAC[[#This Row],[COD CART]],[1]!MatrizCortoLargoCyl[#All],3,0),"")</f>
        <v/>
      </c>
      <c r="F1460" s="13" t="inlineStr">
        <is>
          <t>AAPL</t>
        </is>
      </c>
      <c r="G1460" s="6" t="n">
        <v>1</v>
      </c>
      <c r="H1460" s="6" t="n">
        <v>-164.05442</v>
      </c>
      <c r="I1460" s="7">
        <f>-H1460/G1460</f>
        <v/>
      </c>
      <c r="J1460" s="11" t="n">
        <v>44601</v>
      </c>
      <c r="K1460" s="6" t="n">
        <v>1</v>
      </c>
      <c r="L1460" s="6">
        <f>175.66*OPERAC[[#This Row],[cantidad venta]]</f>
        <v/>
      </c>
      <c r="M1460" s="7">
        <f>IF(N1460=0,+L1460+H1460,0)</f>
        <v/>
      </c>
      <c r="N1460" s="7">
        <f>IF((+G1460-K1460)=0,0,+G1460-K1460)</f>
        <v/>
      </c>
      <c r="O1460" s="7">
        <f>IF(N1460=0,0,(L1460+H1460)/-N1460)</f>
        <v/>
      </c>
      <c r="P1460" s="7">
        <f>VLOOKUP(OPERAC[[#This Row],[especie]],[1]!ESPECIES[#All],6,0)</f>
        <v/>
      </c>
      <c r="Q1460" s="7">
        <f>IF(N1460&lt;&gt;0,P1460*N1460,0)</f>
        <v/>
      </c>
      <c r="R1460" s="8">
        <f>IF(Q1460&lt;&gt;0,Q1460+H1460+L1460,0)</f>
        <v/>
      </c>
      <c r="S1460" s="9">
        <f>VLOOKUP(OPERAC[[#This Row],[especie]],[1]!ESPECIES[#Data],9,FALSE)</f>
        <v/>
      </c>
    </row>
    <row r="1461">
      <c r="A1461" s="4" t="n">
        <v>2253</v>
      </c>
      <c r="B1461" s="5" t="n">
        <v>44587</v>
      </c>
      <c r="C1461" s="13" t="inlineStr">
        <is>
          <t>VTA</t>
        </is>
      </c>
      <c r="D1461" s="13" t="n">
        <v>40</v>
      </c>
      <c r="E1461" s="10">
        <f>IF(D1461&gt;0,VLOOKUP(OPERAC[[#This Row],[COD CART]],[1]!MatrizCortoLargoCyl[#All],3,0),"")</f>
        <v/>
      </c>
      <c r="F1461" s="13" t="inlineStr">
        <is>
          <t>AAPL</t>
        </is>
      </c>
      <c r="G1461" s="6" t="n">
        <v>1</v>
      </c>
      <c r="H1461" s="6" t="n">
        <v>-164.05442</v>
      </c>
      <c r="I1461" s="7">
        <f>-H1461/G1461</f>
        <v/>
      </c>
      <c r="J1461" s="11" t="n">
        <v>44601</v>
      </c>
      <c r="K1461" s="6" t="n">
        <v>1</v>
      </c>
      <c r="L1461" s="6">
        <f>175.66*OPERAC[[#This Row],[cantidad venta]]</f>
        <v/>
      </c>
      <c r="M1461" s="7">
        <f>IF(N1461=0,+L1461+H1461,0)</f>
        <v/>
      </c>
      <c r="N1461" s="7">
        <f>IF((+G1461-K1461)=0,0,+G1461-K1461)</f>
        <v/>
      </c>
      <c r="O1461" s="7">
        <f>IF(N1461=0,0,(L1461+H1461)/-N1461)</f>
        <v/>
      </c>
      <c r="P1461" s="7">
        <f>VLOOKUP(OPERAC[[#This Row],[especie]],[1]!ESPECIES[#All],6,0)</f>
        <v/>
      </c>
      <c r="Q1461" s="7">
        <f>IF(N1461&lt;&gt;0,P1461*N1461,0)</f>
        <v/>
      </c>
      <c r="R1461" s="8">
        <f>IF(Q1461&lt;&gt;0,Q1461+H1461+L1461,0)</f>
        <v/>
      </c>
      <c r="S1461" s="9">
        <f>VLOOKUP(OPERAC[[#This Row],[especie]],[1]!ESPECIES[#Data],9,FALSE)</f>
        <v/>
      </c>
    </row>
    <row r="1462">
      <c r="A1462" s="4" t="n">
        <v>2279</v>
      </c>
      <c r="B1462" s="5" t="n">
        <v>44587</v>
      </c>
      <c r="C1462" s="13" t="inlineStr">
        <is>
          <t>VTA</t>
        </is>
      </c>
      <c r="D1462" s="13" t="n">
        <v>40</v>
      </c>
      <c r="E1462" s="10">
        <f>IF(D1462&gt;0,VLOOKUP(OPERAC[[#This Row],[COD CART]],[1]!MatrizCortoLargoCyl[#All],3,0),"")</f>
        <v/>
      </c>
      <c r="F1462" s="13" t="inlineStr">
        <is>
          <t>AAPL</t>
        </is>
      </c>
      <c r="G1462" s="6" t="n">
        <v>1</v>
      </c>
      <c r="H1462" s="6" t="n">
        <v>-164.05442</v>
      </c>
      <c r="I1462" s="7">
        <f>-H1462/G1462</f>
        <v/>
      </c>
      <c r="J1462" s="11" t="n">
        <v>44601</v>
      </c>
      <c r="K1462" s="6" t="n">
        <v>1</v>
      </c>
      <c r="L1462" s="6">
        <f>175.66*OPERAC[[#This Row],[cantidad venta]]</f>
        <v/>
      </c>
      <c r="M1462" s="7">
        <f>IF(N1462=0,+L1462+H1462,0)</f>
        <v/>
      </c>
      <c r="N1462" s="7">
        <f>IF((+G1462-K1462)=0,0,+G1462-K1462)</f>
        <v/>
      </c>
      <c r="O1462" s="7">
        <f>IF(N1462=0,0,(L1462+H1462)/-N1462)</f>
        <v/>
      </c>
      <c r="P1462" s="7">
        <f>VLOOKUP(OPERAC[[#This Row],[especie]],[1]!ESPECIES[#All],6,0)</f>
        <v/>
      </c>
      <c r="Q1462" s="7">
        <f>IF(N1462&lt;&gt;0,P1462*N1462,0)</f>
        <v/>
      </c>
      <c r="R1462" s="8">
        <f>IF(Q1462&lt;&gt;0,Q1462+H1462+L1462,0)</f>
        <v/>
      </c>
      <c r="S1462" s="9">
        <f>VLOOKUP(OPERAC[[#This Row],[especie]],[1]!ESPECIES[#Data],9,FALSE)</f>
        <v/>
      </c>
    </row>
    <row r="1463">
      <c r="A1463" s="4" t="n">
        <v>18663</v>
      </c>
      <c r="B1463" s="5" t="n">
        <v>44201</v>
      </c>
      <c r="C1463" s="13" t="inlineStr">
        <is>
          <t>VTA</t>
        </is>
      </c>
      <c r="D1463" s="13" t="n">
        <v>41</v>
      </c>
      <c r="E1463" s="10">
        <f>IF(D1463&gt;0,VLOOKUP(OPERAC[[#This Row],[COD CART]],[1]!MatrizCortoLargoCyl[#All],3,0),"")</f>
        <v/>
      </c>
      <c r="F1463" s="13" t="inlineStr">
        <is>
          <t>STOR</t>
        </is>
      </c>
      <c r="G1463" s="6" t="n">
        <v>5</v>
      </c>
      <c r="H1463" s="6" t="n">
        <v>-164.4976</v>
      </c>
      <c r="I1463" s="7">
        <f>-H1463/G1463</f>
        <v/>
      </c>
      <c r="J1463" s="11" t="n"/>
      <c r="K1463" s="6" t="n"/>
      <c r="L1463" s="6" t="n"/>
      <c r="M1463" s="7">
        <f>IF(N1463=0,+L1463+H1463,0)</f>
        <v/>
      </c>
      <c r="N1463" s="7">
        <f>IF((+G1463-K1463)=0,0,+G1463-K1463)</f>
        <v/>
      </c>
      <c r="O1463" s="7">
        <f>IF(N1463=0,0,(L1463+H1463)/-N1463)</f>
        <v/>
      </c>
      <c r="P1463" s="7">
        <f>VLOOKUP(OPERAC[[#This Row],[especie]],[1]!ESPECIES[#All],6,0)</f>
        <v/>
      </c>
      <c r="Q1463" s="7">
        <f>IF(N1463&lt;&gt;0,P1463*N1463,0)</f>
        <v/>
      </c>
      <c r="R1463" s="8">
        <f>IF(Q1463&lt;&gt;0,Q1463+H1463+L1463,0)</f>
        <v/>
      </c>
      <c r="S1463" s="9">
        <f>VLOOKUP(OPERAC[[#This Row],[especie]],[1]!ESPECIES[#Data],9,FALSE)</f>
        <v/>
      </c>
    </row>
    <row r="1464">
      <c r="A1464" s="4" t="n">
        <v>18711</v>
      </c>
      <c r="B1464" s="5" t="n">
        <v>44637</v>
      </c>
      <c r="C1464" s="13" t="inlineStr">
        <is>
          <t>VTA</t>
        </is>
      </c>
      <c r="D1464" s="13" t="n">
        <v>43</v>
      </c>
      <c r="E1464" s="10">
        <f>IF(D1464&gt;0,VLOOKUP(OPERAC[[#This Row],[COD CART]],[1]!MatrizCortoLargoCyl[#All],3,0),"")</f>
        <v/>
      </c>
      <c r="F1464" s="13" t="inlineStr">
        <is>
          <t>GMBL/CYL-PUT/1,00/20-01-23</t>
        </is>
      </c>
      <c r="G1464" s="6" t="n">
        <v>800</v>
      </c>
      <c r="H1464" s="6" t="n">
        <v>-166.265408</v>
      </c>
      <c r="I1464" s="7">
        <f>-H1464/G1464</f>
        <v/>
      </c>
      <c r="J1464" s="11" t="n">
        <v>44698</v>
      </c>
      <c r="K1464" s="6" t="n">
        <v>800</v>
      </c>
      <c r="L1464" s="6">
        <f>-172.12-80.68</f>
        <v/>
      </c>
      <c r="M1464" s="7">
        <f>IF(N1464=0,+L1464+H1464,0)</f>
        <v/>
      </c>
      <c r="N1464" s="7">
        <f>IF((+G1464-K1464)=0,0,+G1464-K1464)</f>
        <v/>
      </c>
      <c r="O1464" s="7">
        <f>IF(N1464=0,0,(L1464+H1464)/-N1464)</f>
        <v/>
      </c>
      <c r="P1464" s="7">
        <f>VLOOKUP(OPERAC[[#This Row],[especie]],[1]!ESPECIES[#All],6,0)</f>
        <v/>
      </c>
      <c r="Q1464" s="7">
        <f>IF(N1464&lt;&gt;0,P1464*N1464,0)</f>
        <v/>
      </c>
      <c r="R1464" s="8">
        <f>IF(Q1464&lt;&gt;0,Q1464+H1464+L1464,0)</f>
        <v/>
      </c>
      <c r="S1464" s="9">
        <f>VLOOKUP(OPERAC[[#This Row],[especie]],[1]!ESPECIES[#Data],9,FALSE)</f>
        <v/>
      </c>
    </row>
    <row r="1465">
      <c r="A1465" s="4" t="n">
        <v>3787</v>
      </c>
      <c r="B1465" s="5" t="n">
        <v>44536</v>
      </c>
      <c r="C1465" s="13" t="inlineStr">
        <is>
          <t>VTA</t>
        </is>
      </c>
      <c r="D1465" s="13" t="n">
        <v>43</v>
      </c>
      <c r="E1465" s="10">
        <f>IF(D1465&gt;0,VLOOKUP(OPERAC[[#This Row],[COD CART]],[1]!MatrizCortoLargoCyl[#All],3,0),"")</f>
        <v/>
      </c>
      <c r="F1465" s="13" t="inlineStr">
        <is>
          <t>HEXO/CYL-PUT/1,00/20-01-23</t>
        </is>
      </c>
      <c r="G1465" s="6" t="n">
        <v>1000</v>
      </c>
      <c r="H1465" s="6">
        <f>-0.1671*OPERAC[[#This Row],[cantidad]]</f>
        <v/>
      </c>
      <c r="I1465" s="7">
        <f>-H1465/G1465</f>
        <v/>
      </c>
      <c r="J1465" s="11" t="n">
        <v>44607</v>
      </c>
      <c r="K1465" s="6" t="n">
        <v>1000</v>
      </c>
      <c r="L1465" s="6" t="n">
        <v>-280.231</v>
      </c>
      <c r="M1465" s="7">
        <f>IF(N1465=0,+L1465+H1465,0)</f>
        <v/>
      </c>
      <c r="N1465" s="7">
        <f>IF((+G1465-K1465)=0,0,+G1465-K1465)</f>
        <v/>
      </c>
      <c r="O1465" s="7">
        <f>IF(N1465=0,0,(L1465+H1465)/-N1465)</f>
        <v/>
      </c>
      <c r="P1465" s="7">
        <f>VLOOKUP(OPERAC[[#This Row],[especie]],[1]!ESPECIES[#All],6,0)</f>
        <v/>
      </c>
      <c r="Q1465" s="7">
        <f>IF(N1465&lt;&gt;0,P1465*N1465,0)</f>
        <v/>
      </c>
      <c r="R1465" s="8">
        <f>IF(Q1465&lt;&gt;0,Q1465+H1465+L1465,0)</f>
        <v/>
      </c>
      <c r="S1465" s="9">
        <f>VLOOKUP(OPERAC[[#This Row],[especie]],[1]!ESPECIES[#Data],9,FALSE)</f>
        <v/>
      </c>
    </row>
    <row r="1466">
      <c r="A1466" s="4" t="n">
        <v>6579</v>
      </c>
      <c r="B1466" s="5" t="n">
        <v>44536</v>
      </c>
      <c r="C1466" s="13" t="inlineStr">
        <is>
          <t>VTA</t>
        </is>
      </c>
      <c r="D1466" s="13" t="n">
        <v>43</v>
      </c>
      <c r="E1466" s="10">
        <f>IF(D1466&gt;0,VLOOKUP(OPERAC[[#This Row],[COD CART]],[1]!MatrizCortoLargoCyl[#All],3,0),"")</f>
        <v/>
      </c>
      <c r="F1466" s="13" t="inlineStr">
        <is>
          <t>HEXO/CYL-PUT/1,00/20-01-23</t>
        </is>
      </c>
      <c r="G1466" s="6" t="n">
        <v>1000</v>
      </c>
      <c r="H1466" s="6">
        <f>-0.1671*OPERAC[[#This Row],[cantidad]]</f>
        <v/>
      </c>
      <c r="I1466" s="7">
        <f>-H1466/G1466</f>
        <v/>
      </c>
      <c r="J1466" s="11" t="n">
        <v>44600</v>
      </c>
      <c r="K1466" s="6" t="n">
        <v>1000</v>
      </c>
      <c r="L1466" s="6" t="n">
        <v>1</v>
      </c>
      <c r="M1466" s="7">
        <f>IF(N1466=0,+L1466+H1466,0)</f>
        <v/>
      </c>
      <c r="N1466" s="7">
        <f>IF((+G1466-K1466)=0,0,+G1466-K1466)</f>
        <v/>
      </c>
      <c r="O1466" s="7">
        <f>IF(N1466=0,0,(L1466+H1466)/-N1466)</f>
        <v/>
      </c>
      <c r="P1466" s="7">
        <f>VLOOKUP(OPERAC[[#This Row],[especie]],[1]!ESPECIES[#All],6,0)</f>
        <v/>
      </c>
      <c r="Q1466" s="7">
        <f>IF(N1466&lt;&gt;0,P1466*N1466,0)</f>
        <v/>
      </c>
      <c r="R1466" s="8">
        <f>IF(Q1466&lt;&gt;0,Q1466+H1466+L1466,0)</f>
        <v/>
      </c>
      <c r="S1466" s="9">
        <f>VLOOKUP(OPERAC[[#This Row],[especie]],[1]!ESPECIES[#Data],9,FALSE)</f>
        <v/>
      </c>
    </row>
    <row r="1467">
      <c r="A1467" s="4" t="n">
        <v>18663</v>
      </c>
      <c r="B1467" s="5" t="n">
        <v>44188</v>
      </c>
      <c r="C1467" s="13" t="inlineStr">
        <is>
          <t>VTA</t>
        </is>
      </c>
      <c r="D1467" s="13" t="n">
        <v>41</v>
      </c>
      <c r="E1467" s="10">
        <f>IF(D1467&gt;0,VLOOKUP(OPERAC[[#This Row],[COD CART]],[1]!MatrizCortoLargoCyl[#All],3,0),"")</f>
        <v/>
      </c>
      <c r="F1467" s="13" t="inlineStr">
        <is>
          <t>STOR</t>
        </is>
      </c>
      <c r="G1467" s="6" t="n">
        <v>5</v>
      </c>
      <c r="H1467" s="6" t="n">
        <v>-167.2696</v>
      </c>
      <c r="I1467" s="7">
        <f>-H1467/G1467</f>
        <v/>
      </c>
      <c r="J1467" s="11" t="n"/>
      <c r="K1467" s="6" t="n"/>
      <c r="L1467" s="6" t="n"/>
      <c r="M1467" s="7">
        <f>IF(N1467=0,+L1467+H1467,0)</f>
        <v/>
      </c>
      <c r="N1467" s="7">
        <f>IF((+G1467-K1467)=0,0,+G1467-K1467)</f>
        <v/>
      </c>
      <c r="O1467" s="7">
        <f>IF(N1467=0,0,(L1467+H1467)/-N1467)</f>
        <v/>
      </c>
      <c r="P1467" s="7">
        <f>VLOOKUP(OPERAC[[#This Row],[especie]],[1]!ESPECIES[#All],6,0)</f>
        <v/>
      </c>
      <c r="Q1467" s="7">
        <f>IF(N1467&lt;&gt;0,P1467*N1467,0)</f>
        <v/>
      </c>
      <c r="R1467" s="8">
        <f>IF(Q1467&lt;&gt;0,Q1467+H1467+L1467,0)</f>
        <v/>
      </c>
      <c r="S1467" s="9">
        <f>VLOOKUP(OPERAC[[#This Row],[especie]],[1]!ESPECIES[#Data],9,FALSE)</f>
        <v/>
      </c>
    </row>
    <row r="1468">
      <c r="A1468" s="4" t="n">
        <v>18663</v>
      </c>
      <c r="B1468" s="5" t="n">
        <v>44263</v>
      </c>
      <c r="C1468" s="13" t="inlineStr">
        <is>
          <t>VTA</t>
        </is>
      </c>
      <c r="D1468" s="13" t="n">
        <v>41</v>
      </c>
      <c r="E1468" s="10">
        <f>IF(D1468&gt;0,VLOOKUP(OPERAC[[#This Row],[COD CART]],[1]!MatrizCortoLargoCyl[#All],3,0),"")</f>
        <v/>
      </c>
      <c r="F1468" s="13" t="inlineStr">
        <is>
          <t>TCEHY</t>
        </is>
      </c>
      <c r="G1468" s="6" t="n">
        <v>2</v>
      </c>
      <c r="H1468" s="6" t="n">
        <v>-167.32</v>
      </c>
      <c r="I1468" s="7">
        <f>-H1468/G1468</f>
        <v/>
      </c>
      <c r="J1468" s="11" t="n"/>
      <c r="K1468" s="6" t="n"/>
      <c r="L1468" s="6" t="n"/>
      <c r="M1468" s="7">
        <f>IF(N1468=0,+L1468+H1468,0)</f>
        <v/>
      </c>
      <c r="N1468" s="7">
        <f>IF((+G1468-K1468)=0,0,+G1468-K1468)</f>
        <v/>
      </c>
      <c r="O1468" s="7">
        <f>IF(N1468=0,0,(L1468+H1468)/-N1468)</f>
        <v/>
      </c>
      <c r="P1468" s="7">
        <f>VLOOKUP(OPERAC[[#This Row],[especie]],[1]!ESPECIES[#All],6,0)</f>
        <v/>
      </c>
      <c r="Q1468" s="7">
        <f>IF(N1468&lt;&gt;0,P1468*N1468,0)</f>
        <v/>
      </c>
      <c r="R1468" s="8">
        <f>IF(Q1468&lt;&gt;0,Q1468+H1468+L1468,0)</f>
        <v/>
      </c>
      <c r="S1468" s="9">
        <f>VLOOKUP(OPERAC[[#This Row],[especie]],[1]!ESPECIES[#Data],9,FALSE)</f>
        <v/>
      </c>
    </row>
    <row r="1469">
      <c r="A1469" s="4" t="n">
        <v>22431</v>
      </c>
      <c r="B1469" s="5" t="n">
        <v>44643</v>
      </c>
      <c r="C1469" s="13" t="inlineStr">
        <is>
          <t>VTA</t>
        </is>
      </c>
      <c r="D1469" s="13" t="n">
        <v>31</v>
      </c>
      <c r="E1469" s="10">
        <f>IF(D1469&gt;0,VLOOKUP(OPERAC[[#This Row],[COD CART]],[1]!MatrizCortoLargoCyl[#All],3,0),"")</f>
        <v/>
      </c>
      <c r="F1469" s="13" t="inlineStr">
        <is>
          <t>LAC</t>
        </is>
      </c>
      <c r="G1469" s="6" t="n">
        <v>5</v>
      </c>
      <c r="H1469" s="6" t="n">
        <v>-167.565992</v>
      </c>
      <c r="I1469" s="7">
        <f>-H1469/G1469</f>
        <v/>
      </c>
      <c r="J1469" s="11" t="n">
        <v>44693</v>
      </c>
      <c r="K1469" s="6" t="n">
        <v>5</v>
      </c>
      <c r="L1469" s="6" t="n">
        <v>101.09</v>
      </c>
      <c r="M1469" s="7">
        <f>IF(N1469=0,+L1469+H1469,0)</f>
        <v/>
      </c>
      <c r="N1469" s="7">
        <f>IF((+G1469-K1469)=0,0,+G1469-K1469)</f>
        <v/>
      </c>
      <c r="O1469" s="7">
        <f>IF(N1469=0,0,(L1469+H1469)/-N1469)</f>
        <v/>
      </c>
      <c r="P1469" s="7">
        <f>VLOOKUP(OPERAC[[#This Row],[especie]],[1]!ESPECIES[#All],6,0)</f>
        <v/>
      </c>
      <c r="Q1469" s="7">
        <f>IF(N1469&lt;&gt;0,P1469*N1469,0)</f>
        <v/>
      </c>
      <c r="R1469" s="8">
        <f>IF(Q1469&lt;&gt;0,Q1469+H1469+L1469,0)</f>
        <v/>
      </c>
      <c r="S1469" s="9">
        <f>VLOOKUP(OPERAC[[#This Row],[especie]],[1]!ESPECIES[#Data],9,FALSE)</f>
        <v/>
      </c>
    </row>
    <row r="1470">
      <c r="A1470" s="4" t="n">
        <v>18669</v>
      </c>
      <c r="B1470" s="5" t="n">
        <v>44482</v>
      </c>
      <c r="C1470" s="13" t="inlineStr">
        <is>
          <t>VTA</t>
        </is>
      </c>
      <c r="D1470" s="13" t="n">
        <v>41</v>
      </c>
      <c r="E1470" s="10">
        <f>IF(D1470&gt;0,VLOOKUP(OPERAC[[#This Row],[COD CART]],[1]!MatrizCortoLargoCyl[#All],3,0),"")</f>
        <v/>
      </c>
      <c r="F1470" s="13" t="inlineStr">
        <is>
          <t>VXX</t>
        </is>
      </c>
      <c r="G1470" s="6" t="n">
        <v>7</v>
      </c>
      <c r="H1470" s="6" t="n">
        <v>-172.143</v>
      </c>
      <c r="I1470" s="7">
        <f>-H1470/G1470</f>
        <v/>
      </c>
      <c r="J1470" s="11" t="n"/>
      <c r="K1470" s="6" t="n"/>
      <c r="L1470" s="6" t="n"/>
      <c r="M1470" s="7">
        <f>IF(N1470=0,+L1470+H1470,0)</f>
        <v/>
      </c>
      <c r="N1470" s="7">
        <f>IF((+G1470-K1470)=0,0,+G1470-K1470)</f>
        <v/>
      </c>
      <c r="O1470" s="7">
        <f>IF(N1470=0,0,(L1470+H1470)/-N1470)</f>
        <v/>
      </c>
      <c r="P1470" s="7">
        <f>VLOOKUP(OPERAC[[#This Row],[especie]],[1]!ESPECIES[#All],6,0)</f>
        <v/>
      </c>
      <c r="Q1470" s="7">
        <f>IF(N1470&lt;&gt;0,P1470*N1470,0)</f>
        <v/>
      </c>
      <c r="R1470" s="8">
        <f>IF(Q1470&lt;&gt;0,Q1470+H1470+L1470,0)</f>
        <v/>
      </c>
      <c r="S1470" s="9">
        <f>VLOOKUP(OPERAC[[#This Row],[especie]],[1]!ESPECIES[#Data],9,FALSE)</f>
        <v/>
      </c>
    </row>
    <row r="1471">
      <c r="A1471" s="4" t="n">
        <v>13238</v>
      </c>
      <c r="B1471" s="5" t="n">
        <v>44581</v>
      </c>
      <c r="C1471" s="13" t="inlineStr">
        <is>
          <t>VTA</t>
        </is>
      </c>
      <c r="D1471" s="13" t="n">
        <v>40</v>
      </c>
      <c r="E1471" s="10">
        <f>IF(D1471&gt;0,VLOOKUP(OPERAC[[#This Row],[COD CART]],[1]!MatrizCortoLargoCyl[#All],3,0),"")</f>
        <v/>
      </c>
      <c r="F1471" s="13" t="inlineStr">
        <is>
          <t>ROKU</t>
        </is>
      </c>
      <c r="G1471" s="6" t="n">
        <v>1</v>
      </c>
      <c r="H1471" s="6" t="n">
        <v>-174.275</v>
      </c>
      <c r="I1471" s="7">
        <f>-H1471/G1471</f>
        <v/>
      </c>
      <c r="J1471" s="11" t="n">
        <v>44606</v>
      </c>
      <c r="K1471" s="6">
        <f>+OPERAC[[#This Row],[cantidad]]</f>
        <v/>
      </c>
      <c r="L1471" s="6">
        <f>+OPERAC[[#This Row],[cantidad venta]]*160.574</f>
        <v/>
      </c>
      <c r="M1471" s="7">
        <f>IF(N1471=0,+L1471+H1471,0)</f>
        <v/>
      </c>
      <c r="N1471" s="7">
        <f>IF((+G1471-K1471)=0,0,+G1471-K1471)</f>
        <v/>
      </c>
      <c r="O1471" s="7">
        <f>IF(N1471=0,0,(L1471+H1471)/-N1471)</f>
        <v/>
      </c>
      <c r="P1471" s="7">
        <f>VLOOKUP(OPERAC[[#This Row],[especie]],[1]!ESPECIES[#All],6,0)</f>
        <v/>
      </c>
      <c r="Q1471" s="7">
        <f>IF(N1471&lt;&gt;0,P1471*N1471,0)</f>
        <v/>
      </c>
      <c r="R1471" s="8">
        <f>IF(Q1471&lt;&gt;0,Q1471+H1471+L1471,0)</f>
        <v/>
      </c>
      <c r="S1471" s="9">
        <f>VLOOKUP(OPERAC[[#This Row],[especie]],[1]!ESPECIES[#Data],9,FALSE)</f>
        <v/>
      </c>
    </row>
    <row r="1472">
      <c r="A1472" s="4" t="n">
        <v>15192</v>
      </c>
      <c r="B1472" s="5" t="n">
        <v>44592</v>
      </c>
      <c r="C1472" s="13" t="inlineStr">
        <is>
          <t>VTA</t>
        </is>
      </c>
      <c r="D1472" s="13" t="n">
        <v>40</v>
      </c>
      <c r="E1472" s="10">
        <f>IF(D1472&gt;0,VLOOKUP(OPERAC[[#This Row],[COD CART]],[1]!MatrizCortoLargoCyl[#All],3,0),"")</f>
        <v/>
      </c>
      <c r="F1472" s="13" t="inlineStr">
        <is>
          <t>AAPL</t>
        </is>
      </c>
      <c r="G1472" s="6" t="n">
        <v>1</v>
      </c>
      <c r="H1472" s="6" t="n">
        <v>-175.344</v>
      </c>
      <c r="I1472" s="7">
        <f>-H1472/G1472</f>
        <v/>
      </c>
      <c r="J1472" s="11" t="n">
        <v>44600</v>
      </c>
      <c r="K1472" s="6" t="n">
        <v>1</v>
      </c>
      <c r="L1472" s="6" t="n">
        <v>169.8</v>
      </c>
      <c r="M1472" s="7">
        <f>IF(N1472=0,+L1472+H1472,0)</f>
        <v/>
      </c>
      <c r="N1472" s="7">
        <f>IF((+G1472-K1472)=0,0,+G1472-K1472)</f>
        <v/>
      </c>
      <c r="O1472" s="7">
        <f>IF(N1472=0,0,(L1472+H1472)/-N1472)</f>
        <v/>
      </c>
      <c r="P1472" s="7">
        <f>VLOOKUP(OPERAC[[#This Row],[especie]],[1]!ESPECIES[#All],6,0)</f>
        <v/>
      </c>
      <c r="Q1472" s="7">
        <f>IF(N1472&lt;&gt;0,P1472*N1472,0)</f>
        <v/>
      </c>
      <c r="R1472" s="8">
        <f>IF(Q1472&lt;&gt;0,Q1472+H1472+L1472,0)</f>
        <v/>
      </c>
      <c r="S1472" s="9">
        <f>VLOOKUP(OPERAC[[#This Row],[especie]],[1]!ESPECIES[#Data],9,FALSE)</f>
        <v/>
      </c>
    </row>
    <row r="1473">
      <c r="A1473" s="4" t="n">
        <v>3838</v>
      </c>
      <c r="B1473" s="5" t="n">
        <v>44523</v>
      </c>
      <c r="C1473" s="13" t="inlineStr">
        <is>
          <t>VTA</t>
        </is>
      </c>
      <c r="D1473" s="13" t="n">
        <v>40</v>
      </c>
      <c r="E1473" s="10">
        <f>IF(D1473&gt;0,VLOOKUP(OPERAC[[#This Row],[COD CART]],[1]!MatrizCortoLargoCyl[#All],3,0),"")</f>
        <v/>
      </c>
      <c r="F1473" s="13" t="inlineStr">
        <is>
          <t>EDU</t>
        </is>
      </c>
      <c r="G1473" s="6" t="n">
        <v>100</v>
      </c>
      <c r="H1473" s="6">
        <f>-177.949+0.026*OPERAC[[#This Row],[cantidad]]</f>
        <v/>
      </c>
      <c r="I1473" s="7">
        <f>-H1473/G1473</f>
        <v/>
      </c>
      <c r="J1473" s="11" t="n">
        <v>44617</v>
      </c>
      <c r="K1473" s="6" t="n">
        <v>100</v>
      </c>
      <c r="L1473" s="6">
        <f>+OPERAC[[#This Row],[cantidad venta]]*1.364</f>
        <v/>
      </c>
      <c r="M1473" s="7">
        <f>IF(N1473=0,+L1473+H1473,0)</f>
        <v/>
      </c>
      <c r="N1473" s="7">
        <f>IF((+G1473-K1473)=0,0,+G1473-K1473)</f>
        <v/>
      </c>
      <c r="O1473" s="7">
        <f>IF(N1473=0,0,(L1473+H1473)/-N1473)</f>
        <v/>
      </c>
      <c r="P1473" s="7">
        <f>VLOOKUP(OPERAC[[#This Row],[especie]],[1]!ESPECIES[#All],6,0)</f>
        <v/>
      </c>
      <c r="Q1473" s="7">
        <f>IF(N1473&lt;&gt;0,P1473*N1473,0)</f>
        <v/>
      </c>
      <c r="R1473" s="8">
        <f>IF(Q1473&lt;&gt;0,Q1473+H1473+L1473,0)</f>
        <v/>
      </c>
      <c r="S1473" s="9">
        <f>VLOOKUP(OPERAC[[#This Row],[especie]],[1]!ESPECIES[#Data],9,FALSE)</f>
        <v/>
      </c>
    </row>
    <row r="1474">
      <c r="A1474" s="4" t="n">
        <v>8066</v>
      </c>
      <c r="B1474" s="5" t="n">
        <v>44523</v>
      </c>
      <c r="C1474" s="13" t="inlineStr">
        <is>
          <t>VTA</t>
        </is>
      </c>
      <c r="D1474" s="13" t="n">
        <v>40</v>
      </c>
      <c r="E1474" s="10">
        <f>IF(D1474&gt;0,VLOOKUP(OPERAC[[#This Row],[COD CART]],[1]!MatrizCortoLargoCyl[#All],3,0),"")</f>
        <v/>
      </c>
      <c r="F1474" s="13" t="inlineStr">
        <is>
          <t>EDU</t>
        </is>
      </c>
      <c r="G1474" s="6" t="n">
        <v>100</v>
      </c>
      <c r="H1474" s="6">
        <f>-177.949+0.026*OPERAC[[#This Row],[cantidad]]</f>
        <v/>
      </c>
      <c r="I1474" s="7">
        <f>-H1474/G1474</f>
        <v/>
      </c>
      <c r="J1474" s="11" t="n">
        <v>44615</v>
      </c>
      <c r="K1474" s="6" t="n">
        <v>100</v>
      </c>
      <c r="L1474" s="6" t="n">
        <v>149.477</v>
      </c>
      <c r="M1474" s="7">
        <f>IF(N1474=0,+L1474+H1474,0)</f>
        <v/>
      </c>
      <c r="N1474" s="7">
        <f>IF((+G1474-K1474)=0,0,+G1474-K1474)</f>
        <v/>
      </c>
      <c r="O1474" s="7">
        <f>IF(N1474=0,0,(L1474+H1474)/-N1474)</f>
        <v/>
      </c>
      <c r="P1474" s="7">
        <f>VLOOKUP(OPERAC[[#This Row],[especie]],[1]!ESPECIES[#All],6,0)</f>
        <v/>
      </c>
      <c r="Q1474" s="7">
        <f>IF(N1474&lt;&gt;0,P1474*N1474,0)</f>
        <v/>
      </c>
      <c r="R1474" s="8">
        <f>IF(Q1474&lt;&gt;0,Q1474+H1474+L1474,0)</f>
        <v/>
      </c>
      <c r="S1474" s="9">
        <f>VLOOKUP(OPERAC[[#This Row],[especie]],[1]!ESPECIES[#Data],9,FALSE)</f>
        <v/>
      </c>
    </row>
    <row r="1475">
      <c r="A1475" s="4" t="n">
        <v>13204</v>
      </c>
      <c r="B1475" s="5" t="n">
        <v>44523</v>
      </c>
      <c r="C1475" s="13" t="inlineStr">
        <is>
          <t>VTA</t>
        </is>
      </c>
      <c r="D1475" s="13" t="n">
        <v>40</v>
      </c>
      <c r="E1475" s="10">
        <f>IF(D1475&gt;0,VLOOKUP(OPERAC[[#This Row],[COD CART]],[1]!MatrizCortoLargoCyl[#All],3,0),"")</f>
        <v/>
      </c>
      <c r="F1475" s="13" t="inlineStr">
        <is>
          <t>EDU</t>
        </is>
      </c>
      <c r="G1475" s="6" t="n">
        <v>100</v>
      </c>
      <c r="H1475" s="6">
        <f>-177.949+0.026*OPERAC[[#This Row],[cantidad]]</f>
        <v/>
      </c>
      <c r="I1475" s="7">
        <f>-H1475/G1475</f>
        <v/>
      </c>
      <c r="J1475" s="11" t="n">
        <v>44614</v>
      </c>
      <c r="K1475" s="6">
        <f>+OPERAC[[#This Row],[cantidad]]</f>
        <v/>
      </c>
      <c r="L1475" s="6">
        <f>1.483*OPERAC[[#This Row],[cantidad venta]]</f>
        <v/>
      </c>
      <c r="M1475" s="7">
        <f>IF(N1475=0,+L1475+H1475,0)</f>
        <v/>
      </c>
      <c r="N1475" s="7">
        <f>IF((+G1475-K1475)=0,0,+G1475-K1475)</f>
        <v/>
      </c>
      <c r="O1475" s="7">
        <f>IF(N1475=0,0,(L1475+H1475)/-N1475)</f>
        <v/>
      </c>
      <c r="P1475" s="7">
        <f>VLOOKUP(OPERAC[[#This Row],[especie]],[1]!ESPECIES[#All],6,0)</f>
        <v/>
      </c>
      <c r="Q1475" s="7">
        <f>IF(N1475&lt;&gt;0,P1475*N1475,0)</f>
        <v/>
      </c>
      <c r="R1475" s="8">
        <f>IF(Q1475&lt;&gt;0,Q1475+H1475+L1475,0)</f>
        <v/>
      </c>
      <c r="S1475" s="9">
        <f>VLOOKUP(OPERAC[[#This Row],[especie]],[1]!ESPECIES[#Data],9,FALSE)</f>
        <v/>
      </c>
    </row>
    <row r="1476">
      <c r="A1476" s="4" t="n">
        <v>18677</v>
      </c>
      <c r="B1476" s="5" t="n">
        <v>44523</v>
      </c>
      <c r="C1476" s="13" t="inlineStr">
        <is>
          <t>VTA</t>
        </is>
      </c>
      <c r="D1476" s="13" t="n">
        <v>40</v>
      </c>
      <c r="E1476" s="10">
        <f>IF(D1476&gt;0,VLOOKUP(OPERAC[[#This Row],[COD CART]],[1]!MatrizCortoLargoCyl[#All],3,0),"")</f>
        <v/>
      </c>
      <c r="F1476" s="13" t="inlineStr">
        <is>
          <t>EDU</t>
        </is>
      </c>
      <c r="G1476" s="6" t="n">
        <v>100</v>
      </c>
      <c r="H1476" s="6">
        <f>-177.949+0.026*OPERAC[[#This Row],[cantidad]]</f>
        <v/>
      </c>
      <c r="I1476" s="7">
        <f>-H1476/G1476</f>
        <v/>
      </c>
      <c r="J1476" s="11" t="n">
        <v>44615</v>
      </c>
      <c r="K1476" s="6" t="n">
        <v>100</v>
      </c>
      <c r="L1476" s="6">
        <f>+OPERAC[[#This Row],[cantidad venta]]*1.495</f>
        <v/>
      </c>
      <c r="M1476" s="7">
        <f>IF(N1476=0,+L1476+H1476,0)</f>
        <v/>
      </c>
      <c r="N1476" s="7">
        <f>IF((+G1476-K1476)=0,0,+G1476-K1476)</f>
        <v/>
      </c>
      <c r="O1476" s="7">
        <f>IF(N1476=0,0,(L1476+H1476)/-N1476)</f>
        <v/>
      </c>
      <c r="P1476" s="7">
        <f>VLOOKUP(OPERAC[[#This Row],[especie]],[1]!ESPECIES[#All],6,0)</f>
        <v/>
      </c>
      <c r="Q1476" s="7">
        <f>IF(N1476&lt;&gt;0,P1476*N1476,0)</f>
        <v/>
      </c>
      <c r="R1476" s="8">
        <f>IF(Q1476&lt;&gt;0,Q1476+H1476+L1476,0)</f>
        <v/>
      </c>
      <c r="S1476" s="9">
        <f>VLOOKUP(OPERAC[[#This Row],[especie]],[1]!ESPECIES[#Data],9,FALSE)</f>
        <v/>
      </c>
    </row>
    <row r="1477">
      <c r="A1477" s="4" t="n">
        <v>18690</v>
      </c>
      <c r="B1477" s="5" t="n">
        <v>44523</v>
      </c>
      <c r="C1477" s="13" t="inlineStr">
        <is>
          <t>VTA</t>
        </is>
      </c>
      <c r="D1477" s="13" t="n">
        <v>40</v>
      </c>
      <c r="E1477" s="10">
        <f>IF(D1477&gt;0,VLOOKUP(OPERAC[[#This Row],[COD CART]],[1]!MatrizCortoLargoCyl[#All],3,0),"")</f>
        <v/>
      </c>
      <c r="F1477" s="13" t="inlineStr">
        <is>
          <t>EDU</t>
        </is>
      </c>
      <c r="G1477" s="6" t="n">
        <v>100</v>
      </c>
      <c r="H1477" s="6">
        <f>-177.949+0.026*OPERAC[[#This Row],[cantidad]]</f>
        <v/>
      </c>
      <c r="I1477" s="7">
        <f>-H1477/G1477</f>
        <v/>
      </c>
      <c r="J1477" s="11" t="n">
        <v>44630</v>
      </c>
      <c r="K1477" s="6" t="n">
        <v>100</v>
      </c>
      <c r="L1477" s="6">
        <f>+OPERAC[[#This Row],[cantidad venta]]*1.137</f>
        <v/>
      </c>
      <c r="M1477" s="7">
        <f>IF(N1477=0,+L1477+H1477,0)</f>
        <v/>
      </c>
      <c r="N1477" s="7">
        <f>IF((+G1477-K1477)=0,0,+G1477-K1477)</f>
        <v/>
      </c>
      <c r="O1477" s="7">
        <f>IF(N1477=0,0,(L1477+H1477)/-N1477)</f>
        <v/>
      </c>
      <c r="P1477" s="7">
        <f>VLOOKUP(OPERAC[[#This Row],[especie]],[1]!ESPECIES[#All],6,0)</f>
        <v/>
      </c>
      <c r="Q1477" s="7">
        <f>IF(N1477&lt;&gt;0,P1477*N1477,0)</f>
        <v/>
      </c>
      <c r="R1477" s="8">
        <f>IF(Q1477&lt;&gt;0,Q1477+H1477+L1477,0)</f>
        <v/>
      </c>
      <c r="S1477" s="9">
        <f>VLOOKUP(OPERAC[[#This Row],[especie]],[1]!ESPECIES[#Data],9,FALSE)</f>
        <v/>
      </c>
    </row>
    <row r="1478">
      <c r="A1478" s="4" t="n">
        <v>19934</v>
      </c>
      <c r="B1478" s="5" t="n">
        <v>44523</v>
      </c>
      <c r="C1478" s="13" t="inlineStr">
        <is>
          <t>VTA</t>
        </is>
      </c>
      <c r="D1478" s="13" t="n">
        <v>40</v>
      </c>
      <c r="E1478" s="10">
        <f>IF(D1478&gt;0,VLOOKUP(OPERAC[[#This Row],[COD CART]],[1]!MatrizCortoLargoCyl[#All],3,0),"")</f>
        <v/>
      </c>
      <c r="F1478" s="13" t="inlineStr">
        <is>
          <t>EDU</t>
        </is>
      </c>
      <c r="G1478" s="6" t="n">
        <v>100</v>
      </c>
      <c r="H1478" s="6">
        <f>-177.949+0.026*OPERAC[[#This Row],[cantidad]]</f>
        <v/>
      </c>
      <c r="I1478" s="7">
        <f>-H1478/G1478</f>
        <v/>
      </c>
      <c r="J1478" s="11" t="n">
        <v>44615</v>
      </c>
      <c r="K1478" s="6" t="n">
        <v>100</v>
      </c>
      <c r="L1478" s="6">
        <f>+OPERAC[[#This Row],[cantidad venta]]*1.495</f>
        <v/>
      </c>
      <c r="M1478" s="7">
        <f>IF(N1478=0,+L1478+H1478,0)</f>
        <v/>
      </c>
      <c r="N1478" s="7">
        <f>IF((+G1478-K1478)=0,0,+G1478-K1478)</f>
        <v/>
      </c>
      <c r="O1478" s="7">
        <f>IF(N1478=0,0,(L1478+H1478)/-N1478)</f>
        <v/>
      </c>
      <c r="P1478" s="7">
        <f>VLOOKUP(OPERAC[[#This Row],[especie]],[1]!ESPECIES[#All],6,0)</f>
        <v/>
      </c>
      <c r="Q1478" s="7">
        <f>IF(N1478&lt;&gt;0,P1478*N1478,0)</f>
        <v/>
      </c>
      <c r="R1478" s="8">
        <f>IF(Q1478&lt;&gt;0,Q1478+H1478+L1478,0)</f>
        <v/>
      </c>
      <c r="S1478" s="9">
        <f>VLOOKUP(OPERAC[[#This Row],[especie]],[1]!ESPECIES[#Data],9,FALSE)</f>
        <v/>
      </c>
    </row>
    <row r="1479">
      <c r="A1479" s="4" t="n">
        <v>12671</v>
      </c>
      <c r="B1479" s="5" t="n">
        <v>44721</v>
      </c>
      <c r="C1479" s="13" t="inlineStr">
        <is>
          <t>VTA</t>
        </is>
      </c>
      <c r="D1479" s="13" t="n">
        <v>32</v>
      </c>
      <c r="E1479" s="10">
        <f>IF(D1479&gt;0,VLOOKUP(OPERAC[[#This Row],[COD CART]],[1]!MatrizCortoLargoCyl[#All],3,0),"")</f>
        <v/>
      </c>
      <c r="F1479" s="13" t="inlineStr">
        <is>
          <t>SESN/CYP/1,00/20-01-23</t>
        </is>
      </c>
      <c r="G1479" s="6" t="n">
        <v>1000</v>
      </c>
      <c r="H1479" s="6">
        <f>-0.176*OPERAC[[#This Row],[cantidad]]</f>
        <v/>
      </c>
      <c r="I1479" s="7">
        <f>-H1479/G1479</f>
        <v/>
      </c>
      <c r="J1479" s="5" t="n"/>
      <c r="K1479" s="6" t="n"/>
      <c r="L1479" s="6" t="n"/>
      <c r="M1479" s="7">
        <f>IF(N1479=0,+L1479+H1479,0)</f>
        <v/>
      </c>
      <c r="N1479" s="7">
        <f>IF((+G1479-K1479)=0,0,+G1479-K1479)</f>
        <v/>
      </c>
      <c r="O1479" s="7">
        <f>IF(N1479=0,0,(L1479+H1479)/-N1479)</f>
        <v/>
      </c>
      <c r="P1479" s="7">
        <f>VLOOKUP(OPERAC[[#This Row],[especie]],[1]!ESPECIES[#All],6,0)</f>
        <v/>
      </c>
      <c r="Q1479" s="7">
        <f>IF(N1479&lt;&gt;0,P1479*N1479,0)</f>
        <v/>
      </c>
      <c r="R1479" s="8">
        <f>IF(Q1479&lt;&gt;0,Q1479+H1479+L1479,0)</f>
        <v/>
      </c>
      <c r="S1479" s="9">
        <f>VLOOKUP(OPERAC[[#This Row],[especie]],[1]!ESPECIES[#Data],9,FALSE)</f>
        <v/>
      </c>
    </row>
    <row r="1480">
      <c r="A1480" s="4" t="n">
        <v>3832</v>
      </c>
      <c r="B1480" s="5" t="n">
        <v>44459</v>
      </c>
      <c r="C1480" s="13" t="inlineStr">
        <is>
          <t>VTA</t>
        </is>
      </c>
      <c r="D1480" s="13" t="n">
        <v>40</v>
      </c>
      <c r="E1480" s="10">
        <f>IF(D1480&gt;0,VLOOKUP(OPERAC[[#This Row],[COD CART]],[1]!MatrizCortoLargoCyl[#All],3,0),"")</f>
        <v/>
      </c>
      <c r="F1480" s="13" t="inlineStr">
        <is>
          <t>EDU</t>
        </is>
      </c>
      <c r="G1480" s="6" t="n">
        <v>20</v>
      </c>
      <c r="H1480" s="6" t="n">
        <v>-176.1</v>
      </c>
      <c r="I1480" s="7">
        <f>-H1480/G1480</f>
        <v/>
      </c>
      <c r="J1480" s="11" t="n">
        <v>44662</v>
      </c>
      <c r="K1480" s="6" t="n">
        <v>20</v>
      </c>
      <c r="L1480" s="6" t="n">
        <v>214.384</v>
      </c>
      <c r="M1480" s="7">
        <f>IF(N1480=0,+L1480+H1480,0)</f>
        <v/>
      </c>
      <c r="N1480" s="7">
        <f>IF((+G1480-K1480)=0,0,+G1480-K1480)</f>
        <v/>
      </c>
      <c r="O1480" s="7">
        <f>IF(N1480=0,0,(L1480+H1480)/-N1480)</f>
        <v/>
      </c>
      <c r="P1480" s="7">
        <f>VLOOKUP(OPERAC[[#This Row],[especie]],[1]!ESPECIES[#All],6,0)</f>
        <v/>
      </c>
      <c r="Q1480" s="7">
        <f>IF(N1480&lt;&gt;0,P1480*N1480,0)</f>
        <v/>
      </c>
      <c r="R1480" s="8">
        <f>IF(Q1480&lt;&gt;0,Q1480+H1480+L1480,0)</f>
        <v/>
      </c>
      <c r="S1480" s="9">
        <f>VLOOKUP(OPERAC[[#This Row],[especie]],[1]!ESPECIES[#Data],9,FALSE)</f>
        <v/>
      </c>
    </row>
    <row r="1481">
      <c r="A1481" s="4" t="n">
        <v>18663</v>
      </c>
      <c r="B1481" s="5" t="n">
        <v>44197</v>
      </c>
      <c r="C1481" s="13" t="inlineStr">
        <is>
          <t>VTA</t>
        </is>
      </c>
      <c r="D1481" s="13" t="n">
        <v>41</v>
      </c>
      <c r="E1481" s="10">
        <f>IF(D1481&gt;0,VLOOKUP(OPERAC[[#This Row],[COD CART]],[1]!MatrizCortoLargoCyl[#All],3,0),"")</f>
        <v/>
      </c>
      <c r="F1481" s="13" t="inlineStr">
        <is>
          <t>CNTTQ</t>
        </is>
      </c>
      <c r="G1481" s="6" t="n">
        <v>63</v>
      </c>
      <c r="H1481" s="6">
        <f>-70.5-76.96-29.6</f>
        <v/>
      </c>
      <c r="I1481" s="7">
        <f>-H1481/G1481</f>
        <v/>
      </c>
      <c r="J1481" s="11" t="n"/>
      <c r="K1481" s="6" t="n"/>
      <c r="L1481" s="6" t="n"/>
      <c r="M1481" s="7">
        <f>IF(N1481=0,+L1481+H1481,0)</f>
        <v/>
      </c>
      <c r="N1481" s="7">
        <f>IF((+G1481-K1481)=0,0,+G1481-K1481)</f>
        <v/>
      </c>
      <c r="O1481" s="7">
        <f>IF(N1481=0,0,(L1481+H1481)/-N1481)</f>
        <v/>
      </c>
      <c r="P1481" s="7">
        <f>VLOOKUP(OPERAC[[#This Row],[especie]],[1]!ESPECIES[#All],6,0)</f>
        <v/>
      </c>
      <c r="Q1481" s="7">
        <f>IF(N1481&lt;&gt;0,P1481*N1481,0)</f>
        <v/>
      </c>
      <c r="R1481" s="8">
        <f>IF(Q1481&lt;&gt;0,Q1481+H1481+L1481,0)</f>
        <v/>
      </c>
      <c r="S1481" s="9">
        <f>VLOOKUP(OPERAC[[#This Row],[especie]],[1]!ESPECIES[#Data],9,FALSE)</f>
        <v/>
      </c>
    </row>
    <row r="1482">
      <c r="A1482" s="4" t="n">
        <v>2211</v>
      </c>
      <c r="B1482" s="5" t="n">
        <v>44448</v>
      </c>
      <c r="C1482" s="13" t="inlineStr">
        <is>
          <t>VTA</t>
        </is>
      </c>
      <c r="D1482" s="13" t="n">
        <v>41</v>
      </c>
      <c r="E1482" s="10">
        <f>IF(D1482&gt;0,VLOOKUP(OPERAC[[#This Row],[COD CART]],[1]!MatrizCortoLargoCyl[#All],3,0),"")</f>
        <v/>
      </c>
      <c r="F1482" s="13" t="inlineStr">
        <is>
          <t>KGC</t>
        </is>
      </c>
      <c r="G1482" s="6" t="n">
        <v>30</v>
      </c>
      <c r="H1482" s="6" t="n">
        <v>-178.055</v>
      </c>
      <c r="I1482" s="7">
        <f>-H1482/G1482</f>
        <v/>
      </c>
      <c r="J1482" s="11" t="n">
        <v>44683</v>
      </c>
      <c r="K1482" s="6" t="n">
        <v>30</v>
      </c>
      <c r="L1482" s="6" t="n">
        <v>146.792</v>
      </c>
      <c r="M1482" s="7">
        <f>IF(N1482=0,+L1482+H1482,0)</f>
        <v/>
      </c>
      <c r="N1482" s="7">
        <f>IF((+G1482-K1482)=0,0,+G1482-K1482)</f>
        <v/>
      </c>
      <c r="O1482" s="7">
        <f>IF(N1482=0,0,(L1482+H1482)/-N1482)</f>
        <v/>
      </c>
      <c r="P1482" s="7">
        <f>VLOOKUP(OPERAC[[#This Row],[especie]],[1]!ESPECIES[#All],6,0)</f>
        <v/>
      </c>
      <c r="Q1482" s="7">
        <f>IF(N1482&lt;&gt;0,P1482*N1482,0)</f>
        <v/>
      </c>
      <c r="R1482" s="8">
        <f>IF(Q1482&lt;&gt;0,Q1482+H1482+L1482,0)</f>
        <v/>
      </c>
      <c r="S1482" s="9">
        <f>VLOOKUP(OPERAC[[#This Row],[especie]],[1]!ESPECIES[#Data],9,FALSE)</f>
        <v/>
      </c>
    </row>
    <row r="1483">
      <c r="A1483" s="4" t="n">
        <v>2211</v>
      </c>
      <c r="B1483" s="5" t="n">
        <v>44683</v>
      </c>
      <c r="C1483" s="13" t="inlineStr">
        <is>
          <t>VTA</t>
        </is>
      </c>
      <c r="D1483" s="13" t="n">
        <v>41</v>
      </c>
      <c r="E1483" s="10">
        <f>IF(D1483&gt;0,VLOOKUP(OPERAC[[#This Row],[COD CART]],[1]!MatrizCortoLargoCyl[#All],3,0),"")</f>
        <v/>
      </c>
      <c r="F1483" s="13" t="inlineStr">
        <is>
          <t>SPXL</t>
        </is>
      </c>
      <c r="G1483" s="6" t="n">
        <v>2</v>
      </c>
      <c r="H1483" s="6" t="n">
        <v>-180.622</v>
      </c>
      <c r="I1483" s="7">
        <f>-H1483/G1483</f>
        <v/>
      </c>
      <c r="J1483" s="11" t="n"/>
      <c r="K1483" s="6" t="n"/>
      <c r="L1483" s="6" t="n"/>
      <c r="M1483" s="7">
        <f>IF(N1483=0,+L1483+H1483,0)</f>
        <v/>
      </c>
      <c r="N1483" s="7">
        <f>IF((+G1483-K1483)=0,0,+G1483-K1483)</f>
        <v/>
      </c>
      <c r="O1483" s="7">
        <f>IF(N1483=0,0,(L1483+H1483)/-N1483)</f>
        <v/>
      </c>
      <c r="P1483" s="7">
        <f>VLOOKUP(OPERAC[[#This Row],[especie]],[1]!ESPECIES[#All],6,0)</f>
        <v/>
      </c>
      <c r="Q1483" s="7">
        <f>IF(N1483&lt;&gt;0,P1483*N1483,0)</f>
        <v/>
      </c>
      <c r="R1483" s="8">
        <f>IF(Q1483&lt;&gt;0,Q1483+H1483+L1483,0)</f>
        <v/>
      </c>
      <c r="S1483" s="9">
        <f>VLOOKUP(OPERAC[[#This Row],[especie]],[1]!ESPECIES[#Data],9,FALSE)</f>
        <v/>
      </c>
    </row>
    <row r="1484">
      <c r="A1484" s="4" t="n">
        <v>13271</v>
      </c>
      <c r="B1484" s="5" t="n">
        <v>44708</v>
      </c>
      <c r="C1484" s="13" t="inlineStr">
        <is>
          <t>VTA</t>
        </is>
      </c>
      <c r="D1484" s="13" t="n">
        <v>42</v>
      </c>
      <c r="E1484" s="10">
        <f>IF(D1484&gt;0,VLOOKUP(OPERAC[[#This Row],[COD CART]],[1]!MatrizCortoLargoCyl[#All],3,0),"")</f>
        <v/>
      </c>
      <c r="F1484" s="13" t="inlineStr">
        <is>
          <t>ACB</t>
        </is>
      </c>
      <c r="G1484" s="6" t="n">
        <v>100</v>
      </c>
      <c r="H1484" s="6" t="n">
        <v>-182.5320788805</v>
      </c>
      <c r="I1484" s="7">
        <f>-H1484/G1484</f>
        <v/>
      </c>
      <c r="J1484" s="5" t="n">
        <v>44726</v>
      </c>
      <c r="K1484" s="6" t="n">
        <v>100</v>
      </c>
      <c r="L1484" s="6" t="n">
        <v>124.14</v>
      </c>
      <c r="M1484" s="7">
        <f>IF(N1484=0,+L1484+H1484,0)</f>
        <v/>
      </c>
      <c r="N1484" s="7">
        <f>IF((+G1484-K1484)=0,0,+G1484-K1484)</f>
        <v/>
      </c>
      <c r="O1484" s="7">
        <f>IF(N1484=0,0,(L1484+H1484)/-N1484)</f>
        <v/>
      </c>
      <c r="P1484" s="7">
        <f>VLOOKUP(OPERAC[[#This Row],[especie]],[1]!ESPECIES[#All],6,0)</f>
        <v/>
      </c>
      <c r="Q1484" s="7">
        <f>IF(N1484&lt;&gt;0,P1484*N1484,0)</f>
        <v/>
      </c>
      <c r="R1484" s="8">
        <f>IF(Q1484&lt;&gt;0,Q1484+H1484+L1484,0)</f>
        <v/>
      </c>
      <c r="S1484" s="9">
        <f>VLOOKUP(OPERAC[[#This Row],[especie]],[1]!ESPECIES[#Data],9,FALSE)</f>
        <v/>
      </c>
    </row>
    <row r="1485">
      <c r="A1485" s="4" t="n">
        <v>3818</v>
      </c>
      <c r="B1485" s="5" t="n">
        <v>44459</v>
      </c>
      <c r="C1485" s="13" t="inlineStr">
        <is>
          <t>VTA</t>
        </is>
      </c>
      <c r="D1485" s="13" t="n">
        <v>40</v>
      </c>
      <c r="E1485" s="10">
        <f>IF(D1485&gt;0,VLOOKUP(OPERAC[[#This Row],[COD CART]],[1]!MatrizCortoLargoCyl[#All],3,0),"")</f>
        <v/>
      </c>
      <c r="F1485" s="13" t="inlineStr">
        <is>
          <t>EDU</t>
        </is>
      </c>
      <c r="G1485" s="6" t="n">
        <v>200</v>
      </c>
      <c r="H1485" s="6">
        <f>-191.19+0.04*OPERAC[[#This Row],[cantidad]]</f>
        <v/>
      </c>
      <c r="I1485" s="7">
        <f>-H1485/G1485</f>
        <v/>
      </c>
      <c r="J1485" s="11" t="n">
        <v>44600</v>
      </c>
      <c r="K1485" s="6" t="n">
        <v>200</v>
      </c>
      <c r="L1485" s="6" t="n">
        <v>1.7</v>
      </c>
      <c r="M1485" s="7">
        <f>IF(N1485=0,+L1485+H1485,0)</f>
        <v/>
      </c>
      <c r="N1485" s="7">
        <f>IF((+G1485-K1485)=0,0,+G1485-K1485)</f>
        <v/>
      </c>
      <c r="O1485" s="7">
        <f>IF(N1485=0,0,(L1485+H1485)/-N1485)</f>
        <v/>
      </c>
      <c r="P1485" s="7">
        <f>VLOOKUP(OPERAC[[#This Row],[especie]],[1]!ESPECIES[#All],6,0)</f>
        <v/>
      </c>
      <c r="Q1485" s="7">
        <f>IF(N1485&lt;&gt;0,P1485*N1485,0)</f>
        <v/>
      </c>
      <c r="R1485" s="8">
        <f>IF(Q1485&lt;&gt;0,Q1485+H1485+L1485,0)</f>
        <v/>
      </c>
      <c r="S1485" s="9">
        <f>VLOOKUP(OPERAC[[#This Row],[especie]],[1]!ESPECIES[#Data],9,FALSE)</f>
        <v/>
      </c>
    </row>
    <row r="1486">
      <c r="A1486" s="4" t="n">
        <v>18663</v>
      </c>
      <c r="B1486" s="5" t="n">
        <v>44411</v>
      </c>
      <c r="C1486" s="13" t="inlineStr">
        <is>
          <t>VTA</t>
        </is>
      </c>
      <c r="D1486" s="13" t="n">
        <v>41</v>
      </c>
      <c r="E1486" s="10">
        <f>IF(D1486&gt;0,VLOOKUP(OPERAC[[#This Row],[COD CART]],[1]!MatrizCortoLargoCyl[#All],3,0),"")</f>
        <v/>
      </c>
      <c r="F1486" s="13" t="inlineStr">
        <is>
          <t>EDU</t>
        </is>
      </c>
      <c r="G1486" s="6" t="n">
        <v>10</v>
      </c>
      <c r="H1486" s="6" t="n">
        <v>-183.7</v>
      </c>
      <c r="I1486" s="7">
        <f>-H1486/G1486</f>
        <v/>
      </c>
      <c r="J1486" s="11" t="n"/>
      <c r="K1486" s="6" t="n"/>
      <c r="L1486" s="6" t="n"/>
      <c r="M1486" s="7">
        <f>IF(N1486=0,+L1486+H1486,0)</f>
        <v/>
      </c>
      <c r="N1486" s="7">
        <f>IF((+G1486-K1486)=0,0,+G1486-K1486)</f>
        <v/>
      </c>
      <c r="O1486" s="7">
        <f>IF(N1486=0,0,(L1486+H1486)/-N1486)</f>
        <v/>
      </c>
      <c r="P1486" s="7">
        <f>VLOOKUP(OPERAC[[#This Row],[especie]],[1]!ESPECIES[#All],6,0)</f>
        <v/>
      </c>
      <c r="Q1486" s="7">
        <f>IF(N1486&lt;&gt;0,P1486*N1486,0)</f>
        <v/>
      </c>
      <c r="R1486" s="8">
        <f>IF(Q1486&lt;&gt;0,Q1486+H1486+L1486,0)</f>
        <v/>
      </c>
      <c r="S1486" s="9">
        <f>VLOOKUP(OPERAC[[#This Row],[especie]],[1]!ESPECIES[#Data],9,FALSE)</f>
        <v/>
      </c>
    </row>
    <row r="1487">
      <c r="A1487" s="4" t="n">
        <v>18669</v>
      </c>
      <c r="B1487" s="5" t="n">
        <v>44484</v>
      </c>
      <c r="C1487" s="13" t="inlineStr">
        <is>
          <t>VTA</t>
        </is>
      </c>
      <c r="D1487" s="13" t="n">
        <v>41</v>
      </c>
      <c r="E1487" s="10">
        <f>IF(D1487&gt;0,VLOOKUP(OPERAC[[#This Row],[COD CART]],[1]!MatrizCortoLargoCyl[#All],3,0),"")</f>
        <v/>
      </c>
      <c r="F1487" s="13" t="inlineStr">
        <is>
          <t>VXX</t>
        </is>
      </c>
      <c r="G1487" s="6" t="n">
        <v>8</v>
      </c>
      <c r="H1487" s="6" t="n">
        <v>-183.972</v>
      </c>
      <c r="I1487" s="7">
        <f>-H1487/G1487</f>
        <v/>
      </c>
      <c r="J1487" s="11" t="n"/>
      <c r="K1487" s="6" t="n"/>
      <c r="L1487" s="6" t="n"/>
      <c r="M1487" s="7">
        <f>IF(N1487=0,+L1487+H1487,0)</f>
        <v/>
      </c>
      <c r="N1487" s="7">
        <f>IF((+G1487-K1487)=0,0,+G1487-K1487)</f>
        <v/>
      </c>
      <c r="O1487" s="7">
        <f>IF(N1487=0,0,(L1487+H1487)/-N1487)</f>
        <v/>
      </c>
      <c r="P1487" s="7">
        <f>VLOOKUP(OPERAC[[#This Row],[especie]],[1]!ESPECIES[#All],6,0)</f>
        <v/>
      </c>
      <c r="Q1487" s="7">
        <f>IF(N1487&lt;&gt;0,P1487*N1487,0)</f>
        <v/>
      </c>
      <c r="R1487" s="8">
        <f>IF(Q1487&lt;&gt;0,Q1487+H1487+L1487,0)</f>
        <v/>
      </c>
      <c r="S1487" s="9">
        <f>VLOOKUP(OPERAC[[#This Row],[especie]],[1]!ESPECIES[#Data],9,FALSE)</f>
        <v/>
      </c>
    </row>
    <row r="1488">
      <c r="A1488" s="4" t="n">
        <v>3832</v>
      </c>
      <c r="B1488" s="5" t="n">
        <v>44662</v>
      </c>
      <c r="C1488" s="13" t="inlineStr">
        <is>
          <t>VTA</t>
        </is>
      </c>
      <c r="D1488" s="13" t="n">
        <v>42</v>
      </c>
      <c r="E1488" s="10">
        <f>IF(D1488&gt;0,VLOOKUP(OPERAC[[#This Row],[COD CART]],[1]!MatrizCortoLargoCyl[#All],3,0),"")</f>
        <v/>
      </c>
      <c r="F1488" s="13" t="inlineStr">
        <is>
          <t>HYDR</t>
        </is>
      </c>
      <c r="G1488" s="6" t="n">
        <v>10</v>
      </c>
      <c r="H1488" s="6" t="n">
        <v>-184.41418</v>
      </c>
      <c r="I1488" s="7">
        <f>-H1488/G1488</f>
        <v/>
      </c>
      <c r="J1488" s="11" t="n">
        <v>44713</v>
      </c>
      <c r="K1488" s="6" t="n">
        <v>10</v>
      </c>
      <c r="L1488" s="6" t="n">
        <v>139.66</v>
      </c>
      <c r="M1488" s="7">
        <f>IF(N1488=0,+L1488+H1488,0)</f>
        <v/>
      </c>
      <c r="N1488" s="7">
        <f>IF((+G1488-K1488)=0,0,+G1488-K1488)</f>
        <v/>
      </c>
      <c r="O1488" s="7">
        <f>IF(N1488=0,0,(L1488+H1488)/-N1488)</f>
        <v/>
      </c>
      <c r="P1488" s="7">
        <f>VLOOKUP(OPERAC[[#This Row],[especie]],[1]!ESPECIES[#All],6,0)</f>
        <v/>
      </c>
      <c r="Q1488" s="7">
        <f>IF(N1488&lt;&gt;0,P1488*N1488,0)</f>
        <v/>
      </c>
      <c r="R1488" s="8">
        <f>IF(Q1488&lt;&gt;0,Q1488+H1488+L1488,0)</f>
        <v/>
      </c>
      <c r="S1488" s="9">
        <f>VLOOKUP(OPERAC[[#This Row],[especie]],[1]!ESPECIES[#Data],9,FALSE)</f>
        <v/>
      </c>
    </row>
    <row r="1489">
      <c r="A1489" s="4" t="n">
        <v>18663</v>
      </c>
      <c r="B1489" s="5" t="n">
        <v>44250</v>
      </c>
      <c r="C1489" s="13" t="inlineStr">
        <is>
          <t>VTA</t>
        </is>
      </c>
      <c r="D1489" s="13" t="n">
        <v>41</v>
      </c>
      <c r="E1489" s="10">
        <f>IF(D1489&gt;0,VLOOKUP(OPERAC[[#This Row],[COD CART]],[1]!MatrizCortoLargoCyl[#All],3,0),"")</f>
        <v/>
      </c>
      <c r="F1489" s="13" t="inlineStr">
        <is>
          <t>VIOT</t>
        </is>
      </c>
      <c r="G1489" s="6" t="n">
        <v>15</v>
      </c>
      <c r="H1489" s="6" t="n">
        <v>-184.5568</v>
      </c>
      <c r="I1489" s="7">
        <f>-H1489/G1489</f>
        <v/>
      </c>
      <c r="J1489" s="11" t="n"/>
      <c r="K1489" s="6" t="n"/>
      <c r="L1489" s="6" t="n"/>
      <c r="M1489" s="7">
        <f>IF(N1489=0,+L1489+H1489,0)</f>
        <v/>
      </c>
      <c r="N1489" s="7">
        <f>IF((+G1489-K1489)=0,0,+G1489-K1489)</f>
        <v/>
      </c>
      <c r="O1489" s="7">
        <f>IF(N1489=0,0,(L1489+H1489)/-N1489)</f>
        <v/>
      </c>
      <c r="P1489" s="7">
        <f>VLOOKUP(OPERAC[[#This Row],[especie]],[1]!ESPECIES[#All],6,0)</f>
        <v/>
      </c>
      <c r="Q1489" s="7">
        <f>IF(N1489&lt;&gt;0,P1489*N1489,0)</f>
        <v/>
      </c>
      <c r="R1489" s="8">
        <f>IF(Q1489&lt;&gt;0,Q1489+H1489+L1489,0)</f>
        <v/>
      </c>
      <c r="S1489" s="9">
        <f>VLOOKUP(OPERAC[[#This Row],[especie]],[1]!ESPECIES[#Data],9,FALSE)</f>
        <v/>
      </c>
    </row>
    <row r="1490">
      <c r="A1490" s="4" t="n">
        <v>18663</v>
      </c>
      <c r="B1490" s="5" t="n">
        <v>44607</v>
      </c>
      <c r="C1490" s="13" t="inlineStr">
        <is>
          <t>VTA</t>
        </is>
      </c>
      <c r="D1490" s="13" t="n">
        <v>41</v>
      </c>
      <c r="E1490" s="10">
        <f>IF(D1490&gt;0,VLOOKUP(OPERAC[[#This Row],[COD CART]],[1]!MatrizCortoLargoCyl[#All],3,0),"")</f>
        <v/>
      </c>
      <c r="F1490" s="13" t="inlineStr">
        <is>
          <t>TCEHY</t>
        </is>
      </c>
      <c r="G1490" s="6" t="n">
        <v>3</v>
      </c>
      <c r="H1490" s="6" t="n">
        <v>-184.88944</v>
      </c>
      <c r="I1490" s="7">
        <f>-H1490/G1490</f>
        <v/>
      </c>
      <c r="J1490" s="11" t="n"/>
      <c r="K1490" s="6" t="n"/>
      <c r="L1490" s="6" t="n"/>
      <c r="M1490" s="7">
        <f>IF(N1490=0,+L1490+H1490,0)</f>
        <v/>
      </c>
      <c r="N1490" s="7">
        <f>IF((+G1490-K1490)=0,0,+G1490-K1490)</f>
        <v/>
      </c>
      <c r="O1490" s="7">
        <f>IF(N1490=0,0,(L1490+H1490)/-N1490)</f>
        <v/>
      </c>
      <c r="P1490" s="7">
        <f>VLOOKUP(OPERAC[[#This Row],[especie]],[1]!ESPECIES[#All],6,0)</f>
        <v/>
      </c>
      <c r="Q1490" s="7">
        <f>IF(N1490&lt;&gt;0,P1490*N1490,0)</f>
        <v/>
      </c>
      <c r="R1490" s="8">
        <f>IF(Q1490&lt;&gt;0,Q1490+H1490+L1490,0)</f>
        <v/>
      </c>
      <c r="S1490" s="9">
        <f>VLOOKUP(OPERAC[[#This Row],[especie]],[1]!ESPECIES[#Data],9,FALSE)</f>
        <v/>
      </c>
    </row>
    <row r="1491">
      <c r="A1491" s="4" t="n">
        <v>16818</v>
      </c>
      <c r="B1491" s="5" t="n">
        <v>44662</v>
      </c>
      <c r="C1491" s="13" t="inlineStr">
        <is>
          <t>VTA</t>
        </is>
      </c>
      <c r="D1491" s="13" t="n">
        <v>42</v>
      </c>
      <c r="E1491" s="10">
        <f>IF(D1491&gt;0,VLOOKUP(OPERAC[[#This Row],[COD CART]],[1]!MatrizCortoLargoCyl[#All],3,0),"")</f>
        <v/>
      </c>
      <c r="F1491" s="13" t="inlineStr">
        <is>
          <t>HYDR</t>
        </is>
      </c>
      <c r="G1491" s="6" t="n">
        <v>10</v>
      </c>
      <c r="H1491" s="6" t="n">
        <v>-184.96672</v>
      </c>
      <c r="I1491" s="7">
        <f>-H1491/G1491</f>
        <v/>
      </c>
      <c r="J1491" s="11" t="n"/>
      <c r="K1491" s="6" t="n"/>
      <c r="L1491" s="6" t="n"/>
      <c r="M1491" s="7">
        <f>IF(N1491=0,+L1491+H1491,0)</f>
        <v/>
      </c>
      <c r="N1491" s="7">
        <f>IF((+G1491-K1491)=0,0,+G1491-K1491)</f>
        <v/>
      </c>
      <c r="O1491" s="7">
        <f>IF(N1491=0,0,(L1491+H1491)/-N1491)</f>
        <v/>
      </c>
      <c r="P1491" s="7">
        <f>VLOOKUP(OPERAC[[#This Row],[especie]],[1]!ESPECIES[#All],6,0)</f>
        <v/>
      </c>
      <c r="Q1491" s="7">
        <f>IF(N1491&lt;&gt;0,P1491*N1491,0)</f>
        <v/>
      </c>
      <c r="R1491" s="8">
        <f>IF(Q1491&lt;&gt;0,Q1491+H1491+L1491,0)</f>
        <v/>
      </c>
      <c r="S1491" s="9">
        <f>VLOOKUP(OPERAC[[#This Row],[especie]],[1]!ESPECIES[#Data],9,FALSE)</f>
        <v/>
      </c>
    </row>
    <row r="1492">
      <c r="A1492" s="4" t="n">
        <v>1800</v>
      </c>
      <c r="B1492" s="5" t="n">
        <v>44705</v>
      </c>
      <c r="C1492" s="13" t="inlineStr">
        <is>
          <t>VTA</t>
        </is>
      </c>
      <c r="D1492" s="13" t="n">
        <v>42</v>
      </c>
      <c r="E1492" s="10">
        <f>IF(D1492&gt;0,VLOOKUP(OPERAC[[#This Row],[COD CART]],[1]!MatrizCortoLargoCyl[#All],3,0),"")</f>
        <v/>
      </c>
      <c r="F1492" s="13" t="inlineStr">
        <is>
          <t>AMD</t>
        </is>
      </c>
      <c r="G1492" s="6" t="n">
        <v>2</v>
      </c>
      <c r="H1492" s="6" t="n">
        <v>-185.00708</v>
      </c>
      <c r="I1492" s="7">
        <f>-H1492/G1492</f>
        <v/>
      </c>
      <c r="J1492" s="5" t="n">
        <v>44707</v>
      </c>
      <c r="K1492" s="6">
        <f>+OPERAC[[#This Row],[cantidad]]</f>
        <v/>
      </c>
      <c r="L1492" s="6">
        <f>+OPERAC[[#This Row],[cantidad venta]]*94.8</f>
        <v/>
      </c>
      <c r="M1492" s="7">
        <f>IF(N1492=0,+L1492+H1492,0)</f>
        <v/>
      </c>
      <c r="N1492" s="7">
        <f>IF((+G1492-K1492)=0,0,+G1492-K1492)</f>
        <v/>
      </c>
      <c r="O1492" s="7">
        <f>IF(N1492=0,0,(L1492+H1492)/-N1492)</f>
        <v/>
      </c>
      <c r="P1492" s="7">
        <f>VLOOKUP(OPERAC[[#This Row],[especie]],[1]!ESPECIES[#All],6,0)</f>
        <v/>
      </c>
      <c r="Q1492" s="7">
        <f>IF(N1492&lt;&gt;0,P1492*N1492,0)</f>
        <v/>
      </c>
      <c r="R1492" s="8">
        <f>IF(Q1492&lt;&gt;0,Q1492+H1492+L1492,0)</f>
        <v/>
      </c>
      <c r="S1492" s="9">
        <f>VLOOKUP(OPERAC[[#This Row],[especie]],[1]!ESPECIES[#Data],9,FALSE)</f>
        <v/>
      </c>
    </row>
    <row r="1493">
      <c r="A1493" s="4" t="n">
        <v>2306</v>
      </c>
      <c r="B1493" s="5" t="n">
        <v>44662</v>
      </c>
      <c r="C1493" s="13" t="inlineStr">
        <is>
          <t>VTA</t>
        </is>
      </c>
      <c r="D1493" s="13" t="n">
        <v>42</v>
      </c>
      <c r="E1493" s="10">
        <f>IF(D1493&gt;0,VLOOKUP(OPERAC[[#This Row],[COD CART]],[1]!MatrizCortoLargoCyl[#All],3,0),"")</f>
        <v/>
      </c>
      <c r="F1493" s="13" t="inlineStr">
        <is>
          <t>HYDR</t>
        </is>
      </c>
      <c r="G1493" s="6" t="n">
        <v>10</v>
      </c>
      <c r="H1493" s="6" t="n">
        <v>-185.70344</v>
      </c>
      <c r="I1493" s="7">
        <f>-H1493/G1493</f>
        <v/>
      </c>
      <c r="J1493" s="11" t="n">
        <v>44693</v>
      </c>
      <c r="K1493" s="6">
        <f>+OPERAC[[#This Row],[cantidad]]</f>
        <v/>
      </c>
      <c r="L1493" s="6">
        <f>+OPERAC[[#This Row],[cantidad venta]]*12.027</f>
        <v/>
      </c>
      <c r="M1493" s="7">
        <f>IF(N1493=0,+L1493+H1493,0)</f>
        <v/>
      </c>
      <c r="N1493" s="7">
        <f>IF((+G1493-K1493)=0,0,+G1493-K1493)</f>
        <v/>
      </c>
      <c r="O1493" s="7">
        <f>IF(N1493=0,0,(L1493+H1493)/-N1493)</f>
        <v/>
      </c>
      <c r="P1493" s="7">
        <f>VLOOKUP(OPERAC[[#This Row],[especie]],[1]!ESPECIES[#All],6,0)</f>
        <v/>
      </c>
      <c r="Q1493" s="7">
        <f>IF(N1493&lt;&gt;0,P1493*N1493,0)</f>
        <v/>
      </c>
      <c r="R1493" s="8">
        <f>IF(Q1493&lt;&gt;0,Q1493+H1493+L1493,0)</f>
        <v/>
      </c>
      <c r="S1493" s="9">
        <f>VLOOKUP(OPERAC[[#This Row],[especie]],[1]!ESPECIES[#Data],9,FALSE)</f>
        <v/>
      </c>
    </row>
    <row r="1494">
      <c r="A1494" s="4" t="n">
        <v>3838</v>
      </c>
      <c r="B1494" s="5" t="n">
        <v>44662</v>
      </c>
      <c r="C1494" s="13" t="inlineStr">
        <is>
          <t>VTA</t>
        </is>
      </c>
      <c r="D1494" s="13" t="n">
        <v>42</v>
      </c>
      <c r="E1494" s="10">
        <f>IF(D1494&gt;0,VLOOKUP(OPERAC[[#This Row],[COD CART]],[1]!MatrizCortoLargoCyl[#All],3,0),"")</f>
        <v/>
      </c>
      <c r="F1494" s="13" t="inlineStr">
        <is>
          <t>HYDR</t>
        </is>
      </c>
      <c r="G1494" s="6" t="n">
        <v>10</v>
      </c>
      <c r="H1494" s="6" t="n">
        <v>-185.70344</v>
      </c>
      <c r="I1494" s="7">
        <f>-H1494/G1494</f>
        <v/>
      </c>
      <c r="J1494" s="11" t="n">
        <v>44693</v>
      </c>
      <c r="K1494" s="6">
        <f>+OPERAC[[#This Row],[cantidad]]</f>
        <v/>
      </c>
      <c r="L1494" s="6">
        <f>+OPERAC[[#This Row],[cantidad venta]]*12.027</f>
        <v/>
      </c>
      <c r="M1494" s="7">
        <f>IF(N1494=0,+L1494+H1494,0)</f>
        <v/>
      </c>
      <c r="N1494" s="7">
        <f>IF((+G1494-K1494)=0,0,+G1494-K1494)</f>
        <v/>
      </c>
      <c r="O1494" s="7">
        <f>IF(N1494=0,0,(L1494+H1494)/-N1494)</f>
        <v/>
      </c>
      <c r="P1494" s="7">
        <f>VLOOKUP(OPERAC[[#This Row],[especie]],[1]!ESPECIES[#All],6,0)</f>
        <v/>
      </c>
      <c r="Q1494" s="7">
        <f>IF(N1494&lt;&gt;0,P1494*N1494,0)</f>
        <v/>
      </c>
      <c r="R1494" s="8">
        <f>IF(Q1494&lt;&gt;0,Q1494+H1494+L1494,0)</f>
        <v/>
      </c>
      <c r="S1494" s="9">
        <f>VLOOKUP(OPERAC[[#This Row],[especie]],[1]!ESPECIES[#Data],9,FALSE)</f>
        <v/>
      </c>
    </row>
    <row r="1495">
      <c r="A1495" s="4" t="n">
        <v>7867</v>
      </c>
      <c r="B1495" s="5" t="n">
        <v>44662</v>
      </c>
      <c r="C1495" s="13" t="inlineStr">
        <is>
          <t>VTA</t>
        </is>
      </c>
      <c r="D1495" s="13" t="n">
        <v>42</v>
      </c>
      <c r="E1495" s="10">
        <f>IF(D1495&gt;0,VLOOKUP(OPERAC[[#This Row],[COD CART]],[1]!MatrizCortoLargoCyl[#All],3,0),"")</f>
        <v/>
      </c>
      <c r="F1495" s="13" t="inlineStr">
        <is>
          <t>HYDR</t>
        </is>
      </c>
      <c r="G1495" s="6" t="n">
        <v>10</v>
      </c>
      <c r="H1495" s="6" t="n">
        <v>-185.70344</v>
      </c>
      <c r="I1495" s="7">
        <f>-H1495/G1495</f>
        <v/>
      </c>
      <c r="J1495" s="11" t="n">
        <v>44693</v>
      </c>
      <c r="K1495" s="6">
        <f>+OPERAC[[#This Row],[cantidad]]</f>
        <v/>
      </c>
      <c r="L1495" s="6">
        <f>+OPERAC[[#This Row],[cantidad venta]]*12.027</f>
        <v/>
      </c>
      <c r="M1495" s="7">
        <f>IF(N1495=0,+L1495+H1495,0)</f>
        <v/>
      </c>
      <c r="N1495" s="7">
        <f>IF((+G1495-K1495)=0,0,+G1495-K1495)</f>
        <v/>
      </c>
      <c r="O1495" s="7">
        <f>IF(N1495=0,0,(L1495+H1495)/-N1495)</f>
        <v/>
      </c>
      <c r="P1495" s="7">
        <f>VLOOKUP(OPERAC[[#This Row],[especie]],[1]!ESPECIES[#All],6,0)</f>
        <v/>
      </c>
      <c r="Q1495" s="7">
        <f>IF(N1495&lt;&gt;0,P1495*N1495,0)</f>
        <v/>
      </c>
      <c r="R1495" s="8">
        <f>IF(Q1495&lt;&gt;0,Q1495+H1495+L1495,0)</f>
        <v/>
      </c>
      <c r="S1495" s="9">
        <f>VLOOKUP(OPERAC[[#This Row],[especie]],[1]!ESPECIES[#Data],9,FALSE)</f>
        <v/>
      </c>
    </row>
    <row r="1496">
      <c r="A1496" s="4" t="n">
        <v>7919</v>
      </c>
      <c r="B1496" s="5" t="n">
        <v>44662</v>
      </c>
      <c r="C1496" s="13" t="inlineStr">
        <is>
          <t>VTA</t>
        </is>
      </c>
      <c r="D1496" s="13" t="n">
        <v>42</v>
      </c>
      <c r="E1496" s="10">
        <f>IF(D1496&gt;0,VLOOKUP(OPERAC[[#This Row],[COD CART]],[1]!MatrizCortoLargoCyl[#All],3,0),"")</f>
        <v/>
      </c>
      <c r="F1496" s="13" t="inlineStr">
        <is>
          <t>HYDR</t>
        </is>
      </c>
      <c r="G1496" s="6" t="n">
        <v>10</v>
      </c>
      <c r="H1496" s="6" t="n">
        <v>-185.70344</v>
      </c>
      <c r="I1496" s="7">
        <f>-H1496/G1496</f>
        <v/>
      </c>
      <c r="J1496" s="11" t="n">
        <v>44693</v>
      </c>
      <c r="K1496" s="6">
        <f>+OPERAC[[#This Row],[cantidad]]</f>
        <v/>
      </c>
      <c r="L1496" s="6">
        <f>+OPERAC[[#This Row],[cantidad venta]]*12.027</f>
        <v/>
      </c>
      <c r="M1496" s="7">
        <f>IF(N1496=0,+L1496+H1496,0)</f>
        <v/>
      </c>
      <c r="N1496" s="7">
        <f>IF((+G1496-K1496)=0,0,+G1496-K1496)</f>
        <v/>
      </c>
      <c r="O1496" s="7">
        <f>IF(N1496=0,0,(L1496+H1496)/-N1496)</f>
        <v/>
      </c>
      <c r="P1496" s="7">
        <f>VLOOKUP(OPERAC[[#This Row],[especie]],[1]!ESPECIES[#All],6,0)</f>
        <v/>
      </c>
      <c r="Q1496" s="7">
        <f>IF(N1496&lt;&gt;0,P1496*N1496,0)</f>
        <v/>
      </c>
      <c r="R1496" s="8">
        <f>IF(Q1496&lt;&gt;0,Q1496+H1496+L1496,0)</f>
        <v/>
      </c>
      <c r="S1496" s="9">
        <f>VLOOKUP(OPERAC[[#This Row],[especie]],[1]!ESPECIES[#Data],9,FALSE)</f>
        <v/>
      </c>
    </row>
    <row r="1497">
      <c r="A1497" s="4" t="n">
        <v>8066</v>
      </c>
      <c r="B1497" s="5" t="n">
        <v>44662</v>
      </c>
      <c r="C1497" s="13" t="inlineStr">
        <is>
          <t>VTA</t>
        </is>
      </c>
      <c r="D1497" s="13" t="n">
        <v>42</v>
      </c>
      <c r="E1497" s="10">
        <f>IF(D1497&gt;0,VLOOKUP(OPERAC[[#This Row],[COD CART]],[1]!MatrizCortoLargoCyl[#All],3,0),"")</f>
        <v/>
      </c>
      <c r="F1497" s="13" t="inlineStr">
        <is>
          <t>HYDR</t>
        </is>
      </c>
      <c r="G1497" s="6" t="n">
        <v>10</v>
      </c>
      <c r="H1497" s="6" t="n">
        <v>-185.70344</v>
      </c>
      <c r="I1497" s="7">
        <f>-H1497/G1497</f>
        <v/>
      </c>
      <c r="J1497" s="11" t="n">
        <v>44693</v>
      </c>
      <c r="K1497" s="6">
        <f>+OPERAC[[#This Row],[cantidad]]</f>
        <v/>
      </c>
      <c r="L1497" s="6">
        <f>+OPERAC[[#This Row],[cantidad venta]]*12.027</f>
        <v/>
      </c>
      <c r="M1497" s="7">
        <f>IF(N1497=0,+L1497+H1497,0)</f>
        <v/>
      </c>
      <c r="N1497" s="7">
        <f>IF((+G1497-K1497)=0,0,+G1497-K1497)</f>
        <v/>
      </c>
      <c r="O1497" s="7">
        <f>IF(N1497=0,0,(L1497+H1497)/-N1497)</f>
        <v/>
      </c>
      <c r="P1497" s="7">
        <f>VLOOKUP(OPERAC[[#This Row],[especie]],[1]!ESPECIES[#All],6,0)</f>
        <v/>
      </c>
      <c r="Q1497" s="7">
        <f>IF(N1497&lt;&gt;0,P1497*N1497,0)</f>
        <v/>
      </c>
      <c r="R1497" s="8">
        <f>IF(Q1497&lt;&gt;0,Q1497+H1497+L1497,0)</f>
        <v/>
      </c>
      <c r="S1497" s="9">
        <f>VLOOKUP(OPERAC[[#This Row],[especie]],[1]!ESPECIES[#Data],9,FALSE)</f>
        <v/>
      </c>
    </row>
    <row r="1498">
      <c r="A1498" s="4" t="n">
        <v>12686</v>
      </c>
      <c r="B1498" s="5" t="n">
        <v>44662</v>
      </c>
      <c r="C1498" s="13" t="inlineStr">
        <is>
          <t>VTA</t>
        </is>
      </c>
      <c r="D1498" s="13" t="n">
        <v>42</v>
      </c>
      <c r="E1498" s="10">
        <f>IF(D1498&gt;0,VLOOKUP(OPERAC[[#This Row],[COD CART]],[1]!MatrizCortoLargoCyl[#All],3,0),"")</f>
        <v/>
      </c>
      <c r="F1498" s="13" t="inlineStr">
        <is>
          <t>HYDR</t>
        </is>
      </c>
      <c r="G1498" s="6" t="n">
        <v>10</v>
      </c>
      <c r="H1498" s="6" t="n">
        <v>-185.70344</v>
      </c>
      <c r="I1498" s="7">
        <f>-H1498/G1498</f>
        <v/>
      </c>
      <c r="J1498" s="11" t="n">
        <v>44693</v>
      </c>
      <c r="K1498" s="6">
        <f>+OPERAC[[#This Row],[cantidad]]</f>
        <v/>
      </c>
      <c r="L1498" s="6">
        <f>+OPERAC[[#This Row],[cantidad venta]]*12.027</f>
        <v/>
      </c>
      <c r="M1498" s="7">
        <f>IF(N1498=0,+L1498+H1498,0)</f>
        <v/>
      </c>
      <c r="N1498" s="7">
        <f>IF((+G1498-K1498)=0,0,+G1498-K1498)</f>
        <v/>
      </c>
      <c r="O1498" s="7">
        <f>IF(N1498=0,0,(L1498+H1498)/-N1498)</f>
        <v/>
      </c>
      <c r="P1498" s="7">
        <f>VLOOKUP(OPERAC[[#This Row],[especie]],[1]!ESPECIES[#All],6,0)</f>
        <v/>
      </c>
      <c r="Q1498" s="7">
        <f>IF(N1498&lt;&gt;0,P1498*N1498,0)</f>
        <v/>
      </c>
      <c r="R1498" s="8">
        <f>IF(Q1498&lt;&gt;0,Q1498+H1498+L1498,0)</f>
        <v/>
      </c>
      <c r="S1498" s="9">
        <f>VLOOKUP(OPERAC[[#This Row],[especie]],[1]!ESPECIES[#Data],9,FALSE)</f>
        <v/>
      </c>
    </row>
    <row r="1499">
      <c r="A1499" s="4" t="n">
        <v>12688</v>
      </c>
      <c r="B1499" s="5" t="n">
        <v>44662</v>
      </c>
      <c r="C1499" s="13" t="inlineStr">
        <is>
          <t>VTA</t>
        </is>
      </c>
      <c r="D1499" s="13" t="n">
        <v>42</v>
      </c>
      <c r="E1499" s="10">
        <f>IF(D1499&gt;0,VLOOKUP(OPERAC[[#This Row],[COD CART]],[1]!MatrizCortoLargoCyl[#All],3,0),"")</f>
        <v/>
      </c>
      <c r="F1499" s="13" t="inlineStr">
        <is>
          <t>HYDR</t>
        </is>
      </c>
      <c r="G1499" s="6" t="n">
        <v>10</v>
      </c>
      <c r="H1499" s="6" t="n">
        <v>-185.70344</v>
      </c>
      <c r="I1499" s="7">
        <f>-H1499/G1499</f>
        <v/>
      </c>
      <c r="J1499" s="11" t="n">
        <v>44693</v>
      </c>
      <c r="K1499" s="6">
        <f>+OPERAC[[#This Row],[cantidad]]</f>
        <v/>
      </c>
      <c r="L1499" s="6">
        <f>+OPERAC[[#This Row],[cantidad venta]]*12.027</f>
        <v/>
      </c>
      <c r="M1499" s="7">
        <f>IF(N1499=0,+L1499+H1499,0)</f>
        <v/>
      </c>
      <c r="N1499" s="7">
        <f>IF((+G1499-K1499)=0,0,+G1499-K1499)</f>
        <v/>
      </c>
      <c r="O1499" s="7">
        <f>IF(N1499=0,0,(L1499+H1499)/-N1499)</f>
        <v/>
      </c>
      <c r="P1499" s="7">
        <f>VLOOKUP(OPERAC[[#This Row],[especie]],[1]!ESPECIES[#All],6,0)</f>
        <v/>
      </c>
      <c r="Q1499" s="7">
        <f>IF(N1499&lt;&gt;0,P1499*N1499,0)</f>
        <v/>
      </c>
      <c r="R1499" s="8">
        <f>IF(Q1499&lt;&gt;0,Q1499+H1499+L1499,0)</f>
        <v/>
      </c>
      <c r="S1499" s="9">
        <f>VLOOKUP(OPERAC[[#This Row],[especie]],[1]!ESPECIES[#Data],9,FALSE)</f>
        <v/>
      </c>
    </row>
    <row r="1500">
      <c r="A1500" s="4" t="n">
        <v>13230</v>
      </c>
      <c r="B1500" s="5" t="n">
        <v>44662</v>
      </c>
      <c r="C1500" s="13" t="inlineStr">
        <is>
          <t>VTA</t>
        </is>
      </c>
      <c r="D1500" s="13" t="n">
        <v>42</v>
      </c>
      <c r="E1500" s="10">
        <f>IF(D1500&gt;0,VLOOKUP(OPERAC[[#This Row],[COD CART]],[1]!MatrizCortoLargoCyl[#All],3,0),"")</f>
        <v/>
      </c>
      <c r="F1500" s="13" t="inlineStr">
        <is>
          <t>HYDR</t>
        </is>
      </c>
      <c r="G1500" s="6" t="n">
        <v>10</v>
      </c>
      <c r="H1500" s="6" t="n">
        <v>-185.70344</v>
      </c>
      <c r="I1500" s="7">
        <f>-H1500/G1500</f>
        <v/>
      </c>
      <c r="J1500" s="11" t="n">
        <v>44693</v>
      </c>
      <c r="K1500" s="6">
        <f>+OPERAC[[#This Row],[cantidad]]</f>
        <v/>
      </c>
      <c r="L1500" s="6">
        <f>+OPERAC[[#This Row],[cantidad venta]]*12.027</f>
        <v/>
      </c>
      <c r="M1500" s="7">
        <f>IF(N1500=0,+L1500+H1500,0)</f>
        <v/>
      </c>
      <c r="N1500" s="7">
        <f>IF((+G1500-K1500)=0,0,+G1500-K1500)</f>
        <v/>
      </c>
      <c r="O1500" s="7">
        <f>IF(N1500=0,0,(L1500+H1500)/-N1500)</f>
        <v/>
      </c>
      <c r="P1500" s="7">
        <f>VLOOKUP(OPERAC[[#This Row],[especie]],[1]!ESPECIES[#All],6,0)</f>
        <v/>
      </c>
      <c r="Q1500" s="7">
        <f>IF(N1500&lt;&gt;0,P1500*N1500,0)</f>
        <v/>
      </c>
      <c r="R1500" s="8">
        <f>IF(Q1500&lt;&gt;0,Q1500+H1500+L1500,0)</f>
        <v/>
      </c>
      <c r="S1500" s="9">
        <f>VLOOKUP(OPERAC[[#This Row],[especie]],[1]!ESPECIES[#Data],9,FALSE)</f>
        <v/>
      </c>
    </row>
    <row r="1501">
      <c r="A1501" s="4" t="n">
        <v>13271</v>
      </c>
      <c r="B1501" s="5" t="n">
        <v>44662</v>
      </c>
      <c r="C1501" s="13" t="inlineStr">
        <is>
          <t>VTA</t>
        </is>
      </c>
      <c r="D1501" s="13" t="n">
        <v>42</v>
      </c>
      <c r="E1501" s="10">
        <f>IF(D1501&gt;0,VLOOKUP(OPERAC[[#This Row],[COD CART]],[1]!MatrizCortoLargoCyl[#All],3,0),"")</f>
        <v/>
      </c>
      <c r="F1501" s="13" t="inlineStr">
        <is>
          <t>HYDR</t>
        </is>
      </c>
      <c r="G1501" s="6" t="n">
        <v>10</v>
      </c>
      <c r="H1501" s="6" t="n">
        <v>-185.70344</v>
      </c>
      <c r="I1501" s="7">
        <f>-H1501/G1501</f>
        <v/>
      </c>
      <c r="J1501" s="11" t="n">
        <v>44693</v>
      </c>
      <c r="K1501" s="6" t="n">
        <v>10</v>
      </c>
      <c r="L1501" s="6" t="n">
        <v>116.3</v>
      </c>
      <c r="M1501" s="7">
        <f>IF(N1501=0,+L1501+H1501,0)</f>
        <v/>
      </c>
      <c r="N1501" s="7">
        <f>IF((+G1501-K1501)=0,0,+G1501-K1501)</f>
        <v/>
      </c>
      <c r="O1501" s="7">
        <f>IF(N1501=0,0,(L1501+H1501)/-N1501)</f>
        <v/>
      </c>
      <c r="P1501" s="7">
        <f>VLOOKUP(OPERAC[[#This Row],[especie]],[1]!ESPECIES[#All],6,0)</f>
        <v/>
      </c>
      <c r="Q1501" s="7">
        <f>IF(N1501&lt;&gt;0,P1501*N1501,0)</f>
        <v/>
      </c>
      <c r="R1501" s="8">
        <f>IF(Q1501&lt;&gt;0,Q1501+H1501+L1501,0)</f>
        <v/>
      </c>
      <c r="S1501" s="9">
        <f>VLOOKUP(OPERAC[[#This Row],[especie]],[1]!ESPECIES[#Data],9,FALSE)</f>
        <v/>
      </c>
    </row>
    <row r="1502">
      <c r="A1502" s="4" t="n">
        <v>13273</v>
      </c>
      <c r="B1502" s="5" t="n">
        <v>44662</v>
      </c>
      <c r="C1502" s="13" t="inlineStr">
        <is>
          <t>VTA</t>
        </is>
      </c>
      <c r="D1502" s="13" t="n">
        <v>42</v>
      </c>
      <c r="E1502" s="10">
        <f>IF(D1502&gt;0,VLOOKUP(OPERAC[[#This Row],[COD CART]],[1]!MatrizCortoLargoCyl[#All],3,0),"")</f>
        <v/>
      </c>
      <c r="F1502" s="13" t="inlineStr">
        <is>
          <t>HYDR</t>
        </is>
      </c>
      <c r="G1502" s="6" t="n">
        <v>10</v>
      </c>
      <c r="H1502" s="6" t="n">
        <v>-185.70344</v>
      </c>
      <c r="I1502" s="7">
        <f>-H1502/G1502</f>
        <v/>
      </c>
      <c r="J1502" s="11" t="n">
        <v>44693</v>
      </c>
      <c r="K1502" s="6">
        <f>+OPERAC[[#This Row],[cantidad]]</f>
        <v/>
      </c>
      <c r="L1502" s="6">
        <f>+OPERAC[[#This Row],[cantidad venta]]*12.027</f>
        <v/>
      </c>
      <c r="M1502" s="7">
        <f>IF(N1502=0,+L1502+H1502,0)</f>
        <v/>
      </c>
      <c r="N1502" s="7">
        <f>IF((+G1502-K1502)=0,0,+G1502-K1502)</f>
        <v/>
      </c>
      <c r="O1502" s="7">
        <f>IF(N1502=0,0,(L1502+H1502)/-N1502)</f>
        <v/>
      </c>
      <c r="P1502" s="7">
        <f>VLOOKUP(OPERAC[[#This Row],[especie]],[1]!ESPECIES[#All],6,0)</f>
        <v/>
      </c>
      <c r="Q1502" s="7">
        <f>IF(N1502&lt;&gt;0,P1502*N1502,0)</f>
        <v/>
      </c>
      <c r="R1502" s="8">
        <f>IF(Q1502&lt;&gt;0,Q1502+H1502+L1502,0)</f>
        <v/>
      </c>
      <c r="S1502" s="9">
        <f>VLOOKUP(OPERAC[[#This Row],[especie]],[1]!ESPECIES[#Data],9,FALSE)</f>
        <v/>
      </c>
    </row>
    <row r="1503">
      <c r="A1503" s="4" t="n">
        <v>16833</v>
      </c>
      <c r="B1503" s="5" t="n">
        <v>44662</v>
      </c>
      <c r="C1503" s="13" t="inlineStr">
        <is>
          <t>VTA</t>
        </is>
      </c>
      <c r="D1503" s="13" t="n">
        <v>42</v>
      </c>
      <c r="E1503" s="10">
        <f>IF(D1503&gt;0,VLOOKUP(OPERAC[[#This Row],[COD CART]],[1]!MatrizCortoLargoCyl[#All],3,0),"")</f>
        <v/>
      </c>
      <c r="F1503" s="13" t="inlineStr">
        <is>
          <t>HYDR</t>
        </is>
      </c>
      <c r="G1503" s="6" t="n">
        <v>10</v>
      </c>
      <c r="H1503" s="6" t="n">
        <v>-185.70344</v>
      </c>
      <c r="I1503" s="7">
        <f>-H1503/G1503</f>
        <v/>
      </c>
      <c r="J1503" s="11" t="n">
        <v>44693</v>
      </c>
      <c r="K1503" s="6">
        <f>+OPERAC[[#This Row],[cantidad]]</f>
        <v/>
      </c>
      <c r="L1503" s="6">
        <f>+OPERAC[[#This Row],[cantidad venta]]*11.986</f>
        <v/>
      </c>
      <c r="M1503" s="7">
        <f>IF(N1503=0,+L1503+H1503,0)</f>
        <v/>
      </c>
      <c r="N1503" s="7">
        <f>IF((+G1503-K1503)=0,0,+G1503-K1503)</f>
        <v/>
      </c>
      <c r="O1503" s="7">
        <f>IF(N1503=0,0,(L1503+H1503)/-N1503)</f>
        <v/>
      </c>
      <c r="P1503" s="7">
        <f>VLOOKUP(OPERAC[[#This Row],[especie]],[1]!ESPECIES[#All],6,0)</f>
        <v/>
      </c>
      <c r="Q1503" s="7">
        <f>IF(N1503&lt;&gt;0,P1503*N1503,0)</f>
        <v/>
      </c>
      <c r="R1503" s="8">
        <f>IF(Q1503&lt;&gt;0,Q1503+H1503+L1503,0)</f>
        <v/>
      </c>
      <c r="S1503" s="9">
        <f>VLOOKUP(OPERAC[[#This Row],[especie]],[1]!ESPECIES[#Data],9,FALSE)</f>
        <v/>
      </c>
    </row>
    <row r="1504">
      <c r="A1504" s="4" t="n">
        <v>18697</v>
      </c>
      <c r="B1504" s="5" t="n">
        <v>44662</v>
      </c>
      <c r="C1504" s="13" t="inlineStr">
        <is>
          <t>VTA</t>
        </is>
      </c>
      <c r="D1504" s="13" t="n">
        <v>42</v>
      </c>
      <c r="E1504" s="10">
        <f>IF(D1504&gt;0,VLOOKUP(OPERAC[[#This Row],[COD CART]],[1]!MatrizCortoLargoCyl[#All],3,0),"")</f>
        <v/>
      </c>
      <c r="F1504" s="13" t="inlineStr">
        <is>
          <t>HYDR</t>
        </is>
      </c>
      <c r="G1504" s="6" t="n">
        <v>10</v>
      </c>
      <c r="H1504" s="6" t="n">
        <v>-185.70344</v>
      </c>
      <c r="I1504" s="7">
        <f>-H1504/G1504</f>
        <v/>
      </c>
      <c r="J1504" s="11" t="n">
        <v>44693</v>
      </c>
      <c r="K1504" s="6">
        <f>+OPERAC[[#This Row],[cantidad]]</f>
        <v/>
      </c>
      <c r="L1504" s="6">
        <f>+OPERAC[[#This Row],[cantidad venta]]*11.986</f>
        <v/>
      </c>
      <c r="M1504" s="7">
        <f>IF(N1504=0,+L1504+H1504,0)</f>
        <v/>
      </c>
      <c r="N1504" s="7">
        <f>IF((+G1504-K1504)=0,0,+G1504-K1504)</f>
        <v/>
      </c>
      <c r="O1504" s="7">
        <f>IF(N1504=0,0,(L1504+H1504)/-N1504)</f>
        <v/>
      </c>
      <c r="P1504" s="7">
        <f>VLOOKUP(OPERAC[[#This Row],[especie]],[1]!ESPECIES[#All],6,0)</f>
        <v/>
      </c>
      <c r="Q1504" s="7">
        <f>IF(N1504&lt;&gt;0,P1504*N1504,0)</f>
        <v/>
      </c>
      <c r="R1504" s="8">
        <f>IF(Q1504&lt;&gt;0,Q1504+H1504+L1504,0)</f>
        <v/>
      </c>
      <c r="S1504" s="9">
        <f>VLOOKUP(OPERAC[[#This Row],[especie]],[1]!ESPECIES[#Data],9,FALSE)</f>
        <v/>
      </c>
    </row>
    <row r="1505">
      <c r="A1505" s="4" t="n">
        <v>20312</v>
      </c>
      <c r="B1505" s="5" t="n">
        <v>44662</v>
      </c>
      <c r="C1505" s="13" t="inlineStr">
        <is>
          <t>VTA</t>
        </is>
      </c>
      <c r="D1505" s="13" t="n">
        <v>42</v>
      </c>
      <c r="E1505" s="10">
        <f>IF(D1505&gt;0,VLOOKUP(OPERAC[[#This Row],[COD CART]],[1]!MatrizCortoLargoCyl[#All],3,0),"")</f>
        <v/>
      </c>
      <c r="F1505" s="13" t="inlineStr">
        <is>
          <t>HYDR</t>
        </is>
      </c>
      <c r="G1505" s="6" t="n">
        <v>10</v>
      </c>
      <c r="H1505" s="6" t="n">
        <v>-185.70344</v>
      </c>
      <c r="I1505" s="7">
        <f>-H1505/G1505</f>
        <v/>
      </c>
      <c r="J1505" s="11" t="n">
        <v>44693</v>
      </c>
      <c r="K1505" s="6">
        <f>+OPERAC[[#This Row],[cantidad]]</f>
        <v/>
      </c>
      <c r="L1505" s="6">
        <f>+OPERAC[[#This Row],[cantidad venta]]*11.986</f>
        <v/>
      </c>
      <c r="M1505" s="7">
        <f>IF(N1505=0,+L1505+H1505,0)</f>
        <v/>
      </c>
      <c r="N1505" s="7">
        <f>IF((+G1505-K1505)=0,0,+G1505-K1505)</f>
        <v/>
      </c>
      <c r="O1505" s="7">
        <f>IF(N1505=0,0,(L1505+H1505)/-N1505)</f>
        <v/>
      </c>
      <c r="P1505" s="7">
        <f>VLOOKUP(OPERAC[[#This Row],[especie]],[1]!ESPECIES[#All],6,0)</f>
        <v/>
      </c>
      <c r="Q1505" s="7">
        <f>IF(N1505&lt;&gt;0,P1505*N1505,0)</f>
        <v/>
      </c>
      <c r="R1505" s="8">
        <f>IF(Q1505&lt;&gt;0,Q1505+H1505+L1505,0)</f>
        <v/>
      </c>
      <c r="S1505" s="9">
        <f>VLOOKUP(OPERAC[[#This Row],[especie]],[1]!ESPECIES[#Data],9,FALSE)</f>
        <v/>
      </c>
    </row>
    <row r="1506">
      <c r="A1506" s="4" t="n">
        <v>21070</v>
      </c>
      <c r="B1506" s="5" t="n">
        <v>44662</v>
      </c>
      <c r="C1506" s="13" t="inlineStr">
        <is>
          <t>VTA</t>
        </is>
      </c>
      <c r="D1506" s="13" t="n">
        <v>42</v>
      </c>
      <c r="E1506" s="10">
        <f>IF(D1506&gt;0,VLOOKUP(OPERAC[[#This Row],[COD CART]],[1]!MatrizCortoLargoCyl[#All],3,0),"")</f>
        <v/>
      </c>
      <c r="F1506" s="13" t="inlineStr">
        <is>
          <t>HYDR</t>
        </is>
      </c>
      <c r="G1506" s="6" t="n">
        <v>10</v>
      </c>
      <c r="H1506" s="6" t="n">
        <v>-185.70344</v>
      </c>
      <c r="I1506" s="7">
        <f>-H1506/G1506</f>
        <v/>
      </c>
      <c r="J1506" s="11" t="n">
        <v>44693</v>
      </c>
      <c r="K1506" s="6">
        <f>+OPERAC[[#This Row],[cantidad]]</f>
        <v/>
      </c>
      <c r="L1506" s="6">
        <f>+OPERAC[[#This Row],[cantidad venta]]*11.986</f>
        <v/>
      </c>
      <c r="M1506" s="7">
        <f>IF(N1506=0,+L1506+H1506,0)</f>
        <v/>
      </c>
      <c r="N1506" s="7">
        <f>IF((+G1506-K1506)=0,0,+G1506-K1506)</f>
        <v/>
      </c>
      <c r="O1506" s="7">
        <f>IF(N1506=0,0,(L1506+H1506)/-N1506)</f>
        <v/>
      </c>
      <c r="P1506" s="7">
        <f>VLOOKUP(OPERAC[[#This Row],[especie]],[1]!ESPECIES[#All],6,0)</f>
        <v/>
      </c>
      <c r="Q1506" s="7">
        <f>IF(N1506&lt;&gt;0,P1506*N1506,0)</f>
        <v/>
      </c>
      <c r="R1506" s="8">
        <f>IF(Q1506&lt;&gt;0,Q1506+H1506+L1506,0)</f>
        <v/>
      </c>
      <c r="S1506" s="9">
        <f>VLOOKUP(OPERAC[[#This Row],[especie]],[1]!ESPECIES[#Data],9,FALSE)</f>
        <v/>
      </c>
    </row>
    <row r="1507">
      <c r="A1507" s="4" t="n">
        <v>22399</v>
      </c>
      <c r="B1507" s="5" t="n">
        <v>44662</v>
      </c>
      <c r="C1507" s="13" t="inlineStr">
        <is>
          <t>VTA</t>
        </is>
      </c>
      <c r="D1507" s="13" t="n">
        <v>42</v>
      </c>
      <c r="E1507" s="10">
        <f>IF(D1507&gt;0,VLOOKUP(OPERAC[[#This Row],[COD CART]],[1]!MatrizCortoLargoCyl[#All],3,0),"")</f>
        <v/>
      </c>
      <c r="F1507" s="13" t="inlineStr">
        <is>
          <t>HYDR</t>
        </is>
      </c>
      <c r="G1507" s="6" t="n">
        <v>10</v>
      </c>
      <c r="H1507" s="6" t="n">
        <v>-185.70344</v>
      </c>
      <c r="I1507" s="7">
        <f>-H1507/G1507</f>
        <v/>
      </c>
      <c r="J1507" s="11" t="n"/>
      <c r="K1507" s="6" t="n"/>
      <c r="L1507" s="6" t="n"/>
      <c r="M1507" s="7">
        <f>IF(N1507=0,+L1507+H1507,0)</f>
        <v/>
      </c>
      <c r="N1507" s="7">
        <f>IF((+G1507-K1507)=0,0,+G1507-K1507)</f>
        <v/>
      </c>
      <c r="O1507" s="7">
        <f>IF(N1507=0,0,(L1507+H1507)/-N1507)</f>
        <v/>
      </c>
      <c r="P1507" s="7">
        <f>VLOOKUP(OPERAC[[#This Row],[especie]],[1]!ESPECIES[#All],6,0)</f>
        <v/>
      </c>
      <c r="Q1507" s="7">
        <f>IF(N1507&lt;&gt;0,P1507*N1507,0)</f>
        <v/>
      </c>
      <c r="R1507" s="8">
        <f>IF(Q1507&lt;&gt;0,Q1507+H1507+L1507,0)</f>
        <v/>
      </c>
      <c r="S1507" s="9">
        <f>VLOOKUP(OPERAC[[#This Row],[especie]],[1]!ESPECIES[#Data],9,FALSE)</f>
        <v/>
      </c>
    </row>
    <row r="1508">
      <c r="A1508" s="4" t="n">
        <v>22431</v>
      </c>
      <c r="B1508" s="5" t="n">
        <v>44662</v>
      </c>
      <c r="C1508" s="13" t="inlineStr">
        <is>
          <t>VTA</t>
        </is>
      </c>
      <c r="D1508" s="13" t="n">
        <v>42</v>
      </c>
      <c r="E1508" s="10">
        <f>IF(D1508&gt;0,VLOOKUP(OPERAC[[#This Row],[COD CART]],[1]!MatrizCortoLargoCyl[#All],3,0),"")</f>
        <v/>
      </c>
      <c r="F1508" s="13" t="inlineStr">
        <is>
          <t>HYDR</t>
        </is>
      </c>
      <c r="G1508" s="6" t="n">
        <v>10</v>
      </c>
      <c r="H1508" s="6" t="n">
        <v>-185.70344</v>
      </c>
      <c r="I1508" s="7">
        <f>-H1508/G1508</f>
        <v/>
      </c>
      <c r="J1508" s="11" t="n">
        <v>44693</v>
      </c>
      <c r="K1508" s="6">
        <f>+OPERAC[[#This Row],[cantidad]]</f>
        <v/>
      </c>
      <c r="L1508" s="6">
        <f>+OPERAC[[#This Row],[cantidad venta]]*11.986</f>
        <v/>
      </c>
      <c r="M1508" s="7">
        <f>IF(N1508=0,+L1508+H1508,0)</f>
        <v/>
      </c>
      <c r="N1508" s="7">
        <f>IF((+G1508-K1508)=0,0,+G1508-K1508)</f>
        <v/>
      </c>
      <c r="O1508" s="7">
        <f>IF(N1508=0,0,(L1508+H1508)/-N1508)</f>
        <v/>
      </c>
      <c r="P1508" s="7">
        <f>VLOOKUP(OPERAC[[#This Row],[especie]],[1]!ESPECIES[#All],6,0)</f>
        <v/>
      </c>
      <c r="Q1508" s="7">
        <f>IF(N1508&lt;&gt;0,P1508*N1508,0)</f>
        <v/>
      </c>
      <c r="R1508" s="8">
        <f>IF(Q1508&lt;&gt;0,Q1508+H1508+L1508,0)</f>
        <v/>
      </c>
      <c r="S1508" s="9">
        <f>VLOOKUP(OPERAC[[#This Row],[especie]],[1]!ESPECIES[#Data],9,FALSE)</f>
        <v/>
      </c>
    </row>
    <row r="1509">
      <c r="A1509" s="4" t="n">
        <v>18663</v>
      </c>
      <c r="B1509" s="5" t="n">
        <v>44305</v>
      </c>
      <c r="C1509" s="13" t="inlineStr">
        <is>
          <t>VTA</t>
        </is>
      </c>
      <c r="D1509" s="13" t="n">
        <v>41</v>
      </c>
      <c r="E1509" s="10">
        <f>IF(D1509&gt;0,VLOOKUP(OPERAC[[#This Row],[COD CART]],[1]!MatrizCortoLargoCyl[#All],3,0),"")</f>
        <v/>
      </c>
      <c r="F1509" s="13" t="inlineStr">
        <is>
          <t>TCNNF</t>
        </is>
      </c>
      <c r="G1509" s="6" t="n">
        <v>5</v>
      </c>
      <c r="H1509" s="6" t="n">
        <v>-186.742</v>
      </c>
      <c r="I1509" s="7">
        <f>-H1509/G1509</f>
        <v/>
      </c>
      <c r="J1509" s="11" t="n"/>
      <c r="K1509" s="6" t="n"/>
      <c r="L1509" s="6" t="n"/>
      <c r="M1509" s="7">
        <f>IF(N1509=0,+L1509+H1509,0)</f>
        <v/>
      </c>
      <c r="N1509" s="7">
        <f>IF((+G1509-K1509)=0,0,+G1509-K1509)</f>
        <v/>
      </c>
      <c r="O1509" s="7">
        <f>IF(N1509=0,0,(L1509+H1509)/-N1509)</f>
        <v/>
      </c>
      <c r="P1509" s="7">
        <f>VLOOKUP(OPERAC[[#This Row],[especie]],[1]!ESPECIES[#All],6,0)</f>
        <v/>
      </c>
      <c r="Q1509" s="7">
        <f>IF(N1509&lt;&gt;0,P1509*N1509,0)</f>
        <v/>
      </c>
      <c r="R1509" s="8">
        <f>IF(Q1509&lt;&gt;0,Q1509+H1509+L1509,0)</f>
        <v/>
      </c>
      <c r="S1509" s="9">
        <f>VLOOKUP(OPERAC[[#This Row],[especie]],[1]!ESPECIES[#Data],9,FALSE)</f>
        <v/>
      </c>
    </row>
    <row r="1510">
      <c r="A1510" s="4" t="n">
        <v>20312</v>
      </c>
      <c r="B1510" s="5" t="n">
        <v>44568</v>
      </c>
      <c r="C1510" s="13" t="inlineStr">
        <is>
          <t>VTA</t>
        </is>
      </c>
      <c r="D1510" s="13" t="n">
        <v>41</v>
      </c>
      <c r="E1510" s="10">
        <f>IF(D1510&gt;0,VLOOKUP(OPERAC[[#This Row],[COD CART]],[1]!MatrizCortoLargoCyl[#All],3,0),"")</f>
        <v/>
      </c>
      <c r="F1510" s="13" t="inlineStr">
        <is>
          <t>AES</t>
        </is>
      </c>
      <c r="G1510" s="6" t="n">
        <v>8</v>
      </c>
      <c r="H1510" s="6" t="n">
        <v>-187.68</v>
      </c>
      <c r="I1510" s="7">
        <f>-H1510/G1510</f>
        <v/>
      </c>
      <c r="J1510" s="11" t="n"/>
      <c r="K1510" s="6" t="n"/>
      <c r="L1510" s="6" t="n"/>
      <c r="M1510" s="7">
        <f>IF(N1510=0,+L1510+H1510,0)</f>
        <v/>
      </c>
      <c r="N1510" s="7">
        <f>IF((+G1510-K1510)=0,0,+G1510-K1510)</f>
        <v/>
      </c>
      <c r="O1510" s="7">
        <f>IF(N1510=0,0,(L1510+H1510)/-N1510)</f>
        <v/>
      </c>
      <c r="P1510" s="7">
        <f>VLOOKUP(OPERAC[[#This Row],[especie]],[1]!ESPECIES[#All],6,0)</f>
        <v/>
      </c>
      <c r="Q1510" s="7">
        <f>IF(N1510&lt;&gt;0,P1510*N1510,0)</f>
        <v/>
      </c>
      <c r="R1510" s="8">
        <f>IF(Q1510&lt;&gt;0,Q1510+H1510+L1510,0)</f>
        <v/>
      </c>
      <c r="S1510" s="9">
        <f>VLOOKUP(OPERAC[[#This Row],[especie]],[1]!ESPECIES[#Data],9,FALSE)</f>
        <v/>
      </c>
    </row>
    <row r="1511">
      <c r="A1511" s="4" t="n">
        <v>1000</v>
      </c>
      <c r="B1511" s="5" t="n">
        <v>44552</v>
      </c>
      <c r="C1511" s="13" t="inlineStr">
        <is>
          <t>VTA</t>
        </is>
      </c>
      <c r="D1511" s="13" t="n">
        <v>41</v>
      </c>
      <c r="E1511" s="10">
        <f>IF(D1511&gt;0,VLOOKUP(OPERAC[[#This Row],[COD CART]],[1]!MatrizCortoLargoCyl[#All],3,0),"")</f>
        <v/>
      </c>
      <c r="F1511" s="13" t="inlineStr">
        <is>
          <t>PLTR</t>
        </is>
      </c>
      <c r="G1511" s="6" t="n">
        <v>10</v>
      </c>
      <c r="H1511" s="6" t="n">
        <v>-188.35</v>
      </c>
      <c r="I1511" s="7">
        <f>-H1511/G1511</f>
        <v/>
      </c>
      <c r="J1511" s="11" t="n">
        <v>44572</v>
      </c>
      <c r="K1511" s="6" t="n">
        <v>10</v>
      </c>
      <c r="L1511" s="6" t="n">
        <v>169.12</v>
      </c>
      <c r="M1511" s="7">
        <f>IF(N1511=0,+L1511+H1511,0)</f>
        <v/>
      </c>
      <c r="N1511" s="7">
        <f>IF((+G1511-K1511)=0,0,+G1511-K1511)</f>
        <v/>
      </c>
      <c r="O1511" s="7">
        <f>IF(N1511=0,0,(L1511+H1511)/-N1511)</f>
        <v/>
      </c>
      <c r="P1511" s="7">
        <f>VLOOKUP(OPERAC[[#This Row],[especie]],[1]!ESPECIES[#All],6,0)</f>
        <v/>
      </c>
      <c r="Q1511" s="7">
        <f>IF(N1511&lt;&gt;0,P1511*N1511,0)</f>
        <v/>
      </c>
      <c r="R1511" s="8">
        <f>IF(Q1511&lt;&gt;0,Q1511+H1511+L1511,0)</f>
        <v/>
      </c>
      <c r="S1511" s="9">
        <f>VLOOKUP(OPERAC[[#This Row],[especie]],[1]!ESPECIES[#Data],9,FALSE)</f>
        <v/>
      </c>
    </row>
    <row r="1512">
      <c r="A1512" s="4" t="n">
        <v>2253</v>
      </c>
      <c r="B1512" s="5" t="n">
        <v>44489</v>
      </c>
      <c r="C1512" s="13" t="inlineStr">
        <is>
          <t>VTA</t>
        </is>
      </c>
      <c r="D1512" s="13" t="n">
        <v>43</v>
      </c>
      <c r="E1512" s="10">
        <f>IF(D1512&gt;0,VLOOKUP(OPERAC[[#This Row],[COD CART]],[1]!MatrizCortoLargoCyl[#All],3,0),"")</f>
        <v/>
      </c>
      <c r="F1512" s="13" t="inlineStr">
        <is>
          <t>SESN/CYL-PUT/1,00/19-01-24</t>
        </is>
      </c>
      <c r="G1512" s="6" t="n">
        <v>1000</v>
      </c>
      <c r="H1512" s="6">
        <f>-0.1885*OPERAC[[#This Row],[cantidad]]</f>
        <v/>
      </c>
      <c r="I1512" s="7">
        <f>-H1512/G1512</f>
        <v/>
      </c>
      <c r="J1512" s="11" t="n"/>
      <c r="K1512" s="6" t="n"/>
      <c r="L1512" s="6" t="n"/>
      <c r="M1512" s="7">
        <f>IF(N1512=0,+L1512+H1512,0)</f>
        <v/>
      </c>
      <c r="N1512" s="7">
        <f>IF((+G1512-K1512)=0,0,+G1512-K1512)</f>
        <v/>
      </c>
      <c r="O1512" s="7">
        <f>IF(N1512=0,0,(L1512+H1512)/-N1512)</f>
        <v/>
      </c>
      <c r="P1512" s="7">
        <f>VLOOKUP(OPERAC[[#This Row],[especie]],[1]!ESPECIES[#All],6,0)</f>
        <v/>
      </c>
      <c r="Q1512" s="7">
        <f>IF(N1512&lt;&gt;0,P1512*N1512,0)</f>
        <v/>
      </c>
      <c r="R1512" s="8">
        <f>IF(Q1512&lt;&gt;0,Q1512+H1512+L1512,0)</f>
        <v/>
      </c>
      <c r="S1512" s="9">
        <f>VLOOKUP(OPERAC[[#This Row],[especie]],[1]!ESPECIES[#Data],9,FALSE)</f>
        <v/>
      </c>
    </row>
    <row r="1513">
      <c r="A1513" s="4" t="n">
        <v>3820</v>
      </c>
      <c r="B1513" s="5" t="n">
        <v>44489</v>
      </c>
      <c r="C1513" s="13" t="inlineStr">
        <is>
          <t>VTA</t>
        </is>
      </c>
      <c r="D1513" s="13" t="n">
        <v>43</v>
      </c>
      <c r="E1513" s="10">
        <f>IF(D1513&gt;0,VLOOKUP(OPERAC[[#This Row],[COD CART]],[1]!MatrizCortoLargoCyl[#All],3,0),"")</f>
        <v/>
      </c>
      <c r="F1513" s="13" t="inlineStr">
        <is>
          <t>SESN/CYL-PUT/1,00/19-01-24</t>
        </is>
      </c>
      <c r="G1513" s="6" t="n">
        <v>1000</v>
      </c>
      <c r="H1513" s="6">
        <f>-0.1885*OPERAC[[#This Row],[cantidad]]</f>
        <v/>
      </c>
      <c r="I1513" s="7">
        <f>-H1513/G1513</f>
        <v/>
      </c>
      <c r="J1513" s="11" t="n"/>
      <c r="K1513" s="6" t="n"/>
      <c r="L1513" s="6" t="n"/>
      <c r="M1513" s="7">
        <f>IF(N1513=0,+L1513+H1513,0)</f>
        <v/>
      </c>
      <c r="N1513" s="7">
        <f>IF((+G1513-K1513)=0,0,+G1513-K1513)</f>
        <v/>
      </c>
      <c r="O1513" s="7">
        <f>IF(N1513=0,0,(L1513+H1513)/-N1513)</f>
        <v/>
      </c>
      <c r="P1513" s="7">
        <f>VLOOKUP(OPERAC[[#This Row],[especie]],[1]!ESPECIES[#All],6,0)</f>
        <v/>
      </c>
      <c r="Q1513" s="7">
        <f>IF(N1513&lt;&gt;0,P1513*N1513,0)</f>
        <v/>
      </c>
      <c r="R1513" s="8">
        <f>IF(Q1513&lt;&gt;0,Q1513+H1513+L1513,0)</f>
        <v/>
      </c>
      <c r="S1513" s="9">
        <f>VLOOKUP(OPERAC[[#This Row],[especie]],[1]!ESPECIES[#Data],9,FALSE)</f>
        <v/>
      </c>
    </row>
    <row r="1514">
      <c r="A1514" s="4" t="n">
        <v>3832</v>
      </c>
      <c r="B1514" s="5" t="n">
        <v>44489</v>
      </c>
      <c r="C1514" s="13" t="inlineStr">
        <is>
          <t>VTA</t>
        </is>
      </c>
      <c r="D1514" s="13" t="n">
        <v>43</v>
      </c>
      <c r="E1514" s="10">
        <f>IF(D1514&gt;0,VLOOKUP(OPERAC[[#This Row],[COD CART]],[1]!MatrizCortoLargoCyl[#All],3,0),"")</f>
        <v/>
      </c>
      <c r="F1514" s="13" t="inlineStr">
        <is>
          <t>SESN/CYL-PUT/1,00/19-01-24</t>
        </is>
      </c>
      <c r="G1514" s="6" t="n">
        <v>1000</v>
      </c>
      <c r="H1514" s="6">
        <f>-0.1885*OPERAC[[#This Row],[cantidad]]</f>
        <v/>
      </c>
      <c r="I1514" s="7">
        <f>-H1514/G1514</f>
        <v/>
      </c>
      <c r="J1514" s="11" t="n"/>
      <c r="K1514" s="6" t="n"/>
      <c r="L1514" s="6" t="n"/>
      <c r="M1514" s="7">
        <f>IF(N1514=0,+L1514+H1514,0)</f>
        <v/>
      </c>
      <c r="N1514" s="7">
        <f>IF((+G1514-K1514)=0,0,+G1514-K1514)</f>
        <v/>
      </c>
      <c r="O1514" s="7">
        <f>IF(N1514=0,0,(L1514+H1514)/-N1514)</f>
        <v/>
      </c>
      <c r="P1514" s="7">
        <f>VLOOKUP(OPERAC[[#This Row],[especie]],[1]!ESPECIES[#All],6,0)</f>
        <v/>
      </c>
      <c r="Q1514" s="7">
        <f>IF(N1514&lt;&gt;0,P1514*N1514,0)</f>
        <v/>
      </c>
      <c r="R1514" s="8">
        <f>IF(Q1514&lt;&gt;0,Q1514+H1514+L1514,0)</f>
        <v/>
      </c>
      <c r="S1514" s="9">
        <f>VLOOKUP(OPERAC[[#This Row],[especie]],[1]!ESPECIES[#Data],9,FALSE)</f>
        <v/>
      </c>
    </row>
    <row r="1515">
      <c r="A1515" s="4" t="n">
        <v>3838</v>
      </c>
      <c r="B1515" s="5" t="n">
        <v>44489</v>
      </c>
      <c r="C1515" s="13" t="inlineStr">
        <is>
          <t>VTA</t>
        </is>
      </c>
      <c r="D1515" s="13" t="n">
        <v>43</v>
      </c>
      <c r="E1515" s="10">
        <f>IF(D1515&gt;0,VLOOKUP(OPERAC[[#This Row],[COD CART]],[1]!MatrizCortoLargoCyl[#All],3,0),"")</f>
        <v/>
      </c>
      <c r="F1515" s="13" t="inlineStr">
        <is>
          <t>SESN/CYL-PUT/1,00/19-01-24</t>
        </is>
      </c>
      <c r="G1515" s="6" t="n">
        <v>1000</v>
      </c>
      <c r="H1515" s="6">
        <f>-0.1885*OPERAC[[#This Row],[cantidad]]</f>
        <v/>
      </c>
      <c r="I1515" s="7">
        <f>-H1515/G1515</f>
        <v/>
      </c>
      <c r="J1515" s="11" t="n"/>
      <c r="K1515" s="6" t="n"/>
      <c r="L1515" s="6" t="n"/>
      <c r="M1515" s="7">
        <f>IF(N1515=0,+L1515+H1515,0)</f>
        <v/>
      </c>
      <c r="N1515" s="7">
        <f>IF((+G1515-K1515)=0,0,+G1515-K1515)</f>
        <v/>
      </c>
      <c r="O1515" s="7">
        <f>IF(N1515=0,0,(L1515+H1515)/-N1515)</f>
        <v/>
      </c>
      <c r="P1515" s="7">
        <f>VLOOKUP(OPERAC[[#This Row],[especie]],[1]!ESPECIES[#All],6,0)</f>
        <v/>
      </c>
      <c r="Q1515" s="7">
        <f>IF(N1515&lt;&gt;0,P1515*N1515,0)</f>
        <v/>
      </c>
      <c r="R1515" s="8">
        <f>IF(Q1515&lt;&gt;0,Q1515+H1515+L1515,0)</f>
        <v/>
      </c>
      <c r="S1515" s="9">
        <f>VLOOKUP(OPERAC[[#This Row],[especie]],[1]!ESPECIES[#Data],9,FALSE)</f>
        <v/>
      </c>
    </row>
    <row r="1516">
      <c r="A1516" s="4" t="n">
        <v>3852</v>
      </c>
      <c r="B1516" s="5" t="n">
        <v>44489</v>
      </c>
      <c r="C1516" s="13" t="inlineStr">
        <is>
          <t>VTA</t>
        </is>
      </c>
      <c r="D1516" s="13" t="n">
        <v>43</v>
      </c>
      <c r="E1516" s="10">
        <f>IF(D1516&gt;0,VLOOKUP(OPERAC[[#This Row],[COD CART]],[1]!MatrizCortoLargoCyl[#All],3,0),"")</f>
        <v/>
      </c>
      <c r="F1516" s="13" t="inlineStr">
        <is>
          <t>SESN/CYL-PUT/1,00/19-01-24</t>
        </is>
      </c>
      <c r="G1516" s="6" t="n">
        <v>1000</v>
      </c>
      <c r="H1516" s="6">
        <f>-0.1885*OPERAC[[#This Row],[cantidad]]</f>
        <v/>
      </c>
      <c r="I1516" s="7">
        <f>-H1516/G1516</f>
        <v/>
      </c>
      <c r="J1516" s="11" t="n"/>
      <c r="K1516" s="6" t="n"/>
      <c r="L1516" s="6" t="n"/>
      <c r="M1516" s="7">
        <f>IF(N1516=0,+L1516+H1516,0)</f>
        <v/>
      </c>
      <c r="N1516" s="7">
        <f>IF((+G1516-K1516)=0,0,+G1516-K1516)</f>
        <v/>
      </c>
      <c r="O1516" s="7">
        <f>IF(N1516=0,0,(L1516+H1516)/-N1516)</f>
        <v/>
      </c>
      <c r="P1516" s="7">
        <f>VLOOKUP(OPERAC[[#This Row],[especie]],[1]!ESPECIES[#All],6,0)</f>
        <v/>
      </c>
      <c r="Q1516" s="7">
        <f>IF(N1516&lt;&gt;0,P1516*N1516,0)</f>
        <v/>
      </c>
      <c r="R1516" s="8">
        <f>IF(Q1516&lt;&gt;0,Q1516+H1516+L1516,0)</f>
        <v/>
      </c>
      <c r="S1516" s="9">
        <f>VLOOKUP(OPERAC[[#This Row],[especie]],[1]!ESPECIES[#Data],9,FALSE)</f>
        <v/>
      </c>
    </row>
    <row r="1517">
      <c r="A1517" s="4" t="n">
        <v>4561</v>
      </c>
      <c r="B1517" s="5" t="n">
        <v>44489</v>
      </c>
      <c r="C1517" s="13" t="inlineStr">
        <is>
          <t>VTA</t>
        </is>
      </c>
      <c r="D1517" s="13" t="n">
        <v>43</v>
      </c>
      <c r="E1517" s="10">
        <f>IF(D1517&gt;0,VLOOKUP(OPERAC[[#This Row],[COD CART]],[1]!MatrizCortoLargoCyl[#All],3,0),"")</f>
        <v/>
      </c>
      <c r="F1517" s="13" t="inlineStr">
        <is>
          <t>SESN/CYL-PUT/1,00/19-01-24</t>
        </is>
      </c>
      <c r="G1517" s="6" t="n">
        <v>1000</v>
      </c>
      <c r="H1517" s="6">
        <f>-0.1885*OPERAC[[#This Row],[cantidad]]</f>
        <v/>
      </c>
      <c r="I1517" s="7">
        <f>-H1517/G1517</f>
        <v/>
      </c>
      <c r="J1517" s="11" t="n">
        <v>44698</v>
      </c>
      <c r="K1517" s="6" t="n">
        <v>1000</v>
      </c>
      <c r="L1517" s="6" t="n">
        <v>167.05</v>
      </c>
      <c r="M1517" s="7">
        <f>IF(N1517=0,+L1517+H1517,0)</f>
        <v/>
      </c>
      <c r="N1517" s="7">
        <f>IF((+G1517-K1517)=0,0,+G1517-K1517)</f>
        <v/>
      </c>
      <c r="O1517" s="7">
        <f>IF(N1517=0,0,(L1517+H1517)/-N1517)</f>
        <v/>
      </c>
      <c r="P1517" s="7">
        <f>VLOOKUP(OPERAC[[#This Row],[especie]],[1]!ESPECIES[#All],6,0)</f>
        <v/>
      </c>
      <c r="Q1517" s="7">
        <f>IF(N1517&lt;&gt;0,P1517*N1517,0)</f>
        <v/>
      </c>
      <c r="R1517" s="8">
        <f>IF(Q1517&lt;&gt;0,Q1517+H1517+L1517,0)</f>
        <v/>
      </c>
      <c r="S1517" s="9">
        <f>VLOOKUP(OPERAC[[#This Row],[especie]],[1]!ESPECIES[#Data],9,FALSE)</f>
        <v/>
      </c>
    </row>
    <row r="1518">
      <c r="A1518" s="4" t="n">
        <v>5212</v>
      </c>
      <c r="B1518" s="5" t="n">
        <v>44489</v>
      </c>
      <c r="C1518" s="13" t="inlineStr">
        <is>
          <t>VTA</t>
        </is>
      </c>
      <c r="D1518" s="13" t="n">
        <v>43</v>
      </c>
      <c r="E1518" s="10">
        <f>IF(D1518&gt;0,VLOOKUP(OPERAC[[#This Row],[COD CART]],[1]!MatrizCortoLargoCyl[#All],3,0),"")</f>
        <v/>
      </c>
      <c r="F1518" s="13" t="inlineStr">
        <is>
          <t>SESN/CYL-PUT/1,00/19-01-24</t>
        </is>
      </c>
      <c r="G1518" s="6" t="n">
        <v>1000</v>
      </c>
      <c r="H1518" s="6">
        <f>-0.1885*OPERAC[[#This Row],[cantidad]]</f>
        <v/>
      </c>
      <c r="I1518" s="7">
        <f>-H1518/G1518</f>
        <v/>
      </c>
      <c r="J1518" s="11" t="n">
        <v>44704</v>
      </c>
      <c r="K1518" s="6" t="n">
        <v>1000</v>
      </c>
      <c r="L1518" s="6" t="n">
        <v>-596.256</v>
      </c>
      <c r="M1518" s="7">
        <f>IF(N1518=0,+L1518+H1518,0)</f>
        <v/>
      </c>
      <c r="N1518" s="7">
        <f>IF((+G1518-K1518)=0,0,+G1518-K1518)</f>
        <v/>
      </c>
      <c r="O1518" s="7">
        <f>IF(N1518=0,0,(L1518+H1518)/-N1518)</f>
        <v/>
      </c>
      <c r="P1518" s="7">
        <f>VLOOKUP(OPERAC[[#This Row],[especie]],[1]!ESPECIES[#All],6,0)</f>
        <v/>
      </c>
      <c r="Q1518" s="7">
        <f>IF(N1518&lt;&gt;0,P1518*N1518,0)</f>
        <v/>
      </c>
      <c r="R1518" s="8">
        <f>IF(Q1518&lt;&gt;0,Q1518+H1518+L1518,0)</f>
        <v/>
      </c>
      <c r="S1518" s="9">
        <f>VLOOKUP(OPERAC[[#This Row],[especie]],[1]!ESPECIES[#Data],9,FALSE)</f>
        <v/>
      </c>
    </row>
    <row r="1519">
      <c r="A1519" s="4" t="n">
        <v>7867</v>
      </c>
      <c r="B1519" s="5" t="n">
        <v>44489</v>
      </c>
      <c r="C1519" s="13" t="inlineStr">
        <is>
          <t>VTA</t>
        </is>
      </c>
      <c r="D1519" s="13" t="n">
        <v>43</v>
      </c>
      <c r="E1519" s="10">
        <f>IF(D1519&gt;0,VLOOKUP(OPERAC[[#This Row],[COD CART]],[1]!MatrizCortoLargoCyl[#All],3,0),"")</f>
        <v/>
      </c>
      <c r="F1519" s="13" t="inlineStr">
        <is>
          <t>SESN/CYL-PUT/1,00/19-01-24</t>
        </is>
      </c>
      <c r="G1519" s="6" t="n">
        <v>1000</v>
      </c>
      <c r="H1519" s="6">
        <f>-0.1885*OPERAC[[#This Row],[cantidad]]</f>
        <v/>
      </c>
      <c r="I1519" s="7">
        <f>-H1519/G1519</f>
        <v/>
      </c>
      <c r="J1519" s="11" t="n">
        <v>44615</v>
      </c>
      <c r="K1519" s="6">
        <f>560+440</f>
        <v/>
      </c>
      <c r="L1519" s="6">
        <f>280.766+49.63</f>
        <v/>
      </c>
      <c r="M1519" s="7">
        <f>IF(N1519=0,+L1519+H1519,0)</f>
        <v/>
      </c>
      <c r="N1519" s="7">
        <f>IF((+G1519-K1519)=0,0,+G1519-K1519)</f>
        <v/>
      </c>
      <c r="O1519" s="7">
        <f>IF(N1519=0,0,(L1519+H1519)/-N1519)</f>
        <v/>
      </c>
      <c r="P1519" s="7">
        <f>VLOOKUP(OPERAC[[#This Row],[especie]],[1]!ESPECIES[#All],6,0)</f>
        <v/>
      </c>
      <c r="Q1519" s="7">
        <f>IF(N1519&lt;&gt;0,P1519*N1519,0)</f>
        <v/>
      </c>
      <c r="R1519" s="8">
        <f>IF(Q1519&lt;&gt;0,Q1519+H1519+L1519,0)</f>
        <v/>
      </c>
      <c r="S1519" s="9">
        <f>VLOOKUP(OPERAC[[#This Row],[especie]],[1]!ESPECIES[#Data],9,FALSE)</f>
        <v/>
      </c>
    </row>
    <row r="1520">
      <c r="A1520" s="4" t="n">
        <v>12671</v>
      </c>
      <c r="B1520" s="5" t="n">
        <v>44489</v>
      </c>
      <c r="C1520" s="13" t="inlineStr">
        <is>
          <t>VTA</t>
        </is>
      </c>
      <c r="D1520" s="13" t="n">
        <v>43</v>
      </c>
      <c r="E1520" s="10">
        <f>IF(D1520&gt;0,VLOOKUP(OPERAC[[#This Row],[COD CART]],[1]!MatrizCortoLargoCyl[#All],3,0),"")</f>
        <v/>
      </c>
      <c r="F1520" s="13" t="inlineStr">
        <is>
          <t>SESN/CYL-PUT/1,00/19-01-24</t>
        </is>
      </c>
      <c r="G1520" s="6" t="n">
        <v>1000</v>
      </c>
      <c r="H1520" s="6">
        <f>-0.1885*OPERAC[[#This Row],[cantidad]]</f>
        <v/>
      </c>
      <c r="I1520" s="7">
        <f>-H1520/G1520</f>
        <v/>
      </c>
      <c r="J1520" s="11" t="n"/>
      <c r="K1520" s="6" t="n"/>
      <c r="L1520" s="6" t="n"/>
      <c r="M1520" s="7">
        <f>IF(N1520=0,+L1520+H1520,0)</f>
        <v/>
      </c>
      <c r="N1520" s="7">
        <f>IF((+G1520-K1520)=0,0,+G1520-K1520)</f>
        <v/>
      </c>
      <c r="O1520" s="7">
        <f>IF(N1520=0,0,(L1520+H1520)/-N1520)</f>
        <v/>
      </c>
      <c r="P1520" s="7">
        <f>VLOOKUP(OPERAC[[#This Row],[especie]],[1]!ESPECIES[#All],6,0)</f>
        <v/>
      </c>
      <c r="Q1520" s="7">
        <f>IF(N1520&lt;&gt;0,P1520*N1520,0)</f>
        <v/>
      </c>
      <c r="R1520" s="8">
        <f>IF(Q1520&lt;&gt;0,Q1520+H1520+L1520,0)</f>
        <v/>
      </c>
      <c r="S1520" s="9">
        <f>VLOOKUP(OPERAC[[#This Row],[especie]],[1]!ESPECIES[#Data],9,FALSE)</f>
        <v/>
      </c>
    </row>
    <row r="1521">
      <c r="A1521" s="4" t="n">
        <v>12686</v>
      </c>
      <c r="B1521" s="5" t="n">
        <v>44489</v>
      </c>
      <c r="C1521" s="13" t="inlineStr">
        <is>
          <t>VTA</t>
        </is>
      </c>
      <c r="D1521" s="13" t="n">
        <v>43</v>
      </c>
      <c r="E1521" s="10">
        <f>IF(D1521&gt;0,VLOOKUP(OPERAC[[#This Row],[COD CART]],[1]!MatrizCortoLargoCyl[#All],3,0),"")</f>
        <v/>
      </c>
      <c r="F1521" s="13" t="inlineStr">
        <is>
          <t>SESN/CYL-PUT/1,00/19-01-24</t>
        </is>
      </c>
      <c r="G1521" s="6" t="n">
        <v>1000</v>
      </c>
      <c r="H1521" s="6">
        <f>-0.1885*OPERAC[[#This Row],[cantidad]]</f>
        <v/>
      </c>
      <c r="I1521" s="7">
        <f>-H1521/G1521</f>
        <v/>
      </c>
      <c r="J1521" s="11" t="n"/>
      <c r="K1521" s="6" t="n"/>
      <c r="L1521" s="6" t="n"/>
      <c r="M1521" s="7">
        <f>IF(N1521=0,+L1521+H1521,0)</f>
        <v/>
      </c>
      <c r="N1521" s="7">
        <f>IF((+G1521-K1521)=0,0,+G1521-K1521)</f>
        <v/>
      </c>
      <c r="O1521" s="7">
        <f>IF(N1521=0,0,(L1521+H1521)/-N1521)</f>
        <v/>
      </c>
      <c r="P1521" s="7">
        <f>VLOOKUP(OPERAC[[#This Row],[especie]],[1]!ESPECIES[#All],6,0)</f>
        <v/>
      </c>
      <c r="Q1521" s="7">
        <f>IF(N1521&lt;&gt;0,P1521*N1521,0)</f>
        <v/>
      </c>
      <c r="R1521" s="8">
        <f>IF(Q1521&lt;&gt;0,Q1521+H1521+L1521,0)</f>
        <v/>
      </c>
      <c r="S1521" s="9">
        <f>VLOOKUP(OPERAC[[#This Row],[especie]],[1]!ESPECIES[#Data],9,FALSE)</f>
        <v/>
      </c>
    </row>
    <row r="1522">
      <c r="A1522" s="4" t="n">
        <v>12688</v>
      </c>
      <c r="B1522" s="5" t="n">
        <v>44489</v>
      </c>
      <c r="C1522" s="13" t="inlineStr">
        <is>
          <t>VTA</t>
        </is>
      </c>
      <c r="D1522" s="13" t="n">
        <v>43</v>
      </c>
      <c r="E1522" s="10">
        <f>IF(D1522&gt;0,VLOOKUP(OPERAC[[#This Row],[COD CART]],[1]!MatrizCortoLargoCyl[#All],3,0),"")</f>
        <v/>
      </c>
      <c r="F1522" s="13" t="inlineStr">
        <is>
          <t>SESN/CYL-PUT/1,00/19-01-24</t>
        </is>
      </c>
      <c r="G1522" s="6" t="n">
        <v>1000</v>
      </c>
      <c r="H1522" s="6">
        <f>-0.1885*OPERAC[[#This Row],[cantidad]]</f>
        <v/>
      </c>
      <c r="I1522" s="7">
        <f>-H1522/G1522</f>
        <v/>
      </c>
      <c r="J1522" s="11" t="n">
        <v>44670</v>
      </c>
      <c r="K1522" s="6" t="n">
        <v>1000</v>
      </c>
      <c r="L1522" s="6" t="n">
        <v>224.687</v>
      </c>
      <c r="M1522" s="7">
        <f>IF(N1522=0,+L1522+H1522,0)</f>
        <v/>
      </c>
      <c r="N1522" s="7">
        <f>IF((+G1522-K1522)=0,0,+G1522-K1522)</f>
        <v/>
      </c>
      <c r="O1522" s="7">
        <f>IF(N1522=0,0,(L1522+H1522)/-N1522)</f>
        <v/>
      </c>
      <c r="P1522" s="7">
        <f>VLOOKUP(OPERAC[[#This Row],[especie]],[1]!ESPECIES[#All],6,0)</f>
        <v/>
      </c>
      <c r="Q1522" s="7">
        <f>IF(N1522&lt;&gt;0,P1522*N1522,0)</f>
        <v/>
      </c>
      <c r="R1522" s="8">
        <f>IF(Q1522&lt;&gt;0,Q1522+H1522+L1522,0)</f>
        <v/>
      </c>
      <c r="S1522" s="9">
        <f>VLOOKUP(OPERAC[[#This Row],[especie]],[1]!ESPECIES[#Data],9,FALSE)</f>
        <v/>
      </c>
    </row>
    <row r="1523">
      <c r="A1523" s="4" t="n">
        <v>22421</v>
      </c>
      <c r="B1523" s="5" t="n">
        <v>44489</v>
      </c>
      <c r="C1523" s="13" t="inlineStr">
        <is>
          <t>VTA</t>
        </is>
      </c>
      <c r="D1523" s="13" t="n">
        <v>43</v>
      </c>
      <c r="E1523" s="10">
        <f>IF(D1523&gt;0,VLOOKUP(OPERAC[[#This Row],[COD CART]],[1]!MatrizCortoLargoCyl[#All],3,0),"")</f>
        <v/>
      </c>
      <c r="F1523" s="13" t="inlineStr">
        <is>
          <t>SESN/CYL-PUT/1,00/19-01-24</t>
        </is>
      </c>
      <c r="G1523" s="6" t="n">
        <v>1000</v>
      </c>
      <c r="H1523" s="6">
        <f>-0.1885*OPERAC[[#This Row],[cantidad]]</f>
        <v/>
      </c>
      <c r="I1523" s="7">
        <f>-H1523/G1523</f>
        <v/>
      </c>
      <c r="J1523" s="11" t="n"/>
      <c r="K1523" s="6" t="n"/>
      <c r="L1523" s="6" t="n"/>
      <c r="M1523" s="7">
        <f>IF(N1523=0,+L1523+H1523,0)</f>
        <v/>
      </c>
      <c r="N1523" s="7">
        <f>IF((+G1523-K1523)=0,0,+G1523-K1523)</f>
        <v/>
      </c>
      <c r="O1523" s="7">
        <f>IF(N1523=0,0,(L1523+H1523)/-N1523)</f>
        <v/>
      </c>
      <c r="P1523" s="7">
        <f>VLOOKUP(OPERAC[[#This Row],[especie]],[1]!ESPECIES[#All],6,0)</f>
        <v/>
      </c>
      <c r="Q1523" s="7">
        <f>IF(N1523&lt;&gt;0,P1523*N1523,0)</f>
        <v/>
      </c>
      <c r="R1523" s="8">
        <f>IF(Q1523&lt;&gt;0,Q1523+H1523+L1523,0)</f>
        <v/>
      </c>
      <c r="S1523" s="9">
        <f>VLOOKUP(OPERAC[[#This Row],[especie]],[1]!ESPECIES[#Data],9,FALSE)</f>
        <v/>
      </c>
    </row>
    <row r="1524">
      <c r="A1524" s="4" t="n">
        <v>13188</v>
      </c>
      <c r="B1524" s="5" t="n">
        <v>44538</v>
      </c>
      <c r="C1524" s="13" t="inlineStr">
        <is>
          <t>VTA</t>
        </is>
      </c>
      <c r="D1524" s="13" t="n">
        <v>43</v>
      </c>
      <c r="E1524" s="10">
        <f>IF(D1524&gt;0,VLOOKUP(OPERAC[[#This Row],[COD CART]],[1]!MatrizCortoLargoCyl[#All],3,0),"")</f>
        <v/>
      </c>
      <c r="F1524" s="13" t="inlineStr">
        <is>
          <t>HEXO/CYL-PUT/1,00/20-01-23</t>
        </is>
      </c>
      <c r="G1524" s="6" t="n">
        <v>1000</v>
      </c>
      <c r="H1524" s="6">
        <f>-0.1886*OPERAC[[#This Row],[cantidad]]</f>
        <v/>
      </c>
      <c r="I1524" s="7">
        <f>-H1524/G1524</f>
        <v/>
      </c>
      <c r="J1524" s="11" t="n">
        <v>44615</v>
      </c>
      <c r="K1524" s="6" t="n">
        <v>1000</v>
      </c>
      <c r="L1524" s="6" t="n">
        <v>327.93</v>
      </c>
      <c r="M1524" s="7">
        <f>IF(N1524=0,+L1524+H1524,0)</f>
        <v/>
      </c>
      <c r="N1524" s="7">
        <f>IF((+G1524-K1524)=0,0,+G1524-K1524)</f>
        <v/>
      </c>
      <c r="O1524" s="7">
        <f>IF(N1524=0,0,(L1524+H1524)/-N1524)</f>
        <v/>
      </c>
      <c r="P1524" s="7">
        <f>VLOOKUP(OPERAC[[#This Row],[especie]],[1]!ESPECIES[#All],6,0)</f>
        <v/>
      </c>
      <c r="Q1524" s="7">
        <f>IF(N1524&lt;&gt;0,P1524*N1524,0)</f>
        <v/>
      </c>
      <c r="R1524" s="8">
        <f>IF(Q1524&lt;&gt;0,Q1524+H1524+L1524,0)</f>
        <v/>
      </c>
      <c r="S1524" s="9">
        <f>VLOOKUP(OPERAC[[#This Row],[especie]],[1]!ESPECIES[#Data],9,FALSE)</f>
        <v/>
      </c>
    </row>
    <row r="1525">
      <c r="A1525" s="4" t="n">
        <v>18711</v>
      </c>
      <c r="B1525" s="5" t="n">
        <v>44538</v>
      </c>
      <c r="C1525" s="13" t="inlineStr">
        <is>
          <t>VTA</t>
        </is>
      </c>
      <c r="D1525" s="13" t="n">
        <v>43</v>
      </c>
      <c r="E1525" s="10">
        <f>IF(D1525&gt;0,VLOOKUP(OPERAC[[#This Row],[COD CART]],[1]!MatrizCortoLargoCyl[#All],3,0),"")</f>
        <v/>
      </c>
      <c r="F1525" s="13" t="inlineStr">
        <is>
          <t>HEXO/CYL-PUT/1,00/20-01-23</t>
        </is>
      </c>
      <c r="G1525" s="6" t="n">
        <v>1000</v>
      </c>
      <c r="H1525" s="6">
        <f>-0.1886*OPERAC[[#This Row],[cantidad]]</f>
        <v/>
      </c>
      <c r="I1525" s="7">
        <f>-H1525/G1525</f>
        <v/>
      </c>
      <c r="J1525" s="11" t="n">
        <v>44670</v>
      </c>
      <c r="K1525" s="6">
        <f>500+500</f>
        <v/>
      </c>
      <c r="L1525" s="6">
        <f>160.665-290.23</f>
        <v/>
      </c>
      <c r="M1525" s="7">
        <f>IF(N1525=0,+L1525+H1525,0)</f>
        <v/>
      </c>
      <c r="N1525" s="7">
        <f>IF((+G1525-K1525)=0,0,+G1525-K1525)</f>
        <v/>
      </c>
      <c r="O1525" s="7">
        <f>IF(N1525=0,0,(L1525+H1525)/-N1525)</f>
        <v/>
      </c>
      <c r="P1525" s="7">
        <f>VLOOKUP(OPERAC[[#This Row],[especie]],[1]!ESPECIES[#All],6,0)</f>
        <v/>
      </c>
      <c r="Q1525" s="7">
        <f>IF(N1525&lt;&gt;0,P1525*N1525,0)</f>
        <v/>
      </c>
      <c r="R1525" s="8">
        <f>IF(Q1525&lt;&gt;0,Q1525+H1525+L1525,0)</f>
        <v/>
      </c>
      <c r="S1525" s="9">
        <f>VLOOKUP(OPERAC[[#This Row],[especie]],[1]!ESPECIES[#Data],9,FALSE)</f>
        <v/>
      </c>
    </row>
    <row r="1526">
      <c r="A1526" s="4" t="n">
        <v>18713</v>
      </c>
      <c r="B1526" s="5" t="n">
        <v>44538</v>
      </c>
      <c r="C1526" s="13" t="inlineStr">
        <is>
          <t>VTA</t>
        </is>
      </c>
      <c r="D1526" s="13" t="n">
        <v>43</v>
      </c>
      <c r="E1526" s="10">
        <f>IF(D1526&gt;0,VLOOKUP(OPERAC[[#This Row],[COD CART]],[1]!MatrizCortoLargoCyl[#All],3,0),"")</f>
        <v/>
      </c>
      <c r="F1526" s="13" t="inlineStr">
        <is>
          <t>HEXO/CYL-PUT/1,00/20-01-23</t>
        </is>
      </c>
      <c r="G1526" s="6" t="n">
        <v>1000</v>
      </c>
      <c r="H1526" s="6">
        <f>-0.1886*OPERAC[[#This Row],[cantidad]]</f>
        <v/>
      </c>
      <c r="I1526" s="7">
        <f>-H1526/G1526</f>
        <v/>
      </c>
      <c r="J1526" s="11" t="n">
        <v>44697</v>
      </c>
      <c r="K1526" s="6" t="n">
        <v>1000</v>
      </c>
      <c r="L1526" s="6" t="n">
        <v>171.91</v>
      </c>
      <c r="M1526" s="7">
        <f>IF(N1526=0,+L1526+H1526,0)</f>
        <v/>
      </c>
      <c r="N1526" s="7">
        <f>IF((+G1526-K1526)=0,0,+G1526-K1526)</f>
        <v/>
      </c>
      <c r="O1526" s="7">
        <f>IF(N1526=0,0,(L1526+H1526)/-N1526)</f>
        <v/>
      </c>
      <c r="P1526" s="7">
        <f>VLOOKUP(OPERAC[[#This Row],[especie]],[1]!ESPECIES[#All],6,0)</f>
        <v/>
      </c>
      <c r="Q1526" s="7">
        <f>IF(N1526&lt;&gt;0,P1526*N1526,0)</f>
        <v/>
      </c>
      <c r="R1526" s="8">
        <f>IF(Q1526&lt;&gt;0,Q1526+H1526+L1526,0)</f>
        <v/>
      </c>
      <c r="S1526" s="9">
        <f>VLOOKUP(OPERAC[[#This Row],[especie]],[1]!ESPECIES[#Data],9,FALSE)</f>
        <v/>
      </c>
    </row>
    <row r="1527">
      <c r="A1527" s="4" t="n">
        <v>20317</v>
      </c>
      <c r="B1527" s="5" t="n">
        <v>44538</v>
      </c>
      <c r="C1527" s="13" t="inlineStr">
        <is>
          <t>VTA</t>
        </is>
      </c>
      <c r="D1527" s="13" t="n">
        <v>43</v>
      </c>
      <c r="E1527" s="10">
        <f>IF(D1527&gt;0,VLOOKUP(OPERAC[[#This Row],[COD CART]],[1]!MatrizCortoLargoCyl[#All],3,0),"")</f>
        <v/>
      </c>
      <c r="F1527" s="13" t="inlineStr">
        <is>
          <t>HEXO/CYL-PUT/1,00/20-01-23</t>
        </is>
      </c>
      <c r="G1527" s="6" t="n">
        <v>1000</v>
      </c>
      <c r="H1527" s="6">
        <f>-0.1886*OPERAC[[#This Row],[cantidad]]</f>
        <v/>
      </c>
      <c r="I1527" s="7">
        <f>-H1527/G1527</f>
        <v/>
      </c>
      <c r="J1527" s="11" t="n"/>
      <c r="K1527" s="6" t="n"/>
      <c r="L1527" s="6" t="n"/>
      <c r="M1527" s="7">
        <f>IF(N1527=0,+L1527+H1527,0)</f>
        <v/>
      </c>
      <c r="N1527" s="7">
        <f>IF((+G1527-K1527)=0,0,+G1527-K1527)</f>
        <v/>
      </c>
      <c r="O1527" s="7">
        <f>IF(N1527=0,0,(L1527+H1527)/-N1527)</f>
        <v/>
      </c>
      <c r="P1527" s="7">
        <f>VLOOKUP(OPERAC[[#This Row],[especie]],[1]!ESPECIES[#All],6,0)</f>
        <v/>
      </c>
      <c r="Q1527" s="7">
        <f>IF(N1527&lt;&gt;0,P1527*N1527,0)</f>
        <v/>
      </c>
      <c r="R1527" s="8">
        <f>IF(Q1527&lt;&gt;0,Q1527+H1527+L1527,0)</f>
        <v/>
      </c>
      <c r="S1527" s="9">
        <f>VLOOKUP(OPERAC[[#This Row],[especie]],[1]!ESPECIES[#Data],9,FALSE)</f>
        <v/>
      </c>
    </row>
    <row r="1528">
      <c r="A1528" s="4" t="n">
        <v>18663</v>
      </c>
      <c r="B1528" s="5" t="n">
        <v>44228</v>
      </c>
      <c r="C1528" s="13" t="inlineStr">
        <is>
          <t>VTA</t>
        </is>
      </c>
      <c r="D1528" s="13" t="n">
        <v>41</v>
      </c>
      <c r="E1528" s="10">
        <f>IF(D1528&gt;0,VLOOKUP(OPERAC[[#This Row],[COD CART]],[1]!MatrizCortoLargoCyl[#All],3,0),"")</f>
        <v/>
      </c>
      <c r="F1528" s="13" t="inlineStr">
        <is>
          <t>STOR</t>
        </is>
      </c>
      <c r="G1528" s="6" t="n">
        <v>6</v>
      </c>
      <c r="H1528" s="6" t="n">
        <v>-188.82064</v>
      </c>
      <c r="I1528" s="7">
        <f>-H1528/G1528</f>
        <v/>
      </c>
      <c r="J1528" s="11" t="n"/>
      <c r="K1528" s="6" t="n"/>
      <c r="L1528" s="6" t="n"/>
      <c r="M1528" s="7">
        <f>IF(N1528=0,+L1528+H1528,0)</f>
        <v/>
      </c>
      <c r="N1528" s="7">
        <f>IF((+G1528-K1528)=0,0,+G1528-K1528)</f>
        <v/>
      </c>
      <c r="O1528" s="7">
        <f>IF(N1528=0,0,(L1528+H1528)/-N1528)</f>
        <v/>
      </c>
      <c r="P1528" s="7">
        <f>VLOOKUP(OPERAC[[#This Row],[especie]],[1]!ESPECIES[#All],6,0)</f>
        <v/>
      </c>
      <c r="Q1528" s="7">
        <f>IF(N1528&lt;&gt;0,P1528*N1528,0)</f>
        <v/>
      </c>
      <c r="R1528" s="8">
        <f>IF(Q1528&lt;&gt;0,Q1528+H1528+L1528,0)</f>
        <v/>
      </c>
      <c r="S1528" s="9">
        <f>VLOOKUP(OPERAC[[#This Row],[especie]],[1]!ESPECIES[#Data],9,FALSE)</f>
        <v/>
      </c>
    </row>
    <row r="1529">
      <c r="A1529" s="4" t="n">
        <v>5212</v>
      </c>
      <c r="B1529" s="5" t="n">
        <v>44708</v>
      </c>
      <c r="C1529" s="13" t="inlineStr">
        <is>
          <t>VTA</t>
        </is>
      </c>
      <c r="D1529" s="13" t="n">
        <v>41</v>
      </c>
      <c r="E1529" s="10">
        <f>IF(D1529&gt;0,VLOOKUP(OPERAC[[#This Row],[COD CART]],[1]!MatrizCortoLargoCyl[#All],3,0),"")</f>
        <v/>
      </c>
      <c r="F1529" s="13" t="inlineStr">
        <is>
          <t>BABA</t>
        </is>
      </c>
      <c r="G1529" s="6" t="n">
        <v>2</v>
      </c>
      <c r="H1529" s="6" t="n">
        <v>-188.993</v>
      </c>
      <c r="I1529" s="7">
        <f>-H1529/G1529</f>
        <v/>
      </c>
      <c r="J1529" s="5" t="n"/>
      <c r="K1529" s="6" t="n"/>
      <c r="L1529" s="6" t="n"/>
      <c r="M1529" s="7">
        <f>IF(N1529=0,+L1529+H1529,0)</f>
        <v/>
      </c>
      <c r="N1529" s="7">
        <f>IF((+G1529-K1529)=0,0,+G1529-K1529)</f>
        <v/>
      </c>
      <c r="O1529" s="7">
        <f>IF(N1529=0,0,(L1529+H1529)/-N1529)</f>
        <v/>
      </c>
      <c r="P1529" s="7">
        <f>VLOOKUP(OPERAC[[#This Row],[especie]],[1]!ESPECIES[#All],6,0)</f>
        <v/>
      </c>
      <c r="Q1529" s="7">
        <f>IF(N1529&lt;&gt;0,P1529*N1529,0)</f>
        <v/>
      </c>
      <c r="R1529" s="8">
        <f>IF(Q1529&lt;&gt;0,Q1529+H1529+L1529,0)</f>
        <v/>
      </c>
      <c r="S1529" s="9">
        <f>VLOOKUP(OPERAC[[#This Row],[especie]],[1]!ESPECIES[#Data],9,FALSE)</f>
        <v/>
      </c>
    </row>
    <row r="1530">
      <c r="A1530" s="4" t="n">
        <v>18663</v>
      </c>
      <c r="B1530" s="5" t="n">
        <v>44410</v>
      </c>
      <c r="C1530" s="13" t="inlineStr">
        <is>
          <t>VTA</t>
        </is>
      </c>
      <c r="D1530" s="13" t="n">
        <v>41</v>
      </c>
      <c r="E1530" s="10">
        <f>IF(D1530&gt;0,VLOOKUP(OPERAC[[#This Row],[COD CART]],[1]!MatrizCortoLargoCyl[#All],3,0),"")</f>
        <v/>
      </c>
      <c r="F1530" s="13" t="inlineStr">
        <is>
          <t>HEOFF</t>
        </is>
      </c>
      <c r="G1530" s="6" t="n">
        <v>100</v>
      </c>
      <c r="H1530" s="6" t="n">
        <v>-190.504</v>
      </c>
      <c r="I1530" s="7">
        <f>-H1530/G1530</f>
        <v/>
      </c>
      <c r="J1530" s="11" t="n"/>
      <c r="K1530" s="6" t="n"/>
      <c r="L1530" s="6" t="n"/>
      <c r="M1530" s="7">
        <f>IF(N1530=0,+L1530+H1530,0)</f>
        <v/>
      </c>
      <c r="N1530" s="7">
        <f>IF((+G1530-K1530)=0,0,+G1530-K1530)</f>
        <v/>
      </c>
      <c r="O1530" s="7">
        <f>IF(N1530=0,0,(L1530+H1530)/-N1530)</f>
        <v/>
      </c>
      <c r="P1530" s="7">
        <f>VLOOKUP(OPERAC[[#This Row],[especie]],[1]!ESPECIES[#All],6,0)</f>
        <v/>
      </c>
      <c r="Q1530" s="7">
        <f>IF(N1530&lt;&gt;0,P1530*N1530,0)</f>
        <v/>
      </c>
      <c r="R1530" s="8">
        <f>IF(Q1530&lt;&gt;0,Q1530+H1530+L1530,0)</f>
        <v/>
      </c>
      <c r="S1530" s="9">
        <f>VLOOKUP(OPERAC[[#This Row],[especie]],[1]!ESPECIES[#Data],9,FALSE)</f>
        <v/>
      </c>
    </row>
    <row r="1531">
      <c r="A1531" s="4" t="n">
        <v>7879</v>
      </c>
      <c r="B1531" s="5" t="n">
        <v>44708</v>
      </c>
      <c r="C1531" s="13" t="inlineStr">
        <is>
          <t>VTA</t>
        </is>
      </c>
      <c r="D1531" s="13" t="n">
        <v>41</v>
      </c>
      <c r="E1531" s="10">
        <f>IF(D1531&gt;0,VLOOKUP(OPERAC[[#This Row],[COD CART]],[1]!MatrizCortoLargoCyl[#All],3,0),"")</f>
        <v/>
      </c>
      <c r="F1531" s="13" t="inlineStr">
        <is>
          <t>GBTC</t>
        </is>
      </c>
      <c r="G1531" s="6" t="n">
        <v>10</v>
      </c>
      <c r="H1531" s="6" t="n">
        <v>-191.312</v>
      </c>
      <c r="I1531" s="7">
        <f>-H1531/G1531</f>
        <v/>
      </c>
      <c r="J1531" s="5" t="n"/>
      <c r="K1531" s="6" t="n"/>
      <c r="L1531" s="6" t="n"/>
      <c r="M1531" s="7">
        <f>IF(N1531=0,+L1531+H1531,0)</f>
        <v/>
      </c>
      <c r="N1531" s="7">
        <f>IF((+G1531-K1531)=0,0,+G1531-K1531)</f>
        <v/>
      </c>
      <c r="O1531" s="7" t="n">
        <v>23.7</v>
      </c>
      <c r="P1531" s="7">
        <f>VLOOKUP(OPERAC[[#This Row],[especie]],[1]!ESPECIES[#All],6,0)</f>
        <v/>
      </c>
      <c r="Q1531" s="7">
        <f>IF(N1531&lt;&gt;0,P1531*N1531,0)</f>
        <v/>
      </c>
      <c r="R1531" s="8">
        <f>IF(Q1531&lt;&gt;0,Q1531+H1531+L1531,0)</f>
        <v/>
      </c>
      <c r="S1531" s="9">
        <f>VLOOKUP(OPERAC[[#This Row],[especie]],[1]!ESPECIES[#Data],9,FALSE)</f>
        <v/>
      </c>
    </row>
    <row r="1532">
      <c r="A1532" s="4" t="n">
        <v>1000</v>
      </c>
      <c r="B1532" s="5" t="n">
        <v>44552</v>
      </c>
      <c r="C1532" s="13" t="inlineStr">
        <is>
          <t>VTA</t>
        </is>
      </c>
      <c r="D1532" s="13" t="n">
        <v>41</v>
      </c>
      <c r="E1532" s="10">
        <f>IF(D1532&gt;0,VLOOKUP(OPERAC[[#This Row],[COD CART]],[1]!MatrizCortoLargoCyl[#All],3,0),"")</f>
        <v/>
      </c>
      <c r="F1532" s="13" t="inlineStr">
        <is>
          <t>TLRY</t>
        </is>
      </c>
      <c r="G1532" s="6" t="n">
        <v>25</v>
      </c>
      <c r="H1532" s="6" t="n">
        <v>-191.475</v>
      </c>
      <c r="I1532" s="7">
        <f>-H1532/G1532</f>
        <v/>
      </c>
      <c r="J1532" s="11" t="n">
        <v>44572</v>
      </c>
      <c r="K1532" s="6" t="n">
        <v>25</v>
      </c>
      <c r="L1532" s="6" t="n">
        <v>184.3175</v>
      </c>
      <c r="M1532" s="7">
        <f>IF(N1532=0,+L1532+H1532,0)</f>
        <v/>
      </c>
      <c r="N1532" s="7">
        <f>IF((+G1532-K1532)=0,0,+G1532-K1532)</f>
        <v/>
      </c>
      <c r="O1532" s="7">
        <f>IF(N1532=0,0,(L1532+H1532)/-N1532)</f>
        <v/>
      </c>
      <c r="P1532" s="7">
        <f>VLOOKUP(OPERAC[[#This Row],[especie]],[1]!ESPECIES[#All],6,0)</f>
        <v/>
      </c>
      <c r="Q1532" s="7">
        <f>IF(N1532&lt;&gt;0,P1532*N1532,0)</f>
        <v/>
      </c>
      <c r="R1532" s="8">
        <f>IF(Q1532&lt;&gt;0,Q1532+H1532+L1532,0)</f>
        <v/>
      </c>
      <c r="S1532" s="9">
        <f>VLOOKUP(OPERAC[[#This Row],[especie]],[1]!ESPECIES[#Data],9,FALSE)</f>
        <v/>
      </c>
    </row>
    <row r="1533">
      <c r="A1533" s="4" t="n">
        <v>18663</v>
      </c>
      <c r="B1533" s="5" t="n">
        <v>44279</v>
      </c>
      <c r="C1533" s="13" t="inlineStr">
        <is>
          <t>VTA</t>
        </is>
      </c>
      <c r="D1533" s="13" t="n">
        <v>41</v>
      </c>
      <c r="E1533" s="10">
        <f>IF(D1533&gt;0,VLOOKUP(OPERAC[[#This Row],[COD CART]],[1]!MatrizCortoLargoCyl[#All],3,0),"")</f>
        <v/>
      </c>
      <c r="F1533" s="13" t="inlineStr">
        <is>
          <t>DIS</t>
        </is>
      </c>
      <c r="G1533" s="6" t="n">
        <v>1</v>
      </c>
      <c r="H1533" s="6" t="n">
        <v>-191.89504</v>
      </c>
      <c r="I1533" s="7">
        <f>-H1533/G1533</f>
        <v/>
      </c>
      <c r="J1533" s="11" t="n"/>
      <c r="K1533" s="6" t="n"/>
      <c r="L1533" s="6" t="n"/>
      <c r="M1533" s="7">
        <f>IF(N1533=0,+L1533+H1533,0)</f>
        <v/>
      </c>
      <c r="N1533" s="7">
        <f>IF((+G1533-K1533)=0,0,+G1533-K1533)</f>
        <v/>
      </c>
      <c r="O1533" s="7">
        <f>IF(N1533=0,0,(L1533+H1533)/-N1533)</f>
        <v/>
      </c>
      <c r="P1533" s="7">
        <f>VLOOKUP(OPERAC[[#This Row],[especie]],[1]!ESPECIES[#All],6,0)</f>
        <v/>
      </c>
      <c r="Q1533" s="7">
        <f>IF(N1533&lt;&gt;0,P1533*N1533,0)</f>
        <v/>
      </c>
      <c r="R1533" s="8">
        <f>IF(Q1533&lt;&gt;0,Q1533+H1533+L1533,0)</f>
        <v/>
      </c>
      <c r="S1533" s="9">
        <f>VLOOKUP(OPERAC[[#This Row],[especie]],[1]!ESPECIES[#Data],9,FALSE)</f>
        <v/>
      </c>
    </row>
    <row r="1534">
      <c r="A1534" s="4" t="n">
        <v>16829</v>
      </c>
      <c r="B1534" s="5" t="n">
        <v>44586</v>
      </c>
      <c r="C1534" s="13" t="inlineStr">
        <is>
          <t>VTA</t>
        </is>
      </c>
      <c r="D1534" s="13" t="n">
        <v>43</v>
      </c>
      <c r="E1534" s="10">
        <f>IF(D1534&gt;0,VLOOKUP(OPERAC[[#This Row],[COD CART]],[1]!MatrizCortoLargoCyl[#All],3,0),"")</f>
        <v/>
      </c>
      <c r="F1534" s="13" t="inlineStr">
        <is>
          <t>GMBL/CYL-PUT/2,50/20-01-23</t>
        </is>
      </c>
      <c r="G1534" s="6" t="n">
        <v>200</v>
      </c>
      <c r="H1534" s="6" t="n">
        <v>-192.5711000000001</v>
      </c>
      <c r="I1534" s="7">
        <f>-H1534/G1534</f>
        <v/>
      </c>
      <c r="J1534" s="11" t="n"/>
      <c r="K1534" s="6" t="n"/>
      <c r="L1534" s="6" t="n"/>
      <c r="M1534" s="7">
        <f>IF(N1534=0,+L1534+H1534,0)</f>
        <v/>
      </c>
      <c r="N1534" s="7">
        <f>IF((+G1534-K1534)=0,0,+G1534-K1534)</f>
        <v/>
      </c>
      <c r="O1534" s="7">
        <f>IF(N1534=0,0,(L1534+H1534)/-N1534)</f>
        <v/>
      </c>
      <c r="P1534" s="7">
        <f>VLOOKUP(OPERAC[[#This Row],[especie]],[1]!ESPECIES[#All],6,0)</f>
        <v/>
      </c>
      <c r="Q1534" s="7">
        <f>IF(N1534&lt;&gt;0,P1534*N1534,0)</f>
        <v/>
      </c>
      <c r="R1534" s="8">
        <f>IF(Q1534&lt;&gt;0,Q1534+H1534+L1534,0)</f>
        <v/>
      </c>
      <c r="S1534" s="9">
        <f>VLOOKUP(OPERAC[[#This Row],[especie]],[1]!ESPECIES[#Data],9,FALSE)</f>
        <v/>
      </c>
    </row>
    <row r="1535">
      <c r="A1535" s="4" t="n">
        <v>13174</v>
      </c>
      <c r="B1535" s="5" t="n">
        <v>44379</v>
      </c>
      <c r="C1535" s="13" t="inlineStr">
        <is>
          <t>VTA</t>
        </is>
      </c>
      <c r="D1535" s="13" t="n">
        <v>41</v>
      </c>
      <c r="E1535" s="10">
        <f>IF(D1535&gt;0,VLOOKUP(OPERAC[[#This Row],[COD CART]],[1]!MatrizCortoLargoCyl[#All],3,0),"")</f>
        <v/>
      </c>
      <c r="F1535" s="13" t="inlineStr">
        <is>
          <t>HMY</t>
        </is>
      </c>
      <c r="G1535" s="6" t="n">
        <v>50</v>
      </c>
      <c r="H1535" s="6" t="n">
        <v>-194.036</v>
      </c>
      <c r="I1535" s="7">
        <f>-H1535/G1535</f>
        <v/>
      </c>
      <c r="J1535" s="11" t="n"/>
      <c r="K1535" s="6" t="n"/>
      <c r="L1535" s="6" t="n"/>
      <c r="M1535" s="7">
        <f>IF(N1535=0,+L1535+H1535,0)</f>
        <v/>
      </c>
      <c r="N1535" s="7">
        <f>IF((+G1535-K1535)=0,0,+G1535-K1535)</f>
        <v/>
      </c>
      <c r="O1535" s="7">
        <f>IF(N1535=0,0,(L1535+H1535)/-N1535)</f>
        <v/>
      </c>
      <c r="P1535" s="7">
        <f>VLOOKUP(OPERAC[[#This Row],[especie]],[1]!ESPECIES[#All],6,0)</f>
        <v/>
      </c>
      <c r="Q1535" s="7">
        <f>IF(N1535&lt;&gt;0,P1535*N1535,0)</f>
        <v/>
      </c>
      <c r="R1535" s="8">
        <f>IF(Q1535&lt;&gt;0,Q1535+H1535+L1535,0)</f>
        <v/>
      </c>
      <c r="S1535" s="9">
        <f>VLOOKUP(OPERAC[[#This Row],[especie]],[1]!ESPECIES[#Data],9,FALSE)</f>
        <v/>
      </c>
    </row>
    <row r="1536">
      <c r="A1536" s="4" t="n">
        <v>13253</v>
      </c>
      <c r="B1536" s="5" t="n">
        <v>44238</v>
      </c>
      <c r="C1536" s="13" t="inlineStr">
        <is>
          <t>VTA</t>
        </is>
      </c>
      <c r="D1536" s="13" t="n">
        <v>41</v>
      </c>
      <c r="E1536" s="10">
        <f>IF(D1536&gt;0,VLOOKUP(OPERAC[[#This Row],[COD CART]],[1]!MatrizCortoLargoCyl[#All],3,0),"")</f>
        <v/>
      </c>
      <c r="F1536" s="13" t="inlineStr">
        <is>
          <t>TLRY</t>
        </is>
      </c>
      <c r="G1536" s="6" t="n">
        <v>8</v>
      </c>
      <c r="H1536" s="6" t="n">
        <v>-194.133</v>
      </c>
      <c r="I1536" s="7">
        <f>-H1536/G1536</f>
        <v/>
      </c>
      <c r="J1536" s="11" t="n"/>
      <c r="K1536" s="6" t="n"/>
      <c r="L1536" s="6" t="n"/>
      <c r="M1536" s="7">
        <f>IF(N1536=0,+L1536+H1536,0)</f>
        <v/>
      </c>
      <c r="N1536" s="7">
        <f>IF((+G1536-K1536)=0,0,+G1536-K1536)</f>
        <v/>
      </c>
      <c r="O1536" s="7">
        <f>IF(N1536=0,0,(L1536+H1536)/-N1536)</f>
        <v/>
      </c>
      <c r="P1536" s="7">
        <f>VLOOKUP(OPERAC[[#This Row],[especie]],[1]!ESPECIES[#All],6,0)</f>
        <v/>
      </c>
      <c r="Q1536" s="7">
        <f>IF(N1536&lt;&gt;0,P1536*N1536,0)</f>
        <v/>
      </c>
      <c r="R1536" s="8">
        <f>IF(Q1536&lt;&gt;0,Q1536+H1536+L1536,0)</f>
        <v/>
      </c>
      <c r="S1536" s="9">
        <f>VLOOKUP(OPERAC[[#This Row],[especie]],[1]!ESPECIES[#Data],9,FALSE)</f>
        <v/>
      </c>
    </row>
    <row r="1537">
      <c r="A1537" s="4" t="n">
        <v>18663</v>
      </c>
      <c r="B1537" s="5" t="n">
        <v>44279</v>
      </c>
      <c r="C1537" s="13" t="inlineStr">
        <is>
          <t>VTA</t>
        </is>
      </c>
      <c r="D1537" s="13" t="n">
        <v>41</v>
      </c>
      <c r="E1537" s="10">
        <f>IF(D1537&gt;0,VLOOKUP(OPERAC[[#This Row],[COD CART]],[1]!MatrizCortoLargoCyl[#All],3,0),"")</f>
        <v/>
      </c>
      <c r="F1537" s="13" t="inlineStr">
        <is>
          <t>SPWR</t>
        </is>
      </c>
      <c r="G1537" s="6" t="n">
        <v>6</v>
      </c>
      <c r="H1537" s="6" t="n">
        <v>-195.56416</v>
      </c>
      <c r="I1537" s="7">
        <f>-H1537/G1537</f>
        <v/>
      </c>
      <c r="J1537" s="11" t="n">
        <v>44481</v>
      </c>
      <c r="K1537" s="6" t="n">
        <v>5</v>
      </c>
      <c r="L1537" s="6">
        <f>5*27.749</f>
        <v/>
      </c>
      <c r="M1537" s="7">
        <f>IF(N1537=0,+L1537+H1537,0)</f>
        <v/>
      </c>
      <c r="N1537" s="7">
        <f>IF((+G1537-K1537)=0,0,+G1537-K1537)</f>
        <v/>
      </c>
      <c r="O1537" s="7">
        <f>IF(N1537=0,0,(L1537+H1537)/-N1537)</f>
        <v/>
      </c>
      <c r="P1537" s="7">
        <f>VLOOKUP(OPERAC[[#This Row],[especie]],[1]!ESPECIES[#All],6,0)</f>
        <v/>
      </c>
      <c r="Q1537" s="7">
        <f>IF(N1537&lt;&gt;0,P1537*N1537,0)</f>
        <v/>
      </c>
      <c r="R1537" s="8">
        <f>IF(Q1537&lt;&gt;0,Q1537+H1537+L1537,0)</f>
        <v/>
      </c>
      <c r="S1537" s="9">
        <f>VLOOKUP(OPERAC[[#This Row],[especie]],[1]!ESPECIES[#Data],9,FALSE)</f>
        <v/>
      </c>
    </row>
    <row r="1538">
      <c r="A1538" s="4" t="n">
        <v>13253</v>
      </c>
      <c r="B1538" s="5" t="n">
        <v>44260</v>
      </c>
      <c r="C1538" s="13" t="inlineStr">
        <is>
          <t>VTA</t>
        </is>
      </c>
      <c r="D1538" s="13" t="n">
        <v>41</v>
      </c>
      <c r="E1538" s="10">
        <f>IF(D1538&gt;0,VLOOKUP(OPERAC[[#This Row],[COD CART]],[1]!MatrizCortoLargoCyl[#All],3,0),"")</f>
        <v/>
      </c>
      <c r="F1538" s="13" t="inlineStr">
        <is>
          <t>BEP</t>
        </is>
      </c>
      <c r="G1538" s="6" t="n">
        <v>5</v>
      </c>
      <c r="H1538" s="6" t="n">
        <v>-195.9976</v>
      </c>
      <c r="I1538" s="7">
        <f>-H1538/G1538</f>
        <v/>
      </c>
      <c r="J1538" s="11" t="n"/>
      <c r="K1538" s="6" t="n"/>
      <c r="L1538" s="6" t="n"/>
      <c r="M1538" s="7">
        <f>IF(N1538=0,+L1538+H1538,0)</f>
        <v/>
      </c>
      <c r="N1538" s="7">
        <f>IF((+G1538-K1538)=0,0,+G1538-K1538)</f>
        <v/>
      </c>
      <c r="O1538" s="7">
        <f>IF(N1538=0,0,(L1538+H1538)/-N1538)</f>
        <v/>
      </c>
      <c r="P1538" s="7">
        <f>VLOOKUP(OPERAC[[#This Row],[especie]],[1]!ESPECIES[#All],6,0)</f>
        <v/>
      </c>
      <c r="Q1538" s="7">
        <f>IF(N1538&lt;&gt;0,P1538*N1538,0)</f>
        <v/>
      </c>
      <c r="R1538" s="8">
        <f>IF(Q1538&lt;&gt;0,Q1538+H1538+L1538,0)</f>
        <v/>
      </c>
      <c r="S1538" s="9">
        <f>VLOOKUP(OPERAC[[#This Row],[especie]],[1]!ESPECIES[#Data],9,FALSE)</f>
        <v/>
      </c>
    </row>
    <row r="1539">
      <c r="A1539" s="4" t="n">
        <v>19972</v>
      </c>
      <c r="B1539" s="5" t="n">
        <v>44664</v>
      </c>
      <c r="C1539" s="13" t="inlineStr">
        <is>
          <t>VTA</t>
        </is>
      </c>
      <c r="D1539" s="13" t="n">
        <v>41</v>
      </c>
      <c r="E1539" s="10">
        <f>IF(D1539&gt;0,VLOOKUP(OPERAC[[#This Row],[COD CART]],[1]!MatrizCortoLargoCyl[#All],3,0),"")</f>
        <v/>
      </c>
      <c r="F1539" s="13" t="inlineStr">
        <is>
          <t>AMD</t>
        </is>
      </c>
      <c r="G1539" s="6" t="n">
        <v>2</v>
      </c>
      <c r="H1539" s="6" t="n">
        <v>-197.14955634</v>
      </c>
      <c r="I1539" s="7">
        <f>-H1539/G1539</f>
        <v/>
      </c>
      <c r="J1539" s="11" t="n"/>
      <c r="K1539" s="6" t="n"/>
      <c r="L1539" s="6" t="n"/>
      <c r="M1539" s="7">
        <f>IF(N1539=0,+L1539+H1539,0)</f>
        <v/>
      </c>
      <c r="N1539" s="7">
        <f>IF((+G1539-K1539)=0,0,+G1539-K1539)</f>
        <v/>
      </c>
      <c r="O1539" s="7">
        <f>IF(N1539=0,0,(L1539+H1539)/-N1539)</f>
        <v/>
      </c>
      <c r="P1539" s="7">
        <f>VLOOKUP(OPERAC[[#This Row],[especie]],[1]!ESPECIES[#All],6,0)</f>
        <v/>
      </c>
      <c r="Q1539" s="7">
        <f>IF(N1539&lt;&gt;0,P1539*N1539,0)</f>
        <v/>
      </c>
      <c r="R1539" s="8">
        <f>IF(Q1539&lt;&gt;0,Q1539+H1539+L1539,0)</f>
        <v/>
      </c>
      <c r="S1539" s="9">
        <f>VLOOKUP(OPERAC[[#This Row],[especie]],[1]!ESPECIES[#Data],9,FALSE)</f>
        <v/>
      </c>
    </row>
    <row r="1540">
      <c r="A1540" s="4" t="n">
        <v>1807</v>
      </c>
      <c r="B1540" s="5" t="n">
        <v>44664</v>
      </c>
      <c r="C1540" s="13" t="inlineStr">
        <is>
          <t>VTA</t>
        </is>
      </c>
      <c r="D1540" s="13" t="n">
        <v>42</v>
      </c>
      <c r="E1540" s="10">
        <f>IF(D1540&gt;0,VLOOKUP(OPERAC[[#This Row],[COD CART]],[1]!MatrizCortoLargoCyl[#All],3,0),"")</f>
        <v/>
      </c>
      <c r="F1540" s="13" t="inlineStr">
        <is>
          <t>AMD</t>
        </is>
      </c>
      <c r="G1540" s="6" t="n">
        <v>2</v>
      </c>
      <c r="H1540" s="6" t="n">
        <v>-197.54130906</v>
      </c>
      <c r="I1540" s="7">
        <f>-H1540/G1540</f>
        <v/>
      </c>
      <c r="J1540" s="11" t="n">
        <v>44693</v>
      </c>
      <c r="K1540" s="6" t="n">
        <v>2</v>
      </c>
      <c r="L1540" s="6" t="n">
        <v>166.296</v>
      </c>
      <c r="M1540" s="7">
        <f>IF(N1540=0,+L1540+H1540,0)</f>
        <v/>
      </c>
      <c r="N1540" s="7">
        <f>IF((+G1540-K1540)=0,0,+G1540-K1540)</f>
        <v/>
      </c>
      <c r="O1540" s="7">
        <f>IF(N1540=0,0,(L1540+H1540)/-N1540)</f>
        <v/>
      </c>
      <c r="P1540" s="7">
        <f>VLOOKUP(OPERAC[[#This Row],[especie]],[1]!ESPECIES[#All],6,0)</f>
        <v/>
      </c>
      <c r="Q1540" s="7">
        <f>IF(N1540&lt;&gt;0,P1540*N1540,0)</f>
        <v/>
      </c>
      <c r="R1540" s="8">
        <f>IF(Q1540&lt;&gt;0,Q1540+H1540+L1540,0)</f>
        <v/>
      </c>
      <c r="S1540" s="9">
        <f>VLOOKUP(OPERAC[[#This Row],[especie]],[1]!ESPECIES[#Data],9,FALSE)</f>
        <v/>
      </c>
    </row>
    <row r="1541">
      <c r="A1541" s="4" t="n">
        <v>2289</v>
      </c>
      <c r="B1541" s="5" t="n">
        <v>44664</v>
      </c>
      <c r="C1541" s="13" t="inlineStr">
        <is>
          <t>VTA</t>
        </is>
      </c>
      <c r="D1541" s="13" t="n">
        <v>42</v>
      </c>
      <c r="E1541" s="10">
        <f>IF(D1541&gt;0,VLOOKUP(OPERAC[[#This Row],[COD CART]],[1]!MatrizCortoLargoCyl[#All],3,0),"")</f>
        <v/>
      </c>
      <c r="F1541" s="13" t="inlineStr">
        <is>
          <t>AMD</t>
        </is>
      </c>
      <c r="G1541" s="6" t="n">
        <v>2</v>
      </c>
      <c r="H1541" s="6" t="n">
        <v>-197.54130906</v>
      </c>
      <c r="I1541" s="7">
        <f>-H1541/G1541</f>
        <v/>
      </c>
      <c r="J1541" s="11" t="n"/>
      <c r="K1541" s="6" t="n"/>
      <c r="L1541" s="6" t="n"/>
      <c r="M1541" s="7">
        <f>IF(N1541=0,+L1541+H1541,0)</f>
        <v/>
      </c>
      <c r="N1541" s="7">
        <f>IF((+G1541-K1541)=0,0,+G1541-K1541)</f>
        <v/>
      </c>
      <c r="O1541" s="7">
        <f>IF(N1541=0,0,(L1541+H1541)/-N1541)</f>
        <v/>
      </c>
      <c r="P1541" s="7">
        <f>VLOOKUP(OPERAC[[#This Row],[especie]],[1]!ESPECIES[#All],6,0)</f>
        <v/>
      </c>
      <c r="Q1541" s="7">
        <f>IF(N1541&lt;&gt;0,P1541*N1541,0)</f>
        <v/>
      </c>
      <c r="R1541" s="8">
        <f>IF(Q1541&lt;&gt;0,Q1541+H1541+L1541,0)</f>
        <v/>
      </c>
      <c r="S1541" s="9">
        <f>VLOOKUP(OPERAC[[#This Row],[especie]],[1]!ESPECIES[#Data],9,FALSE)</f>
        <v/>
      </c>
    </row>
    <row r="1542">
      <c r="A1542" s="4" t="n">
        <v>2305</v>
      </c>
      <c r="B1542" s="5" t="n">
        <v>44664</v>
      </c>
      <c r="C1542" s="13" t="inlineStr">
        <is>
          <t>VTA</t>
        </is>
      </c>
      <c r="D1542" s="13" t="n">
        <v>42</v>
      </c>
      <c r="E1542" s="10">
        <f>IF(D1542&gt;0,VLOOKUP(OPERAC[[#This Row],[COD CART]],[1]!MatrizCortoLargoCyl[#All],3,0),"")</f>
        <v/>
      </c>
      <c r="F1542" s="13" t="inlineStr">
        <is>
          <t>AMD</t>
        </is>
      </c>
      <c r="G1542" s="6" t="n">
        <v>2</v>
      </c>
      <c r="H1542" s="6" t="n">
        <v>-197.54130906</v>
      </c>
      <c r="I1542" s="7">
        <f>-H1542/G1542</f>
        <v/>
      </c>
      <c r="J1542" s="11" t="n">
        <v>44693</v>
      </c>
      <c r="K1542" s="6" t="n">
        <v>2</v>
      </c>
      <c r="L1542" s="6" t="n">
        <v>169.835</v>
      </c>
      <c r="M1542" s="7">
        <f>IF(N1542=0,+L1542+H1542,0)</f>
        <v/>
      </c>
      <c r="N1542" s="7">
        <f>IF((+G1542-K1542)=0,0,+G1542-K1542)</f>
        <v/>
      </c>
      <c r="O1542" s="7">
        <f>IF(N1542=0,0,(L1542+H1542)/-N1542)</f>
        <v/>
      </c>
      <c r="P1542" s="7">
        <f>VLOOKUP(OPERAC[[#This Row],[especie]],[1]!ESPECIES[#All],6,0)</f>
        <v/>
      </c>
      <c r="Q1542" s="7">
        <f>IF(N1542&lt;&gt;0,P1542*N1542,0)</f>
        <v/>
      </c>
      <c r="R1542" s="8">
        <f>IF(Q1542&lt;&gt;0,Q1542+H1542+L1542,0)</f>
        <v/>
      </c>
      <c r="S1542" s="9">
        <f>VLOOKUP(OPERAC[[#This Row],[especie]],[1]!ESPECIES[#Data],9,FALSE)</f>
        <v/>
      </c>
    </row>
    <row r="1543">
      <c r="A1543" s="4" t="n">
        <v>2306</v>
      </c>
      <c r="B1543" s="5" t="n">
        <v>44664</v>
      </c>
      <c r="C1543" s="13" t="inlineStr">
        <is>
          <t>VTA</t>
        </is>
      </c>
      <c r="D1543" s="13" t="n">
        <v>42</v>
      </c>
      <c r="E1543" s="10">
        <f>IF(D1543&gt;0,VLOOKUP(OPERAC[[#This Row],[COD CART]],[1]!MatrizCortoLargoCyl[#All],3,0),"")</f>
        <v/>
      </c>
      <c r="F1543" s="13" t="inlineStr">
        <is>
          <t>AMD</t>
        </is>
      </c>
      <c r="G1543" s="6" t="n">
        <v>2</v>
      </c>
      <c r="H1543" s="6" t="n">
        <v>-197.54130906</v>
      </c>
      <c r="I1543" s="7">
        <f>-H1543/G1543</f>
        <v/>
      </c>
      <c r="J1543" s="11" t="n">
        <v>44693</v>
      </c>
      <c r="K1543" s="6" t="n">
        <v>2</v>
      </c>
      <c r="L1543" s="6" t="n">
        <v>169.835</v>
      </c>
      <c r="M1543" s="7">
        <f>IF(N1543=0,+L1543+H1543,0)</f>
        <v/>
      </c>
      <c r="N1543" s="7">
        <f>IF((+G1543-K1543)=0,0,+G1543-K1543)</f>
        <v/>
      </c>
      <c r="O1543" s="7">
        <f>IF(N1543=0,0,(L1543+H1543)/-N1543)</f>
        <v/>
      </c>
      <c r="P1543" s="7">
        <f>VLOOKUP(OPERAC[[#This Row],[especie]],[1]!ESPECIES[#All],6,0)</f>
        <v/>
      </c>
      <c r="Q1543" s="7">
        <f>IF(N1543&lt;&gt;0,P1543*N1543,0)</f>
        <v/>
      </c>
      <c r="R1543" s="8">
        <f>IF(Q1543&lt;&gt;0,Q1543+H1543+L1543,0)</f>
        <v/>
      </c>
      <c r="S1543" s="9">
        <f>VLOOKUP(OPERAC[[#This Row],[especie]],[1]!ESPECIES[#Data],9,FALSE)</f>
        <v/>
      </c>
    </row>
    <row r="1544">
      <c r="A1544" s="4" t="n">
        <v>19934</v>
      </c>
      <c r="B1544" s="5" t="n">
        <v>44664</v>
      </c>
      <c r="C1544" s="13" t="inlineStr">
        <is>
          <t>VTA</t>
        </is>
      </c>
      <c r="D1544" s="13" t="n">
        <v>42</v>
      </c>
      <c r="E1544" s="10">
        <f>IF(D1544&gt;0,VLOOKUP(OPERAC[[#This Row],[COD CART]],[1]!MatrizCortoLargoCyl[#All],3,0),"")</f>
        <v/>
      </c>
      <c r="F1544" s="13" t="inlineStr">
        <is>
          <t>AMD</t>
        </is>
      </c>
      <c r="G1544" s="6" t="n">
        <v>2</v>
      </c>
      <c r="H1544" s="6" t="n">
        <v>-197.54130906</v>
      </c>
      <c r="I1544" s="7">
        <f>-H1544/G1544</f>
        <v/>
      </c>
      <c r="J1544" s="11" t="n">
        <v>44693</v>
      </c>
      <c r="K1544" s="6">
        <f>+OPERAC[[#This Row],[cantidad]]</f>
        <v/>
      </c>
      <c r="L1544" s="6">
        <f>+OPERAC[[#This Row],[cantidad venta]]*85.26</f>
        <v/>
      </c>
      <c r="M1544" s="7">
        <f>IF(N1544=0,+L1544+H1544,0)</f>
        <v/>
      </c>
      <c r="N1544" s="7">
        <f>IF((+G1544-K1544)=0,0,+G1544-K1544)</f>
        <v/>
      </c>
      <c r="O1544" s="7">
        <f>IF(N1544=0,0,(L1544+H1544)/-N1544)</f>
        <v/>
      </c>
      <c r="P1544" s="7">
        <f>VLOOKUP(OPERAC[[#This Row],[especie]],[1]!ESPECIES[#All],6,0)</f>
        <v/>
      </c>
      <c r="Q1544" s="7">
        <f>IF(N1544&lt;&gt;0,P1544*N1544,0)</f>
        <v/>
      </c>
      <c r="R1544" s="8">
        <f>IF(Q1544&lt;&gt;0,Q1544+H1544+L1544,0)</f>
        <v/>
      </c>
      <c r="S1544" s="9">
        <f>VLOOKUP(OPERAC[[#This Row],[especie]],[1]!ESPECIES[#Data],9,FALSE)</f>
        <v/>
      </c>
    </row>
    <row r="1545">
      <c r="A1545" s="4" t="n">
        <v>22431</v>
      </c>
      <c r="B1545" s="5" t="n">
        <v>44664</v>
      </c>
      <c r="C1545" s="13" t="inlineStr">
        <is>
          <t>VTA</t>
        </is>
      </c>
      <c r="D1545" s="13" t="n">
        <v>42</v>
      </c>
      <c r="E1545" s="10">
        <f>IF(D1545&gt;0,VLOOKUP(OPERAC[[#This Row],[COD CART]],[1]!MatrizCortoLargoCyl[#All],3,0),"")</f>
        <v/>
      </c>
      <c r="F1545" s="13" t="inlineStr">
        <is>
          <t>AMD</t>
        </is>
      </c>
      <c r="G1545" s="6" t="n">
        <v>2</v>
      </c>
      <c r="H1545" s="6" t="n">
        <v>-197.54130906</v>
      </c>
      <c r="I1545" s="7">
        <f>-H1545/G1545</f>
        <v/>
      </c>
      <c r="J1545" s="11" t="n">
        <v>44693</v>
      </c>
      <c r="K1545" s="6">
        <f>+OPERAC[[#This Row],[cantidad]]</f>
        <v/>
      </c>
      <c r="L1545" s="6">
        <f>+OPERAC[[#This Row],[cantidad venta]]*85.26</f>
        <v/>
      </c>
      <c r="M1545" s="7">
        <f>IF(N1545=0,+L1545+H1545,0)</f>
        <v/>
      </c>
      <c r="N1545" s="7">
        <f>IF((+G1545-K1545)=0,0,+G1545-K1545)</f>
        <v/>
      </c>
      <c r="O1545" s="7">
        <f>IF(N1545=0,0,(L1545+H1545)/-N1545)</f>
        <v/>
      </c>
      <c r="P1545" s="7">
        <f>VLOOKUP(OPERAC[[#This Row],[especie]],[1]!ESPECIES[#All],6,0)</f>
        <v/>
      </c>
      <c r="Q1545" s="7">
        <f>IF(N1545&lt;&gt;0,P1545*N1545,0)</f>
        <v/>
      </c>
      <c r="R1545" s="8">
        <f>IF(Q1545&lt;&gt;0,Q1545+H1545+L1545,0)</f>
        <v/>
      </c>
      <c r="S1545" s="9">
        <f>VLOOKUP(OPERAC[[#This Row],[especie]],[1]!ESPECIES[#Data],9,FALSE)</f>
        <v/>
      </c>
    </row>
    <row r="1546">
      <c r="A1546" s="4" t="n">
        <v>1817</v>
      </c>
      <c r="B1546" s="5" t="n">
        <v>44697</v>
      </c>
      <c r="C1546" s="13" t="inlineStr">
        <is>
          <t>VTA</t>
        </is>
      </c>
      <c r="D1546" s="13" t="n">
        <v>41</v>
      </c>
      <c r="E1546" s="10">
        <f>IF(D1546&gt;0,VLOOKUP(OPERAC[[#This Row],[COD CART]],[1]!MatrizCortoLargoCyl[#All],3,0),"")</f>
        <v/>
      </c>
      <c r="F1546" s="13" t="inlineStr">
        <is>
          <t>TLRY</t>
        </is>
      </c>
      <c r="G1546" s="6" t="n">
        <v>40</v>
      </c>
      <c r="H1546" s="6" t="n">
        <v>-198.675</v>
      </c>
      <c r="I1546" s="7">
        <f>-H1546/G1546</f>
        <v/>
      </c>
      <c r="J1546" s="11" t="n"/>
      <c r="K1546" s="6" t="n"/>
      <c r="L1546" s="6" t="n"/>
      <c r="M1546" s="7">
        <f>IF(N1546=0,+L1546+H1546,0)</f>
        <v/>
      </c>
      <c r="N1546" s="7">
        <f>IF((+G1546-K1546)=0,0,+G1546-K1546)</f>
        <v/>
      </c>
      <c r="O1546" s="7">
        <f>IF(N1546=0,0,(L1546+H1546)/-N1546)</f>
        <v/>
      </c>
      <c r="P1546" s="7">
        <f>VLOOKUP(OPERAC[[#This Row],[especie]],[1]!ESPECIES[#All],6,0)</f>
        <v/>
      </c>
      <c r="Q1546" s="7">
        <f>IF(N1546&lt;&gt;0,P1546*N1546,0)</f>
        <v/>
      </c>
      <c r="R1546" s="8">
        <f>IF(Q1546&lt;&gt;0,Q1546+H1546+L1546,0)</f>
        <v/>
      </c>
      <c r="S1546" s="9">
        <f>VLOOKUP(OPERAC[[#This Row],[especie]],[1]!ESPECIES[#Data],9,FALSE)</f>
        <v/>
      </c>
    </row>
    <row r="1547">
      <c r="A1547" s="4" t="n">
        <v>13253</v>
      </c>
      <c r="B1547" s="5" t="n">
        <v>44272</v>
      </c>
      <c r="C1547" s="13" t="inlineStr">
        <is>
          <t>VTA</t>
        </is>
      </c>
      <c r="D1547" s="13" t="n">
        <v>41</v>
      </c>
      <c r="E1547" s="10">
        <f>IF(D1547&gt;0,VLOOKUP(OPERAC[[#This Row],[COD CART]],[1]!MatrizCortoLargoCyl[#All],3,0),"")</f>
        <v/>
      </c>
      <c r="F1547" s="13" t="inlineStr">
        <is>
          <t>VIOT</t>
        </is>
      </c>
      <c r="G1547" s="6" t="n">
        <v>15</v>
      </c>
      <c r="H1547" s="6" t="n">
        <v>-198.7696</v>
      </c>
      <c r="I1547" s="7">
        <f>-H1547/G1547</f>
        <v/>
      </c>
      <c r="J1547" s="11" t="n"/>
      <c r="K1547" s="6" t="n"/>
      <c r="L1547" s="6" t="n"/>
      <c r="M1547" s="7">
        <f>IF(N1547=0,+L1547+H1547,0)</f>
        <v/>
      </c>
      <c r="N1547" s="7">
        <f>IF((+G1547-K1547)=0,0,+G1547-K1547)</f>
        <v/>
      </c>
      <c r="O1547" s="7">
        <f>IF(N1547=0,0,(L1547+H1547)/-N1547)</f>
        <v/>
      </c>
      <c r="P1547" s="7">
        <f>VLOOKUP(OPERAC[[#This Row],[especie]],[1]!ESPECIES[#All],6,0)</f>
        <v/>
      </c>
      <c r="Q1547" s="7">
        <f>IF(N1547&lt;&gt;0,P1547*N1547,0)</f>
        <v/>
      </c>
      <c r="R1547" s="8">
        <f>IF(Q1547&lt;&gt;0,Q1547+H1547+L1547,0)</f>
        <v/>
      </c>
      <c r="S1547" s="9">
        <f>VLOOKUP(OPERAC[[#This Row],[especie]],[1]!ESPECIES[#Data],9,FALSE)</f>
        <v/>
      </c>
    </row>
    <row r="1548">
      <c r="A1548" s="4" t="n">
        <v>1817</v>
      </c>
      <c r="B1548" s="5" t="n">
        <v>44690</v>
      </c>
      <c r="C1548" s="13" t="inlineStr">
        <is>
          <t>VTA</t>
        </is>
      </c>
      <c r="D1548" s="13" t="n">
        <v>41</v>
      </c>
      <c r="E1548" s="10">
        <f>IF(D1548&gt;0,VLOOKUP(OPERAC[[#This Row],[COD CART]],[1]!MatrizCortoLargoCyl[#All],3,0),"")</f>
        <v/>
      </c>
      <c r="F1548" s="13" t="inlineStr">
        <is>
          <t>BIOX</t>
        </is>
      </c>
      <c r="G1548" s="6" t="n">
        <v>15</v>
      </c>
      <c r="H1548" s="6" t="n">
        <v>-200.742</v>
      </c>
      <c r="I1548" s="7">
        <f>-H1548/G1548</f>
        <v/>
      </c>
      <c r="J1548" s="11" t="n"/>
      <c r="K1548" s="6" t="n"/>
      <c r="L1548" s="6" t="n"/>
      <c r="M1548" s="7">
        <f>IF(N1548=0,+L1548+H1548,0)</f>
        <v/>
      </c>
      <c r="N1548" s="7">
        <f>IF((+G1548-K1548)=0,0,+G1548-K1548)</f>
        <v/>
      </c>
      <c r="O1548" s="7">
        <f>IF(N1548=0,0,(L1548+H1548)/-N1548)</f>
        <v/>
      </c>
      <c r="P1548" s="7">
        <f>VLOOKUP(OPERAC[[#This Row],[especie]],[1]!ESPECIES[#All],6,0)</f>
        <v/>
      </c>
      <c r="Q1548" s="7">
        <f>IF(N1548&lt;&gt;0,P1548*N1548,0)</f>
        <v/>
      </c>
      <c r="R1548" s="8">
        <f>IF(Q1548&lt;&gt;0,Q1548+H1548+L1548,0)</f>
        <v/>
      </c>
      <c r="S1548" s="9">
        <f>VLOOKUP(OPERAC[[#This Row],[especie]],[1]!ESPECIES[#Data],9,FALSE)</f>
        <v/>
      </c>
    </row>
    <row r="1549">
      <c r="A1549" s="4" t="n">
        <v>2218</v>
      </c>
      <c r="B1549" s="5" t="n">
        <v>44712</v>
      </c>
      <c r="C1549" s="13" t="inlineStr">
        <is>
          <t>VTA</t>
        </is>
      </c>
      <c r="D1549" s="13" t="n">
        <v>39</v>
      </c>
      <c r="E1549" s="10">
        <f>IF(D1549&gt;0,VLOOKUP(OPERAC[[#This Row],[COD CART]],[1]!MatrizCortoLargoCyl[#All],3,0),"")</f>
        <v/>
      </c>
      <c r="F1549" s="13" t="inlineStr">
        <is>
          <t>ET/C/10,00/21-10-22</t>
        </is>
      </c>
      <c r="G1549" s="6" t="n">
        <v>100</v>
      </c>
      <c r="H1549" s="6" t="n">
        <v>-202.202</v>
      </c>
      <c r="I1549" s="7">
        <f>-H1549/G1549</f>
        <v/>
      </c>
      <c r="J1549" s="5" t="n"/>
      <c r="K1549" s="6" t="n"/>
      <c r="L1549" s="6" t="n"/>
      <c r="M1549" s="7">
        <f>IF(N1549=0,+L1549+H1549,0)</f>
        <v/>
      </c>
      <c r="N1549" s="7">
        <f>IF((+G1549-K1549)=0,0,+G1549-K1549)</f>
        <v/>
      </c>
      <c r="O1549" s="7">
        <f>IF(N1549=0,0,(L1549+H1549)/-N1549)</f>
        <v/>
      </c>
      <c r="P1549" s="7">
        <f>VLOOKUP(OPERAC[[#This Row],[especie]],[1]!ESPECIES[#All],6,0)</f>
        <v/>
      </c>
      <c r="Q1549" s="7">
        <f>IF(N1549&lt;&gt;0,P1549*N1549,0)</f>
        <v/>
      </c>
      <c r="R1549" s="8">
        <f>IF(Q1549&lt;&gt;0,Q1549+H1549+L1549,0)</f>
        <v/>
      </c>
      <c r="S1549" s="9">
        <f>VLOOKUP(OPERAC[[#This Row],[especie]],[1]!ESPECIES[#Data],9,FALSE)</f>
        <v/>
      </c>
    </row>
    <row r="1550">
      <c r="A1550" s="4" t="n">
        <v>16818</v>
      </c>
      <c r="B1550" s="5" t="n">
        <v>44466</v>
      </c>
      <c r="C1550" s="13" t="inlineStr">
        <is>
          <t>VTA</t>
        </is>
      </c>
      <c r="D1550" s="13" t="n">
        <v>43</v>
      </c>
      <c r="E1550" s="10">
        <f>IF(D1550&gt;0,VLOOKUP(OPERAC[[#This Row],[COD CART]],[1]!MatrizCortoLargoCyl[#All],3,0),"")</f>
        <v/>
      </c>
      <c r="F1550" s="13" t="inlineStr">
        <is>
          <t>SOLO/CYL-PUT/4,00/16-09-22</t>
        </is>
      </c>
      <c r="G1550" s="6" t="n">
        <v>100</v>
      </c>
      <c r="H1550" s="6">
        <f>-295.11747+0.32*OPERAC[[#This Row],[cantidad]]+0.387*OPERAC[[#This Row],[cantidad]]+0.22*OPERAC[[#This Row],[cantidad]]</f>
        <v/>
      </c>
      <c r="I1550" s="7">
        <f>-H1550/G1550</f>
        <v/>
      </c>
      <c r="J1550" s="11" t="n"/>
      <c r="K1550" s="6" t="n"/>
      <c r="L1550" s="6" t="n"/>
      <c r="M1550" s="7">
        <f>IF(N1550=0,+L1550+H1550,0)</f>
        <v/>
      </c>
      <c r="N1550" s="7">
        <f>IF((+G1550-K1550)=0,0,+G1550-K1550)</f>
        <v/>
      </c>
      <c r="O1550" s="7">
        <f>IF(N1550=0,0,(L1550+H1550)/-N1550)</f>
        <v/>
      </c>
      <c r="P1550" s="7">
        <f>VLOOKUP(OPERAC[[#This Row],[especie]],[1]!ESPECIES[#All],6,0)</f>
        <v/>
      </c>
      <c r="Q1550" s="7">
        <f>IF(N1550&lt;&gt;0,P1550*N1550,0)</f>
        <v/>
      </c>
      <c r="R1550" s="8">
        <f>IF(Q1550&lt;&gt;0,Q1550+H1550+L1550,0)</f>
        <v/>
      </c>
      <c r="S1550" s="9">
        <f>VLOOKUP(OPERAC[[#This Row],[especie]],[1]!ESPECIES[#Data],9,FALSE)</f>
        <v/>
      </c>
    </row>
    <row r="1551">
      <c r="A1551" s="4" t="n">
        <v>17042</v>
      </c>
      <c r="B1551" s="5" t="n">
        <v>44691</v>
      </c>
      <c r="C1551" s="2" t="inlineStr">
        <is>
          <t>VTA</t>
        </is>
      </c>
      <c r="D1551" s="13" t="n">
        <v>40</v>
      </c>
      <c r="E1551" s="10">
        <f>IF(D1551&gt;0,VLOOKUP(OPERAC[[#This Row],[COD CART]],[1]!MatrizCortoLargoCyl[#All],3,0),"")</f>
        <v/>
      </c>
      <c r="F1551" s="13" t="inlineStr">
        <is>
          <t>FB</t>
        </is>
      </c>
      <c r="G1551" s="6" t="n">
        <v>1</v>
      </c>
      <c r="H1551" s="6" t="n">
        <v>-202.577</v>
      </c>
      <c r="I1551" s="7">
        <f>-H1551/G1551</f>
        <v/>
      </c>
      <c r="J1551" s="11" t="n"/>
      <c r="K1551" s="6" t="n"/>
      <c r="L1551" s="6" t="n"/>
      <c r="M1551" s="7">
        <f>IF(N1551=0,+L1551+H1551,0)</f>
        <v/>
      </c>
      <c r="N1551" s="7">
        <f>IF((+G1551-K1551)=0,0,+G1551-K1551)</f>
        <v/>
      </c>
      <c r="O1551" s="7">
        <f>IF(N1551=0,0,(L1551+H1551)/-N1551)</f>
        <v/>
      </c>
      <c r="P1551" s="7">
        <f>VLOOKUP(OPERAC[[#This Row],[especie]],[1]!ESPECIES[#All],6,0)</f>
        <v/>
      </c>
      <c r="Q1551" s="7">
        <f>IF(N1551&lt;&gt;0,P1551*N1551,0)</f>
        <v/>
      </c>
      <c r="R1551" s="8">
        <f>IF(Q1551&lt;&gt;0,Q1551+H1551+L1551,0)</f>
        <v/>
      </c>
      <c r="S1551" s="9">
        <f>VLOOKUP(OPERAC[[#This Row],[especie]],[1]!ESPECIES[#Data],9,FALSE)</f>
        <v/>
      </c>
    </row>
    <row r="1552">
      <c r="A1552" s="4" t="n">
        <v>2203</v>
      </c>
      <c r="B1552" s="5" t="n">
        <v>44712</v>
      </c>
      <c r="C1552" s="13" t="inlineStr">
        <is>
          <t>VTA</t>
        </is>
      </c>
      <c r="D1552" s="13" t="n">
        <v>39</v>
      </c>
      <c r="E1552" s="10">
        <f>IF(D1552&gt;0,VLOOKUP(OPERAC[[#This Row],[COD CART]],[1]!MatrizCortoLargoCyl[#All],3,0),"")</f>
        <v/>
      </c>
      <c r="F1552" s="13" t="inlineStr">
        <is>
          <t>ET/C/10,00/21-10-22</t>
        </is>
      </c>
      <c r="G1552" s="6" t="n">
        <v>100</v>
      </c>
      <c r="H1552" s="6" t="n">
        <v>-202.808</v>
      </c>
      <c r="I1552" s="7">
        <f>-H1552/G1552</f>
        <v/>
      </c>
      <c r="J1552" s="5" t="n"/>
      <c r="K1552" s="6" t="n"/>
      <c r="L1552" s="6" t="n"/>
      <c r="M1552" s="7">
        <f>IF(N1552=0,+L1552+H1552,0)</f>
        <v/>
      </c>
      <c r="N1552" s="7">
        <f>IF((+G1552-K1552)=0,0,+G1552-K1552)</f>
        <v/>
      </c>
      <c r="O1552" s="7">
        <f>IF(N1552=0,0,(L1552+H1552)/-N1552)</f>
        <v/>
      </c>
      <c r="P1552" s="7">
        <f>VLOOKUP(OPERAC[[#This Row],[especie]],[1]!ESPECIES[#All],6,0)</f>
        <v/>
      </c>
      <c r="Q1552" s="7">
        <f>IF(N1552&lt;&gt;0,P1552*N1552,0)</f>
        <v/>
      </c>
      <c r="R1552" s="8">
        <f>IF(Q1552&lt;&gt;0,Q1552+H1552+L1552,0)</f>
        <v/>
      </c>
      <c r="S1552" s="9">
        <f>VLOOKUP(OPERAC[[#This Row],[especie]],[1]!ESPECIES[#Data],9,FALSE)</f>
        <v/>
      </c>
    </row>
    <row r="1553">
      <c r="A1553" s="4" t="n">
        <v>2217</v>
      </c>
      <c r="B1553" s="5" t="n">
        <v>44712</v>
      </c>
      <c r="C1553" s="13" t="inlineStr">
        <is>
          <t>VTA</t>
        </is>
      </c>
      <c r="D1553" s="13" t="n">
        <v>39</v>
      </c>
      <c r="E1553" s="10">
        <f>IF(D1553&gt;0,VLOOKUP(OPERAC[[#This Row],[COD CART]],[1]!MatrizCortoLargoCyl[#All],3,0),"")</f>
        <v/>
      </c>
      <c r="F1553" s="13" t="inlineStr">
        <is>
          <t>ET/C/10,00/21-10-22</t>
        </is>
      </c>
      <c r="G1553" s="6" t="n">
        <v>100</v>
      </c>
      <c r="H1553" s="6" t="n">
        <v>-202.808</v>
      </c>
      <c r="I1553" s="7">
        <f>-H1553/G1553</f>
        <v/>
      </c>
      <c r="J1553" s="5" t="n"/>
      <c r="K1553" s="6" t="n"/>
      <c r="L1553" s="6" t="n"/>
      <c r="M1553" s="7">
        <f>IF(N1553=0,+L1553+H1553,0)</f>
        <v/>
      </c>
      <c r="N1553" s="7">
        <f>IF((+G1553-K1553)=0,0,+G1553-K1553)</f>
        <v/>
      </c>
      <c r="O1553" s="7">
        <f>IF(N1553=0,0,(L1553+H1553)/-N1553)</f>
        <v/>
      </c>
      <c r="P1553" s="7">
        <f>VLOOKUP(OPERAC[[#This Row],[especie]],[1]!ESPECIES[#All],6,0)</f>
        <v/>
      </c>
      <c r="Q1553" s="7">
        <f>IF(N1553&lt;&gt;0,P1553*N1553,0)</f>
        <v/>
      </c>
      <c r="R1553" s="8">
        <f>IF(Q1553&lt;&gt;0,Q1553+H1553+L1553,0)</f>
        <v/>
      </c>
      <c r="S1553" s="9">
        <f>VLOOKUP(OPERAC[[#This Row],[especie]],[1]!ESPECIES[#Data],9,FALSE)</f>
        <v/>
      </c>
    </row>
    <row r="1554">
      <c r="A1554" s="4" t="n">
        <v>2257</v>
      </c>
      <c r="B1554" s="5" t="n">
        <v>44712</v>
      </c>
      <c r="C1554" s="13" t="inlineStr">
        <is>
          <t>VTA</t>
        </is>
      </c>
      <c r="D1554" s="13" t="n">
        <v>39</v>
      </c>
      <c r="E1554" s="10">
        <f>IF(D1554&gt;0,VLOOKUP(OPERAC[[#This Row],[COD CART]],[1]!MatrizCortoLargoCyl[#All],3,0),"")</f>
        <v/>
      </c>
      <c r="F1554" s="13" t="inlineStr">
        <is>
          <t>ET/C/10,00/21-10-22</t>
        </is>
      </c>
      <c r="G1554" s="6" t="n">
        <v>100</v>
      </c>
      <c r="H1554" s="6" t="n">
        <v>-202.808</v>
      </c>
      <c r="I1554" s="7">
        <f>-H1554/G1554</f>
        <v/>
      </c>
      <c r="J1554" s="5" t="n"/>
      <c r="K1554" s="6" t="n"/>
      <c r="L1554" s="6" t="n"/>
      <c r="M1554" s="7">
        <f>IF(N1554=0,+L1554+H1554,0)</f>
        <v/>
      </c>
      <c r="N1554" s="7">
        <f>IF((+G1554-K1554)=0,0,+G1554-K1554)</f>
        <v/>
      </c>
      <c r="O1554" s="7">
        <f>IF(N1554=0,0,(L1554+H1554)/-N1554)</f>
        <v/>
      </c>
      <c r="P1554" s="7">
        <f>VLOOKUP(OPERAC[[#This Row],[especie]],[1]!ESPECIES[#All],6,0)</f>
        <v/>
      </c>
      <c r="Q1554" s="7">
        <f>IF(N1554&lt;&gt;0,P1554*N1554,0)</f>
        <v/>
      </c>
      <c r="R1554" s="8">
        <f>IF(Q1554&lt;&gt;0,Q1554+H1554+L1554,0)</f>
        <v/>
      </c>
      <c r="S1554" s="9">
        <f>VLOOKUP(OPERAC[[#This Row],[especie]],[1]!ESPECIES[#Data],9,FALSE)</f>
        <v/>
      </c>
    </row>
    <row r="1555">
      <c r="A1555" s="4" t="n">
        <v>11168</v>
      </c>
      <c r="B1555" s="5" t="n">
        <v>44712</v>
      </c>
      <c r="C1555" s="13" t="inlineStr">
        <is>
          <t>VTA</t>
        </is>
      </c>
      <c r="D1555" s="13" t="n">
        <v>39</v>
      </c>
      <c r="E1555" s="10">
        <f>IF(D1555&gt;0,VLOOKUP(OPERAC[[#This Row],[COD CART]],[1]!MatrizCortoLargoCyl[#All],3,0),"")</f>
        <v/>
      </c>
      <c r="F1555" s="13" t="inlineStr">
        <is>
          <t>ET/C/10,00/21-10-22</t>
        </is>
      </c>
      <c r="G1555" s="6" t="n">
        <v>100</v>
      </c>
      <c r="H1555" s="6" t="n">
        <v>-202.808</v>
      </c>
      <c r="I1555" s="7">
        <f>-H1555/G1555</f>
        <v/>
      </c>
      <c r="J1555" s="5" t="n"/>
      <c r="K1555" s="6" t="n"/>
      <c r="L1555" s="6" t="n"/>
      <c r="M1555" s="7">
        <f>IF(N1555=0,+L1555+H1555,0)</f>
        <v/>
      </c>
      <c r="N1555" s="7">
        <f>IF((+G1555-K1555)=0,0,+G1555-K1555)</f>
        <v/>
      </c>
      <c r="O1555" s="7">
        <f>IF(N1555=0,0,(L1555+H1555)/-N1555)</f>
        <v/>
      </c>
      <c r="P1555" s="7">
        <f>VLOOKUP(OPERAC[[#This Row],[especie]],[1]!ESPECIES[#All],6,0)</f>
        <v/>
      </c>
      <c r="Q1555" s="7">
        <f>IF(N1555&lt;&gt;0,P1555*N1555,0)</f>
        <v/>
      </c>
      <c r="R1555" s="8">
        <f>IF(Q1555&lt;&gt;0,Q1555+H1555+L1555,0)</f>
        <v/>
      </c>
      <c r="S1555" s="9">
        <f>VLOOKUP(OPERAC[[#This Row],[especie]],[1]!ESPECIES[#Data],9,FALSE)</f>
        <v/>
      </c>
    </row>
    <row r="1556">
      <c r="A1556" s="4" t="n">
        <v>12022</v>
      </c>
      <c r="B1556" s="5" t="n">
        <v>44712</v>
      </c>
      <c r="C1556" s="13" t="inlineStr">
        <is>
          <t>VTA</t>
        </is>
      </c>
      <c r="D1556" s="13" t="n">
        <v>39</v>
      </c>
      <c r="E1556" s="10">
        <f>IF(D1556&gt;0,VLOOKUP(OPERAC[[#This Row],[COD CART]],[1]!MatrizCortoLargoCyl[#All],3,0),"")</f>
        <v/>
      </c>
      <c r="F1556" s="13" t="inlineStr">
        <is>
          <t>ET/C/10,00/21-10-22</t>
        </is>
      </c>
      <c r="G1556" s="6" t="n">
        <v>100</v>
      </c>
      <c r="H1556" s="6" t="n">
        <v>-202.808</v>
      </c>
      <c r="I1556" s="7">
        <f>-H1556/G1556</f>
        <v/>
      </c>
      <c r="J1556" s="5" t="n"/>
      <c r="K1556" s="6" t="n"/>
      <c r="L1556" s="6" t="n"/>
      <c r="M1556" s="7">
        <f>IF(N1556=0,+L1556+H1556,0)</f>
        <v/>
      </c>
      <c r="N1556" s="7">
        <f>IF((+G1556-K1556)=0,0,+G1556-K1556)</f>
        <v/>
      </c>
      <c r="O1556" s="7">
        <f>IF(N1556=0,0,(L1556+H1556)/-N1556)</f>
        <v/>
      </c>
      <c r="P1556" s="7">
        <f>VLOOKUP(OPERAC[[#This Row],[especie]],[1]!ESPECIES[#All],6,0)</f>
        <v/>
      </c>
      <c r="Q1556" s="7">
        <f>IF(N1556&lt;&gt;0,P1556*N1556,0)</f>
        <v/>
      </c>
      <c r="R1556" s="8">
        <f>IF(Q1556&lt;&gt;0,Q1556+H1556+L1556,0)</f>
        <v/>
      </c>
      <c r="S1556" s="9">
        <f>VLOOKUP(OPERAC[[#This Row],[especie]],[1]!ESPECIES[#Data],9,FALSE)</f>
        <v/>
      </c>
    </row>
    <row r="1557">
      <c r="A1557" s="4" t="n">
        <v>12611</v>
      </c>
      <c r="B1557" s="5" t="n">
        <v>44712</v>
      </c>
      <c r="C1557" s="13" t="inlineStr">
        <is>
          <t>VTA</t>
        </is>
      </c>
      <c r="D1557" s="13" t="n">
        <v>39</v>
      </c>
      <c r="E1557" s="10">
        <f>IF(D1557&gt;0,VLOOKUP(OPERAC[[#This Row],[COD CART]],[1]!MatrizCortoLargoCyl[#All],3,0),"")</f>
        <v/>
      </c>
      <c r="F1557" s="13" t="inlineStr">
        <is>
          <t>ET/C/10,00/21-10-22</t>
        </is>
      </c>
      <c r="G1557" s="6" t="n">
        <v>100</v>
      </c>
      <c r="H1557" s="6" t="n">
        <v>-202.808</v>
      </c>
      <c r="I1557" s="7">
        <f>-H1557/G1557</f>
        <v/>
      </c>
      <c r="J1557" s="5" t="n"/>
      <c r="K1557" s="6" t="n"/>
      <c r="L1557" s="6" t="n"/>
      <c r="M1557" s="7">
        <f>IF(N1557=0,+L1557+H1557,0)</f>
        <v/>
      </c>
      <c r="N1557" s="7">
        <f>IF((+G1557-K1557)=0,0,+G1557-K1557)</f>
        <v/>
      </c>
      <c r="O1557" s="7">
        <f>IF(N1557=0,0,(L1557+H1557)/-N1557)</f>
        <v/>
      </c>
      <c r="P1557" s="7">
        <f>VLOOKUP(OPERAC[[#This Row],[especie]],[1]!ESPECIES[#All],6,0)</f>
        <v/>
      </c>
      <c r="Q1557" s="7">
        <f>IF(N1557&lt;&gt;0,P1557*N1557,0)</f>
        <v/>
      </c>
      <c r="R1557" s="8">
        <f>IF(Q1557&lt;&gt;0,Q1557+H1557+L1557,0)</f>
        <v/>
      </c>
      <c r="S1557" s="9">
        <f>VLOOKUP(OPERAC[[#This Row],[especie]],[1]!ESPECIES[#Data],9,FALSE)</f>
        <v/>
      </c>
    </row>
    <row r="1558">
      <c r="A1558" s="4" t="n">
        <v>12671</v>
      </c>
      <c r="B1558" s="5" t="n">
        <v>44712</v>
      </c>
      <c r="C1558" s="13" t="inlineStr">
        <is>
          <t>VTA</t>
        </is>
      </c>
      <c r="D1558" s="13" t="n">
        <v>39</v>
      </c>
      <c r="E1558" s="10">
        <f>IF(D1558&gt;0,VLOOKUP(OPERAC[[#This Row],[COD CART]],[1]!MatrizCortoLargoCyl[#All],3,0),"")</f>
        <v/>
      </c>
      <c r="F1558" s="13" t="inlineStr">
        <is>
          <t>ET/C/10,00/21-10-22</t>
        </is>
      </c>
      <c r="G1558" s="6" t="n">
        <v>100</v>
      </c>
      <c r="H1558" s="6" t="n">
        <v>-202.808</v>
      </c>
      <c r="I1558" s="7">
        <f>-H1558/G1558</f>
        <v/>
      </c>
      <c r="J1558" s="5" t="n"/>
      <c r="K1558" s="6" t="n"/>
      <c r="L1558" s="6" t="n"/>
      <c r="M1558" s="7">
        <f>IF(N1558=0,+L1558+H1558,0)</f>
        <v/>
      </c>
      <c r="N1558" s="7">
        <f>IF((+G1558-K1558)=0,0,+G1558-K1558)</f>
        <v/>
      </c>
      <c r="O1558" s="7">
        <f>IF(N1558=0,0,(L1558+H1558)/-N1558)</f>
        <v/>
      </c>
      <c r="P1558" s="7">
        <f>VLOOKUP(OPERAC[[#This Row],[especie]],[1]!ESPECIES[#All],6,0)</f>
        <v/>
      </c>
      <c r="Q1558" s="7">
        <f>IF(N1558&lt;&gt;0,P1558*N1558,0)</f>
        <v/>
      </c>
      <c r="R1558" s="8">
        <f>IF(Q1558&lt;&gt;0,Q1558+H1558+L1558,0)</f>
        <v/>
      </c>
      <c r="S1558" s="9">
        <f>VLOOKUP(OPERAC[[#This Row],[especie]],[1]!ESPECIES[#Data],9,FALSE)</f>
        <v/>
      </c>
    </row>
    <row r="1559">
      <c r="A1559" s="4" t="n">
        <v>13185</v>
      </c>
      <c r="B1559" s="5" t="n">
        <v>44712</v>
      </c>
      <c r="C1559" s="13" t="inlineStr">
        <is>
          <t>VTA</t>
        </is>
      </c>
      <c r="D1559" s="13" t="n">
        <v>39</v>
      </c>
      <c r="E1559" s="10">
        <f>IF(D1559&gt;0,VLOOKUP(OPERAC[[#This Row],[COD CART]],[1]!MatrizCortoLargoCyl[#All],3,0),"")</f>
        <v/>
      </c>
      <c r="F1559" s="13" t="inlineStr">
        <is>
          <t>ET/C/10,00/21-10-22</t>
        </is>
      </c>
      <c r="G1559" s="6" t="n">
        <v>100</v>
      </c>
      <c r="H1559" s="6" t="n">
        <v>-202.808</v>
      </c>
      <c r="I1559" s="7">
        <f>-H1559/G1559</f>
        <v/>
      </c>
      <c r="J1559" s="5" t="n"/>
      <c r="K1559" s="6" t="n"/>
      <c r="L1559" s="6" t="n"/>
      <c r="M1559" s="7">
        <f>IF(N1559=0,+L1559+H1559,0)</f>
        <v/>
      </c>
      <c r="N1559" s="7">
        <f>IF((+G1559-K1559)=0,0,+G1559-K1559)</f>
        <v/>
      </c>
      <c r="O1559" s="7">
        <f>IF(N1559=0,0,(L1559+H1559)/-N1559)</f>
        <v/>
      </c>
      <c r="P1559" s="7">
        <f>VLOOKUP(OPERAC[[#This Row],[especie]],[1]!ESPECIES[#All],6,0)</f>
        <v/>
      </c>
      <c r="Q1559" s="7">
        <f>IF(N1559&lt;&gt;0,P1559*N1559,0)</f>
        <v/>
      </c>
      <c r="R1559" s="8">
        <f>IF(Q1559&lt;&gt;0,Q1559+H1559+L1559,0)</f>
        <v/>
      </c>
      <c r="S1559" s="9">
        <f>VLOOKUP(OPERAC[[#This Row],[especie]],[1]!ESPECIES[#Data],9,FALSE)</f>
        <v/>
      </c>
    </row>
    <row r="1560">
      <c r="A1560" s="4" t="n">
        <v>13190</v>
      </c>
      <c r="B1560" s="5" t="n">
        <v>44712</v>
      </c>
      <c r="C1560" s="13" t="inlineStr">
        <is>
          <t>VTA</t>
        </is>
      </c>
      <c r="D1560" s="13" t="n">
        <v>39</v>
      </c>
      <c r="E1560" s="10">
        <f>IF(D1560&gt;0,VLOOKUP(OPERAC[[#This Row],[COD CART]],[1]!MatrizCortoLargoCyl[#All],3,0),"")</f>
        <v/>
      </c>
      <c r="F1560" s="13" t="inlineStr">
        <is>
          <t>ET/C/10,00/21-10-22</t>
        </is>
      </c>
      <c r="G1560" s="6" t="n">
        <v>100</v>
      </c>
      <c r="H1560" s="6" t="n">
        <v>-202.808</v>
      </c>
      <c r="I1560" s="7">
        <f>-H1560/G1560</f>
        <v/>
      </c>
      <c r="J1560" s="5" t="n"/>
      <c r="K1560" s="6" t="n"/>
      <c r="L1560" s="6" t="n"/>
      <c r="M1560" s="7">
        <f>IF(N1560=0,+L1560+H1560,0)</f>
        <v/>
      </c>
      <c r="N1560" s="7">
        <f>IF((+G1560-K1560)=0,0,+G1560-K1560)</f>
        <v/>
      </c>
      <c r="O1560" s="7">
        <f>IF(N1560=0,0,(L1560+H1560)/-N1560)</f>
        <v/>
      </c>
      <c r="P1560" s="7">
        <f>VLOOKUP(OPERAC[[#This Row],[especie]],[1]!ESPECIES[#All],6,0)</f>
        <v/>
      </c>
      <c r="Q1560" s="7">
        <f>IF(N1560&lt;&gt;0,P1560*N1560,0)</f>
        <v/>
      </c>
      <c r="R1560" s="8">
        <f>IF(Q1560&lt;&gt;0,Q1560+H1560+L1560,0)</f>
        <v/>
      </c>
      <c r="S1560" s="9">
        <f>VLOOKUP(OPERAC[[#This Row],[especie]],[1]!ESPECIES[#Data],9,FALSE)</f>
        <v/>
      </c>
    </row>
    <row r="1561">
      <c r="A1561" s="4" t="n">
        <v>13269</v>
      </c>
      <c r="B1561" s="5" t="n">
        <v>44712</v>
      </c>
      <c r="C1561" s="13" t="inlineStr">
        <is>
          <t>VTA</t>
        </is>
      </c>
      <c r="D1561" s="13" t="n">
        <v>39</v>
      </c>
      <c r="E1561" s="10">
        <f>IF(D1561&gt;0,VLOOKUP(OPERAC[[#This Row],[COD CART]],[1]!MatrizCortoLargoCyl[#All],3,0),"")</f>
        <v/>
      </c>
      <c r="F1561" s="13" t="inlineStr">
        <is>
          <t>ET/C/10,00/21-10-22</t>
        </is>
      </c>
      <c r="G1561" s="6" t="n">
        <v>100</v>
      </c>
      <c r="H1561" s="6" t="n">
        <v>-202.808</v>
      </c>
      <c r="I1561" s="7">
        <f>-H1561/G1561</f>
        <v/>
      </c>
      <c r="J1561" s="5" t="n"/>
      <c r="K1561" s="6" t="n"/>
      <c r="L1561" s="6" t="n"/>
      <c r="M1561" s="7">
        <f>IF(N1561=0,+L1561+H1561,0)</f>
        <v/>
      </c>
      <c r="N1561" s="7">
        <f>IF((+G1561-K1561)=0,0,+G1561-K1561)</f>
        <v/>
      </c>
      <c r="O1561" s="7">
        <f>IF(N1561=0,0,(L1561+H1561)/-N1561)</f>
        <v/>
      </c>
      <c r="P1561" s="7">
        <f>VLOOKUP(OPERAC[[#This Row],[especie]],[1]!ESPECIES[#All],6,0)</f>
        <v/>
      </c>
      <c r="Q1561" s="7">
        <f>IF(N1561&lt;&gt;0,P1561*N1561,0)</f>
        <v/>
      </c>
      <c r="R1561" s="8">
        <f>IF(Q1561&lt;&gt;0,Q1561+H1561+L1561,0)</f>
        <v/>
      </c>
      <c r="S1561" s="9">
        <f>VLOOKUP(OPERAC[[#This Row],[especie]],[1]!ESPECIES[#Data],9,FALSE)</f>
        <v/>
      </c>
    </row>
    <row r="1562">
      <c r="A1562" s="4" t="n">
        <v>13271</v>
      </c>
      <c r="B1562" s="5" t="n">
        <v>44712</v>
      </c>
      <c r="C1562" s="13" t="inlineStr">
        <is>
          <t>VTA</t>
        </is>
      </c>
      <c r="D1562" s="13" t="n">
        <v>39</v>
      </c>
      <c r="E1562" s="10">
        <f>IF(D1562&gt;0,VLOOKUP(OPERAC[[#This Row],[COD CART]],[1]!MatrizCortoLargoCyl[#All],3,0),"")</f>
        <v/>
      </c>
      <c r="F1562" s="13" t="inlineStr">
        <is>
          <t>ET/C/10,00/21-10-22</t>
        </is>
      </c>
      <c r="G1562" s="6" t="n">
        <v>100</v>
      </c>
      <c r="H1562" s="6" t="n">
        <v>-202.808</v>
      </c>
      <c r="I1562" s="7">
        <f>-H1562/G1562</f>
        <v/>
      </c>
      <c r="J1562" s="5" t="n"/>
      <c r="K1562" s="6" t="n"/>
      <c r="L1562" s="6" t="n"/>
      <c r="M1562" s="7">
        <f>IF(N1562=0,+L1562+H1562,0)</f>
        <v/>
      </c>
      <c r="N1562" s="7">
        <f>IF((+G1562-K1562)=0,0,+G1562-K1562)</f>
        <v/>
      </c>
      <c r="O1562" s="7">
        <f>IF(N1562=0,0,(L1562+H1562)/-N1562)</f>
        <v/>
      </c>
      <c r="P1562" s="7">
        <f>VLOOKUP(OPERAC[[#This Row],[especie]],[1]!ESPECIES[#All],6,0)</f>
        <v/>
      </c>
      <c r="Q1562" s="7">
        <f>IF(N1562&lt;&gt;0,P1562*N1562,0)</f>
        <v/>
      </c>
      <c r="R1562" s="8">
        <f>IF(Q1562&lt;&gt;0,Q1562+H1562+L1562,0)</f>
        <v/>
      </c>
      <c r="S1562" s="9">
        <f>VLOOKUP(OPERAC[[#This Row],[especie]],[1]!ESPECIES[#Data],9,FALSE)</f>
        <v/>
      </c>
    </row>
    <row r="1563">
      <c r="A1563" s="4" t="n">
        <v>6578</v>
      </c>
      <c r="B1563" s="5" t="n">
        <v>44712</v>
      </c>
      <c r="C1563" s="13" t="inlineStr">
        <is>
          <t>VTA</t>
        </is>
      </c>
      <c r="D1563" s="13" t="n">
        <v>39</v>
      </c>
      <c r="E1563" s="10">
        <f>IF(D1563&gt;0,VLOOKUP(OPERAC[[#This Row],[COD CART]],[1]!MatrizCortoLargoCyl[#All],3,0),"")</f>
        <v/>
      </c>
      <c r="F1563" s="13" t="inlineStr">
        <is>
          <t>ET/C/10,00/21-10-22</t>
        </is>
      </c>
      <c r="G1563" s="6" t="n">
        <v>100</v>
      </c>
      <c r="H1563" s="6" t="n">
        <v>-202.808</v>
      </c>
      <c r="I1563" s="7">
        <f>-H1563/G1563</f>
        <v/>
      </c>
      <c r="J1563" s="5" t="n"/>
      <c r="K1563" s="6" t="n"/>
      <c r="L1563" s="6" t="n"/>
      <c r="M1563" s="7">
        <f>IF(N1563=0,+L1563+H1563,0)</f>
        <v/>
      </c>
      <c r="N1563" s="7">
        <f>IF((+G1563-K1563)=0,0,+G1563-K1563)</f>
        <v/>
      </c>
      <c r="O1563" s="7">
        <f>IF(N1563=0,0,(L1563+H1563)/-N1563)</f>
        <v/>
      </c>
      <c r="P1563" s="7">
        <f>VLOOKUP(OPERAC[[#This Row],[especie]],[1]!ESPECIES[#All],6,0)</f>
        <v/>
      </c>
      <c r="Q1563" s="7">
        <f>IF(N1563&lt;&gt;0,P1563*N1563,0)</f>
        <v/>
      </c>
      <c r="R1563" s="8">
        <f>IF(Q1563&lt;&gt;0,Q1563+H1563+L1563,0)</f>
        <v/>
      </c>
      <c r="S1563" s="9">
        <f>VLOOKUP(OPERAC[[#This Row],[especie]],[1]!ESPECIES[#Data],9,FALSE)</f>
        <v/>
      </c>
    </row>
    <row r="1564">
      <c r="A1564" s="4" t="n">
        <v>6579</v>
      </c>
      <c r="B1564" s="5" t="n">
        <v>44712</v>
      </c>
      <c r="C1564" s="13" t="inlineStr">
        <is>
          <t>VTA</t>
        </is>
      </c>
      <c r="D1564" s="13" t="n">
        <v>39</v>
      </c>
      <c r="E1564" s="10">
        <f>IF(D1564&gt;0,VLOOKUP(OPERAC[[#This Row],[COD CART]],[1]!MatrizCortoLargoCyl[#All],3,0),"")</f>
        <v/>
      </c>
      <c r="F1564" s="13" t="inlineStr">
        <is>
          <t>ET/C/10,00/21-10-22</t>
        </is>
      </c>
      <c r="G1564" s="6" t="n">
        <v>100</v>
      </c>
      <c r="H1564" s="6" t="n">
        <v>-202.808</v>
      </c>
      <c r="I1564" s="7">
        <f>-H1564/G1564</f>
        <v/>
      </c>
      <c r="J1564" s="5" t="n"/>
      <c r="K1564" s="6" t="n"/>
      <c r="L1564" s="6" t="n"/>
      <c r="M1564" s="7">
        <f>IF(N1564=0,+L1564+H1564,0)</f>
        <v/>
      </c>
      <c r="N1564" s="7">
        <f>IF((+G1564-K1564)=0,0,+G1564-K1564)</f>
        <v/>
      </c>
      <c r="O1564" s="7">
        <f>IF(N1564=0,0,(L1564+H1564)/-N1564)</f>
        <v/>
      </c>
      <c r="P1564" s="7">
        <f>VLOOKUP(OPERAC[[#This Row],[especie]],[1]!ESPECIES[#All],6,0)</f>
        <v/>
      </c>
      <c r="Q1564" s="7">
        <f>IF(N1564&lt;&gt;0,P1564*N1564,0)</f>
        <v/>
      </c>
      <c r="R1564" s="8">
        <f>IF(Q1564&lt;&gt;0,Q1564+H1564+L1564,0)</f>
        <v/>
      </c>
      <c r="S1564" s="9">
        <f>VLOOKUP(OPERAC[[#This Row],[especie]],[1]!ESPECIES[#Data],9,FALSE)</f>
        <v/>
      </c>
    </row>
    <row r="1565">
      <c r="A1565" s="4" t="n">
        <v>7493</v>
      </c>
      <c r="B1565" s="5" t="n">
        <v>44712</v>
      </c>
      <c r="C1565" s="13" t="inlineStr">
        <is>
          <t>VTA</t>
        </is>
      </c>
      <c r="D1565" s="13" t="n">
        <v>39</v>
      </c>
      <c r="E1565" s="10">
        <f>IF(D1565&gt;0,VLOOKUP(OPERAC[[#This Row],[COD CART]],[1]!MatrizCortoLargoCyl[#All],3,0),"")</f>
        <v/>
      </c>
      <c r="F1565" s="13" t="inlineStr">
        <is>
          <t>ET/C/10,00/21-10-22</t>
        </is>
      </c>
      <c r="G1565" s="6" t="n">
        <v>100</v>
      </c>
      <c r="H1565" s="6" t="n">
        <v>-202.808</v>
      </c>
      <c r="I1565" s="7">
        <f>-H1565/G1565</f>
        <v/>
      </c>
      <c r="J1565" s="5" t="n"/>
      <c r="K1565" s="6" t="n"/>
      <c r="L1565" s="6" t="n"/>
      <c r="M1565" s="7">
        <f>IF(N1565=0,+L1565+H1565,0)</f>
        <v/>
      </c>
      <c r="N1565" s="7">
        <f>IF((+G1565-K1565)=0,0,+G1565-K1565)</f>
        <v/>
      </c>
      <c r="O1565" s="7">
        <f>IF(N1565=0,0,(L1565+H1565)/-N1565)</f>
        <v/>
      </c>
      <c r="P1565" s="7">
        <f>VLOOKUP(OPERAC[[#This Row],[especie]],[1]!ESPECIES[#All],6,0)</f>
        <v/>
      </c>
      <c r="Q1565" s="7">
        <f>IF(N1565&lt;&gt;0,P1565*N1565,0)</f>
        <v/>
      </c>
      <c r="R1565" s="8">
        <f>IF(Q1565&lt;&gt;0,Q1565+H1565+L1565,0)</f>
        <v/>
      </c>
      <c r="S1565" s="9">
        <f>VLOOKUP(OPERAC[[#This Row],[especie]],[1]!ESPECIES[#Data],9,FALSE)</f>
        <v/>
      </c>
    </row>
    <row r="1566">
      <c r="A1566" s="4" t="n">
        <v>10079</v>
      </c>
      <c r="B1566" s="5" t="n">
        <v>44712</v>
      </c>
      <c r="C1566" s="13" t="inlineStr">
        <is>
          <t>VTA</t>
        </is>
      </c>
      <c r="D1566" s="13" t="n">
        <v>39</v>
      </c>
      <c r="E1566" s="10">
        <f>IF(D1566&gt;0,VLOOKUP(OPERAC[[#This Row],[COD CART]],[1]!MatrizCortoLargoCyl[#All],3,0),"")</f>
        <v/>
      </c>
      <c r="F1566" s="13" t="inlineStr">
        <is>
          <t>ET/C/10,00/21-10-22</t>
        </is>
      </c>
      <c r="G1566" s="6" t="n">
        <v>100</v>
      </c>
      <c r="H1566" s="6" t="n">
        <v>-202.808</v>
      </c>
      <c r="I1566" s="7">
        <f>-H1566/G1566</f>
        <v/>
      </c>
      <c r="J1566" s="5" t="n"/>
      <c r="K1566" s="6" t="n"/>
      <c r="L1566" s="6" t="n"/>
      <c r="M1566" s="7">
        <f>IF(N1566=0,+L1566+H1566,0)</f>
        <v/>
      </c>
      <c r="N1566" s="7">
        <f>IF((+G1566-K1566)=0,0,+G1566-K1566)</f>
        <v/>
      </c>
      <c r="O1566" s="7">
        <f>IF(N1566=0,0,(L1566+H1566)/-N1566)</f>
        <v/>
      </c>
      <c r="P1566" s="7">
        <f>VLOOKUP(OPERAC[[#This Row],[especie]],[1]!ESPECIES[#All],6,0)</f>
        <v/>
      </c>
      <c r="Q1566" s="7">
        <f>IF(N1566&lt;&gt;0,P1566*N1566,0)</f>
        <v/>
      </c>
      <c r="R1566" s="8">
        <f>IF(Q1566&lt;&gt;0,Q1566+H1566+L1566,0)</f>
        <v/>
      </c>
      <c r="S1566" s="9">
        <f>VLOOKUP(OPERAC[[#This Row],[especie]],[1]!ESPECIES[#Data],9,FALSE)</f>
        <v/>
      </c>
    </row>
    <row r="1567">
      <c r="A1567" s="4" t="n">
        <v>12627</v>
      </c>
      <c r="B1567" s="5" t="n">
        <v>44712</v>
      </c>
      <c r="C1567" s="13" t="inlineStr">
        <is>
          <t>VTA</t>
        </is>
      </c>
      <c r="D1567" s="13" t="n">
        <v>39</v>
      </c>
      <c r="E1567" s="10">
        <f>IF(D1567&gt;0,VLOOKUP(OPERAC[[#This Row],[COD CART]],[1]!MatrizCortoLargoCyl[#All],3,0),"")</f>
        <v/>
      </c>
      <c r="F1567" s="13" t="inlineStr">
        <is>
          <t>ET/C/10,00/21-10-22</t>
        </is>
      </c>
      <c r="G1567" s="6" t="n">
        <v>100</v>
      </c>
      <c r="H1567" s="6" t="n">
        <v>-202.808</v>
      </c>
      <c r="I1567" s="7">
        <f>-H1567/G1567</f>
        <v/>
      </c>
      <c r="J1567" s="5" t="n"/>
      <c r="K1567" s="6" t="n"/>
      <c r="L1567" s="6" t="n"/>
      <c r="M1567" s="7">
        <f>IF(N1567=0,+L1567+H1567,0)</f>
        <v/>
      </c>
      <c r="N1567" s="7">
        <f>IF((+G1567-K1567)=0,0,+G1567-K1567)</f>
        <v/>
      </c>
      <c r="O1567" s="7">
        <f>IF(N1567=0,0,(L1567+H1567)/-N1567)</f>
        <v/>
      </c>
      <c r="P1567" s="7">
        <f>VLOOKUP(OPERAC[[#This Row],[especie]],[1]!ESPECIES[#All],6,0)</f>
        <v/>
      </c>
      <c r="Q1567" s="7">
        <f>IF(N1567&lt;&gt;0,P1567*N1567,0)</f>
        <v/>
      </c>
      <c r="R1567" s="8">
        <f>IF(Q1567&lt;&gt;0,Q1567+H1567+L1567,0)</f>
        <v/>
      </c>
      <c r="S1567" s="9">
        <f>VLOOKUP(OPERAC[[#This Row],[especie]],[1]!ESPECIES[#Data],9,FALSE)</f>
        <v/>
      </c>
    </row>
    <row r="1568">
      <c r="A1568" s="4" t="n">
        <v>13190</v>
      </c>
      <c r="B1568" s="5" t="n">
        <v>44712</v>
      </c>
      <c r="C1568" s="13" t="inlineStr">
        <is>
          <t>VTA</t>
        </is>
      </c>
      <c r="D1568" s="13" t="n">
        <v>39</v>
      </c>
      <c r="E1568" s="10">
        <f>IF(D1568&gt;0,VLOOKUP(OPERAC[[#This Row],[COD CART]],[1]!MatrizCortoLargoCyl[#All],3,0),"")</f>
        <v/>
      </c>
      <c r="F1568" s="13" t="inlineStr">
        <is>
          <t>ET/C/10,00/21-10-22</t>
        </is>
      </c>
      <c r="G1568" s="6" t="n">
        <v>100</v>
      </c>
      <c r="H1568" s="6" t="n">
        <v>-202.808</v>
      </c>
      <c r="I1568" s="7">
        <f>-H1568/G1568</f>
        <v/>
      </c>
      <c r="J1568" s="5" t="n">
        <v>44719</v>
      </c>
      <c r="K1568" s="6" t="n">
        <v>100</v>
      </c>
      <c r="L1568" s="6" t="n">
        <v>247.875</v>
      </c>
      <c r="M1568" s="7">
        <f>IF(N1568=0,+L1568+H1568,0)</f>
        <v/>
      </c>
      <c r="N1568" s="7">
        <f>IF((+G1568-K1568)=0,0,+G1568-K1568)</f>
        <v/>
      </c>
      <c r="O1568" s="7">
        <f>IF(N1568=0,0,(L1568+H1568)/-N1568)</f>
        <v/>
      </c>
      <c r="P1568" s="7">
        <f>VLOOKUP(OPERAC[[#This Row],[especie]],[1]!ESPECIES[#All],6,0)</f>
        <v/>
      </c>
      <c r="Q1568" s="7">
        <f>IF(N1568&lt;&gt;0,P1568*N1568,0)</f>
        <v/>
      </c>
      <c r="R1568" s="8">
        <f>IF(Q1568&lt;&gt;0,Q1568+H1568+L1568,0)</f>
        <v/>
      </c>
      <c r="S1568" s="9">
        <f>VLOOKUP(OPERAC[[#This Row],[especie]],[1]!ESPECIES[#Data],9,FALSE)</f>
        <v/>
      </c>
    </row>
    <row r="1569">
      <c r="A1569" s="4" t="n">
        <v>13230</v>
      </c>
      <c r="B1569" s="5" t="n">
        <v>44712</v>
      </c>
      <c r="C1569" s="13" t="inlineStr">
        <is>
          <t>VTA</t>
        </is>
      </c>
      <c r="D1569" s="13" t="n">
        <v>39</v>
      </c>
      <c r="E1569" s="10">
        <f>IF(D1569&gt;0,VLOOKUP(OPERAC[[#This Row],[COD CART]],[1]!MatrizCortoLargoCyl[#All],3,0),"")</f>
        <v/>
      </c>
      <c r="F1569" s="13" t="inlineStr">
        <is>
          <t>ET/C/10,00/21-10-22</t>
        </is>
      </c>
      <c r="G1569" s="6" t="n">
        <v>100</v>
      </c>
      <c r="H1569" s="6" t="n">
        <v>-202.808</v>
      </c>
      <c r="I1569" s="7">
        <f>-H1569/G1569</f>
        <v/>
      </c>
      <c r="J1569" s="5" t="n">
        <v>44719</v>
      </c>
      <c r="K1569" s="6" t="n">
        <v>100</v>
      </c>
      <c r="L1569" s="6" t="n">
        <v>247.875</v>
      </c>
      <c r="M1569" s="7">
        <f>IF(N1569=0,+L1569+H1569,0)</f>
        <v/>
      </c>
      <c r="N1569" s="7">
        <f>IF((+G1569-K1569)=0,0,+G1569-K1569)</f>
        <v/>
      </c>
      <c r="O1569" s="7">
        <f>IF(N1569=0,0,(L1569+H1569)/-N1569)</f>
        <v/>
      </c>
      <c r="P1569" s="7">
        <f>VLOOKUP(OPERAC[[#This Row],[especie]],[1]!ESPECIES[#All],6,0)</f>
        <v/>
      </c>
      <c r="Q1569" s="7">
        <f>IF(N1569&lt;&gt;0,P1569*N1569,0)</f>
        <v/>
      </c>
      <c r="R1569" s="8">
        <f>IF(Q1569&lt;&gt;0,Q1569+H1569+L1569,0)</f>
        <v/>
      </c>
      <c r="S1569" s="9">
        <f>VLOOKUP(OPERAC[[#This Row],[especie]],[1]!ESPECIES[#Data],9,FALSE)</f>
        <v/>
      </c>
    </row>
    <row r="1570">
      <c r="A1570" s="4" t="n">
        <v>15189</v>
      </c>
      <c r="B1570" s="5" t="n">
        <v>44712</v>
      </c>
      <c r="C1570" s="13" t="inlineStr">
        <is>
          <t>VTA</t>
        </is>
      </c>
      <c r="D1570" s="13" t="n">
        <v>39</v>
      </c>
      <c r="E1570" s="10">
        <f>IF(D1570&gt;0,VLOOKUP(OPERAC[[#This Row],[COD CART]],[1]!MatrizCortoLargoCyl[#All],3,0),"")</f>
        <v/>
      </c>
      <c r="F1570" s="13" t="inlineStr">
        <is>
          <t>ET/C/10,00/21-10-22</t>
        </is>
      </c>
      <c r="G1570" s="6" t="n">
        <v>100</v>
      </c>
      <c r="H1570" s="6" t="n">
        <v>-202.808</v>
      </c>
      <c r="I1570" s="7">
        <f>-H1570/G1570</f>
        <v/>
      </c>
      <c r="J1570" s="5" t="n"/>
      <c r="K1570" s="6" t="n"/>
      <c r="L1570" s="6" t="n"/>
      <c r="M1570" s="7">
        <f>IF(N1570=0,+L1570+H1570,0)</f>
        <v/>
      </c>
      <c r="N1570" s="7">
        <f>IF((+G1570-K1570)=0,0,+G1570-K1570)</f>
        <v/>
      </c>
      <c r="O1570" s="7">
        <f>IF(N1570=0,0,(L1570+H1570)/-N1570)</f>
        <v/>
      </c>
      <c r="P1570" s="7">
        <f>VLOOKUP(OPERAC[[#This Row],[especie]],[1]!ESPECIES[#All],6,0)</f>
        <v/>
      </c>
      <c r="Q1570" s="7">
        <f>IF(N1570&lt;&gt;0,P1570*N1570,0)</f>
        <v/>
      </c>
      <c r="R1570" s="8">
        <f>IF(Q1570&lt;&gt;0,Q1570+H1570+L1570,0)</f>
        <v/>
      </c>
      <c r="S1570" s="9">
        <f>VLOOKUP(OPERAC[[#This Row],[especie]],[1]!ESPECIES[#Data],9,FALSE)</f>
        <v/>
      </c>
    </row>
    <row r="1571">
      <c r="A1571" s="4" t="n">
        <v>15195</v>
      </c>
      <c r="B1571" s="5" t="n">
        <v>44712</v>
      </c>
      <c r="C1571" s="13" t="inlineStr">
        <is>
          <t>VTA</t>
        </is>
      </c>
      <c r="D1571" s="13" t="n">
        <v>39</v>
      </c>
      <c r="E1571" s="10">
        <f>IF(D1571&gt;0,VLOOKUP(OPERAC[[#This Row],[COD CART]],[1]!MatrizCortoLargoCyl[#All],3,0),"")</f>
        <v/>
      </c>
      <c r="F1571" s="13" t="inlineStr">
        <is>
          <t>ET/C/10,00/21-10-22</t>
        </is>
      </c>
      <c r="G1571" s="6" t="n">
        <v>100</v>
      </c>
      <c r="H1571" s="6" t="n">
        <v>-202.808</v>
      </c>
      <c r="I1571" s="7">
        <f>-H1571/G1571</f>
        <v/>
      </c>
      <c r="J1571" s="5" t="n"/>
      <c r="K1571" s="6" t="n"/>
      <c r="L1571" s="6" t="n"/>
      <c r="M1571" s="7">
        <f>IF(N1571=0,+L1571+H1571,0)</f>
        <v/>
      </c>
      <c r="N1571" s="7">
        <f>IF((+G1571-K1571)=0,0,+G1571-K1571)</f>
        <v/>
      </c>
      <c r="O1571" s="7">
        <f>IF(N1571=0,0,(L1571+H1571)/-N1571)</f>
        <v/>
      </c>
      <c r="P1571" s="7">
        <f>VLOOKUP(OPERAC[[#This Row],[especie]],[1]!ESPECIES[#All],6,0)</f>
        <v/>
      </c>
      <c r="Q1571" s="7">
        <f>IF(N1571&lt;&gt;0,P1571*N1571,0)</f>
        <v/>
      </c>
      <c r="R1571" s="8">
        <f>IF(Q1571&lt;&gt;0,Q1571+H1571+L1571,0)</f>
        <v/>
      </c>
      <c r="S1571" s="9">
        <f>VLOOKUP(OPERAC[[#This Row],[especie]],[1]!ESPECIES[#Data],9,FALSE)</f>
        <v/>
      </c>
    </row>
    <row r="1572">
      <c r="A1572" s="4" t="n">
        <v>18663</v>
      </c>
      <c r="B1572" s="5" t="n">
        <v>44203</v>
      </c>
      <c r="C1572" s="13" t="inlineStr">
        <is>
          <t>VTA</t>
        </is>
      </c>
      <c r="D1572" s="13" t="n">
        <v>41</v>
      </c>
      <c r="E1572" s="10">
        <f>IF(D1572&gt;0,VLOOKUP(OPERAC[[#This Row],[COD CART]],[1]!MatrizCortoLargoCyl[#All],3,0),"")</f>
        <v/>
      </c>
      <c r="F1572" s="13" t="inlineStr">
        <is>
          <t>MPW</t>
        </is>
      </c>
      <c r="G1572" s="6" t="n">
        <v>10</v>
      </c>
      <c r="H1572" s="6" t="n">
        <v>-203.0581</v>
      </c>
      <c r="I1572" s="7">
        <f>-H1572/G1572</f>
        <v/>
      </c>
      <c r="J1572" s="11" t="n"/>
      <c r="K1572" s="6" t="n"/>
      <c r="L1572" s="6" t="n"/>
      <c r="M1572" s="7">
        <f>IF(N1572=0,+L1572+H1572,0)</f>
        <v/>
      </c>
      <c r="N1572" s="7">
        <f>IF((+G1572-K1572)=0,0,+G1572-K1572)</f>
        <v/>
      </c>
      <c r="O1572" s="7">
        <f>IF(N1572=0,0,(L1572+H1572)/-N1572)</f>
        <v/>
      </c>
      <c r="P1572" s="7">
        <f>VLOOKUP(OPERAC[[#This Row],[especie]],[1]!ESPECIES[#All],6,0)</f>
        <v/>
      </c>
      <c r="Q1572" s="7">
        <f>IF(N1572&lt;&gt;0,P1572*N1572,0)</f>
        <v/>
      </c>
      <c r="R1572" s="8">
        <f>IF(Q1572&lt;&gt;0,Q1572+H1572+L1572,0)</f>
        <v/>
      </c>
      <c r="S1572" s="9">
        <f>VLOOKUP(OPERAC[[#This Row],[especie]],[1]!ESPECIES[#Data],9,FALSE)</f>
        <v/>
      </c>
    </row>
    <row r="1573">
      <c r="A1573" s="4" t="n">
        <v>17042</v>
      </c>
      <c r="B1573" s="5" t="n">
        <v>44586</v>
      </c>
      <c r="C1573" s="13" t="inlineStr">
        <is>
          <t>VTA</t>
        </is>
      </c>
      <c r="D1573" s="13" t="n">
        <v>43</v>
      </c>
      <c r="E1573" s="10">
        <f>IF(D1573&gt;0,VLOOKUP(OPERAC[[#This Row],[COD CART]],[1]!MatrizCortoLargoCyl[#All],3,0),"")</f>
        <v/>
      </c>
      <c r="F1573" s="13" t="inlineStr">
        <is>
          <t>GMBL/CYL-PUT/2,50/20-01-23</t>
        </is>
      </c>
      <c r="G1573" s="6" t="n">
        <v>200</v>
      </c>
      <c r="H1573" s="6" t="n">
        <v>-203.2103</v>
      </c>
      <c r="I1573" s="7">
        <f>-H1573/G1573</f>
        <v/>
      </c>
      <c r="J1573" s="11" t="n"/>
      <c r="K1573" s="6" t="n"/>
      <c r="L1573" s="6" t="n"/>
      <c r="M1573" s="7">
        <f>IF(N1573=0,+L1573+H1573,0)</f>
        <v/>
      </c>
      <c r="N1573" s="7">
        <f>IF((+G1573-K1573)=0,0,+G1573-K1573)</f>
        <v/>
      </c>
      <c r="O1573" s="7">
        <f>IF(N1573=0,0,(L1573+H1573)/-N1573)</f>
        <v/>
      </c>
      <c r="P1573" s="7">
        <f>VLOOKUP(OPERAC[[#This Row],[especie]],[1]!ESPECIES[#All],6,0)</f>
        <v/>
      </c>
      <c r="Q1573" s="7">
        <f>IF(N1573&lt;&gt;0,P1573*N1573,0)</f>
        <v/>
      </c>
      <c r="R1573" s="8">
        <f>IF(Q1573&lt;&gt;0,Q1573+H1573+L1573,0)</f>
        <v/>
      </c>
      <c r="S1573" s="9">
        <f>VLOOKUP(OPERAC[[#This Row],[especie]],[1]!ESPECIES[#Data],9,FALSE)</f>
        <v/>
      </c>
    </row>
    <row r="1574">
      <c r="A1574" s="4" t="n">
        <v>18697</v>
      </c>
      <c r="B1574" s="5" t="n">
        <v>44586</v>
      </c>
      <c r="C1574" s="13" t="inlineStr">
        <is>
          <t>VTA</t>
        </is>
      </c>
      <c r="D1574" s="13" t="n">
        <v>43</v>
      </c>
      <c r="E1574" s="10">
        <f>IF(D1574&gt;0,VLOOKUP(OPERAC[[#This Row],[COD CART]],[1]!MatrizCortoLargoCyl[#All],3,0),"")</f>
        <v/>
      </c>
      <c r="F1574" s="13" t="inlineStr">
        <is>
          <t>GMBL/CYL-PUT/2,50/20-01-23</t>
        </is>
      </c>
      <c r="G1574" s="6" t="n">
        <v>200</v>
      </c>
      <c r="H1574" s="6" t="n">
        <v>-203.2103</v>
      </c>
      <c r="I1574" s="7">
        <f>-H1574/G1574</f>
        <v/>
      </c>
      <c r="J1574" s="11" t="n">
        <v>44715</v>
      </c>
      <c r="K1574" s="6" t="n">
        <v>200</v>
      </c>
      <c r="L1574" s="6" t="n">
        <v>-361.22</v>
      </c>
      <c r="M1574" s="7">
        <f>IF(N1574=0,+L1574+H1574,0)</f>
        <v/>
      </c>
      <c r="N1574" s="7">
        <f>IF((+G1574-K1574)=0,0,+G1574-K1574)</f>
        <v/>
      </c>
      <c r="O1574" s="7">
        <f>IF(N1574=0,0,(L1574+H1574)/-N1574)</f>
        <v/>
      </c>
      <c r="P1574" s="7">
        <f>VLOOKUP(OPERAC[[#This Row],[especie]],[1]!ESPECIES[#All],6,0)</f>
        <v/>
      </c>
      <c r="Q1574" s="7">
        <f>IF(N1574&lt;&gt;0,P1574*N1574,0)</f>
        <v/>
      </c>
      <c r="R1574" s="8">
        <f>IF(Q1574&lt;&gt;0,Q1574+H1574+L1574,0)</f>
        <v/>
      </c>
      <c r="S1574" s="9">
        <f>VLOOKUP(OPERAC[[#This Row],[especie]],[1]!ESPECIES[#Data],9,FALSE)</f>
        <v/>
      </c>
    </row>
    <row r="1575">
      <c r="A1575" s="4" t="n">
        <v>2289</v>
      </c>
      <c r="B1575" s="5" t="n">
        <v>44586</v>
      </c>
      <c r="C1575" s="13" t="inlineStr">
        <is>
          <t>VTA</t>
        </is>
      </c>
      <c r="D1575" s="13" t="n">
        <v>43</v>
      </c>
      <c r="E1575" s="10">
        <f>IF(D1575&gt;0,VLOOKUP(OPERAC[[#This Row],[COD CART]],[1]!MatrizCortoLargoCyl[#All],3,0),"")</f>
        <v/>
      </c>
      <c r="F1575" s="13" t="inlineStr">
        <is>
          <t>GMBL/CYL-PUT/2,50/20-01-23</t>
        </is>
      </c>
      <c r="G1575" s="6" t="n">
        <v>200</v>
      </c>
      <c r="H1575" s="6" t="n">
        <v>-203.2103000000001</v>
      </c>
      <c r="I1575" s="7">
        <f>-H1575/G1575</f>
        <v/>
      </c>
      <c r="J1575" s="11" t="n">
        <v>44636</v>
      </c>
      <c r="K1575" s="6" t="n">
        <v>200</v>
      </c>
      <c r="L1575" s="6">
        <f>-1.36*OPERAC[[#This Row],[cantidad venta]]</f>
        <v/>
      </c>
      <c r="M1575" s="7">
        <f>IF(N1575=0,+L1575+H1575,0)</f>
        <v/>
      </c>
      <c r="N1575" s="7">
        <f>IF((+G1575-K1575)=0,0,+G1575-K1575)</f>
        <v/>
      </c>
      <c r="O1575" s="7">
        <f>IF(N1575=0,0,(L1575+H1575)/-N1575)</f>
        <v/>
      </c>
      <c r="P1575" s="7">
        <f>VLOOKUP(OPERAC[[#This Row],[especie]],[1]!ESPECIES[#All],6,0)</f>
        <v/>
      </c>
      <c r="Q1575" s="7">
        <f>IF(N1575&lt;&gt;0,P1575*N1575,0)</f>
        <v/>
      </c>
      <c r="R1575" s="8">
        <f>IF(Q1575&lt;&gt;0,Q1575+H1575+L1575,0)</f>
        <v/>
      </c>
      <c r="S1575" s="9">
        <f>VLOOKUP(OPERAC[[#This Row],[especie]],[1]!ESPECIES[#Data],9,FALSE)</f>
        <v/>
      </c>
    </row>
    <row r="1576">
      <c r="A1576" s="4" t="n">
        <v>8066</v>
      </c>
      <c r="B1576" s="5" t="n">
        <v>44586</v>
      </c>
      <c r="C1576" s="13" t="inlineStr">
        <is>
          <t>VTA</t>
        </is>
      </c>
      <c r="D1576" s="13" t="n">
        <v>43</v>
      </c>
      <c r="E1576" s="10">
        <f>IF(D1576&gt;0,VLOOKUP(OPERAC[[#This Row],[COD CART]],[1]!MatrizCortoLargoCyl[#All],3,0),"")</f>
        <v/>
      </c>
      <c r="F1576" s="13" t="inlineStr">
        <is>
          <t>GMBL/CYL-PUT/2,50/20-01-23</t>
        </is>
      </c>
      <c r="G1576" s="6" t="n">
        <v>200</v>
      </c>
      <c r="H1576" s="6" t="n">
        <v>-203.2103000000001</v>
      </c>
      <c r="I1576" s="7">
        <f>-H1576/G1576</f>
        <v/>
      </c>
      <c r="J1576" s="11" t="n">
        <v>44636</v>
      </c>
      <c r="K1576" s="6" t="n">
        <v>200</v>
      </c>
      <c r="L1576" s="6">
        <f>-1.36*OPERAC[[#This Row],[cantidad venta]]</f>
        <v/>
      </c>
      <c r="M1576" s="7">
        <f>IF(N1576=0,+L1576+H1576,0)</f>
        <v/>
      </c>
      <c r="N1576" s="7">
        <f>IF((+G1576-K1576)=0,0,+G1576-K1576)</f>
        <v/>
      </c>
      <c r="O1576" s="7">
        <f>IF(N1576=0,0,(L1576+H1576)/-N1576)</f>
        <v/>
      </c>
      <c r="P1576" s="7">
        <f>VLOOKUP(OPERAC[[#This Row],[especie]],[1]!ESPECIES[#All],6,0)</f>
        <v/>
      </c>
      <c r="Q1576" s="7">
        <f>IF(N1576&lt;&gt;0,P1576*N1576,0)</f>
        <v/>
      </c>
      <c r="R1576" s="8">
        <f>IF(Q1576&lt;&gt;0,Q1576+H1576+L1576,0)</f>
        <v/>
      </c>
      <c r="S1576" s="9">
        <f>VLOOKUP(OPERAC[[#This Row],[especie]],[1]!ESPECIES[#Data],9,FALSE)</f>
        <v/>
      </c>
    </row>
    <row r="1577">
      <c r="A1577" s="4" t="n">
        <v>18663</v>
      </c>
      <c r="B1577" s="5" t="n">
        <v>44272</v>
      </c>
      <c r="C1577" s="13" t="inlineStr">
        <is>
          <t>VTA</t>
        </is>
      </c>
      <c r="D1577" s="13" t="n">
        <v>41</v>
      </c>
      <c r="E1577" s="10">
        <f>IF(D1577&gt;0,VLOOKUP(OPERAC[[#This Row],[COD CART]],[1]!MatrizCortoLargoCyl[#All],3,0),"")</f>
        <v/>
      </c>
      <c r="F1577" s="13" t="inlineStr">
        <is>
          <t>VIOT</t>
        </is>
      </c>
      <c r="G1577" s="6" t="n">
        <v>15</v>
      </c>
      <c r="H1577" s="6" t="n">
        <v>-203.4</v>
      </c>
      <c r="I1577" s="7">
        <f>-H1577/G1577</f>
        <v/>
      </c>
      <c r="J1577" s="11" t="n"/>
      <c r="K1577" s="6" t="n"/>
      <c r="L1577" s="6" t="n"/>
      <c r="M1577" s="7">
        <f>IF(N1577=0,+L1577+H1577,0)</f>
        <v/>
      </c>
      <c r="N1577" s="7">
        <f>IF((+G1577-K1577)=0,0,+G1577-K1577)</f>
        <v/>
      </c>
      <c r="O1577" s="7">
        <f>IF(N1577=0,0,(L1577+H1577)/-N1577)</f>
        <v/>
      </c>
      <c r="P1577" s="7">
        <f>VLOOKUP(OPERAC[[#This Row],[especie]],[1]!ESPECIES[#All],6,0)</f>
        <v/>
      </c>
      <c r="Q1577" s="7">
        <f>IF(N1577&lt;&gt;0,P1577*N1577,0)</f>
        <v/>
      </c>
      <c r="R1577" s="8">
        <f>IF(Q1577&lt;&gt;0,Q1577+H1577+L1577,0)</f>
        <v/>
      </c>
      <c r="S1577" s="9">
        <f>VLOOKUP(OPERAC[[#This Row],[especie]],[1]!ESPECIES[#Data],9,FALSE)</f>
        <v/>
      </c>
    </row>
    <row r="1578">
      <c r="A1578" s="4" t="n">
        <v>13253</v>
      </c>
      <c r="B1578" s="5" t="n">
        <v>44203</v>
      </c>
      <c r="C1578" s="13" t="inlineStr">
        <is>
          <t>VTA</t>
        </is>
      </c>
      <c r="D1578" s="13" t="n">
        <v>41</v>
      </c>
      <c r="E1578" s="10">
        <f>IF(D1578&gt;0,VLOOKUP(OPERAC[[#This Row],[COD CART]],[1]!MatrizCortoLargoCyl[#All],3,0),"")</f>
        <v/>
      </c>
      <c r="F1578" s="13" t="inlineStr">
        <is>
          <t>MPW</t>
        </is>
      </c>
      <c r="G1578" s="6" t="n">
        <v>10</v>
      </c>
      <c r="H1578" s="6" t="n">
        <v>-203.4608</v>
      </c>
      <c r="I1578" s="7">
        <f>-H1578/G1578</f>
        <v/>
      </c>
      <c r="J1578" s="11" t="n"/>
      <c r="K1578" s="6" t="n"/>
      <c r="L1578" s="6" t="n"/>
      <c r="M1578" s="7">
        <f>IF(N1578=0,+L1578+H1578,0)</f>
        <v/>
      </c>
      <c r="N1578" s="7">
        <f>IF((+G1578-K1578)=0,0,+G1578-K1578)</f>
        <v/>
      </c>
      <c r="O1578" s="7">
        <f>IF(N1578=0,0,(L1578+H1578)/-N1578)</f>
        <v/>
      </c>
      <c r="P1578" s="7">
        <f>VLOOKUP(OPERAC[[#This Row],[especie]],[1]!ESPECIES[#All],6,0)</f>
        <v/>
      </c>
      <c r="Q1578" s="7">
        <f>IF(N1578&lt;&gt;0,P1578*N1578,0)</f>
        <v/>
      </c>
      <c r="R1578" s="8">
        <f>IF(Q1578&lt;&gt;0,Q1578+H1578+L1578,0)</f>
        <v/>
      </c>
      <c r="S1578" s="9">
        <f>VLOOKUP(OPERAC[[#This Row],[especie]],[1]!ESPECIES[#Data],9,FALSE)</f>
        <v/>
      </c>
    </row>
    <row r="1579">
      <c r="A1579" s="4" t="n">
        <v>18663</v>
      </c>
      <c r="B1579" s="5" t="n">
        <v>44596</v>
      </c>
      <c r="C1579" s="13" t="inlineStr">
        <is>
          <t>VTA</t>
        </is>
      </c>
      <c r="D1579" s="13" t="n">
        <v>41</v>
      </c>
      <c r="E1579" s="10">
        <f>IF(D1579&gt;0,VLOOKUP(OPERAC[[#This Row],[COD CART]],[1]!MatrizCortoLargoCyl[#All],3,0),"")</f>
        <v/>
      </c>
      <c r="F1579" s="13" t="inlineStr">
        <is>
          <t>NRZ</t>
        </is>
      </c>
      <c r="G1579" s="6" t="n">
        <v>20</v>
      </c>
      <c r="H1579" s="6" t="n">
        <v>-204</v>
      </c>
      <c r="I1579" s="7">
        <f>-H1579/G1579</f>
        <v/>
      </c>
      <c r="J1579" s="11" t="n"/>
      <c r="K1579" s="6" t="n"/>
      <c r="L1579" s="6" t="n"/>
      <c r="M1579" s="7">
        <f>IF(N1579=0,+L1579+H1579,0)</f>
        <v/>
      </c>
      <c r="N1579" s="7">
        <f>IF((+G1579-K1579)=0,0,+G1579-K1579)</f>
        <v/>
      </c>
      <c r="O1579" s="7">
        <f>IF(N1579=0,0,(L1579+H1579)/-N1579)</f>
        <v/>
      </c>
      <c r="P1579" s="7">
        <f>VLOOKUP(OPERAC[[#This Row],[especie]],[1]!ESPECIES[#All],6,0)</f>
        <v/>
      </c>
      <c r="Q1579" s="7">
        <f>IF(N1579&lt;&gt;0,P1579*N1579,0)</f>
        <v/>
      </c>
      <c r="R1579" s="8">
        <f>IF(Q1579&lt;&gt;0,Q1579+H1579+L1579,0)</f>
        <v/>
      </c>
      <c r="S1579" s="9">
        <f>VLOOKUP(OPERAC[[#This Row],[especie]],[1]!ESPECIES[#Data],9,FALSE)</f>
        <v/>
      </c>
    </row>
    <row r="1580">
      <c r="A1580" s="4" t="n">
        <v>18669</v>
      </c>
      <c r="B1580" s="5" t="n">
        <v>44323</v>
      </c>
      <c r="C1580" s="13" t="inlineStr">
        <is>
          <t>VTA</t>
        </is>
      </c>
      <c r="D1580" s="13" t="n">
        <v>41</v>
      </c>
      <c r="E1580" s="10">
        <f>IF(D1580&gt;0,VLOOKUP(OPERAC[[#This Row],[COD CART]],[1]!MatrizCortoLargoCyl[#All],3,0),"")</f>
        <v/>
      </c>
      <c r="F1580" s="13" t="inlineStr">
        <is>
          <t>PLTR</t>
        </is>
      </c>
      <c r="G1580" s="6" t="n">
        <v>10</v>
      </c>
      <c r="H1580" s="6" t="n">
        <v>-204.11</v>
      </c>
      <c r="I1580" s="7">
        <f>-H1580/G1580</f>
        <v/>
      </c>
      <c r="J1580" s="11" t="n"/>
      <c r="K1580" s="6" t="n"/>
      <c r="L1580" s="6" t="n"/>
      <c r="M1580" s="7">
        <f>IF(N1580=0,+L1580+H1580,0)</f>
        <v/>
      </c>
      <c r="N1580" s="7">
        <f>IF((+G1580-K1580)=0,0,+G1580-K1580)</f>
        <v/>
      </c>
      <c r="O1580" s="7">
        <f>IF(N1580=0,0,(L1580+H1580)/-N1580)</f>
        <v/>
      </c>
      <c r="P1580" s="7">
        <f>VLOOKUP(OPERAC[[#This Row],[especie]],[1]!ESPECIES[#All],6,0)</f>
        <v/>
      </c>
      <c r="Q1580" s="7">
        <f>IF(N1580&lt;&gt;0,P1580*N1580,0)</f>
        <v/>
      </c>
      <c r="R1580" s="8">
        <f>IF(Q1580&lt;&gt;0,Q1580+H1580+L1580,0)</f>
        <v/>
      </c>
      <c r="S1580" s="9">
        <f>VLOOKUP(OPERAC[[#This Row],[especie]],[1]!ESPECIES[#Data],9,FALSE)</f>
        <v/>
      </c>
    </row>
    <row r="1581">
      <c r="A1581" s="4" t="n">
        <v>2211</v>
      </c>
      <c r="B1581" s="5" t="n">
        <v>44466</v>
      </c>
      <c r="C1581" s="13" t="inlineStr">
        <is>
          <t>VTA</t>
        </is>
      </c>
      <c r="D1581" s="13" t="n">
        <v>43</v>
      </c>
      <c r="E1581" s="10">
        <f>IF(D1581&gt;0,VLOOKUP(OPERAC[[#This Row],[COD CART]],[1]!MatrizCortoLargoCyl[#All],3,0),"")</f>
        <v/>
      </c>
      <c r="F1581" s="13" t="inlineStr">
        <is>
          <t>SOLO/CYL-PUT/4,00/16-09-22</t>
        </is>
      </c>
      <c r="G1581" s="6" t="n">
        <v>100</v>
      </c>
      <c r="H1581" s="6">
        <f>-297.41727+0.32*OPERAC[[#This Row],[cantidad]]+0.387*OPERAC[[#This Row],[cantidad]]+0.22*OPERAC[[#This Row],[cantidad]]</f>
        <v/>
      </c>
      <c r="I1581" s="7">
        <f>-H1581/G1581</f>
        <v/>
      </c>
      <c r="J1581" s="11" t="n"/>
      <c r="K1581" s="6" t="n"/>
      <c r="L1581" s="6" t="n"/>
      <c r="M1581" s="7">
        <f>IF(N1581=0,+L1581+H1581,0)</f>
        <v/>
      </c>
      <c r="N1581" s="7">
        <f>IF((+G1581-K1581)=0,0,+G1581-K1581)</f>
        <v/>
      </c>
      <c r="O1581" s="7">
        <f>IF(N1581=0,0,(L1581+H1581)/-N1581)</f>
        <v/>
      </c>
      <c r="P1581" s="7">
        <f>VLOOKUP(OPERAC[[#This Row],[especie]],[1]!ESPECIES[#All],6,0)</f>
        <v/>
      </c>
      <c r="Q1581" s="7">
        <f>IF(N1581&lt;&gt;0,P1581*N1581,0)</f>
        <v/>
      </c>
      <c r="R1581" s="8">
        <f>IF(Q1581&lt;&gt;0,Q1581+H1581+L1581,0)</f>
        <v/>
      </c>
      <c r="S1581" s="9">
        <f>VLOOKUP(OPERAC[[#This Row],[especie]],[1]!ESPECIES[#Data],9,FALSE)</f>
        <v/>
      </c>
    </row>
    <row r="1582">
      <c r="A1582" s="4" t="n">
        <v>2289</v>
      </c>
      <c r="B1582" s="5" t="n">
        <v>44466</v>
      </c>
      <c r="C1582" s="13" t="inlineStr">
        <is>
          <t>VTA</t>
        </is>
      </c>
      <c r="D1582" s="13" t="n">
        <v>43</v>
      </c>
      <c r="E1582" s="10">
        <f>IF(D1582&gt;0,VLOOKUP(OPERAC[[#This Row],[COD CART]],[1]!MatrizCortoLargoCyl[#All],3,0),"")</f>
        <v/>
      </c>
      <c r="F1582" s="13" t="inlineStr">
        <is>
          <t>SOLO/CYL-PUT/4,00/16-09-22</t>
        </is>
      </c>
      <c r="G1582" s="6" t="n">
        <v>100</v>
      </c>
      <c r="H1582" s="6">
        <f>-297.41727+0.32*OPERAC[[#This Row],[cantidad]]+0.387*OPERAC[[#This Row],[cantidad]]+0.22*OPERAC[[#This Row],[cantidad]]</f>
        <v/>
      </c>
      <c r="I1582" s="7">
        <f>-H1582/G1582</f>
        <v/>
      </c>
      <c r="J1582" s="11" t="n">
        <v>44712</v>
      </c>
      <c r="K1582" s="6" t="n">
        <v>100</v>
      </c>
      <c r="L1582" s="6" t="n">
        <v>-89.02</v>
      </c>
      <c r="M1582" s="7">
        <f>IF(N1582=0,+L1582+H1582,0)</f>
        <v/>
      </c>
      <c r="N1582" s="7">
        <f>IF((+G1582-K1582)=0,0,+G1582-K1582)</f>
        <v/>
      </c>
      <c r="O1582" s="7">
        <f>IF(N1582=0,0,(L1582+H1582)/-N1582)</f>
        <v/>
      </c>
      <c r="P1582" s="7">
        <f>VLOOKUP(OPERAC[[#This Row],[especie]],[1]!ESPECIES[#All],6,0)</f>
        <v/>
      </c>
      <c r="Q1582" s="7">
        <f>IF(N1582&lt;&gt;0,P1582*N1582,0)</f>
        <v/>
      </c>
      <c r="R1582" s="8">
        <f>IF(Q1582&lt;&gt;0,Q1582+H1582+L1582,0)</f>
        <v/>
      </c>
      <c r="S1582" s="9">
        <f>VLOOKUP(OPERAC[[#This Row],[especie]],[1]!ESPECIES[#Data],9,FALSE)</f>
        <v/>
      </c>
    </row>
    <row r="1583">
      <c r="A1583" s="4" t="n">
        <v>3838</v>
      </c>
      <c r="B1583" s="5" t="n">
        <v>44466</v>
      </c>
      <c r="C1583" s="13" t="inlineStr">
        <is>
          <t>VTA</t>
        </is>
      </c>
      <c r="D1583" s="13" t="n">
        <v>43</v>
      </c>
      <c r="E1583" s="10">
        <f>IF(D1583&gt;0,VLOOKUP(OPERAC[[#This Row],[COD CART]],[1]!MatrizCortoLargoCyl[#All],3,0),"")</f>
        <v/>
      </c>
      <c r="F1583" s="13" t="inlineStr">
        <is>
          <t>SOLO/CYL-PUT/4,00/16-09-22</t>
        </is>
      </c>
      <c r="G1583" s="6" t="n">
        <v>100</v>
      </c>
      <c r="H1583" s="6">
        <f>-297.41727+0.32*OPERAC[[#This Row],[cantidad]]+0.387*OPERAC[[#This Row],[cantidad]]+0.22*OPERAC[[#This Row],[cantidad]]</f>
        <v/>
      </c>
      <c r="I1583" s="7">
        <f>-H1583/G1583</f>
        <v/>
      </c>
      <c r="J1583" s="11" t="n"/>
      <c r="K1583" s="6" t="n"/>
      <c r="L1583" s="6" t="n"/>
      <c r="M1583" s="7">
        <f>IF(N1583=0,+L1583+H1583,0)</f>
        <v/>
      </c>
      <c r="N1583" s="7">
        <f>IF((+G1583-K1583)=0,0,+G1583-K1583)</f>
        <v/>
      </c>
      <c r="O1583" s="7">
        <f>IF(N1583=0,0,(L1583+H1583)/-N1583)</f>
        <v/>
      </c>
      <c r="P1583" s="7">
        <f>VLOOKUP(OPERAC[[#This Row],[especie]],[1]!ESPECIES[#All],6,0)</f>
        <v/>
      </c>
      <c r="Q1583" s="7">
        <f>IF(N1583&lt;&gt;0,P1583*N1583,0)</f>
        <v/>
      </c>
      <c r="R1583" s="8">
        <f>IF(Q1583&lt;&gt;0,Q1583+H1583+L1583,0)</f>
        <v/>
      </c>
      <c r="S1583" s="9">
        <f>VLOOKUP(OPERAC[[#This Row],[especie]],[1]!ESPECIES[#Data],9,FALSE)</f>
        <v/>
      </c>
    </row>
    <row r="1584">
      <c r="A1584" s="4" t="n">
        <v>8066</v>
      </c>
      <c r="B1584" s="5" t="n">
        <v>44466</v>
      </c>
      <c r="C1584" s="13" t="inlineStr">
        <is>
          <t>VTA</t>
        </is>
      </c>
      <c r="D1584" s="13" t="n">
        <v>43</v>
      </c>
      <c r="E1584" s="10">
        <f>IF(D1584&gt;0,VLOOKUP(OPERAC[[#This Row],[COD CART]],[1]!MatrizCortoLargoCyl[#All],3,0),"")</f>
        <v/>
      </c>
      <c r="F1584" s="13" t="inlineStr">
        <is>
          <t>SOLO/CYL-PUT/4,00/16-09-22</t>
        </is>
      </c>
      <c r="G1584" s="6" t="n">
        <v>100</v>
      </c>
      <c r="H1584" s="6">
        <f>-297.41727+0.32*OPERAC[[#This Row],[cantidad]]+0.387*OPERAC[[#This Row],[cantidad]]+0.22*OPERAC[[#This Row],[cantidad]]</f>
        <v/>
      </c>
      <c r="I1584" s="7">
        <f>-H1584/G1584</f>
        <v/>
      </c>
      <c r="J1584" s="11" t="n">
        <v>44698</v>
      </c>
      <c r="K1584" s="6" t="n">
        <v>100</v>
      </c>
      <c r="L1584" s="6" t="n">
        <v>-92.396</v>
      </c>
      <c r="M1584" s="7">
        <f>IF(N1584=0,+L1584+H1584,0)</f>
        <v/>
      </c>
      <c r="N1584" s="7">
        <f>IF((+G1584-K1584)=0,0,+G1584-K1584)</f>
        <v/>
      </c>
      <c r="O1584" s="7">
        <f>IF(N1584=0,0,(L1584+H1584)/-N1584)</f>
        <v/>
      </c>
      <c r="P1584" s="7">
        <f>VLOOKUP(OPERAC[[#This Row],[especie]],[1]!ESPECIES[#All],6,0)</f>
        <v/>
      </c>
      <c r="Q1584" s="7">
        <f>IF(N1584&lt;&gt;0,P1584*N1584,0)</f>
        <v/>
      </c>
      <c r="R1584" s="8">
        <f>IF(Q1584&lt;&gt;0,Q1584+H1584+L1584,0)</f>
        <v/>
      </c>
      <c r="S1584" s="9">
        <f>VLOOKUP(OPERAC[[#This Row],[especie]],[1]!ESPECIES[#Data],9,FALSE)</f>
        <v/>
      </c>
    </row>
    <row r="1585">
      <c r="A1585" s="4" t="n">
        <v>11168</v>
      </c>
      <c r="B1585" s="5" t="n">
        <v>44466</v>
      </c>
      <c r="C1585" s="13" t="inlineStr">
        <is>
          <t>VTA</t>
        </is>
      </c>
      <c r="D1585" s="13" t="n">
        <v>43</v>
      </c>
      <c r="E1585" s="10">
        <f>IF(D1585&gt;0,VLOOKUP(OPERAC[[#This Row],[COD CART]],[1]!MatrizCortoLargoCyl[#All],3,0),"")</f>
        <v/>
      </c>
      <c r="F1585" s="13" t="inlineStr">
        <is>
          <t>SOLO/CYL-PUT/4,00/16-09-22</t>
        </is>
      </c>
      <c r="G1585" s="6" t="n">
        <v>100</v>
      </c>
      <c r="H1585" s="6">
        <f>-297.41727+0.32*OPERAC[[#This Row],[cantidad]]+0.387*OPERAC[[#This Row],[cantidad]]+0.22*OPERAC[[#This Row],[cantidad]]</f>
        <v/>
      </c>
      <c r="I1585" s="7">
        <f>-H1585/G1585</f>
        <v/>
      </c>
      <c r="J1585" s="11" t="n">
        <v>44712</v>
      </c>
      <c r="K1585" s="6" t="n">
        <v>100</v>
      </c>
      <c r="L1585" s="6" t="n">
        <v>-87.3</v>
      </c>
      <c r="M1585" s="7">
        <f>IF(N1585=0,+L1585+H1585,0)</f>
        <v/>
      </c>
      <c r="N1585" s="7">
        <f>IF((+G1585-K1585)=0,0,+G1585-K1585)</f>
        <v/>
      </c>
      <c r="O1585" s="7">
        <f>IF(N1585=0,0,(L1585+H1585)/-N1585)</f>
        <v/>
      </c>
      <c r="P1585" s="7">
        <f>VLOOKUP(OPERAC[[#This Row],[especie]],[1]!ESPECIES[#All],6,0)</f>
        <v/>
      </c>
      <c r="Q1585" s="7">
        <f>IF(N1585&lt;&gt;0,P1585*N1585,0)</f>
        <v/>
      </c>
      <c r="R1585" s="8">
        <f>IF(Q1585&lt;&gt;0,Q1585+H1585+L1585,0)</f>
        <v/>
      </c>
      <c r="S1585" s="9">
        <f>VLOOKUP(OPERAC[[#This Row],[especie]],[1]!ESPECIES[#Data],9,FALSE)</f>
        <v/>
      </c>
    </row>
    <row r="1586">
      <c r="A1586" s="4" t="n">
        <v>12674</v>
      </c>
      <c r="B1586" s="5" t="n">
        <v>44466</v>
      </c>
      <c r="C1586" s="13" t="inlineStr">
        <is>
          <t>VTA</t>
        </is>
      </c>
      <c r="D1586" s="13" t="n">
        <v>43</v>
      </c>
      <c r="E1586" s="10">
        <f>IF(D1586&gt;0,VLOOKUP(OPERAC[[#This Row],[COD CART]],[1]!MatrizCortoLargoCyl[#All],3,0),"")</f>
        <v/>
      </c>
      <c r="F1586" s="13" t="inlineStr">
        <is>
          <t>SOLO/CYL-PUT/4,00/16-09-22</t>
        </is>
      </c>
      <c r="G1586" s="6" t="n">
        <v>100</v>
      </c>
      <c r="H1586" s="6">
        <f>-297.41727+0.32*OPERAC[[#This Row],[cantidad]]+0.387*OPERAC[[#This Row],[cantidad]]+0.22*OPERAC[[#This Row],[cantidad]]</f>
        <v/>
      </c>
      <c r="I1586" s="7">
        <f>-H1586/G1586</f>
        <v/>
      </c>
      <c r="J1586" s="11" t="n"/>
      <c r="K1586" s="6" t="n"/>
      <c r="L1586" s="6" t="n"/>
      <c r="M1586" s="7">
        <f>IF(N1586=0,+L1586+H1586,0)</f>
        <v/>
      </c>
      <c r="N1586" s="7">
        <f>IF((+G1586-K1586)=0,0,+G1586-K1586)</f>
        <v/>
      </c>
      <c r="O1586" s="7">
        <f>IF(N1586=0,0,(L1586+H1586)/-N1586)</f>
        <v/>
      </c>
      <c r="P1586" s="7">
        <f>VLOOKUP(OPERAC[[#This Row],[especie]],[1]!ESPECIES[#All],6,0)</f>
        <v/>
      </c>
      <c r="Q1586" s="7">
        <f>IF(N1586&lt;&gt;0,P1586*N1586,0)</f>
        <v/>
      </c>
      <c r="R1586" s="8">
        <f>IF(Q1586&lt;&gt;0,Q1586+H1586+L1586,0)</f>
        <v/>
      </c>
      <c r="S1586" s="9">
        <f>VLOOKUP(OPERAC[[#This Row],[especie]],[1]!ESPECIES[#Data],9,FALSE)</f>
        <v/>
      </c>
    </row>
    <row r="1587">
      <c r="A1587" s="4" t="n">
        <v>18663</v>
      </c>
      <c r="B1587" s="5" t="n">
        <v>44385</v>
      </c>
      <c r="C1587" s="13" t="inlineStr">
        <is>
          <t>VTA</t>
        </is>
      </c>
      <c r="D1587" s="13" t="n">
        <v>41</v>
      </c>
      <c r="E1587" s="10">
        <f>IF(D1587&gt;0,VLOOKUP(OPERAC[[#This Row],[COD CART]],[1]!MatrizCortoLargoCyl[#All],3,0),"")</f>
        <v/>
      </c>
      <c r="F1587" s="13" t="inlineStr">
        <is>
          <t>NRZ</t>
        </is>
      </c>
      <c r="G1587" s="6" t="n">
        <v>20</v>
      </c>
      <c r="H1587" s="6" t="n">
        <v>-205.12</v>
      </c>
      <c r="I1587" s="7">
        <f>-H1587/G1587</f>
        <v/>
      </c>
      <c r="J1587" s="11" t="n"/>
      <c r="K1587" s="6" t="n"/>
      <c r="L1587" s="6" t="n"/>
      <c r="M1587" s="7">
        <f>IF(N1587=0,+L1587+H1587,0)</f>
        <v/>
      </c>
      <c r="N1587" s="7">
        <f>IF((+G1587-K1587)=0,0,+G1587-K1587)</f>
        <v/>
      </c>
      <c r="O1587" s="7">
        <f>IF(N1587=0,0,(L1587+H1587)/-N1587)</f>
        <v/>
      </c>
      <c r="P1587" s="7">
        <f>VLOOKUP(OPERAC[[#This Row],[especie]],[1]!ESPECIES[#All],6,0)</f>
        <v/>
      </c>
      <c r="Q1587" s="7">
        <f>IF(N1587&lt;&gt;0,P1587*N1587,0)</f>
        <v/>
      </c>
      <c r="R1587" s="8">
        <f>IF(Q1587&lt;&gt;0,Q1587+H1587+L1587,0)</f>
        <v/>
      </c>
      <c r="S1587" s="9">
        <f>VLOOKUP(OPERAC[[#This Row],[especie]],[1]!ESPECIES[#Data],9,FALSE)</f>
        <v/>
      </c>
    </row>
    <row r="1588">
      <c r="A1588" s="4" t="n">
        <v>18661</v>
      </c>
      <c r="B1588" s="5" t="n">
        <v>44615</v>
      </c>
      <c r="C1588" s="13" t="inlineStr">
        <is>
          <t>VTA</t>
        </is>
      </c>
      <c r="D1588" s="13" t="n">
        <v>41</v>
      </c>
      <c r="E1588" s="10">
        <f>IF(D1588&gt;0,VLOOKUP(OPERAC[[#This Row],[COD CART]],[1]!MatrizCortoLargoCyl[#All],3,0),"")</f>
        <v/>
      </c>
      <c r="F1588" s="13" t="inlineStr">
        <is>
          <t>XLE</t>
        </is>
      </c>
      <c r="G1588" s="6" t="n">
        <v>3</v>
      </c>
      <c r="H1588" s="6" t="n">
        <v>-205.8</v>
      </c>
      <c r="I1588" s="7">
        <f>-H1588/G1588</f>
        <v/>
      </c>
      <c r="J1588" s="11" t="n"/>
      <c r="K1588" s="6" t="n"/>
      <c r="L1588" s="6" t="n"/>
      <c r="M1588" s="7">
        <f>IF(N1588=0,+L1588+H1588,0)</f>
        <v/>
      </c>
      <c r="N1588" s="7">
        <f>IF((+G1588-K1588)=0,0,+G1588-K1588)</f>
        <v/>
      </c>
      <c r="O1588" s="7">
        <f>IF(N1588=0,0,(L1588+H1588)/-N1588)</f>
        <v/>
      </c>
      <c r="P1588" s="7">
        <f>VLOOKUP(OPERAC[[#This Row],[especie]],[1]!ESPECIES[#All],6,0)</f>
        <v/>
      </c>
      <c r="Q1588" s="7">
        <f>IF(N1588&lt;&gt;0,P1588*N1588,0)</f>
        <v/>
      </c>
      <c r="R1588" s="8">
        <f>IF(Q1588&lt;&gt;0,Q1588+H1588+L1588,0)</f>
        <v/>
      </c>
      <c r="S1588" s="9">
        <f>VLOOKUP(OPERAC[[#This Row],[especie]],[1]!ESPECIES[#Data],9,FALSE)</f>
        <v/>
      </c>
    </row>
    <row r="1589">
      <c r="A1589" s="4" t="n">
        <v>18663</v>
      </c>
      <c r="B1589" s="5" t="n">
        <v>44253</v>
      </c>
      <c r="C1589" s="13" t="inlineStr">
        <is>
          <t>VTA</t>
        </is>
      </c>
      <c r="D1589" s="13" t="n">
        <v>41</v>
      </c>
      <c r="E1589" s="10">
        <f>IF(D1589&gt;0,VLOOKUP(OPERAC[[#This Row],[COD CART]],[1]!MatrizCortoLargoCyl[#All],3,0),"")</f>
        <v/>
      </c>
      <c r="F1589" s="13" t="inlineStr">
        <is>
          <t>STOR</t>
        </is>
      </c>
      <c r="G1589" s="6" t="n">
        <v>6</v>
      </c>
      <c r="H1589" s="6" t="n">
        <v>-206.45056</v>
      </c>
      <c r="I1589" s="7">
        <f>-H1589/G1589</f>
        <v/>
      </c>
      <c r="J1589" s="11" t="n"/>
      <c r="K1589" s="6" t="n"/>
      <c r="L1589" s="6" t="n"/>
      <c r="M1589" s="7">
        <f>IF(N1589=0,+L1589+H1589,0)</f>
        <v/>
      </c>
      <c r="N1589" s="7">
        <f>IF((+G1589-K1589)=0,0,+G1589-K1589)</f>
        <v/>
      </c>
      <c r="O1589" s="7">
        <f>IF(N1589=0,0,(L1589+H1589)/-N1589)</f>
        <v/>
      </c>
      <c r="P1589" s="7">
        <f>VLOOKUP(OPERAC[[#This Row],[especie]],[1]!ESPECIES[#All],6,0)</f>
        <v/>
      </c>
      <c r="Q1589" s="7">
        <f>IF(N1589&lt;&gt;0,P1589*N1589,0)</f>
        <v/>
      </c>
      <c r="R1589" s="8">
        <f>IF(Q1589&lt;&gt;0,Q1589+H1589+L1589,0)</f>
        <v/>
      </c>
      <c r="S1589" s="9">
        <f>VLOOKUP(OPERAC[[#This Row],[especie]],[1]!ESPECIES[#Data],9,FALSE)</f>
        <v/>
      </c>
    </row>
    <row r="1590">
      <c r="A1590" s="4" t="n">
        <v>2253</v>
      </c>
      <c r="B1590" s="5" t="n">
        <v>44637</v>
      </c>
      <c r="C1590" s="13" t="inlineStr">
        <is>
          <t>VTA</t>
        </is>
      </c>
      <c r="D1590" s="13" t="n">
        <v>43</v>
      </c>
      <c r="E1590" s="10">
        <f>IF(D1590&gt;0,VLOOKUP(OPERAC[[#This Row],[COD CART]],[1]!MatrizCortoLargoCyl[#All],3,0),"")</f>
        <v/>
      </c>
      <c r="F1590" s="13" t="inlineStr">
        <is>
          <t>GMBL/CYL-PUT/1,00/20-01-23</t>
        </is>
      </c>
      <c r="G1590" s="6" t="n">
        <v>1000</v>
      </c>
      <c r="H1590" s="6" t="n">
        <v>-207.8317599999999</v>
      </c>
      <c r="I1590" s="7">
        <f>-H1590/G1590</f>
        <v/>
      </c>
      <c r="J1590" s="11" t="n"/>
      <c r="K1590" s="6" t="n"/>
      <c r="L1590" s="6" t="n"/>
      <c r="M1590" s="7">
        <f>IF(N1590=0,+L1590+H1590,0)</f>
        <v/>
      </c>
      <c r="N1590" s="7">
        <f>IF((+G1590-K1590)=0,0,+G1590-K1590)</f>
        <v/>
      </c>
      <c r="O1590" s="7">
        <f>IF(N1590=0,0,(L1590+H1590)/-N1590)</f>
        <v/>
      </c>
      <c r="P1590" s="7">
        <f>VLOOKUP(OPERAC[[#This Row],[especie]],[1]!ESPECIES[#All],6,0)</f>
        <v/>
      </c>
      <c r="Q1590" s="7">
        <f>IF(N1590&lt;&gt;0,P1590*N1590,0)</f>
        <v/>
      </c>
      <c r="R1590" s="8">
        <f>IF(Q1590&lt;&gt;0,Q1590+H1590+L1590,0)</f>
        <v/>
      </c>
      <c r="S1590" s="9">
        <f>VLOOKUP(OPERAC[[#This Row],[especie]],[1]!ESPECIES[#Data],9,FALSE)</f>
        <v/>
      </c>
    </row>
    <row r="1591">
      <c r="A1591" s="4" t="n">
        <v>18663</v>
      </c>
      <c r="B1591" s="5" t="n">
        <v>44589</v>
      </c>
      <c r="C1591" s="13" t="inlineStr">
        <is>
          <t>VTA</t>
        </is>
      </c>
      <c r="D1591" s="13" t="n">
        <v>41</v>
      </c>
      <c r="E1591" s="10">
        <f>IF(D1591&gt;0,VLOOKUP(OPERAC[[#This Row],[COD CART]],[1]!MatrizCortoLargoCyl[#All],3,0),"")</f>
        <v/>
      </c>
      <c r="F1591" s="13" t="inlineStr">
        <is>
          <t>SSYS</t>
        </is>
      </c>
      <c r="G1591" s="6" t="n">
        <v>10</v>
      </c>
      <c r="H1591" s="6" t="n">
        <v>-208.144</v>
      </c>
      <c r="I1591" s="7">
        <f>-H1591/G1591</f>
        <v/>
      </c>
      <c r="J1591" s="11" t="n">
        <v>44602</v>
      </c>
      <c r="K1591" s="6" t="n">
        <v>10</v>
      </c>
      <c r="L1591" s="6" t="n">
        <v>266.52</v>
      </c>
      <c r="M1591" s="7">
        <f>IF(N1591=0,+L1591+H1591,0)</f>
        <v/>
      </c>
      <c r="N1591" s="7">
        <f>IF((+G1591-K1591)=0,0,+G1591-K1591)</f>
        <v/>
      </c>
      <c r="O1591" s="7">
        <f>IF(N1591=0,0,(L1591+H1591)/-N1591)</f>
        <v/>
      </c>
      <c r="P1591" s="7">
        <f>VLOOKUP(OPERAC[[#This Row],[especie]],[1]!ESPECIES[#All],6,0)</f>
        <v/>
      </c>
      <c r="Q1591" s="7">
        <f>IF(N1591&lt;&gt;0,P1591*N1591,0)</f>
        <v/>
      </c>
      <c r="R1591" s="8">
        <f>IF(Q1591&lt;&gt;0,Q1591+H1591+L1591,0)</f>
        <v/>
      </c>
      <c r="S1591" s="9">
        <f>VLOOKUP(OPERAC[[#This Row],[especie]],[1]!ESPECIES[#Data],9,FALSE)</f>
        <v/>
      </c>
    </row>
    <row r="1592">
      <c r="A1592" s="4" t="n">
        <v>18663</v>
      </c>
      <c r="B1592" s="5" t="n">
        <v>44335</v>
      </c>
      <c r="C1592" s="13" t="inlineStr">
        <is>
          <t>VTA</t>
        </is>
      </c>
      <c r="D1592" s="13" t="n">
        <v>41</v>
      </c>
      <c r="E1592" s="10">
        <f>IF(D1592&gt;0,VLOOKUP(OPERAC[[#This Row],[COD CART]],[1]!MatrizCortoLargoCyl[#All],3,0),"")</f>
        <v/>
      </c>
      <c r="F1592" s="13" t="inlineStr">
        <is>
          <t>MPW</t>
        </is>
      </c>
      <c r="G1592" s="6" t="n">
        <v>10</v>
      </c>
      <c r="H1592" s="6" t="n">
        <v>-208.1944</v>
      </c>
      <c r="I1592" s="7">
        <f>-H1592/G1592</f>
        <v/>
      </c>
      <c r="J1592" s="11" t="n"/>
      <c r="K1592" s="6" t="n"/>
      <c r="L1592" s="6" t="n"/>
      <c r="M1592" s="7">
        <f>IF(N1592=0,+L1592+H1592,0)</f>
        <v/>
      </c>
      <c r="N1592" s="7">
        <f>IF((+G1592-K1592)=0,0,+G1592-K1592)</f>
        <v/>
      </c>
      <c r="O1592" s="7">
        <f>IF(N1592=0,0,(L1592+H1592)/-N1592)</f>
        <v/>
      </c>
      <c r="P1592" s="7">
        <f>VLOOKUP(OPERAC[[#This Row],[especie]],[1]!ESPECIES[#All],6,0)</f>
        <v/>
      </c>
      <c r="Q1592" s="7">
        <f>IF(N1592&lt;&gt;0,P1592*N1592,0)</f>
        <v/>
      </c>
      <c r="R1592" s="8">
        <f>IF(Q1592&lt;&gt;0,Q1592+H1592+L1592,0)</f>
        <v/>
      </c>
      <c r="S1592" s="9">
        <f>VLOOKUP(OPERAC[[#This Row],[especie]],[1]!ESPECIES[#Data],9,FALSE)</f>
        <v/>
      </c>
    </row>
    <row r="1593">
      <c r="A1593" s="4" t="n">
        <v>22399</v>
      </c>
      <c r="B1593" s="5" t="n">
        <v>44460</v>
      </c>
      <c r="C1593" s="13" t="inlineStr">
        <is>
          <t>VTA</t>
        </is>
      </c>
      <c r="D1593" s="13" t="n">
        <v>40</v>
      </c>
      <c r="E1593" s="10">
        <f>IF(D1593&gt;0,VLOOKUP(OPERAC[[#This Row],[COD CART]],[1]!MatrizCortoLargoCyl[#All],3,0),"")</f>
        <v/>
      </c>
      <c r="F1593" s="13" t="inlineStr">
        <is>
          <t>EDU</t>
        </is>
      </c>
      <c r="G1593" s="6" t="n">
        <v>200</v>
      </c>
      <c r="H1593" s="6">
        <f>OPERAC[[#This Row],[cantidad]]*-1.084+0.04*OPERAC[[#This Row],[cantidad]]</f>
        <v/>
      </c>
      <c r="I1593" s="7">
        <f>-H1593/G1593</f>
        <v/>
      </c>
      <c r="J1593" s="11" t="n">
        <v>44617</v>
      </c>
      <c r="K1593" s="6" t="n">
        <v>200</v>
      </c>
      <c r="L1593" s="6" t="n">
        <v>272.8</v>
      </c>
      <c r="M1593" s="7">
        <f>IF(N1593=0,+L1593+H1593,0)</f>
        <v/>
      </c>
      <c r="N1593" s="7">
        <f>IF((+G1593-K1593)=0,0,+G1593-K1593)</f>
        <v/>
      </c>
      <c r="O1593" s="7">
        <f>IF(N1593=0,0,(L1593+H1593)/-N1593)</f>
        <v/>
      </c>
      <c r="P1593" s="7">
        <f>VLOOKUP(OPERAC[[#This Row],[especie]],[1]!ESPECIES[#All],6,0)</f>
        <v/>
      </c>
      <c r="Q1593" s="7">
        <f>IF(N1593&lt;&gt;0,P1593*N1593,0)</f>
        <v/>
      </c>
      <c r="R1593" s="8">
        <f>IF(Q1593&lt;&gt;0,Q1593+H1593+L1593,0)</f>
        <v/>
      </c>
      <c r="S1593" s="9">
        <f>VLOOKUP(OPERAC[[#This Row],[especie]],[1]!ESPECIES[#Data],9,FALSE)</f>
        <v/>
      </c>
    </row>
    <row r="1594">
      <c r="A1594" s="4" t="n">
        <v>1801</v>
      </c>
      <c r="B1594" s="5" t="n">
        <v>44461</v>
      </c>
      <c r="C1594" s="13" t="inlineStr">
        <is>
          <t>VTA</t>
        </is>
      </c>
      <c r="D1594" s="13" t="n">
        <v>40</v>
      </c>
      <c r="E1594" s="10">
        <f>IF(D1594&gt;0,VLOOKUP(OPERAC[[#This Row],[COD CART]],[1]!MatrizCortoLargoCyl[#All],3,0),"")</f>
        <v/>
      </c>
      <c r="F1594" s="13" t="inlineStr">
        <is>
          <t>EDU</t>
        </is>
      </c>
      <c r="G1594" s="6" t="n">
        <v>200</v>
      </c>
      <c r="H1594" s="6">
        <f>-1.0864*OPERAC[[#This Row],[cantidad]]+0.04*OPERAC[[#This Row],[cantidad]]</f>
        <v/>
      </c>
      <c r="I1594" s="7">
        <f>-H1594/G1594</f>
        <v/>
      </c>
      <c r="J1594" s="11" t="n">
        <v>44641</v>
      </c>
      <c r="K1594" s="6" t="n">
        <v>200</v>
      </c>
      <c r="L1594" s="6" t="n">
        <v>243.994</v>
      </c>
      <c r="M1594" s="7">
        <f>IF(N1594=0,+L1594+H1594,0)</f>
        <v/>
      </c>
      <c r="N1594" s="7">
        <f>IF((+G1594-K1594)=0,0,+G1594-K1594)</f>
        <v/>
      </c>
      <c r="O1594" s="7">
        <f>IF(N1594=0,0,(L1594+H1594)/-N1594)</f>
        <v/>
      </c>
      <c r="P1594" s="7">
        <f>VLOOKUP(OPERAC[[#This Row],[especie]],[1]!ESPECIES[#All],6,0)</f>
        <v/>
      </c>
      <c r="Q1594" s="7">
        <f>IF(N1594&lt;&gt;0,P1594*N1594,0)</f>
        <v/>
      </c>
      <c r="R1594" s="8">
        <f>IF(Q1594&lt;&gt;0,Q1594+H1594+L1594,0)</f>
        <v/>
      </c>
      <c r="S1594" s="9">
        <f>VLOOKUP(OPERAC[[#This Row],[especie]],[1]!ESPECIES[#Data],9,FALSE)</f>
        <v/>
      </c>
    </row>
    <row r="1595">
      <c r="A1595" s="4" t="n">
        <v>15192</v>
      </c>
      <c r="B1595" s="5" t="n">
        <v>44461</v>
      </c>
      <c r="C1595" s="13" t="inlineStr">
        <is>
          <t>VTA</t>
        </is>
      </c>
      <c r="D1595" s="13" t="n">
        <v>40</v>
      </c>
      <c r="E1595" s="10">
        <f>IF(D1595&gt;0,VLOOKUP(OPERAC[[#This Row],[COD CART]],[1]!MatrizCortoLargoCyl[#All],3,0),"")</f>
        <v/>
      </c>
      <c r="F1595" s="13" t="inlineStr">
        <is>
          <t>EDU</t>
        </is>
      </c>
      <c r="G1595" s="6" t="n">
        <v>200</v>
      </c>
      <c r="H1595" s="6">
        <f>-1.0864*OPERAC[[#This Row],[cantidad]]+0.04*OPERAC[[#This Row],[cantidad]]</f>
        <v/>
      </c>
      <c r="I1595" s="7">
        <f>-H1595/G1595</f>
        <v/>
      </c>
      <c r="J1595" s="11" t="n">
        <v>44630</v>
      </c>
      <c r="K1595" s="6" t="n">
        <v>200</v>
      </c>
      <c r="L1595" s="6" t="n">
        <v>227.331</v>
      </c>
      <c r="M1595" s="7">
        <f>IF(N1595=0,+L1595+H1595,0)</f>
        <v/>
      </c>
      <c r="N1595" s="7">
        <f>IF((+G1595-K1595)=0,0,+G1595-K1595)</f>
        <v/>
      </c>
      <c r="O1595" s="7">
        <f>IF(N1595=0,0,(L1595+H1595)/-N1595)</f>
        <v/>
      </c>
      <c r="P1595" s="7">
        <f>VLOOKUP(OPERAC[[#This Row],[especie]],[1]!ESPECIES[#All],6,0)</f>
        <v/>
      </c>
      <c r="Q1595" s="7">
        <f>IF(N1595&lt;&gt;0,P1595*N1595,0)</f>
        <v/>
      </c>
      <c r="R1595" s="8">
        <f>IF(Q1595&lt;&gt;0,Q1595+H1595+L1595,0)</f>
        <v/>
      </c>
      <c r="S1595" s="9">
        <f>VLOOKUP(OPERAC[[#This Row],[especie]],[1]!ESPECIES[#Data],9,FALSE)</f>
        <v/>
      </c>
    </row>
    <row r="1596">
      <c r="A1596" s="4" t="n">
        <v>2211</v>
      </c>
      <c r="B1596" s="5" t="n">
        <v>44641</v>
      </c>
      <c r="C1596" s="13" t="inlineStr">
        <is>
          <t>VTA</t>
        </is>
      </c>
      <c r="D1596" s="13" t="n">
        <v>42</v>
      </c>
      <c r="E1596" s="10">
        <f>IF(D1596&gt;0,VLOOKUP(OPERAC[[#This Row],[COD CART]],[1]!MatrizCortoLargoCyl[#All],3,0),"")</f>
        <v/>
      </c>
      <c r="F1596" s="13" t="inlineStr">
        <is>
          <t>FB</t>
        </is>
      </c>
      <c r="G1596" s="6" t="n">
        <v>1</v>
      </c>
      <c r="H1596" s="6" t="n">
        <v>-212.15638</v>
      </c>
      <c r="I1596" s="7">
        <f>-H1596/G1596</f>
        <v/>
      </c>
      <c r="J1596" s="11" t="n">
        <v>44671</v>
      </c>
      <c r="K1596" s="6">
        <f>+OPERAC[[#This Row],[cantidad]]</f>
        <v/>
      </c>
      <c r="L1596" s="6">
        <f>+OPERAC[[#This Row],[cantidad venta]]*213.173</f>
        <v/>
      </c>
      <c r="M1596" s="7">
        <f>IF(N1596=0,+L1596+H1596,0)</f>
        <v/>
      </c>
      <c r="N1596" s="7">
        <f>IF((+G1596-K1596)=0,0,+G1596-K1596)</f>
        <v/>
      </c>
      <c r="O1596" s="7">
        <f>IF(N1596=0,0,(L1596+H1596)/-N1596)</f>
        <v/>
      </c>
      <c r="P1596" s="7">
        <f>VLOOKUP(OPERAC[[#This Row],[especie]],[1]!ESPECIES[#All],6,0)</f>
        <v/>
      </c>
      <c r="Q1596" s="7">
        <f>IF(N1596&lt;&gt;0,P1596*N1596,0)</f>
        <v/>
      </c>
      <c r="R1596" s="8">
        <f>IF(Q1596&lt;&gt;0,Q1596+H1596+L1596,0)</f>
        <v/>
      </c>
      <c r="S1596" s="9">
        <f>VLOOKUP(OPERAC[[#This Row],[especie]],[1]!ESPECIES[#Data],9,FALSE)</f>
        <v/>
      </c>
    </row>
    <row r="1597">
      <c r="A1597" s="4" t="n">
        <v>3781</v>
      </c>
      <c r="B1597" s="5" t="n">
        <v>44641</v>
      </c>
      <c r="C1597" s="13" t="inlineStr">
        <is>
          <t>VTA</t>
        </is>
      </c>
      <c r="D1597" s="13" t="n">
        <v>42</v>
      </c>
      <c r="E1597" s="10">
        <f>IF(D1597&gt;0,VLOOKUP(OPERAC[[#This Row],[COD CART]],[1]!MatrizCortoLargoCyl[#All],3,0),"")</f>
        <v/>
      </c>
      <c r="F1597" s="13" t="inlineStr">
        <is>
          <t>FB</t>
        </is>
      </c>
      <c r="G1597" s="6" t="n">
        <v>1</v>
      </c>
      <c r="H1597" s="6" t="n">
        <v>-212.15638</v>
      </c>
      <c r="I1597" s="7">
        <f>-H1597/G1597</f>
        <v/>
      </c>
      <c r="J1597" s="11" t="n">
        <v>44642</v>
      </c>
      <c r="K1597" s="6" t="n">
        <v>1</v>
      </c>
      <c r="L1597" s="6" t="n">
        <v>213.798</v>
      </c>
      <c r="M1597" s="7">
        <f>IF(N1597=0,+L1597+H1597,0)</f>
        <v/>
      </c>
      <c r="N1597" s="7">
        <f>IF((+G1597-K1597)=0,0,+G1597-K1597)</f>
        <v/>
      </c>
      <c r="O1597" s="7">
        <f>IF(N1597=0,0,(L1597+H1597)/-N1597)</f>
        <v/>
      </c>
      <c r="P1597" s="7">
        <f>VLOOKUP(OPERAC[[#This Row],[especie]],[1]!ESPECIES[#All],6,0)</f>
        <v/>
      </c>
      <c r="Q1597" s="7">
        <f>IF(N1597&lt;&gt;0,P1597*N1597,0)</f>
        <v/>
      </c>
      <c r="R1597" s="8">
        <f>IF(Q1597&lt;&gt;0,Q1597+H1597+L1597,0)</f>
        <v/>
      </c>
      <c r="S1597" s="9">
        <f>VLOOKUP(OPERAC[[#This Row],[especie]],[1]!ESPECIES[#Data],9,FALSE)</f>
        <v/>
      </c>
    </row>
    <row r="1598">
      <c r="A1598" s="4" t="n">
        <v>7925</v>
      </c>
      <c r="B1598" s="5" t="n">
        <v>44641</v>
      </c>
      <c r="C1598" s="13" t="inlineStr">
        <is>
          <t>VTA</t>
        </is>
      </c>
      <c r="D1598" s="13" t="n">
        <v>42</v>
      </c>
      <c r="E1598" s="10">
        <f>IF(D1598&gt;0,VLOOKUP(OPERAC[[#This Row],[COD CART]],[1]!MatrizCortoLargoCyl[#All],3,0),"")</f>
        <v/>
      </c>
      <c r="F1598" s="13" t="inlineStr">
        <is>
          <t>FB</t>
        </is>
      </c>
      <c r="G1598" s="6" t="n">
        <v>1</v>
      </c>
      <c r="H1598" s="6" t="n">
        <v>-212.15638</v>
      </c>
      <c r="I1598" s="7">
        <f>-H1598/G1598</f>
        <v/>
      </c>
      <c r="J1598" s="11" t="n">
        <v>44671</v>
      </c>
      <c r="K1598" s="6">
        <f>+OPERAC[[#This Row],[cantidad]]</f>
        <v/>
      </c>
      <c r="L1598" s="6">
        <f>+OPERAC[[#This Row],[cantidad venta]]*213.173</f>
        <v/>
      </c>
      <c r="M1598" s="7">
        <f>IF(N1598=0,+L1598+H1598,0)</f>
        <v/>
      </c>
      <c r="N1598" s="7">
        <f>IF((+G1598-K1598)=0,0,+G1598-K1598)</f>
        <v/>
      </c>
      <c r="O1598" s="7">
        <f>IF(N1598=0,0,(L1598+H1598)/-N1598)</f>
        <v/>
      </c>
      <c r="P1598" s="7">
        <f>VLOOKUP(OPERAC[[#This Row],[especie]],[1]!ESPECIES[#All],6,0)</f>
        <v/>
      </c>
      <c r="Q1598" s="7">
        <f>IF(N1598&lt;&gt;0,P1598*N1598,0)</f>
        <v/>
      </c>
      <c r="R1598" s="8">
        <f>IF(Q1598&lt;&gt;0,Q1598+H1598+L1598,0)</f>
        <v/>
      </c>
      <c r="S1598" s="9">
        <f>VLOOKUP(OPERAC[[#This Row],[especie]],[1]!ESPECIES[#Data],9,FALSE)</f>
        <v/>
      </c>
    </row>
    <row r="1599">
      <c r="A1599" s="4" t="n">
        <v>8066</v>
      </c>
      <c r="B1599" s="5" t="n">
        <v>44641</v>
      </c>
      <c r="C1599" s="13" t="inlineStr">
        <is>
          <t>VTA</t>
        </is>
      </c>
      <c r="D1599" s="13" t="n">
        <v>42</v>
      </c>
      <c r="E1599" s="10">
        <f>IF(D1599&gt;0,VLOOKUP(OPERAC[[#This Row],[COD CART]],[1]!MatrizCortoLargoCyl[#All],3,0),"")</f>
        <v/>
      </c>
      <c r="F1599" s="13" t="inlineStr">
        <is>
          <t>FB</t>
        </is>
      </c>
      <c r="G1599" s="6" t="n">
        <v>1</v>
      </c>
      <c r="H1599" s="6" t="n">
        <v>-212.15638</v>
      </c>
      <c r="I1599" s="7">
        <f>-H1599/G1599</f>
        <v/>
      </c>
      <c r="J1599" s="11" t="n">
        <v>44671</v>
      </c>
      <c r="K1599" s="6">
        <f>+OPERAC[[#This Row],[cantidad]]</f>
        <v/>
      </c>
      <c r="L1599" s="6">
        <f>+OPERAC[[#This Row],[cantidad venta]]*213.173</f>
        <v/>
      </c>
      <c r="M1599" s="7">
        <f>IF(N1599=0,+L1599+H1599,0)</f>
        <v/>
      </c>
      <c r="N1599" s="7">
        <f>IF((+G1599-K1599)=0,0,+G1599-K1599)</f>
        <v/>
      </c>
      <c r="O1599" s="7">
        <f>IF(N1599=0,0,(L1599+H1599)/-N1599)</f>
        <v/>
      </c>
      <c r="P1599" s="7">
        <f>VLOOKUP(OPERAC[[#This Row],[especie]],[1]!ESPECIES[#All],6,0)</f>
        <v/>
      </c>
      <c r="Q1599" s="7">
        <f>IF(N1599&lt;&gt;0,P1599*N1599,0)</f>
        <v/>
      </c>
      <c r="R1599" s="8">
        <f>IF(Q1599&lt;&gt;0,Q1599+H1599+L1599,0)</f>
        <v/>
      </c>
      <c r="S1599" s="9">
        <f>VLOOKUP(OPERAC[[#This Row],[especie]],[1]!ESPECIES[#Data],9,FALSE)</f>
        <v/>
      </c>
    </row>
    <row r="1600">
      <c r="A1600" s="4" t="n">
        <v>12688</v>
      </c>
      <c r="B1600" s="5" t="n">
        <v>44641</v>
      </c>
      <c r="C1600" s="13" t="inlineStr">
        <is>
          <t>VTA</t>
        </is>
      </c>
      <c r="D1600" s="13" t="n">
        <v>42</v>
      </c>
      <c r="E1600" s="10">
        <f>IF(D1600&gt;0,VLOOKUP(OPERAC[[#This Row],[COD CART]],[1]!MatrizCortoLargoCyl[#All],3,0),"")</f>
        <v/>
      </c>
      <c r="F1600" s="13" t="inlineStr">
        <is>
          <t>FB</t>
        </is>
      </c>
      <c r="G1600" s="6" t="n">
        <v>1</v>
      </c>
      <c r="H1600" s="6" t="n">
        <v>-212.15638</v>
      </c>
      <c r="I1600" s="7">
        <f>-H1600/G1600</f>
        <v/>
      </c>
      <c r="J1600" s="11" t="n">
        <v>44671</v>
      </c>
      <c r="K1600" s="6">
        <f>+OPERAC[[#This Row],[cantidad]]</f>
        <v/>
      </c>
      <c r="L1600" s="6">
        <f>+OPERAC[[#This Row],[cantidad venta]]*213.173</f>
        <v/>
      </c>
      <c r="M1600" s="7">
        <f>IF(N1600=0,+L1600+H1600,0)</f>
        <v/>
      </c>
      <c r="N1600" s="7">
        <f>IF((+G1600-K1600)=0,0,+G1600-K1600)</f>
        <v/>
      </c>
      <c r="O1600" s="7">
        <f>IF(N1600=0,0,(L1600+H1600)/-N1600)</f>
        <v/>
      </c>
      <c r="P1600" s="7">
        <f>VLOOKUP(OPERAC[[#This Row],[especie]],[1]!ESPECIES[#All],6,0)</f>
        <v/>
      </c>
      <c r="Q1600" s="7">
        <f>IF(N1600&lt;&gt;0,P1600*N1600,0)</f>
        <v/>
      </c>
      <c r="R1600" s="8">
        <f>IF(Q1600&lt;&gt;0,Q1600+H1600+L1600,0)</f>
        <v/>
      </c>
      <c r="S1600" s="9">
        <f>VLOOKUP(OPERAC[[#This Row],[especie]],[1]!ESPECIES[#Data],9,FALSE)</f>
        <v/>
      </c>
    </row>
    <row r="1601">
      <c r="A1601" s="4" t="n">
        <v>13204</v>
      </c>
      <c r="B1601" s="5" t="n">
        <v>44641</v>
      </c>
      <c r="C1601" s="13" t="inlineStr">
        <is>
          <t>VTA</t>
        </is>
      </c>
      <c r="D1601" s="13" t="n">
        <v>42</v>
      </c>
      <c r="E1601" s="10">
        <f>IF(D1601&gt;0,VLOOKUP(OPERAC[[#This Row],[COD CART]],[1]!MatrizCortoLargoCyl[#All],3,0),"")</f>
        <v/>
      </c>
      <c r="F1601" s="13" t="inlineStr">
        <is>
          <t>FB</t>
        </is>
      </c>
      <c r="G1601" s="6" t="n">
        <v>1</v>
      </c>
      <c r="H1601" s="6" t="n">
        <v>-212.15638</v>
      </c>
      <c r="I1601" s="7">
        <f>-H1601/G1601</f>
        <v/>
      </c>
      <c r="J1601" s="11" t="n">
        <v>44671</v>
      </c>
      <c r="K1601" s="6">
        <f>+OPERAC[[#This Row],[cantidad]]</f>
        <v/>
      </c>
      <c r="L1601" s="6">
        <f>+OPERAC[[#This Row],[cantidad venta]]*213.173</f>
        <v/>
      </c>
      <c r="M1601" s="7">
        <f>IF(N1601=0,+L1601+H1601,0)</f>
        <v/>
      </c>
      <c r="N1601" s="7">
        <f>IF((+G1601-K1601)=0,0,+G1601-K1601)</f>
        <v/>
      </c>
      <c r="O1601" s="7">
        <f>IF(N1601=0,0,(L1601+H1601)/-N1601)</f>
        <v/>
      </c>
      <c r="P1601" s="7">
        <f>VLOOKUP(OPERAC[[#This Row],[especie]],[1]!ESPECIES[#All],6,0)</f>
        <v/>
      </c>
      <c r="Q1601" s="7">
        <f>IF(N1601&lt;&gt;0,P1601*N1601,0)</f>
        <v/>
      </c>
      <c r="R1601" s="8">
        <f>IF(Q1601&lt;&gt;0,Q1601+H1601+L1601,0)</f>
        <v/>
      </c>
      <c r="S1601" s="9">
        <f>VLOOKUP(OPERAC[[#This Row],[especie]],[1]!ESPECIES[#Data],9,FALSE)</f>
        <v/>
      </c>
    </row>
    <row r="1602">
      <c r="A1602" s="4" t="n">
        <v>13268</v>
      </c>
      <c r="B1602" s="5" t="n">
        <v>44641</v>
      </c>
      <c r="C1602" s="13" t="inlineStr">
        <is>
          <t>VTA</t>
        </is>
      </c>
      <c r="D1602" s="13" t="n">
        <v>42</v>
      </c>
      <c r="E1602" s="10">
        <f>IF(D1602&gt;0,VLOOKUP(OPERAC[[#This Row],[COD CART]],[1]!MatrizCortoLargoCyl[#All],3,0),"")</f>
        <v/>
      </c>
      <c r="F1602" s="13" t="inlineStr">
        <is>
          <t>FB</t>
        </is>
      </c>
      <c r="G1602" s="6" t="n">
        <v>1</v>
      </c>
      <c r="H1602" s="6" t="n">
        <v>-212.15638</v>
      </c>
      <c r="I1602" s="7">
        <f>-H1602/G1602</f>
        <v/>
      </c>
      <c r="J1602" s="11" t="n">
        <v>44671</v>
      </c>
      <c r="K1602" s="6">
        <f>+OPERAC[[#This Row],[cantidad]]</f>
        <v/>
      </c>
      <c r="L1602" s="6">
        <f>+OPERAC[[#This Row],[cantidad venta]]*213.173</f>
        <v/>
      </c>
      <c r="M1602" s="7">
        <f>IF(N1602=0,+L1602+H1602,0)</f>
        <v/>
      </c>
      <c r="N1602" s="7">
        <f>IF((+G1602-K1602)=0,0,+G1602-K1602)</f>
        <v/>
      </c>
      <c r="O1602" s="7">
        <f>IF(N1602=0,0,(L1602+H1602)/-N1602)</f>
        <v/>
      </c>
      <c r="P1602" s="7">
        <f>VLOOKUP(OPERAC[[#This Row],[especie]],[1]!ESPECIES[#All],6,0)</f>
        <v/>
      </c>
      <c r="Q1602" s="7">
        <f>IF(N1602&lt;&gt;0,P1602*N1602,0)</f>
        <v/>
      </c>
      <c r="R1602" s="8">
        <f>IF(Q1602&lt;&gt;0,Q1602+H1602+L1602,0)</f>
        <v/>
      </c>
      <c r="S1602" s="9">
        <f>VLOOKUP(OPERAC[[#This Row],[especie]],[1]!ESPECIES[#Data],9,FALSE)</f>
        <v/>
      </c>
    </row>
    <row r="1603">
      <c r="A1603" s="4" t="n">
        <v>13273</v>
      </c>
      <c r="B1603" s="5" t="n">
        <v>44641</v>
      </c>
      <c r="C1603" s="13" t="inlineStr">
        <is>
          <t>VTA</t>
        </is>
      </c>
      <c r="D1603" s="13" t="n">
        <v>42</v>
      </c>
      <c r="E1603" s="10">
        <f>IF(D1603&gt;0,VLOOKUP(OPERAC[[#This Row],[COD CART]],[1]!MatrizCortoLargoCyl[#All],3,0),"")</f>
        <v/>
      </c>
      <c r="F1603" s="13" t="inlineStr">
        <is>
          <t>FB</t>
        </is>
      </c>
      <c r="G1603" s="6" t="n">
        <v>1</v>
      </c>
      <c r="H1603" s="6" t="n">
        <v>-212.15638</v>
      </c>
      <c r="I1603" s="7">
        <f>-H1603/G1603</f>
        <v/>
      </c>
      <c r="J1603" s="11" t="n">
        <v>44671</v>
      </c>
      <c r="K1603" s="6">
        <f>+OPERAC[[#This Row],[cantidad]]</f>
        <v/>
      </c>
      <c r="L1603" s="6">
        <f>+OPERAC[[#This Row],[cantidad venta]]*213.173</f>
        <v/>
      </c>
      <c r="M1603" s="7">
        <f>IF(N1603=0,+L1603+H1603,0)</f>
        <v/>
      </c>
      <c r="N1603" s="7">
        <f>IF((+G1603-K1603)=0,0,+G1603-K1603)</f>
        <v/>
      </c>
      <c r="O1603" s="7">
        <f>IF(N1603=0,0,(L1603+H1603)/-N1603)</f>
        <v/>
      </c>
      <c r="P1603" s="7">
        <f>VLOOKUP(OPERAC[[#This Row],[especie]],[1]!ESPECIES[#All],6,0)</f>
        <v/>
      </c>
      <c r="Q1603" s="7">
        <f>IF(N1603&lt;&gt;0,P1603*N1603,0)</f>
        <v/>
      </c>
      <c r="R1603" s="8">
        <f>IF(Q1603&lt;&gt;0,Q1603+H1603+L1603,0)</f>
        <v/>
      </c>
      <c r="S1603" s="9">
        <f>VLOOKUP(OPERAC[[#This Row],[especie]],[1]!ESPECIES[#Data],9,FALSE)</f>
        <v/>
      </c>
    </row>
    <row r="1604">
      <c r="A1604" s="4" t="n">
        <v>13281</v>
      </c>
      <c r="B1604" s="5" t="n">
        <v>44641</v>
      </c>
      <c r="C1604" s="13" t="inlineStr">
        <is>
          <t>VTA</t>
        </is>
      </c>
      <c r="D1604" s="13" t="n">
        <v>42</v>
      </c>
      <c r="E1604" s="10">
        <f>IF(D1604&gt;0,VLOOKUP(OPERAC[[#This Row],[COD CART]],[1]!MatrizCortoLargoCyl[#All],3,0),"")</f>
        <v/>
      </c>
      <c r="F1604" s="13" t="inlineStr">
        <is>
          <t>FB</t>
        </is>
      </c>
      <c r="G1604" s="6" t="n">
        <v>1</v>
      </c>
      <c r="H1604" s="6" t="n">
        <v>-212.15638</v>
      </c>
      <c r="I1604" s="7">
        <f>-H1604/G1604</f>
        <v/>
      </c>
      <c r="J1604" s="11" t="n">
        <v>44671</v>
      </c>
      <c r="K1604" s="6">
        <f>+OPERAC[[#This Row],[cantidad]]</f>
        <v/>
      </c>
      <c r="L1604" s="6">
        <f>+OPERAC[[#This Row],[cantidad venta]]*213.173</f>
        <v/>
      </c>
      <c r="M1604" s="7">
        <f>IF(N1604=0,+L1604+H1604,0)</f>
        <v/>
      </c>
      <c r="N1604" s="7">
        <f>IF((+G1604-K1604)=0,0,+G1604-K1604)</f>
        <v/>
      </c>
      <c r="O1604" s="7">
        <f>IF(N1604=0,0,(L1604+H1604)/-N1604)</f>
        <v/>
      </c>
      <c r="P1604" s="7">
        <f>VLOOKUP(OPERAC[[#This Row],[especie]],[1]!ESPECIES[#All],6,0)</f>
        <v/>
      </c>
      <c r="Q1604" s="7">
        <f>IF(N1604&lt;&gt;0,P1604*N1604,0)</f>
        <v/>
      </c>
      <c r="R1604" s="8">
        <f>IF(Q1604&lt;&gt;0,Q1604+H1604+L1604,0)</f>
        <v/>
      </c>
      <c r="S1604" s="9">
        <f>VLOOKUP(OPERAC[[#This Row],[especie]],[1]!ESPECIES[#Data],9,FALSE)</f>
        <v/>
      </c>
    </row>
    <row r="1605">
      <c r="A1605" s="4" t="n">
        <v>16842</v>
      </c>
      <c r="B1605" s="5" t="n">
        <v>44641</v>
      </c>
      <c r="C1605" s="13" t="inlineStr">
        <is>
          <t>VTA</t>
        </is>
      </c>
      <c r="D1605" s="13" t="n">
        <v>42</v>
      </c>
      <c r="E1605" s="10">
        <f>IF(D1605&gt;0,VLOOKUP(OPERAC[[#This Row],[COD CART]],[1]!MatrizCortoLargoCyl[#All],3,0),"")</f>
        <v/>
      </c>
      <c r="F1605" s="13" t="inlineStr">
        <is>
          <t>FB</t>
        </is>
      </c>
      <c r="G1605" s="6" t="n">
        <v>1</v>
      </c>
      <c r="H1605" s="6" t="n">
        <v>-212.15638</v>
      </c>
      <c r="I1605" s="7">
        <f>-H1605/G1605</f>
        <v/>
      </c>
      <c r="J1605" s="11" t="n">
        <v>44671</v>
      </c>
      <c r="K1605" s="6">
        <f>+OPERAC[[#This Row],[cantidad]]</f>
        <v/>
      </c>
      <c r="L1605" s="6">
        <f>+OPERAC[[#This Row],[cantidad venta]]*213.173</f>
        <v/>
      </c>
      <c r="M1605" s="7">
        <f>IF(N1605=0,+L1605+H1605,0)</f>
        <v/>
      </c>
      <c r="N1605" s="7">
        <f>IF((+G1605-K1605)=0,0,+G1605-K1605)</f>
        <v/>
      </c>
      <c r="O1605" s="7">
        <f>IF(N1605=0,0,(L1605+H1605)/-N1605)</f>
        <v/>
      </c>
      <c r="P1605" s="7">
        <f>VLOOKUP(OPERAC[[#This Row],[especie]],[1]!ESPECIES[#All],6,0)</f>
        <v/>
      </c>
      <c r="Q1605" s="7">
        <f>IF(N1605&lt;&gt;0,P1605*N1605,0)</f>
        <v/>
      </c>
      <c r="R1605" s="8">
        <f>IF(Q1605&lt;&gt;0,Q1605+H1605+L1605,0)</f>
        <v/>
      </c>
      <c r="S1605" s="9">
        <f>VLOOKUP(OPERAC[[#This Row],[especie]],[1]!ESPECIES[#Data],9,FALSE)</f>
        <v/>
      </c>
    </row>
    <row r="1606">
      <c r="A1606" s="4" t="n">
        <v>17042</v>
      </c>
      <c r="B1606" s="5" t="n">
        <v>44641</v>
      </c>
      <c r="C1606" s="13" t="inlineStr">
        <is>
          <t>VTA</t>
        </is>
      </c>
      <c r="D1606" s="13" t="n">
        <v>42</v>
      </c>
      <c r="E1606" s="10">
        <f>IF(D1606&gt;0,VLOOKUP(OPERAC[[#This Row],[COD CART]],[1]!MatrizCortoLargoCyl[#All],3,0),"")</f>
        <v/>
      </c>
      <c r="F1606" s="13" t="inlineStr">
        <is>
          <t>FB</t>
        </is>
      </c>
      <c r="G1606" s="6" t="n">
        <v>1</v>
      </c>
      <c r="H1606" s="6" t="n">
        <v>-212.15638</v>
      </c>
      <c r="I1606" s="7">
        <f>-H1606/G1606</f>
        <v/>
      </c>
      <c r="J1606" s="11" t="n">
        <v>44671</v>
      </c>
      <c r="K1606" s="6">
        <f>+OPERAC[[#This Row],[cantidad]]</f>
        <v/>
      </c>
      <c r="L1606" s="6">
        <f>+OPERAC[[#This Row],[cantidad venta]]*213.173</f>
        <v/>
      </c>
      <c r="M1606" s="7">
        <f>IF(N1606=0,+L1606+H1606,0)</f>
        <v/>
      </c>
      <c r="N1606" s="7">
        <f>IF((+G1606-K1606)=0,0,+G1606-K1606)</f>
        <v/>
      </c>
      <c r="O1606" s="7">
        <f>IF(N1606=0,0,(L1606+H1606)/-N1606)</f>
        <v/>
      </c>
      <c r="P1606" s="7">
        <f>VLOOKUP(OPERAC[[#This Row],[especie]],[1]!ESPECIES[#All],6,0)</f>
        <v/>
      </c>
      <c r="Q1606" s="7">
        <f>IF(N1606&lt;&gt;0,P1606*N1606,0)</f>
        <v/>
      </c>
      <c r="R1606" s="8">
        <f>IF(Q1606&lt;&gt;0,Q1606+H1606+L1606,0)</f>
        <v/>
      </c>
      <c r="S1606" s="9">
        <f>VLOOKUP(OPERAC[[#This Row],[especie]],[1]!ESPECIES[#Data],9,FALSE)</f>
        <v/>
      </c>
    </row>
    <row r="1607">
      <c r="A1607" s="4" t="n">
        <v>18697</v>
      </c>
      <c r="B1607" s="5" t="n">
        <v>44641</v>
      </c>
      <c r="C1607" s="13" t="inlineStr">
        <is>
          <t>VTA</t>
        </is>
      </c>
      <c r="D1607" s="13" t="n">
        <v>42</v>
      </c>
      <c r="E1607" s="10">
        <f>IF(D1607&gt;0,VLOOKUP(OPERAC[[#This Row],[COD CART]],[1]!MatrizCortoLargoCyl[#All],3,0),"")</f>
        <v/>
      </c>
      <c r="F1607" s="13" t="inlineStr">
        <is>
          <t>FB</t>
        </is>
      </c>
      <c r="G1607" s="6" t="n">
        <v>1</v>
      </c>
      <c r="H1607" s="6" t="n">
        <v>-212.15638</v>
      </c>
      <c r="I1607" s="7">
        <f>-H1607/G1607</f>
        <v/>
      </c>
      <c r="J1607" s="11" t="n">
        <v>44671</v>
      </c>
      <c r="K1607" s="6">
        <f>+OPERAC[[#This Row],[cantidad]]</f>
        <v/>
      </c>
      <c r="L1607" s="6">
        <f>+OPERAC[[#This Row],[cantidad venta]]*213.173</f>
        <v/>
      </c>
      <c r="M1607" s="7">
        <f>IF(N1607=0,+L1607+H1607,0)</f>
        <v/>
      </c>
      <c r="N1607" s="7">
        <f>IF((+G1607-K1607)=0,0,+G1607-K1607)</f>
        <v/>
      </c>
      <c r="O1607" s="7">
        <f>IF(N1607=0,0,(L1607+H1607)/-N1607)</f>
        <v/>
      </c>
      <c r="P1607" s="7">
        <f>VLOOKUP(OPERAC[[#This Row],[especie]],[1]!ESPECIES[#All],6,0)</f>
        <v/>
      </c>
      <c r="Q1607" s="7">
        <f>IF(N1607&lt;&gt;0,P1607*N1607,0)</f>
        <v/>
      </c>
      <c r="R1607" s="8">
        <f>IF(Q1607&lt;&gt;0,Q1607+H1607+L1607,0)</f>
        <v/>
      </c>
      <c r="S1607" s="9">
        <f>VLOOKUP(OPERAC[[#This Row],[especie]],[1]!ESPECIES[#Data],9,FALSE)</f>
        <v/>
      </c>
    </row>
    <row r="1608">
      <c r="A1608" s="4" t="n">
        <v>13253</v>
      </c>
      <c r="B1608" s="5" t="n">
        <v>44300</v>
      </c>
      <c r="C1608" s="13" t="inlineStr">
        <is>
          <t>VTA</t>
        </is>
      </c>
      <c r="D1608" s="13" t="n">
        <v>41</v>
      </c>
      <c r="E1608" s="10">
        <f>IF(D1608&gt;0,VLOOKUP(OPERAC[[#This Row],[COD CART]],[1]!MatrizCortoLargoCyl[#All],3,0),"")</f>
        <v/>
      </c>
      <c r="F1608" s="13" t="inlineStr">
        <is>
          <t>TCNNF</t>
        </is>
      </c>
      <c r="G1608" s="6" t="n">
        <v>5</v>
      </c>
      <c r="H1608" s="6" t="n">
        <v>-212.2</v>
      </c>
      <c r="I1608" s="7">
        <f>-H1608/G1608</f>
        <v/>
      </c>
      <c r="J1608" s="11" t="n"/>
      <c r="K1608" s="6" t="n"/>
      <c r="L1608" s="6" t="n"/>
      <c r="M1608" s="7">
        <f>IF(N1608=0,+L1608+H1608,0)</f>
        <v/>
      </c>
      <c r="N1608" s="7">
        <f>IF((+G1608-K1608)=0,0,+G1608-K1608)</f>
        <v/>
      </c>
      <c r="O1608" s="7">
        <f>IF(N1608=0,0,(L1608+H1608)/-N1608)</f>
        <v/>
      </c>
      <c r="P1608" s="7">
        <f>VLOOKUP(OPERAC[[#This Row],[especie]],[1]!ESPECIES[#All],6,0)</f>
        <v/>
      </c>
      <c r="Q1608" s="7">
        <f>IF(N1608&lt;&gt;0,P1608*N1608,0)</f>
        <v/>
      </c>
      <c r="R1608" s="8">
        <f>IF(Q1608&lt;&gt;0,Q1608+H1608+L1608,0)</f>
        <v/>
      </c>
      <c r="S1608" s="9">
        <f>VLOOKUP(OPERAC[[#This Row],[especie]],[1]!ESPECIES[#Data],9,FALSE)</f>
        <v/>
      </c>
    </row>
    <row r="1609">
      <c r="A1609" s="4" t="n">
        <v>18663</v>
      </c>
      <c r="B1609" s="5" t="n">
        <v>44217</v>
      </c>
      <c r="C1609" s="13" t="inlineStr">
        <is>
          <t>VTA</t>
        </is>
      </c>
      <c r="D1609" s="13" t="n">
        <v>41</v>
      </c>
      <c r="E1609" s="10">
        <f>IF(D1609&gt;0,VLOOKUP(OPERAC[[#This Row],[COD CART]],[1]!MatrizCortoLargoCyl[#All],3,0),"")</f>
        <v/>
      </c>
      <c r="F1609" s="13" t="inlineStr">
        <is>
          <t>TCNNF</t>
        </is>
      </c>
      <c r="G1609" s="6" t="n">
        <v>5</v>
      </c>
      <c r="H1609" s="6" t="n">
        <v>-212.25</v>
      </c>
      <c r="I1609" s="7">
        <f>-H1609/G1609</f>
        <v/>
      </c>
      <c r="J1609" s="11" t="n"/>
      <c r="K1609" s="6" t="n"/>
      <c r="L1609" s="6" t="n"/>
      <c r="M1609" s="7">
        <f>IF(N1609=0,+L1609+H1609,0)</f>
        <v/>
      </c>
      <c r="N1609" s="7">
        <f>IF((+G1609-K1609)=0,0,+G1609-K1609)</f>
        <v/>
      </c>
      <c r="O1609" s="7">
        <f>IF(N1609=0,0,(L1609+H1609)/-N1609)</f>
        <v/>
      </c>
      <c r="P1609" s="7">
        <f>VLOOKUP(OPERAC[[#This Row],[especie]],[1]!ESPECIES[#All],6,0)</f>
        <v/>
      </c>
      <c r="Q1609" s="7">
        <f>IF(N1609&lt;&gt;0,P1609*N1609,0)</f>
        <v/>
      </c>
      <c r="R1609" s="8">
        <f>IF(Q1609&lt;&gt;0,Q1609+H1609+L1609,0)</f>
        <v/>
      </c>
      <c r="S1609" s="9">
        <f>VLOOKUP(OPERAC[[#This Row],[especie]],[1]!ESPECIES[#Data],9,FALSE)</f>
        <v/>
      </c>
    </row>
    <row r="1610">
      <c r="A1610" s="4" t="n">
        <v>18663</v>
      </c>
      <c r="B1610" s="5" t="n">
        <v>44376</v>
      </c>
      <c r="C1610" s="13" t="inlineStr">
        <is>
          <t>VTA</t>
        </is>
      </c>
      <c r="D1610" s="13" t="n">
        <v>41</v>
      </c>
      <c r="E1610" s="10">
        <f>IF(D1610&gt;0,VLOOKUP(OPERAC[[#This Row],[COD CART]],[1]!MatrizCortoLargoCyl[#All],3,0),"")</f>
        <v/>
      </c>
      <c r="F1610" s="13" t="inlineStr">
        <is>
          <t>NRZ</t>
        </is>
      </c>
      <c r="G1610" s="6" t="n">
        <v>20</v>
      </c>
      <c r="H1610" s="6" t="n">
        <v>-213.2848</v>
      </c>
      <c r="I1610" s="7">
        <f>-H1610/G1610</f>
        <v/>
      </c>
      <c r="J1610" s="11" t="n"/>
      <c r="K1610" s="6" t="n"/>
      <c r="L1610" s="6" t="n"/>
      <c r="M1610" s="7">
        <f>IF(N1610=0,+L1610+H1610,0)</f>
        <v/>
      </c>
      <c r="N1610" s="7">
        <f>IF((+G1610-K1610)=0,0,+G1610-K1610)</f>
        <v/>
      </c>
      <c r="O1610" s="7">
        <f>IF(N1610=0,0,(L1610+H1610)/-N1610)</f>
        <v/>
      </c>
      <c r="P1610" s="7">
        <f>VLOOKUP(OPERAC[[#This Row],[especie]],[1]!ESPECIES[#All],6,0)</f>
        <v/>
      </c>
      <c r="Q1610" s="7">
        <f>IF(N1610&lt;&gt;0,P1610*N1610,0)</f>
        <v/>
      </c>
      <c r="R1610" s="8">
        <f>IF(Q1610&lt;&gt;0,Q1610+H1610+L1610,0)</f>
        <v/>
      </c>
      <c r="S1610" s="9">
        <f>VLOOKUP(OPERAC[[#This Row],[especie]],[1]!ESPECIES[#Data],9,FALSE)</f>
        <v/>
      </c>
    </row>
    <row r="1611">
      <c r="A1611" s="4" t="n">
        <v>18663</v>
      </c>
      <c r="B1611" s="5" t="n">
        <v>44599</v>
      </c>
      <c r="C1611" s="13" t="inlineStr">
        <is>
          <t>VTA</t>
        </is>
      </c>
      <c r="D1611" s="13" t="n">
        <v>41</v>
      </c>
      <c r="E1611" s="10">
        <f>IF(D1611&gt;0,VLOOKUP(OPERAC[[#This Row],[COD CART]],[1]!MatrizCortoLargoCyl[#All],3,0),"")</f>
        <v/>
      </c>
      <c r="F1611" s="13" t="inlineStr">
        <is>
          <t>FL</t>
        </is>
      </c>
      <c r="G1611" s="6" t="n">
        <v>5</v>
      </c>
      <c r="H1611" s="6" t="n">
        <v>-213.65</v>
      </c>
      <c r="I1611" s="7">
        <f>-H1611/G1611</f>
        <v/>
      </c>
      <c r="J1611" s="11" t="n"/>
      <c r="K1611" s="6" t="n"/>
      <c r="L1611" s="6" t="n"/>
      <c r="M1611" s="7">
        <f>IF(N1611=0,+L1611+H1611,0)</f>
        <v/>
      </c>
      <c r="N1611" s="7">
        <f>IF((+G1611-K1611)=0,0,+G1611-K1611)</f>
        <v/>
      </c>
      <c r="O1611" s="7">
        <f>IF(N1611=0,0,(L1611+H1611)/-N1611)</f>
        <v/>
      </c>
      <c r="P1611" s="7">
        <f>VLOOKUP(OPERAC[[#This Row],[especie]],[1]!ESPECIES[#All],6,0)</f>
        <v/>
      </c>
      <c r="Q1611" s="7">
        <f>IF(N1611&lt;&gt;0,P1611*N1611,0)</f>
        <v/>
      </c>
      <c r="R1611" s="8">
        <f>IF(Q1611&lt;&gt;0,Q1611+H1611+L1611,0)</f>
        <v/>
      </c>
      <c r="S1611" s="9">
        <f>VLOOKUP(OPERAC[[#This Row],[especie]],[1]!ESPECIES[#Data],9,FALSE)</f>
        <v/>
      </c>
    </row>
    <row r="1612">
      <c r="A1612" s="4" t="n">
        <v>7879</v>
      </c>
      <c r="B1612" s="5" t="n">
        <v>44669</v>
      </c>
      <c r="C1612" s="13" t="inlineStr">
        <is>
          <t>VTA</t>
        </is>
      </c>
      <c r="D1612" s="13" t="n">
        <v>41</v>
      </c>
      <c r="E1612" s="10">
        <f>IF(D1612&gt;0,VLOOKUP(OPERAC[[#This Row],[COD CART]],[1]!MatrizCortoLargoCyl[#All],3,0),"")</f>
        <v/>
      </c>
      <c r="F1612" s="13" t="inlineStr">
        <is>
          <t>ETHE</t>
        </is>
      </c>
      <c r="G1612" s="6" t="n">
        <v>10</v>
      </c>
      <c r="H1612" s="6" t="n">
        <v>-214.205</v>
      </c>
      <c r="I1612" s="7">
        <f>-H1612/G1612</f>
        <v/>
      </c>
      <c r="J1612" s="11" t="n"/>
      <c r="K1612" s="6" t="n"/>
      <c r="L1612" s="6" t="n"/>
      <c r="M1612" s="7">
        <f>IF(N1612=0,+L1612+H1612,0)</f>
        <v/>
      </c>
      <c r="N1612" s="7">
        <f>IF((+G1612-K1612)=0,0,+G1612-K1612)</f>
        <v/>
      </c>
      <c r="O1612" s="7" t="n">
        <v>31.09</v>
      </c>
      <c r="P1612" s="7">
        <f>VLOOKUP(OPERAC[[#This Row],[especie]],[1]!ESPECIES[#All],6,0)</f>
        <v/>
      </c>
      <c r="Q1612" s="7">
        <f>IF(N1612&lt;&gt;0,P1612*N1612,0)</f>
        <v/>
      </c>
      <c r="R1612" s="8">
        <f>IF(Q1612&lt;&gt;0,Q1612+H1612+L1612,0)</f>
        <v/>
      </c>
      <c r="S1612" s="9">
        <f>VLOOKUP(OPERAC[[#This Row],[especie]],[1]!ESPECIES[#Data],9,FALSE)</f>
        <v/>
      </c>
    </row>
    <row r="1613">
      <c r="A1613" s="4" t="n">
        <v>18663</v>
      </c>
      <c r="B1613" s="5" t="n">
        <v>44257</v>
      </c>
      <c r="C1613" s="13" t="inlineStr">
        <is>
          <t>VTA</t>
        </is>
      </c>
      <c r="D1613" s="13" t="n">
        <v>41</v>
      </c>
      <c r="E1613" s="10">
        <f>IF(D1613&gt;0,VLOOKUP(OPERAC[[#This Row],[COD CART]],[1]!MatrizCortoLargoCyl[#All],3,0),"")</f>
        <v/>
      </c>
      <c r="F1613" s="13" t="inlineStr">
        <is>
          <t>BEP</t>
        </is>
      </c>
      <c r="G1613" s="6" t="n">
        <v>5</v>
      </c>
      <c r="H1613" s="6" t="n">
        <v>-215.2504</v>
      </c>
      <c r="I1613" s="7">
        <f>-H1613/G1613</f>
        <v/>
      </c>
      <c r="J1613" s="11" t="n"/>
      <c r="K1613" s="6" t="n"/>
      <c r="L1613" s="6" t="n"/>
      <c r="M1613" s="7">
        <f>IF(N1613=0,+L1613+H1613,0)</f>
        <v/>
      </c>
      <c r="N1613" s="7">
        <f>IF((+G1613-K1613)=0,0,+G1613-K1613)</f>
        <v/>
      </c>
      <c r="O1613" s="7">
        <f>IF(N1613=0,0,(L1613+H1613)/-N1613)</f>
        <v/>
      </c>
      <c r="P1613" s="7">
        <f>VLOOKUP(OPERAC[[#This Row],[especie]],[1]!ESPECIES[#All],6,0)</f>
        <v/>
      </c>
      <c r="Q1613" s="7">
        <f>IF(N1613&lt;&gt;0,P1613*N1613,0)</f>
        <v/>
      </c>
      <c r="R1613" s="8">
        <f>IF(Q1613&lt;&gt;0,Q1613+H1613+L1613,0)</f>
        <v/>
      </c>
      <c r="S1613" s="9">
        <f>VLOOKUP(OPERAC[[#This Row],[especie]],[1]!ESPECIES[#Data],9,FALSE)</f>
        <v/>
      </c>
    </row>
    <row r="1614">
      <c r="A1614" s="4" t="n">
        <v>18663</v>
      </c>
      <c r="B1614" s="5" t="n">
        <v>44266</v>
      </c>
      <c r="C1614" s="13" t="inlineStr">
        <is>
          <t>VTA</t>
        </is>
      </c>
      <c r="D1614" s="13" t="n">
        <v>41</v>
      </c>
      <c r="E1614" s="10">
        <f>IF(D1614&gt;0,VLOOKUP(OPERAC[[#This Row],[COD CART]],[1]!MatrizCortoLargoCyl[#All],3,0),"")</f>
        <v/>
      </c>
      <c r="F1614" s="13" t="inlineStr">
        <is>
          <t>MPW</t>
        </is>
      </c>
      <c r="G1614" s="6" t="n">
        <v>10</v>
      </c>
      <c r="H1614" s="6" t="n">
        <v>-215.4016</v>
      </c>
      <c r="I1614" s="7">
        <f>-H1614/G1614</f>
        <v/>
      </c>
      <c r="J1614" s="11" t="n"/>
      <c r="K1614" s="6" t="n"/>
      <c r="L1614" s="6" t="n"/>
      <c r="M1614" s="7">
        <f>IF(N1614=0,+L1614+H1614,0)</f>
        <v/>
      </c>
      <c r="N1614" s="7">
        <f>IF((+G1614-K1614)=0,0,+G1614-K1614)</f>
        <v/>
      </c>
      <c r="O1614" s="7">
        <f>IF(N1614=0,0,(L1614+H1614)/-N1614)</f>
        <v/>
      </c>
      <c r="P1614" s="7">
        <f>VLOOKUP(OPERAC[[#This Row],[especie]],[1]!ESPECIES[#All],6,0)</f>
        <v/>
      </c>
      <c r="Q1614" s="7">
        <f>IF(N1614&lt;&gt;0,P1614*N1614,0)</f>
        <v/>
      </c>
      <c r="R1614" s="8">
        <f>IF(Q1614&lt;&gt;0,Q1614+H1614+L1614,0)</f>
        <v/>
      </c>
      <c r="S1614" s="9">
        <f>VLOOKUP(OPERAC[[#This Row],[especie]],[1]!ESPECIES[#Data],9,FALSE)</f>
        <v/>
      </c>
    </row>
    <row r="1615">
      <c r="A1615" s="4" t="n">
        <v>18663</v>
      </c>
      <c r="B1615" s="5" t="n">
        <v>44410</v>
      </c>
      <c r="C1615" s="13" t="inlineStr">
        <is>
          <t>VTA</t>
        </is>
      </c>
      <c r="D1615" s="13" t="n">
        <v>41</v>
      </c>
      <c r="E1615" s="10">
        <f>IF(D1615&gt;0,VLOOKUP(OPERAC[[#This Row],[COD CART]],[1]!MatrizCortoLargoCyl[#All],3,0),"")</f>
        <v/>
      </c>
      <c r="F1615" s="13" t="inlineStr">
        <is>
          <t>T</t>
        </is>
      </c>
      <c r="G1615" s="6" t="n">
        <v>10</v>
      </c>
      <c r="H1615" s="6">
        <f>-21.55*OPERAC[[#This Row],[cantidad]]</f>
        <v/>
      </c>
      <c r="I1615" s="7">
        <f>-H1615/G1615</f>
        <v/>
      </c>
      <c r="J1615" s="11" t="n"/>
      <c r="K1615" s="6" t="n"/>
      <c r="L1615" s="6" t="n"/>
      <c r="M1615" s="7">
        <f>IF(N1615=0,+L1615+H1615,0)</f>
        <v/>
      </c>
      <c r="N1615" s="7">
        <f>IF((+G1615-K1615)=0,0,+G1615-K1615)</f>
        <v/>
      </c>
      <c r="O1615" s="7">
        <f>IF(N1615=0,0,(L1615+H1615)/-N1615)</f>
        <v/>
      </c>
      <c r="P1615" s="7">
        <f>VLOOKUP(OPERAC[[#This Row],[especie]],[1]!ESPECIES[#All],6,0)</f>
        <v/>
      </c>
      <c r="Q1615" s="7">
        <f>IF(N1615&lt;&gt;0,P1615*N1615,0)</f>
        <v/>
      </c>
      <c r="R1615" s="8">
        <f>IF(Q1615&lt;&gt;0,Q1615+H1615+L1615,0)</f>
        <v/>
      </c>
      <c r="S1615" s="9">
        <f>VLOOKUP(OPERAC[[#This Row],[especie]],[1]!ESPECIES[#Data],9,FALSE)</f>
        <v/>
      </c>
    </row>
    <row r="1616">
      <c r="A1616" s="4" t="n">
        <v>18663</v>
      </c>
      <c r="B1616" s="5" t="n">
        <v>44582</v>
      </c>
      <c r="C1616" s="13" t="inlineStr">
        <is>
          <t>VTA</t>
        </is>
      </c>
      <c r="D1616" s="13" t="n">
        <v>41</v>
      </c>
      <c r="E1616" s="10">
        <f>IF(D1616&gt;0,VLOOKUP(OPERAC[[#This Row],[COD CART]],[1]!MatrizCortoLargoCyl[#All],3,0),"")</f>
        <v/>
      </c>
      <c r="F1616" s="13" t="inlineStr">
        <is>
          <t>NRZ</t>
        </is>
      </c>
      <c r="G1616" s="6" t="n">
        <v>20</v>
      </c>
      <c r="H1616" s="6" t="n">
        <v>-215.5024</v>
      </c>
      <c r="I1616" s="7">
        <f>-H1616/G1616</f>
        <v/>
      </c>
      <c r="J1616" s="11" t="n"/>
      <c r="K1616" s="6" t="n"/>
      <c r="L1616" s="6" t="n"/>
      <c r="M1616" s="7">
        <f>IF(N1616=0,+L1616+H1616,0)</f>
        <v/>
      </c>
      <c r="N1616" s="7">
        <f>IF((+G1616-K1616)=0,0,+G1616-K1616)</f>
        <v/>
      </c>
      <c r="O1616" s="7">
        <f>IF(N1616=0,0,(L1616+H1616)/-N1616)</f>
        <v/>
      </c>
      <c r="P1616" s="7">
        <f>VLOOKUP(OPERAC[[#This Row],[especie]],[1]!ESPECIES[#All],6,0)</f>
        <v/>
      </c>
      <c r="Q1616" s="7">
        <f>IF(N1616&lt;&gt;0,P1616*N1616,0)</f>
        <v/>
      </c>
      <c r="R1616" s="8">
        <f>IF(Q1616&lt;&gt;0,Q1616+H1616+L1616,0)</f>
        <v/>
      </c>
      <c r="S1616" s="9">
        <f>VLOOKUP(OPERAC[[#This Row],[especie]],[1]!ESPECIES[#Data],9,FALSE)</f>
        <v/>
      </c>
    </row>
    <row r="1617">
      <c r="A1617" s="4" t="n">
        <v>18663</v>
      </c>
      <c r="B1617" s="5" t="n">
        <v>44543</v>
      </c>
      <c r="C1617" s="13" t="inlineStr">
        <is>
          <t>VTA</t>
        </is>
      </c>
      <c r="D1617" s="13" t="n">
        <v>41</v>
      </c>
      <c r="E1617" s="10">
        <f>IF(D1617&gt;0,VLOOKUP(OPERAC[[#This Row],[COD CART]],[1]!MatrizCortoLargoCyl[#All],3,0),"")</f>
        <v/>
      </c>
      <c r="F1617" s="13" t="inlineStr">
        <is>
          <t>DDD</t>
        </is>
      </c>
      <c r="G1617" s="6" t="n">
        <v>10</v>
      </c>
      <c r="H1617" s="6" t="n">
        <v>-215.9056</v>
      </c>
      <c r="I1617" s="7">
        <f>-H1617/G1617</f>
        <v/>
      </c>
      <c r="J1617" s="11" t="n"/>
      <c r="K1617" s="6" t="n"/>
      <c r="L1617" s="6" t="n"/>
      <c r="M1617" s="7">
        <f>IF(N1617=0,+L1617+H1617,0)</f>
        <v/>
      </c>
      <c r="N1617" s="7">
        <f>IF((+G1617-K1617)=0,0,+G1617-K1617)</f>
        <v/>
      </c>
      <c r="O1617" s="7">
        <f>IF(N1617=0,0,(L1617+H1617)/-N1617)</f>
        <v/>
      </c>
      <c r="P1617" s="7">
        <f>VLOOKUP(OPERAC[[#This Row],[especie]],[1]!ESPECIES[#All],6,0)</f>
        <v/>
      </c>
      <c r="Q1617" s="7">
        <f>IF(N1617&lt;&gt;0,P1617*N1617,0)</f>
        <v/>
      </c>
      <c r="R1617" s="8">
        <f>IF(Q1617&lt;&gt;0,Q1617+H1617+L1617,0)</f>
        <v/>
      </c>
      <c r="S1617" s="9">
        <f>VLOOKUP(OPERAC[[#This Row],[especie]],[1]!ESPECIES[#Data],9,FALSE)</f>
        <v/>
      </c>
    </row>
    <row r="1618">
      <c r="A1618" s="4" t="n">
        <v>22393</v>
      </c>
      <c r="B1618" s="5" t="n">
        <v>44536</v>
      </c>
      <c r="C1618" s="13" t="inlineStr">
        <is>
          <t>VTA</t>
        </is>
      </c>
      <c r="D1618" s="13" t="n">
        <v>43</v>
      </c>
      <c r="E1618" s="10">
        <f>IF(D1618&gt;0,VLOOKUP(OPERAC[[#This Row],[COD CART]],[1]!MatrizCortoLargoCyl[#All],3,0),"")</f>
        <v/>
      </c>
      <c r="F1618" s="13" t="inlineStr">
        <is>
          <t>NNDM/CYL-PUT/2,50/19-01-24</t>
        </is>
      </c>
      <c r="G1618" s="6" t="n">
        <v>200</v>
      </c>
      <c r="H1618" s="6">
        <f>-1.08*OPERAC[[#This Row],[cantidad]]</f>
        <v/>
      </c>
      <c r="I1618" s="7">
        <f>-H1618/G1618</f>
        <v/>
      </c>
      <c r="J1618" s="11" t="n"/>
      <c r="K1618" s="6" t="n"/>
      <c r="L1618" s="6" t="n"/>
      <c r="M1618" s="7">
        <f>IF(N1618=0,+L1618+H1618,0)</f>
        <v/>
      </c>
      <c r="N1618" s="7">
        <f>IF((+G1618-K1618)=0,0,+G1618-K1618)</f>
        <v/>
      </c>
      <c r="O1618" s="7">
        <f>IF(N1618=0,0,(L1618+H1618)/-N1618)</f>
        <v/>
      </c>
      <c r="P1618" s="7">
        <f>VLOOKUP(OPERAC[[#This Row],[especie]],[1]!ESPECIES[#All],6,0)</f>
        <v/>
      </c>
      <c r="Q1618" s="7">
        <f>IF(N1618&lt;&gt;0,P1618*N1618,0)</f>
        <v/>
      </c>
      <c r="R1618" s="8">
        <f>IF(Q1618&lt;&gt;0,Q1618+H1618+L1618,0)</f>
        <v/>
      </c>
      <c r="S1618" s="9">
        <f>VLOOKUP(OPERAC[[#This Row],[especie]],[1]!ESPECIES[#Data],9,FALSE)</f>
        <v/>
      </c>
    </row>
    <row r="1619">
      <c r="A1619" s="4" t="n">
        <v>12672</v>
      </c>
      <c r="B1619" s="5" t="n">
        <v>44643</v>
      </c>
      <c r="C1619" s="13" t="inlineStr">
        <is>
          <t>VTA</t>
        </is>
      </c>
      <c r="D1619" s="13" t="n">
        <v>42</v>
      </c>
      <c r="E1619" s="10">
        <f>IF(D1619&gt;0,VLOOKUP(OPERAC[[#This Row],[COD CART]],[1]!MatrizCortoLargoCyl[#All],3,0),"")</f>
        <v/>
      </c>
      <c r="F1619" s="13" t="inlineStr">
        <is>
          <t>FB</t>
        </is>
      </c>
      <c r="G1619" s="6" t="n">
        <v>1</v>
      </c>
      <c r="H1619" s="6" t="n">
        <v>-216.12326</v>
      </c>
      <c r="I1619" s="7">
        <f>-H1619/G1619</f>
        <v/>
      </c>
      <c r="J1619" s="11" t="n">
        <v>44671</v>
      </c>
      <c r="K1619" s="6">
        <f>+OPERAC[[#This Row],[cantidad]]</f>
        <v/>
      </c>
      <c r="L1619" s="6">
        <f>+OPERAC[[#This Row],[cantidad venta]]*213.173</f>
        <v/>
      </c>
      <c r="M1619" s="7">
        <f>IF(N1619=0,+L1619+H1619,0)</f>
        <v/>
      </c>
      <c r="N1619" s="7">
        <f>IF((+G1619-K1619)=0,0,+G1619-K1619)</f>
        <v/>
      </c>
      <c r="O1619" s="7">
        <f>IF(N1619=0,0,(L1619+H1619)/-N1619)</f>
        <v/>
      </c>
      <c r="P1619" s="7">
        <f>VLOOKUP(OPERAC[[#This Row],[especie]],[1]!ESPECIES[#All],6,0)</f>
        <v/>
      </c>
      <c r="Q1619" s="7">
        <f>IF(N1619&lt;&gt;0,P1619*N1619,0)</f>
        <v/>
      </c>
      <c r="R1619" s="8">
        <f>IF(Q1619&lt;&gt;0,Q1619+H1619+L1619,0)</f>
        <v/>
      </c>
      <c r="S1619" s="9">
        <f>VLOOKUP(OPERAC[[#This Row],[especie]],[1]!ESPECIES[#Data],9,FALSE)</f>
        <v/>
      </c>
    </row>
    <row r="1620">
      <c r="A1620" s="4" t="n">
        <v>13204</v>
      </c>
      <c r="B1620" s="5" t="n">
        <v>44643</v>
      </c>
      <c r="C1620" s="13" t="inlineStr">
        <is>
          <t>VTA</t>
        </is>
      </c>
      <c r="D1620" s="13" t="n">
        <v>42</v>
      </c>
      <c r="E1620" s="10">
        <f>IF(D1620&gt;0,VLOOKUP(OPERAC[[#This Row],[COD CART]],[1]!MatrizCortoLargoCyl[#All],3,0),"")</f>
        <v/>
      </c>
      <c r="F1620" s="13" t="inlineStr">
        <is>
          <t>FB</t>
        </is>
      </c>
      <c r="G1620" s="6" t="n">
        <v>1</v>
      </c>
      <c r="H1620" s="6" t="n">
        <v>-216.12326</v>
      </c>
      <c r="I1620" s="7">
        <f>-H1620/G1620</f>
        <v/>
      </c>
      <c r="J1620" s="11" t="n">
        <v>44671</v>
      </c>
      <c r="K1620" s="6">
        <f>+OPERAC[[#This Row],[cantidad]]</f>
        <v/>
      </c>
      <c r="L1620" s="6">
        <f>+OPERAC[[#This Row],[cantidad venta]]*213.173</f>
        <v/>
      </c>
      <c r="M1620" s="7">
        <f>IF(N1620=0,+L1620+H1620,0)</f>
        <v/>
      </c>
      <c r="N1620" s="7">
        <f>IF((+G1620-K1620)=0,0,+G1620-K1620)</f>
        <v/>
      </c>
      <c r="O1620" s="7">
        <f>IF(N1620=0,0,(L1620+H1620)/-N1620)</f>
        <v/>
      </c>
      <c r="P1620" s="7">
        <f>VLOOKUP(OPERAC[[#This Row],[especie]],[1]!ESPECIES[#All],6,0)</f>
        <v/>
      </c>
      <c r="Q1620" s="7">
        <f>IF(N1620&lt;&gt;0,P1620*N1620,0)</f>
        <v/>
      </c>
      <c r="R1620" s="8">
        <f>IF(Q1620&lt;&gt;0,Q1620+H1620+L1620,0)</f>
        <v/>
      </c>
      <c r="S1620" s="9">
        <f>VLOOKUP(OPERAC[[#This Row],[especie]],[1]!ESPECIES[#Data],9,FALSE)</f>
        <v/>
      </c>
    </row>
    <row r="1621">
      <c r="A1621" s="4" t="n">
        <v>15195</v>
      </c>
      <c r="B1621" s="5" t="n">
        <v>44643</v>
      </c>
      <c r="C1621" s="13" t="inlineStr">
        <is>
          <t>VTA</t>
        </is>
      </c>
      <c r="D1621" s="13" t="n">
        <v>42</v>
      </c>
      <c r="E1621" s="10">
        <f>IF(D1621&gt;0,VLOOKUP(OPERAC[[#This Row],[COD CART]],[1]!MatrizCortoLargoCyl[#All],3,0),"")</f>
        <v/>
      </c>
      <c r="F1621" s="13" t="inlineStr">
        <is>
          <t>FB</t>
        </is>
      </c>
      <c r="G1621" s="6" t="n">
        <v>1</v>
      </c>
      <c r="H1621" s="6" t="n">
        <v>-216.12326</v>
      </c>
      <c r="I1621" s="7">
        <f>-H1621/G1621</f>
        <v/>
      </c>
      <c r="J1621" s="11" t="n">
        <v>44671</v>
      </c>
      <c r="K1621" s="6">
        <f>+OPERAC[[#This Row],[cantidad]]</f>
        <v/>
      </c>
      <c r="L1621" s="6">
        <f>+OPERAC[[#This Row],[cantidad venta]]*213.173</f>
        <v/>
      </c>
      <c r="M1621" s="7">
        <f>IF(N1621=0,+L1621+H1621,0)</f>
        <v/>
      </c>
      <c r="N1621" s="7">
        <f>IF((+G1621-K1621)=0,0,+G1621-K1621)</f>
        <v/>
      </c>
      <c r="O1621" s="7">
        <f>IF(N1621=0,0,(L1621+H1621)/-N1621)</f>
        <v/>
      </c>
      <c r="P1621" s="7">
        <f>VLOOKUP(OPERAC[[#This Row],[especie]],[1]!ESPECIES[#All],6,0)</f>
        <v/>
      </c>
      <c r="Q1621" s="7">
        <f>IF(N1621&lt;&gt;0,P1621*N1621,0)</f>
        <v/>
      </c>
      <c r="R1621" s="8">
        <f>IF(Q1621&lt;&gt;0,Q1621+H1621+L1621,0)</f>
        <v/>
      </c>
      <c r="S1621" s="9">
        <f>VLOOKUP(OPERAC[[#This Row],[especie]],[1]!ESPECIES[#Data],9,FALSE)</f>
        <v/>
      </c>
    </row>
    <row r="1622">
      <c r="A1622" s="4" t="n">
        <v>18697</v>
      </c>
      <c r="B1622" s="5" t="n">
        <v>44643</v>
      </c>
      <c r="C1622" s="13" t="inlineStr">
        <is>
          <t>VTA</t>
        </is>
      </c>
      <c r="D1622" s="13" t="n">
        <v>42</v>
      </c>
      <c r="E1622" s="10">
        <f>IF(D1622&gt;0,VLOOKUP(OPERAC[[#This Row],[COD CART]],[1]!MatrizCortoLargoCyl[#All],3,0),"")</f>
        <v/>
      </c>
      <c r="F1622" s="13" t="inlineStr">
        <is>
          <t>FB</t>
        </is>
      </c>
      <c r="G1622" s="6" t="n">
        <v>1</v>
      </c>
      <c r="H1622" s="6" t="n">
        <v>-216.12326</v>
      </c>
      <c r="I1622" s="7">
        <f>-H1622/G1622</f>
        <v/>
      </c>
      <c r="J1622" s="11" t="n">
        <v>44671</v>
      </c>
      <c r="K1622" s="6">
        <f>+OPERAC[[#This Row],[cantidad]]</f>
        <v/>
      </c>
      <c r="L1622" s="6">
        <f>+OPERAC[[#This Row],[cantidad venta]]*213.173</f>
        <v/>
      </c>
      <c r="M1622" s="7">
        <f>IF(N1622=0,+L1622+H1622,0)</f>
        <v/>
      </c>
      <c r="N1622" s="7">
        <f>IF((+G1622-K1622)=0,0,+G1622-K1622)</f>
        <v/>
      </c>
      <c r="O1622" s="7">
        <f>IF(N1622=0,0,(L1622+H1622)/-N1622)</f>
        <v/>
      </c>
      <c r="P1622" s="7">
        <f>VLOOKUP(OPERAC[[#This Row],[especie]],[1]!ESPECIES[#All],6,0)</f>
        <v/>
      </c>
      <c r="Q1622" s="7">
        <f>IF(N1622&lt;&gt;0,P1622*N1622,0)</f>
        <v/>
      </c>
      <c r="R1622" s="8">
        <f>IF(Q1622&lt;&gt;0,Q1622+H1622+L1622,0)</f>
        <v/>
      </c>
      <c r="S1622" s="9">
        <f>VLOOKUP(OPERAC[[#This Row],[especie]],[1]!ESPECIES[#Data],9,FALSE)</f>
        <v/>
      </c>
    </row>
    <row r="1623">
      <c r="A1623" s="4" t="n">
        <v>21070</v>
      </c>
      <c r="B1623" s="5" t="n">
        <v>44643</v>
      </c>
      <c r="C1623" s="13" t="inlineStr">
        <is>
          <t>VTA</t>
        </is>
      </c>
      <c r="D1623" s="13" t="n">
        <v>42</v>
      </c>
      <c r="E1623" s="10">
        <f>IF(D1623&gt;0,VLOOKUP(OPERAC[[#This Row],[COD CART]],[1]!MatrizCortoLargoCyl[#All],3,0),"")</f>
        <v/>
      </c>
      <c r="F1623" s="13" t="inlineStr">
        <is>
          <t>FB</t>
        </is>
      </c>
      <c r="G1623" s="6" t="n">
        <v>1</v>
      </c>
      <c r="H1623" s="6" t="n">
        <v>-216.12326</v>
      </c>
      <c r="I1623" s="7">
        <f>-H1623/G1623</f>
        <v/>
      </c>
      <c r="J1623" s="11" t="n">
        <v>44671</v>
      </c>
      <c r="K1623" s="6">
        <f>+OPERAC[[#This Row],[cantidad]]</f>
        <v/>
      </c>
      <c r="L1623" s="6">
        <f>+OPERAC[[#This Row],[cantidad venta]]*213.173</f>
        <v/>
      </c>
      <c r="M1623" s="7">
        <f>IF(N1623=0,+L1623+H1623,0)</f>
        <v/>
      </c>
      <c r="N1623" s="7">
        <f>IF((+G1623-K1623)=0,0,+G1623-K1623)</f>
        <v/>
      </c>
      <c r="O1623" s="7">
        <f>IF(N1623=0,0,(L1623+H1623)/-N1623)</f>
        <v/>
      </c>
      <c r="P1623" s="7">
        <f>VLOOKUP(OPERAC[[#This Row],[especie]],[1]!ESPECIES[#All],6,0)</f>
        <v/>
      </c>
      <c r="Q1623" s="7">
        <f>IF(N1623&lt;&gt;0,P1623*N1623,0)</f>
        <v/>
      </c>
      <c r="R1623" s="8">
        <f>IF(Q1623&lt;&gt;0,Q1623+H1623+L1623,0)</f>
        <v/>
      </c>
      <c r="S1623" s="9">
        <f>VLOOKUP(OPERAC[[#This Row],[especie]],[1]!ESPECIES[#Data],9,FALSE)</f>
        <v/>
      </c>
    </row>
    <row r="1624">
      <c r="A1624" s="4" t="n">
        <v>22421</v>
      </c>
      <c r="B1624" s="5" t="n">
        <v>44643</v>
      </c>
      <c r="C1624" s="13" t="inlineStr">
        <is>
          <t>VTA</t>
        </is>
      </c>
      <c r="D1624" s="13" t="n">
        <v>42</v>
      </c>
      <c r="E1624" s="10">
        <f>IF(D1624&gt;0,VLOOKUP(OPERAC[[#This Row],[COD CART]],[1]!MatrizCortoLargoCyl[#All],3,0),"")</f>
        <v/>
      </c>
      <c r="F1624" s="13" t="inlineStr">
        <is>
          <t>FB</t>
        </is>
      </c>
      <c r="G1624" s="6" t="n">
        <v>1</v>
      </c>
      <c r="H1624" s="6" t="n">
        <v>-216.12326</v>
      </c>
      <c r="I1624" s="7">
        <f>-H1624/G1624</f>
        <v/>
      </c>
      <c r="J1624" s="11" t="n">
        <v>44671</v>
      </c>
      <c r="K1624" s="6">
        <f>+OPERAC[[#This Row],[cantidad]]</f>
        <v/>
      </c>
      <c r="L1624" s="6">
        <f>+OPERAC[[#This Row],[cantidad venta]]*213.173</f>
        <v/>
      </c>
      <c r="M1624" s="7">
        <f>IF(N1624=0,+L1624+H1624,0)</f>
        <v/>
      </c>
      <c r="N1624" s="7">
        <f>IF((+G1624-K1624)=0,0,+G1624-K1624)</f>
        <v/>
      </c>
      <c r="O1624" s="7">
        <f>IF(N1624=0,0,(L1624+H1624)/-N1624)</f>
        <v/>
      </c>
      <c r="P1624" s="7">
        <f>VLOOKUP(OPERAC[[#This Row],[especie]],[1]!ESPECIES[#All],6,0)</f>
        <v/>
      </c>
      <c r="Q1624" s="7">
        <f>IF(N1624&lt;&gt;0,P1624*N1624,0)</f>
        <v/>
      </c>
      <c r="R1624" s="8">
        <f>IF(Q1624&lt;&gt;0,Q1624+H1624+L1624,0)</f>
        <v/>
      </c>
      <c r="S1624" s="9">
        <f>VLOOKUP(OPERAC[[#This Row],[especie]],[1]!ESPECIES[#Data],9,FALSE)</f>
        <v/>
      </c>
    </row>
    <row r="1625">
      <c r="A1625" s="4" t="n">
        <v>22431</v>
      </c>
      <c r="B1625" s="5" t="n">
        <v>44643</v>
      </c>
      <c r="C1625" s="13" t="inlineStr">
        <is>
          <t>VTA</t>
        </is>
      </c>
      <c r="D1625" s="13" t="n">
        <v>42</v>
      </c>
      <c r="E1625" s="10">
        <f>IF(D1625&gt;0,VLOOKUP(OPERAC[[#This Row],[COD CART]],[1]!MatrizCortoLargoCyl[#All],3,0),"")</f>
        <v/>
      </c>
      <c r="F1625" s="13" t="inlineStr">
        <is>
          <t>FB</t>
        </is>
      </c>
      <c r="G1625" s="6" t="n">
        <v>1</v>
      </c>
      <c r="H1625" s="6" t="n">
        <v>-216.12326</v>
      </c>
      <c r="I1625" s="7">
        <f>-H1625/G1625</f>
        <v/>
      </c>
      <c r="J1625" s="11" t="n">
        <v>44671</v>
      </c>
      <c r="K1625" s="6">
        <f>+OPERAC[[#This Row],[cantidad]]</f>
        <v/>
      </c>
      <c r="L1625" s="6">
        <f>+OPERAC[[#This Row],[cantidad venta]]*213.173</f>
        <v/>
      </c>
      <c r="M1625" s="7">
        <f>IF(N1625=0,+L1625+H1625,0)</f>
        <v/>
      </c>
      <c r="N1625" s="7">
        <f>IF((+G1625-K1625)=0,0,+G1625-K1625)</f>
        <v/>
      </c>
      <c r="O1625" s="7">
        <f>IF(N1625=0,0,(L1625+H1625)/-N1625)</f>
        <v/>
      </c>
      <c r="P1625" s="7">
        <f>VLOOKUP(OPERAC[[#This Row],[especie]],[1]!ESPECIES[#All],6,0)</f>
        <v/>
      </c>
      <c r="Q1625" s="7">
        <f>IF(N1625&lt;&gt;0,P1625*N1625,0)</f>
        <v/>
      </c>
      <c r="R1625" s="8">
        <f>IF(Q1625&lt;&gt;0,Q1625+H1625+L1625,0)</f>
        <v/>
      </c>
      <c r="S1625" s="9">
        <f>VLOOKUP(OPERAC[[#This Row],[especie]],[1]!ESPECIES[#Data],9,FALSE)</f>
        <v/>
      </c>
    </row>
    <row r="1626">
      <c r="A1626" s="4" t="n">
        <v>22439</v>
      </c>
      <c r="B1626" s="5" t="n">
        <v>44643</v>
      </c>
      <c r="C1626" s="13" t="inlineStr">
        <is>
          <t>VTA</t>
        </is>
      </c>
      <c r="D1626" s="13" t="n">
        <v>42</v>
      </c>
      <c r="E1626" s="10">
        <f>IF(D1626&gt;0,VLOOKUP(OPERAC[[#This Row],[COD CART]],[1]!MatrizCortoLargoCyl[#All],3,0),"")</f>
        <v/>
      </c>
      <c r="F1626" s="13" t="inlineStr">
        <is>
          <t>FB</t>
        </is>
      </c>
      <c r="G1626" s="6" t="n">
        <v>1</v>
      </c>
      <c r="H1626" s="6" t="n">
        <v>-216.12326</v>
      </c>
      <c r="I1626" s="7">
        <f>-H1626/G1626</f>
        <v/>
      </c>
      <c r="J1626" s="11" t="n">
        <v>44671</v>
      </c>
      <c r="K1626" s="6">
        <f>+OPERAC[[#This Row],[cantidad]]</f>
        <v/>
      </c>
      <c r="L1626" s="6">
        <f>+OPERAC[[#This Row],[cantidad venta]]*213.173</f>
        <v/>
      </c>
      <c r="M1626" s="7">
        <f>IF(N1626=0,+L1626+H1626,0)</f>
        <v/>
      </c>
      <c r="N1626" s="7">
        <f>IF((+G1626-K1626)=0,0,+G1626-K1626)</f>
        <v/>
      </c>
      <c r="O1626" s="7">
        <f>IF(N1626=0,0,(L1626+H1626)/-N1626)</f>
        <v/>
      </c>
      <c r="P1626" s="7">
        <f>VLOOKUP(OPERAC[[#This Row],[especie]],[1]!ESPECIES[#All],6,0)</f>
        <v/>
      </c>
      <c r="Q1626" s="7">
        <f>IF(N1626&lt;&gt;0,P1626*N1626,0)</f>
        <v/>
      </c>
      <c r="R1626" s="8">
        <f>IF(Q1626&lt;&gt;0,Q1626+H1626+L1626,0)</f>
        <v/>
      </c>
      <c r="S1626" s="9">
        <f>VLOOKUP(OPERAC[[#This Row],[especie]],[1]!ESPECIES[#Data],9,FALSE)</f>
        <v/>
      </c>
    </row>
    <row r="1627">
      <c r="A1627" s="4" t="n">
        <v>18663</v>
      </c>
      <c r="B1627" s="5" t="n">
        <v>44546</v>
      </c>
      <c r="C1627" s="13" t="inlineStr">
        <is>
          <t>VTA</t>
        </is>
      </c>
      <c r="D1627" s="13" t="n">
        <v>41</v>
      </c>
      <c r="E1627" s="10">
        <f>IF(D1627&gt;0,VLOOKUP(OPERAC[[#This Row],[COD CART]],[1]!MatrizCortoLargoCyl[#All],3,0),"")</f>
        <v/>
      </c>
      <c r="F1627" s="13" t="inlineStr">
        <is>
          <t>DDD</t>
        </is>
      </c>
      <c r="G1627" s="6" t="n">
        <v>10</v>
      </c>
      <c r="H1627" s="6" t="n">
        <v>-217.095</v>
      </c>
      <c r="I1627" s="7">
        <f>-H1627/G1627</f>
        <v/>
      </c>
      <c r="J1627" s="11" t="n"/>
      <c r="K1627" s="6" t="n"/>
      <c r="L1627" s="6" t="n"/>
      <c r="M1627" s="7">
        <f>IF(N1627=0,+L1627+H1627,0)</f>
        <v/>
      </c>
      <c r="N1627" s="7">
        <f>IF((+G1627-K1627)=0,0,+G1627-K1627)</f>
        <v/>
      </c>
      <c r="O1627" s="7">
        <f>IF(N1627=0,0,(L1627+H1627)/-N1627)</f>
        <v/>
      </c>
      <c r="P1627" s="7">
        <f>VLOOKUP(OPERAC[[#This Row],[especie]],[1]!ESPECIES[#All],6,0)</f>
        <v/>
      </c>
      <c r="Q1627" s="7">
        <f>IF(N1627&lt;&gt;0,P1627*N1627,0)</f>
        <v/>
      </c>
      <c r="R1627" s="8">
        <f>IF(Q1627&lt;&gt;0,Q1627+H1627+L1627,0)</f>
        <v/>
      </c>
      <c r="S1627" s="9">
        <f>VLOOKUP(OPERAC[[#This Row],[especie]],[1]!ESPECIES[#Data],9,FALSE)</f>
        <v/>
      </c>
    </row>
    <row r="1628">
      <c r="A1628" s="4" t="n">
        <v>18663</v>
      </c>
      <c r="B1628" s="5" t="n">
        <v>44292</v>
      </c>
      <c r="C1628" s="13" t="inlineStr">
        <is>
          <t>VTA</t>
        </is>
      </c>
      <c r="D1628" s="13" t="n">
        <v>41</v>
      </c>
      <c r="E1628" s="10">
        <f>IF(D1628&gt;0,VLOOKUP(OPERAC[[#This Row],[COD CART]],[1]!MatrizCortoLargoCyl[#All],3,0),"")</f>
        <v/>
      </c>
      <c r="F1628" s="13" t="inlineStr">
        <is>
          <t>TCNNF</t>
        </is>
      </c>
      <c r="G1628" s="6" t="n">
        <v>5</v>
      </c>
      <c r="H1628" s="6" t="n">
        <v>-217.47</v>
      </c>
      <c r="I1628" s="7">
        <f>-H1628/G1628</f>
        <v/>
      </c>
      <c r="J1628" s="11" t="n"/>
      <c r="K1628" s="6" t="n"/>
      <c r="L1628" s="6" t="n"/>
      <c r="M1628" s="7">
        <f>IF(N1628=0,+L1628+H1628,0)</f>
        <v/>
      </c>
      <c r="N1628" s="7">
        <f>IF((+G1628-K1628)=0,0,+G1628-K1628)</f>
        <v/>
      </c>
      <c r="O1628" s="7">
        <f>IF(N1628=0,0,(L1628+H1628)/-N1628)</f>
        <v/>
      </c>
      <c r="P1628" s="7">
        <f>VLOOKUP(OPERAC[[#This Row],[especie]],[1]!ESPECIES[#All],6,0)</f>
        <v/>
      </c>
      <c r="Q1628" s="7">
        <f>IF(N1628&lt;&gt;0,P1628*N1628,0)</f>
        <v/>
      </c>
      <c r="R1628" s="8">
        <f>IF(Q1628&lt;&gt;0,Q1628+H1628+L1628,0)</f>
        <v/>
      </c>
      <c r="S1628" s="9">
        <f>VLOOKUP(OPERAC[[#This Row],[especie]],[1]!ESPECIES[#Data],9,FALSE)</f>
        <v/>
      </c>
    </row>
    <row r="1629">
      <c r="A1629" s="4" t="n">
        <v>16780</v>
      </c>
      <c r="B1629" s="5" t="n">
        <v>43831</v>
      </c>
      <c r="C1629" s="13" t="inlineStr">
        <is>
          <t>VTA</t>
        </is>
      </c>
      <c r="D1629" s="13" t="n">
        <v>31</v>
      </c>
      <c r="E1629" s="10">
        <f>IF(D1629&gt;0,VLOOKUP(OPERAC[[#This Row],[COD CART]],[1]!MatrizCortoLargoCyl[#All],3,0),"")</f>
        <v/>
      </c>
      <c r="F1629" s="13" t="inlineStr">
        <is>
          <t>IPIX</t>
        </is>
      </c>
      <c r="G1629" s="6" t="n">
        <v>800</v>
      </c>
      <c r="H1629" s="6" t="n">
        <v>-217.696</v>
      </c>
      <c r="I1629" s="7" t="n">
        <v>0.27212</v>
      </c>
      <c r="J1629" s="5" t="n"/>
      <c r="K1629" s="6" t="n"/>
      <c r="L1629" s="6" t="n"/>
      <c r="M1629" s="7">
        <f>IF(N1629=0,+L1629+H1629,0)</f>
        <v/>
      </c>
      <c r="N1629" s="7">
        <f>IF((+G1629-K1629)=0,0,+G1629-K1629)</f>
        <v/>
      </c>
      <c r="O1629" s="7">
        <f>IF(N1629=0,0,(L1629+H1629)/-N1629)</f>
        <v/>
      </c>
      <c r="P1629" s="7">
        <f>VLOOKUP(OPERAC[[#This Row],[especie]],[1]!ESPECIES[#All],6,0)</f>
        <v/>
      </c>
      <c r="Q1629" s="7">
        <f>IF(N1629&lt;&gt;0,P1629*N1629,0)</f>
        <v/>
      </c>
      <c r="R1629" s="8">
        <f>IF(Q1629&lt;&gt;0,Q1629+H1629+L1629,0)</f>
        <v/>
      </c>
      <c r="S1629" s="9">
        <f>VLOOKUP(OPERAC[[#This Row],[especie]],[1]!ESPECIES[#Data],9,FALSE)</f>
        <v/>
      </c>
    </row>
    <row r="1630">
      <c r="A1630" s="4" t="n">
        <v>18663</v>
      </c>
      <c r="B1630" s="5" t="n">
        <v>44690</v>
      </c>
      <c r="C1630" s="13" t="inlineStr">
        <is>
          <t>VTA</t>
        </is>
      </c>
      <c r="D1630" s="13" t="n">
        <v>41</v>
      </c>
      <c r="E1630" s="10">
        <f>IF(D1630&gt;0,VLOOKUP(OPERAC[[#This Row],[COD CART]],[1]!MatrizCortoLargoCyl[#All],3,0),"")</f>
        <v/>
      </c>
      <c r="F1630" s="13" t="inlineStr">
        <is>
          <t>NRZ</t>
        </is>
      </c>
      <c r="G1630" s="6" t="n">
        <v>20</v>
      </c>
      <c r="H1630" s="6" t="n">
        <v>-218.215196</v>
      </c>
      <c r="I1630" s="7">
        <f>-H1630/G1630</f>
        <v/>
      </c>
      <c r="J1630" s="11" t="n"/>
      <c r="K1630" s="6" t="n"/>
      <c r="L1630" s="6" t="n"/>
      <c r="M1630" s="7">
        <f>IF(N1630=0,+L1630+H1630,0)</f>
        <v/>
      </c>
      <c r="N1630" s="7">
        <f>IF((+G1630-K1630)=0,0,+G1630-K1630)</f>
        <v/>
      </c>
      <c r="O1630" s="7">
        <f>IF(N1630=0,0,(L1630+H1630)/-N1630)</f>
        <v/>
      </c>
      <c r="P1630" s="7">
        <f>VLOOKUP(OPERAC[[#This Row],[especie]],[1]!ESPECIES[#All],6,0)</f>
        <v/>
      </c>
      <c r="Q1630" s="7">
        <f>IF(N1630&lt;&gt;0,P1630*N1630,0)</f>
        <v/>
      </c>
      <c r="R1630" s="8">
        <f>IF(Q1630&lt;&gt;0,Q1630+H1630+L1630,0)</f>
        <v/>
      </c>
      <c r="S1630" s="9">
        <f>VLOOKUP(OPERAC[[#This Row],[especie]],[1]!ESPECIES[#Data],9,FALSE)</f>
        <v/>
      </c>
    </row>
    <row r="1631">
      <c r="A1631" s="4" t="n">
        <v>20234</v>
      </c>
      <c r="B1631" s="5" t="n">
        <v>44539</v>
      </c>
      <c r="C1631" s="13" t="inlineStr">
        <is>
          <t>VTA</t>
        </is>
      </c>
      <c r="D1631" s="13" t="n">
        <v>43</v>
      </c>
      <c r="E1631" s="10">
        <f>IF(D1631&gt;0,VLOOKUP(OPERAC[[#This Row],[COD CART]],[1]!MatrizCortoLargoCyl[#All],3,0),"")</f>
        <v/>
      </c>
      <c r="F1631" s="13" t="inlineStr">
        <is>
          <t>HEXO/CYL-PUT/1,00/20-01-23</t>
        </is>
      </c>
      <c r="G1631" s="6" t="n">
        <v>1500</v>
      </c>
      <c r="H1631" s="6" t="n">
        <v>-218.624</v>
      </c>
      <c r="I1631" s="7">
        <f>-H1631/G1631</f>
        <v/>
      </c>
      <c r="J1631" s="11" t="n">
        <v>44614</v>
      </c>
      <c r="K1631" s="6" t="n">
        <v>1500</v>
      </c>
      <c r="L1631" s="6" t="n">
        <v>496.009</v>
      </c>
      <c r="M1631" s="7">
        <f>IF(N1631=0,+L1631+H1631,0)</f>
        <v/>
      </c>
      <c r="N1631" s="7">
        <f>IF((+G1631-K1631)=0,0,+G1631-K1631)</f>
        <v/>
      </c>
      <c r="O1631" s="7">
        <f>IF(N1631=0,0,(L1631+H1631)/-N1631)</f>
        <v/>
      </c>
      <c r="P1631" s="7">
        <f>VLOOKUP(OPERAC[[#This Row],[especie]],[1]!ESPECIES[#All],6,0)</f>
        <v/>
      </c>
      <c r="Q1631" s="7">
        <f>IF(N1631&lt;&gt;0,P1631*N1631,0)</f>
        <v/>
      </c>
      <c r="R1631" s="8">
        <f>IF(Q1631&lt;&gt;0,Q1631+H1631+L1631,0)</f>
        <v/>
      </c>
      <c r="S1631" s="9">
        <f>VLOOKUP(OPERAC[[#This Row],[especie]],[1]!ESPECIES[#Data],9,FALSE)</f>
        <v/>
      </c>
    </row>
    <row r="1632">
      <c r="A1632" s="4" t="n">
        <v>5212</v>
      </c>
      <c r="B1632" s="5" t="n">
        <v>44708</v>
      </c>
      <c r="C1632" s="13" t="inlineStr">
        <is>
          <t>VTA</t>
        </is>
      </c>
      <c r="D1632" s="13" t="n">
        <v>41</v>
      </c>
      <c r="E1632" s="10">
        <f>IF(D1632&gt;0,VLOOKUP(OPERAC[[#This Row],[COD CART]],[1]!MatrizCortoLargoCyl[#All],3,0),"")</f>
        <v/>
      </c>
      <c r="F1632" s="13" t="inlineStr">
        <is>
          <t>DIS</t>
        </is>
      </c>
      <c r="G1632" s="6" t="n">
        <v>2</v>
      </c>
      <c r="H1632" s="6" t="n">
        <v>-219.640925</v>
      </c>
      <c r="I1632" s="7">
        <f>-H1632/G1632</f>
        <v/>
      </c>
      <c r="J1632" s="5" t="n"/>
      <c r="K1632" s="6" t="n"/>
      <c r="L1632" s="6" t="n"/>
      <c r="M1632" s="7">
        <f>IF(N1632=0,+L1632+H1632,0)</f>
        <v/>
      </c>
      <c r="N1632" s="7">
        <f>IF((+G1632-K1632)=0,0,+G1632-K1632)</f>
        <v/>
      </c>
      <c r="O1632" s="7">
        <f>IF(N1632=0,0,(L1632+H1632)/-N1632)</f>
        <v/>
      </c>
      <c r="P1632" s="7">
        <f>VLOOKUP(OPERAC[[#This Row],[especie]],[1]!ESPECIES[#All],6,0)</f>
        <v/>
      </c>
      <c r="Q1632" s="7">
        <f>IF(N1632&lt;&gt;0,P1632*N1632,0)</f>
        <v/>
      </c>
      <c r="R1632" s="8">
        <f>IF(Q1632&lt;&gt;0,Q1632+H1632+L1632,0)</f>
        <v/>
      </c>
      <c r="S1632" s="9">
        <f>VLOOKUP(OPERAC[[#This Row],[especie]],[1]!ESPECIES[#Data],9,FALSE)</f>
        <v/>
      </c>
    </row>
    <row r="1633">
      <c r="A1633" s="4" t="n">
        <v>2194</v>
      </c>
      <c r="B1633" s="5" t="n">
        <v>44511</v>
      </c>
      <c r="C1633" s="13" t="inlineStr">
        <is>
          <t>VTA</t>
        </is>
      </c>
      <c r="D1633" s="13" t="n">
        <v>31</v>
      </c>
      <c r="E1633" s="10">
        <f>IF(D1633&gt;0,VLOOKUP(OPERAC[[#This Row],[COD CART]],[1]!MatrizCortoLargoCyl[#All],3,0),"")</f>
        <v/>
      </c>
      <c r="F1633" s="13" t="inlineStr">
        <is>
          <t>IPIX</t>
        </is>
      </c>
      <c r="G1633" s="6" t="n">
        <v>2000</v>
      </c>
      <c r="H1633" s="6" t="n">
        <v>-219.98</v>
      </c>
      <c r="I1633" s="7">
        <f>-H1633/G1633</f>
        <v/>
      </c>
      <c r="J1633" s="11" t="n"/>
      <c r="K1633" s="6" t="n"/>
      <c r="L1633" s="6" t="n"/>
      <c r="M1633" s="7">
        <f>IF(N1633=0,+L1633+H1633,0)</f>
        <v/>
      </c>
      <c r="N1633" s="7">
        <f>IF((+G1633-K1633)=0,0,+G1633-K1633)</f>
        <v/>
      </c>
      <c r="O1633" s="7">
        <f>IF(N1633=0,0,(L1633+H1633)/-N1633)</f>
        <v/>
      </c>
      <c r="P1633" s="7">
        <f>VLOOKUP(OPERAC[[#This Row],[especie]],[1]!ESPECIES[#All],6,0)</f>
        <v/>
      </c>
      <c r="Q1633" s="7">
        <f>IF(N1633&lt;&gt;0,P1633*N1633,0)</f>
        <v/>
      </c>
      <c r="R1633" s="8">
        <f>IF(Q1633&lt;&gt;0,Q1633+H1633+L1633,0)</f>
        <v/>
      </c>
      <c r="S1633" s="9">
        <f>VLOOKUP(OPERAC[[#This Row],[especie]],[1]!ESPECIES[#Data],9,FALSE)</f>
        <v/>
      </c>
    </row>
    <row r="1634">
      <c r="A1634" s="4" t="n">
        <v>2203</v>
      </c>
      <c r="B1634" s="5" t="n">
        <v>44511</v>
      </c>
      <c r="C1634" s="13" t="inlineStr">
        <is>
          <t>VTA</t>
        </is>
      </c>
      <c r="D1634" s="13" t="n">
        <v>31</v>
      </c>
      <c r="E1634" s="10">
        <f>IF(D1634&gt;0,VLOOKUP(OPERAC[[#This Row],[COD CART]],[1]!MatrizCortoLargoCyl[#All],3,0),"")</f>
        <v/>
      </c>
      <c r="F1634" s="13" t="inlineStr">
        <is>
          <t>IPIX</t>
        </is>
      </c>
      <c r="G1634" s="6" t="n">
        <v>2000</v>
      </c>
      <c r="H1634" s="6" t="n">
        <v>-219.98</v>
      </c>
      <c r="I1634" s="7">
        <f>-H1634/G1634</f>
        <v/>
      </c>
      <c r="J1634" s="11" t="n"/>
      <c r="K1634" s="6" t="n"/>
      <c r="L1634" s="6" t="n"/>
      <c r="M1634" s="7">
        <f>IF(N1634=0,+L1634+H1634,0)</f>
        <v/>
      </c>
      <c r="N1634" s="7">
        <f>IF((+G1634-K1634)=0,0,+G1634-K1634)</f>
        <v/>
      </c>
      <c r="O1634" s="7">
        <f>IF(N1634=0,0,(L1634+H1634)/-N1634)</f>
        <v/>
      </c>
      <c r="P1634" s="7">
        <f>VLOOKUP(OPERAC[[#This Row],[especie]],[1]!ESPECIES[#All],6,0)</f>
        <v/>
      </c>
      <c r="Q1634" s="7">
        <f>IF(N1634&lt;&gt;0,P1634*N1634,0)</f>
        <v/>
      </c>
      <c r="R1634" s="8">
        <f>IF(Q1634&lt;&gt;0,Q1634+H1634+L1634,0)</f>
        <v/>
      </c>
      <c r="S1634" s="9">
        <f>VLOOKUP(OPERAC[[#This Row],[especie]],[1]!ESPECIES[#Data],9,FALSE)</f>
        <v/>
      </c>
    </row>
    <row r="1635">
      <c r="A1635" s="4" t="n">
        <v>7916</v>
      </c>
      <c r="B1635" s="5" t="n">
        <v>44511</v>
      </c>
      <c r="C1635" s="13" t="inlineStr">
        <is>
          <t>VTA</t>
        </is>
      </c>
      <c r="D1635" s="13" t="n">
        <v>31</v>
      </c>
      <c r="E1635" s="10">
        <f>IF(D1635&gt;0,VLOOKUP(OPERAC[[#This Row],[COD CART]],[1]!MatrizCortoLargoCyl[#All],3,0),"")</f>
        <v/>
      </c>
      <c r="F1635" s="13" t="inlineStr">
        <is>
          <t>IPIX</t>
        </is>
      </c>
      <c r="G1635" s="6" t="n">
        <v>2000</v>
      </c>
      <c r="H1635" s="6" t="n">
        <v>-219.98</v>
      </c>
      <c r="I1635" s="7">
        <f>-H1635/G1635</f>
        <v/>
      </c>
      <c r="J1635" s="11" t="n"/>
      <c r="K1635" s="6" t="n"/>
      <c r="L1635" s="6" t="n"/>
      <c r="M1635" s="7">
        <f>IF(N1635=0,+L1635+H1635,0)</f>
        <v/>
      </c>
      <c r="N1635" s="7">
        <f>IF((+G1635-K1635)=0,0,+G1635-K1635)</f>
        <v/>
      </c>
      <c r="O1635" s="7">
        <f>IF(N1635=0,0,(L1635+H1635)/-N1635)</f>
        <v/>
      </c>
      <c r="P1635" s="7">
        <f>VLOOKUP(OPERAC[[#This Row],[especie]],[1]!ESPECIES[#All],6,0)</f>
        <v/>
      </c>
      <c r="Q1635" s="7">
        <f>IF(N1635&lt;&gt;0,P1635*N1635,0)</f>
        <v/>
      </c>
      <c r="R1635" s="8">
        <f>IF(Q1635&lt;&gt;0,Q1635+H1635+L1635,0)</f>
        <v/>
      </c>
      <c r="S1635" s="9">
        <f>VLOOKUP(OPERAC[[#This Row],[especie]],[1]!ESPECIES[#Data],9,FALSE)</f>
        <v/>
      </c>
    </row>
    <row r="1636">
      <c r="A1636" s="4" t="n">
        <v>13190</v>
      </c>
      <c r="B1636" s="5" t="n">
        <v>44511</v>
      </c>
      <c r="C1636" s="13" t="inlineStr">
        <is>
          <t>VTA</t>
        </is>
      </c>
      <c r="D1636" s="13" t="n">
        <v>31</v>
      </c>
      <c r="E1636" s="10">
        <f>IF(D1636&gt;0,VLOOKUP(OPERAC[[#This Row],[COD CART]],[1]!MatrizCortoLargoCyl[#All],3,0),"")</f>
        <v/>
      </c>
      <c r="F1636" s="13" t="inlineStr">
        <is>
          <t>IPIX</t>
        </is>
      </c>
      <c r="G1636" s="6" t="n">
        <v>2000</v>
      </c>
      <c r="H1636" s="6" t="n">
        <v>-219.98</v>
      </c>
      <c r="I1636" s="7">
        <f>-H1636/G1636</f>
        <v/>
      </c>
      <c r="J1636" s="11" t="n"/>
      <c r="K1636" s="6" t="n"/>
      <c r="L1636" s="6" t="n"/>
      <c r="M1636" s="7">
        <f>IF(N1636=0,+L1636+H1636,0)</f>
        <v/>
      </c>
      <c r="N1636" s="7">
        <f>IF((+G1636-K1636)=0,0,+G1636-K1636)</f>
        <v/>
      </c>
      <c r="O1636" s="7">
        <f>IF(N1636=0,0,(L1636+H1636)/-N1636)</f>
        <v/>
      </c>
      <c r="P1636" s="7">
        <f>VLOOKUP(OPERAC[[#This Row],[especie]],[1]!ESPECIES[#All],6,0)</f>
        <v/>
      </c>
      <c r="Q1636" s="7">
        <f>IF(N1636&lt;&gt;0,P1636*N1636,0)</f>
        <v/>
      </c>
      <c r="R1636" s="8">
        <f>IF(Q1636&lt;&gt;0,Q1636+H1636+L1636,0)</f>
        <v/>
      </c>
      <c r="S1636" s="9">
        <f>VLOOKUP(OPERAC[[#This Row],[especie]],[1]!ESPECIES[#Data],9,FALSE)</f>
        <v/>
      </c>
    </row>
    <row r="1637">
      <c r="A1637" s="4" t="n">
        <v>13253</v>
      </c>
      <c r="B1637" s="5" t="n">
        <v>44552</v>
      </c>
      <c r="C1637" s="13" t="inlineStr">
        <is>
          <t>VTA</t>
        </is>
      </c>
      <c r="D1637" s="13" t="n">
        <v>41</v>
      </c>
      <c r="E1637" s="10">
        <f>IF(D1637&gt;0,VLOOKUP(OPERAC[[#This Row],[COD CART]],[1]!MatrizCortoLargoCyl[#All],3,0),"")</f>
        <v/>
      </c>
      <c r="F1637" s="13" t="inlineStr">
        <is>
          <t>NRZ</t>
        </is>
      </c>
      <c r="G1637" s="6" t="n">
        <v>20</v>
      </c>
      <c r="H1637" s="6" t="n">
        <v>-220.50208</v>
      </c>
      <c r="I1637" s="7">
        <f>-H1637/G1637</f>
        <v/>
      </c>
      <c r="J1637" s="11" t="n"/>
      <c r="K1637" s="6" t="n"/>
      <c r="L1637" s="6" t="n"/>
      <c r="M1637" s="7">
        <f>IF(N1637=0,+L1637+H1637,0)</f>
        <v/>
      </c>
      <c r="N1637" s="7">
        <f>IF((+G1637-K1637)=0,0,+G1637-K1637)</f>
        <v/>
      </c>
      <c r="O1637" s="7">
        <f>IF(N1637=0,0,(L1637+H1637)/-N1637)</f>
        <v/>
      </c>
      <c r="P1637" s="7">
        <f>VLOOKUP(OPERAC[[#This Row],[especie]],[1]!ESPECIES[#All],6,0)</f>
        <v/>
      </c>
      <c r="Q1637" s="7">
        <f>IF(N1637&lt;&gt;0,P1637*N1637,0)</f>
        <v/>
      </c>
      <c r="R1637" s="8">
        <f>IF(Q1637&lt;&gt;0,Q1637+H1637+L1637,0)</f>
        <v/>
      </c>
      <c r="S1637" s="9">
        <f>VLOOKUP(OPERAC[[#This Row],[especie]],[1]!ESPECIES[#Data],9,FALSE)</f>
        <v/>
      </c>
    </row>
    <row r="1638">
      <c r="A1638" s="4" t="n">
        <v>2218</v>
      </c>
      <c r="B1638" s="5" t="n">
        <v>44648</v>
      </c>
      <c r="C1638" s="13" t="inlineStr">
        <is>
          <t>VTA</t>
        </is>
      </c>
      <c r="D1638" s="13" t="n">
        <v>42</v>
      </c>
      <c r="E1638" s="10">
        <f>IF(D1638&gt;0,VLOOKUP(OPERAC[[#This Row],[COD CART]],[1]!MatrizCortoLargoCyl[#All],3,0),"")</f>
        <v/>
      </c>
      <c r="F1638" s="13" t="inlineStr">
        <is>
          <t>FB</t>
        </is>
      </c>
      <c r="G1638" s="6" t="n">
        <v>1</v>
      </c>
      <c r="H1638" s="6" t="n">
        <v>-220.62298</v>
      </c>
      <c r="I1638" s="7">
        <f>-H1638/G1638</f>
        <v/>
      </c>
      <c r="J1638" s="11" t="n">
        <v>44671</v>
      </c>
      <c r="K1638" s="6">
        <f>+OPERAC[[#This Row],[cantidad]]</f>
        <v/>
      </c>
      <c r="L1638" s="6">
        <f>+OPERAC[[#This Row],[cantidad venta]]*213.173</f>
        <v/>
      </c>
      <c r="M1638" s="7">
        <f>IF(N1638=0,+L1638+H1638,0)</f>
        <v/>
      </c>
      <c r="N1638" s="7">
        <f>IF((+G1638-K1638)=0,0,+G1638-K1638)</f>
        <v/>
      </c>
      <c r="O1638" s="7">
        <f>IF(N1638=0,0,(L1638+H1638)/-N1638)</f>
        <v/>
      </c>
      <c r="P1638" s="7">
        <f>VLOOKUP(OPERAC[[#This Row],[especie]],[1]!ESPECIES[#All],6,0)</f>
        <v/>
      </c>
      <c r="Q1638" s="7">
        <f>IF(N1638&lt;&gt;0,P1638*N1638,0)</f>
        <v/>
      </c>
      <c r="R1638" s="8">
        <f>IF(Q1638&lt;&gt;0,Q1638+H1638+L1638,0)</f>
        <v/>
      </c>
      <c r="S1638" s="9">
        <f>VLOOKUP(OPERAC[[#This Row],[especie]],[1]!ESPECIES[#Data],9,FALSE)</f>
        <v/>
      </c>
    </row>
    <row r="1639">
      <c r="A1639" s="4" t="n">
        <v>18663</v>
      </c>
      <c r="B1639" s="5" t="n">
        <v>44211</v>
      </c>
      <c r="C1639" s="13" t="inlineStr">
        <is>
          <t>VTA</t>
        </is>
      </c>
      <c r="D1639" s="13" t="n">
        <v>41</v>
      </c>
      <c r="E1639" s="10">
        <f>IF(D1639&gt;0,VLOOKUP(OPERAC[[#This Row],[COD CART]],[1]!MatrizCortoLargoCyl[#All],3,0),"")</f>
        <v/>
      </c>
      <c r="F1639" s="13" t="inlineStr">
        <is>
          <t>T</t>
        </is>
      </c>
      <c r="G1639" s="6" t="n">
        <v>10</v>
      </c>
      <c r="H1639" s="6">
        <f>-22.08*OPERAC[[#This Row],[cantidad]]</f>
        <v/>
      </c>
      <c r="I1639" s="7">
        <f>-H1639/G1639</f>
        <v/>
      </c>
      <c r="J1639" s="11" t="n"/>
      <c r="K1639" s="6" t="n"/>
      <c r="L1639" s="6" t="n"/>
      <c r="M1639" s="7">
        <f>IF(N1639=0,+L1639+H1639,0)</f>
        <v/>
      </c>
      <c r="N1639" s="7">
        <f>IF((+G1639-K1639)=0,0,+G1639-K1639)</f>
        <v/>
      </c>
      <c r="O1639" s="7">
        <f>IF(N1639=0,0,(L1639+H1639)/-N1639)</f>
        <v/>
      </c>
      <c r="P1639" s="7">
        <f>VLOOKUP(OPERAC[[#This Row],[especie]],[1]!ESPECIES[#All],6,0)</f>
        <v/>
      </c>
      <c r="Q1639" s="7">
        <f>IF(N1639&lt;&gt;0,P1639*N1639,0)</f>
        <v/>
      </c>
      <c r="R1639" s="8">
        <f>IF(Q1639&lt;&gt;0,Q1639+H1639+L1639,0)</f>
        <v/>
      </c>
      <c r="S1639" s="9">
        <f>VLOOKUP(OPERAC[[#This Row],[especie]],[1]!ESPECIES[#Data],9,FALSE)</f>
        <v/>
      </c>
    </row>
    <row r="1640">
      <c r="A1640" s="4" t="n">
        <v>2276</v>
      </c>
      <c r="B1640" s="5" t="n">
        <v>44342</v>
      </c>
      <c r="C1640" s="13" t="inlineStr">
        <is>
          <t>VTA</t>
        </is>
      </c>
      <c r="D1640" s="13" t="n">
        <v>41</v>
      </c>
      <c r="E1640" s="10">
        <f>IF(D1640&gt;0,VLOOKUP(OPERAC[[#This Row],[COD CART]],[1]!MatrizCortoLargoCyl[#All],3,0),"")</f>
        <v/>
      </c>
      <c r="F1640" s="13" t="inlineStr">
        <is>
          <t>EEM</t>
        </is>
      </c>
      <c r="G1640" s="6" t="n">
        <v>4</v>
      </c>
      <c r="H1640" s="6" t="n">
        <v>-220.8448</v>
      </c>
      <c r="I1640" s="7">
        <f>-H1640/G1640</f>
        <v/>
      </c>
      <c r="J1640" s="11" t="n"/>
      <c r="K1640" s="6" t="n"/>
      <c r="L1640" s="6" t="n"/>
      <c r="M1640" s="7">
        <f>IF(N1640=0,+L1640+H1640,0)</f>
        <v/>
      </c>
      <c r="N1640" s="7">
        <f>IF((+G1640-K1640)=0,0,+G1640-K1640)</f>
        <v/>
      </c>
      <c r="O1640" s="7">
        <f>IF(N1640=0,0,(L1640+H1640)/-N1640)</f>
        <v/>
      </c>
      <c r="P1640" s="7">
        <f>VLOOKUP(OPERAC[[#This Row],[especie]],[1]!ESPECIES[#All],6,0)</f>
        <v/>
      </c>
      <c r="Q1640" s="7">
        <f>IF(N1640&lt;&gt;0,P1640*N1640,0)</f>
        <v/>
      </c>
      <c r="R1640" s="8">
        <f>IF(Q1640&lt;&gt;0,Q1640+H1640+L1640,0)</f>
        <v/>
      </c>
      <c r="S1640" s="9">
        <f>VLOOKUP(OPERAC[[#This Row],[especie]],[1]!ESPECIES[#Data],9,FALSE)</f>
        <v/>
      </c>
    </row>
    <row r="1641">
      <c r="A1641" s="4" t="n">
        <v>18663</v>
      </c>
      <c r="B1641" s="5" t="n">
        <v>44589</v>
      </c>
      <c r="C1641" s="13" t="inlineStr">
        <is>
          <t>VTA</t>
        </is>
      </c>
      <c r="D1641" s="13" t="n">
        <v>41</v>
      </c>
      <c r="E1641" s="10">
        <f>IF(D1641&gt;0,VLOOKUP(OPERAC[[#This Row],[COD CART]],[1]!MatrizCortoLargoCyl[#All],3,0),"")</f>
        <v/>
      </c>
      <c r="F1641" s="13" t="inlineStr">
        <is>
          <t>SPWR</t>
        </is>
      </c>
      <c r="G1641" s="6" t="n">
        <v>15</v>
      </c>
      <c r="H1641" s="6" t="n">
        <v>-222.0877714285714</v>
      </c>
      <c r="I1641" s="7">
        <f>-H1641/G1641</f>
        <v/>
      </c>
      <c r="J1641" s="11" t="n">
        <v>44592</v>
      </c>
      <c r="K1641" s="6" t="n">
        <v>15</v>
      </c>
      <c r="L1641" s="6" t="n">
        <v>242.558</v>
      </c>
      <c r="M1641" s="7">
        <f>IF(N1641=0,+L1641+H1641,0)</f>
        <v/>
      </c>
      <c r="N1641" s="7">
        <f>IF((+G1641-K1641)=0,0,+G1641-K1641)</f>
        <v/>
      </c>
      <c r="O1641" s="7">
        <f>IF(N1641=0,0,(L1641+H1641)/-N1641)</f>
        <v/>
      </c>
      <c r="P1641" s="7">
        <f>VLOOKUP(OPERAC[[#This Row],[especie]],[1]!ESPECIES[#All],6,0)</f>
        <v/>
      </c>
      <c r="Q1641" s="7">
        <f>IF(N1641&lt;&gt;0,P1641*N1641,0)</f>
        <v/>
      </c>
      <c r="R1641" s="8">
        <f>IF(Q1641&lt;&gt;0,Q1641+H1641+L1641,0)</f>
        <v/>
      </c>
      <c r="S1641" s="9">
        <f>VLOOKUP(OPERAC[[#This Row],[especie]],[1]!ESPECIES[#Data],9,FALSE)</f>
        <v/>
      </c>
    </row>
    <row r="1642">
      <c r="A1642" s="4" t="n">
        <v>1800</v>
      </c>
      <c r="B1642" s="5" t="n">
        <v>44648</v>
      </c>
      <c r="C1642" s="13" t="inlineStr">
        <is>
          <t>VTA</t>
        </is>
      </c>
      <c r="D1642" s="13" t="n">
        <v>42</v>
      </c>
      <c r="E1642" s="10">
        <f>IF(D1642&gt;0,VLOOKUP(OPERAC[[#This Row],[COD CART]],[1]!MatrizCortoLargoCyl[#All],3,0),"")</f>
        <v/>
      </c>
      <c r="F1642" s="13" t="inlineStr">
        <is>
          <t>FB</t>
        </is>
      </c>
      <c r="G1642" s="6" t="n">
        <v>1</v>
      </c>
      <c r="H1642" s="6" t="n">
        <v>-222.16543</v>
      </c>
      <c r="I1642" s="7">
        <f>-H1642/G1642</f>
        <v/>
      </c>
      <c r="J1642" s="11" t="n">
        <v>44671</v>
      </c>
      <c r="K1642" s="6">
        <f>+OPERAC[[#This Row],[cantidad]]</f>
        <v/>
      </c>
      <c r="L1642" s="6">
        <f>+OPERAC[[#This Row],[cantidad venta]]*213.173</f>
        <v/>
      </c>
      <c r="M1642" s="7">
        <f>IF(N1642=0,+L1642+H1642,0)</f>
        <v/>
      </c>
      <c r="N1642" s="7">
        <f>IF((+G1642-K1642)=0,0,+G1642-K1642)</f>
        <v/>
      </c>
      <c r="O1642" s="7">
        <f>IF(N1642=0,0,(L1642+H1642)/-N1642)</f>
        <v/>
      </c>
      <c r="P1642" s="7">
        <f>VLOOKUP(OPERAC[[#This Row],[especie]],[1]!ESPECIES[#All],6,0)</f>
        <v/>
      </c>
      <c r="Q1642" s="7">
        <f>IF(N1642&lt;&gt;0,P1642*N1642,0)</f>
        <v/>
      </c>
      <c r="R1642" s="8">
        <f>IF(Q1642&lt;&gt;0,Q1642+H1642+L1642,0)</f>
        <v/>
      </c>
      <c r="S1642" s="9">
        <f>VLOOKUP(OPERAC[[#This Row],[especie]],[1]!ESPECIES[#Data],9,FALSE)</f>
        <v/>
      </c>
    </row>
    <row r="1643">
      <c r="A1643" s="4" t="n">
        <v>13185</v>
      </c>
      <c r="B1643" s="5" t="n">
        <v>44648</v>
      </c>
      <c r="C1643" s="13" t="inlineStr">
        <is>
          <t>VTA</t>
        </is>
      </c>
      <c r="D1643" s="13" t="n">
        <v>42</v>
      </c>
      <c r="E1643" s="10">
        <f>IF(D1643&gt;0,VLOOKUP(OPERAC[[#This Row],[COD CART]],[1]!MatrizCortoLargoCyl[#All],3,0),"")</f>
        <v/>
      </c>
      <c r="F1643" s="13" t="inlineStr">
        <is>
          <t>FB</t>
        </is>
      </c>
      <c r="G1643" s="6" t="n">
        <v>1</v>
      </c>
      <c r="H1643" s="6" t="n">
        <v>-222.16543</v>
      </c>
      <c r="I1643" s="7">
        <f>-H1643/G1643</f>
        <v/>
      </c>
      <c r="J1643" s="11" t="n">
        <v>44671</v>
      </c>
      <c r="K1643" s="6">
        <f>+OPERAC[[#This Row],[cantidad]]</f>
        <v/>
      </c>
      <c r="L1643" s="6">
        <f>+OPERAC[[#This Row],[cantidad venta]]*213.173</f>
        <v/>
      </c>
      <c r="M1643" s="7">
        <f>IF(N1643=0,+L1643+H1643,0)</f>
        <v/>
      </c>
      <c r="N1643" s="7">
        <f>IF((+G1643-K1643)=0,0,+G1643-K1643)</f>
        <v/>
      </c>
      <c r="O1643" s="7">
        <f>IF(N1643=0,0,(L1643+H1643)/-N1643)</f>
        <v/>
      </c>
      <c r="P1643" s="7">
        <f>VLOOKUP(OPERAC[[#This Row],[especie]],[1]!ESPECIES[#All],6,0)</f>
        <v/>
      </c>
      <c r="Q1643" s="7">
        <f>IF(N1643&lt;&gt;0,P1643*N1643,0)</f>
        <v/>
      </c>
      <c r="R1643" s="8">
        <f>IF(Q1643&lt;&gt;0,Q1643+H1643+L1643,0)</f>
        <v/>
      </c>
      <c r="S1643" s="9">
        <f>VLOOKUP(OPERAC[[#This Row],[especie]],[1]!ESPECIES[#Data],9,FALSE)</f>
        <v/>
      </c>
    </row>
    <row r="1644">
      <c r="A1644" s="4" t="n">
        <v>15194</v>
      </c>
      <c r="B1644" s="5" t="n">
        <v>44648</v>
      </c>
      <c r="C1644" s="13" t="inlineStr">
        <is>
          <t>VTA</t>
        </is>
      </c>
      <c r="D1644" s="13" t="n">
        <v>42</v>
      </c>
      <c r="E1644" s="10">
        <f>IF(D1644&gt;0,VLOOKUP(OPERAC[[#This Row],[COD CART]],[1]!MatrizCortoLargoCyl[#All],3,0),"")</f>
        <v/>
      </c>
      <c r="F1644" s="13" t="inlineStr">
        <is>
          <t>FB</t>
        </is>
      </c>
      <c r="G1644" s="6" t="n">
        <v>1</v>
      </c>
      <c r="H1644" s="6" t="n">
        <v>-222.16543</v>
      </c>
      <c r="I1644" s="7">
        <f>-H1644/G1644</f>
        <v/>
      </c>
      <c r="J1644" s="11" t="n">
        <v>44671</v>
      </c>
      <c r="K1644" s="6">
        <f>+OPERAC[[#This Row],[cantidad]]</f>
        <v/>
      </c>
      <c r="L1644" s="6">
        <f>+OPERAC[[#This Row],[cantidad venta]]*213.173</f>
        <v/>
      </c>
      <c r="M1644" s="7">
        <f>IF(N1644=0,+L1644+H1644,0)</f>
        <v/>
      </c>
      <c r="N1644" s="7">
        <f>IF((+G1644-K1644)=0,0,+G1644-K1644)</f>
        <v/>
      </c>
      <c r="O1644" s="7">
        <f>IF(N1644=0,0,(L1644+H1644)/-N1644)</f>
        <v/>
      </c>
      <c r="P1644" s="7">
        <f>VLOOKUP(OPERAC[[#This Row],[especie]],[1]!ESPECIES[#All],6,0)</f>
        <v/>
      </c>
      <c r="Q1644" s="7">
        <f>IF(N1644&lt;&gt;0,P1644*N1644,0)</f>
        <v/>
      </c>
      <c r="R1644" s="8">
        <f>IF(Q1644&lt;&gt;0,Q1644+H1644+L1644,0)</f>
        <v/>
      </c>
      <c r="S1644" s="9">
        <f>VLOOKUP(OPERAC[[#This Row],[especie]],[1]!ESPECIES[#Data],9,FALSE)</f>
        <v/>
      </c>
    </row>
    <row r="1645">
      <c r="A1645" s="4" t="n">
        <v>18663</v>
      </c>
      <c r="B1645" s="5" t="n">
        <v>44315</v>
      </c>
      <c r="C1645" s="13" t="inlineStr">
        <is>
          <t>VTA</t>
        </is>
      </c>
      <c r="D1645" s="13" t="n">
        <v>41</v>
      </c>
      <c r="E1645" s="10">
        <f>IF(D1645&gt;0,VLOOKUP(OPERAC[[#This Row],[COD CART]],[1]!MatrizCortoLargoCyl[#All],3,0),"")</f>
        <v/>
      </c>
      <c r="F1645" s="13" t="inlineStr">
        <is>
          <t>MPW</t>
        </is>
      </c>
      <c r="G1645" s="6" t="n">
        <v>10</v>
      </c>
      <c r="H1645" s="6" t="n">
        <v>-222.765</v>
      </c>
      <c r="I1645" s="7">
        <f>-H1645/G1645</f>
        <v/>
      </c>
      <c r="J1645" s="11" t="n"/>
      <c r="K1645" s="6" t="n"/>
      <c r="L1645" s="6" t="n"/>
      <c r="M1645" s="7">
        <f>IF(N1645=0,+L1645+H1645,0)</f>
        <v/>
      </c>
      <c r="N1645" s="7">
        <f>IF((+G1645-K1645)=0,0,+G1645-K1645)</f>
        <v/>
      </c>
      <c r="O1645" s="7">
        <f>IF(N1645=0,0,(L1645+H1645)/-N1645)</f>
        <v/>
      </c>
      <c r="P1645" s="7">
        <f>VLOOKUP(OPERAC[[#This Row],[especie]],[1]!ESPECIES[#All],6,0)</f>
        <v/>
      </c>
      <c r="Q1645" s="7">
        <f>IF(N1645&lt;&gt;0,P1645*N1645,0)</f>
        <v/>
      </c>
      <c r="R1645" s="8">
        <f>IF(Q1645&lt;&gt;0,Q1645+H1645+L1645,0)</f>
        <v/>
      </c>
      <c r="S1645" s="9">
        <f>VLOOKUP(OPERAC[[#This Row],[especie]],[1]!ESPECIES[#Data],9,FALSE)</f>
        <v/>
      </c>
    </row>
    <row r="1646">
      <c r="A1646" s="4" t="n">
        <v>18663</v>
      </c>
      <c r="B1646" s="5" t="n">
        <v>44725</v>
      </c>
      <c r="C1646" s="13" t="inlineStr">
        <is>
          <t>VTA</t>
        </is>
      </c>
      <c r="D1646" s="13" t="n">
        <v>41</v>
      </c>
      <c r="E1646" s="10">
        <f>IF(D1646&gt;0,VLOOKUP(OPERAC[[#This Row],[COD CART]],[1]!MatrizCortoLargoCyl[#All],3,0),"")</f>
        <v/>
      </c>
      <c r="F1646" s="13" t="inlineStr">
        <is>
          <t>ET</t>
        </is>
      </c>
      <c r="G1646" s="6" t="n">
        <v>20</v>
      </c>
      <c r="H1646" s="6" t="n">
        <v>-222.77765</v>
      </c>
      <c r="I1646" s="7">
        <f>-H1646/G1646</f>
        <v/>
      </c>
      <c r="J1646" s="5" t="n"/>
      <c r="K1646" s="6" t="n"/>
      <c r="L1646" s="6" t="n"/>
      <c r="M1646" s="7">
        <f>IF(N1646=0,+L1646+H1646,0)</f>
        <v/>
      </c>
      <c r="N1646" s="7">
        <f>IF((+G1646-K1646)=0,0,+G1646-K1646)</f>
        <v/>
      </c>
      <c r="O1646" s="7">
        <f>IF(N1646=0,0,(L1646+H1646)/-N1646)</f>
        <v/>
      </c>
      <c r="P1646" s="7">
        <f>VLOOKUP(OPERAC[[#This Row],[especie]],[1]!ESPECIES[#All],6,0)</f>
        <v/>
      </c>
      <c r="Q1646" s="7">
        <f>IF(N1646&lt;&gt;0,P1646*N1646,0)</f>
        <v/>
      </c>
      <c r="R1646" s="8">
        <f>IF(Q1646&lt;&gt;0,Q1646+H1646+L1646,0)</f>
        <v/>
      </c>
      <c r="S1646" s="9">
        <f>VLOOKUP(OPERAC[[#This Row],[especie]],[1]!ESPECIES[#Data],9,FALSE)</f>
        <v/>
      </c>
    </row>
    <row r="1647">
      <c r="A1647" s="4" t="n">
        <v>6628</v>
      </c>
      <c r="B1647" s="5" t="n">
        <v>44536</v>
      </c>
      <c r="C1647" s="13" t="inlineStr">
        <is>
          <t>VTA</t>
        </is>
      </c>
      <c r="D1647" s="13" t="n">
        <v>43</v>
      </c>
      <c r="E1647" s="10">
        <f>IF(D1647&gt;0,VLOOKUP(OPERAC[[#This Row],[COD CART]],[1]!MatrizCortoLargoCyl[#All],3,0),"")</f>
        <v/>
      </c>
      <c r="F1647" s="13" t="inlineStr">
        <is>
          <t>XSPA/CYL-PUT/1,50/20-01-23</t>
        </is>
      </c>
      <c r="G1647" s="6" t="n">
        <v>500</v>
      </c>
      <c r="H1647" s="6">
        <f>-0.4462*OPERAC[[#This Row],[cantidad]]</f>
        <v/>
      </c>
      <c r="I1647" s="7">
        <f>-H1647/G1647</f>
        <v/>
      </c>
      <c r="J1647" s="11" t="n">
        <v>44697</v>
      </c>
      <c r="K1647" s="6" t="n">
        <v>500</v>
      </c>
      <c r="L1647" s="6" t="n">
        <v>-51.58</v>
      </c>
      <c r="M1647" s="7">
        <f>IF(N1647=0,+L1647+H1647,0)</f>
        <v/>
      </c>
      <c r="N1647" s="7">
        <f>IF((+G1647-K1647)=0,0,+G1647-K1647)</f>
        <v/>
      </c>
      <c r="O1647" s="7">
        <f>IF(N1647=0,0,(L1647+H1647)/-N1647)</f>
        <v/>
      </c>
      <c r="P1647" s="7">
        <f>VLOOKUP(OPERAC[[#This Row],[especie]],[1]!ESPECIES[#All],6,0)</f>
        <v/>
      </c>
      <c r="Q1647" s="7">
        <f>IF(N1647&lt;&gt;0,P1647*N1647,0)</f>
        <v/>
      </c>
      <c r="R1647" s="8">
        <f>IF(Q1647&lt;&gt;0,Q1647+H1647+L1647,0)</f>
        <v/>
      </c>
      <c r="S1647" s="9">
        <f>VLOOKUP(OPERAC[[#This Row],[especie]],[1]!ESPECIES[#Data],9,FALSE)</f>
        <v/>
      </c>
    </row>
    <row r="1648">
      <c r="A1648" s="4" t="n">
        <v>7895</v>
      </c>
      <c r="B1648" s="5" t="n">
        <v>44536</v>
      </c>
      <c r="C1648" s="13" t="inlineStr">
        <is>
          <t>VTA</t>
        </is>
      </c>
      <c r="D1648" s="13" t="n">
        <v>43</v>
      </c>
      <c r="E1648" s="10">
        <f>IF(D1648&gt;0,VLOOKUP(OPERAC[[#This Row],[COD CART]],[1]!MatrizCortoLargoCyl[#All],3,0),"")</f>
        <v/>
      </c>
      <c r="F1648" s="13" t="inlineStr">
        <is>
          <t>XSPA/CYL-PUT/1,50/20-01-23</t>
        </is>
      </c>
      <c r="G1648" s="6" t="n">
        <v>500</v>
      </c>
      <c r="H1648" s="6">
        <f>-0.4462*OPERAC[[#This Row],[cantidad]]</f>
        <v/>
      </c>
      <c r="I1648" s="7">
        <f>-H1648/G1648</f>
        <v/>
      </c>
      <c r="J1648" s="11" t="n">
        <v>44712</v>
      </c>
      <c r="K1648" s="6" t="n">
        <v>500</v>
      </c>
      <c r="L1648" s="6" t="n">
        <v>297.76</v>
      </c>
      <c r="M1648" s="7">
        <f>IF(N1648=0,+L1648+H1648,0)</f>
        <v/>
      </c>
      <c r="N1648" s="7">
        <f>IF((+G1648-K1648)=0,0,+G1648-K1648)</f>
        <v/>
      </c>
      <c r="O1648" s="7">
        <f>IF(N1648=0,0,(L1648+H1648)/-N1648)</f>
        <v/>
      </c>
      <c r="P1648" s="7">
        <f>VLOOKUP(OPERAC[[#This Row],[especie]],[1]!ESPECIES[#All],6,0)</f>
        <v/>
      </c>
      <c r="Q1648" s="7">
        <f>IF(N1648&lt;&gt;0,P1648*N1648,0)</f>
        <v/>
      </c>
      <c r="R1648" s="8">
        <f>IF(Q1648&lt;&gt;0,Q1648+H1648+L1648,0)</f>
        <v/>
      </c>
      <c r="S1648" s="9">
        <f>VLOOKUP(OPERAC[[#This Row],[especie]],[1]!ESPECIES[#Data],9,FALSE)</f>
        <v/>
      </c>
    </row>
    <row r="1649">
      <c r="A1649" s="4" t="n">
        <v>13253</v>
      </c>
      <c r="B1649" s="5" t="n">
        <v>44544</v>
      </c>
      <c r="C1649" s="13" t="inlineStr">
        <is>
          <t>VTA</t>
        </is>
      </c>
      <c r="D1649" s="13" t="n">
        <v>41</v>
      </c>
      <c r="E1649" s="10">
        <f>IF(D1649&gt;0,VLOOKUP(OPERAC[[#This Row],[COD CART]],[1]!MatrizCortoLargoCyl[#All],3,0),"")</f>
        <v/>
      </c>
      <c r="F1649" s="13" t="inlineStr">
        <is>
          <t>NRZ</t>
        </is>
      </c>
      <c r="G1649" s="6" t="n">
        <v>20</v>
      </c>
      <c r="H1649" s="6" t="n">
        <v>-223.526</v>
      </c>
      <c r="I1649" s="7">
        <f>-H1649/G1649</f>
        <v/>
      </c>
      <c r="J1649" s="11" t="n"/>
      <c r="K1649" s="6" t="n"/>
      <c r="L1649" s="6" t="n"/>
      <c r="M1649" s="7">
        <f>IF(N1649=0,+L1649+H1649,0)</f>
        <v/>
      </c>
      <c r="N1649" s="7">
        <f>IF((+G1649-K1649)=0,0,+G1649-K1649)</f>
        <v/>
      </c>
      <c r="O1649" s="7">
        <f>IF(N1649=0,0,(L1649+H1649)/-N1649)</f>
        <v/>
      </c>
      <c r="P1649" s="7">
        <f>VLOOKUP(OPERAC[[#This Row],[especie]],[1]!ESPECIES[#All],6,0)</f>
        <v/>
      </c>
      <c r="Q1649" s="7">
        <f>IF(N1649&lt;&gt;0,P1649*N1649,0)</f>
        <v/>
      </c>
      <c r="R1649" s="8">
        <f>IF(Q1649&lt;&gt;0,Q1649+H1649+L1649,0)</f>
        <v/>
      </c>
      <c r="S1649" s="9">
        <f>VLOOKUP(OPERAC[[#This Row],[especie]],[1]!ESPECIES[#Data],9,FALSE)</f>
        <v/>
      </c>
    </row>
    <row r="1650">
      <c r="A1650" s="4" t="n">
        <v>7925</v>
      </c>
      <c r="B1650" s="5" t="n">
        <v>44466</v>
      </c>
      <c r="C1650" s="13" t="inlineStr">
        <is>
          <t>VTA</t>
        </is>
      </c>
      <c r="D1650" s="13" t="n">
        <v>43</v>
      </c>
      <c r="E1650" s="10">
        <f>IF(D1650&gt;0,VLOOKUP(OPERAC[[#This Row],[COD CART]],[1]!MatrizCortoLargoCyl[#All],3,0),"")</f>
        <v/>
      </c>
      <c r="F1650" s="13" t="inlineStr">
        <is>
          <t>SOLO/CYL-PUT/4,00/18-03-22</t>
        </is>
      </c>
      <c r="G1650" s="6" t="n">
        <v>100</v>
      </c>
      <c r="H1650" s="6">
        <f>-297.41727+0.32*OPERAC[[#This Row],[cantidad]]+0.387*OPERAC[[#This Row],[cantidad]]</f>
        <v/>
      </c>
      <c r="I1650" s="7">
        <f>-H1650/G1650</f>
        <v/>
      </c>
      <c r="J1650" s="11" t="n">
        <v>44624</v>
      </c>
      <c r="K1650" s="6" t="n">
        <v>100</v>
      </c>
      <c r="L1650" s="6" t="n">
        <v>-50.99</v>
      </c>
      <c r="M1650" s="7">
        <f>IF(N1650=0,+L1650+H1650,0)</f>
        <v/>
      </c>
      <c r="N1650" s="7">
        <f>IF((+G1650-K1650)=0,0,+G1650-K1650)</f>
        <v/>
      </c>
      <c r="O1650" s="7">
        <f>IF(N1650=0,0,(L1650+H1650)/-N1650)</f>
        <v/>
      </c>
      <c r="P1650" s="7">
        <f>VLOOKUP(OPERAC[[#This Row],[especie]],[1]!ESPECIES[#All],6,0)</f>
        <v/>
      </c>
      <c r="Q1650" s="7">
        <f>IF(N1650&lt;&gt;0,P1650*N1650,0)</f>
        <v/>
      </c>
      <c r="R1650" s="8">
        <f>IF(Q1650&lt;&gt;0,Q1650+H1650+L1650,0)</f>
        <v/>
      </c>
      <c r="S1650" s="9">
        <f>VLOOKUP(OPERAC[[#This Row],[especie]],[1]!ESPECIES[#Data],9,FALSE)</f>
        <v/>
      </c>
    </row>
    <row r="1651">
      <c r="A1651" s="4" t="n">
        <v>12611</v>
      </c>
      <c r="B1651" s="5" t="n">
        <v>44466</v>
      </c>
      <c r="C1651" s="13" t="inlineStr">
        <is>
          <t>VTA</t>
        </is>
      </c>
      <c r="D1651" s="13" t="n">
        <v>43</v>
      </c>
      <c r="E1651" s="10">
        <f>IF(D1651&gt;0,VLOOKUP(OPERAC[[#This Row],[COD CART]],[1]!MatrizCortoLargoCyl[#All],3,0),"")</f>
        <v/>
      </c>
      <c r="F1651" s="13" t="inlineStr">
        <is>
          <t>SOLO/CYL-PUT/4,00/18-03-22</t>
        </is>
      </c>
      <c r="G1651" s="6" t="n">
        <v>100</v>
      </c>
      <c r="H1651" s="6">
        <f>-297.41727+0.32*OPERAC[[#This Row],[cantidad]]+0.387*OPERAC[[#This Row],[cantidad]]</f>
        <v/>
      </c>
      <c r="I1651" s="7">
        <f>-H1651/G1651</f>
        <v/>
      </c>
      <c r="J1651" s="11" t="n">
        <v>44564</v>
      </c>
      <c r="K1651" s="6" t="n">
        <v>100</v>
      </c>
      <c r="L1651" s="6" t="n">
        <v>62.546</v>
      </c>
      <c r="M1651" s="7">
        <f>IF(N1651=0,+L1651+H1651,0)</f>
        <v/>
      </c>
      <c r="N1651" s="7">
        <f>IF((+G1651-K1651)=0,0,+G1651-K1651)</f>
        <v/>
      </c>
      <c r="O1651" s="7">
        <f>IF(N1651=0,0,(L1651+H1651)/-N1651)</f>
        <v/>
      </c>
      <c r="P1651" s="7">
        <f>VLOOKUP(OPERAC[[#This Row],[especie]],[1]!ESPECIES[#All],6,0)</f>
        <v/>
      </c>
      <c r="Q1651" s="7">
        <f>IF(N1651&lt;&gt;0,P1651*N1651,0)</f>
        <v/>
      </c>
      <c r="R1651" s="8">
        <f>IF(Q1651&lt;&gt;0,Q1651+H1651+L1651,0)</f>
        <v/>
      </c>
      <c r="S1651" s="9">
        <f>VLOOKUP(OPERAC[[#This Row],[especie]],[1]!ESPECIES[#Data],9,FALSE)</f>
        <v/>
      </c>
    </row>
    <row r="1652">
      <c r="A1652" s="4" t="n">
        <v>19897</v>
      </c>
      <c r="B1652" s="5" t="n">
        <v>44466</v>
      </c>
      <c r="C1652" s="13" t="inlineStr">
        <is>
          <t>VTA</t>
        </is>
      </c>
      <c r="D1652" s="13" t="n">
        <v>43</v>
      </c>
      <c r="E1652" s="10">
        <f>IF(D1652&gt;0,VLOOKUP(OPERAC[[#This Row],[COD CART]],[1]!MatrizCortoLargoCyl[#All],3,0),"")</f>
        <v/>
      </c>
      <c r="F1652" s="13" t="inlineStr">
        <is>
          <t>SOLO/CYL-PUT/4,00/18-03-22</t>
        </is>
      </c>
      <c r="G1652" s="6" t="n">
        <v>100</v>
      </c>
      <c r="H1652" s="6">
        <f>-297.41727+0.32*OPERAC[[#This Row],[cantidad]]+0.387*OPERAC[[#This Row],[cantidad]]</f>
        <v/>
      </c>
      <c r="I1652" s="7">
        <f>-H1652/G1652</f>
        <v/>
      </c>
      <c r="J1652" s="11" t="n">
        <v>44614</v>
      </c>
      <c r="K1652" s="6" t="n">
        <v>100</v>
      </c>
      <c r="L1652" s="6" t="n">
        <v>-22.97</v>
      </c>
      <c r="M1652" s="7">
        <f>IF(N1652=0,+L1652+H1652,0)</f>
        <v/>
      </c>
      <c r="N1652" s="7">
        <f>IF((+G1652-K1652)=0,0,+G1652-K1652)</f>
        <v/>
      </c>
      <c r="O1652" s="7">
        <f>IF(N1652=0,0,(L1652+H1652)/-N1652)</f>
        <v/>
      </c>
      <c r="P1652" s="7">
        <f>VLOOKUP(OPERAC[[#This Row],[especie]],[1]!ESPECIES[#All],6,0)</f>
        <v/>
      </c>
      <c r="Q1652" s="7">
        <f>IF(N1652&lt;&gt;0,P1652*N1652,0)</f>
        <v/>
      </c>
      <c r="R1652" s="8">
        <f>IF(Q1652&lt;&gt;0,Q1652+H1652+L1652,0)</f>
        <v/>
      </c>
      <c r="S1652" s="9">
        <f>VLOOKUP(OPERAC[[#This Row],[especie]],[1]!ESPECIES[#Data],9,FALSE)</f>
        <v/>
      </c>
    </row>
    <row r="1653">
      <c r="A1653" s="4" t="n">
        <v>18662</v>
      </c>
      <c r="B1653" s="5" t="n">
        <v>44166</v>
      </c>
      <c r="C1653" s="13" t="inlineStr">
        <is>
          <t>VTA</t>
        </is>
      </c>
      <c r="D1653" s="13" t="n">
        <v>41</v>
      </c>
      <c r="E1653" s="10">
        <f>IF(D1653&gt;0,VLOOKUP(OPERAC[[#This Row],[COD CART]],[1]!MatrizCortoLargoCyl[#All],3,0),"")</f>
        <v/>
      </c>
      <c r="F1653" s="13" t="inlineStr">
        <is>
          <t>GMBL</t>
        </is>
      </c>
      <c r="G1653" s="6" t="n">
        <v>50</v>
      </c>
      <c r="H1653" s="6" t="n">
        <v>-227</v>
      </c>
      <c r="I1653" s="7">
        <f>-H1653/G1653</f>
        <v/>
      </c>
      <c r="J1653" s="11" t="n"/>
      <c r="K1653" s="6" t="n"/>
      <c r="L1653" s="6" t="n"/>
      <c r="M1653" s="7">
        <f>IF(N1653=0,+L1653+H1653,0)</f>
        <v/>
      </c>
      <c r="N1653" s="7">
        <f>IF((+G1653-K1653)=0,0,+G1653-K1653)</f>
        <v/>
      </c>
      <c r="O1653" s="7">
        <f>IF(N1653=0,0,(L1653+H1653)/-N1653)</f>
        <v/>
      </c>
      <c r="P1653" s="7">
        <f>VLOOKUP(OPERAC[[#This Row],[especie]],[1]!ESPECIES[#All],6,0)</f>
        <v/>
      </c>
      <c r="Q1653" s="7">
        <f>IF(N1653&lt;&gt;0,P1653*N1653,0)</f>
        <v/>
      </c>
      <c r="R1653" s="8">
        <f>IF(Q1653&lt;&gt;0,Q1653+H1653+L1653,0)</f>
        <v/>
      </c>
      <c r="S1653" s="9">
        <f>VLOOKUP(OPERAC[[#This Row],[especie]],[1]!ESPECIES[#Data],9,FALSE)</f>
        <v/>
      </c>
    </row>
    <row r="1654">
      <c r="A1654" s="4" t="n">
        <v>13253</v>
      </c>
      <c r="B1654" s="5" t="n">
        <v>44244</v>
      </c>
      <c r="C1654" s="13" t="inlineStr">
        <is>
          <t>VTA</t>
        </is>
      </c>
      <c r="D1654" s="13" t="n">
        <v>41</v>
      </c>
      <c r="E1654" s="10">
        <f>IF(D1654&gt;0,VLOOKUP(OPERAC[[#This Row],[COD CART]],[1]!MatrizCortoLargoCyl[#All],3,0),"")</f>
        <v/>
      </c>
      <c r="F1654" s="13" t="inlineStr">
        <is>
          <t>HEOFF</t>
        </is>
      </c>
      <c r="G1654" s="6" t="n">
        <v>100</v>
      </c>
      <c r="H1654" s="6" t="n">
        <v>-227.8</v>
      </c>
      <c r="I1654" s="7">
        <f>-H1654/G1654</f>
        <v/>
      </c>
      <c r="J1654" s="11" t="n"/>
      <c r="K1654" s="6" t="n"/>
      <c r="L1654" s="6" t="n"/>
      <c r="M1654" s="7">
        <f>IF(N1654=0,+L1654+H1654,0)</f>
        <v/>
      </c>
      <c r="N1654" s="7">
        <f>IF((+G1654-K1654)=0,0,+G1654-K1654)</f>
        <v/>
      </c>
      <c r="O1654" s="7">
        <f>IF(N1654=0,0,(L1654+H1654)/-N1654)</f>
        <v/>
      </c>
      <c r="P1654" s="7">
        <f>VLOOKUP(OPERAC[[#This Row],[especie]],[1]!ESPECIES[#All],6,0)</f>
        <v/>
      </c>
      <c r="Q1654" s="7">
        <f>IF(N1654&lt;&gt;0,P1654*N1654,0)</f>
        <v/>
      </c>
      <c r="R1654" s="8">
        <f>IF(Q1654&lt;&gt;0,Q1654+H1654+L1654,0)</f>
        <v/>
      </c>
      <c r="S1654" s="9">
        <f>VLOOKUP(OPERAC[[#This Row],[especie]],[1]!ESPECIES[#Data],9,FALSE)</f>
        <v/>
      </c>
    </row>
    <row r="1655">
      <c r="A1655" s="4" t="n">
        <v>12630</v>
      </c>
      <c r="B1655" s="5" t="n">
        <v>44586</v>
      </c>
      <c r="C1655" s="13" t="inlineStr">
        <is>
          <t>VTA</t>
        </is>
      </c>
      <c r="D1655" s="13" t="n">
        <v>41</v>
      </c>
      <c r="E1655" s="10">
        <f>IF(D1655&gt;0,VLOOKUP(OPERAC[[#This Row],[COD CART]],[1]!MatrizCortoLargoCyl[#All],3,0),"")</f>
        <v/>
      </c>
      <c r="F1655" s="13" t="inlineStr">
        <is>
          <t>GBTC</t>
        </is>
      </c>
      <c r="G1655" s="6" t="n">
        <v>9</v>
      </c>
      <c r="H1655" s="6" t="n">
        <v>-228.918</v>
      </c>
      <c r="I1655" s="7">
        <f>-H1655/G1655</f>
        <v/>
      </c>
      <c r="J1655" s="11" t="n"/>
      <c r="K1655" s="6" t="n"/>
      <c r="L1655" s="6" t="n"/>
      <c r="M1655" s="7">
        <f>IF(N1655=0,+L1655+H1655,0)</f>
        <v/>
      </c>
      <c r="N1655" s="7">
        <f>IF((+G1655-K1655)=0,0,+G1655-K1655)</f>
        <v/>
      </c>
      <c r="O1655" s="7">
        <f>IF(N1655=0,0,(L1655+H1655)/-N1655)</f>
        <v/>
      </c>
      <c r="P1655" s="7">
        <f>VLOOKUP(OPERAC[[#This Row],[especie]],[1]!ESPECIES[#All],6,0)</f>
        <v/>
      </c>
      <c r="Q1655" s="7">
        <f>IF(N1655&lt;&gt;0,P1655*N1655,0)</f>
        <v/>
      </c>
      <c r="R1655" s="8">
        <f>IF(Q1655&lt;&gt;0,Q1655+H1655+L1655,0)</f>
        <v/>
      </c>
      <c r="S1655" s="9">
        <f>VLOOKUP(OPERAC[[#This Row],[especie]],[1]!ESPECIES[#Data],9,FALSE)</f>
        <v/>
      </c>
    </row>
    <row r="1656">
      <c r="A1656" s="4" t="n">
        <v>7879</v>
      </c>
      <c r="B1656" s="5" t="n">
        <v>44662</v>
      </c>
      <c r="C1656" s="13" t="inlineStr">
        <is>
          <t>VTA</t>
        </is>
      </c>
      <c r="D1656" s="13" t="n">
        <v>41</v>
      </c>
      <c r="E1656" s="10">
        <f>IF(D1656&gt;0,VLOOKUP(OPERAC[[#This Row],[COD CART]],[1]!MatrizCortoLargoCyl[#All],3,0),"")</f>
        <v/>
      </c>
      <c r="F1656" s="13" t="inlineStr">
        <is>
          <t>ETHE</t>
        </is>
      </c>
      <c r="G1656" s="6" t="n">
        <v>10</v>
      </c>
      <c r="H1656" s="6" t="n">
        <v>-229.413</v>
      </c>
      <c r="I1656" s="7">
        <f>-H1656/G1656</f>
        <v/>
      </c>
      <c r="J1656" s="11" t="n"/>
      <c r="K1656" s="6" t="n"/>
      <c r="L1656" s="6" t="n"/>
      <c r="M1656" s="7">
        <f>IF(N1656=0,+L1656+H1656,0)</f>
        <v/>
      </c>
      <c r="N1656" s="7">
        <f>IF((+G1656-K1656)=0,0,+G1656-K1656)</f>
        <v/>
      </c>
      <c r="O1656" s="7" t="n">
        <v>31.09</v>
      </c>
      <c r="P1656" s="7">
        <f>VLOOKUP(OPERAC[[#This Row],[especie]],[1]!ESPECIES[#All],6,0)</f>
        <v/>
      </c>
      <c r="Q1656" s="7">
        <f>IF(N1656&lt;&gt;0,P1656*N1656,0)</f>
        <v/>
      </c>
      <c r="R1656" s="8">
        <f>IF(Q1656&lt;&gt;0,Q1656+H1656+L1656,0)</f>
        <v/>
      </c>
      <c r="S1656" s="9">
        <f>VLOOKUP(OPERAC[[#This Row],[especie]],[1]!ESPECIES[#Data],9,FALSE)</f>
        <v/>
      </c>
    </row>
    <row r="1657">
      <c r="A1657" s="4" t="n">
        <v>3787</v>
      </c>
      <c r="B1657" s="5" t="n">
        <v>44649</v>
      </c>
      <c r="C1657" s="13" t="inlineStr">
        <is>
          <t>VTA</t>
        </is>
      </c>
      <c r="D1657" s="13" t="n">
        <v>42</v>
      </c>
      <c r="E1657" s="10">
        <f>IF(D1657&gt;0,VLOOKUP(OPERAC[[#This Row],[COD CART]],[1]!MatrizCortoLargoCyl[#All],3,0),"")</f>
        <v/>
      </c>
      <c r="F1657" s="13" t="inlineStr">
        <is>
          <t>FB</t>
        </is>
      </c>
      <c r="G1657" s="6" t="n">
        <v>1</v>
      </c>
      <c r="H1657" s="6" t="n">
        <v>-229.9994</v>
      </c>
      <c r="I1657" s="7">
        <f>-H1657/G1657</f>
        <v/>
      </c>
      <c r="J1657" s="11" t="n">
        <v>44671</v>
      </c>
      <c r="K1657" s="6">
        <f>+OPERAC[[#This Row],[cantidad]]</f>
        <v/>
      </c>
      <c r="L1657" s="6">
        <f>+OPERAC[[#This Row],[cantidad venta]]*213.173</f>
        <v/>
      </c>
      <c r="M1657" s="7">
        <f>IF(N1657=0,+L1657+H1657,0)</f>
        <v/>
      </c>
      <c r="N1657" s="7">
        <f>IF((+G1657-K1657)=0,0,+G1657-K1657)</f>
        <v/>
      </c>
      <c r="O1657" s="7">
        <f>IF(N1657=0,0,(L1657+H1657)/-N1657)</f>
        <v/>
      </c>
      <c r="P1657" s="7">
        <f>VLOOKUP(OPERAC[[#This Row],[especie]],[1]!ESPECIES[#All],6,0)</f>
        <v/>
      </c>
      <c r="Q1657" s="7">
        <f>IF(N1657&lt;&gt;0,P1657*N1657,0)</f>
        <v/>
      </c>
      <c r="R1657" s="8">
        <f>IF(Q1657&lt;&gt;0,Q1657+H1657+L1657,0)</f>
        <v/>
      </c>
      <c r="S1657" s="9">
        <f>VLOOKUP(OPERAC[[#This Row],[especie]],[1]!ESPECIES[#Data],9,FALSE)</f>
        <v/>
      </c>
    </row>
    <row r="1658">
      <c r="A1658" s="4" t="n">
        <v>8066</v>
      </c>
      <c r="B1658" s="5" t="n">
        <v>44649</v>
      </c>
      <c r="C1658" s="13" t="inlineStr">
        <is>
          <t>VTA</t>
        </is>
      </c>
      <c r="D1658" s="13" t="n">
        <v>42</v>
      </c>
      <c r="E1658" s="10">
        <f>IF(D1658&gt;0,VLOOKUP(OPERAC[[#This Row],[COD CART]],[1]!MatrizCortoLargoCyl[#All],3,0),"")</f>
        <v/>
      </c>
      <c r="F1658" s="13" t="inlineStr">
        <is>
          <t>FB</t>
        </is>
      </c>
      <c r="G1658" s="6" t="n">
        <v>1</v>
      </c>
      <c r="H1658" s="6" t="n">
        <v>-229.9994</v>
      </c>
      <c r="I1658" s="7">
        <f>-H1658/G1658</f>
        <v/>
      </c>
      <c r="J1658" s="11" t="n">
        <v>44671</v>
      </c>
      <c r="K1658" s="6">
        <f>+OPERAC[[#This Row],[cantidad]]</f>
        <v/>
      </c>
      <c r="L1658" s="6">
        <f>+OPERAC[[#This Row],[cantidad venta]]*213.173</f>
        <v/>
      </c>
      <c r="M1658" s="7">
        <f>IF(N1658=0,+L1658+H1658,0)</f>
        <v/>
      </c>
      <c r="N1658" s="7">
        <f>IF((+G1658-K1658)=0,0,+G1658-K1658)</f>
        <v/>
      </c>
      <c r="O1658" s="7">
        <f>IF(N1658=0,0,(L1658+H1658)/-N1658)</f>
        <v/>
      </c>
      <c r="P1658" s="7">
        <f>VLOOKUP(OPERAC[[#This Row],[especie]],[1]!ESPECIES[#All],6,0)</f>
        <v/>
      </c>
      <c r="Q1658" s="7">
        <f>IF(N1658&lt;&gt;0,P1658*N1658,0)</f>
        <v/>
      </c>
      <c r="R1658" s="8">
        <f>IF(Q1658&lt;&gt;0,Q1658+H1658+L1658,0)</f>
        <v/>
      </c>
      <c r="S1658" s="9">
        <f>VLOOKUP(OPERAC[[#This Row],[especie]],[1]!ESPECIES[#Data],9,FALSE)</f>
        <v/>
      </c>
    </row>
    <row r="1659">
      <c r="A1659" s="4" t="n">
        <v>13230</v>
      </c>
      <c r="B1659" s="5" t="n">
        <v>44649</v>
      </c>
      <c r="C1659" s="13" t="inlineStr">
        <is>
          <t>VTA</t>
        </is>
      </c>
      <c r="D1659" s="13" t="n">
        <v>42</v>
      </c>
      <c r="E1659" s="10">
        <f>IF(D1659&gt;0,VLOOKUP(OPERAC[[#This Row],[COD CART]],[1]!MatrizCortoLargoCyl[#All],3,0),"")</f>
        <v/>
      </c>
      <c r="F1659" s="13" t="inlineStr">
        <is>
          <t>FB</t>
        </is>
      </c>
      <c r="G1659" s="6" t="n">
        <v>1</v>
      </c>
      <c r="H1659" s="6" t="n">
        <v>-229.9994</v>
      </c>
      <c r="I1659" s="7">
        <f>-H1659/G1659</f>
        <v/>
      </c>
      <c r="J1659" s="11" t="n">
        <v>44671</v>
      </c>
      <c r="K1659" s="6">
        <f>+OPERAC[[#This Row],[cantidad]]</f>
        <v/>
      </c>
      <c r="L1659" s="6">
        <f>+OPERAC[[#This Row],[cantidad venta]]*213.173</f>
        <v/>
      </c>
      <c r="M1659" s="7">
        <f>IF(N1659=0,+L1659+H1659,0)</f>
        <v/>
      </c>
      <c r="N1659" s="7">
        <f>IF((+G1659-K1659)=0,0,+G1659-K1659)</f>
        <v/>
      </c>
      <c r="O1659" s="7">
        <f>IF(N1659=0,0,(L1659+H1659)/-N1659)</f>
        <v/>
      </c>
      <c r="P1659" s="7">
        <f>VLOOKUP(OPERAC[[#This Row],[especie]],[1]!ESPECIES[#All],6,0)</f>
        <v/>
      </c>
      <c r="Q1659" s="7">
        <f>IF(N1659&lt;&gt;0,P1659*N1659,0)</f>
        <v/>
      </c>
      <c r="R1659" s="8">
        <f>IF(Q1659&lt;&gt;0,Q1659+H1659+L1659,0)</f>
        <v/>
      </c>
      <c r="S1659" s="9">
        <f>VLOOKUP(OPERAC[[#This Row],[especie]],[1]!ESPECIES[#Data],9,FALSE)</f>
        <v/>
      </c>
    </row>
    <row r="1660">
      <c r="A1660" s="4" t="n">
        <v>20234</v>
      </c>
      <c r="B1660" s="5" t="n">
        <v>44649</v>
      </c>
      <c r="C1660" s="13" t="inlineStr">
        <is>
          <t>VTA</t>
        </is>
      </c>
      <c r="D1660" s="13" t="n">
        <v>42</v>
      </c>
      <c r="E1660" s="10">
        <f>IF(D1660&gt;0,VLOOKUP(OPERAC[[#This Row],[COD CART]],[1]!MatrizCortoLargoCyl[#All],3,0),"")</f>
        <v/>
      </c>
      <c r="F1660" s="13" t="inlineStr">
        <is>
          <t>FB</t>
        </is>
      </c>
      <c r="G1660" s="6" t="n">
        <v>1</v>
      </c>
      <c r="H1660" s="6" t="n">
        <v>-229.9994</v>
      </c>
      <c r="I1660" s="7">
        <f>-H1660/G1660</f>
        <v/>
      </c>
      <c r="J1660" s="11" t="n">
        <v>44671</v>
      </c>
      <c r="K1660" s="6">
        <f>+OPERAC[[#This Row],[cantidad]]</f>
        <v/>
      </c>
      <c r="L1660" s="6">
        <f>+OPERAC[[#This Row],[cantidad venta]]*213.173</f>
        <v/>
      </c>
      <c r="M1660" s="7">
        <f>IF(N1660=0,+L1660+H1660,0)</f>
        <v/>
      </c>
      <c r="N1660" s="7">
        <f>IF((+G1660-K1660)=0,0,+G1660-K1660)</f>
        <v/>
      </c>
      <c r="O1660" s="7">
        <f>IF(N1660=0,0,(L1660+H1660)/-N1660)</f>
        <v/>
      </c>
      <c r="P1660" s="7">
        <f>VLOOKUP(OPERAC[[#This Row],[especie]],[1]!ESPECIES[#All],6,0)</f>
        <v/>
      </c>
      <c r="Q1660" s="7">
        <f>IF(N1660&lt;&gt;0,P1660*N1660,0)</f>
        <v/>
      </c>
      <c r="R1660" s="8">
        <f>IF(Q1660&lt;&gt;0,Q1660+H1660+L1660,0)</f>
        <v/>
      </c>
      <c r="S1660" s="9">
        <f>VLOOKUP(OPERAC[[#This Row],[especie]],[1]!ESPECIES[#Data],9,FALSE)</f>
        <v/>
      </c>
    </row>
    <row r="1661">
      <c r="A1661" s="4" t="n">
        <v>16824</v>
      </c>
      <c r="B1661" s="5" t="n">
        <v>44616</v>
      </c>
      <c r="C1661" s="13" t="inlineStr">
        <is>
          <t>VTA</t>
        </is>
      </c>
      <c r="D1661" s="13" t="n">
        <v>41</v>
      </c>
      <c r="E1661" s="10">
        <f>IF(D1661&gt;0,VLOOKUP(OPERAC[[#This Row],[COD CART]],[1]!MatrizCortoLargoCyl[#All],3,0),"")</f>
        <v/>
      </c>
      <c r="F1661" s="13" t="inlineStr">
        <is>
          <t>SLV</t>
        </is>
      </c>
      <c r="G1661" s="6" t="n">
        <v>10</v>
      </c>
      <c r="H1661" s="6" t="n">
        <v>-231.0256</v>
      </c>
      <c r="I1661" s="7">
        <f>-H1661/G1661</f>
        <v/>
      </c>
      <c r="J1661" s="11" t="n"/>
      <c r="K1661" s="6" t="n"/>
      <c r="L1661" s="6" t="n"/>
      <c r="M1661" s="7">
        <f>IF(N1661=0,+L1661+H1661,0)</f>
        <v/>
      </c>
      <c r="N1661" s="7">
        <f>IF((+G1661-K1661)=0,0,+G1661-K1661)</f>
        <v/>
      </c>
      <c r="O1661" s="7">
        <f>IF(N1661=0,0,(L1661+H1661)/-N1661)</f>
        <v/>
      </c>
      <c r="P1661" s="7">
        <f>VLOOKUP(OPERAC[[#This Row],[especie]],[1]!ESPECIES[#All],6,0)</f>
        <v/>
      </c>
      <c r="Q1661" s="7">
        <f>IF(N1661&lt;&gt;0,P1661*N1661,0)</f>
        <v/>
      </c>
      <c r="R1661" s="8">
        <f>IF(Q1661&lt;&gt;0,Q1661+H1661+L1661,0)</f>
        <v/>
      </c>
      <c r="S1661" s="9">
        <f>VLOOKUP(OPERAC[[#This Row],[especie]],[1]!ESPECIES[#Data],9,FALSE)</f>
        <v/>
      </c>
    </row>
    <row r="1662">
      <c r="A1662" s="4" t="n">
        <v>18663</v>
      </c>
      <c r="B1662" s="5" t="n">
        <v>44685</v>
      </c>
      <c r="C1662" s="13" t="inlineStr">
        <is>
          <t>VTA</t>
        </is>
      </c>
      <c r="D1662" s="13" t="n">
        <v>41</v>
      </c>
      <c r="E1662" s="10">
        <f>IF(D1662&gt;0,VLOOKUP(OPERAC[[#This Row],[COD CART]],[1]!MatrizCortoLargoCyl[#All],3,0),"")</f>
        <v/>
      </c>
      <c r="F1662" s="13" t="inlineStr">
        <is>
          <t>NRZ</t>
        </is>
      </c>
      <c r="G1662" s="6" t="n">
        <v>20</v>
      </c>
      <c r="H1662" s="6" t="n">
        <v>-231.915</v>
      </c>
      <c r="I1662" s="7">
        <f>-H1662/G1662</f>
        <v/>
      </c>
      <c r="J1662" s="11" t="n"/>
      <c r="K1662" s="6" t="n"/>
      <c r="L1662" s="6" t="n"/>
      <c r="M1662" s="7">
        <f>IF(N1662=0,+L1662+H1662,0)</f>
        <v/>
      </c>
      <c r="N1662" s="7">
        <f>IF((+G1662-K1662)=0,0,+G1662-K1662)</f>
        <v/>
      </c>
      <c r="O1662" s="7">
        <f>IF(N1662=0,0,(L1662+H1662)/-N1662)</f>
        <v/>
      </c>
      <c r="P1662" s="7">
        <f>VLOOKUP(OPERAC[[#This Row],[especie]],[1]!ESPECIES[#All],6,0)</f>
        <v/>
      </c>
      <c r="Q1662" s="7">
        <f>IF(N1662&lt;&gt;0,P1662*N1662,0)</f>
        <v/>
      </c>
      <c r="R1662" s="8">
        <f>IF(Q1662&lt;&gt;0,Q1662+H1662+L1662,0)</f>
        <v/>
      </c>
      <c r="S1662" s="9">
        <f>VLOOKUP(OPERAC[[#This Row],[especie]],[1]!ESPECIES[#Data],9,FALSE)</f>
        <v/>
      </c>
    </row>
    <row r="1663">
      <c r="A1663" s="4" t="n">
        <v>19878</v>
      </c>
      <c r="B1663" s="5" t="n">
        <v>44650</v>
      </c>
      <c r="C1663" s="13" t="inlineStr">
        <is>
          <t>VTA</t>
        </is>
      </c>
      <c r="D1663" s="13" t="n">
        <v>42</v>
      </c>
      <c r="E1663" s="10">
        <f>IF(D1663&gt;0,VLOOKUP(OPERAC[[#This Row],[COD CART]],[1]!MatrizCortoLargoCyl[#All],3,0),"")</f>
        <v/>
      </c>
      <c r="F1663" s="13" t="inlineStr">
        <is>
          <t>FB</t>
        </is>
      </c>
      <c r="G1663" s="6" t="n">
        <v>1</v>
      </c>
      <c r="H1663" s="6" t="n">
        <v>-232.00102</v>
      </c>
      <c r="I1663" s="7">
        <f>-H1663/G1663</f>
        <v/>
      </c>
      <c r="J1663" s="11" t="n">
        <v>44671</v>
      </c>
      <c r="K1663" s="6">
        <f>+OPERAC[[#This Row],[cantidad]]</f>
        <v/>
      </c>
      <c r="L1663" s="6">
        <f>+OPERAC[[#This Row],[cantidad venta]]*213.173</f>
        <v/>
      </c>
      <c r="M1663" s="7">
        <f>IF(N1663=0,+L1663+H1663,0)</f>
        <v/>
      </c>
      <c r="N1663" s="7">
        <f>IF((+G1663-K1663)=0,0,+G1663-K1663)</f>
        <v/>
      </c>
      <c r="O1663" s="7">
        <f>IF(N1663=0,0,(L1663+H1663)/-N1663)</f>
        <v/>
      </c>
      <c r="P1663" s="7">
        <f>VLOOKUP(OPERAC[[#This Row],[especie]],[1]!ESPECIES[#All],6,0)</f>
        <v/>
      </c>
      <c r="Q1663" s="7">
        <f>IF(N1663&lt;&gt;0,P1663*N1663,0)</f>
        <v/>
      </c>
      <c r="R1663" s="8">
        <f>IF(Q1663&lt;&gt;0,Q1663+H1663+L1663,0)</f>
        <v/>
      </c>
      <c r="S1663" s="9">
        <f>VLOOKUP(OPERAC[[#This Row],[especie]],[1]!ESPECIES[#Data],9,FALSE)</f>
        <v/>
      </c>
    </row>
    <row r="1664">
      <c r="A1664" s="4" t="n">
        <v>11168</v>
      </c>
      <c r="B1664" s="5" t="n">
        <v>44650</v>
      </c>
      <c r="C1664" s="13" t="inlineStr">
        <is>
          <t>VTA</t>
        </is>
      </c>
      <c r="D1664" s="13" t="n">
        <v>42</v>
      </c>
      <c r="E1664" s="10">
        <f>IF(D1664&gt;0,VLOOKUP(OPERAC[[#This Row],[COD CART]],[1]!MatrizCortoLargoCyl[#All],3,0),"")</f>
        <v/>
      </c>
      <c r="F1664" s="13" t="inlineStr">
        <is>
          <t>FB</t>
        </is>
      </c>
      <c r="G1664" s="6" t="n">
        <v>1</v>
      </c>
      <c r="H1664" s="6" t="n">
        <v>-232.46216</v>
      </c>
      <c r="I1664" s="7">
        <f>-H1664/G1664</f>
        <v/>
      </c>
      <c r="J1664" s="11" t="n">
        <v>44671</v>
      </c>
      <c r="K1664" s="6">
        <f>+OPERAC[[#This Row],[cantidad]]</f>
        <v/>
      </c>
      <c r="L1664" s="6">
        <f>+OPERAC[[#This Row],[cantidad venta]]*213.173</f>
        <v/>
      </c>
      <c r="M1664" s="7">
        <f>IF(N1664=0,+L1664+H1664,0)</f>
        <v/>
      </c>
      <c r="N1664" s="7">
        <f>IF((+G1664-K1664)=0,0,+G1664-K1664)</f>
        <v/>
      </c>
      <c r="O1664" s="7">
        <f>IF(N1664=0,0,(L1664+H1664)/-N1664)</f>
        <v/>
      </c>
      <c r="P1664" s="7">
        <f>VLOOKUP(OPERAC[[#This Row],[especie]],[1]!ESPECIES[#All],6,0)</f>
        <v/>
      </c>
      <c r="Q1664" s="7">
        <f>IF(N1664&lt;&gt;0,P1664*N1664,0)</f>
        <v/>
      </c>
      <c r="R1664" s="8">
        <f>IF(Q1664&lt;&gt;0,Q1664+H1664+L1664,0)</f>
        <v/>
      </c>
      <c r="S1664" s="9">
        <f>VLOOKUP(OPERAC[[#This Row],[especie]],[1]!ESPECIES[#Data],9,FALSE)</f>
        <v/>
      </c>
    </row>
    <row r="1665">
      <c r="A1665" s="4" t="n">
        <v>12674</v>
      </c>
      <c r="B1665" s="5" t="n">
        <v>44650</v>
      </c>
      <c r="C1665" s="13" t="inlineStr">
        <is>
          <t>VTA</t>
        </is>
      </c>
      <c r="D1665" s="13" t="n">
        <v>42</v>
      </c>
      <c r="E1665" s="10">
        <f>IF(D1665&gt;0,VLOOKUP(OPERAC[[#This Row],[COD CART]],[1]!MatrizCortoLargoCyl[#All],3,0),"")</f>
        <v/>
      </c>
      <c r="F1665" s="13" t="inlineStr">
        <is>
          <t>FB</t>
        </is>
      </c>
      <c r="G1665" s="6" t="n">
        <v>1</v>
      </c>
      <c r="H1665" s="6" t="n">
        <v>-232.46216</v>
      </c>
      <c r="I1665" s="7">
        <f>-H1665/G1665</f>
        <v/>
      </c>
      <c r="J1665" s="11" t="n">
        <v>44671</v>
      </c>
      <c r="K1665" s="6">
        <f>+OPERAC[[#This Row],[cantidad]]</f>
        <v/>
      </c>
      <c r="L1665" s="6">
        <f>+OPERAC[[#This Row],[cantidad venta]]*213.173</f>
        <v/>
      </c>
      <c r="M1665" s="7">
        <f>IF(N1665=0,+L1665+H1665,0)</f>
        <v/>
      </c>
      <c r="N1665" s="7">
        <f>IF((+G1665-K1665)=0,0,+G1665-K1665)</f>
        <v/>
      </c>
      <c r="O1665" s="7">
        <f>IF(N1665=0,0,(L1665+H1665)/-N1665)</f>
        <v/>
      </c>
      <c r="P1665" s="7">
        <f>VLOOKUP(OPERAC[[#This Row],[especie]],[1]!ESPECIES[#All],6,0)</f>
        <v/>
      </c>
      <c r="Q1665" s="7">
        <f>IF(N1665&lt;&gt;0,P1665*N1665,0)</f>
        <v/>
      </c>
      <c r="R1665" s="8">
        <f>IF(Q1665&lt;&gt;0,Q1665+H1665+L1665,0)</f>
        <v/>
      </c>
      <c r="S1665" s="9">
        <f>VLOOKUP(OPERAC[[#This Row],[especie]],[1]!ESPECIES[#Data],9,FALSE)</f>
        <v/>
      </c>
    </row>
    <row r="1666">
      <c r="A1666" s="4" t="n">
        <v>13240</v>
      </c>
      <c r="B1666" s="5" t="n">
        <v>44650</v>
      </c>
      <c r="C1666" s="13" t="inlineStr">
        <is>
          <t>VTA</t>
        </is>
      </c>
      <c r="D1666" s="13" t="n">
        <v>42</v>
      </c>
      <c r="E1666" s="10">
        <f>IF(D1666&gt;0,VLOOKUP(OPERAC[[#This Row],[COD CART]],[1]!MatrizCortoLargoCyl[#All],3,0),"")</f>
        <v/>
      </c>
      <c r="F1666" s="13" t="inlineStr">
        <is>
          <t>FB</t>
        </is>
      </c>
      <c r="G1666" s="6" t="n">
        <v>1</v>
      </c>
      <c r="H1666" s="6" t="n">
        <v>-232.46216</v>
      </c>
      <c r="I1666" s="7">
        <f>-H1666/G1666</f>
        <v/>
      </c>
      <c r="J1666" s="11" t="n">
        <v>44671</v>
      </c>
      <c r="K1666" s="6">
        <f>+OPERAC[[#This Row],[cantidad]]</f>
        <v/>
      </c>
      <c r="L1666" s="6">
        <f>+OPERAC[[#This Row],[cantidad venta]]*213.173</f>
        <v/>
      </c>
      <c r="M1666" s="7">
        <f>IF(N1666=0,+L1666+H1666,0)</f>
        <v/>
      </c>
      <c r="N1666" s="7">
        <f>IF((+G1666-K1666)=0,0,+G1666-K1666)</f>
        <v/>
      </c>
      <c r="O1666" s="7">
        <f>IF(N1666=0,0,(L1666+H1666)/-N1666)</f>
        <v/>
      </c>
      <c r="P1666" s="7">
        <f>VLOOKUP(OPERAC[[#This Row],[especie]],[1]!ESPECIES[#All],6,0)</f>
        <v/>
      </c>
      <c r="Q1666" s="7">
        <f>IF(N1666&lt;&gt;0,P1666*N1666,0)</f>
        <v/>
      </c>
      <c r="R1666" s="8">
        <f>IF(Q1666&lt;&gt;0,Q1666+H1666+L1666,0)</f>
        <v/>
      </c>
      <c r="S1666" s="9">
        <f>VLOOKUP(OPERAC[[#This Row],[especie]],[1]!ESPECIES[#Data],9,FALSE)</f>
        <v/>
      </c>
    </row>
    <row r="1667">
      <c r="A1667" s="4" t="n">
        <v>16780</v>
      </c>
      <c r="B1667" s="5" t="n">
        <v>44650</v>
      </c>
      <c r="C1667" s="13" t="inlineStr">
        <is>
          <t>VTA</t>
        </is>
      </c>
      <c r="D1667" s="13" t="n">
        <v>42</v>
      </c>
      <c r="E1667" s="10">
        <f>IF(D1667&gt;0,VLOOKUP(OPERAC[[#This Row],[COD CART]],[1]!MatrizCortoLargoCyl[#All],3,0),"")</f>
        <v/>
      </c>
      <c r="F1667" s="13" t="inlineStr">
        <is>
          <t>FB</t>
        </is>
      </c>
      <c r="G1667" s="6" t="n">
        <v>1</v>
      </c>
      <c r="H1667" s="6" t="n">
        <v>-232.46216</v>
      </c>
      <c r="I1667" s="7">
        <f>-H1667/G1667</f>
        <v/>
      </c>
      <c r="J1667" s="11" t="n">
        <v>44671</v>
      </c>
      <c r="K1667" s="6">
        <f>+OPERAC[[#This Row],[cantidad]]</f>
        <v/>
      </c>
      <c r="L1667" s="6">
        <f>+OPERAC[[#This Row],[cantidad venta]]*213.173</f>
        <v/>
      </c>
      <c r="M1667" s="7">
        <f>IF(N1667=0,+L1667+H1667,0)</f>
        <v/>
      </c>
      <c r="N1667" s="7">
        <f>IF((+G1667-K1667)=0,0,+G1667-K1667)</f>
        <v/>
      </c>
      <c r="O1667" s="7">
        <f>IF(N1667=0,0,(L1667+H1667)/-N1667)</f>
        <v/>
      </c>
      <c r="P1667" s="7">
        <f>VLOOKUP(OPERAC[[#This Row],[especie]],[1]!ESPECIES[#All],6,0)</f>
        <v/>
      </c>
      <c r="Q1667" s="7">
        <f>IF(N1667&lt;&gt;0,P1667*N1667,0)</f>
        <v/>
      </c>
      <c r="R1667" s="8">
        <f>IF(Q1667&lt;&gt;0,Q1667+H1667+L1667,0)</f>
        <v/>
      </c>
      <c r="S1667" s="9">
        <f>VLOOKUP(OPERAC[[#This Row],[especie]],[1]!ESPECIES[#Data],9,FALSE)</f>
        <v/>
      </c>
    </row>
    <row r="1668">
      <c r="A1668" s="4" t="n">
        <v>7925</v>
      </c>
      <c r="B1668" s="5" t="n">
        <v>44649</v>
      </c>
      <c r="C1668" s="13" t="inlineStr">
        <is>
          <t>VTA</t>
        </is>
      </c>
      <c r="D1668" s="13" t="n">
        <v>42</v>
      </c>
      <c r="E1668" s="10">
        <f>IF(D1668&gt;0,VLOOKUP(OPERAC[[#This Row],[COD CART]],[1]!MatrizCortoLargoCyl[#All],3,0),"")</f>
        <v/>
      </c>
      <c r="F1668" s="13" t="inlineStr">
        <is>
          <t>FB</t>
        </is>
      </c>
      <c r="G1668" s="6" t="n">
        <v>1</v>
      </c>
      <c r="H1668" s="6" t="n">
        <v>-232.63644</v>
      </c>
      <c r="I1668" s="7">
        <f>-H1668/G1668</f>
        <v/>
      </c>
      <c r="J1668" s="11" t="n">
        <v>44671</v>
      </c>
      <c r="K1668" s="6">
        <f>+OPERAC[[#This Row],[cantidad]]</f>
        <v/>
      </c>
      <c r="L1668" s="6">
        <f>+OPERAC[[#This Row],[cantidad venta]]*213.173</f>
        <v/>
      </c>
      <c r="M1668" s="7">
        <f>IF(N1668=0,+L1668+H1668,0)</f>
        <v/>
      </c>
      <c r="N1668" s="7">
        <f>IF((+G1668-K1668)=0,0,+G1668-K1668)</f>
        <v/>
      </c>
      <c r="O1668" s="7">
        <f>IF(N1668=0,0,(L1668+H1668)/-N1668)</f>
        <v/>
      </c>
      <c r="P1668" s="7">
        <f>VLOOKUP(OPERAC[[#This Row],[especie]],[1]!ESPECIES[#All],6,0)</f>
        <v/>
      </c>
      <c r="Q1668" s="7">
        <f>IF(N1668&lt;&gt;0,P1668*N1668,0)</f>
        <v/>
      </c>
      <c r="R1668" s="8">
        <f>IF(Q1668&lt;&gt;0,Q1668+H1668+L1668,0)</f>
        <v/>
      </c>
      <c r="S1668" s="9">
        <f>VLOOKUP(OPERAC[[#This Row],[especie]],[1]!ESPECIES[#Data],9,FALSE)</f>
        <v/>
      </c>
    </row>
    <row r="1669">
      <c r="A1669" s="4" t="n">
        <v>13190</v>
      </c>
      <c r="B1669" s="5" t="n">
        <v>44649</v>
      </c>
      <c r="C1669" s="13" t="inlineStr">
        <is>
          <t>VTA</t>
        </is>
      </c>
      <c r="D1669" s="13" t="n">
        <v>42</v>
      </c>
      <c r="E1669" s="10">
        <f>IF(D1669&gt;0,VLOOKUP(OPERAC[[#This Row],[COD CART]],[1]!MatrizCortoLargoCyl[#All],3,0),"")</f>
        <v/>
      </c>
      <c r="F1669" s="13" t="inlineStr">
        <is>
          <t>FB</t>
        </is>
      </c>
      <c r="G1669" s="6" t="n">
        <v>1</v>
      </c>
      <c r="H1669" s="6" t="n">
        <v>-232.63644</v>
      </c>
      <c r="I1669" s="7">
        <f>-H1669/G1669</f>
        <v/>
      </c>
      <c r="J1669" s="11" t="n">
        <v>44671</v>
      </c>
      <c r="K1669" s="6">
        <f>+OPERAC[[#This Row],[cantidad]]</f>
        <v/>
      </c>
      <c r="L1669" s="6">
        <f>+OPERAC[[#This Row],[cantidad venta]]*213.173</f>
        <v/>
      </c>
      <c r="M1669" s="7">
        <f>IF(N1669=0,+L1669+H1669,0)</f>
        <v/>
      </c>
      <c r="N1669" s="7">
        <f>IF((+G1669-K1669)=0,0,+G1669-K1669)</f>
        <v/>
      </c>
      <c r="O1669" s="7">
        <f>IF(N1669=0,0,(L1669+H1669)/-N1669)</f>
        <v/>
      </c>
      <c r="P1669" s="7">
        <f>VLOOKUP(OPERAC[[#This Row],[especie]],[1]!ESPECIES[#All],6,0)</f>
        <v/>
      </c>
      <c r="Q1669" s="7">
        <f>IF(N1669&lt;&gt;0,P1669*N1669,0)</f>
        <v/>
      </c>
      <c r="R1669" s="8">
        <f>IF(Q1669&lt;&gt;0,Q1669+H1669+L1669,0)</f>
        <v/>
      </c>
      <c r="S1669" s="9">
        <f>VLOOKUP(OPERAC[[#This Row],[especie]],[1]!ESPECIES[#Data],9,FALSE)</f>
        <v/>
      </c>
    </row>
    <row r="1670">
      <c r="A1670" s="4" t="n">
        <v>18663</v>
      </c>
      <c r="B1670" s="5" t="n">
        <v>44657</v>
      </c>
      <c r="C1670" s="13" t="inlineStr">
        <is>
          <t>VTA</t>
        </is>
      </c>
      <c r="D1670" s="13" t="n">
        <v>41</v>
      </c>
      <c r="E1670" s="10">
        <f>IF(D1670&gt;0,VLOOKUP(OPERAC[[#This Row],[COD CART]],[1]!MatrizCortoLargoCyl[#All],3,0),"")</f>
        <v/>
      </c>
      <c r="F1670" s="13" t="inlineStr">
        <is>
          <t>SSYS</t>
        </is>
      </c>
      <c r="G1670" s="6" t="n">
        <v>10</v>
      </c>
      <c r="H1670" s="6" t="n">
        <v>-233.2432</v>
      </c>
      <c r="I1670" s="7">
        <f>-H1670/G1670</f>
        <v/>
      </c>
      <c r="J1670" s="11" t="n"/>
      <c r="K1670" s="6" t="n"/>
      <c r="L1670" s="6" t="n"/>
      <c r="M1670" s="7">
        <f>IF(N1670=0,+L1670+H1670,0)</f>
        <v/>
      </c>
      <c r="N1670" s="7">
        <f>IF((+G1670-K1670)=0,0,+G1670-K1670)</f>
        <v/>
      </c>
      <c r="O1670" s="7">
        <f>IF(N1670=0,0,(L1670+H1670)/-N1670)</f>
        <v/>
      </c>
      <c r="P1670" s="7">
        <f>VLOOKUP(OPERAC[[#This Row],[especie]],[1]!ESPECIES[#All],6,0)</f>
        <v/>
      </c>
      <c r="Q1670" s="7">
        <f>IF(N1670&lt;&gt;0,P1670*N1670,0)</f>
        <v/>
      </c>
      <c r="R1670" s="8">
        <f>IF(Q1670&lt;&gt;0,Q1670+H1670+L1670,0)</f>
        <v/>
      </c>
      <c r="S1670" s="9">
        <f>VLOOKUP(OPERAC[[#This Row],[especie]],[1]!ESPECIES[#Data],9,FALSE)</f>
        <v/>
      </c>
    </row>
    <row r="1671">
      <c r="A1671" s="4" t="n">
        <v>18663</v>
      </c>
      <c r="B1671" s="5" t="n">
        <v>44336</v>
      </c>
      <c r="C1671" s="13" t="inlineStr">
        <is>
          <t>VTA</t>
        </is>
      </c>
      <c r="D1671" s="13" t="n">
        <v>41</v>
      </c>
      <c r="E1671" s="10">
        <f>IF(D1671&gt;0,VLOOKUP(OPERAC[[#This Row],[COD CART]],[1]!MatrizCortoLargoCyl[#All],3,0),"")</f>
        <v/>
      </c>
      <c r="F1671" s="13" t="inlineStr">
        <is>
          <t>TCEHY</t>
        </is>
      </c>
      <c r="G1671" s="6" t="n">
        <v>3</v>
      </c>
      <c r="H1671" s="6" t="n">
        <v>-233.78752</v>
      </c>
      <c r="I1671" s="7">
        <f>-H1671/G1671</f>
        <v/>
      </c>
      <c r="J1671" s="11" t="n"/>
      <c r="K1671" s="6" t="n"/>
      <c r="L1671" s="6" t="n"/>
      <c r="M1671" s="7">
        <f>IF(N1671=0,+L1671+H1671,0)</f>
        <v/>
      </c>
      <c r="N1671" s="7">
        <f>IF((+G1671-K1671)=0,0,+G1671-K1671)</f>
        <v/>
      </c>
      <c r="O1671" s="7">
        <f>IF(N1671=0,0,(L1671+H1671)/-N1671)</f>
        <v/>
      </c>
      <c r="P1671" s="7">
        <f>VLOOKUP(OPERAC[[#This Row],[especie]],[1]!ESPECIES[#All],6,0)</f>
        <v/>
      </c>
      <c r="Q1671" s="7">
        <f>IF(N1671&lt;&gt;0,P1671*N1671,0)</f>
        <v/>
      </c>
      <c r="R1671" s="8">
        <f>IF(Q1671&lt;&gt;0,Q1671+H1671+L1671,0)</f>
        <v/>
      </c>
      <c r="S1671" s="9">
        <f>VLOOKUP(OPERAC[[#This Row],[especie]],[1]!ESPECIES[#Data],9,FALSE)</f>
        <v/>
      </c>
    </row>
    <row r="1672">
      <c r="A1672" s="4" t="n">
        <v>18663</v>
      </c>
      <c r="B1672" s="5" t="n">
        <v>44174</v>
      </c>
      <c r="C1672" s="13" t="inlineStr">
        <is>
          <t>VTA</t>
        </is>
      </c>
      <c r="D1672" s="13" t="n">
        <v>41</v>
      </c>
      <c r="E1672" s="10">
        <f>IF(D1672&gt;0,VLOOKUP(OPERAC[[#This Row],[COD CART]],[1]!MatrizCortoLargoCyl[#All],3,0),"")</f>
        <v/>
      </c>
      <c r="F1672" s="13" t="inlineStr">
        <is>
          <t>BEP</t>
        </is>
      </c>
      <c r="G1672" s="6" t="n">
        <v>6</v>
      </c>
      <c r="H1672" s="6" t="n">
        <v>-234.6</v>
      </c>
      <c r="I1672" s="7">
        <f>-H1672/G1672</f>
        <v/>
      </c>
      <c r="J1672" s="11" t="n"/>
      <c r="K1672" s="6" t="n"/>
      <c r="L1672" s="6" t="n"/>
      <c r="M1672" s="7">
        <f>IF(N1672=0,+L1672+H1672,0)</f>
        <v/>
      </c>
      <c r="N1672" s="7">
        <f>IF((+G1672-K1672)=0,0,+G1672-K1672)</f>
        <v/>
      </c>
      <c r="O1672" s="7">
        <f>IF(N1672=0,0,(L1672+H1672)/-N1672)</f>
        <v/>
      </c>
      <c r="P1672" s="7">
        <f>VLOOKUP(OPERAC[[#This Row],[especie]],[1]!ESPECIES[#All],6,0)</f>
        <v/>
      </c>
      <c r="Q1672" s="7">
        <f>IF(N1672&lt;&gt;0,P1672*N1672,0)</f>
        <v/>
      </c>
      <c r="R1672" s="8">
        <f>IF(Q1672&lt;&gt;0,Q1672+H1672+L1672,0)</f>
        <v/>
      </c>
      <c r="S1672" s="9">
        <f>VLOOKUP(OPERAC[[#This Row],[especie]],[1]!ESPECIES[#Data],9,FALSE)</f>
        <v/>
      </c>
    </row>
    <row r="1673">
      <c r="A1673" s="4" t="n">
        <v>2255</v>
      </c>
      <c r="B1673" s="5" t="n">
        <v>43987</v>
      </c>
      <c r="C1673" s="13" t="inlineStr">
        <is>
          <t>VTA</t>
        </is>
      </c>
      <c r="D1673" s="13" t="n">
        <v>41</v>
      </c>
      <c r="E1673" s="10">
        <f>IF(D1673&gt;0,VLOOKUP(OPERAC[[#This Row],[COD CART]],[1]!MatrizCortoLargoCyl[#All],3,0),"")</f>
        <v/>
      </c>
      <c r="F1673" s="13" t="inlineStr">
        <is>
          <t>NCLH</t>
        </is>
      </c>
      <c r="G1673" s="6" t="n">
        <v>10</v>
      </c>
      <c r="H1673" s="6" t="n">
        <v>-234.75508</v>
      </c>
      <c r="I1673" s="7" t="n">
        <v>23.475508</v>
      </c>
      <c r="J1673" s="5" t="n"/>
      <c r="K1673" s="6" t="n"/>
      <c r="L1673" s="6" t="n"/>
      <c r="M1673" s="7">
        <f>IF(N1673=0,+L1673+H1673,0)</f>
        <v/>
      </c>
      <c r="N1673" s="7">
        <f>IF((+G1673-K1673)=0,0,+G1673-K1673)</f>
        <v/>
      </c>
      <c r="O1673" s="7">
        <f>IF(N1673=0,0,(L1673+H1673)/-N1673)</f>
        <v/>
      </c>
      <c r="P1673" s="7">
        <f>VLOOKUP(OPERAC[[#This Row],[especie]],[1]!ESPECIES[#All],6,0)</f>
        <v/>
      </c>
      <c r="Q1673" s="7">
        <f>IF(N1673&lt;&gt;0,P1673*N1673,0)</f>
        <v/>
      </c>
      <c r="R1673" s="8">
        <f>IF(Q1673&lt;&gt;0,Q1673+H1673+L1673,0)</f>
        <v/>
      </c>
      <c r="S1673" s="9">
        <f>VLOOKUP(OPERAC[[#This Row],[especie]],[1]!ESPECIES[#Data],9,FALSE)</f>
        <v/>
      </c>
    </row>
    <row r="1674">
      <c r="A1674" s="4" t="n">
        <v>18663</v>
      </c>
      <c r="B1674" s="5" t="n">
        <v>44292</v>
      </c>
      <c r="C1674" s="13" t="inlineStr">
        <is>
          <t>VTA</t>
        </is>
      </c>
      <c r="D1674" s="13" t="n">
        <v>41</v>
      </c>
      <c r="E1674" s="10">
        <f>IF(D1674&gt;0,VLOOKUP(OPERAC[[#This Row],[COD CART]],[1]!MatrizCortoLargoCyl[#All],3,0),"")</f>
        <v/>
      </c>
      <c r="F1674" s="13" t="inlineStr">
        <is>
          <t>T</t>
        </is>
      </c>
      <c r="G1674" s="6" t="n">
        <v>10</v>
      </c>
      <c r="H1674" s="6">
        <f>-23.55*OPERAC[[#This Row],[cantidad]]</f>
        <v/>
      </c>
      <c r="I1674" s="7">
        <f>-H1674/G1674</f>
        <v/>
      </c>
      <c r="J1674" s="11" t="n"/>
      <c r="K1674" s="6" t="n"/>
      <c r="L1674" s="6" t="n"/>
      <c r="M1674" s="7">
        <f>IF(N1674=0,+L1674+H1674,0)</f>
        <v/>
      </c>
      <c r="N1674" s="7">
        <f>IF((+G1674-K1674)=0,0,+G1674-K1674)</f>
        <v/>
      </c>
      <c r="O1674" s="7">
        <f>IF(N1674=0,0,(L1674+H1674)/-N1674)</f>
        <v/>
      </c>
      <c r="P1674" s="7">
        <f>VLOOKUP(OPERAC[[#This Row],[especie]],[1]!ESPECIES[#All],6,0)</f>
        <v/>
      </c>
      <c r="Q1674" s="7">
        <f>IF(N1674&lt;&gt;0,P1674*N1674,0)</f>
        <v/>
      </c>
      <c r="R1674" s="8">
        <f>IF(Q1674&lt;&gt;0,Q1674+H1674+L1674,0)</f>
        <v/>
      </c>
      <c r="S1674" s="9">
        <f>VLOOKUP(OPERAC[[#This Row],[especie]],[1]!ESPECIES[#Data],9,FALSE)</f>
        <v/>
      </c>
    </row>
    <row r="1675">
      <c r="A1675" s="4" t="n">
        <v>18663</v>
      </c>
      <c r="B1675" s="5" t="n">
        <v>44147</v>
      </c>
      <c r="C1675" s="13" t="inlineStr">
        <is>
          <t>VTA</t>
        </is>
      </c>
      <c r="D1675" s="13" t="n">
        <v>41</v>
      </c>
      <c r="E1675" s="10">
        <f>IF(D1675&gt;0,VLOOKUP(OPERAC[[#This Row],[COD CART]],[1]!MatrizCortoLargoCyl[#All],3,0),"")</f>
        <v/>
      </c>
      <c r="F1675" s="13" t="inlineStr">
        <is>
          <t>AESE</t>
        </is>
      </c>
      <c r="G1675" s="6" t="n">
        <v>250</v>
      </c>
      <c r="H1675" s="6" t="n">
        <v>-236.87</v>
      </c>
      <c r="I1675" s="7">
        <f>-H1675/G1675</f>
        <v/>
      </c>
      <c r="J1675" s="11" t="n">
        <v>44222</v>
      </c>
      <c r="K1675" s="6" t="n">
        <v>200</v>
      </c>
      <c r="L1675" s="6" t="n">
        <v>459.498</v>
      </c>
      <c r="M1675" s="7">
        <f>IF(N1675=0,+L1675+H1675,0)</f>
        <v/>
      </c>
      <c r="N1675" s="7">
        <f>IF((+G1675-K1675)=0,0,+G1675-K1675)</f>
        <v/>
      </c>
      <c r="O1675" s="7">
        <f>IF(N1675=0,0,(L1675+H1675)/-N1675)</f>
        <v/>
      </c>
      <c r="P1675" s="7">
        <f>VLOOKUP(OPERAC[[#This Row],[especie]],[1]!ESPECIES[#All],6,0)</f>
        <v/>
      </c>
      <c r="Q1675" s="7">
        <f>IF(N1675&lt;&gt;0,P1675*N1675,0)</f>
        <v/>
      </c>
      <c r="R1675" s="8">
        <f>IF(Q1675&lt;&gt;0,Q1675+H1675+L1675,0)</f>
        <v/>
      </c>
      <c r="S1675" s="9">
        <f>VLOOKUP(OPERAC[[#This Row],[especie]],[1]!ESPECIES[#Data],9,FALSE)</f>
        <v/>
      </c>
    </row>
    <row r="1676">
      <c r="A1676" s="4" t="n">
        <v>18663</v>
      </c>
      <c r="B1676" s="5" t="n">
        <v>44291</v>
      </c>
      <c r="C1676" s="13" t="inlineStr">
        <is>
          <t>VTA</t>
        </is>
      </c>
      <c r="D1676" s="13" t="n">
        <v>41</v>
      </c>
      <c r="E1676" s="10">
        <f>IF(D1676&gt;0,VLOOKUP(OPERAC[[#This Row],[COD CART]],[1]!MatrizCortoLargoCyl[#All],3,0),"")</f>
        <v/>
      </c>
      <c r="F1676" s="13" t="inlineStr">
        <is>
          <t>TCNNF</t>
        </is>
      </c>
      <c r="G1676" s="6" t="n">
        <v>5</v>
      </c>
      <c r="H1676" s="6" t="n">
        <v>-237.0232</v>
      </c>
      <c r="I1676" s="7">
        <f>-H1676/G1676</f>
        <v/>
      </c>
      <c r="J1676" s="11" t="n"/>
      <c r="K1676" s="6" t="n"/>
      <c r="L1676" s="6" t="n"/>
      <c r="M1676" s="7">
        <f>IF(N1676=0,+L1676+H1676,0)</f>
        <v/>
      </c>
      <c r="N1676" s="7">
        <f>IF((+G1676-K1676)=0,0,+G1676-K1676)</f>
        <v/>
      </c>
      <c r="O1676" s="7">
        <f>IF(N1676=0,0,(L1676+H1676)/-N1676)</f>
        <v/>
      </c>
      <c r="P1676" s="7">
        <f>VLOOKUP(OPERAC[[#This Row],[especie]],[1]!ESPECIES[#All],6,0)</f>
        <v/>
      </c>
      <c r="Q1676" s="7">
        <f>IF(N1676&lt;&gt;0,P1676*N1676,0)</f>
        <v/>
      </c>
      <c r="R1676" s="8">
        <f>IF(Q1676&lt;&gt;0,Q1676+H1676+L1676,0)</f>
        <v/>
      </c>
      <c r="S1676" s="9">
        <f>VLOOKUP(OPERAC[[#This Row],[especie]],[1]!ESPECIES[#Data],9,FALSE)</f>
        <v/>
      </c>
    </row>
    <row r="1677">
      <c r="A1677" s="4" t="n">
        <v>18663</v>
      </c>
      <c r="B1677" s="5" t="n">
        <v>44565</v>
      </c>
      <c r="C1677" s="13" t="inlineStr">
        <is>
          <t>VTA</t>
        </is>
      </c>
      <c r="D1677" s="13" t="n">
        <v>41</v>
      </c>
      <c r="E1677" s="10">
        <f>IF(D1677&gt;0,VLOOKUP(OPERAC[[#This Row],[COD CART]],[1]!MatrizCortoLargoCyl[#All],3,0),"")</f>
        <v/>
      </c>
      <c r="F1677" s="13" t="inlineStr">
        <is>
          <t>MPW</t>
        </is>
      </c>
      <c r="G1677" s="6" t="n">
        <v>10</v>
      </c>
      <c r="H1677" s="6" t="n">
        <v>-237.628</v>
      </c>
      <c r="I1677" s="7">
        <f>-H1677/G1677</f>
        <v/>
      </c>
      <c r="J1677" s="11" t="n"/>
      <c r="K1677" s="6" t="n"/>
      <c r="L1677" s="6" t="n"/>
      <c r="M1677" s="7">
        <f>IF(N1677=0,+L1677+H1677,0)</f>
        <v/>
      </c>
      <c r="N1677" s="7">
        <f>IF((+G1677-K1677)=0,0,+G1677-K1677)</f>
        <v/>
      </c>
      <c r="O1677" s="7">
        <f>IF(N1677=0,0,(L1677+H1677)/-N1677)</f>
        <v/>
      </c>
      <c r="P1677" s="7">
        <f>VLOOKUP(OPERAC[[#This Row],[especie]],[1]!ESPECIES[#All],6,0)</f>
        <v/>
      </c>
      <c r="Q1677" s="7">
        <f>IF(N1677&lt;&gt;0,P1677*N1677,0)</f>
        <v/>
      </c>
      <c r="R1677" s="8">
        <f>IF(Q1677&lt;&gt;0,Q1677+H1677+L1677,0)</f>
        <v/>
      </c>
      <c r="S1677" s="9">
        <f>VLOOKUP(OPERAC[[#This Row],[especie]],[1]!ESPECIES[#Data],9,FALSE)</f>
        <v/>
      </c>
    </row>
    <row r="1678">
      <c r="A1678" s="4" t="n">
        <v>3820</v>
      </c>
      <c r="B1678" s="5" t="n">
        <v>44680</v>
      </c>
      <c r="C1678" s="13" t="inlineStr">
        <is>
          <t>VTA</t>
        </is>
      </c>
      <c r="D1678" s="13" t="n">
        <v>42</v>
      </c>
      <c r="E1678" s="10">
        <f>IF(D1678&gt;0,VLOOKUP(OPERAC[[#This Row],[COD CART]],[1]!MatrizCortoLargoCyl[#All],3,0),"")</f>
        <v/>
      </c>
      <c r="F1678" s="14" t="inlineStr">
        <is>
          <t>XLP</t>
        </is>
      </c>
      <c r="G1678" s="6" t="n">
        <v>3</v>
      </c>
      <c r="H1678" s="6" t="n">
        <v>-237.8309175</v>
      </c>
      <c r="I1678" s="7">
        <f>-H1678/G1678</f>
        <v/>
      </c>
      <c r="J1678" s="11" t="n">
        <v>44693</v>
      </c>
      <c r="K1678" s="6">
        <f>+OPERAC[[#This Row],[cantidad]]</f>
        <v/>
      </c>
      <c r="L1678" s="6">
        <f>+OPERAC[[#This Row],[cantidad venta]]*75.648</f>
        <v/>
      </c>
      <c r="M1678" s="7">
        <f>IF(N1678=0,+L1678+H1678,0)</f>
        <v/>
      </c>
      <c r="N1678" s="7">
        <f>IF((+G1678-K1678)=0,0,+G1678-K1678)</f>
        <v/>
      </c>
      <c r="O1678" s="7">
        <f>IF(N1678=0,0,(L1678+H1678)/-N1678)</f>
        <v/>
      </c>
      <c r="P1678" s="7">
        <f>VLOOKUP(OPERAC[[#This Row],[especie]],[1]!ESPECIES[#All],6,0)</f>
        <v/>
      </c>
      <c r="Q1678" s="7">
        <f>IF(N1678&lt;&gt;0,P1678*N1678,0)</f>
        <v/>
      </c>
      <c r="R1678" s="8">
        <f>IF(Q1678&lt;&gt;0,Q1678+H1678+L1678,0)</f>
        <v/>
      </c>
      <c r="S1678" s="9">
        <f>VLOOKUP(OPERAC[[#This Row],[especie]],[1]!ESPECIES[#Data],9,FALSE)</f>
        <v/>
      </c>
    </row>
    <row r="1679">
      <c r="A1679" s="4" t="n">
        <v>22399</v>
      </c>
      <c r="B1679" s="5" t="n">
        <v>44629</v>
      </c>
      <c r="C1679" s="13" t="inlineStr">
        <is>
          <t>VTA</t>
        </is>
      </c>
      <c r="D1679" s="13" t="n">
        <v>42</v>
      </c>
      <c r="E1679" s="10">
        <f>IF(D1679&gt;0,VLOOKUP(OPERAC[[#This Row],[COD CART]],[1]!MatrizCortoLargoCyl[#All],3,0),"")</f>
        <v/>
      </c>
      <c r="F1679" s="13" t="inlineStr">
        <is>
          <t>ROKU</t>
        </is>
      </c>
      <c r="G1679" s="6" t="n">
        <v>2</v>
      </c>
      <c r="H1679" s="6" t="n">
        <v>-237.88</v>
      </c>
      <c r="I1679" s="7">
        <f>-H1679/G1679</f>
        <v/>
      </c>
      <c r="J1679" s="11" t="n">
        <v>44649</v>
      </c>
      <c r="K1679" s="6" t="n">
        <v>2</v>
      </c>
      <c r="L1679" s="6" t="n">
        <v>274.596</v>
      </c>
      <c r="M1679" s="7">
        <f>IF(N1679=0,+L1679+H1679,0)</f>
        <v/>
      </c>
      <c r="N1679" s="7">
        <f>IF((+G1679-K1679)=0,0,+G1679-K1679)</f>
        <v/>
      </c>
      <c r="O1679" s="7">
        <f>IF(N1679=0,0,(L1679+H1679)/-N1679)</f>
        <v/>
      </c>
      <c r="P1679" s="7">
        <f>VLOOKUP(OPERAC[[#This Row],[especie]],[1]!ESPECIES[#All],6,0)</f>
        <v/>
      </c>
      <c r="Q1679" s="7">
        <f>IF(N1679&lt;&gt;0,P1679*N1679,0)</f>
        <v/>
      </c>
      <c r="R1679" s="8">
        <f>IF(Q1679&lt;&gt;0,Q1679+H1679+L1679,0)</f>
        <v/>
      </c>
      <c r="S1679" s="9">
        <f>VLOOKUP(OPERAC[[#This Row],[especie]],[1]!ESPECIES[#Data],9,FALSE)</f>
        <v/>
      </c>
    </row>
    <row r="1680">
      <c r="A1680" s="4" t="n">
        <v>18663</v>
      </c>
      <c r="B1680" s="5" t="n">
        <v>44704</v>
      </c>
      <c r="C1680" s="13" t="inlineStr">
        <is>
          <t>VTA</t>
        </is>
      </c>
      <c r="D1680" s="13" t="n">
        <v>41</v>
      </c>
      <c r="E1680" s="10">
        <f>IF(D1680&gt;0,VLOOKUP(OPERAC[[#This Row],[COD CART]],[1]!MatrizCortoLargoCyl[#All],3,0),"")</f>
        <v/>
      </c>
      <c r="F1680" s="13" t="inlineStr">
        <is>
          <t>SFM</t>
        </is>
      </c>
      <c r="G1680" s="6" t="n">
        <v>10</v>
      </c>
      <c r="H1680" s="6" t="n">
        <v>-238.177</v>
      </c>
      <c r="I1680" s="7">
        <f>-H1680/G1680</f>
        <v/>
      </c>
      <c r="J1680" s="5" t="n"/>
      <c r="K1680" s="6" t="n"/>
      <c r="L1680" s="6" t="n"/>
      <c r="M1680" s="7">
        <f>IF(N1680=0,+L1680+H1680,0)</f>
        <v/>
      </c>
      <c r="N1680" s="7">
        <f>IF((+G1680-K1680)=0,0,+G1680-K1680)</f>
        <v/>
      </c>
      <c r="O1680" s="7">
        <f>IF(N1680=0,0,(L1680+H1680)/-N1680)</f>
        <v/>
      </c>
      <c r="P1680" s="7">
        <f>VLOOKUP(OPERAC[[#This Row],[especie]],[1]!ESPECIES[#All],6,0)</f>
        <v/>
      </c>
      <c r="Q1680" s="7">
        <f>IF(N1680&lt;&gt;0,P1680*N1680,0)</f>
        <v/>
      </c>
      <c r="R1680" s="8">
        <f>IF(Q1680&lt;&gt;0,Q1680+H1680+L1680,0)</f>
        <v/>
      </c>
      <c r="S1680" s="9">
        <f>VLOOKUP(OPERAC[[#This Row],[especie]],[1]!ESPECIES[#Data],9,FALSE)</f>
        <v/>
      </c>
    </row>
    <row r="1681">
      <c r="A1681" s="4" t="n">
        <v>1807</v>
      </c>
      <c r="B1681" s="5" t="n">
        <v>44680</v>
      </c>
      <c r="C1681" s="13" t="inlineStr">
        <is>
          <t>VTA</t>
        </is>
      </c>
      <c r="D1681" s="13" t="n">
        <v>42</v>
      </c>
      <c r="E1681" s="10">
        <f>IF(D1681&gt;0,VLOOKUP(OPERAC[[#This Row],[COD CART]],[1]!MatrizCortoLargoCyl[#All],3,0),"")</f>
        <v/>
      </c>
      <c r="F1681" s="14" t="inlineStr">
        <is>
          <t>XLP</t>
        </is>
      </c>
      <c r="G1681" s="6" t="n">
        <v>3</v>
      </c>
      <c r="H1681" s="6" t="n">
        <v>-238.3035075</v>
      </c>
      <c r="I1681" s="7">
        <f>-H1681/G1681</f>
        <v/>
      </c>
      <c r="J1681" s="11" t="n">
        <v>44704</v>
      </c>
      <c r="K1681" s="6" t="n">
        <v>3</v>
      </c>
      <c r="L1681" s="6">
        <f>71.162*OPERAC[[#This Row],[cantidad venta]]</f>
        <v/>
      </c>
      <c r="M1681" s="7">
        <f>IF(N1681=0,+L1681+H1681,0)</f>
        <v/>
      </c>
      <c r="N1681" s="7">
        <f>IF((+G1681-K1681)=0,0,+G1681-K1681)</f>
        <v/>
      </c>
      <c r="O1681" s="7">
        <f>IF(N1681=0,0,(L1681+H1681)/-N1681)</f>
        <v/>
      </c>
      <c r="P1681" s="7">
        <f>VLOOKUP(OPERAC[[#This Row],[especie]],[1]!ESPECIES[#All],6,0)</f>
        <v/>
      </c>
      <c r="Q1681" s="7">
        <f>IF(N1681&lt;&gt;0,P1681*N1681,0)</f>
        <v/>
      </c>
      <c r="R1681" s="8">
        <f>IF(Q1681&lt;&gt;0,Q1681+H1681+L1681,0)</f>
        <v/>
      </c>
      <c r="S1681" s="9">
        <f>VLOOKUP(OPERAC[[#This Row],[especie]],[1]!ESPECIES[#Data],9,FALSE)</f>
        <v/>
      </c>
    </row>
    <row r="1682">
      <c r="A1682" s="4" t="n">
        <v>2217</v>
      </c>
      <c r="B1682" s="5" t="n">
        <v>44680</v>
      </c>
      <c r="C1682" s="13" t="inlineStr">
        <is>
          <t>VTA</t>
        </is>
      </c>
      <c r="D1682" s="13" t="n">
        <v>42</v>
      </c>
      <c r="E1682" s="10">
        <f>IF(D1682&gt;0,VLOOKUP(OPERAC[[#This Row],[COD CART]],[1]!MatrizCortoLargoCyl[#All],3,0),"")</f>
        <v/>
      </c>
      <c r="F1682" s="14" t="inlineStr">
        <is>
          <t>XLP</t>
        </is>
      </c>
      <c r="G1682" s="6" t="n">
        <v>3</v>
      </c>
      <c r="H1682" s="6" t="n">
        <v>-238.3035075</v>
      </c>
      <c r="I1682" s="7">
        <f>-H1682/G1682</f>
        <v/>
      </c>
      <c r="J1682" s="11" t="n">
        <v>44693</v>
      </c>
      <c r="K1682" s="6">
        <f>+OPERAC[[#This Row],[cantidad]]</f>
        <v/>
      </c>
      <c r="L1682" s="6">
        <f>+OPERAC[[#This Row],[cantidad venta]]*75.624</f>
        <v/>
      </c>
      <c r="M1682" s="7">
        <f>IF(N1682=0,+L1682+H1682,0)</f>
        <v/>
      </c>
      <c r="N1682" s="7">
        <f>IF((+G1682-K1682)=0,0,+G1682-K1682)</f>
        <v/>
      </c>
      <c r="O1682" s="7">
        <f>IF(N1682=0,0,(L1682+H1682)/-N1682)</f>
        <v/>
      </c>
      <c r="P1682" s="7">
        <f>VLOOKUP(OPERAC[[#This Row],[especie]],[1]!ESPECIES[#All],6,0)</f>
        <v/>
      </c>
      <c r="Q1682" s="7">
        <f>IF(N1682&lt;&gt;0,P1682*N1682,0)</f>
        <v/>
      </c>
      <c r="R1682" s="8">
        <f>IF(Q1682&lt;&gt;0,Q1682+H1682+L1682,0)</f>
        <v/>
      </c>
      <c r="S1682" s="9">
        <f>VLOOKUP(OPERAC[[#This Row],[especie]],[1]!ESPECIES[#Data],9,FALSE)</f>
        <v/>
      </c>
    </row>
    <row r="1683">
      <c r="A1683" s="4" t="n">
        <v>2306</v>
      </c>
      <c r="B1683" s="5" t="n">
        <v>44680</v>
      </c>
      <c r="C1683" s="13" t="inlineStr">
        <is>
          <t>VTA</t>
        </is>
      </c>
      <c r="D1683" s="13" t="n">
        <v>42</v>
      </c>
      <c r="E1683" s="10">
        <f>IF(D1683&gt;0,VLOOKUP(OPERAC[[#This Row],[COD CART]],[1]!MatrizCortoLargoCyl[#All],3,0),"")</f>
        <v/>
      </c>
      <c r="F1683" s="14" t="inlineStr">
        <is>
          <t>XLP</t>
        </is>
      </c>
      <c r="G1683" s="6" t="n">
        <v>3</v>
      </c>
      <c r="H1683" s="6" t="n">
        <v>-238.3035075</v>
      </c>
      <c r="I1683" s="7">
        <f>-H1683/G1683</f>
        <v/>
      </c>
      <c r="J1683" s="11" t="n">
        <v>44693</v>
      </c>
      <c r="K1683" s="6">
        <f>+OPERAC[[#This Row],[cantidad]]</f>
        <v/>
      </c>
      <c r="L1683" s="6">
        <f>+OPERAC[[#This Row],[cantidad venta]]*75.648</f>
        <v/>
      </c>
      <c r="M1683" s="7">
        <f>IF(N1683=0,+L1683+H1683,0)</f>
        <v/>
      </c>
      <c r="N1683" s="7">
        <f>IF((+G1683-K1683)=0,0,+G1683-K1683)</f>
        <v/>
      </c>
      <c r="O1683" s="7">
        <f>IF(N1683=0,0,(L1683+H1683)/-N1683)</f>
        <v/>
      </c>
      <c r="P1683" s="7">
        <f>VLOOKUP(OPERAC[[#This Row],[especie]],[1]!ESPECIES[#All],6,0)</f>
        <v/>
      </c>
      <c r="Q1683" s="7">
        <f>IF(N1683&lt;&gt;0,P1683*N1683,0)</f>
        <v/>
      </c>
      <c r="R1683" s="8">
        <f>IF(Q1683&lt;&gt;0,Q1683+H1683+L1683,0)</f>
        <v/>
      </c>
      <c r="S1683" s="9">
        <f>VLOOKUP(OPERAC[[#This Row],[especie]],[1]!ESPECIES[#Data],9,FALSE)</f>
        <v/>
      </c>
    </row>
    <row r="1684">
      <c r="A1684" s="4" t="n">
        <v>11170</v>
      </c>
      <c r="B1684" s="5" t="n">
        <v>44680</v>
      </c>
      <c r="C1684" s="13" t="inlineStr">
        <is>
          <t>VTA</t>
        </is>
      </c>
      <c r="D1684" s="13" t="n">
        <v>42</v>
      </c>
      <c r="E1684" s="10">
        <f>IF(D1684&gt;0,VLOOKUP(OPERAC[[#This Row],[COD CART]],[1]!MatrizCortoLargoCyl[#All],3,0),"")</f>
        <v/>
      </c>
      <c r="F1684" s="14" t="inlineStr">
        <is>
          <t>XLP</t>
        </is>
      </c>
      <c r="G1684" s="6" t="n">
        <v>3</v>
      </c>
      <c r="H1684" s="6" t="n">
        <v>-238.3035075</v>
      </c>
      <c r="I1684" s="7">
        <f>-H1684/G1684</f>
        <v/>
      </c>
      <c r="J1684" s="11" t="n">
        <v>44683</v>
      </c>
      <c r="K1684" s="6">
        <f>1+2</f>
        <v/>
      </c>
      <c r="L1684" s="6">
        <f>76.112+151.015</f>
        <v/>
      </c>
      <c r="M1684" s="7">
        <f>IF(N1684=0,+L1684+H1684,0)</f>
        <v/>
      </c>
      <c r="N1684" s="7">
        <f>IF((+G1684-K1684)=0,0,+G1684-K1684)</f>
        <v/>
      </c>
      <c r="O1684" s="7">
        <f>IF(N1684=0,0,(L1684+H1684)/-N1684)</f>
        <v/>
      </c>
      <c r="P1684" s="7">
        <f>VLOOKUP(OPERAC[[#This Row],[especie]],[1]!ESPECIES[#All],6,0)</f>
        <v/>
      </c>
      <c r="Q1684" s="7">
        <f>IF(N1684&lt;&gt;0,P1684*N1684,0)</f>
        <v/>
      </c>
      <c r="R1684" s="8">
        <f>IF(Q1684&lt;&gt;0,Q1684+H1684+L1684,0)</f>
        <v/>
      </c>
      <c r="S1684" s="9">
        <f>VLOOKUP(OPERAC[[#This Row],[especie]],[1]!ESPECIES[#Data],9,FALSE)</f>
        <v/>
      </c>
    </row>
    <row r="1685">
      <c r="A1685" s="4" t="n">
        <v>18677</v>
      </c>
      <c r="B1685" s="5" t="n">
        <v>44680</v>
      </c>
      <c r="C1685" s="13" t="inlineStr">
        <is>
          <t>VTA</t>
        </is>
      </c>
      <c r="D1685" s="13" t="n">
        <v>42</v>
      </c>
      <c r="E1685" s="10">
        <f>IF(D1685&gt;0,VLOOKUP(OPERAC[[#This Row],[COD CART]],[1]!MatrizCortoLargoCyl[#All],3,0),"")</f>
        <v/>
      </c>
      <c r="F1685" s="14" t="inlineStr">
        <is>
          <t>XLP</t>
        </is>
      </c>
      <c r="G1685" s="6" t="n">
        <v>3</v>
      </c>
      <c r="H1685" s="6" t="n">
        <v>-238.3035075</v>
      </c>
      <c r="I1685" s="7">
        <f>-H1685/G1685</f>
        <v/>
      </c>
      <c r="J1685" s="11" t="n">
        <v>44693</v>
      </c>
      <c r="K1685" s="6">
        <f>+OPERAC[[#This Row],[cantidad]]</f>
        <v/>
      </c>
      <c r="L1685" s="6">
        <f>+OPERAC[[#This Row],[cantidad venta]]*74.848</f>
        <v/>
      </c>
      <c r="M1685" s="7">
        <f>IF(N1685=0,+L1685+H1685,0)</f>
        <v/>
      </c>
      <c r="N1685" s="7">
        <f>IF((+G1685-K1685)=0,0,+G1685-K1685)</f>
        <v/>
      </c>
      <c r="O1685" s="7">
        <f>IF(N1685=0,0,(L1685+H1685)/-N1685)</f>
        <v/>
      </c>
      <c r="P1685" s="7">
        <f>VLOOKUP(OPERAC[[#This Row],[especie]],[1]!ESPECIES[#All],6,0)</f>
        <v/>
      </c>
      <c r="Q1685" s="7">
        <f>IF(N1685&lt;&gt;0,P1685*N1685,0)</f>
        <v/>
      </c>
      <c r="R1685" s="8">
        <f>IF(Q1685&lt;&gt;0,Q1685+H1685+L1685,0)</f>
        <v/>
      </c>
      <c r="S1685" s="9">
        <f>VLOOKUP(OPERAC[[#This Row],[especie]],[1]!ESPECIES[#Data],9,FALSE)</f>
        <v/>
      </c>
    </row>
    <row r="1686">
      <c r="A1686" s="4" t="n">
        <v>18711</v>
      </c>
      <c r="B1686" s="5" t="n">
        <v>44680</v>
      </c>
      <c r="C1686" s="13" t="inlineStr">
        <is>
          <t>VTA</t>
        </is>
      </c>
      <c r="D1686" s="13" t="n">
        <v>42</v>
      </c>
      <c r="E1686" s="10">
        <f>IF(D1686&gt;0,VLOOKUP(OPERAC[[#This Row],[COD CART]],[1]!MatrizCortoLargoCyl[#All],3,0),"")</f>
        <v/>
      </c>
      <c r="F1686" s="14" t="inlineStr">
        <is>
          <t>XLP</t>
        </is>
      </c>
      <c r="G1686" s="6" t="n">
        <v>3</v>
      </c>
      <c r="H1686" s="6" t="n">
        <v>-238.3035075</v>
      </c>
      <c r="I1686" s="7">
        <f>-H1686/G1686</f>
        <v/>
      </c>
      <c r="J1686" s="11" t="n">
        <v>44693</v>
      </c>
      <c r="K1686" s="6">
        <f>+OPERAC[[#This Row],[cantidad]]</f>
        <v/>
      </c>
      <c r="L1686" s="6">
        <f>+OPERAC[[#This Row],[cantidad venta]]*74.848</f>
        <v/>
      </c>
      <c r="M1686" s="7">
        <f>IF(N1686=0,+L1686+H1686,0)</f>
        <v/>
      </c>
      <c r="N1686" s="7">
        <f>IF((+G1686-K1686)=0,0,+G1686-K1686)</f>
        <v/>
      </c>
      <c r="O1686" s="7">
        <f>IF(N1686=0,0,(L1686+H1686)/-N1686)</f>
        <v/>
      </c>
      <c r="P1686" s="7">
        <f>VLOOKUP(OPERAC[[#This Row],[especie]],[1]!ESPECIES[#All],6,0)</f>
        <v/>
      </c>
      <c r="Q1686" s="7">
        <f>IF(N1686&lt;&gt;0,P1686*N1686,0)</f>
        <v/>
      </c>
      <c r="R1686" s="8">
        <f>IF(Q1686&lt;&gt;0,Q1686+H1686+L1686,0)</f>
        <v/>
      </c>
      <c r="S1686" s="9">
        <f>VLOOKUP(OPERAC[[#This Row],[especie]],[1]!ESPECIES[#Data],9,FALSE)</f>
        <v/>
      </c>
    </row>
    <row r="1687">
      <c r="A1687" s="4" t="n">
        <v>20234</v>
      </c>
      <c r="B1687" s="5" t="n">
        <v>44680</v>
      </c>
      <c r="C1687" s="13" t="inlineStr">
        <is>
          <t>VTA</t>
        </is>
      </c>
      <c r="D1687" s="13" t="n">
        <v>42</v>
      </c>
      <c r="E1687" s="10">
        <f>IF(D1687&gt;0,VLOOKUP(OPERAC[[#This Row],[COD CART]],[1]!MatrizCortoLargoCyl[#All],3,0),"")</f>
        <v/>
      </c>
      <c r="F1687" s="14" t="inlineStr">
        <is>
          <t>XLP</t>
        </is>
      </c>
      <c r="G1687" s="6" t="n">
        <v>3</v>
      </c>
      <c r="H1687" s="6" t="n">
        <v>-238.3035075</v>
      </c>
      <c r="I1687" s="7">
        <f>-H1687/G1687</f>
        <v/>
      </c>
      <c r="J1687" s="11" t="n">
        <v>44693</v>
      </c>
      <c r="K1687" s="6">
        <f>+OPERAC[[#This Row],[cantidad]]</f>
        <v/>
      </c>
      <c r="L1687" s="6">
        <f>+OPERAC[[#This Row],[cantidad venta]]*74.848</f>
        <v/>
      </c>
      <c r="M1687" s="7">
        <f>IF(N1687=0,+L1687+H1687,0)</f>
        <v/>
      </c>
      <c r="N1687" s="7">
        <f>IF((+G1687-K1687)=0,0,+G1687-K1687)</f>
        <v/>
      </c>
      <c r="O1687" s="7">
        <f>IF(N1687=0,0,(L1687+H1687)/-N1687)</f>
        <v/>
      </c>
      <c r="P1687" s="7">
        <f>VLOOKUP(OPERAC[[#This Row],[especie]],[1]!ESPECIES[#All],6,0)</f>
        <v/>
      </c>
      <c r="Q1687" s="7">
        <f>IF(N1687&lt;&gt;0,P1687*N1687,0)</f>
        <v/>
      </c>
      <c r="R1687" s="8">
        <f>IF(Q1687&lt;&gt;0,Q1687+H1687+L1687,0)</f>
        <v/>
      </c>
      <c r="S1687" s="9">
        <f>VLOOKUP(OPERAC[[#This Row],[especie]],[1]!ESPECIES[#Data],9,FALSE)</f>
        <v/>
      </c>
    </row>
    <row r="1688">
      <c r="A1688" s="4" t="n">
        <v>20312</v>
      </c>
      <c r="B1688" s="5" t="n">
        <v>44680</v>
      </c>
      <c r="C1688" s="13" t="inlineStr">
        <is>
          <t>VTA</t>
        </is>
      </c>
      <c r="D1688" s="13" t="n">
        <v>42</v>
      </c>
      <c r="E1688" s="10">
        <f>IF(D1688&gt;0,VLOOKUP(OPERAC[[#This Row],[COD CART]],[1]!MatrizCortoLargoCyl[#All],3,0),"")</f>
        <v/>
      </c>
      <c r="F1688" s="14" t="inlineStr">
        <is>
          <t>XLP</t>
        </is>
      </c>
      <c r="G1688" s="6" t="n">
        <v>3</v>
      </c>
      <c r="H1688" s="6" t="n">
        <v>-238.3035075</v>
      </c>
      <c r="I1688" s="7">
        <f>-H1688/G1688</f>
        <v/>
      </c>
      <c r="J1688" s="11" t="n">
        <v>44693</v>
      </c>
      <c r="K1688" s="6">
        <f>+OPERAC[[#This Row],[cantidad]]</f>
        <v/>
      </c>
      <c r="L1688" s="6">
        <f>+OPERAC[[#This Row],[cantidad venta]]*74.848</f>
        <v/>
      </c>
      <c r="M1688" s="7">
        <f>IF(N1688=0,+L1688+H1688,0)</f>
        <v/>
      </c>
      <c r="N1688" s="7">
        <f>IF((+G1688-K1688)=0,0,+G1688-K1688)</f>
        <v/>
      </c>
      <c r="O1688" s="7">
        <f>IF(N1688=0,0,(L1688+H1688)/-N1688)</f>
        <v/>
      </c>
      <c r="P1688" s="7">
        <f>VLOOKUP(OPERAC[[#This Row],[especie]],[1]!ESPECIES[#All],6,0)</f>
        <v/>
      </c>
      <c r="Q1688" s="7">
        <f>IF(N1688&lt;&gt;0,P1688*N1688,0)</f>
        <v/>
      </c>
      <c r="R1688" s="8">
        <f>IF(Q1688&lt;&gt;0,Q1688+H1688+L1688,0)</f>
        <v/>
      </c>
      <c r="S1688" s="9">
        <f>VLOOKUP(OPERAC[[#This Row],[especie]],[1]!ESPECIES[#Data],9,FALSE)</f>
        <v/>
      </c>
    </row>
    <row r="1689">
      <c r="A1689" s="4" t="n">
        <v>22421</v>
      </c>
      <c r="B1689" s="5" t="n">
        <v>44680</v>
      </c>
      <c r="C1689" s="13" t="inlineStr">
        <is>
          <t>VTA</t>
        </is>
      </c>
      <c r="D1689" s="13" t="n">
        <v>42</v>
      </c>
      <c r="E1689" s="10">
        <f>IF(D1689&gt;0,VLOOKUP(OPERAC[[#This Row],[COD CART]],[1]!MatrizCortoLargoCyl[#All],3,0),"")</f>
        <v/>
      </c>
      <c r="F1689" s="14" t="inlineStr">
        <is>
          <t>XLP</t>
        </is>
      </c>
      <c r="G1689" s="6" t="n">
        <v>3</v>
      </c>
      <c r="H1689" s="6" t="n">
        <v>-238.3035075</v>
      </c>
      <c r="I1689" s="7">
        <f>-H1689/G1689</f>
        <v/>
      </c>
      <c r="J1689" s="11" t="n">
        <v>44693</v>
      </c>
      <c r="K1689" s="6">
        <f>+OPERAC[[#This Row],[cantidad]]</f>
        <v/>
      </c>
      <c r="L1689" s="6">
        <f>+OPERAC[[#This Row],[cantidad venta]]*74.848</f>
        <v/>
      </c>
      <c r="M1689" s="7">
        <f>IF(N1689=0,+L1689+H1689,0)</f>
        <v/>
      </c>
      <c r="N1689" s="7">
        <f>IF((+G1689-K1689)=0,0,+G1689-K1689)</f>
        <v/>
      </c>
      <c r="O1689" s="7">
        <f>IF(N1689=0,0,(L1689+H1689)/-N1689)</f>
        <v/>
      </c>
      <c r="P1689" s="7">
        <f>VLOOKUP(OPERAC[[#This Row],[especie]],[1]!ESPECIES[#All],6,0)</f>
        <v/>
      </c>
      <c r="Q1689" s="7">
        <f>IF(N1689&lt;&gt;0,P1689*N1689,0)</f>
        <v/>
      </c>
      <c r="R1689" s="8">
        <f>IF(Q1689&lt;&gt;0,Q1689+H1689+L1689,0)</f>
        <v/>
      </c>
      <c r="S1689" s="9">
        <f>VLOOKUP(OPERAC[[#This Row],[especie]],[1]!ESPECIES[#Data],9,FALSE)</f>
        <v/>
      </c>
    </row>
    <row r="1690">
      <c r="A1690" s="4" t="n">
        <v>22431</v>
      </c>
      <c r="B1690" s="5" t="n">
        <v>44680</v>
      </c>
      <c r="C1690" s="13" t="inlineStr">
        <is>
          <t>VTA</t>
        </is>
      </c>
      <c r="D1690" s="13" t="n">
        <v>42</v>
      </c>
      <c r="E1690" s="10">
        <f>IF(D1690&gt;0,VLOOKUP(OPERAC[[#This Row],[COD CART]],[1]!MatrizCortoLargoCyl[#All],3,0),"")</f>
        <v/>
      </c>
      <c r="F1690" s="14" t="inlineStr">
        <is>
          <t>XLP</t>
        </is>
      </c>
      <c r="G1690" s="6" t="n">
        <v>3</v>
      </c>
      <c r="H1690" s="6" t="n">
        <v>-238.3035075</v>
      </c>
      <c r="I1690" s="7">
        <f>-H1690/G1690</f>
        <v/>
      </c>
      <c r="J1690" s="11" t="n">
        <v>44693</v>
      </c>
      <c r="K1690" s="6">
        <f>+OPERAC[[#This Row],[cantidad]]</f>
        <v/>
      </c>
      <c r="L1690" s="6">
        <f>+OPERAC[[#This Row],[cantidad venta]]*74.848</f>
        <v/>
      </c>
      <c r="M1690" s="7">
        <f>IF(N1690=0,+L1690+H1690,0)</f>
        <v/>
      </c>
      <c r="N1690" s="7">
        <f>IF((+G1690-K1690)=0,0,+G1690-K1690)</f>
        <v/>
      </c>
      <c r="O1690" s="7">
        <f>IF(N1690=0,0,(L1690+H1690)/-N1690)</f>
        <v/>
      </c>
      <c r="P1690" s="7">
        <f>VLOOKUP(OPERAC[[#This Row],[especie]],[1]!ESPECIES[#All],6,0)</f>
        <v/>
      </c>
      <c r="Q1690" s="7">
        <f>IF(N1690&lt;&gt;0,P1690*N1690,0)</f>
        <v/>
      </c>
      <c r="R1690" s="8">
        <f>IF(Q1690&lt;&gt;0,Q1690+H1690+L1690,0)</f>
        <v/>
      </c>
      <c r="S1690" s="9">
        <f>VLOOKUP(OPERAC[[#This Row],[especie]],[1]!ESPECIES[#Data],9,FALSE)</f>
        <v/>
      </c>
    </row>
    <row r="1691">
      <c r="A1691" s="4" t="n">
        <v>22433</v>
      </c>
      <c r="B1691" s="5" t="n">
        <v>44680</v>
      </c>
      <c r="C1691" s="13" t="inlineStr">
        <is>
          <t>VTA</t>
        </is>
      </c>
      <c r="D1691" s="13" t="n">
        <v>42</v>
      </c>
      <c r="E1691" s="10">
        <f>IF(D1691&gt;0,VLOOKUP(OPERAC[[#This Row],[COD CART]],[1]!MatrizCortoLargoCyl[#All],3,0),"")</f>
        <v/>
      </c>
      <c r="F1691" s="14" t="inlineStr">
        <is>
          <t>XLP</t>
        </is>
      </c>
      <c r="G1691" s="6" t="n">
        <v>3</v>
      </c>
      <c r="H1691" s="6" t="n">
        <v>-238.3035075</v>
      </c>
      <c r="I1691" s="7">
        <f>-H1691/G1691</f>
        <v/>
      </c>
      <c r="J1691" s="11" t="n">
        <v>44693</v>
      </c>
      <c r="K1691" s="6">
        <f>+OPERAC[[#This Row],[cantidad]]</f>
        <v/>
      </c>
      <c r="L1691" s="6">
        <f>+OPERAC[[#This Row],[cantidad venta]]*74.848</f>
        <v/>
      </c>
      <c r="M1691" s="7">
        <f>IF(N1691=0,+L1691+H1691,0)</f>
        <v/>
      </c>
      <c r="N1691" s="7">
        <f>IF((+G1691-K1691)=0,0,+G1691-K1691)</f>
        <v/>
      </c>
      <c r="O1691" s="7">
        <f>IF(N1691=0,0,(L1691+H1691)/-N1691)</f>
        <v/>
      </c>
      <c r="P1691" s="7">
        <f>VLOOKUP(OPERAC[[#This Row],[especie]],[1]!ESPECIES[#All],6,0)</f>
        <v/>
      </c>
      <c r="Q1691" s="7">
        <f>IF(N1691&lt;&gt;0,P1691*N1691,0)</f>
        <v/>
      </c>
      <c r="R1691" s="8">
        <f>IF(Q1691&lt;&gt;0,Q1691+H1691+L1691,0)</f>
        <v/>
      </c>
      <c r="S1691" s="9">
        <f>VLOOKUP(OPERAC[[#This Row],[especie]],[1]!ESPECIES[#Data],9,FALSE)</f>
        <v/>
      </c>
    </row>
    <row r="1692">
      <c r="A1692" s="4" t="n">
        <v>22439</v>
      </c>
      <c r="B1692" s="5" t="n">
        <v>44680</v>
      </c>
      <c r="C1692" s="13" t="inlineStr">
        <is>
          <t>VTA</t>
        </is>
      </c>
      <c r="D1692" s="13" t="n">
        <v>42</v>
      </c>
      <c r="E1692" s="10">
        <f>IF(D1692&gt;0,VLOOKUP(OPERAC[[#This Row],[COD CART]],[1]!MatrizCortoLargoCyl[#All],3,0),"")</f>
        <v/>
      </c>
      <c r="F1692" s="14" t="inlineStr">
        <is>
          <t>XLP</t>
        </is>
      </c>
      <c r="G1692" s="6" t="n">
        <v>3</v>
      </c>
      <c r="H1692" s="6" t="n">
        <v>-238.3035075</v>
      </c>
      <c r="I1692" s="7">
        <f>-H1692/G1692</f>
        <v/>
      </c>
      <c r="J1692" s="11" t="n">
        <v>44693</v>
      </c>
      <c r="K1692" s="6">
        <f>+OPERAC[[#This Row],[cantidad]]</f>
        <v/>
      </c>
      <c r="L1692" s="6">
        <f>+OPERAC[[#This Row],[cantidad venta]]*74.848</f>
        <v/>
      </c>
      <c r="M1692" s="7">
        <f>IF(N1692=0,+L1692+H1692,0)</f>
        <v/>
      </c>
      <c r="N1692" s="7">
        <f>IF((+G1692-K1692)=0,0,+G1692-K1692)</f>
        <v/>
      </c>
      <c r="O1692" s="7">
        <f>IF(N1692=0,0,(L1692+H1692)/-N1692)</f>
        <v/>
      </c>
      <c r="P1692" s="7">
        <f>VLOOKUP(OPERAC[[#This Row],[especie]],[1]!ESPECIES[#All],6,0)</f>
        <v/>
      </c>
      <c r="Q1692" s="7">
        <f>IF(N1692&lt;&gt;0,P1692*N1692,0)</f>
        <v/>
      </c>
      <c r="R1692" s="8">
        <f>IF(Q1692&lt;&gt;0,Q1692+H1692+L1692,0)</f>
        <v/>
      </c>
      <c r="S1692" s="9">
        <f>VLOOKUP(OPERAC[[#This Row],[especie]],[1]!ESPECIES[#Data],9,FALSE)</f>
        <v/>
      </c>
    </row>
    <row r="1693">
      <c r="A1693" s="4" t="n">
        <v>26137</v>
      </c>
      <c r="B1693" s="5" t="n">
        <v>44680</v>
      </c>
      <c r="C1693" s="13" t="inlineStr">
        <is>
          <t>VTA</t>
        </is>
      </c>
      <c r="D1693" s="13" t="n">
        <v>42</v>
      </c>
      <c r="E1693" s="10">
        <f>IF(D1693&gt;0,VLOOKUP(OPERAC[[#This Row],[COD CART]],[1]!MatrizCortoLargoCyl[#All],3,0),"")</f>
        <v/>
      </c>
      <c r="F1693" s="14" t="inlineStr">
        <is>
          <t>XLP</t>
        </is>
      </c>
      <c r="G1693" s="6" t="n">
        <v>3</v>
      </c>
      <c r="H1693" s="6" t="n">
        <v>-238.3035075</v>
      </c>
      <c r="I1693" s="7">
        <f>-H1693/G1693</f>
        <v/>
      </c>
      <c r="J1693" s="11" t="n">
        <v>44693</v>
      </c>
      <c r="K1693" s="6">
        <f>+OPERAC[[#This Row],[cantidad]]</f>
        <v/>
      </c>
      <c r="L1693" s="6">
        <f>+OPERAC[[#This Row],[cantidad venta]]*74.848</f>
        <v/>
      </c>
      <c r="M1693" s="7">
        <f>IF(N1693=0,+L1693+H1693,0)</f>
        <v/>
      </c>
      <c r="N1693" s="7">
        <f>IF((+G1693-K1693)=0,0,+G1693-K1693)</f>
        <v/>
      </c>
      <c r="O1693" s="7">
        <f>IF(N1693=0,0,(L1693+H1693)/-N1693)</f>
        <v/>
      </c>
      <c r="P1693" s="7">
        <f>VLOOKUP(OPERAC[[#This Row],[especie]],[1]!ESPECIES[#All],6,0)</f>
        <v/>
      </c>
      <c r="Q1693" s="7">
        <f>IF(N1693&lt;&gt;0,P1693*N1693,0)</f>
        <v/>
      </c>
      <c r="R1693" s="8">
        <f>IF(Q1693&lt;&gt;0,Q1693+H1693+L1693,0)</f>
        <v/>
      </c>
      <c r="S1693" s="9">
        <f>VLOOKUP(OPERAC[[#This Row],[especie]],[1]!ESPECIES[#Data],9,FALSE)</f>
        <v/>
      </c>
    </row>
    <row r="1694">
      <c r="A1694" s="4" t="n">
        <v>26146</v>
      </c>
      <c r="B1694" s="5" t="n">
        <v>44680</v>
      </c>
      <c r="C1694" s="13" t="inlineStr">
        <is>
          <t>VTA</t>
        </is>
      </c>
      <c r="D1694" s="13" t="n">
        <v>42</v>
      </c>
      <c r="E1694" s="10">
        <f>IF(D1694&gt;0,VLOOKUP(OPERAC[[#This Row],[COD CART]],[1]!MatrizCortoLargoCyl[#All],3,0),"")</f>
        <v/>
      </c>
      <c r="F1694" s="14" t="inlineStr">
        <is>
          <t>XLP</t>
        </is>
      </c>
      <c r="G1694" s="6" t="n">
        <v>3</v>
      </c>
      <c r="H1694" s="6" t="n">
        <v>-238.3035075</v>
      </c>
      <c r="I1694" s="7">
        <f>-H1694/G1694</f>
        <v/>
      </c>
      <c r="J1694" s="11" t="n">
        <v>44693</v>
      </c>
      <c r="K1694" s="6">
        <f>+OPERAC[[#This Row],[cantidad]]</f>
        <v/>
      </c>
      <c r="L1694" s="6">
        <f>+OPERAC[[#This Row],[cantidad venta]]*74.848</f>
        <v/>
      </c>
      <c r="M1694" s="7">
        <f>IF(N1694=0,+L1694+H1694,0)</f>
        <v/>
      </c>
      <c r="N1694" s="7">
        <f>IF((+G1694-K1694)=0,0,+G1694-K1694)</f>
        <v/>
      </c>
      <c r="O1694" s="7">
        <f>IF(N1694=0,0,(L1694+H1694)/-N1694)</f>
        <v/>
      </c>
      <c r="P1694" s="7">
        <f>VLOOKUP(OPERAC[[#This Row],[especie]],[1]!ESPECIES[#All],6,0)</f>
        <v/>
      </c>
      <c r="Q1694" s="7">
        <f>IF(N1694&lt;&gt;0,P1694*N1694,0)</f>
        <v/>
      </c>
      <c r="R1694" s="8">
        <f>IF(Q1694&lt;&gt;0,Q1694+H1694+L1694,0)</f>
        <v/>
      </c>
      <c r="S1694" s="9">
        <f>VLOOKUP(OPERAC[[#This Row],[especie]],[1]!ESPECIES[#Data],9,FALSE)</f>
        <v/>
      </c>
    </row>
    <row r="1695">
      <c r="A1695" s="4" t="n">
        <v>1792</v>
      </c>
      <c r="B1695" s="5" t="n">
        <v>44599</v>
      </c>
      <c r="C1695" s="13" t="inlineStr">
        <is>
          <t>VTA</t>
        </is>
      </c>
      <c r="D1695" s="13" t="n">
        <v>40</v>
      </c>
      <c r="E1695" s="10">
        <f>IF(D1695&gt;0,VLOOKUP(OPERAC[[#This Row],[COD CART]],[1]!MatrizCortoLargoCyl[#All],3,0),"")</f>
        <v/>
      </c>
      <c r="F1695" s="13" t="inlineStr">
        <is>
          <t>FB</t>
        </is>
      </c>
      <c r="G1695" s="6" t="n">
        <v>1</v>
      </c>
      <c r="H1695" s="6" t="n">
        <v>-238.46</v>
      </c>
      <c r="I1695" s="7">
        <f>-H1695/G1695</f>
        <v/>
      </c>
      <c r="J1695" s="11" t="n">
        <v>44616</v>
      </c>
      <c r="K1695" s="6">
        <f>+OPERAC[[#This Row],[cantidad]]</f>
        <v/>
      </c>
      <c r="L1695" s="6">
        <f>200.299*OPERAC[[#This Row],[cantidad venta]]</f>
        <v/>
      </c>
      <c r="M1695" s="7">
        <f>IF(N1695=0,+L1695+H1695,0)</f>
        <v/>
      </c>
      <c r="N1695" s="7">
        <f>IF((+G1695-K1695)=0,0,+G1695-K1695)</f>
        <v/>
      </c>
      <c r="O1695" s="7">
        <f>IF(N1695=0,0,(L1695+H1695)/-N1695)</f>
        <v/>
      </c>
      <c r="P1695" s="7">
        <f>VLOOKUP(OPERAC[[#This Row],[especie]],[1]!ESPECIES[#All],6,0)</f>
        <v/>
      </c>
      <c r="Q1695" s="7">
        <f>IF(N1695&lt;&gt;0,P1695*N1695,0)</f>
        <v/>
      </c>
      <c r="R1695" s="8">
        <f>IF(Q1695&lt;&gt;0,Q1695+H1695+L1695,0)</f>
        <v/>
      </c>
      <c r="S1695" s="9">
        <f>VLOOKUP(OPERAC[[#This Row],[especie]],[1]!ESPECIES[#Data],9,FALSE)</f>
        <v/>
      </c>
    </row>
    <row r="1696">
      <c r="A1696" s="4" t="n">
        <v>1800</v>
      </c>
      <c r="B1696" s="5" t="n">
        <v>44599</v>
      </c>
      <c r="C1696" s="13" t="inlineStr">
        <is>
          <t>VTA</t>
        </is>
      </c>
      <c r="D1696" s="13" t="n">
        <v>40</v>
      </c>
      <c r="E1696" s="10">
        <f>IF(D1696&gt;0,VLOOKUP(OPERAC[[#This Row],[COD CART]],[1]!MatrizCortoLargoCyl[#All],3,0),"")</f>
        <v/>
      </c>
      <c r="F1696" s="13" t="inlineStr">
        <is>
          <t>FB</t>
        </is>
      </c>
      <c r="G1696" s="6" t="n">
        <v>1</v>
      </c>
      <c r="H1696" s="6" t="n">
        <v>-238.46</v>
      </c>
      <c r="I1696" s="7">
        <f>-H1696/G1696</f>
        <v/>
      </c>
      <c r="J1696" s="11" t="n">
        <v>44616</v>
      </c>
      <c r="K1696" s="6">
        <f>+OPERAC[[#This Row],[cantidad]]</f>
        <v/>
      </c>
      <c r="L1696" s="6">
        <f>200.299*OPERAC[[#This Row],[cantidad venta]]</f>
        <v/>
      </c>
      <c r="M1696" s="7">
        <f>IF(N1696=0,+L1696+H1696,0)</f>
        <v/>
      </c>
      <c r="N1696" s="7">
        <f>IF((+G1696-K1696)=0,0,+G1696-K1696)</f>
        <v/>
      </c>
      <c r="O1696" s="7">
        <f>IF(N1696=0,0,(L1696+H1696)/-N1696)</f>
        <v/>
      </c>
      <c r="P1696" s="7">
        <f>VLOOKUP(OPERAC[[#This Row],[especie]],[1]!ESPECIES[#All],6,0)</f>
        <v/>
      </c>
      <c r="Q1696" s="7">
        <f>IF(N1696&lt;&gt;0,P1696*N1696,0)</f>
        <v/>
      </c>
      <c r="R1696" s="8">
        <f>IF(Q1696&lt;&gt;0,Q1696+H1696+L1696,0)</f>
        <v/>
      </c>
      <c r="S1696" s="9">
        <f>VLOOKUP(OPERAC[[#This Row],[especie]],[1]!ESPECIES[#Data],9,FALSE)</f>
        <v/>
      </c>
    </row>
    <row r="1697">
      <c r="A1697" s="4" t="n">
        <v>2211</v>
      </c>
      <c r="B1697" s="5" t="n">
        <v>44599</v>
      </c>
      <c r="C1697" s="13" t="inlineStr">
        <is>
          <t>VTA</t>
        </is>
      </c>
      <c r="D1697" s="13" t="n">
        <v>40</v>
      </c>
      <c r="E1697" s="10">
        <f>IF(D1697&gt;0,VLOOKUP(OPERAC[[#This Row],[COD CART]],[1]!MatrizCortoLargoCyl[#All],3,0),"")</f>
        <v/>
      </c>
      <c r="F1697" s="13" t="inlineStr">
        <is>
          <t>FB</t>
        </is>
      </c>
      <c r="G1697" s="6" t="n">
        <v>1</v>
      </c>
      <c r="H1697" s="6" t="n">
        <v>-238.46</v>
      </c>
      <c r="I1697" s="7">
        <f>-H1697/G1697</f>
        <v/>
      </c>
      <c r="J1697" s="11" t="n">
        <v>44616</v>
      </c>
      <c r="K1697" s="6">
        <f>+OPERAC[[#This Row],[cantidad]]</f>
        <v/>
      </c>
      <c r="L1697" s="6">
        <f>200.299*OPERAC[[#This Row],[cantidad venta]]</f>
        <v/>
      </c>
      <c r="M1697" s="7">
        <f>IF(N1697=0,+L1697+H1697,0)</f>
        <v/>
      </c>
      <c r="N1697" s="7">
        <f>IF((+G1697-K1697)=0,0,+G1697-K1697)</f>
        <v/>
      </c>
      <c r="O1697" s="7">
        <f>IF(N1697=0,0,(L1697+H1697)/-N1697)</f>
        <v/>
      </c>
      <c r="P1697" s="7">
        <f>VLOOKUP(OPERAC[[#This Row],[especie]],[1]!ESPECIES[#All],6,0)</f>
        <v/>
      </c>
      <c r="Q1697" s="7">
        <f>IF(N1697&lt;&gt;0,P1697*N1697,0)</f>
        <v/>
      </c>
      <c r="R1697" s="8">
        <f>IF(Q1697&lt;&gt;0,Q1697+H1697+L1697,0)</f>
        <v/>
      </c>
      <c r="S1697" s="9">
        <f>VLOOKUP(OPERAC[[#This Row],[especie]],[1]!ESPECIES[#Data],9,FALSE)</f>
        <v/>
      </c>
    </row>
    <row r="1698">
      <c r="A1698" s="4" t="n">
        <v>2253</v>
      </c>
      <c r="B1698" s="5" t="n">
        <v>44599</v>
      </c>
      <c r="C1698" s="13" t="inlineStr">
        <is>
          <t>VTA</t>
        </is>
      </c>
      <c r="D1698" s="13" t="n">
        <v>40</v>
      </c>
      <c r="E1698" s="10">
        <f>IF(D1698&gt;0,VLOOKUP(OPERAC[[#This Row],[COD CART]],[1]!MatrizCortoLargoCyl[#All],3,0),"")</f>
        <v/>
      </c>
      <c r="F1698" s="13" t="inlineStr">
        <is>
          <t>FB</t>
        </is>
      </c>
      <c r="G1698" s="6" t="n">
        <v>1</v>
      </c>
      <c r="H1698" s="6" t="n">
        <v>-238.46</v>
      </c>
      <c r="I1698" s="7">
        <f>-H1698/G1698</f>
        <v/>
      </c>
      <c r="J1698" s="11" t="n">
        <v>44616</v>
      </c>
      <c r="K1698" s="6">
        <f>+OPERAC[[#This Row],[cantidad]]</f>
        <v/>
      </c>
      <c r="L1698" s="6">
        <f>200.299*OPERAC[[#This Row],[cantidad venta]]</f>
        <v/>
      </c>
      <c r="M1698" s="7">
        <f>IF(N1698=0,+L1698+H1698,0)</f>
        <v/>
      </c>
      <c r="N1698" s="7">
        <f>IF((+G1698-K1698)=0,0,+G1698-K1698)</f>
        <v/>
      </c>
      <c r="O1698" s="7">
        <f>IF(N1698=0,0,(L1698+H1698)/-N1698)</f>
        <v/>
      </c>
      <c r="P1698" s="7">
        <f>VLOOKUP(OPERAC[[#This Row],[especie]],[1]!ESPECIES[#All],6,0)</f>
        <v/>
      </c>
      <c r="Q1698" s="7">
        <f>IF(N1698&lt;&gt;0,P1698*N1698,0)</f>
        <v/>
      </c>
      <c r="R1698" s="8">
        <f>IF(Q1698&lt;&gt;0,Q1698+H1698+L1698,0)</f>
        <v/>
      </c>
      <c r="S1698" s="9">
        <f>VLOOKUP(OPERAC[[#This Row],[especie]],[1]!ESPECIES[#Data],9,FALSE)</f>
        <v/>
      </c>
    </row>
    <row r="1699">
      <c r="A1699" s="4" t="n">
        <v>25070</v>
      </c>
      <c r="B1699" s="5" t="n">
        <v>44599</v>
      </c>
      <c r="C1699" s="13" t="inlineStr">
        <is>
          <t>VTA</t>
        </is>
      </c>
      <c r="D1699" s="13" t="n">
        <v>40</v>
      </c>
      <c r="E1699" s="10">
        <f>IF(D1699&gt;0,VLOOKUP(OPERAC[[#This Row],[COD CART]],[1]!MatrizCortoLargoCyl[#All],3,0),"")</f>
        <v/>
      </c>
      <c r="F1699" s="13" t="inlineStr">
        <is>
          <t>FB</t>
        </is>
      </c>
      <c r="G1699" s="6" t="n">
        <v>1</v>
      </c>
      <c r="H1699" s="6" t="n">
        <v>-238.46</v>
      </c>
      <c r="I1699" s="7">
        <f>-H1699/G1699</f>
        <v/>
      </c>
      <c r="J1699" s="11" t="n">
        <v>44616</v>
      </c>
      <c r="K1699" s="6">
        <f>+OPERAC[[#This Row],[cantidad]]</f>
        <v/>
      </c>
      <c r="L1699" s="6">
        <f>200.299*OPERAC[[#This Row],[cantidad venta]]</f>
        <v/>
      </c>
      <c r="M1699" s="7">
        <f>IF(N1699=0,+L1699+H1699,0)</f>
        <v/>
      </c>
      <c r="N1699" s="7">
        <f>IF((+G1699-K1699)=0,0,+G1699-K1699)</f>
        <v/>
      </c>
      <c r="O1699" s="7">
        <f>IF(N1699=0,0,(L1699+H1699)/-N1699)</f>
        <v/>
      </c>
      <c r="P1699" s="7">
        <f>VLOOKUP(OPERAC[[#This Row],[especie]],[1]!ESPECIES[#All],6,0)</f>
        <v/>
      </c>
      <c r="Q1699" s="7">
        <f>IF(N1699&lt;&gt;0,P1699*N1699,0)</f>
        <v/>
      </c>
      <c r="R1699" s="8">
        <f>IF(Q1699&lt;&gt;0,Q1699+H1699+L1699,0)</f>
        <v/>
      </c>
      <c r="S1699" s="9">
        <f>VLOOKUP(OPERAC[[#This Row],[especie]],[1]!ESPECIES[#Data],9,FALSE)</f>
        <v/>
      </c>
    </row>
    <row r="1700">
      <c r="A1700" s="4" t="n">
        <v>7879</v>
      </c>
      <c r="B1700" s="5" t="n">
        <v>44707</v>
      </c>
      <c r="C1700" s="13" t="inlineStr">
        <is>
          <t>VTA</t>
        </is>
      </c>
      <c r="D1700" s="13" t="n">
        <v>41</v>
      </c>
      <c r="E1700" s="10">
        <f>IF(D1700&gt;0,VLOOKUP(OPERAC[[#This Row],[COD CART]],[1]!MatrizCortoLargoCyl[#All],3,0),"")</f>
        <v/>
      </c>
      <c r="F1700" s="13" t="inlineStr">
        <is>
          <t>ETHE</t>
        </is>
      </c>
      <c r="G1700" s="6" t="n">
        <v>20</v>
      </c>
      <c r="H1700" s="6" t="n">
        <v>-238.676</v>
      </c>
      <c r="I1700" s="7">
        <f>-H1700/G1700</f>
        <v/>
      </c>
      <c r="J1700" s="5" t="n"/>
      <c r="K1700" s="6" t="n"/>
      <c r="L1700" s="6" t="n"/>
      <c r="M1700" s="7">
        <f>IF(N1700=0,+L1700+H1700,0)</f>
        <v/>
      </c>
      <c r="N1700" s="7">
        <f>IF((+G1700-K1700)=0,0,+G1700-K1700)</f>
        <v/>
      </c>
      <c r="O1700" s="7" t="n">
        <v>31.09</v>
      </c>
      <c r="P1700" s="7">
        <f>VLOOKUP(OPERAC[[#This Row],[especie]],[1]!ESPECIES[#All],6,0)</f>
        <v/>
      </c>
      <c r="Q1700" s="7">
        <f>IF(N1700&lt;&gt;0,P1700*N1700,0)</f>
        <v/>
      </c>
      <c r="R1700" s="8">
        <f>IF(Q1700&lt;&gt;0,Q1700+H1700+L1700,0)</f>
        <v/>
      </c>
      <c r="S1700" s="9">
        <f>VLOOKUP(OPERAC[[#This Row],[especie]],[1]!ESPECIES[#Data],9,FALSE)</f>
        <v/>
      </c>
    </row>
    <row r="1701">
      <c r="A1701" s="4" t="n">
        <v>22399</v>
      </c>
      <c r="B1701" s="5" t="n">
        <v>43831</v>
      </c>
      <c r="C1701" s="13" t="inlineStr">
        <is>
          <t>VTA</t>
        </is>
      </c>
      <c r="D1701" s="13" t="n">
        <v>31</v>
      </c>
      <c r="E1701" s="10">
        <f>IF(D1701&gt;0,VLOOKUP(OPERAC[[#This Row],[COD CART]],[1]!MatrizCortoLargoCyl[#All],3,0),"")</f>
        <v/>
      </c>
      <c r="F1701" s="13" t="inlineStr">
        <is>
          <t>YPF</t>
        </is>
      </c>
      <c r="G1701" s="6" t="n">
        <v>30</v>
      </c>
      <c r="H1701" s="6" t="n">
        <v>-240.37656</v>
      </c>
      <c r="I1701" s="7" t="n">
        <v>8.012551999999999</v>
      </c>
      <c r="J1701" s="5" t="n">
        <v>44617</v>
      </c>
      <c r="K1701" s="6" t="n">
        <v>30</v>
      </c>
      <c r="L1701" s="6" t="n">
        <v>127.712</v>
      </c>
      <c r="M1701" s="7">
        <f>IF(N1701=0,+L1701+H1701,0)</f>
        <v/>
      </c>
      <c r="N1701" s="7">
        <f>IF((+G1701-K1701)=0,0,+G1701-K1701)</f>
        <v/>
      </c>
      <c r="O1701" s="7">
        <f>IF(N1701=0,0,(L1701+H1701)/-N1701)</f>
        <v/>
      </c>
      <c r="P1701" s="7">
        <f>VLOOKUP(OPERAC[[#This Row],[especie]],[1]!ESPECIES[#All],6,0)</f>
        <v/>
      </c>
      <c r="Q1701" s="7">
        <f>IF(N1701&lt;&gt;0,P1701*N1701,0)</f>
        <v/>
      </c>
      <c r="R1701" s="8">
        <f>IF(Q1701&lt;&gt;0,Q1701+H1701+L1701,0)</f>
        <v/>
      </c>
      <c r="S1701" s="9">
        <f>VLOOKUP(OPERAC[[#This Row],[especie]],[1]!ESPECIES[#Data],9,FALSE)</f>
        <v/>
      </c>
    </row>
    <row r="1702">
      <c r="A1702" s="4" t="n">
        <v>1000</v>
      </c>
      <c r="B1702" s="5" t="n">
        <v>44573</v>
      </c>
      <c r="C1702" s="13" t="inlineStr">
        <is>
          <t>VTA</t>
        </is>
      </c>
      <c r="D1702" s="13" t="n">
        <v>41</v>
      </c>
      <c r="E1702" s="10">
        <f>IF(D1702&gt;0,VLOOKUP(OPERAC[[#This Row],[COD CART]],[1]!MatrizCortoLargoCyl[#All],3,0),"")</f>
        <v/>
      </c>
      <c r="F1702" s="13" t="inlineStr">
        <is>
          <t>EDIT</t>
        </is>
      </c>
      <c r="G1702" s="6" t="n">
        <v>10</v>
      </c>
      <c r="H1702" s="6" t="n">
        <v>-241</v>
      </c>
      <c r="I1702" s="7">
        <f>-H1702/G1702</f>
        <v/>
      </c>
      <c r="J1702" s="11" t="n"/>
      <c r="K1702" s="6" t="n"/>
      <c r="L1702" s="6" t="n"/>
      <c r="M1702" s="7">
        <f>IF(N1702=0,+L1702+H1702,0)</f>
        <v/>
      </c>
      <c r="N1702" s="7">
        <f>IF((+G1702-K1702)=0,0,+G1702-K1702)</f>
        <v/>
      </c>
      <c r="O1702" s="7">
        <f>IF(N1702=0,0,(L1702+H1702)/-N1702)</f>
        <v/>
      </c>
      <c r="P1702" s="7">
        <f>VLOOKUP(OPERAC[[#This Row],[especie]],[1]!ESPECIES[#All],6,0)</f>
        <v/>
      </c>
      <c r="Q1702" s="7">
        <f>IF(N1702&lt;&gt;0,P1702*N1702,0)</f>
        <v/>
      </c>
      <c r="R1702" s="8">
        <f>IF(Q1702&lt;&gt;0,Q1702+H1702+L1702,0)</f>
        <v/>
      </c>
      <c r="S1702" s="9">
        <f>VLOOKUP(OPERAC[[#This Row],[especie]],[1]!ESPECIES[#Data],9,FALSE)</f>
        <v/>
      </c>
    </row>
    <row r="1703">
      <c r="A1703" s="4" t="n">
        <v>13253</v>
      </c>
      <c r="B1703" s="5" t="n">
        <v>44536</v>
      </c>
      <c r="C1703" s="13" t="inlineStr">
        <is>
          <t>VTA</t>
        </is>
      </c>
      <c r="D1703" s="13" t="n">
        <v>41</v>
      </c>
      <c r="E1703" s="10">
        <f>IF(D1703&gt;0,VLOOKUP(OPERAC[[#This Row],[COD CART]],[1]!MatrizCortoLargoCyl[#All],3,0),"")</f>
        <v/>
      </c>
      <c r="F1703" s="13" t="inlineStr">
        <is>
          <t>SPWR</t>
        </is>
      </c>
      <c r="G1703" s="6" t="n">
        <v>10</v>
      </c>
      <c r="H1703" s="6" t="n">
        <v>-241.2064</v>
      </c>
      <c r="I1703" s="7">
        <f>-H1703/G1703</f>
        <v/>
      </c>
      <c r="J1703" s="11" t="n">
        <v>44585</v>
      </c>
      <c r="K1703" s="6" t="n">
        <v>10</v>
      </c>
      <c r="L1703" s="6">
        <f>16.368*OPERAC[[#This Row],[cantidad venta]]</f>
        <v/>
      </c>
      <c r="M1703" s="7">
        <f>IF(N1703=0,+L1703+H1703,0)</f>
        <v/>
      </c>
      <c r="N1703" s="7">
        <f>IF((+G1703-K1703)=0,0,+G1703-K1703)</f>
        <v/>
      </c>
      <c r="O1703" s="7">
        <f>IF(N1703=0,0,(L1703+H1703)/-N1703)</f>
        <v/>
      </c>
      <c r="P1703" s="7">
        <f>VLOOKUP(OPERAC[[#This Row],[especie]],[1]!ESPECIES[#All],6,0)</f>
        <v/>
      </c>
      <c r="Q1703" s="7">
        <f>IF(N1703&lt;&gt;0,P1703*N1703,0)</f>
        <v/>
      </c>
      <c r="R1703" s="8">
        <f>IF(Q1703&lt;&gt;0,Q1703+H1703+L1703,0)</f>
        <v/>
      </c>
      <c r="S1703" s="9">
        <f>VLOOKUP(OPERAC[[#This Row],[especie]],[1]!ESPECIES[#Data],9,FALSE)</f>
        <v/>
      </c>
    </row>
    <row r="1704">
      <c r="A1704" s="4" t="n">
        <v>18663</v>
      </c>
      <c r="B1704" s="5" t="n">
        <v>44582</v>
      </c>
      <c r="C1704" s="13" t="inlineStr">
        <is>
          <t>VTA</t>
        </is>
      </c>
      <c r="D1704" s="13" t="n">
        <v>41</v>
      </c>
      <c r="E1704" s="10">
        <f>IF(D1704&gt;0,VLOOKUP(OPERAC[[#This Row],[COD CART]],[1]!MatrizCortoLargoCyl[#All],3,0),"")</f>
        <v/>
      </c>
      <c r="F1704" s="13" t="inlineStr">
        <is>
          <t>SPWR</t>
        </is>
      </c>
      <c r="G1704" s="6" t="n">
        <v>15</v>
      </c>
      <c r="H1704" s="6" t="n">
        <v>-241.71</v>
      </c>
      <c r="I1704" s="7">
        <f>-H1704/G1704</f>
        <v/>
      </c>
      <c r="J1704" s="11" t="n">
        <v>44587</v>
      </c>
      <c r="K1704" s="6" t="n">
        <v>15</v>
      </c>
      <c r="L1704" s="6" t="n">
        <v>251.31</v>
      </c>
      <c r="M1704" s="7">
        <f>IF(N1704=0,+L1704+H1704,0)</f>
        <v/>
      </c>
      <c r="N1704" s="7">
        <f>IF((+G1704-K1704)=0,0,+G1704-K1704)</f>
        <v/>
      </c>
      <c r="O1704" s="7">
        <f>IF(N1704=0,0,(L1704+H1704)/-N1704)</f>
        <v/>
      </c>
      <c r="P1704" s="7">
        <f>VLOOKUP(OPERAC[[#This Row],[especie]],[1]!ESPECIES[#All],6,0)</f>
        <v/>
      </c>
      <c r="Q1704" s="7">
        <f>IF(N1704&lt;&gt;0,P1704*N1704,0)</f>
        <v/>
      </c>
      <c r="R1704" s="8">
        <f>IF(Q1704&lt;&gt;0,Q1704+H1704+L1704,0)</f>
        <v/>
      </c>
      <c r="S1704" s="9">
        <f>VLOOKUP(OPERAC[[#This Row],[especie]],[1]!ESPECIES[#Data],9,FALSE)</f>
        <v/>
      </c>
    </row>
    <row r="1705">
      <c r="A1705" s="4" t="n">
        <v>3820</v>
      </c>
      <c r="B1705" s="5" t="n">
        <v>44636</v>
      </c>
      <c r="C1705" s="13" t="inlineStr">
        <is>
          <t>VTA</t>
        </is>
      </c>
      <c r="D1705" s="13" t="n">
        <v>43</v>
      </c>
      <c r="E1705" s="10">
        <f>IF(D1705&gt;0,VLOOKUP(OPERAC[[#This Row],[COD CART]],[1]!MatrizCortoLargoCyl[#All],3,0),"")</f>
        <v/>
      </c>
      <c r="F1705" s="13" t="inlineStr">
        <is>
          <t>GMBL/CYL-PUT/1,00/20-01-23</t>
        </is>
      </c>
      <c r="G1705" s="6" t="n">
        <v>1500</v>
      </c>
      <c r="H1705" s="6" t="n">
        <v>-245.0829749999998</v>
      </c>
      <c r="I1705" s="7">
        <f>-H1705/G1705</f>
        <v/>
      </c>
      <c r="J1705" s="11" t="n">
        <v>44706</v>
      </c>
      <c r="K1705" s="6" t="n">
        <v>500</v>
      </c>
      <c r="L1705" s="6" t="n">
        <v>121.252</v>
      </c>
      <c r="M1705" s="7">
        <f>IF(N1705=0,+L1705+H1705,0)</f>
        <v/>
      </c>
      <c r="N1705" s="7">
        <f>IF((+G1705-K1705)=0,0,+G1705-K1705)</f>
        <v/>
      </c>
      <c r="O1705" s="7">
        <f>IF(N1705=0,0,(L1705+H1705)/-N1705)</f>
        <v/>
      </c>
      <c r="P1705" s="7">
        <f>VLOOKUP(OPERAC[[#This Row],[especie]],[1]!ESPECIES[#All],6,0)</f>
        <v/>
      </c>
      <c r="Q1705" s="7">
        <f>IF(N1705&lt;&gt;0,P1705*N1705,0)</f>
        <v/>
      </c>
      <c r="R1705" s="8">
        <f>IF(Q1705&lt;&gt;0,Q1705+H1705+L1705,0)</f>
        <v/>
      </c>
      <c r="S1705" s="9">
        <f>VLOOKUP(OPERAC[[#This Row],[especie]],[1]!ESPECIES[#Data],9,FALSE)</f>
        <v/>
      </c>
    </row>
    <row r="1706">
      <c r="A1706" s="4" t="n">
        <v>3853</v>
      </c>
      <c r="B1706" s="5" t="n">
        <v>44636</v>
      </c>
      <c r="C1706" s="13" t="inlineStr">
        <is>
          <t>VTA</t>
        </is>
      </c>
      <c r="D1706" s="13" t="n">
        <v>43</v>
      </c>
      <c r="E1706" s="10">
        <f>IF(D1706&gt;0,VLOOKUP(OPERAC[[#This Row],[COD CART]],[1]!MatrizCortoLargoCyl[#All],3,0),"")</f>
        <v/>
      </c>
      <c r="F1706" s="13" t="inlineStr">
        <is>
          <t>GMBL/CYL-PUT/1,00/20-01-23</t>
        </is>
      </c>
      <c r="G1706" s="6" t="n">
        <v>1500</v>
      </c>
      <c r="H1706" s="6" t="n">
        <v>-245.0829749999998</v>
      </c>
      <c r="I1706" s="7">
        <f>-H1706/G1706</f>
        <v/>
      </c>
      <c r="J1706" s="11" t="n"/>
      <c r="K1706" s="6" t="n"/>
      <c r="L1706" s="6" t="n"/>
      <c r="M1706" s="7">
        <f>IF(N1706=0,+L1706+H1706,0)</f>
        <v/>
      </c>
      <c r="N1706" s="7">
        <f>IF((+G1706-K1706)=0,0,+G1706-K1706)</f>
        <v/>
      </c>
      <c r="O1706" s="7">
        <f>IF(N1706=0,0,(L1706+H1706)/-N1706)</f>
        <v/>
      </c>
      <c r="P1706" s="7">
        <f>VLOOKUP(OPERAC[[#This Row],[especie]],[1]!ESPECIES[#All],6,0)</f>
        <v/>
      </c>
      <c r="Q1706" s="7">
        <f>IF(N1706&lt;&gt;0,P1706*N1706,0)</f>
        <v/>
      </c>
      <c r="R1706" s="8">
        <f>IF(Q1706&lt;&gt;0,Q1706+H1706+L1706,0)</f>
        <v/>
      </c>
      <c r="S1706" s="9">
        <f>VLOOKUP(OPERAC[[#This Row],[especie]],[1]!ESPECIES[#Data],9,FALSE)</f>
        <v/>
      </c>
    </row>
    <row r="1707">
      <c r="A1707" s="4" t="n">
        <v>6579</v>
      </c>
      <c r="B1707" s="5" t="n">
        <v>44636</v>
      </c>
      <c r="C1707" s="13" t="inlineStr">
        <is>
          <t>VTA</t>
        </is>
      </c>
      <c r="D1707" s="13" t="n">
        <v>43</v>
      </c>
      <c r="E1707" s="10">
        <f>IF(D1707&gt;0,VLOOKUP(OPERAC[[#This Row],[COD CART]],[1]!MatrizCortoLargoCyl[#All],3,0),"")</f>
        <v/>
      </c>
      <c r="F1707" s="13" t="inlineStr">
        <is>
          <t>GMBL/CYL-PUT/1,00/20-01-23</t>
        </is>
      </c>
      <c r="G1707" s="6" t="n">
        <v>1500</v>
      </c>
      <c r="H1707" s="6" t="n">
        <v>-245.0829749999998</v>
      </c>
      <c r="I1707" s="7">
        <f>-H1707/G1707</f>
        <v/>
      </c>
      <c r="J1707" s="11" t="n"/>
      <c r="K1707" s="6" t="n"/>
      <c r="L1707" s="6" t="n"/>
      <c r="M1707" s="7">
        <f>IF(N1707=0,+L1707+H1707,0)</f>
        <v/>
      </c>
      <c r="N1707" s="7">
        <f>IF((+G1707-K1707)=0,0,+G1707-K1707)</f>
        <v/>
      </c>
      <c r="O1707" s="7">
        <f>IF(N1707=0,0,(L1707+H1707)/-N1707)</f>
        <v/>
      </c>
      <c r="P1707" s="7">
        <f>VLOOKUP(OPERAC[[#This Row],[especie]],[1]!ESPECIES[#All],6,0)</f>
        <v/>
      </c>
      <c r="Q1707" s="7">
        <f>IF(N1707&lt;&gt;0,P1707*N1707,0)</f>
        <v/>
      </c>
      <c r="R1707" s="8">
        <f>IF(Q1707&lt;&gt;0,Q1707+H1707+L1707,0)</f>
        <v/>
      </c>
      <c r="S1707" s="9">
        <f>VLOOKUP(OPERAC[[#This Row],[especie]],[1]!ESPECIES[#Data],9,FALSE)</f>
        <v/>
      </c>
    </row>
    <row r="1708">
      <c r="A1708" s="4" t="n">
        <v>12619</v>
      </c>
      <c r="B1708" s="5" t="n">
        <v>44636</v>
      </c>
      <c r="C1708" s="13" t="inlineStr">
        <is>
          <t>VTA</t>
        </is>
      </c>
      <c r="D1708" s="13" t="n">
        <v>43</v>
      </c>
      <c r="E1708" s="10">
        <f>IF(D1708&gt;0,VLOOKUP(OPERAC[[#This Row],[COD CART]],[1]!MatrizCortoLargoCyl[#All],3,0),"")</f>
        <v/>
      </c>
      <c r="F1708" s="13" t="inlineStr">
        <is>
          <t>GMBL/CYL-PUT/1,00/20-01-23</t>
        </is>
      </c>
      <c r="G1708" s="6" t="n">
        <v>1500</v>
      </c>
      <c r="H1708" s="6" t="n">
        <v>-245.0829749999998</v>
      </c>
      <c r="I1708" s="7">
        <f>-H1708/G1708</f>
        <v/>
      </c>
      <c r="J1708" s="11" t="n"/>
      <c r="K1708" s="6" t="n"/>
      <c r="L1708" s="6" t="n"/>
      <c r="M1708" s="7">
        <f>IF(N1708=0,+L1708+H1708,0)</f>
        <v/>
      </c>
      <c r="N1708" s="7">
        <f>IF((+G1708-K1708)=0,0,+G1708-K1708)</f>
        <v/>
      </c>
      <c r="O1708" s="7">
        <f>IF(N1708=0,0,(L1708+H1708)/-N1708)</f>
        <v/>
      </c>
      <c r="P1708" s="7">
        <f>VLOOKUP(OPERAC[[#This Row],[especie]],[1]!ESPECIES[#All],6,0)</f>
        <v/>
      </c>
      <c r="Q1708" s="7">
        <f>IF(N1708&lt;&gt;0,P1708*N1708,0)</f>
        <v/>
      </c>
      <c r="R1708" s="8">
        <f>IF(Q1708&lt;&gt;0,Q1708+H1708+L1708,0)</f>
        <v/>
      </c>
      <c r="S1708" s="9">
        <f>VLOOKUP(OPERAC[[#This Row],[especie]],[1]!ESPECIES[#Data],9,FALSE)</f>
        <v/>
      </c>
    </row>
    <row r="1709">
      <c r="A1709" s="4" t="n">
        <v>12652</v>
      </c>
      <c r="B1709" s="5" t="n">
        <v>44636</v>
      </c>
      <c r="C1709" s="13" t="inlineStr">
        <is>
          <t>VTA</t>
        </is>
      </c>
      <c r="D1709" s="13" t="n">
        <v>43</v>
      </c>
      <c r="E1709" s="10">
        <f>IF(D1709&gt;0,VLOOKUP(OPERAC[[#This Row],[COD CART]],[1]!MatrizCortoLargoCyl[#All],3,0),"")</f>
        <v/>
      </c>
      <c r="F1709" s="13" t="inlineStr">
        <is>
          <t>GMBL/CYL-PUT/1,00/20-01-23</t>
        </is>
      </c>
      <c r="G1709" s="6" t="n">
        <v>1500</v>
      </c>
      <c r="H1709" s="6" t="n">
        <v>-245.0829749999998</v>
      </c>
      <c r="I1709" s="7">
        <f>-H1709/G1709</f>
        <v/>
      </c>
      <c r="J1709" s="11" t="n"/>
      <c r="K1709" s="6" t="n"/>
      <c r="L1709" s="6" t="n"/>
      <c r="M1709" s="7">
        <f>IF(N1709=0,+L1709+H1709,0)</f>
        <v/>
      </c>
      <c r="N1709" s="7">
        <f>IF((+G1709-K1709)=0,0,+G1709-K1709)</f>
        <v/>
      </c>
      <c r="O1709" s="7">
        <f>IF(N1709=0,0,(L1709+H1709)/-N1709)</f>
        <v/>
      </c>
      <c r="P1709" s="7">
        <f>VLOOKUP(OPERAC[[#This Row],[especie]],[1]!ESPECIES[#All],6,0)</f>
        <v/>
      </c>
      <c r="Q1709" s="7">
        <f>IF(N1709&lt;&gt;0,P1709*N1709,0)</f>
        <v/>
      </c>
      <c r="R1709" s="8">
        <f>IF(Q1709&lt;&gt;0,Q1709+H1709+L1709,0)</f>
        <v/>
      </c>
      <c r="S1709" s="9">
        <f>VLOOKUP(OPERAC[[#This Row],[especie]],[1]!ESPECIES[#Data],9,FALSE)</f>
        <v/>
      </c>
    </row>
    <row r="1710">
      <c r="A1710" s="4" t="n">
        <v>13271</v>
      </c>
      <c r="B1710" s="5" t="n">
        <v>44636</v>
      </c>
      <c r="C1710" s="13" t="inlineStr">
        <is>
          <t>VTA</t>
        </is>
      </c>
      <c r="D1710" s="13" t="n">
        <v>43</v>
      </c>
      <c r="E1710" s="10">
        <f>IF(D1710&gt;0,VLOOKUP(OPERAC[[#This Row],[COD CART]],[1]!MatrizCortoLargoCyl[#All],3,0),"")</f>
        <v/>
      </c>
      <c r="F1710" s="13" t="inlineStr">
        <is>
          <t>GMBL/CYL-PUT/1,00/20-01-23</t>
        </is>
      </c>
      <c r="G1710" s="6" t="n">
        <v>1500</v>
      </c>
      <c r="H1710" s="6" t="n">
        <v>-245.0829749999998</v>
      </c>
      <c r="I1710" s="7">
        <f>-H1710/G1710</f>
        <v/>
      </c>
      <c r="J1710" s="11" t="n"/>
      <c r="K1710" s="6" t="n"/>
      <c r="L1710" s="6" t="n"/>
      <c r="M1710" s="7">
        <f>IF(N1710=0,+L1710+H1710,0)</f>
        <v/>
      </c>
      <c r="N1710" s="7">
        <f>IF((+G1710-K1710)=0,0,+G1710-K1710)</f>
        <v/>
      </c>
      <c r="O1710" s="7">
        <f>IF(N1710=0,0,(L1710+H1710)/-N1710)</f>
        <v/>
      </c>
      <c r="P1710" s="7">
        <f>VLOOKUP(OPERAC[[#This Row],[especie]],[1]!ESPECIES[#All],6,0)</f>
        <v/>
      </c>
      <c r="Q1710" s="7">
        <f>IF(N1710&lt;&gt;0,P1710*N1710,0)</f>
        <v/>
      </c>
      <c r="R1710" s="8">
        <f>IF(Q1710&lt;&gt;0,Q1710+H1710+L1710,0)</f>
        <v/>
      </c>
      <c r="S1710" s="9">
        <f>VLOOKUP(OPERAC[[#This Row],[especie]],[1]!ESPECIES[#Data],9,FALSE)</f>
        <v/>
      </c>
    </row>
    <row r="1711">
      <c r="A1711" s="4" t="n">
        <v>13273</v>
      </c>
      <c r="B1711" s="5" t="n">
        <v>44636</v>
      </c>
      <c r="C1711" s="13" t="inlineStr">
        <is>
          <t>VTA</t>
        </is>
      </c>
      <c r="D1711" s="13" t="n">
        <v>43</v>
      </c>
      <c r="E1711" s="10">
        <f>IF(D1711&gt;0,VLOOKUP(OPERAC[[#This Row],[COD CART]],[1]!MatrizCortoLargoCyl[#All],3,0),"")</f>
        <v/>
      </c>
      <c r="F1711" s="13" t="inlineStr">
        <is>
          <t>GMBL/CYL-PUT/1,00/20-01-23</t>
        </is>
      </c>
      <c r="G1711" s="6" t="n">
        <v>1500</v>
      </c>
      <c r="H1711" s="6" t="n">
        <v>-245.0829749999998</v>
      </c>
      <c r="I1711" s="7">
        <f>-H1711/G1711</f>
        <v/>
      </c>
      <c r="J1711" s="11" t="n">
        <v>44705</v>
      </c>
      <c r="K1711" s="6" t="n">
        <v>1000</v>
      </c>
      <c r="L1711" s="6" t="n">
        <v>-438.16</v>
      </c>
      <c r="M1711" s="7">
        <f>IF(N1711=0,+L1711+H1711,0)</f>
        <v/>
      </c>
      <c r="N1711" s="7">
        <f>IF((+G1711-K1711)=0,0,+G1711-K1711)</f>
        <v/>
      </c>
      <c r="O1711" s="7">
        <f>IF(N1711=0,0,(L1711+H1711)/-N1711)</f>
        <v/>
      </c>
      <c r="P1711" s="7">
        <f>VLOOKUP(OPERAC[[#This Row],[especie]],[1]!ESPECIES[#All],6,0)</f>
        <v/>
      </c>
      <c r="Q1711" s="7">
        <f>IF(N1711&lt;&gt;0,P1711*N1711,0)</f>
        <v/>
      </c>
      <c r="R1711" s="8">
        <f>IF(Q1711&lt;&gt;0,Q1711+H1711+L1711,0)</f>
        <v/>
      </c>
      <c r="S1711" s="9">
        <f>VLOOKUP(OPERAC[[#This Row],[especie]],[1]!ESPECIES[#Data],9,FALSE)</f>
        <v/>
      </c>
    </row>
    <row r="1712">
      <c r="A1712" s="4" t="n">
        <v>13190</v>
      </c>
      <c r="B1712" s="5" t="n">
        <v>44671</v>
      </c>
      <c r="C1712" s="13" t="inlineStr">
        <is>
          <t>VTA</t>
        </is>
      </c>
      <c r="D1712" s="13" t="n">
        <v>42</v>
      </c>
      <c r="E1712" s="10">
        <f>IF(D1712&gt;0,VLOOKUP(OPERAC[[#This Row],[COD CART]],[1]!MatrizCortoLargoCyl[#All],3,0),"")</f>
        <v/>
      </c>
      <c r="F1712" s="13" t="inlineStr">
        <is>
          <t>TLT</t>
        </is>
      </c>
      <c r="G1712" s="6" t="n">
        <v>2</v>
      </c>
      <c r="H1712" s="6" t="n">
        <v>-245.12601</v>
      </c>
      <c r="I1712" s="7">
        <f>-H1712/G1712</f>
        <v/>
      </c>
      <c r="J1712" s="11" t="n"/>
      <c r="K1712" s="6" t="n"/>
      <c r="L1712" s="6" t="n"/>
      <c r="M1712" s="7">
        <f>IF(N1712=0,+L1712+H1712,0)</f>
        <v/>
      </c>
      <c r="N1712" s="7">
        <f>IF((+G1712-K1712)=0,0,+G1712-K1712)</f>
        <v/>
      </c>
      <c r="O1712" s="7">
        <f>IF(N1712=0,0,(L1712+H1712)/-N1712)</f>
        <v/>
      </c>
      <c r="P1712" s="7">
        <f>VLOOKUP(OPERAC[[#This Row],[especie]],[1]!ESPECIES[#All],6,0)</f>
        <v/>
      </c>
      <c r="Q1712" s="7">
        <f>IF(N1712&lt;&gt;0,P1712*N1712,0)</f>
        <v/>
      </c>
      <c r="R1712" s="8">
        <f>IF(Q1712&lt;&gt;0,Q1712+H1712+L1712,0)</f>
        <v/>
      </c>
      <c r="S1712" s="9">
        <f>VLOOKUP(OPERAC[[#This Row],[especie]],[1]!ESPECIES[#Data],9,FALSE)</f>
        <v/>
      </c>
    </row>
    <row r="1713">
      <c r="A1713" s="4" t="n">
        <v>13188</v>
      </c>
      <c r="B1713" s="5" t="n">
        <v>43972</v>
      </c>
      <c r="C1713" s="13" t="inlineStr">
        <is>
          <t>VTA</t>
        </is>
      </c>
      <c r="D1713" s="13" t="n">
        <v>41</v>
      </c>
      <c r="E1713" s="10">
        <f>IF(D1713&gt;0,VLOOKUP(OPERAC[[#This Row],[COD CART]],[1]!MatrizCortoLargoCyl[#All],3,0),"")</f>
        <v/>
      </c>
      <c r="F1713" s="13" t="inlineStr">
        <is>
          <t>GPRK</t>
        </is>
      </c>
      <c r="G1713" s="6" t="n">
        <v>30</v>
      </c>
      <c r="H1713" s="6" t="n">
        <v>-246.117</v>
      </c>
      <c r="I1713" s="7" t="n">
        <v>8.203899999999999</v>
      </c>
      <c r="J1713" s="5" t="n"/>
      <c r="K1713" s="6" t="n"/>
      <c r="L1713" s="6" t="n"/>
      <c r="M1713" s="7">
        <f>IF(N1713=0,+L1713+H1713,0)</f>
        <v/>
      </c>
      <c r="N1713" s="7">
        <f>IF((+G1713-K1713)=0,0,+G1713-K1713)</f>
        <v/>
      </c>
      <c r="O1713" s="7">
        <f>IF(N1713=0,0,(L1713+H1713)/-N1713)</f>
        <v/>
      </c>
      <c r="P1713" s="7">
        <f>VLOOKUP(OPERAC[[#This Row],[especie]],[1]!ESPECIES[#All],6,0)</f>
        <v/>
      </c>
      <c r="Q1713" s="7">
        <f>IF(N1713&lt;&gt;0,P1713*N1713,0)</f>
        <v/>
      </c>
      <c r="R1713" s="8">
        <f>IF(Q1713&lt;&gt;0,Q1713+H1713+L1713,0)</f>
        <v/>
      </c>
      <c r="S1713" s="9">
        <f>VLOOKUP(OPERAC[[#This Row],[especie]],[1]!ESPECIES[#Data],9,FALSE)</f>
        <v/>
      </c>
    </row>
    <row r="1714">
      <c r="A1714" s="4" t="n">
        <v>2211</v>
      </c>
      <c r="B1714" s="5" t="n">
        <v>44656</v>
      </c>
      <c r="C1714" s="13" t="inlineStr">
        <is>
          <t>VTA</t>
        </is>
      </c>
      <c r="D1714" s="13" t="n">
        <v>41</v>
      </c>
      <c r="E1714" s="10">
        <f>IF(D1714&gt;0,VLOOKUP(OPERAC[[#This Row],[COD CART]],[1]!MatrizCortoLargoCyl[#All],3,0),"")</f>
        <v/>
      </c>
      <c r="F1714" s="13" t="inlineStr">
        <is>
          <t>SPXL</t>
        </is>
      </c>
      <c r="G1714" s="6" t="n">
        <v>2</v>
      </c>
      <c r="H1714" s="6" t="n">
        <v>-246.226</v>
      </c>
      <c r="I1714" s="7">
        <f>-H1714/G1714</f>
        <v/>
      </c>
      <c r="J1714" s="11" t="n"/>
      <c r="K1714" s="6" t="n"/>
      <c r="L1714" s="6" t="n"/>
      <c r="M1714" s="7">
        <f>IF(N1714=0,+L1714+H1714,0)</f>
        <v/>
      </c>
      <c r="N1714" s="7">
        <f>IF((+G1714-K1714)=0,0,+G1714-K1714)</f>
        <v/>
      </c>
      <c r="O1714" s="7">
        <f>IF(N1714=0,0,(L1714+H1714)/-N1714)</f>
        <v/>
      </c>
      <c r="P1714" s="7">
        <f>VLOOKUP(OPERAC[[#This Row],[especie]],[1]!ESPECIES[#All],6,0)</f>
        <v/>
      </c>
      <c r="Q1714" s="7">
        <f>IF(N1714&lt;&gt;0,P1714*N1714,0)</f>
        <v/>
      </c>
      <c r="R1714" s="8">
        <f>IF(Q1714&lt;&gt;0,Q1714+H1714+L1714,0)</f>
        <v/>
      </c>
      <c r="S1714" s="9">
        <f>VLOOKUP(OPERAC[[#This Row],[especie]],[1]!ESPECIES[#Data],9,FALSE)</f>
        <v/>
      </c>
    </row>
    <row r="1715">
      <c r="A1715" s="4" t="n">
        <v>2211</v>
      </c>
      <c r="B1715" s="5" t="n">
        <v>44718</v>
      </c>
      <c r="C1715" s="13" t="inlineStr">
        <is>
          <t>VTA</t>
        </is>
      </c>
      <c r="D1715" s="13" t="n">
        <v>41</v>
      </c>
      <c r="E1715" s="10">
        <f>IF(D1715&gt;0,VLOOKUP(OPERAC[[#This Row],[COD CART]],[1]!MatrizCortoLargoCyl[#All],3,0),"")</f>
        <v/>
      </c>
      <c r="F1715" s="13" t="inlineStr">
        <is>
          <t>SPY/C/413,00/08-06-22</t>
        </is>
      </c>
      <c r="G1715" s="6" t="n">
        <v>100</v>
      </c>
      <c r="H1715" s="6" t="n">
        <v>-247.083</v>
      </c>
      <c r="I1715" s="7">
        <f>-H1715/G1715</f>
        <v/>
      </c>
      <c r="J1715" s="5" t="n">
        <v>44719</v>
      </c>
      <c r="K1715" s="6" t="n">
        <v>100</v>
      </c>
      <c r="L1715" s="6" t="n">
        <v>210.79</v>
      </c>
      <c r="M1715" s="7">
        <f>IF(N1715=0,+L1715+H1715,0)</f>
        <v/>
      </c>
      <c r="N1715" s="7">
        <f>IF((+G1715-K1715)=0,0,+G1715-K1715)</f>
        <v/>
      </c>
      <c r="O1715" s="7">
        <f>IF(N1715=0,0,(L1715+H1715)/-N1715)</f>
        <v/>
      </c>
      <c r="P1715" s="7">
        <f>VLOOKUP(OPERAC[[#This Row],[especie]],[1]!ESPECIES[#All],6,0)</f>
        <v/>
      </c>
      <c r="Q1715" s="7">
        <f>IF(N1715&lt;&gt;0,P1715*N1715,0)</f>
        <v/>
      </c>
      <c r="R1715" s="8">
        <f>IF(Q1715&lt;&gt;0,Q1715+H1715+L1715,0)</f>
        <v/>
      </c>
      <c r="S1715" s="9">
        <f>VLOOKUP(OPERAC[[#This Row],[especie]],[1]!ESPECIES[#Data],9,FALSE)</f>
        <v/>
      </c>
    </row>
    <row r="1716">
      <c r="A1716" s="4" t="n">
        <v>12630</v>
      </c>
      <c r="B1716" s="5" t="n">
        <v>44236</v>
      </c>
      <c r="C1716" s="13" t="inlineStr">
        <is>
          <t>VTA</t>
        </is>
      </c>
      <c r="D1716" s="13" t="n">
        <v>41</v>
      </c>
      <c r="E1716" s="10">
        <f>IF(D1716&gt;0,VLOOKUP(OPERAC[[#This Row],[COD CART]],[1]!MatrizCortoLargoCyl[#All],3,0),"")</f>
        <v/>
      </c>
      <c r="F1716" s="13" t="inlineStr">
        <is>
          <t>MSFT</t>
        </is>
      </c>
      <c r="G1716" s="6" t="n">
        <v>1</v>
      </c>
      <c r="H1716" s="6" t="n">
        <v>-247.113</v>
      </c>
      <c r="I1716" s="7">
        <f>-H1716/G1716</f>
        <v/>
      </c>
      <c r="J1716" s="11" t="n">
        <v>44586</v>
      </c>
      <c r="K1716" s="6" t="n">
        <v>1</v>
      </c>
      <c r="L1716" s="6" t="n">
        <v>282.611</v>
      </c>
      <c r="M1716" s="7">
        <f>IF(N1716=0,+L1716+H1716,0)</f>
        <v/>
      </c>
      <c r="N1716" s="7">
        <f>IF((+G1716-K1716)=0,0,+G1716-K1716)</f>
        <v/>
      </c>
      <c r="O1716" s="7">
        <f>IF(N1716=0,0,(L1716+H1716)/-N1716)</f>
        <v/>
      </c>
      <c r="P1716" s="7">
        <f>VLOOKUP(OPERAC[[#This Row],[especie]],[1]!ESPECIES[#All],6,0)</f>
        <v/>
      </c>
      <c r="Q1716" s="7">
        <f>IF(N1716&lt;&gt;0,P1716*N1716,0)</f>
        <v/>
      </c>
      <c r="R1716" s="8">
        <f>IF(Q1716&lt;&gt;0,Q1716+H1716+L1716,0)</f>
        <v/>
      </c>
      <c r="S1716" s="9">
        <f>VLOOKUP(OPERAC[[#This Row],[especie]],[1]!ESPECIES[#Data],9,FALSE)</f>
        <v/>
      </c>
    </row>
    <row r="1717">
      <c r="A1717" s="4" t="n">
        <v>18663</v>
      </c>
      <c r="B1717" s="5" t="n">
        <v>44608</v>
      </c>
      <c r="C1717" s="13" t="inlineStr">
        <is>
          <t>VTA</t>
        </is>
      </c>
      <c r="D1717" s="13" t="n">
        <v>41</v>
      </c>
      <c r="E1717" s="10">
        <f>IF(D1717&gt;0,VLOOKUP(OPERAC[[#This Row],[COD CART]],[1]!MatrizCortoLargoCyl[#All],3,0),"")</f>
        <v/>
      </c>
      <c r="F1717" s="13" t="inlineStr">
        <is>
          <t>HIMX</t>
        </is>
      </c>
      <c r="G1717" s="6" t="n">
        <v>20</v>
      </c>
      <c r="H1717" s="6" t="n">
        <v>-247.35</v>
      </c>
      <c r="I1717" s="7">
        <f>-H1717/G1717</f>
        <v/>
      </c>
      <c r="J1717" s="11" t="n"/>
      <c r="K1717" s="6" t="n"/>
      <c r="L1717" s="6" t="n"/>
      <c r="M1717" s="7">
        <f>IF(N1717=0,+L1717+H1717,0)</f>
        <v/>
      </c>
      <c r="N1717" s="7">
        <f>IF((+G1717-K1717)=0,0,+G1717-K1717)</f>
        <v/>
      </c>
      <c r="O1717" s="7">
        <f>IF(N1717=0,0,(L1717+H1717)/-N1717)</f>
        <v/>
      </c>
      <c r="P1717" s="7">
        <f>VLOOKUP(OPERAC[[#This Row],[especie]],[1]!ESPECIES[#All],6,0)</f>
        <v/>
      </c>
      <c r="Q1717" s="7">
        <f>IF(N1717&lt;&gt;0,P1717*N1717,0)</f>
        <v/>
      </c>
      <c r="R1717" s="8">
        <f>IF(Q1717&lt;&gt;0,Q1717+H1717+L1717,0)</f>
        <v/>
      </c>
      <c r="S1717" s="9">
        <f>VLOOKUP(OPERAC[[#This Row],[especie]],[1]!ESPECIES[#Data],9,FALSE)</f>
        <v/>
      </c>
    </row>
    <row r="1718">
      <c r="A1718" s="4" t="n">
        <v>3820</v>
      </c>
      <c r="B1718" s="5" t="n">
        <v>44664</v>
      </c>
      <c r="C1718" s="13" t="inlineStr">
        <is>
          <t>VTA</t>
        </is>
      </c>
      <c r="D1718" s="13" t="n">
        <v>42</v>
      </c>
      <c r="E1718" s="10">
        <f>IF(D1718&gt;0,VLOOKUP(OPERAC[[#This Row],[COD CART]],[1]!MatrizCortoLargoCyl[#All],3,0),"")</f>
        <v/>
      </c>
      <c r="F1718" s="13" t="inlineStr">
        <is>
          <t>PSQ</t>
        </is>
      </c>
      <c r="G1718" s="6" t="n">
        <v>20</v>
      </c>
      <c r="H1718" s="6" t="n">
        <v>-248.15833218</v>
      </c>
      <c r="I1718" s="7">
        <f>-H1718/G1718</f>
        <v/>
      </c>
      <c r="J1718" s="11" t="n">
        <v>44680</v>
      </c>
      <c r="K1718" s="6">
        <f>+OPERAC[[#This Row],[cantidad]]</f>
        <v/>
      </c>
      <c r="L1718" s="6">
        <f>12.848*OPERAC[[#This Row],[cantidad venta]]</f>
        <v/>
      </c>
      <c r="M1718" s="7">
        <f>IF(N1718=0,+L1718+H1718,0)</f>
        <v/>
      </c>
      <c r="N1718" s="7">
        <f>IF((+G1718-K1718)=0,0,+G1718-K1718)</f>
        <v/>
      </c>
      <c r="O1718" s="7">
        <f>IF(N1718=0,0,(L1718+H1718)/-N1718)</f>
        <v/>
      </c>
      <c r="P1718" s="7">
        <f>VLOOKUP(OPERAC[[#This Row],[especie]],[1]!ESPECIES[#All],6,0)</f>
        <v/>
      </c>
      <c r="Q1718" s="7">
        <f>IF(N1718&lt;&gt;0,P1718*N1718,0)</f>
        <v/>
      </c>
      <c r="R1718" s="8">
        <f>IF(Q1718&lt;&gt;0,Q1718+H1718+L1718,0)</f>
        <v/>
      </c>
      <c r="S1718" s="9">
        <f>VLOOKUP(OPERAC[[#This Row],[especie]],[1]!ESPECIES[#Data],9,FALSE)</f>
        <v/>
      </c>
    </row>
    <row r="1719">
      <c r="A1719" s="4" t="n">
        <v>1807</v>
      </c>
      <c r="B1719" s="5" t="n">
        <v>44664</v>
      </c>
      <c r="C1719" s="13" t="inlineStr">
        <is>
          <t>VTA</t>
        </is>
      </c>
      <c r="D1719" s="13" t="n">
        <v>42</v>
      </c>
      <c r="E1719" s="10">
        <f>IF(D1719&gt;0,VLOOKUP(OPERAC[[#This Row],[COD CART]],[1]!MatrizCortoLargoCyl[#All],3,0),"")</f>
        <v/>
      </c>
      <c r="F1719" s="13" t="inlineStr">
        <is>
          <t>PSQ</t>
        </is>
      </c>
      <c r="G1719" s="6" t="n">
        <v>20</v>
      </c>
      <c r="H1719" s="6" t="n">
        <v>-248.65144362</v>
      </c>
      <c r="I1719" s="7">
        <f>-H1719/G1719</f>
        <v/>
      </c>
      <c r="J1719" s="11" t="n">
        <v>44680</v>
      </c>
      <c r="K1719" s="6">
        <f>+OPERAC[[#This Row],[cantidad]]</f>
        <v/>
      </c>
      <c r="L1719" s="6">
        <f>12.848*OPERAC[[#This Row],[cantidad venta]]</f>
        <v/>
      </c>
      <c r="M1719" s="7">
        <f>IF(N1719=0,+L1719+H1719,0)</f>
        <v/>
      </c>
      <c r="N1719" s="7">
        <f>IF((+G1719-K1719)=0,0,+G1719-K1719)</f>
        <v/>
      </c>
      <c r="O1719" s="7">
        <f>IF(N1719=0,0,(L1719+H1719)/-N1719)</f>
        <v/>
      </c>
      <c r="P1719" s="7">
        <f>VLOOKUP(OPERAC[[#This Row],[especie]],[1]!ESPECIES[#All],6,0)</f>
        <v/>
      </c>
      <c r="Q1719" s="7">
        <f>IF(N1719&lt;&gt;0,P1719*N1719,0)</f>
        <v/>
      </c>
      <c r="R1719" s="8">
        <f>IF(Q1719&lt;&gt;0,Q1719+H1719+L1719,0)</f>
        <v/>
      </c>
      <c r="S1719" s="9">
        <f>VLOOKUP(OPERAC[[#This Row],[especie]],[1]!ESPECIES[#Data],9,FALSE)</f>
        <v/>
      </c>
    </row>
    <row r="1720">
      <c r="A1720" s="4" t="n">
        <v>2217</v>
      </c>
      <c r="B1720" s="5" t="n">
        <v>44664</v>
      </c>
      <c r="C1720" s="13" t="inlineStr">
        <is>
          <t>VTA</t>
        </is>
      </c>
      <c r="D1720" s="13" t="n">
        <v>42</v>
      </c>
      <c r="E1720" s="10">
        <f>IF(D1720&gt;0,VLOOKUP(OPERAC[[#This Row],[COD CART]],[1]!MatrizCortoLargoCyl[#All],3,0),"")</f>
        <v/>
      </c>
      <c r="F1720" s="13" t="inlineStr">
        <is>
          <t>PSQ</t>
        </is>
      </c>
      <c r="G1720" s="6" t="n">
        <v>20</v>
      </c>
      <c r="H1720" s="6" t="n">
        <v>-248.65144362</v>
      </c>
      <c r="I1720" s="7">
        <f>-H1720/G1720</f>
        <v/>
      </c>
      <c r="J1720" s="11" t="n">
        <v>44680</v>
      </c>
      <c r="K1720" s="6">
        <f>+OPERAC[[#This Row],[cantidad]]</f>
        <v/>
      </c>
      <c r="L1720" s="6">
        <f>12.848*OPERAC[[#This Row],[cantidad venta]]</f>
        <v/>
      </c>
      <c r="M1720" s="7">
        <f>IF(N1720=0,+L1720+H1720,0)</f>
        <v/>
      </c>
      <c r="N1720" s="7">
        <f>IF((+G1720-K1720)=0,0,+G1720-K1720)</f>
        <v/>
      </c>
      <c r="O1720" s="7">
        <f>IF(N1720=0,0,(L1720+H1720)/-N1720)</f>
        <v/>
      </c>
      <c r="P1720" s="7">
        <f>VLOOKUP(OPERAC[[#This Row],[especie]],[1]!ESPECIES[#All],6,0)</f>
        <v/>
      </c>
      <c r="Q1720" s="7">
        <f>IF(N1720&lt;&gt;0,P1720*N1720,0)</f>
        <v/>
      </c>
      <c r="R1720" s="8">
        <f>IF(Q1720&lt;&gt;0,Q1720+H1720+L1720,0)</f>
        <v/>
      </c>
      <c r="S1720" s="9">
        <f>VLOOKUP(OPERAC[[#This Row],[especie]],[1]!ESPECIES[#Data],9,FALSE)</f>
        <v/>
      </c>
    </row>
    <row r="1721">
      <c r="A1721" s="4" t="n">
        <v>2306</v>
      </c>
      <c r="B1721" s="5" t="n">
        <v>44664</v>
      </c>
      <c r="C1721" s="13" t="inlineStr">
        <is>
          <t>VTA</t>
        </is>
      </c>
      <c r="D1721" s="13" t="n">
        <v>42</v>
      </c>
      <c r="E1721" s="10">
        <f>IF(D1721&gt;0,VLOOKUP(OPERAC[[#This Row],[COD CART]],[1]!MatrizCortoLargoCyl[#All],3,0),"")</f>
        <v/>
      </c>
      <c r="F1721" s="13" t="inlineStr">
        <is>
          <t>PSQ</t>
        </is>
      </c>
      <c r="G1721" s="6" t="n">
        <v>20</v>
      </c>
      <c r="H1721" s="6" t="n">
        <v>-248.65144362</v>
      </c>
      <c r="I1721" s="7">
        <f>-H1721/G1721</f>
        <v/>
      </c>
      <c r="J1721" s="11" t="n">
        <v>44680</v>
      </c>
      <c r="K1721" s="6">
        <f>+OPERAC[[#This Row],[cantidad]]</f>
        <v/>
      </c>
      <c r="L1721" s="6">
        <f>12.848*OPERAC[[#This Row],[cantidad venta]]</f>
        <v/>
      </c>
      <c r="M1721" s="7">
        <f>IF(N1721=0,+L1721+H1721,0)</f>
        <v/>
      </c>
      <c r="N1721" s="7">
        <f>IF((+G1721-K1721)=0,0,+G1721-K1721)</f>
        <v/>
      </c>
      <c r="O1721" s="7">
        <f>IF(N1721=0,0,(L1721+H1721)/-N1721)</f>
        <v/>
      </c>
      <c r="P1721" s="7">
        <f>VLOOKUP(OPERAC[[#This Row],[especie]],[1]!ESPECIES[#All],6,0)</f>
        <v/>
      </c>
      <c r="Q1721" s="7">
        <f>IF(N1721&lt;&gt;0,P1721*N1721,0)</f>
        <v/>
      </c>
      <c r="R1721" s="8">
        <f>IF(Q1721&lt;&gt;0,Q1721+H1721+L1721,0)</f>
        <v/>
      </c>
      <c r="S1721" s="9">
        <f>VLOOKUP(OPERAC[[#This Row],[especie]],[1]!ESPECIES[#Data],9,FALSE)</f>
        <v/>
      </c>
    </row>
    <row r="1722">
      <c r="A1722" s="4" t="n">
        <v>11170</v>
      </c>
      <c r="B1722" s="5" t="n">
        <v>44664</v>
      </c>
      <c r="C1722" s="13" t="inlineStr">
        <is>
          <t>VTA</t>
        </is>
      </c>
      <c r="D1722" s="13" t="n">
        <v>42</v>
      </c>
      <c r="E1722" s="10">
        <f>IF(D1722&gt;0,VLOOKUP(OPERAC[[#This Row],[COD CART]],[1]!MatrizCortoLargoCyl[#All],3,0),"")</f>
        <v/>
      </c>
      <c r="F1722" s="13" t="inlineStr">
        <is>
          <t>PSQ</t>
        </is>
      </c>
      <c r="G1722" s="6" t="n">
        <v>20</v>
      </c>
      <c r="H1722" s="6" t="n">
        <v>-248.65144362</v>
      </c>
      <c r="I1722" s="7">
        <f>-H1722/G1722</f>
        <v/>
      </c>
      <c r="J1722" s="11" t="n">
        <v>44680</v>
      </c>
      <c r="K1722" s="6">
        <f>+OPERAC[[#This Row],[cantidad]]</f>
        <v/>
      </c>
      <c r="L1722" s="6">
        <f>12.848*OPERAC[[#This Row],[cantidad venta]]</f>
        <v/>
      </c>
      <c r="M1722" s="7">
        <f>IF(N1722=0,+L1722+H1722,0)</f>
        <v/>
      </c>
      <c r="N1722" s="7">
        <f>IF((+G1722-K1722)=0,0,+G1722-K1722)</f>
        <v/>
      </c>
      <c r="O1722" s="7">
        <f>IF(N1722=0,0,(L1722+H1722)/-N1722)</f>
        <v/>
      </c>
      <c r="P1722" s="7">
        <f>VLOOKUP(OPERAC[[#This Row],[especie]],[1]!ESPECIES[#All],6,0)</f>
        <v/>
      </c>
      <c r="Q1722" s="7">
        <f>IF(N1722&lt;&gt;0,P1722*N1722,0)</f>
        <v/>
      </c>
      <c r="R1722" s="8">
        <f>IF(Q1722&lt;&gt;0,Q1722+H1722+L1722,0)</f>
        <v/>
      </c>
      <c r="S1722" s="9">
        <f>VLOOKUP(OPERAC[[#This Row],[especie]],[1]!ESPECIES[#Data],9,FALSE)</f>
        <v/>
      </c>
    </row>
    <row r="1723">
      <c r="A1723" s="4" t="n">
        <v>18677</v>
      </c>
      <c r="B1723" s="5" t="n">
        <v>44664</v>
      </c>
      <c r="C1723" s="13" t="inlineStr">
        <is>
          <t>VTA</t>
        </is>
      </c>
      <c r="D1723" s="13" t="n">
        <v>42</v>
      </c>
      <c r="E1723" s="10">
        <f>IF(D1723&gt;0,VLOOKUP(OPERAC[[#This Row],[COD CART]],[1]!MatrizCortoLargoCyl[#All],3,0),"")</f>
        <v/>
      </c>
      <c r="F1723" s="13" t="inlineStr">
        <is>
          <t>PSQ</t>
        </is>
      </c>
      <c r="G1723" s="6" t="n">
        <v>20</v>
      </c>
      <c r="H1723" s="6" t="n">
        <v>-248.65144362</v>
      </c>
      <c r="I1723" s="7">
        <f>-H1723/G1723</f>
        <v/>
      </c>
      <c r="J1723" s="11" t="n">
        <v>44680</v>
      </c>
      <c r="K1723" s="6">
        <f>+OPERAC[[#This Row],[cantidad]]</f>
        <v/>
      </c>
      <c r="L1723" s="6">
        <f>12.848*OPERAC[[#This Row],[cantidad venta]]</f>
        <v/>
      </c>
      <c r="M1723" s="7">
        <f>IF(N1723=0,+L1723+H1723,0)</f>
        <v/>
      </c>
      <c r="N1723" s="7">
        <f>IF((+G1723-K1723)=0,0,+G1723-K1723)</f>
        <v/>
      </c>
      <c r="O1723" s="7">
        <f>IF(N1723=0,0,(L1723+H1723)/-N1723)</f>
        <v/>
      </c>
      <c r="P1723" s="7">
        <f>VLOOKUP(OPERAC[[#This Row],[especie]],[1]!ESPECIES[#All],6,0)</f>
        <v/>
      </c>
      <c r="Q1723" s="7">
        <f>IF(N1723&lt;&gt;0,P1723*N1723,0)</f>
        <v/>
      </c>
      <c r="R1723" s="8">
        <f>IF(Q1723&lt;&gt;0,Q1723+H1723+L1723,0)</f>
        <v/>
      </c>
      <c r="S1723" s="9">
        <f>VLOOKUP(OPERAC[[#This Row],[especie]],[1]!ESPECIES[#Data],9,FALSE)</f>
        <v/>
      </c>
    </row>
    <row r="1724">
      <c r="A1724" s="4" t="n">
        <v>18711</v>
      </c>
      <c r="B1724" s="5" t="n">
        <v>44664</v>
      </c>
      <c r="C1724" s="13" t="inlineStr">
        <is>
          <t>VTA</t>
        </is>
      </c>
      <c r="D1724" s="13" t="n">
        <v>42</v>
      </c>
      <c r="E1724" s="10">
        <f>IF(D1724&gt;0,VLOOKUP(OPERAC[[#This Row],[COD CART]],[1]!MatrizCortoLargoCyl[#All],3,0),"")</f>
        <v/>
      </c>
      <c r="F1724" s="13" t="inlineStr">
        <is>
          <t>PSQ</t>
        </is>
      </c>
      <c r="G1724" s="6" t="n">
        <v>20</v>
      </c>
      <c r="H1724" s="6" t="n">
        <v>-248.65144362</v>
      </c>
      <c r="I1724" s="7">
        <f>-H1724/G1724</f>
        <v/>
      </c>
      <c r="J1724" s="11" t="n">
        <v>44680</v>
      </c>
      <c r="K1724" s="6">
        <f>+OPERAC[[#This Row],[cantidad]]</f>
        <v/>
      </c>
      <c r="L1724" s="6">
        <f>12.848*OPERAC[[#This Row],[cantidad venta]]</f>
        <v/>
      </c>
      <c r="M1724" s="7">
        <f>IF(N1724=0,+L1724+H1724,0)</f>
        <v/>
      </c>
      <c r="N1724" s="7">
        <f>IF((+G1724-K1724)=0,0,+G1724-K1724)</f>
        <v/>
      </c>
      <c r="O1724" s="7">
        <f>IF(N1724=0,0,(L1724+H1724)/-N1724)</f>
        <v/>
      </c>
      <c r="P1724" s="7">
        <f>VLOOKUP(OPERAC[[#This Row],[especie]],[1]!ESPECIES[#All],6,0)</f>
        <v/>
      </c>
      <c r="Q1724" s="7">
        <f>IF(N1724&lt;&gt;0,P1724*N1724,0)</f>
        <v/>
      </c>
      <c r="R1724" s="8">
        <f>IF(Q1724&lt;&gt;0,Q1724+H1724+L1724,0)</f>
        <v/>
      </c>
      <c r="S1724" s="9">
        <f>VLOOKUP(OPERAC[[#This Row],[especie]],[1]!ESPECIES[#Data],9,FALSE)</f>
        <v/>
      </c>
    </row>
    <row r="1725">
      <c r="A1725" s="4" t="n">
        <v>20234</v>
      </c>
      <c r="B1725" s="5" t="n">
        <v>44664</v>
      </c>
      <c r="C1725" s="13" t="inlineStr">
        <is>
          <t>VTA</t>
        </is>
      </c>
      <c r="D1725" s="13" t="n">
        <v>42</v>
      </c>
      <c r="E1725" s="10">
        <f>IF(D1725&gt;0,VLOOKUP(OPERAC[[#This Row],[COD CART]],[1]!MatrizCortoLargoCyl[#All],3,0),"")</f>
        <v/>
      </c>
      <c r="F1725" s="13" t="inlineStr">
        <is>
          <t>PSQ</t>
        </is>
      </c>
      <c r="G1725" s="6" t="n">
        <v>20</v>
      </c>
      <c r="H1725" s="6" t="n">
        <v>-248.65144362</v>
      </c>
      <c r="I1725" s="7">
        <f>-H1725/G1725</f>
        <v/>
      </c>
      <c r="J1725" s="11" t="n">
        <v>44680</v>
      </c>
      <c r="K1725" s="6">
        <f>+OPERAC[[#This Row],[cantidad]]</f>
        <v/>
      </c>
      <c r="L1725" s="6">
        <f>12.848*OPERAC[[#This Row],[cantidad venta]]</f>
        <v/>
      </c>
      <c r="M1725" s="7">
        <f>IF(N1725=0,+L1725+H1725,0)</f>
        <v/>
      </c>
      <c r="N1725" s="7">
        <f>IF((+G1725-K1725)=0,0,+G1725-K1725)</f>
        <v/>
      </c>
      <c r="O1725" s="7">
        <f>IF(N1725=0,0,(L1725+H1725)/-N1725)</f>
        <v/>
      </c>
      <c r="P1725" s="7">
        <f>VLOOKUP(OPERAC[[#This Row],[especie]],[1]!ESPECIES[#All],6,0)</f>
        <v/>
      </c>
      <c r="Q1725" s="7">
        <f>IF(N1725&lt;&gt;0,P1725*N1725,0)</f>
        <v/>
      </c>
      <c r="R1725" s="8">
        <f>IF(Q1725&lt;&gt;0,Q1725+H1725+L1725,0)</f>
        <v/>
      </c>
      <c r="S1725" s="9">
        <f>VLOOKUP(OPERAC[[#This Row],[especie]],[1]!ESPECIES[#Data],9,FALSE)</f>
        <v/>
      </c>
    </row>
    <row r="1726">
      <c r="A1726" s="4" t="n">
        <v>20312</v>
      </c>
      <c r="B1726" s="5" t="n">
        <v>44664</v>
      </c>
      <c r="C1726" s="13" t="inlineStr">
        <is>
          <t>VTA</t>
        </is>
      </c>
      <c r="D1726" s="13" t="n">
        <v>42</v>
      </c>
      <c r="E1726" s="10">
        <f>IF(D1726&gt;0,VLOOKUP(OPERAC[[#This Row],[COD CART]],[1]!MatrizCortoLargoCyl[#All],3,0),"")</f>
        <v/>
      </c>
      <c r="F1726" s="13" t="inlineStr">
        <is>
          <t>PSQ</t>
        </is>
      </c>
      <c r="G1726" s="6" t="n">
        <v>20</v>
      </c>
      <c r="H1726" s="6" t="n">
        <v>-248.65144362</v>
      </c>
      <c r="I1726" s="7">
        <f>-H1726/G1726</f>
        <v/>
      </c>
      <c r="J1726" s="11" t="n">
        <v>44680</v>
      </c>
      <c r="K1726" s="6">
        <f>+OPERAC[[#This Row],[cantidad]]</f>
        <v/>
      </c>
      <c r="L1726" s="6">
        <f>12.848*OPERAC[[#This Row],[cantidad venta]]</f>
        <v/>
      </c>
      <c r="M1726" s="7">
        <f>IF(N1726=0,+L1726+H1726,0)</f>
        <v/>
      </c>
      <c r="N1726" s="7">
        <f>IF((+G1726-K1726)=0,0,+G1726-K1726)</f>
        <v/>
      </c>
      <c r="O1726" s="7">
        <f>IF(N1726=0,0,(L1726+H1726)/-N1726)</f>
        <v/>
      </c>
      <c r="P1726" s="7">
        <f>VLOOKUP(OPERAC[[#This Row],[especie]],[1]!ESPECIES[#All],6,0)</f>
        <v/>
      </c>
      <c r="Q1726" s="7">
        <f>IF(N1726&lt;&gt;0,P1726*N1726,0)</f>
        <v/>
      </c>
      <c r="R1726" s="8">
        <f>IF(Q1726&lt;&gt;0,Q1726+H1726+L1726,0)</f>
        <v/>
      </c>
      <c r="S1726" s="9">
        <f>VLOOKUP(OPERAC[[#This Row],[especie]],[1]!ESPECIES[#Data],9,FALSE)</f>
        <v/>
      </c>
    </row>
    <row r="1727">
      <c r="A1727" s="4" t="n">
        <v>22421</v>
      </c>
      <c r="B1727" s="5" t="n">
        <v>44664</v>
      </c>
      <c r="C1727" s="13" t="inlineStr">
        <is>
          <t>VTA</t>
        </is>
      </c>
      <c r="D1727" s="13" t="n">
        <v>42</v>
      </c>
      <c r="E1727" s="10">
        <f>IF(D1727&gt;0,VLOOKUP(OPERAC[[#This Row],[COD CART]],[1]!MatrizCortoLargoCyl[#All],3,0),"")</f>
        <v/>
      </c>
      <c r="F1727" s="13" t="inlineStr">
        <is>
          <t>PSQ</t>
        </is>
      </c>
      <c r="G1727" s="6" t="n">
        <v>20</v>
      </c>
      <c r="H1727" s="6" t="n">
        <v>-248.65144362</v>
      </c>
      <c r="I1727" s="7">
        <f>-H1727/G1727</f>
        <v/>
      </c>
      <c r="J1727" s="11" t="n">
        <v>44680</v>
      </c>
      <c r="K1727" s="6">
        <f>+OPERAC[[#This Row],[cantidad]]</f>
        <v/>
      </c>
      <c r="L1727" s="6">
        <f>12.848*OPERAC[[#This Row],[cantidad venta]]</f>
        <v/>
      </c>
      <c r="M1727" s="7">
        <f>IF(N1727=0,+L1727+H1727,0)</f>
        <v/>
      </c>
      <c r="N1727" s="7">
        <f>IF((+G1727-K1727)=0,0,+G1727-K1727)</f>
        <v/>
      </c>
      <c r="O1727" s="7">
        <f>IF(N1727=0,0,(L1727+H1727)/-N1727)</f>
        <v/>
      </c>
      <c r="P1727" s="7">
        <f>VLOOKUP(OPERAC[[#This Row],[especie]],[1]!ESPECIES[#All],6,0)</f>
        <v/>
      </c>
      <c r="Q1727" s="7">
        <f>IF(N1727&lt;&gt;0,P1727*N1727,0)</f>
        <v/>
      </c>
      <c r="R1727" s="8">
        <f>IF(Q1727&lt;&gt;0,Q1727+H1727+L1727,0)</f>
        <v/>
      </c>
      <c r="S1727" s="9">
        <f>VLOOKUP(OPERAC[[#This Row],[especie]],[1]!ESPECIES[#Data],9,FALSE)</f>
        <v/>
      </c>
    </row>
    <row r="1728">
      <c r="A1728" s="4" t="n">
        <v>22431</v>
      </c>
      <c r="B1728" s="5" t="n">
        <v>44664</v>
      </c>
      <c r="C1728" s="13" t="inlineStr">
        <is>
          <t>VTA</t>
        </is>
      </c>
      <c r="D1728" s="13" t="n">
        <v>42</v>
      </c>
      <c r="E1728" s="10">
        <f>IF(D1728&gt;0,VLOOKUP(OPERAC[[#This Row],[COD CART]],[1]!MatrizCortoLargoCyl[#All],3,0),"")</f>
        <v/>
      </c>
      <c r="F1728" s="13" t="inlineStr">
        <is>
          <t>PSQ</t>
        </is>
      </c>
      <c r="G1728" s="6" t="n">
        <v>20</v>
      </c>
      <c r="H1728" s="6" t="n">
        <v>-248.65144362</v>
      </c>
      <c r="I1728" s="7">
        <f>-H1728/G1728</f>
        <v/>
      </c>
      <c r="J1728" s="11" t="n">
        <v>44680</v>
      </c>
      <c r="K1728" s="6">
        <f>+OPERAC[[#This Row],[cantidad]]</f>
        <v/>
      </c>
      <c r="L1728" s="6">
        <f>12.848*OPERAC[[#This Row],[cantidad venta]]</f>
        <v/>
      </c>
      <c r="M1728" s="7">
        <f>IF(N1728=0,+L1728+H1728,0)</f>
        <v/>
      </c>
      <c r="N1728" s="7">
        <f>IF((+G1728-K1728)=0,0,+G1728-K1728)</f>
        <v/>
      </c>
      <c r="O1728" s="7">
        <f>IF(N1728=0,0,(L1728+H1728)/-N1728)</f>
        <v/>
      </c>
      <c r="P1728" s="7">
        <f>VLOOKUP(OPERAC[[#This Row],[especie]],[1]!ESPECIES[#All],6,0)</f>
        <v/>
      </c>
      <c r="Q1728" s="7">
        <f>IF(N1728&lt;&gt;0,P1728*N1728,0)</f>
        <v/>
      </c>
      <c r="R1728" s="8">
        <f>IF(Q1728&lt;&gt;0,Q1728+H1728+L1728,0)</f>
        <v/>
      </c>
      <c r="S1728" s="9">
        <f>VLOOKUP(OPERAC[[#This Row],[especie]],[1]!ESPECIES[#Data],9,FALSE)</f>
        <v/>
      </c>
    </row>
    <row r="1729">
      <c r="A1729" s="4" t="n">
        <v>22433</v>
      </c>
      <c r="B1729" s="5" t="n">
        <v>44664</v>
      </c>
      <c r="C1729" s="13" t="inlineStr">
        <is>
          <t>VTA</t>
        </is>
      </c>
      <c r="D1729" s="13" t="n">
        <v>42</v>
      </c>
      <c r="E1729" s="10">
        <f>IF(D1729&gt;0,VLOOKUP(OPERAC[[#This Row],[COD CART]],[1]!MatrizCortoLargoCyl[#All],3,0),"")</f>
        <v/>
      </c>
      <c r="F1729" s="13" t="inlineStr">
        <is>
          <t>PSQ</t>
        </is>
      </c>
      <c r="G1729" s="6" t="n">
        <v>20</v>
      </c>
      <c r="H1729" s="6" t="n">
        <v>-248.65144362</v>
      </c>
      <c r="I1729" s="7">
        <f>-H1729/G1729</f>
        <v/>
      </c>
      <c r="J1729" s="11" t="n">
        <v>44680</v>
      </c>
      <c r="K1729" s="6">
        <f>+OPERAC[[#This Row],[cantidad]]</f>
        <v/>
      </c>
      <c r="L1729" s="6">
        <f>12.848*OPERAC[[#This Row],[cantidad venta]]</f>
        <v/>
      </c>
      <c r="M1729" s="7">
        <f>IF(N1729=0,+L1729+H1729,0)</f>
        <v/>
      </c>
      <c r="N1729" s="7">
        <f>IF((+G1729-K1729)=0,0,+G1729-K1729)</f>
        <v/>
      </c>
      <c r="O1729" s="7">
        <f>IF(N1729=0,0,(L1729+H1729)/-N1729)</f>
        <v/>
      </c>
      <c r="P1729" s="7">
        <f>VLOOKUP(OPERAC[[#This Row],[especie]],[1]!ESPECIES[#All],6,0)</f>
        <v/>
      </c>
      <c r="Q1729" s="7">
        <f>IF(N1729&lt;&gt;0,P1729*N1729,0)</f>
        <v/>
      </c>
      <c r="R1729" s="8">
        <f>IF(Q1729&lt;&gt;0,Q1729+H1729+L1729,0)</f>
        <v/>
      </c>
      <c r="S1729" s="9">
        <f>VLOOKUP(OPERAC[[#This Row],[especie]],[1]!ESPECIES[#Data],9,FALSE)</f>
        <v/>
      </c>
    </row>
    <row r="1730">
      <c r="A1730" s="4" t="n">
        <v>22439</v>
      </c>
      <c r="B1730" s="5" t="n">
        <v>44664</v>
      </c>
      <c r="C1730" s="13" t="inlineStr">
        <is>
          <t>VTA</t>
        </is>
      </c>
      <c r="D1730" s="13" t="n">
        <v>42</v>
      </c>
      <c r="E1730" s="10">
        <f>IF(D1730&gt;0,VLOOKUP(OPERAC[[#This Row],[COD CART]],[1]!MatrizCortoLargoCyl[#All],3,0),"")</f>
        <v/>
      </c>
      <c r="F1730" s="13" t="inlineStr">
        <is>
          <t>PSQ</t>
        </is>
      </c>
      <c r="G1730" s="6" t="n">
        <v>20</v>
      </c>
      <c r="H1730" s="6" t="n">
        <v>-248.65144362</v>
      </c>
      <c r="I1730" s="7">
        <f>-H1730/G1730</f>
        <v/>
      </c>
      <c r="J1730" s="11" t="n">
        <v>44680</v>
      </c>
      <c r="K1730" s="6">
        <f>+OPERAC[[#This Row],[cantidad]]</f>
        <v/>
      </c>
      <c r="L1730" s="6">
        <f>12.848*OPERAC[[#This Row],[cantidad venta]]</f>
        <v/>
      </c>
      <c r="M1730" s="7">
        <f>IF(N1730=0,+L1730+H1730,0)</f>
        <v/>
      </c>
      <c r="N1730" s="7">
        <f>IF((+G1730-K1730)=0,0,+G1730-K1730)</f>
        <v/>
      </c>
      <c r="O1730" s="7">
        <f>IF(N1730=0,0,(L1730+H1730)/-N1730)</f>
        <v/>
      </c>
      <c r="P1730" s="7">
        <f>VLOOKUP(OPERAC[[#This Row],[especie]],[1]!ESPECIES[#All],6,0)</f>
        <v/>
      </c>
      <c r="Q1730" s="7">
        <f>IF(N1730&lt;&gt;0,P1730*N1730,0)</f>
        <v/>
      </c>
      <c r="R1730" s="8">
        <f>IF(Q1730&lt;&gt;0,Q1730+H1730+L1730,0)</f>
        <v/>
      </c>
      <c r="S1730" s="9">
        <f>VLOOKUP(OPERAC[[#This Row],[especie]],[1]!ESPECIES[#Data],9,FALSE)</f>
        <v/>
      </c>
    </row>
    <row r="1731">
      <c r="A1731" s="4" t="n">
        <v>26137</v>
      </c>
      <c r="B1731" s="5" t="n">
        <v>44664</v>
      </c>
      <c r="C1731" s="13" t="inlineStr">
        <is>
          <t>VTA</t>
        </is>
      </c>
      <c r="D1731" s="13" t="n">
        <v>42</v>
      </c>
      <c r="E1731" s="10">
        <f>IF(D1731&gt;0,VLOOKUP(OPERAC[[#This Row],[COD CART]],[1]!MatrizCortoLargoCyl[#All],3,0),"")</f>
        <v/>
      </c>
      <c r="F1731" s="13" t="inlineStr">
        <is>
          <t>PSQ</t>
        </is>
      </c>
      <c r="G1731" s="6" t="n">
        <v>20</v>
      </c>
      <c r="H1731" s="6" t="n">
        <v>-248.65144362</v>
      </c>
      <c r="I1731" s="7">
        <f>-H1731/G1731</f>
        <v/>
      </c>
      <c r="J1731" s="11" t="n">
        <v>44680</v>
      </c>
      <c r="K1731" s="6">
        <f>+OPERAC[[#This Row],[cantidad]]</f>
        <v/>
      </c>
      <c r="L1731" s="6">
        <f>12.848*OPERAC[[#This Row],[cantidad venta]]</f>
        <v/>
      </c>
      <c r="M1731" s="7">
        <f>IF(N1731=0,+L1731+H1731,0)</f>
        <v/>
      </c>
      <c r="N1731" s="7">
        <f>IF((+G1731-K1731)=0,0,+G1731-K1731)</f>
        <v/>
      </c>
      <c r="O1731" s="7">
        <f>IF(N1731=0,0,(L1731+H1731)/-N1731)</f>
        <v/>
      </c>
      <c r="P1731" s="7">
        <f>VLOOKUP(OPERAC[[#This Row],[especie]],[1]!ESPECIES[#All],6,0)</f>
        <v/>
      </c>
      <c r="Q1731" s="7">
        <f>IF(N1731&lt;&gt;0,P1731*N1731,0)</f>
        <v/>
      </c>
      <c r="R1731" s="8">
        <f>IF(Q1731&lt;&gt;0,Q1731+H1731+L1731,0)</f>
        <v/>
      </c>
      <c r="S1731" s="9">
        <f>VLOOKUP(OPERAC[[#This Row],[especie]],[1]!ESPECIES[#Data],9,FALSE)</f>
        <v/>
      </c>
    </row>
    <row r="1732">
      <c r="A1732" s="4" t="n">
        <v>26146</v>
      </c>
      <c r="B1732" s="5" t="n">
        <v>44664</v>
      </c>
      <c r="C1732" s="13" t="inlineStr">
        <is>
          <t>VTA</t>
        </is>
      </c>
      <c r="D1732" s="13" t="n">
        <v>42</v>
      </c>
      <c r="E1732" s="10">
        <f>IF(D1732&gt;0,VLOOKUP(OPERAC[[#This Row],[COD CART]],[1]!MatrizCortoLargoCyl[#All],3,0),"")</f>
        <v/>
      </c>
      <c r="F1732" s="13" t="inlineStr">
        <is>
          <t>PSQ</t>
        </is>
      </c>
      <c r="G1732" s="6" t="n">
        <v>20</v>
      </c>
      <c r="H1732" s="6" t="n">
        <v>-248.65144362</v>
      </c>
      <c r="I1732" s="7">
        <f>-H1732/G1732</f>
        <v/>
      </c>
      <c r="J1732" s="11" t="n">
        <v>44680</v>
      </c>
      <c r="K1732" s="6">
        <f>+OPERAC[[#This Row],[cantidad]]</f>
        <v/>
      </c>
      <c r="L1732" s="6">
        <f>12.848*OPERAC[[#This Row],[cantidad venta]]</f>
        <v/>
      </c>
      <c r="M1732" s="7">
        <f>IF(N1732=0,+L1732+H1732,0)</f>
        <v/>
      </c>
      <c r="N1732" s="7">
        <f>IF((+G1732-K1732)=0,0,+G1732-K1732)</f>
        <v/>
      </c>
      <c r="O1732" s="7">
        <f>IF(N1732=0,0,(L1732+H1732)/-N1732)</f>
        <v/>
      </c>
      <c r="P1732" s="7">
        <f>VLOOKUP(OPERAC[[#This Row],[especie]],[1]!ESPECIES[#All],6,0)</f>
        <v/>
      </c>
      <c r="Q1732" s="7">
        <f>IF(N1732&lt;&gt;0,P1732*N1732,0)</f>
        <v/>
      </c>
      <c r="R1732" s="8">
        <f>IF(Q1732&lt;&gt;0,Q1732+H1732+L1732,0)</f>
        <v/>
      </c>
      <c r="S1732" s="9">
        <f>VLOOKUP(OPERAC[[#This Row],[especie]],[1]!ESPECIES[#Data],9,FALSE)</f>
        <v/>
      </c>
    </row>
    <row r="1733">
      <c r="A1733" s="4" t="n">
        <v>18663</v>
      </c>
      <c r="B1733" s="5" t="n">
        <v>44533</v>
      </c>
      <c r="C1733" s="13" t="inlineStr">
        <is>
          <t>VTA</t>
        </is>
      </c>
      <c r="D1733" s="13" t="n">
        <v>41</v>
      </c>
      <c r="E1733" s="10">
        <f>IF(D1733&gt;0,VLOOKUP(OPERAC[[#This Row],[COD CART]],[1]!MatrizCortoLargoCyl[#All],3,0),"")</f>
        <v/>
      </c>
      <c r="F1733" s="13" t="inlineStr">
        <is>
          <t>SSYS</t>
        </is>
      </c>
      <c r="G1733" s="6" t="n">
        <v>10</v>
      </c>
      <c r="H1733" s="6" t="n">
        <v>-250.48</v>
      </c>
      <c r="I1733" s="7">
        <f>-H1733/G1733</f>
        <v/>
      </c>
      <c r="J1733" s="11" t="n">
        <v>44637</v>
      </c>
      <c r="K1733" s="6" t="n">
        <v>10</v>
      </c>
      <c r="L1733" s="6" t="n">
        <v>247.496</v>
      </c>
      <c r="M1733" s="7">
        <f>IF(N1733=0,+L1733+H1733,0)</f>
        <v/>
      </c>
      <c r="N1733" s="7">
        <f>IF((+G1733-K1733)=0,0,+G1733-K1733)</f>
        <v/>
      </c>
      <c r="O1733" s="7">
        <f>IF(N1733=0,0,(L1733+H1733)/-N1733)</f>
        <v/>
      </c>
      <c r="P1733" s="7">
        <f>VLOOKUP(OPERAC[[#This Row],[especie]],[1]!ESPECIES[#All],6,0)</f>
        <v/>
      </c>
      <c r="Q1733" s="7">
        <f>IF(N1733&lt;&gt;0,P1733*N1733,0)</f>
        <v/>
      </c>
      <c r="R1733" s="8">
        <f>IF(Q1733&lt;&gt;0,Q1733+H1733+L1733,0)</f>
        <v/>
      </c>
      <c r="S1733" s="9">
        <f>VLOOKUP(OPERAC[[#This Row],[especie]],[1]!ESPECIES[#Data],9,FALSE)</f>
        <v/>
      </c>
    </row>
    <row r="1734">
      <c r="A1734" s="4" t="n">
        <v>13281</v>
      </c>
      <c r="B1734" s="5" t="n">
        <v>44659</v>
      </c>
      <c r="C1734" s="13" t="inlineStr">
        <is>
          <t>VTA</t>
        </is>
      </c>
      <c r="D1734" s="13" t="n">
        <v>42</v>
      </c>
      <c r="E1734" s="10">
        <f>IF(D1734&gt;0,VLOOKUP(OPERAC[[#This Row],[COD CART]],[1]!MatrizCortoLargoCyl[#All],3,0),"")</f>
        <v/>
      </c>
      <c r="F1734" s="13" t="inlineStr">
        <is>
          <t>SMH</t>
        </is>
      </c>
      <c r="G1734" s="6" t="n">
        <v>1</v>
      </c>
      <c r="H1734" s="6" t="n">
        <v>-250.692</v>
      </c>
      <c r="I1734" s="7">
        <f>-H1734/G1734</f>
        <v/>
      </c>
      <c r="J1734" s="11" t="n">
        <v>44663</v>
      </c>
      <c r="K1734" s="6">
        <f>+OPERAC[[#This Row],[cantidad]]</f>
        <v/>
      </c>
      <c r="L1734" s="6">
        <f>+OPERAC[[#This Row],[cantidad venta]]*238.066</f>
        <v/>
      </c>
      <c r="M1734" s="7">
        <f>IF(N1734=0,+L1734+H1734,0)</f>
        <v/>
      </c>
      <c r="N1734" s="7">
        <f>IF((+G1734-K1734)=0,0,+G1734-K1734)</f>
        <v/>
      </c>
      <c r="O1734" s="7">
        <f>IF(N1734=0,0,(L1734+H1734)/-N1734)</f>
        <v/>
      </c>
      <c r="P1734" s="7">
        <f>VLOOKUP(OPERAC[[#This Row],[especie]],[1]!ESPECIES[#All],6,0)</f>
        <v/>
      </c>
      <c r="Q1734" s="7">
        <f>IF(N1734&lt;&gt;0,P1734*N1734,0)</f>
        <v/>
      </c>
      <c r="R1734" s="8">
        <f>IF(Q1734&lt;&gt;0,Q1734+H1734+L1734,0)</f>
        <v/>
      </c>
      <c r="S1734" s="9">
        <f>VLOOKUP(OPERAC[[#This Row],[especie]],[1]!ESPECIES[#Data],9,FALSE)</f>
        <v/>
      </c>
    </row>
    <row r="1735">
      <c r="A1735" s="4" t="n">
        <v>19931</v>
      </c>
      <c r="B1735" s="5" t="n">
        <v>44629</v>
      </c>
      <c r="C1735" s="13" t="inlineStr">
        <is>
          <t>VTA</t>
        </is>
      </c>
      <c r="D1735" s="13" t="n">
        <v>31</v>
      </c>
      <c r="E1735" s="10">
        <f>IF(D1735&gt;0,VLOOKUP(OPERAC[[#This Row],[COD CART]],[1]!MatrizCortoLargoCyl[#All],3,0),"")</f>
        <v/>
      </c>
      <c r="F1735" s="13" t="inlineStr">
        <is>
          <t>GGAL</t>
        </is>
      </c>
      <c r="G1735" s="6" t="n">
        <v>25</v>
      </c>
      <c r="H1735" s="6" t="n">
        <v>-250.984</v>
      </c>
      <c r="I1735" s="7">
        <f>-H1735/G1735</f>
        <v/>
      </c>
      <c r="J1735" s="11" t="n">
        <v>44691</v>
      </c>
      <c r="K1735" s="6" t="n">
        <v>25</v>
      </c>
      <c r="L1735" s="6" t="n">
        <v>218.378</v>
      </c>
      <c r="M1735" s="7">
        <f>IF(N1735=0,+L1735+H1735,0)</f>
        <v/>
      </c>
      <c r="N1735" s="7">
        <f>IF((+G1735-K1735)=0,0,+G1735-K1735)</f>
        <v/>
      </c>
      <c r="O1735" s="7">
        <f>IF(N1735=0,0,(L1735+H1735)/-N1735)</f>
        <v/>
      </c>
      <c r="P1735" s="7">
        <f>VLOOKUP(OPERAC[[#This Row],[especie]],[1]!ESPECIES[#All],6,0)</f>
        <v/>
      </c>
      <c r="Q1735" s="7">
        <f>IF(N1735&lt;&gt;0,P1735*N1735,0)</f>
        <v/>
      </c>
      <c r="R1735" s="8">
        <f>IF(Q1735&lt;&gt;0,Q1735+H1735+L1735,0)</f>
        <v/>
      </c>
      <c r="S1735" s="9">
        <f>VLOOKUP(OPERAC[[#This Row],[especie]],[1]!ESPECIES[#Data],9,FALSE)</f>
        <v/>
      </c>
    </row>
    <row r="1736">
      <c r="A1736" s="4" t="n">
        <v>18663</v>
      </c>
      <c r="B1736" s="5" t="n">
        <v>44565</v>
      </c>
      <c r="C1736" s="13" t="inlineStr">
        <is>
          <t>VTA</t>
        </is>
      </c>
      <c r="D1736" s="13" t="n">
        <v>41</v>
      </c>
      <c r="E1736" s="10">
        <f>IF(D1736&gt;0,VLOOKUP(OPERAC[[#This Row],[COD CART]],[1]!MatrizCortoLargoCyl[#All],3,0),"")</f>
        <v/>
      </c>
      <c r="F1736" s="13" t="inlineStr">
        <is>
          <t>HIMX</t>
        </is>
      </c>
      <c r="G1736" s="6" t="n">
        <v>20</v>
      </c>
      <c r="H1736" s="6" t="n">
        <v>-251.153344</v>
      </c>
      <c r="I1736" s="7">
        <f>-H1736/G1736</f>
        <v/>
      </c>
      <c r="J1736" s="11" t="n"/>
      <c r="K1736" s="6" t="n"/>
      <c r="L1736" s="6" t="n"/>
      <c r="M1736" s="7">
        <f>IF(N1736=0,+L1736+H1736,0)</f>
        <v/>
      </c>
      <c r="N1736" s="7">
        <f>IF((+G1736-K1736)=0,0,+G1736-K1736)</f>
        <v/>
      </c>
      <c r="O1736" s="7">
        <f>IF(N1736=0,0,(L1736+H1736)/-N1736)</f>
        <v/>
      </c>
      <c r="P1736" s="7">
        <f>VLOOKUP(OPERAC[[#This Row],[especie]],[1]!ESPECIES[#All],6,0)</f>
        <v/>
      </c>
      <c r="Q1736" s="7">
        <f>IF(N1736&lt;&gt;0,P1736*N1736,0)</f>
        <v/>
      </c>
      <c r="R1736" s="8">
        <f>IF(Q1736&lt;&gt;0,Q1736+H1736+L1736,0)</f>
        <v/>
      </c>
      <c r="S1736" s="9">
        <f>VLOOKUP(OPERAC[[#This Row],[especie]],[1]!ESPECIES[#Data],9,FALSE)</f>
        <v/>
      </c>
    </row>
    <row r="1737">
      <c r="A1737" s="4" t="n">
        <v>26140</v>
      </c>
      <c r="B1737" s="5" t="n">
        <v>44698</v>
      </c>
      <c r="C1737" s="13" t="inlineStr">
        <is>
          <t>VTA</t>
        </is>
      </c>
      <c r="D1737" s="13" t="n">
        <v>39</v>
      </c>
      <c r="E1737" s="10">
        <f>IF(D1737&gt;0,VLOOKUP(OPERAC[[#This Row],[COD CART]],[1]!MatrizCortoLargoCyl[#All],3,0),"")</f>
        <v/>
      </c>
      <c r="F1737" s="13" t="inlineStr">
        <is>
          <t>NTLA/C/65,00/15-07-22</t>
        </is>
      </c>
      <c r="G1737" s="6" t="n">
        <v>100</v>
      </c>
      <c r="H1737" s="6" t="n">
        <v>-252.125</v>
      </c>
      <c r="I1737" s="7">
        <f>-H1737/G1737</f>
        <v/>
      </c>
      <c r="J1737" s="11" t="n"/>
      <c r="K1737" s="6" t="n"/>
      <c r="L1737" s="6" t="n"/>
      <c r="M1737" s="7">
        <f>IF(N1737=0,+L1737+H1737,0)</f>
        <v/>
      </c>
      <c r="N1737" s="7">
        <f>IF((+G1737-K1737)=0,0,+G1737-K1737)</f>
        <v/>
      </c>
      <c r="O1737" s="7">
        <f>IF(N1737=0,0,(L1737+H1737)/-N1737)</f>
        <v/>
      </c>
      <c r="P1737" s="7">
        <f>VLOOKUP(OPERAC[[#This Row],[especie]],[1]!ESPECIES[#All],6,0)</f>
        <v/>
      </c>
      <c r="Q1737" s="7">
        <f>IF(N1737&lt;&gt;0,P1737*N1737,0)</f>
        <v/>
      </c>
      <c r="R1737" s="8">
        <f>IF(Q1737&lt;&gt;0,Q1737+H1737+L1737,0)</f>
        <v/>
      </c>
      <c r="S1737" s="9">
        <f>VLOOKUP(OPERAC[[#This Row],[especie]],[1]!ESPECIES[#Data],9,FALSE)</f>
        <v/>
      </c>
    </row>
    <row r="1738">
      <c r="A1738" s="4" t="n">
        <v>22431</v>
      </c>
      <c r="B1738" s="5" t="n">
        <v>44698</v>
      </c>
      <c r="C1738" s="13" t="inlineStr">
        <is>
          <t>VTA</t>
        </is>
      </c>
      <c r="D1738" s="13" t="n">
        <v>39</v>
      </c>
      <c r="E1738" s="10">
        <f>IF(D1738&gt;0,VLOOKUP(OPERAC[[#This Row],[COD CART]],[1]!MatrizCortoLargoCyl[#All],3,0),"")</f>
        <v/>
      </c>
      <c r="F1738" s="13" t="inlineStr">
        <is>
          <t>NTLA/C/65,00/15-07-22</t>
        </is>
      </c>
      <c r="G1738" s="6" t="n">
        <v>100</v>
      </c>
      <c r="H1738" s="6" t="n">
        <v>-252.125</v>
      </c>
      <c r="I1738" s="7">
        <f>-H1738/G1738</f>
        <v/>
      </c>
      <c r="J1738" s="11" t="n"/>
      <c r="K1738" s="6" t="n"/>
      <c r="L1738" s="6" t="n"/>
      <c r="M1738" s="7">
        <f>IF(N1738=0,+L1738+H1738,0)</f>
        <v/>
      </c>
      <c r="N1738" s="7">
        <f>IF((+G1738-K1738)=0,0,+G1738-K1738)</f>
        <v/>
      </c>
      <c r="O1738" s="7">
        <f>IF(N1738=0,0,(L1738+H1738)/-N1738)</f>
        <v/>
      </c>
      <c r="P1738" s="7">
        <f>VLOOKUP(OPERAC[[#This Row],[especie]],[1]!ESPECIES[#All],6,0)</f>
        <v/>
      </c>
      <c r="Q1738" s="7">
        <f>IF(N1738&lt;&gt;0,P1738*N1738,0)</f>
        <v/>
      </c>
      <c r="R1738" s="8">
        <f>IF(Q1738&lt;&gt;0,Q1738+H1738+L1738,0)</f>
        <v/>
      </c>
      <c r="S1738" s="9">
        <f>VLOOKUP(OPERAC[[#This Row],[especie]],[1]!ESPECIES[#Data],9,FALSE)</f>
        <v/>
      </c>
    </row>
    <row r="1739">
      <c r="A1739" s="4" t="n">
        <v>22421</v>
      </c>
      <c r="B1739" s="5" t="n">
        <v>44698</v>
      </c>
      <c r="C1739" s="13" t="inlineStr">
        <is>
          <t>VTA</t>
        </is>
      </c>
      <c r="D1739" s="13" t="n">
        <v>39</v>
      </c>
      <c r="E1739" s="10">
        <f>IF(D1739&gt;0,VLOOKUP(OPERAC[[#This Row],[COD CART]],[1]!MatrizCortoLargoCyl[#All],3,0),"")</f>
        <v/>
      </c>
      <c r="F1739" s="13" t="inlineStr">
        <is>
          <t>NTLA/C/65,00/15-07-22</t>
        </is>
      </c>
      <c r="G1739" s="6" t="n">
        <v>100</v>
      </c>
      <c r="H1739" s="6" t="n">
        <v>-252.125</v>
      </c>
      <c r="I1739" s="7">
        <f>-H1739/G1739</f>
        <v/>
      </c>
      <c r="J1739" s="11" t="n"/>
      <c r="K1739" s="6" t="n"/>
      <c r="L1739" s="6" t="n"/>
      <c r="M1739" s="7">
        <f>IF(N1739=0,+L1739+H1739,0)</f>
        <v/>
      </c>
      <c r="N1739" s="7">
        <f>IF((+G1739-K1739)=0,0,+G1739-K1739)</f>
        <v/>
      </c>
      <c r="O1739" s="7">
        <f>IF(N1739=0,0,(L1739+H1739)/-N1739)</f>
        <v/>
      </c>
      <c r="P1739" s="7">
        <f>VLOOKUP(OPERAC[[#This Row],[especie]],[1]!ESPECIES[#All],6,0)</f>
        <v/>
      </c>
      <c r="Q1739" s="7">
        <f>IF(N1739&lt;&gt;0,P1739*N1739,0)</f>
        <v/>
      </c>
      <c r="R1739" s="8">
        <f>IF(Q1739&lt;&gt;0,Q1739+H1739+L1739,0)</f>
        <v/>
      </c>
      <c r="S1739" s="9">
        <f>VLOOKUP(OPERAC[[#This Row],[especie]],[1]!ESPECIES[#Data],9,FALSE)</f>
        <v/>
      </c>
    </row>
    <row r="1740">
      <c r="A1740" s="4" t="n">
        <v>20317</v>
      </c>
      <c r="B1740" s="5" t="n">
        <v>44698</v>
      </c>
      <c r="C1740" s="13" t="inlineStr">
        <is>
          <t>VTA</t>
        </is>
      </c>
      <c r="D1740" s="13" t="n">
        <v>39</v>
      </c>
      <c r="E1740" s="10">
        <f>IF(D1740&gt;0,VLOOKUP(OPERAC[[#This Row],[COD CART]],[1]!MatrizCortoLargoCyl[#All],3,0),"")</f>
        <v/>
      </c>
      <c r="F1740" s="13" t="inlineStr">
        <is>
          <t>NTLA/C/65,00/15-07-22</t>
        </is>
      </c>
      <c r="G1740" s="6" t="n">
        <v>100</v>
      </c>
      <c r="H1740" s="6" t="n">
        <v>-252.125</v>
      </c>
      <c r="I1740" s="7">
        <f>-H1740/G1740</f>
        <v/>
      </c>
      <c r="J1740" s="11" t="n"/>
      <c r="K1740" s="6" t="n"/>
      <c r="L1740" s="6" t="n"/>
      <c r="M1740" s="7">
        <f>IF(N1740=0,+L1740+H1740,0)</f>
        <v/>
      </c>
      <c r="N1740" s="7">
        <f>IF((+G1740-K1740)=0,0,+G1740-K1740)</f>
        <v/>
      </c>
      <c r="O1740" s="7">
        <f>IF(N1740=0,0,(L1740+H1740)/-N1740)</f>
        <v/>
      </c>
      <c r="P1740" s="7">
        <f>VLOOKUP(OPERAC[[#This Row],[especie]],[1]!ESPECIES[#All],6,0)</f>
        <v/>
      </c>
      <c r="Q1740" s="7">
        <f>IF(N1740&lt;&gt;0,P1740*N1740,0)</f>
        <v/>
      </c>
      <c r="R1740" s="8">
        <f>IF(Q1740&lt;&gt;0,Q1740+H1740+L1740,0)</f>
        <v/>
      </c>
      <c r="S1740" s="9">
        <f>VLOOKUP(OPERAC[[#This Row],[especie]],[1]!ESPECIES[#Data],9,FALSE)</f>
        <v/>
      </c>
    </row>
    <row r="1741">
      <c r="A1741" s="4" t="n">
        <v>18677</v>
      </c>
      <c r="B1741" s="5" t="n">
        <v>44698</v>
      </c>
      <c r="C1741" s="13" t="inlineStr">
        <is>
          <t>VTA</t>
        </is>
      </c>
      <c r="D1741" s="13" t="n">
        <v>39</v>
      </c>
      <c r="E1741" s="10">
        <f>IF(D1741&gt;0,VLOOKUP(OPERAC[[#This Row],[COD CART]],[1]!MatrizCortoLargoCyl[#All],3,0),"")</f>
        <v/>
      </c>
      <c r="F1741" s="13" t="inlineStr">
        <is>
          <t>NTLA/C/65,00/15-07-22</t>
        </is>
      </c>
      <c r="G1741" s="6" t="n">
        <v>100</v>
      </c>
      <c r="H1741" s="6" t="n">
        <v>-252.125</v>
      </c>
      <c r="I1741" s="7">
        <f>-H1741/G1741</f>
        <v/>
      </c>
      <c r="J1741" s="11" t="n"/>
      <c r="K1741" s="6" t="n"/>
      <c r="L1741" s="6" t="n"/>
      <c r="M1741" s="7">
        <f>IF(N1741=0,+L1741+H1741,0)</f>
        <v/>
      </c>
      <c r="N1741" s="7">
        <f>IF((+G1741-K1741)=0,0,+G1741-K1741)</f>
        <v/>
      </c>
      <c r="O1741" s="7">
        <f>IF(N1741=0,0,(L1741+H1741)/-N1741)</f>
        <v/>
      </c>
      <c r="P1741" s="7">
        <f>VLOOKUP(OPERAC[[#This Row],[especie]],[1]!ESPECIES[#All],6,0)</f>
        <v/>
      </c>
      <c r="Q1741" s="7">
        <f>IF(N1741&lt;&gt;0,P1741*N1741,0)</f>
        <v/>
      </c>
      <c r="R1741" s="8">
        <f>IF(Q1741&lt;&gt;0,Q1741+H1741+L1741,0)</f>
        <v/>
      </c>
      <c r="S1741" s="9">
        <f>VLOOKUP(OPERAC[[#This Row],[especie]],[1]!ESPECIES[#Data],9,FALSE)</f>
        <v/>
      </c>
    </row>
    <row r="1742">
      <c r="A1742" s="4" t="n">
        <v>16795</v>
      </c>
      <c r="B1742" s="5" t="n">
        <v>44698</v>
      </c>
      <c r="C1742" s="13" t="inlineStr">
        <is>
          <t>VTA</t>
        </is>
      </c>
      <c r="D1742" s="13" t="n">
        <v>39</v>
      </c>
      <c r="E1742" s="10">
        <f>IF(D1742&gt;0,VLOOKUP(OPERAC[[#This Row],[COD CART]],[1]!MatrizCortoLargoCyl[#All],3,0),"")</f>
        <v/>
      </c>
      <c r="F1742" s="13" t="inlineStr">
        <is>
          <t>NTLA/C/65,00/15-07-22</t>
        </is>
      </c>
      <c r="G1742" s="6" t="n">
        <v>100</v>
      </c>
      <c r="H1742" s="6" t="n">
        <v>-252.125</v>
      </c>
      <c r="I1742" s="7">
        <f>-H1742/G1742</f>
        <v/>
      </c>
      <c r="J1742" s="11" t="n"/>
      <c r="K1742" s="6" t="n"/>
      <c r="L1742" s="6" t="n"/>
      <c r="M1742" s="7">
        <f>IF(N1742=0,+L1742+H1742,0)</f>
        <v/>
      </c>
      <c r="N1742" s="7">
        <f>IF((+G1742-K1742)=0,0,+G1742-K1742)</f>
        <v/>
      </c>
      <c r="O1742" s="7">
        <f>IF(N1742=0,0,(L1742+H1742)/-N1742)</f>
        <v/>
      </c>
      <c r="P1742" s="7">
        <f>VLOOKUP(OPERAC[[#This Row],[especie]],[1]!ESPECIES[#All],6,0)</f>
        <v/>
      </c>
      <c r="Q1742" s="7">
        <f>IF(N1742&lt;&gt;0,P1742*N1742,0)</f>
        <v/>
      </c>
      <c r="R1742" s="8">
        <f>IF(Q1742&lt;&gt;0,Q1742+H1742+L1742,0)</f>
        <v/>
      </c>
      <c r="S1742" s="9">
        <f>VLOOKUP(OPERAC[[#This Row],[especie]],[1]!ESPECIES[#Data],9,FALSE)</f>
        <v/>
      </c>
    </row>
    <row r="1743">
      <c r="A1743" s="4" t="n">
        <v>13246</v>
      </c>
      <c r="B1743" s="5" t="n">
        <v>44698</v>
      </c>
      <c r="C1743" s="13" t="inlineStr">
        <is>
          <t>VTA</t>
        </is>
      </c>
      <c r="D1743" s="13" t="n">
        <v>39</v>
      </c>
      <c r="E1743" s="10">
        <f>IF(D1743&gt;0,VLOOKUP(OPERAC[[#This Row],[COD CART]],[1]!MatrizCortoLargoCyl[#All],3,0),"")</f>
        <v/>
      </c>
      <c r="F1743" s="13" t="inlineStr">
        <is>
          <t>NTLA/C/65,00/15-07-22</t>
        </is>
      </c>
      <c r="G1743" s="6" t="n">
        <v>100</v>
      </c>
      <c r="H1743" s="6" t="n">
        <v>-252.125</v>
      </c>
      <c r="I1743" s="7">
        <f>-H1743/G1743</f>
        <v/>
      </c>
      <c r="J1743" s="11" t="n"/>
      <c r="K1743" s="6" t="n"/>
      <c r="L1743" s="6" t="n"/>
      <c r="M1743" s="7">
        <f>IF(N1743=0,+L1743+H1743,0)</f>
        <v/>
      </c>
      <c r="N1743" s="7">
        <f>IF((+G1743-K1743)=0,0,+G1743-K1743)</f>
        <v/>
      </c>
      <c r="O1743" s="7">
        <f>IF(N1743=0,0,(L1743+H1743)/-N1743)</f>
        <v/>
      </c>
      <c r="P1743" s="7">
        <f>VLOOKUP(OPERAC[[#This Row],[especie]],[1]!ESPECIES[#All],6,0)</f>
        <v/>
      </c>
      <c r="Q1743" s="7">
        <f>IF(N1743&lt;&gt;0,P1743*N1743,0)</f>
        <v/>
      </c>
      <c r="R1743" s="8">
        <f>IF(Q1743&lt;&gt;0,Q1743+H1743+L1743,0)</f>
        <v/>
      </c>
      <c r="S1743" s="9">
        <f>VLOOKUP(OPERAC[[#This Row],[especie]],[1]!ESPECIES[#Data],9,FALSE)</f>
        <v/>
      </c>
    </row>
    <row r="1744">
      <c r="A1744" s="4" t="n">
        <v>12672</v>
      </c>
      <c r="B1744" s="5" t="n">
        <v>44698</v>
      </c>
      <c r="C1744" s="13" t="inlineStr">
        <is>
          <t>VTA</t>
        </is>
      </c>
      <c r="D1744" s="13" t="n">
        <v>39</v>
      </c>
      <c r="E1744" s="10">
        <f>IF(D1744&gt;0,VLOOKUP(OPERAC[[#This Row],[COD CART]],[1]!MatrizCortoLargoCyl[#All],3,0),"")</f>
        <v/>
      </c>
      <c r="F1744" s="13" t="inlineStr">
        <is>
          <t>NTLA/C/65,00/15-07-22</t>
        </is>
      </c>
      <c r="G1744" s="6" t="n">
        <v>100</v>
      </c>
      <c r="H1744" s="6" t="n">
        <v>-252.125</v>
      </c>
      <c r="I1744" s="7">
        <f>-H1744/G1744</f>
        <v/>
      </c>
      <c r="J1744" s="11" t="n"/>
      <c r="K1744" s="6" t="n"/>
      <c r="L1744" s="6" t="n"/>
      <c r="M1744" s="7">
        <f>IF(N1744=0,+L1744+H1744,0)</f>
        <v/>
      </c>
      <c r="N1744" s="7">
        <f>IF((+G1744-K1744)=0,0,+G1744-K1744)</f>
        <v/>
      </c>
      <c r="O1744" s="7">
        <f>IF(N1744=0,0,(L1744+H1744)/-N1744)</f>
        <v/>
      </c>
      <c r="P1744" s="7">
        <f>VLOOKUP(OPERAC[[#This Row],[especie]],[1]!ESPECIES[#All],6,0)</f>
        <v/>
      </c>
      <c r="Q1744" s="7">
        <f>IF(N1744&lt;&gt;0,P1744*N1744,0)</f>
        <v/>
      </c>
      <c r="R1744" s="8">
        <f>IF(Q1744&lt;&gt;0,Q1744+H1744+L1744,0)</f>
        <v/>
      </c>
      <c r="S1744" s="9">
        <f>VLOOKUP(OPERAC[[#This Row],[especie]],[1]!ESPECIES[#Data],9,FALSE)</f>
        <v/>
      </c>
    </row>
    <row r="1745">
      <c r="A1745" s="4" t="n">
        <v>12619</v>
      </c>
      <c r="B1745" s="5" t="n">
        <v>44698</v>
      </c>
      <c r="C1745" s="13" t="inlineStr">
        <is>
          <t>VTA</t>
        </is>
      </c>
      <c r="D1745" s="13" t="n">
        <v>39</v>
      </c>
      <c r="E1745" s="10">
        <f>IF(D1745&gt;0,VLOOKUP(OPERAC[[#This Row],[COD CART]],[1]!MatrizCortoLargoCyl[#All],3,0),"")</f>
        <v/>
      </c>
      <c r="F1745" s="13" t="inlineStr">
        <is>
          <t>NTLA/C/65,00/15-07-22</t>
        </is>
      </c>
      <c r="G1745" s="6" t="n">
        <v>100</v>
      </c>
      <c r="H1745" s="6" t="n">
        <v>-252.125</v>
      </c>
      <c r="I1745" s="7">
        <f>-H1745/G1745</f>
        <v/>
      </c>
      <c r="J1745" s="11" t="n"/>
      <c r="K1745" s="6" t="n"/>
      <c r="L1745" s="6" t="n"/>
      <c r="M1745" s="7">
        <f>IF(N1745=0,+L1745+H1745,0)</f>
        <v/>
      </c>
      <c r="N1745" s="7">
        <f>IF((+G1745-K1745)=0,0,+G1745-K1745)</f>
        <v/>
      </c>
      <c r="O1745" s="7">
        <f>IF(N1745=0,0,(L1745+H1745)/-N1745)</f>
        <v/>
      </c>
      <c r="P1745" s="7">
        <f>VLOOKUP(OPERAC[[#This Row],[especie]],[1]!ESPECIES[#All],6,0)</f>
        <v/>
      </c>
      <c r="Q1745" s="7">
        <f>IF(N1745&lt;&gt;0,P1745*N1745,0)</f>
        <v/>
      </c>
      <c r="R1745" s="8">
        <f>IF(Q1745&lt;&gt;0,Q1745+H1745+L1745,0)</f>
        <v/>
      </c>
      <c r="S1745" s="9">
        <f>VLOOKUP(OPERAC[[#This Row],[especie]],[1]!ESPECIES[#Data],9,FALSE)</f>
        <v/>
      </c>
    </row>
    <row r="1746">
      <c r="A1746" s="4" t="n">
        <v>3787</v>
      </c>
      <c r="B1746" s="5" t="n">
        <v>44698</v>
      </c>
      <c r="C1746" s="13" t="inlineStr">
        <is>
          <t>VTA</t>
        </is>
      </c>
      <c r="D1746" s="13" t="n">
        <v>39</v>
      </c>
      <c r="E1746" s="10">
        <f>IF(D1746&gt;0,VLOOKUP(OPERAC[[#This Row],[COD CART]],[1]!MatrizCortoLargoCyl[#All],3,0),"")</f>
        <v/>
      </c>
      <c r="F1746" s="13" t="inlineStr">
        <is>
          <t>NTLA/C/65,00/15-07-22</t>
        </is>
      </c>
      <c r="G1746" s="6" t="n">
        <v>100</v>
      </c>
      <c r="H1746" s="6" t="n">
        <v>-252.125</v>
      </c>
      <c r="I1746" s="7">
        <f>-H1746/G1746</f>
        <v/>
      </c>
      <c r="J1746" s="11" t="n"/>
      <c r="K1746" s="6" t="n"/>
      <c r="L1746" s="6" t="n"/>
      <c r="M1746" s="7">
        <f>IF(N1746=0,+L1746+H1746,0)</f>
        <v/>
      </c>
      <c r="N1746" s="7">
        <f>IF((+G1746-K1746)=0,0,+G1746-K1746)</f>
        <v/>
      </c>
      <c r="O1746" s="7">
        <f>IF(N1746=0,0,(L1746+H1746)/-N1746)</f>
        <v/>
      </c>
      <c r="P1746" s="7">
        <f>VLOOKUP(OPERAC[[#This Row],[especie]],[1]!ESPECIES[#All],6,0)</f>
        <v/>
      </c>
      <c r="Q1746" s="7">
        <f>IF(N1746&lt;&gt;0,P1746*N1746,0)</f>
        <v/>
      </c>
      <c r="R1746" s="8">
        <f>IF(Q1746&lt;&gt;0,Q1746+H1746+L1746,0)</f>
        <v/>
      </c>
      <c r="S1746" s="9">
        <f>VLOOKUP(OPERAC[[#This Row],[especie]],[1]!ESPECIES[#Data],9,FALSE)</f>
        <v/>
      </c>
    </row>
    <row r="1747">
      <c r="A1747" s="4" t="n">
        <v>20312</v>
      </c>
      <c r="B1747" s="5" t="n">
        <v>44722</v>
      </c>
      <c r="C1747" s="13" t="inlineStr">
        <is>
          <t>VTA</t>
        </is>
      </c>
      <c r="D1747" s="13" t="n">
        <v>40</v>
      </c>
      <c r="E1747" s="10">
        <f>IF(D1747&gt;0,VLOOKUP(OPERAC[[#This Row],[COD CART]],[1]!MatrizCortoLargoCyl[#All],3,0),"")</f>
        <v/>
      </c>
      <c r="F1747" s="13" t="inlineStr">
        <is>
          <t>SFM</t>
        </is>
      </c>
      <c r="G1747" s="6" t="n">
        <v>10</v>
      </c>
      <c r="H1747" s="6" t="n">
        <v>-254.3437</v>
      </c>
      <c r="I1747" s="7">
        <f>-H1747/G1747</f>
        <v/>
      </c>
      <c r="J1747" s="5" t="n"/>
      <c r="K1747" s="6" t="n"/>
      <c r="L1747" s="6" t="n"/>
      <c r="M1747" s="7">
        <f>IF(N1747=0,+L1747+H1747,0)</f>
        <v/>
      </c>
      <c r="N1747" s="7">
        <f>IF((+G1747-K1747)=0,0,+G1747-K1747)</f>
        <v/>
      </c>
      <c r="O1747" s="7">
        <f>IF(N1747=0,0,(L1747+H1747)/-N1747)</f>
        <v/>
      </c>
      <c r="P1747" s="7">
        <f>VLOOKUP(OPERAC[[#This Row],[especie]],[1]!ESPECIES[#All],6,0)</f>
        <v/>
      </c>
      <c r="Q1747" s="7">
        <f>IF(N1747&lt;&gt;0,P1747*N1747,0)</f>
        <v/>
      </c>
      <c r="R1747" s="8">
        <f>IF(Q1747&lt;&gt;0,Q1747+H1747+L1747,0)</f>
        <v/>
      </c>
      <c r="S1747" s="9">
        <f>VLOOKUP(OPERAC[[#This Row],[especie]],[1]!ESPECIES[#Data],9,FALSE)</f>
        <v/>
      </c>
    </row>
    <row r="1748">
      <c r="A1748" s="4" t="n">
        <v>2211</v>
      </c>
      <c r="B1748" s="5" t="n">
        <v>44671</v>
      </c>
      <c r="C1748" s="13" t="inlineStr">
        <is>
          <t>VTA</t>
        </is>
      </c>
      <c r="D1748" s="13" t="n">
        <v>42</v>
      </c>
      <c r="E1748" s="10">
        <f>IF(D1748&gt;0,VLOOKUP(OPERAC[[#This Row],[COD CART]],[1]!MatrizCortoLargoCyl[#All],3,0),"")</f>
        <v/>
      </c>
      <c r="F1748" s="13" t="inlineStr">
        <is>
          <t>NFLX</t>
        </is>
      </c>
      <c r="G1748" s="6" t="n">
        <v>1</v>
      </c>
      <c r="H1748" s="6" t="n">
        <v>-254.50506</v>
      </c>
      <c r="I1748" s="7">
        <f>-H1748/G1748</f>
        <v/>
      </c>
      <c r="J1748" s="11" t="n"/>
      <c r="K1748" s="6" t="n"/>
      <c r="L1748" s="6" t="n"/>
      <c r="M1748" s="7">
        <f>IF(N1748=0,+L1748+H1748,0)</f>
        <v/>
      </c>
      <c r="N1748" s="7">
        <f>IF((+G1748-K1748)=0,0,+G1748-K1748)</f>
        <v/>
      </c>
      <c r="O1748" s="7">
        <f>IF(N1748=0,0,(L1748+H1748)/-N1748)</f>
        <v/>
      </c>
      <c r="P1748" s="7">
        <f>VLOOKUP(OPERAC[[#This Row],[especie]],[1]!ESPECIES[#All],6,0)</f>
        <v/>
      </c>
      <c r="Q1748" s="7">
        <f>IF(N1748&lt;&gt;0,P1748*N1748,0)</f>
        <v/>
      </c>
      <c r="R1748" s="8">
        <f>IF(Q1748&lt;&gt;0,Q1748+H1748+L1748,0)</f>
        <v/>
      </c>
      <c r="S1748" s="9">
        <f>VLOOKUP(OPERAC[[#This Row],[especie]],[1]!ESPECIES[#Data],9,FALSE)</f>
        <v/>
      </c>
    </row>
    <row r="1749">
      <c r="A1749" s="4" t="n">
        <v>12688</v>
      </c>
      <c r="B1749" s="5" t="n">
        <v>44671</v>
      </c>
      <c r="C1749" s="13" t="inlineStr">
        <is>
          <t>VTA</t>
        </is>
      </c>
      <c r="D1749" s="13" t="n">
        <v>42</v>
      </c>
      <c r="E1749" s="10">
        <f>IF(D1749&gt;0,VLOOKUP(OPERAC[[#This Row],[COD CART]],[1]!MatrizCortoLargoCyl[#All],3,0),"")</f>
        <v/>
      </c>
      <c r="F1749" s="13" t="inlineStr">
        <is>
          <t>NFLX</t>
        </is>
      </c>
      <c r="G1749" s="6" t="n">
        <v>1</v>
      </c>
      <c r="H1749" s="6" t="n">
        <v>-254.50506</v>
      </c>
      <c r="I1749" s="7">
        <f>-H1749/G1749</f>
        <v/>
      </c>
      <c r="J1749" s="11" t="n">
        <v>44693</v>
      </c>
      <c r="K1749" s="6">
        <f>+OPERAC[[#This Row],[cantidad]]</f>
        <v/>
      </c>
      <c r="L1749" s="6">
        <f>+OPERAC[[#This Row],[cantidad venta]]*169.079</f>
        <v/>
      </c>
      <c r="M1749" s="7">
        <f>IF(N1749=0,+L1749+H1749,0)</f>
        <v/>
      </c>
      <c r="N1749" s="7">
        <f>IF((+G1749-K1749)=0,0,+G1749-K1749)</f>
        <v/>
      </c>
      <c r="O1749" s="7">
        <f>IF(N1749=0,0,(L1749+H1749)/-N1749)</f>
        <v/>
      </c>
      <c r="P1749" s="7">
        <f>VLOOKUP(OPERAC[[#This Row],[especie]],[1]!ESPECIES[#All],6,0)</f>
        <v/>
      </c>
      <c r="Q1749" s="7">
        <f>IF(N1749&lt;&gt;0,P1749*N1749,0)</f>
        <v/>
      </c>
      <c r="R1749" s="8">
        <f>IF(Q1749&lt;&gt;0,Q1749+H1749+L1749,0)</f>
        <v/>
      </c>
      <c r="S1749" s="9">
        <f>VLOOKUP(OPERAC[[#This Row],[especie]],[1]!ESPECIES[#Data],9,FALSE)</f>
        <v/>
      </c>
    </row>
    <row r="1750">
      <c r="A1750" s="4" t="n">
        <v>13268</v>
      </c>
      <c r="B1750" s="5" t="n">
        <v>44671</v>
      </c>
      <c r="C1750" s="13" t="inlineStr">
        <is>
          <t>VTA</t>
        </is>
      </c>
      <c r="D1750" s="13" t="n">
        <v>42</v>
      </c>
      <c r="E1750" s="10">
        <f>IF(D1750&gt;0,VLOOKUP(OPERAC[[#This Row],[COD CART]],[1]!MatrizCortoLargoCyl[#All],3,0),"")</f>
        <v/>
      </c>
      <c r="F1750" s="13" t="inlineStr">
        <is>
          <t>NFLX</t>
        </is>
      </c>
      <c r="G1750" s="6" t="n">
        <v>1</v>
      </c>
      <c r="H1750" s="6" t="n">
        <v>-254.50506</v>
      </c>
      <c r="I1750" s="7">
        <f>-H1750/G1750</f>
        <v/>
      </c>
      <c r="J1750" s="11" t="n">
        <v>44691</v>
      </c>
      <c r="K1750" s="6" t="n">
        <v>1</v>
      </c>
      <c r="L1750" s="6" t="n">
        <v>177.548</v>
      </c>
      <c r="M1750" s="7">
        <f>IF(N1750=0,+L1750+H1750,0)</f>
        <v/>
      </c>
      <c r="N1750" s="7">
        <f>IF((+G1750-K1750)=0,0,+G1750-K1750)</f>
        <v/>
      </c>
      <c r="O1750" s="7">
        <f>IF(N1750=0,0,(L1750+H1750)/-N1750)</f>
        <v/>
      </c>
      <c r="P1750" s="7">
        <f>VLOOKUP(OPERAC[[#This Row],[especie]],[1]!ESPECIES[#All],6,0)</f>
        <v/>
      </c>
      <c r="Q1750" s="7">
        <f>IF(N1750&lt;&gt;0,P1750*N1750,0)</f>
        <v/>
      </c>
      <c r="R1750" s="8">
        <f>IF(Q1750&lt;&gt;0,Q1750+H1750+L1750,0)</f>
        <v/>
      </c>
      <c r="S1750" s="9">
        <f>VLOOKUP(OPERAC[[#This Row],[especie]],[1]!ESPECIES[#Data],9,FALSE)</f>
        <v/>
      </c>
    </row>
    <row r="1751">
      <c r="A1751" s="4" t="n">
        <v>13273</v>
      </c>
      <c r="B1751" s="5" t="n">
        <v>44671</v>
      </c>
      <c r="C1751" s="13" t="inlineStr">
        <is>
          <t>VTA</t>
        </is>
      </c>
      <c r="D1751" s="13" t="n">
        <v>42</v>
      </c>
      <c r="E1751" s="10">
        <f>IF(D1751&gt;0,VLOOKUP(OPERAC[[#This Row],[COD CART]],[1]!MatrizCortoLargoCyl[#All],3,0),"")</f>
        <v/>
      </c>
      <c r="F1751" s="13" t="inlineStr">
        <is>
          <t>NFLX</t>
        </is>
      </c>
      <c r="G1751" s="6" t="n">
        <v>1</v>
      </c>
      <c r="H1751" s="6" t="n">
        <v>-254.50506</v>
      </c>
      <c r="I1751" s="7">
        <f>-H1751/G1751</f>
        <v/>
      </c>
      <c r="J1751" s="11" t="n">
        <v>44693</v>
      </c>
      <c r="K1751" s="6">
        <f>+OPERAC[[#This Row],[cantidad]]</f>
        <v/>
      </c>
      <c r="L1751" s="6">
        <f>+OPERAC[[#This Row],[cantidad venta]]*169.079</f>
        <v/>
      </c>
      <c r="M1751" s="7">
        <f>IF(N1751=0,+L1751+H1751,0)</f>
        <v/>
      </c>
      <c r="N1751" s="7">
        <f>IF((+G1751-K1751)=0,0,+G1751-K1751)</f>
        <v/>
      </c>
      <c r="O1751" s="7">
        <f>IF(N1751=0,0,(L1751+H1751)/-N1751)</f>
        <v/>
      </c>
      <c r="P1751" s="7">
        <f>VLOOKUP(OPERAC[[#This Row],[especie]],[1]!ESPECIES[#All],6,0)</f>
        <v/>
      </c>
      <c r="Q1751" s="7">
        <f>IF(N1751&lt;&gt;0,P1751*N1751,0)</f>
        <v/>
      </c>
      <c r="R1751" s="8">
        <f>IF(Q1751&lt;&gt;0,Q1751+H1751+L1751,0)</f>
        <v/>
      </c>
      <c r="S1751" s="9">
        <f>VLOOKUP(OPERAC[[#This Row],[especie]],[1]!ESPECIES[#Data],9,FALSE)</f>
        <v/>
      </c>
    </row>
    <row r="1752">
      <c r="A1752" s="4" t="n">
        <v>13281</v>
      </c>
      <c r="B1752" s="5" t="n">
        <v>44671</v>
      </c>
      <c r="C1752" s="13" t="inlineStr">
        <is>
          <t>VTA</t>
        </is>
      </c>
      <c r="D1752" s="13" t="n">
        <v>42</v>
      </c>
      <c r="E1752" s="10">
        <f>IF(D1752&gt;0,VLOOKUP(OPERAC[[#This Row],[COD CART]],[1]!MatrizCortoLargoCyl[#All],3,0),"")</f>
        <v/>
      </c>
      <c r="F1752" s="13" t="inlineStr">
        <is>
          <t>NFLX</t>
        </is>
      </c>
      <c r="G1752" s="6" t="n">
        <v>1</v>
      </c>
      <c r="H1752" s="6" t="n">
        <v>-254.50506</v>
      </c>
      <c r="I1752" s="7">
        <f>-H1752/G1752</f>
        <v/>
      </c>
      <c r="J1752" s="11" t="n"/>
      <c r="K1752" s="6" t="n"/>
      <c r="L1752" s="6" t="n"/>
      <c r="M1752" s="7">
        <f>IF(N1752=0,+L1752+H1752,0)</f>
        <v/>
      </c>
      <c r="N1752" s="7">
        <f>IF((+G1752-K1752)=0,0,+G1752-K1752)</f>
        <v/>
      </c>
      <c r="O1752" s="7">
        <f>IF(N1752=0,0,(L1752+H1752)/-N1752)</f>
        <v/>
      </c>
      <c r="P1752" s="7">
        <f>VLOOKUP(OPERAC[[#This Row],[especie]],[1]!ESPECIES[#All],6,0)</f>
        <v/>
      </c>
      <c r="Q1752" s="7">
        <f>IF(N1752&lt;&gt;0,P1752*N1752,0)</f>
        <v/>
      </c>
      <c r="R1752" s="8">
        <f>IF(Q1752&lt;&gt;0,Q1752+H1752+L1752,0)</f>
        <v/>
      </c>
      <c r="S1752" s="9">
        <f>VLOOKUP(OPERAC[[#This Row],[especie]],[1]!ESPECIES[#Data],9,FALSE)</f>
        <v/>
      </c>
    </row>
    <row r="1753">
      <c r="A1753" s="4" t="n">
        <v>16842</v>
      </c>
      <c r="B1753" s="5" t="n">
        <v>44671</v>
      </c>
      <c r="C1753" s="13" t="inlineStr">
        <is>
          <t>VTA</t>
        </is>
      </c>
      <c r="D1753" s="13" t="n">
        <v>42</v>
      </c>
      <c r="E1753" s="10">
        <f>IF(D1753&gt;0,VLOOKUP(OPERAC[[#This Row],[COD CART]],[1]!MatrizCortoLargoCyl[#All],3,0),"")</f>
        <v/>
      </c>
      <c r="F1753" s="13" t="inlineStr">
        <is>
          <t>NFLX</t>
        </is>
      </c>
      <c r="G1753" s="6" t="n">
        <v>1</v>
      </c>
      <c r="H1753" s="6" t="n">
        <v>-254.50506</v>
      </c>
      <c r="I1753" s="7">
        <f>-H1753/G1753</f>
        <v/>
      </c>
      <c r="J1753" s="11" t="n">
        <v>44691</v>
      </c>
      <c r="K1753" s="6" t="n">
        <v>1</v>
      </c>
      <c r="L1753" s="6" t="n">
        <v>178.368</v>
      </c>
      <c r="M1753" s="7">
        <f>IF(N1753=0,+L1753+H1753,0)</f>
        <v/>
      </c>
      <c r="N1753" s="7">
        <f>IF((+G1753-K1753)=0,0,+G1753-K1753)</f>
        <v/>
      </c>
      <c r="O1753" s="7">
        <f>IF(N1753=0,0,(L1753+H1753)/-N1753)</f>
        <v/>
      </c>
      <c r="P1753" s="7">
        <f>VLOOKUP(OPERAC[[#This Row],[especie]],[1]!ESPECIES[#All],6,0)</f>
        <v/>
      </c>
      <c r="Q1753" s="7">
        <f>IF(N1753&lt;&gt;0,P1753*N1753,0)</f>
        <v/>
      </c>
      <c r="R1753" s="8">
        <f>IF(Q1753&lt;&gt;0,Q1753+H1753+L1753,0)</f>
        <v/>
      </c>
      <c r="S1753" s="9">
        <f>VLOOKUP(OPERAC[[#This Row],[especie]],[1]!ESPECIES[#Data],9,FALSE)</f>
        <v/>
      </c>
    </row>
    <row r="1754">
      <c r="A1754" s="4" t="n">
        <v>17042</v>
      </c>
      <c r="B1754" s="5" t="n">
        <v>44671</v>
      </c>
      <c r="C1754" s="13" t="inlineStr">
        <is>
          <t>VTA</t>
        </is>
      </c>
      <c r="D1754" s="13" t="n">
        <v>42</v>
      </c>
      <c r="E1754" s="10">
        <f>IF(D1754&gt;0,VLOOKUP(OPERAC[[#This Row],[COD CART]],[1]!MatrizCortoLargoCyl[#All],3,0),"")</f>
        <v/>
      </c>
      <c r="F1754" s="13" t="inlineStr">
        <is>
          <t>NFLX</t>
        </is>
      </c>
      <c r="G1754" s="6" t="n">
        <v>1</v>
      </c>
      <c r="H1754" s="6" t="n">
        <v>-254.50506</v>
      </c>
      <c r="I1754" s="7">
        <f>-H1754/G1754</f>
        <v/>
      </c>
      <c r="J1754" s="11" t="n">
        <v>44691</v>
      </c>
      <c r="K1754" s="6" t="n">
        <v>1</v>
      </c>
      <c r="L1754" s="6" t="n">
        <v>177.816</v>
      </c>
      <c r="M1754" s="7">
        <f>IF(N1754=0,+L1754+H1754,0)</f>
        <v/>
      </c>
      <c r="N1754" s="7">
        <f>IF((+G1754-K1754)=0,0,+G1754-K1754)</f>
        <v/>
      </c>
      <c r="O1754" s="7">
        <f>IF(N1754=0,0,(L1754+H1754)/-N1754)</f>
        <v/>
      </c>
      <c r="P1754" s="7">
        <f>VLOOKUP(OPERAC[[#This Row],[especie]],[1]!ESPECIES[#All],6,0)</f>
        <v/>
      </c>
      <c r="Q1754" s="7">
        <f>IF(N1754&lt;&gt;0,P1754*N1754,0)</f>
        <v/>
      </c>
      <c r="R1754" s="8">
        <f>IF(Q1754&lt;&gt;0,Q1754+H1754+L1754,0)</f>
        <v/>
      </c>
      <c r="S1754" s="9">
        <f>VLOOKUP(OPERAC[[#This Row],[especie]],[1]!ESPECIES[#Data],9,FALSE)</f>
        <v/>
      </c>
    </row>
    <row r="1755">
      <c r="A1755" s="4" t="n">
        <v>18663</v>
      </c>
      <c r="B1755" s="5" t="n">
        <v>44627</v>
      </c>
      <c r="C1755" s="13" t="inlineStr">
        <is>
          <t>VTA</t>
        </is>
      </c>
      <c r="D1755" s="13" t="n">
        <v>41</v>
      </c>
      <c r="E1755" s="10">
        <f>IF(D1755&gt;0,VLOOKUP(OPERAC[[#This Row],[COD CART]],[1]!MatrizCortoLargoCyl[#All],3,0),"")</f>
        <v/>
      </c>
      <c r="F1755" s="13" t="inlineStr">
        <is>
          <t>NRZ</t>
        </is>
      </c>
      <c r="G1755" s="6" t="n">
        <v>25</v>
      </c>
      <c r="H1755" s="6" t="n">
        <v>-254.89</v>
      </c>
      <c r="I1755" s="7">
        <f>-H1755/G1755</f>
        <v/>
      </c>
      <c r="J1755" s="11" t="n"/>
      <c r="K1755" s="6" t="n"/>
      <c r="L1755" s="6" t="n"/>
      <c r="M1755" s="7">
        <f>IF(N1755=0,+L1755+H1755,0)</f>
        <v/>
      </c>
      <c r="N1755" s="7">
        <f>IF((+G1755-K1755)=0,0,+G1755-K1755)</f>
        <v/>
      </c>
      <c r="O1755" s="7">
        <f>IF(N1755=0,0,(L1755+H1755)/-N1755)</f>
        <v/>
      </c>
      <c r="P1755" s="7">
        <f>VLOOKUP(OPERAC[[#This Row],[especie]],[1]!ESPECIES[#All],6,0)</f>
        <v/>
      </c>
      <c r="Q1755" s="7">
        <f>IF(N1755&lt;&gt;0,P1755*N1755,0)</f>
        <v/>
      </c>
      <c r="R1755" s="8">
        <f>IF(Q1755&lt;&gt;0,Q1755+H1755+L1755,0)</f>
        <v/>
      </c>
      <c r="S1755" s="9">
        <f>VLOOKUP(OPERAC[[#This Row],[especie]],[1]!ESPECIES[#Data],9,FALSE)</f>
        <v/>
      </c>
    </row>
    <row r="1756">
      <c r="A1756" s="4" t="n">
        <v>1800</v>
      </c>
      <c r="B1756" s="5" t="n">
        <v>44539</v>
      </c>
      <c r="C1756" s="13" t="inlineStr">
        <is>
          <t>VTA</t>
        </is>
      </c>
      <c r="D1756" s="13" t="n">
        <v>40</v>
      </c>
      <c r="E1756" s="10">
        <f>IF(D1756&gt;0,VLOOKUP(OPERAC[[#This Row],[COD CART]],[1]!MatrizCortoLargoCyl[#All],3,0),"")</f>
        <v/>
      </c>
      <c r="F1756" s="13" t="inlineStr">
        <is>
          <t>ROKU</t>
        </is>
      </c>
      <c r="G1756" s="6" t="n">
        <v>1</v>
      </c>
      <c r="H1756" s="6" t="n">
        <v>-257.72036</v>
      </c>
      <c r="I1756" s="7">
        <f>-H1756/G1756</f>
        <v/>
      </c>
      <c r="J1756" s="11" t="n">
        <v>44606</v>
      </c>
      <c r="K1756" s="6">
        <f>+OPERAC[[#This Row],[cantidad]]</f>
        <v/>
      </c>
      <c r="L1756" s="6">
        <f>+OPERAC[[#This Row],[cantidad venta]]*160.574</f>
        <v/>
      </c>
      <c r="M1756" s="7">
        <f>IF(N1756=0,+L1756+H1756,0)</f>
        <v/>
      </c>
      <c r="N1756" s="7">
        <f>IF((+G1756-K1756)=0,0,+G1756-K1756)</f>
        <v/>
      </c>
      <c r="O1756" s="7">
        <f>IF(N1756=0,0,(L1756+H1756)/-N1756)</f>
        <v/>
      </c>
      <c r="P1756" s="7">
        <f>VLOOKUP(OPERAC[[#This Row],[especie]],[1]!ESPECIES[#All],6,0)</f>
        <v/>
      </c>
      <c r="Q1756" s="7">
        <f>IF(N1756&lt;&gt;0,P1756*N1756,0)</f>
        <v/>
      </c>
      <c r="R1756" s="8">
        <f>IF(Q1756&lt;&gt;0,Q1756+H1756+L1756,0)</f>
        <v/>
      </c>
      <c r="S1756" s="9">
        <f>VLOOKUP(OPERAC[[#This Row],[especie]],[1]!ESPECIES[#Data],9,FALSE)</f>
        <v/>
      </c>
    </row>
    <row r="1757">
      <c r="A1757" s="4" t="n">
        <v>1801</v>
      </c>
      <c r="B1757" s="5" t="n">
        <v>44539</v>
      </c>
      <c r="C1757" s="13" t="inlineStr">
        <is>
          <t>VTA</t>
        </is>
      </c>
      <c r="D1757" s="13" t="n">
        <v>40</v>
      </c>
      <c r="E1757" s="10">
        <f>IF(D1757&gt;0,VLOOKUP(OPERAC[[#This Row],[COD CART]],[1]!MatrizCortoLargoCyl[#All],3,0),"")</f>
        <v/>
      </c>
      <c r="F1757" s="13" t="inlineStr">
        <is>
          <t>ROKU</t>
        </is>
      </c>
      <c r="G1757" s="6" t="n">
        <v>1</v>
      </c>
      <c r="H1757" s="6" t="n">
        <v>-257.72036</v>
      </c>
      <c r="I1757" s="7">
        <f>-H1757/G1757</f>
        <v/>
      </c>
      <c r="J1757" s="11" t="n">
        <v>44606</v>
      </c>
      <c r="K1757" s="6">
        <f>+OPERAC[[#This Row],[cantidad]]</f>
        <v/>
      </c>
      <c r="L1757" s="6">
        <f>+OPERAC[[#This Row],[cantidad venta]]*160.574</f>
        <v/>
      </c>
      <c r="M1757" s="7">
        <f>IF(N1757=0,+L1757+H1757,0)</f>
        <v/>
      </c>
      <c r="N1757" s="7">
        <f>IF((+G1757-K1757)=0,0,+G1757-K1757)</f>
        <v/>
      </c>
      <c r="O1757" s="7">
        <f>IF(N1757=0,0,(L1757+H1757)/-N1757)</f>
        <v/>
      </c>
      <c r="P1757" s="7">
        <f>VLOOKUP(OPERAC[[#This Row],[especie]],[1]!ESPECIES[#All],6,0)</f>
        <v/>
      </c>
      <c r="Q1757" s="7">
        <f>IF(N1757&lt;&gt;0,P1757*N1757,0)</f>
        <v/>
      </c>
      <c r="R1757" s="8">
        <f>IF(Q1757&lt;&gt;0,Q1757+H1757+L1757,0)</f>
        <v/>
      </c>
      <c r="S1757" s="9">
        <f>VLOOKUP(OPERAC[[#This Row],[especie]],[1]!ESPECIES[#Data],9,FALSE)</f>
        <v/>
      </c>
    </row>
    <row r="1758">
      <c r="A1758" s="4" t="n">
        <v>2289</v>
      </c>
      <c r="B1758" s="5" t="n">
        <v>44539</v>
      </c>
      <c r="C1758" s="13" t="inlineStr">
        <is>
          <t>VTA</t>
        </is>
      </c>
      <c r="D1758" s="13" t="n">
        <v>40</v>
      </c>
      <c r="E1758" s="10">
        <f>IF(D1758&gt;0,VLOOKUP(OPERAC[[#This Row],[COD CART]],[1]!MatrizCortoLargoCyl[#All],3,0),"")</f>
        <v/>
      </c>
      <c r="F1758" s="13" t="inlineStr">
        <is>
          <t>ROKU</t>
        </is>
      </c>
      <c r="G1758" s="6" t="n">
        <v>1</v>
      </c>
      <c r="H1758" s="6" t="n">
        <v>-257.72036</v>
      </c>
      <c r="I1758" s="7">
        <f>-H1758/G1758</f>
        <v/>
      </c>
      <c r="J1758" s="11" t="n">
        <v>44606</v>
      </c>
      <c r="K1758" s="6">
        <f>+OPERAC[[#This Row],[cantidad]]</f>
        <v/>
      </c>
      <c r="L1758" s="6">
        <f>+OPERAC[[#This Row],[cantidad venta]]*160.574</f>
        <v/>
      </c>
      <c r="M1758" s="7">
        <f>IF(N1758=0,+L1758+H1758,0)</f>
        <v/>
      </c>
      <c r="N1758" s="7">
        <f>IF((+G1758-K1758)=0,0,+G1758-K1758)</f>
        <v/>
      </c>
      <c r="O1758" s="7">
        <f>IF(N1758=0,0,(L1758+H1758)/-N1758)</f>
        <v/>
      </c>
      <c r="P1758" s="7">
        <f>VLOOKUP(OPERAC[[#This Row],[especie]],[1]!ESPECIES[#All],6,0)</f>
        <v/>
      </c>
      <c r="Q1758" s="7">
        <f>IF(N1758&lt;&gt;0,P1758*N1758,0)</f>
        <v/>
      </c>
      <c r="R1758" s="8">
        <f>IF(Q1758&lt;&gt;0,Q1758+H1758+L1758,0)</f>
        <v/>
      </c>
      <c r="S1758" s="9">
        <f>VLOOKUP(OPERAC[[#This Row],[especie]],[1]!ESPECIES[#Data],9,FALSE)</f>
        <v/>
      </c>
    </row>
    <row r="1759">
      <c r="A1759" s="4" t="n">
        <v>3818</v>
      </c>
      <c r="B1759" s="5" t="n">
        <v>44539</v>
      </c>
      <c r="C1759" s="13" t="inlineStr">
        <is>
          <t>VTA</t>
        </is>
      </c>
      <c r="D1759" s="13" t="n">
        <v>40</v>
      </c>
      <c r="E1759" s="10">
        <f>IF(D1759&gt;0,VLOOKUP(OPERAC[[#This Row],[COD CART]],[1]!MatrizCortoLargoCyl[#All],3,0),"")</f>
        <v/>
      </c>
      <c r="F1759" s="13" t="inlineStr">
        <is>
          <t>ROKU</t>
        </is>
      </c>
      <c r="G1759" s="6" t="n">
        <v>1</v>
      </c>
      <c r="H1759" s="6" t="n">
        <v>-257.72036</v>
      </c>
      <c r="I1759" s="7">
        <f>-H1759/G1759</f>
        <v/>
      </c>
      <c r="J1759" s="11" t="n">
        <v>44600</v>
      </c>
      <c r="K1759" s="6" t="n">
        <v>1</v>
      </c>
      <c r="L1759" s="6" t="n">
        <v>160</v>
      </c>
      <c r="M1759" s="7">
        <f>IF(N1759=0,+L1759+H1759,0)</f>
        <v/>
      </c>
      <c r="N1759" s="7">
        <f>IF((+G1759-K1759)=0,0,+G1759-K1759)</f>
        <v/>
      </c>
      <c r="O1759" s="7">
        <f>IF(N1759=0,0,(L1759+H1759)/-N1759)</f>
        <v/>
      </c>
      <c r="P1759" s="7">
        <f>VLOOKUP(OPERAC[[#This Row],[especie]],[1]!ESPECIES[#All],6,0)</f>
        <v/>
      </c>
      <c r="Q1759" s="7">
        <f>IF(N1759&lt;&gt;0,P1759*N1759,0)</f>
        <v/>
      </c>
      <c r="R1759" s="8">
        <f>IF(Q1759&lt;&gt;0,Q1759+H1759+L1759,0)</f>
        <v/>
      </c>
      <c r="S1759" s="9">
        <f>VLOOKUP(OPERAC[[#This Row],[especie]],[1]!ESPECIES[#Data],9,FALSE)</f>
        <v/>
      </c>
    </row>
    <row r="1760">
      <c r="A1760" s="4" t="n">
        <v>3820</v>
      </c>
      <c r="B1760" s="5" t="n">
        <v>44539</v>
      </c>
      <c r="C1760" s="13" t="inlineStr">
        <is>
          <t>VTA</t>
        </is>
      </c>
      <c r="D1760" s="13" t="n">
        <v>40</v>
      </c>
      <c r="E1760" s="10">
        <f>IF(D1760&gt;0,VLOOKUP(OPERAC[[#This Row],[COD CART]],[1]!MatrizCortoLargoCyl[#All],3,0),"")</f>
        <v/>
      </c>
      <c r="F1760" s="13" t="inlineStr">
        <is>
          <t>ROKU</t>
        </is>
      </c>
      <c r="G1760" s="6" t="n">
        <v>1</v>
      </c>
      <c r="H1760" s="6" t="n">
        <v>-257.72036</v>
      </c>
      <c r="I1760" s="7">
        <f>-H1760/G1760</f>
        <v/>
      </c>
      <c r="J1760" s="11" t="n">
        <v>44606</v>
      </c>
      <c r="K1760" s="6">
        <f>+OPERAC[[#This Row],[cantidad]]</f>
        <v/>
      </c>
      <c r="L1760" s="6">
        <f>+OPERAC[[#This Row],[cantidad venta]]*160.574</f>
        <v/>
      </c>
      <c r="M1760" s="7">
        <f>IF(N1760=0,+L1760+H1760,0)</f>
        <v/>
      </c>
      <c r="N1760" s="7">
        <f>IF((+G1760-K1760)=0,0,+G1760-K1760)</f>
        <v/>
      </c>
      <c r="O1760" s="7">
        <f>IF(N1760=0,0,(L1760+H1760)/-N1760)</f>
        <v/>
      </c>
      <c r="P1760" s="7">
        <f>VLOOKUP(OPERAC[[#This Row],[especie]],[1]!ESPECIES[#All],6,0)</f>
        <v/>
      </c>
      <c r="Q1760" s="7">
        <f>IF(N1760&lt;&gt;0,P1760*N1760,0)</f>
        <v/>
      </c>
      <c r="R1760" s="8">
        <f>IF(Q1760&lt;&gt;0,Q1760+H1760+L1760,0)</f>
        <v/>
      </c>
      <c r="S1760" s="9">
        <f>VLOOKUP(OPERAC[[#This Row],[especie]],[1]!ESPECIES[#Data],9,FALSE)</f>
        <v/>
      </c>
    </row>
    <row r="1761">
      <c r="A1761" s="4" t="n">
        <v>3852</v>
      </c>
      <c r="B1761" s="5" t="n">
        <v>44539</v>
      </c>
      <c r="C1761" s="13" t="inlineStr">
        <is>
          <t>VTA</t>
        </is>
      </c>
      <c r="D1761" s="13" t="n">
        <v>40</v>
      </c>
      <c r="E1761" s="10">
        <f>IF(D1761&gt;0,VLOOKUP(OPERAC[[#This Row],[COD CART]],[1]!MatrizCortoLargoCyl[#All],3,0),"")</f>
        <v/>
      </c>
      <c r="F1761" s="13" t="inlineStr">
        <is>
          <t>ROKU</t>
        </is>
      </c>
      <c r="G1761" s="6" t="n">
        <v>1</v>
      </c>
      <c r="H1761" s="6" t="n">
        <v>-257.72036</v>
      </c>
      <c r="I1761" s="7">
        <f>-H1761/G1761</f>
        <v/>
      </c>
      <c r="J1761" s="11" t="n">
        <v>44606</v>
      </c>
      <c r="K1761" s="6">
        <f>+OPERAC[[#This Row],[cantidad]]</f>
        <v/>
      </c>
      <c r="L1761" s="6">
        <f>+OPERAC[[#This Row],[cantidad venta]]*160.574</f>
        <v/>
      </c>
      <c r="M1761" s="7">
        <f>IF(N1761=0,+L1761+H1761,0)</f>
        <v/>
      </c>
      <c r="N1761" s="7">
        <f>IF((+G1761-K1761)=0,0,+G1761-K1761)</f>
        <v/>
      </c>
      <c r="O1761" s="7">
        <f>IF(N1761=0,0,(L1761+H1761)/-N1761)</f>
        <v/>
      </c>
      <c r="P1761" s="7">
        <f>VLOOKUP(OPERAC[[#This Row],[especie]],[1]!ESPECIES[#All],6,0)</f>
        <v/>
      </c>
      <c r="Q1761" s="7">
        <f>IF(N1761&lt;&gt;0,P1761*N1761,0)</f>
        <v/>
      </c>
      <c r="R1761" s="8">
        <f>IF(Q1761&lt;&gt;0,Q1761+H1761+L1761,0)</f>
        <v/>
      </c>
      <c r="S1761" s="9">
        <f>VLOOKUP(OPERAC[[#This Row],[especie]],[1]!ESPECIES[#Data],9,FALSE)</f>
        <v/>
      </c>
    </row>
    <row r="1762">
      <c r="A1762" s="4" t="n">
        <v>12671</v>
      </c>
      <c r="B1762" s="5" t="n">
        <v>44539</v>
      </c>
      <c r="C1762" s="13" t="inlineStr">
        <is>
          <t>VTA</t>
        </is>
      </c>
      <c r="D1762" s="13" t="n">
        <v>40</v>
      </c>
      <c r="E1762" s="10">
        <f>IF(D1762&gt;0,VLOOKUP(OPERAC[[#This Row],[COD CART]],[1]!MatrizCortoLargoCyl[#All],3,0),"")</f>
        <v/>
      </c>
      <c r="F1762" s="13" t="inlineStr">
        <is>
          <t>ROKU</t>
        </is>
      </c>
      <c r="G1762" s="6" t="n">
        <v>1</v>
      </c>
      <c r="H1762" s="6" t="n">
        <v>-257.72036</v>
      </c>
      <c r="I1762" s="7">
        <f>-H1762/G1762</f>
        <v/>
      </c>
      <c r="J1762" s="11" t="n">
        <v>44606</v>
      </c>
      <c r="K1762" s="6">
        <f>+OPERAC[[#This Row],[cantidad]]</f>
        <v/>
      </c>
      <c r="L1762" s="6">
        <f>+OPERAC[[#This Row],[cantidad venta]]*160.574</f>
        <v/>
      </c>
      <c r="M1762" s="7">
        <f>IF(N1762=0,+L1762+H1762,0)</f>
        <v/>
      </c>
      <c r="N1762" s="7">
        <f>IF((+G1762-K1762)=0,0,+G1762-K1762)</f>
        <v/>
      </c>
      <c r="O1762" s="7">
        <f>IF(N1762=0,0,(L1762+H1762)/-N1762)</f>
        <v/>
      </c>
      <c r="P1762" s="7">
        <f>VLOOKUP(OPERAC[[#This Row],[especie]],[1]!ESPECIES[#All],6,0)</f>
        <v/>
      </c>
      <c r="Q1762" s="7">
        <f>IF(N1762&lt;&gt;0,P1762*N1762,0)</f>
        <v/>
      </c>
      <c r="R1762" s="8">
        <f>IF(Q1762&lt;&gt;0,Q1762+H1762+L1762,0)</f>
        <v/>
      </c>
      <c r="S1762" s="9">
        <f>VLOOKUP(OPERAC[[#This Row],[especie]],[1]!ESPECIES[#Data],9,FALSE)</f>
        <v/>
      </c>
    </row>
    <row r="1763">
      <c r="A1763" s="4" t="n">
        <v>12672</v>
      </c>
      <c r="B1763" s="5" t="n">
        <v>44539</v>
      </c>
      <c r="C1763" s="13" t="inlineStr">
        <is>
          <t>VTA</t>
        </is>
      </c>
      <c r="D1763" s="13" t="n">
        <v>40</v>
      </c>
      <c r="E1763" s="10">
        <f>IF(D1763&gt;0,VLOOKUP(OPERAC[[#This Row],[COD CART]],[1]!MatrizCortoLargoCyl[#All],3,0),"")</f>
        <v/>
      </c>
      <c r="F1763" s="13" t="inlineStr">
        <is>
          <t>ROKU</t>
        </is>
      </c>
      <c r="G1763" s="6" t="n">
        <v>1</v>
      </c>
      <c r="H1763" s="6" t="n">
        <v>-257.72036</v>
      </c>
      <c r="I1763" s="7">
        <f>-H1763/G1763</f>
        <v/>
      </c>
      <c r="J1763" s="11" t="n">
        <v>44606</v>
      </c>
      <c r="K1763" s="6">
        <f>+OPERAC[[#This Row],[cantidad]]</f>
        <v/>
      </c>
      <c r="L1763" s="6">
        <f>+OPERAC[[#This Row],[cantidad venta]]*160.574</f>
        <v/>
      </c>
      <c r="M1763" s="7">
        <f>IF(N1763=0,+L1763+H1763,0)</f>
        <v/>
      </c>
      <c r="N1763" s="7">
        <f>IF((+G1763-K1763)=0,0,+G1763-K1763)</f>
        <v/>
      </c>
      <c r="O1763" s="7">
        <f>IF(N1763=0,0,(L1763+H1763)/-N1763)</f>
        <v/>
      </c>
      <c r="P1763" s="7">
        <f>VLOOKUP(OPERAC[[#This Row],[especie]],[1]!ESPECIES[#All],6,0)</f>
        <v/>
      </c>
      <c r="Q1763" s="7">
        <f>IF(N1763&lt;&gt;0,P1763*N1763,0)</f>
        <v/>
      </c>
      <c r="R1763" s="8">
        <f>IF(Q1763&lt;&gt;0,Q1763+H1763+L1763,0)</f>
        <v/>
      </c>
      <c r="S1763" s="9">
        <f>VLOOKUP(OPERAC[[#This Row],[especie]],[1]!ESPECIES[#Data],9,FALSE)</f>
        <v/>
      </c>
    </row>
    <row r="1764">
      <c r="A1764" s="4" t="n">
        <v>12684</v>
      </c>
      <c r="B1764" s="5" t="n">
        <v>44539</v>
      </c>
      <c r="C1764" s="13" t="inlineStr">
        <is>
          <t>VTA</t>
        </is>
      </c>
      <c r="D1764" s="13" t="n">
        <v>40</v>
      </c>
      <c r="E1764" s="10">
        <f>IF(D1764&gt;0,VLOOKUP(OPERAC[[#This Row],[COD CART]],[1]!MatrizCortoLargoCyl[#All],3,0),"")</f>
        <v/>
      </c>
      <c r="F1764" s="13" t="inlineStr">
        <is>
          <t>ROKU</t>
        </is>
      </c>
      <c r="G1764" s="6" t="n">
        <v>1</v>
      </c>
      <c r="H1764" s="6" t="n">
        <v>-257.72036</v>
      </c>
      <c r="I1764" s="7">
        <f>-H1764/G1764</f>
        <v/>
      </c>
      <c r="J1764" s="11" t="n">
        <v>44606</v>
      </c>
      <c r="K1764" s="6">
        <f>+OPERAC[[#This Row],[cantidad]]</f>
        <v/>
      </c>
      <c r="L1764" s="6">
        <f>+OPERAC[[#This Row],[cantidad venta]]*160.574</f>
        <v/>
      </c>
      <c r="M1764" s="7">
        <f>IF(N1764=0,+L1764+H1764,0)</f>
        <v/>
      </c>
      <c r="N1764" s="7">
        <f>IF((+G1764-K1764)=0,0,+G1764-K1764)</f>
        <v/>
      </c>
      <c r="O1764" s="7">
        <f>IF(N1764=0,0,(L1764+H1764)/-N1764)</f>
        <v/>
      </c>
      <c r="P1764" s="7">
        <f>VLOOKUP(OPERAC[[#This Row],[especie]],[1]!ESPECIES[#All],6,0)</f>
        <v/>
      </c>
      <c r="Q1764" s="7">
        <f>IF(N1764&lt;&gt;0,P1764*N1764,0)</f>
        <v/>
      </c>
      <c r="R1764" s="8">
        <f>IF(Q1764&lt;&gt;0,Q1764+H1764+L1764,0)</f>
        <v/>
      </c>
      <c r="S1764" s="9">
        <f>VLOOKUP(OPERAC[[#This Row],[especie]],[1]!ESPECIES[#Data],9,FALSE)</f>
        <v/>
      </c>
    </row>
    <row r="1765">
      <c r="A1765" s="4" t="n">
        <v>13281</v>
      </c>
      <c r="B1765" s="5" t="n">
        <v>44539</v>
      </c>
      <c r="C1765" s="13" t="inlineStr">
        <is>
          <t>VTA</t>
        </is>
      </c>
      <c r="D1765" s="13" t="n">
        <v>40</v>
      </c>
      <c r="E1765" s="10">
        <f>IF(D1765&gt;0,VLOOKUP(OPERAC[[#This Row],[COD CART]],[1]!MatrizCortoLargoCyl[#All],3,0),"")</f>
        <v/>
      </c>
      <c r="F1765" s="13" t="inlineStr">
        <is>
          <t>ROKU</t>
        </is>
      </c>
      <c r="G1765" s="6" t="n">
        <v>1</v>
      </c>
      <c r="H1765" s="6" t="n">
        <v>-257.72036</v>
      </c>
      <c r="I1765" s="7">
        <f>-H1765/G1765</f>
        <v/>
      </c>
      <c r="J1765" s="11" t="n">
        <v>44606</v>
      </c>
      <c r="K1765" s="6">
        <f>+OPERAC[[#This Row],[cantidad]]</f>
        <v/>
      </c>
      <c r="L1765" s="6">
        <f>+OPERAC[[#This Row],[cantidad venta]]*160.574</f>
        <v/>
      </c>
      <c r="M1765" s="7">
        <f>IF(N1765=0,+L1765+H1765,0)</f>
        <v/>
      </c>
      <c r="N1765" s="7">
        <f>IF((+G1765-K1765)=0,0,+G1765-K1765)</f>
        <v/>
      </c>
      <c r="O1765" s="7">
        <f>IF(N1765=0,0,(L1765+H1765)/-N1765)</f>
        <v/>
      </c>
      <c r="P1765" s="7">
        <f>VLOOKUP(OPERAC[[#This Row],[especie]],[1]!ESPECIES[#All],6,0)</f>
        <v/>
      </c>
      <c r="Q1765" s="7">
        <f>IF(N1765&lt;&gt;0,P1765*N1765,0)</f>
        <v/>
      </c>
      <c r="R1765" s="8">
        <f>IF(Q1765&lt;&gt;0,Q1765+H1765+L1765,0)</f>
        <v/>
      </c>
      <c r="S1765" s="9">
        <f>VLOOKUP(OPERAC[[#This Row],[especie]],[1]!ESPECIES[#Data],9,FALSE)</f>
        <v/>
      </c>
    </row>
    <row r="1766">
      <c r="A1766" s="4" t="n">
        <v>2209</v>
      </c>
      <c r="B1766" s="5" t="n">
        <v>44585</v>
      </c>
      <c r="C1766" s="13" t="inlineStr">
        <is>
          <t>VTA</t>
        </is>
      </c>
      <c r="D1766" s="13" t="n">
        <v>41</v>
      </c>
      <c r="E1766" s="10">
        <f>IF(D1766&gt;0,VLOOKUP(OPERAC[[#This Row],[COD CART]],[1]!MatrizCortoLargoCyl[#All],3,0),"")</f>
        <v/>
      </c>
      <c r="F1766" s="13" t="inlineStr">
        <is>
          <t>BBAR</t>
        </is>
      </c>
      <c r="G1766" s="6" t="n">
        <v>90</v>
      </c>
      <c r="H1766" s="6" t="n">
        <v>-257.7376</v>
      </c>
      <c r="I1766" s="7">
        <f>-H1766/G1766</f>
        <v/>
      </c>
      <c r="J1766" s="11" t="n"/>
      <c r="K1766" s="6" t="n"/>
      <c r="L1766" s="6" t="n"/>
      <c r="M1766" s="7">
        <f>IF(N1766=0,+L1766+H1766,0)</f>
        <v/>
      </c>
      <c r="N1766" s="7">
        <f>IF((+G1766-K1766)=0,0,+G1766-K1766)</f>
        <v/>
      </c>
      <c r="O1766" s="7">
        <f>IF(N1766=0,0,(L1766+H1766)/-N1766)</f>
        <v/>
      </c>
      <c r="P1766" s="7">
        <f>VLOOKUP(OPERAC[[#This Row],[especie]],[1]!ESPECIES[#All],6,0)</f>
        <v/>
      </c>
      <c r="Q1766" s="7">
        <f>IF(N1766&lt;&gt;0,P1766*N1766,0)</f>
        <v/>
      </c>
      <c r="R1766" s="8">
        <f>IF(Q1766&lt;&gt;0,Q1766+H1766+L1766,0)</f>
        <v/>
      </c>
      <c r="S1766" s="9">
        <f>VLOOKUP(OPERAC[[#This Row],[especie]],[1]!ESPECIES[#Data],9,FALSE)</f>
        <v/>
      </c>
    </row>
    <row r="1767">
      <c r="A1767" s="4" t="n">
        <v>18663</v>
      </c>
      <c r="B1767" s="5" t="n">
        <v>44215</v>
      </c>
      <c r="C1767" s="13" t="inlineStr">
        <is>
          <t>VTA</t>
        </is>
      </c>
      <c r="D1767" s="13" t="n">
        <v>41</v>
      </c>
      <c r="E1767" s="10">
        <f>IF(D1767&gt;0,VLOOKUP(OPERAC[[#This Row],[COD CART]],[1]!MatrizCortoLargoCyl[#All],3,0),"")</f>
        <v/>
      </c>
      <c r="F1767" s="13" t="inlineStr">
        <is>
          <t>HEOFF</t>
        </is>
      </c>
      <c r="G1767" s="6" t="n">
        <v>100</v>
      </c>
      <c r="H1767" s="6" t="n">
        <v>-258.04</v>
      </c>
      <c r="I1767" s="7">
        <f>-H1767/G1767</f>
        <v/>
      </c>
      <c r="J1767" s="11" t="n"/>
      <c r="K1767" s="6" t="n"/>
      <c r="L1767" s="6" t="n"/>
      <c r="M1767" s="7">
        <f>IF(N1767=0,+L1767+H1767,0)</f>
        <v/>
      </c>
      <c r="N1767" s="7">
        <f>IF((+G1767-K1767)=0,0,+G1767-K1767)</f>
        <v/>
      </c>
      <c r="O1767" s="7">
        <f>IF(N1767=0,0,(L1767+H1767)/-N1767)</f>
        <v/>
      </c>
      <c r="P1767" s="7">
        <f>VLOOKUP(OPERAC[[#This Row],[especie]],[1]!ESPECIES[#All],6,0)</f>
        <v/>
      </c>
      <c r="Q1767" s="7">
        <f>IF(N1767&lt;&gt;0,P1767*N1767,0)</f>
        <v/>
      </c>
      <c r="R1767" s="8">
        <f>IF(Q1767&lt;&gt;0,Q1767+H1767+L1767,0)</f>
        <v/>
      </c>
      <c r="S1767" s="9">
        <f>VLOOKUP(OPERAC[[#This Row],[especie]],[1]!ESPECIES[#Data],9,FALSE)</f>
        <v/>
      </c>
    </row>
    <row r="1768">
      <c r="A1768" s="4" t="n">
        <v>2276</v>
      </c>
      <c r="B1768" s="5" t="n">
        <v>44330</v>
      </c>
      <c r="C1768" s="13" t="inlineStr">
        <is>
          <t>VTA</t>
        </is>
      </c>
      <c r="D1768" s="13" t="n">
        <v>41</v>
      </c>
      <c r="E1768" s="10">
        <f>IF(D1768&gt;0,VLOOKUP(OPERAC[[#This Row],[COD CART]],[1]!MatrizCortoLargoCyl[#All],3,0),"")</f>
        <v/>
      </c>
      <c r="F1768" s="13" t="inlineStr">
        <is>
          <t>JMIA</t>
        </is>
      </c>
      <c r="G1768" s="6" t="n">
        <v>10</v>
      </c>
      <c r="H1768" s="6" t="n">
        <v>-258.897</v>
      </c>
      <c r="I1768" s="7">
        <f>-H1768/G1768</f>
        <v/>
      </c>
      <c r="J1768" s="11" t="n"/>
      <c r="K1768" s="6" t="n"/>
      <c r="L1768" s="6" t="n"/>
      <c r="M1768" s="7">
        <f>IF(N1768=0,+L1768+H1768,0)</f>
        <v/>
      </c>
      <c r="N1768" s="7">
        <f>IF((+G1768-K1768)=0,0,+G1768-K1768)</f>
        <v/>
      </c>
      <c r="O1768" s="7">
        <f>IF(N1768=0,0,(L1768+H1768)/-N1768)</f>
        <v/>
      </c>
      <c r="P1768" s="7">
        <f>VLOOKUP(OPERAC[[#This Row],[especie]],[1]!ESPECIES[#All],6,0)</f>
        <v/>
      </c>
      <c r="Q1768" s="7">
        <f>IF(N1768&lt;&gt;0,P1768*N1768,0)</f>
        <v/>
      </c>
      <c r="R1768" s="8">
        <f>IF(Q1768&lt;&gt;0,Q1768+H1768+L1768,0)</f>
        <v/>
      </c>
      <c r="S1768" s="9">
        <f>VLOOKUP(OPERAC[[#This Row],[especie]],[1]!ESPECIES[#Data],9,FALSE)</f>
        <v/>
      </c>
    </row>
    <row r="1769">
      <c r="A1769" s="4" t="n">
        <v>13271</v>
      </c>
      <c r="B1769" s="5" t="n">
        <v>44537</v>
      </c>
      <c r="C1769" s="13" t="inlineStr">
        <is>
          <t>VTA</t>
        </is>
      </c>
      <c r="D1769" s="13" t="n">
        <v>43</v>
      </c>
      <c r="E1769" s="10">
        <f>IF(D1769&gt;0,VLOOKUP(OPERAC[[#This Row],[COD CART]],[1]!MatrizCortoLargoCyl[#All],3,0),"")</f>
        <v/>
      </c>
      <c r="F1769" s="13" t="inlineStr">
        <is>
          <t>XSPA/CYL-PUT/1,50/20-01-23</t>
        </is>
      </c>
      <c r="G1769" s="6" t="n">
        <v>500</v>
      </c>
      <c r="H1769" s="6">
        <f>-0.52*OPERAC[[#This Row],[cantidad]]</f>
        <v/>
      </c>
      <c r="I1769" s="7">
        <f>-H1769/G1769</f>
        <v/>
      </c>
      <c r="J1769" s="11" t="n"/>
      <c r="K1769" s="6" t="n"/>
      <c r="L1769" s="6" t="n"/>
      <c r="M1769" s="7">
        <f>IF(N1769=0,+L1769+H1769,0)</f>
        <v/>
      </c>
      <c r="N1769" s="7">
        <f>IF((+G1769-K1769)=0,0,+G1769-K1769)</f>
        <v/>
      </c>
      <c r="O1769" s="7">
        <f>IF(N1769=0,0,(L1769+H1769)/-N1769)</f>
        <v/>
      </c>
      <c r="P1769" s="7">
        <f>VLOOKUP(OPERAC[[#This Row],[especie]],[1]!ESPECIES[#All],6,0)</f>
        <v/>
      </c>
      <c r="Q1769" s="7">
        <f>IF(N1769&lt;&gt;0,P1769*N1769,0)</f>
        <v/>
      </c>
      <c r="R1769" s="8">
        <f>IF(Q1769&lt;&gt;0,Q1769+H1769+L1769,0)</f>
        <v/>
      </c>
      <c r="S1769" s="9">
        <f>VLOOKUP(OPERAC[[#This Row],[especie]],[1]!ESPECIES[#Data],9,FALSE)</f>
        <v/>
      </c>
    </row>
    <row r="1770">
      <c r="A1770" s="4" t="n">
        <v>13188</v>
      </c>
      <c r="B1770" s="5" t="n">
        <v>43831</v>
      </c>
      <c r="C1770" s="13" t="inlineStr">
        <is>
          <t>VTA</t>
        </is>
      </c>
      <c r="D1770" s="13" t="n">
        <v>41</v>
      </c>
      <c r="E1770" s="10">
        <f>IF(D1770&gt;0,VLOOKUP(OPERAC[[#This Row],[COD CART]],[1]!MatrizCortoLargoCyl[#All],3,0),"")</f>
        <v/>
      </c>
      <c r="F1770" s="13" t="inlineStr">
        <is>
          <t>CAAP</t>
        </is>
      </c>
      <c r="G1770" s="6" t="n">
        <v>50</v>
      </c>
      <c r="H1770" s="6" t="n">
        <v>-260.5</v>
      </c>
      <c r="I1770" s="7" t="n">
        <v>5.21</v>
      </c>
      <c r="J1770" s="5" t="n"/>
      <c r="K1770" s="6" t="n"/>
      <c r="L1770" s="6" t="n"/>
      <c r="M1770" s="7">
        <f>IF(N1770=0,+L1770+H1770,0)</f>
        <v/>
      </c>
      <c r="N1770" s="7">
        <f>IF((+G1770-K1770)=0,0,+G1770-K1770)</f>
        <v/>
      </c>
      <c r="O1770" s="7">
        <f>IF(N1770=0,0,(L1770+H1770)/-N1770)</f>
        <v/>
      </c>
      <c r="P1770" s="7">
        <f>VLOOKUP(OPERAC[[#This Row],[especie]],[1]!ESPECIES[#All],6,0)</f>
        <v/>
      </c>
      <c r="Q1770" s="7">
        <f>IF(N1770&lt;&gt;0,P1770*N1770,0)</f>
        <v/>
      </c>
      <c r="R1770" s="8">
        <f>IF(Q1770&lt;&gt;0,Q1770+H1770+L1770,0)</f>
        <v/>
      </c>
      <c r="S1770" s="9">
        <f>VLOOKUP(OPERAC[[#This Row],[especie]],[1]!ESPECIES[#Data],9,FALSE)</f>
        <v/>
      </c>
    </row>
    <row r="1771">
      <c r="A1771" s="4" t="n">
        <v>13253</v>
      </c>
      <c r="B1771" s="5" t="n">
        <v>44414</v>
      </c>
      <c r="C1771" s="13" t="inlineStr">
        <is>
          <t>VTA</t>
        </is>
      </c>
      <c r="D1771" s="13" t="n">
        <v>41</v>
      </c>
      <c r="E1771" s="10">
        <f>IF(D1771&gt;0,VLOOKUP(OPERAC[[#This Row],[COD CART]],[1]!MatrizCortoLargoCyl[#All],3,0),"")</f>
        <v/>
      </c>
      <c r="F1771" s="13" t="inlineStr">
        <is>
          <t>SESN</t>
        </is>
      </c>
      <c r="G1771" s="6" t="n">
        <v>100</v>
      </c>
      <c r="H1771" s="6" t="n">
        <v>-260.515</v>
      </c>
      <c r="I1771" s="7">
        <f>-H1771/G1771</f>
        <v/>
      </c>
      <c r="J1771" s="11" t="n"/>
      <c r="K1771" s="6" t="n"/>
      <c r="L1771" s="6" t="n"/>
      <c r="M1771" s="7">
        <f>IF(N1771=0,+L1771+H1771,0)</f>
        <v/>
      </c>
      <c r="N1771" s="7">
        <f>IF((+G1771-K1771)=0,0,+G1771-K1771)</f>
        <v/>
      </c>
      <c r="O1771" s="7">
        <f>IF(N1771=0,0,(L1771+H1771)/-N1771)</f>
        <v/>
      </c>
      <c r="P1771" s="7">
        <f>VLOOKUP(OPERAC[[#This Row],[especie]],[1]!ESPECIES[#All],6,0)</f>
        <v/>
      </c>
      <c r="Q1771" s="7">
        <f>IF(N1771&lt;&gt;0,P1771*N1771,0)</f>
        <v/>
      </c>
      <c r="R1771" s="8">
        <f>IF(Q1771&lt;&gt;0,Q1771+H1771+L1771,0)</f>
        <v/>
      </c>
      <c r="S1771" s="9">
        <f>VLOOKUP(OPERAC[[#This Row],[especie]],[1]!ESPECIES[#Data],9,FALSE)</f>
        <v/>
      </c>
    </row>
    <row r="1772">
      <c r="A1772" s="4" t="n">
        <v>18663</v>
      </c>
      <c r="B1772" s="5" t="n">
        <v>44414</v>
      </c>
      <c r="C1772" s="13" t="inlineStr">
        <is>
          <t>VTA</t>
        </is>
      </c>
      <c r="D1772" s="13" t="n">
        <v>41</v>
      </c>
      <c r="E1772" s="10">
        <f>IF(D1772&gt;0,VLOOKUP(OPERAC[[#This Row],[COD CART]],[1]!MatrizCortoLargoCyl[#All],3,0),"")</f>
        <v/>
      </c>
      <c r="F1772" s="13" t="inlineStr">
        <is>
          <t>SESN</t>
        </is>
      </c>
      <c r="G1772" s="6" t="n">
        <v>100</v>
      </c>
      <c r="H1772" s="6" t="n">
        <v>-260.515</v>
      </c>
      <c r="I1772" s="7">
        <f>-H1772/G1772</f>
        <v/>
      </c>
      <c r="J1772" s="11" t="n"/>
      <c r="K1772" s="6" t="n"/>
      <c r="L1772" s="6" t="n"/>
      <c r="M1772" s="7">
        <f>IF(N1772=0,+L1772+H1772,0)</f>
        <v/>
      </c>
      <c r="N1772" s="7">
        <f>IF((+G1772-K1772)=0,0,+G1772-K1772)</f>
        <v/>
      </c>
      <c r="O1772" s="7">
        <f>IF(N1772=0,0,(L1772+H1772)/-N1772)</f>
        <v/>
      </c>
      <c r="P1772" s="7">
        <f>VLOOKUP(OPERAC[[#This Row],[especie]],[1]!ESPECIES[#All],6,0)</f>
        <v/>
      </c>
      <c r="Q1772" s="7">
        <f>IF(N1772&lt;&gt;0,P1772*N1772,0)</f>
        <v/>
      </c>
      <c r="R1772" s="8">
        <f>IF(Q1772&lt;&gt;0,Q1772+H1772+L1772,0)</f>
        <v/>
      </c>
      <c r="S1772" s="9">
        <f>VLOOKUP(OPERAC[[#This Row],[especie]],[1]!ESPECIES[#Data],9,FALSE)</f>
        <v/>
      </c>
    </row>
    <row r="1773">
      <c r="A1773" s="4" t="n">
        <v>18724</v>
      </c>
      <c r="B1773" s="5" t="n">
        <v>44722</v>
      </c>
      <c r="C1773" s="13" t="inlineStr">
        <is>
          <t>VTA</t>
        </is>
      </c>
      <c r="D1773" s="13" t="n">
        <v>40</v>
      </c>
      <c r="E1773" s="10">
        <f>IF(D1773&gt;0,VLOOKUP(OPERAC[[#This Row],[COD CART]],[1]!MatrizCortoLargoCyl[#All],3,0),"")</f>
        <v/>
      </c>
      <c r="F1773" s="13" t="inlineStr">
        <is>
          <t>HYDR</t>
        </is>
      </c>
      <c r="G1773" s="6" t="n">
        <v>20</v>
      </c>
      <c r="H1773" s="6" t="n">
        <v>-260.5964</v>
      </c>
      <c r="I1773" s="7">
        <f>-H1773/G1773</f>
        <v/>
      </c>
      <c r="J1773" s="5" t="n"/>
      <c r="K1773" s="6" t="n"/>
      <c r="L1773" s="6" t="n"/>
      <c r="M1773" s="7">
        <f>IF(N1773=0,+L1773+H1773,0)</f>
        <v/>
      </c>
      <c r="N1773" s="7">
        <f>IF((+G1773-K1773)=0,0,+G1773-K1773)</f>
        <v/>
      </c>
      <c r="O1773" s="7">
        <f>IF(N1773=0,0,(L1773+H1773)/-N1773)</f>
        <v/>
      </c>
      <c r="P1773" s="7">
        <f>VLOOKUP(OPERAC[[#This Row],[especie]],[1]!ESPECIES[#All],6,0)</f>
        <v/>
      </c>
      <c r="Q1773" s="7">
        <f>IF(N1773&lt;&gt;0,P1773*N1773,0)</f>
        <v/>
      </c>
      <c r="R1773" s="8">
        <f>IF(Q1773&lt;&gt;0,Q1773+H1773+L1773,0)</f>
        <v/>
      </c>
      <c r="S1773" s="9">
        <f>VLOOKUP(OPERAC[[#This Row],[especie]],[1]!ESPECIES[#Data],9,FALSE)</f>
        <v/>
      </c>
    </row>
    <row r="1774">
      <c r="A1774" s="4" t="n">
        <v>3852</v>
      </c>
      <c r="B1774" s="5" t="n">
        <v>44608</v>
      </c>
      <c r="C1774" s="13" t="inlineStr">
        <is>
          <t>VTA</t>
        </is>
      </c>
      <c r="D1774" s="13" t="n">
        <v>40</v>
      </c>
      <c r="E1774" s="10">
        <f>IF(D1774&gt;0,VLOOKUP(OPERAC[[#This Row],[COD CART]],[1]!MatrizCortoLargoCyl[#All],3,0),"")</f>
        <v/>
      </c>
      <c r="F1774" s="13" t="inlineStr">
        <is>
          <t>NVDA</t>
        </is>
      </c>
      <c r="G1774" s="6" t="n">
        <v>1</v>
      </c>
      <c r="H1774" s="6" t="n">
        <v>-261.1659</v>
      </c>
      <c r="I1774" s="7">
        <f>-H1774/G1774</f>
        <v/>
      </c>
      <c r="J1774" s="11" t="n">
        <v>44616</v>
      </c>
      <c r="K1774" s="6">
        <f>+OPERAC[[#This Row],[cantidad]]</f>
        <v/>
      </c>
      <c r="L1774" s="6">
        <f>+OPERAC[[#This Row],[cantidad venta]]*224.117</f>
        <v/>
      </c>
      <c r="M1774" s="7">
        <f>IF(N1774=0,+L1774+H1774,0)</f>
        <v/>
      </c>
      <c r="N1774" s="7">
        <f>IF((+G1774-K1774)=0,0,+G1774-K1774)</f>
        <v/>
      </c>
      <c r="O1774" s="7">
        <f>IF(N1774=0,0,(L1774+H1774)/-N1774)</f>
        <v/>
      </c>
      <c r="P1774" s="7">
        <f>VLOOKUP(OPERAC[[#This Row],[especie]],[1]!ESPECIES[#All],6,0)</f>
        <v/>
      </c>
      <c r="Q1774" s="7">
        <f>IF(N1774&lt;&gt;0,P1774*N1774,0)</f>
        <v/>
      </c>
      <c r="R1774" s="8">
        <f>IF(Q1774&lt;&gt;0,Q1774+H1774+L1774,0)</f>
        <v/>
      </c>
      <c r="S1774" s="9">
        <f>VLOOKUP(OPERAC[[#This Row],[especie]],[1]!ESPECIES[#Data],9,FALSE)</f>
        <v/>
      </c>
    </row>
    <row r="1775">
      <c r="A1775" s="4" t="n">
        <v>13253</v>
      </c>
      <c r="B1775" s="5" t="n">
        <v>44539</v>
      </c>
      <c r="C1775" s="13" t="inlineStr">
        <is>
          <t>VTA</t>
        </is>
      </c>
      <c r="D1775" s="13" t="n">
        <v>41</v>
      </c>
      <c r="E1775" s="10">
        <f>IF(D1775&gt;0,VLOOKUP(OPERAC[[#This Row],[COD CART]],[1]!MatrizCortoLargoCyl[#All],3,0),"")</f>
        <v/>
      </c>
      <c r="F1775" s="13" t="inlineStr">
        <is>
          <t>TCNNF</t>
        </is>
      </c>
      <c r="G1775" s="6" t="n">
        <v>10</v>
      </c>
      <c r="H1775" s="6" t="n">
        <v>-261.47</v>
      </c>
      <c r="I1775" s="7">
        <f>-H1775/G1775</f>
        <v/>
      </c>
      <c r="J1775" s="11" t="n">
        <v>44602</v>
      </c>
      <c r="K1775" s="6" t="n">
        <v>10</v>
      </c>
      <c r="L1775" s="6" t="n">
        <v>266.42</v>
      </c>
      <c r="M1775" s="7">
        <f>IF(N1775=0,+L1775+H1775,0)</f>
        <v/>
      </c>
      <c r="N1775" s="7">
        <f>IF((+G1775-K1775)=0,0,+G1775-K1775)</f>
        <v/>
      </c>
      <c r="O1775" s="7">
        <f>IF(N1775=0,0,(L1775+H1775)/-N1775)</f>
        <v/>
      </c>
      <c r="P1775" s="7">
        <f>VLOOKUP(OPERAC[[#This Row],[especie]],[1]!ESPECIES[#All],6,0)</f>
        <v/>
      </c>
      <c r="Q1775" s="7">
        <f>IF(N1775&lt;&gt;0,P1775*N1775,0)</f>
        <v/>
      </c>
      <c r="R1775" s="8">
        <f>IF(Q1775&lt;&gt;0,Q1775+H1775+L1775,0)</f>
        <v/>
      </c>
      <c r="S1775" s="9">
        <f>VLOOKUP(OPERAC[[#This Row],[especie]],[1]!ESPECIES[#Data],9,FALSE)</f>
        <v/>
      </c>
    </row>
    <row r="1776">
      <c r="A1776" s="4" t="n">
        <v>2305</v>
      </c>
      <c r="B1776" s="5" t="n">
        <v>44657</v>
      </c>
      <c r="C1776" s="13" t="inlineStr">
        <is>
          <t>VTA</t>
        </is>
      </c>
      <c r="D1776" s="13" t="n">
        <v>41</v>
      </c>
      <c r="E1776" s="10">
        <f>IF(D1776&gt;0,VLOOKUP(OPERAC[[#This Row],[COD CART]],[1]!MatrizCortoLargoCyl[#All],3,0),"")</f>
        <v/>
      </c>
      <c r="F1776" s="13" t="inlineStr">
        <is>
          <t>YPF</t>
        </is>
      </c>
      <c r="G1776" s="6" t="n">
        <v>50</v>
      </c>
      <c r="H1776" s="6" t="n">
        <v>-262.8425</v>
      </c>
      <c r="I1776" s="7">
        <f>-H1776/G1776</f>
        <v/>
      </c>
      <c r="J1776" s="11" t="n"/>
      <c r="K1776" s="6" t="n"/>
      <c r="L1776" s="6" t="n"/>
      <c r="M1776" s="7">
        <f>IF(N1776=0,+L1776+H1776,0)</f>
        <v/>
      </c>
      <c r="N1776" s="7">
        <f>IF((+G1776-K1776)=0,0,+G1776-K1776)</f>
        <v/>
      </c>
      <c r="O1776" s="7">
        <f>IF(N1776=0,0,(L1776+H1776)/-N1776)</f>
        <v/>
      </c>
      <c r="P1776" s="7">
        <f>VLOOKUP(OPERAC[[#This Row],[especie]],[1]!ESPECIES[#All],6,0)</f>
        <v/>
      </c>
      <c r="Q1776" s="7">
        <f>IF(N1776&lt;&gt;0,P1776*N1776,0)</f>
        <v/>
      </c>
      <c r="R1776" s="8">
        <f>IF(Q1776&lt;&gt;0,Q1776+H1776+L1776,0)</f>
        <v/>
      </c>
      <c r="S1776" s="9">
        <f>VLOOKUP(OPERAC[[#This Row],[especie]],[1]!ESPECIES[#Data],9,FALSE)</f>
        <v/>
      </c>
    </row>
    <row r="1777">
      <c r="A1777" s="4" t="n">
        <v>18663</v>
      </c>
      <c r="B1777" s="5" t="n">
        <v>44725</v>
      </c>
      <c r="C1777" s="13" t="inlineStr">
        <is>
          <t>VTA</t>
        </is>
      </c>
      <c r="D1777" s="13" t="n">
        <v>41</v>
      </c>
      <c r="E1777" s="10">
        <f>IF(D1777&gt;0,VLOOKUP(OPERAC[[#This Row],[COD CART]],[1]!MatrizCortoLargoCyl[#All],3,0),"")</f>
        <v/>
      </c>
      <c r="F1777" s="13" t="inlineStr">
        <is>
          <t>SSYS</t>
        </is>
      </c>
      <c r="G1777" s="6" t="n">
        <v>15</v>
      </c>
      <c r="H1777" s="6" t="n">
        <v>-262.91595</v>
      </c>
      <c r="I1777" s="7">
        <f>-H1777/G1777</f>
        <v/>
      </c>
      <c r="J1777" s="5" t="n"/>
      <c r="K1777" s="6" t="n"/>
      <c r="L1777" s="6" t="n"/>
      <c r="M1777" s="7">
        <f>IF(N1777=0,+L1777+H1777,0)</f>
        <v/>
      </c>
      <c r="N1777" s="7">
        <f>IF((+G1777-K1777)=0,0,+G1777-K1777)</f>
        <v/>
      </c>
      <c r="O1777" s="7">
        <f>IF(N1777=0,0,(L1777+H1777)/-N1777)</f>
        <v/>
      </c>
      <c r="P1777" s="7">
        <f>VLOOKUP(OPERAC[[#This Row],[especie]],[1]!ESPECIES[#All],6,0)</f>
        <v/>
      </c>
      <c r="Q1777" s="7">
        <f>IF(N1777&lt;&gt;0,P1777*N1777,0)</f>
        <v/>
      </c>
      <c r="R1777" s="8">
        <f>IF(Q1777&lt;&gt;0,Q1777+H1777+L1777,0)</f>
        <v/>
      </c>
      <c r="S1777" s="9">
        <f>VLOOKUP(OPERAC[[#This Row],[especie]],[1]!ESPECIES[#Data],9,FALSE)</f>
        <v/>
      </c>
    </row>
    <row r="1778">
      <c r="A1778" s="4" t="n">
        <v>2289</v>
      </c>
      <c r="B1778" s="5" t="n">
        <v>44608</v>
      </c>
      <c r="C1778" s="13" t="inlineStr">
        <is>
          <t>VTA</t>
        </is>
      </c>
      <c r="D1778" s="13" t="n">
        <v>40</v>
      </c>
      <c r="E1778" s="10">
        <f>IF(D1778&gt;0,VLOOKUP(OPERAC[[#This Row],[COD CART]],[1]!MatrizCortoLargoCyl[#All],3,0),"")</f>
        <v/>
      </c>
      <c r="F1778" s="13" t="inlineStr">
        <is>
          <t>NVDA</t>
        </is>
      </c>
      <c r="G1778" s="6" t="n">
        <v>1</v>
      </c>
      <c r="H1778" s="6" t="n">
        <v>-263.514</v>
      </c>
      <c r="I1778" s="7">
        <f>-H1778/G1778</f>
        <v/>
      </c>
      <c r="J1778" s="11" t="n">
        <v>44616</v>
      </c>
      <c r="K1778" s="6">
        <f>+OPERAC[[#This Row],[cantidad]]</f>
        <v/>
      </c>
      <c r="L1778" s="6">
        <f>+OPERAC[[#This Row],[cantidad venta]]*224.117</f>
        <v/>
      </c>
      <c r="M1778" s="7">
        <f>IF(N1778=0,+L1778+H1778,0)</f>
        <v/>
      </c>
      <c r="N1778" s="7">
        <f>IF((+G1778-K1778)=0,0,+G1778-K1778)</f>
        <v/>
      </c>
      <c r="O1778" s="7">
        <f>IF(N1778=0,0,(L1778+H1778)/-N1778)</f>
        <v/>
      </c>
      <c r="P1778" s="7">
        <f>VLOOKUP(OPERAC[[#This Row],[especie]],[1]!ESPECIES[#All],6,0)</f>
        <v/>
      </c>
      <c r="Q1778" s="7">
        <f>IF(N1778&lt;&gt;0,P1778*N1778,0)</f>
        <v/>
      </c>
      <c r="R1778" s="8">
        <f>IF(Q1778&lt;&gt;0,Q1778+H1778+L1778,0)</f>
        <v/>
      </c>
      <c r="S1778" s="9">
        <f>VLOOKUP(OPERAC[[#This Row],[especie]],[1]!ESPECIES[#Data],9,FALSE)</f>
        <v/>
      </c>
    </row>
    <row r="1779">
      <c r="A1779" s="4" t="n">
        <v>3853</v>
      </c>
      <c r="B1779" s="5" t="n">
        <v>44608</v>
      </c>
      <c r="C1779" s="13" t="inlineStr">
        <is>
          <t>VTA</t>
        </is>
      </c>
      <c r="D1779" s="13" t="n">
        <v>40</v>
      </c>
      <c r="E1779" s="10">
        <f>IF(D1779&gt;0,VLOOKUP(OPERAC[[#This Row],[COD CART]],[1]!MatrizCortoLargoCyl[#All],3,0),"")</f>
        <v/>
      </c>
      <c r="F1779" s="13" t="inlineStr">
        <is>
          <t>NVDA</t>
        </is>
      </c>
      <c r="G1779" s="6" t="n">
        <v>1</v>
      </c>
      <c r="H1779" s="6" t="n">
        <v>-263.514</v>
      </c>
      <c r="I1779" s="7">
        <f>-H1779/G1779</f>
        <v/>
      </c>
      <c r="J1779" s="11" t="n">
        <v>44615</v>
      </c>
      <c r="K1779" s="6" t="n">
        <v>1</v>
      </c>
      <c r="L1779" s="6" t="n">
        <v>230.334</v>
      </c>
      <c r="M1779" s="7">
        <f>IF(N1779=0,+L1779+H1779,0)</f>
        <v/>
      </c>
      <c r="N1779" s="7">
        <f>IF((+G1779-K1779)=0,0,+G1779-K1779)</f>
        <v/>
      </c>
      <c r="O1779" s="7">
        <f>IF(N1779=0,0,(L1779+H1779)/-N1779)</f>
        <v/>
      </c>
      <c r="P1779" s="7">
        <f>VLOOKUP(OPERAC[[#This Row],[especie]],[1]!ESPECIES[#All],6,0)</f>
        <v/>
      </c>
      <c r="Q1779" s="7">
        <f>IF(N1779&lt;&gt;0,P1779*N1779,0)</f>
        <v/>
      </c>
      <c r="R1779" s="8">
        <f>IF(Q1779&lt;&gt;0,Q1779+H1779+L1779,0)</f>
        <v/>
      </c>
      <c r="S1779" s="9">
        <f>VLOOKUP(OPERAC[[#This Row],[especie]],[1]!ESPECIES[#Data],9,FALSE)</f>
        <v/>
      </c>
    </row>
    <row r="1780">
      <c r="A1780" s="4" t="n">
        <v>6599</v>
      </c>
      <c r="B1780" s="5" t="n">
        <v>44608</v>
      </c>
      <c r="C1780" s="13" t="inlineStr">
        <is>
          <t>VTA</t>
        </is>
      </c>
      <c r="D1780" s="13" t="n">
        <v>40</v>
      </c>
      <c r="E1780" s="10">
        <f>IF(D1780&gt;0,VLOOKUP(OPERAC[[#This Row],[COD CART]],[1]!MatrizCortoLargoCyl[#All],3,0),"")</f>
        <v/>
      </c>
      <c r="F1780" s="13" t="inlineStr">
        <is>
          <t>NVDA</t>
        </is>
      </c>
      <c r="G1780" s="6" t="n">
        <v>1</v>
      </c>
      <c r="H1780" s="6" t="n">
        <v>-263.514</v>
      </c>
      <c r="I1780" s="7">
        <f>-H1780/G1780</f>
        <v/>
      </c>
      <c r="J1780" s="11" t="n">
        <v>44616</v>
      </c>
      <c r="K1780" s="6">
        <f>+OPERAC[[#This Row],[cantidad]]</f>
        <v/>
      </c>
      <c r="L1780" s="6">
        <f>+OPERAC[[#This Row],[cantidad venta]]*224.117</f>
        <v/>
      </c>
      <c r="M1780" s="7">
        <f>IF(N1780=0,+L1780+H1780,0)</f>
        <v/>
      </c>
      <c r="N1780" s="7">
        <f>IF((+G1780-K1780)=0,0,+G1780-K1780)</f>
        <v/>
      </c>
      <c r="O1780" s="7">
        <f>IF(N1780=0,0,(L1780+H1780)/-N1780)</f>
        <v/>
      </c>
      <c r="P1780" s="7">
        <f>VLOOKUP(OPERAC[[#This Row],[especie]],[1]!ESPECIES[#All],6,0)</f>
        <v/>
      </c>
      <c r="Q1780" s="7">
        <f>IF(N1780&lt;&gt;0,P1780*N1780,0)</f>
        <v/>
      </c>
      <c r="R1780" s="8">
        <f>IF(Q1780&lt;&gt;0,Q1780+H1780+L1780,0)</f>
        <v/>
      </c>
      <c r="S1780" s="9">
        <f>VLOOKUP(OPERAC[[#This Row],[especie]],[1]!ESPECIES[#Data],9,FALSE)</f>
        <v/>
      </c>
    </row>
    <row r="1781">
      <c r="A1781" s="4" t="n">
        <v>7916</v>
      </c>
      <c r="B1781" s="5" t="n">
        <v>44608</v>
      </c>
      <c r="C1781" s="13" t="inlineStr">
        <is>
          <t>VTA</t>
        </is>
      </c>
      <c r="D1781" s="13" t="n">
        <v>40</v>
      </c>
      <c r="E1781" s="10">
        <f>IF(D1781&gt;0,VLOOKUP(OPERAC[[#This Row],[COD CART]],[1]!MatrizCortoLargoCyl[#All],3,0),"")</f>
        <v/>
      </c>
      <c r="F1781" s="13" t="inlineStr">
        <is>
          <t>NVDA</t>
        </is>
      </c>
      <c r="G1781" s="6" t="n">
        <v>1</v>
      </c>
      <c r="H1781" s="6" t="n">
        <v>-263.514</v>
      </c>
      <c r="I1781" s="7">
        <f>-H1781/G1781</f>
        <v/>
      </c>
      <c r="J1781" s="11" t="n">
        <v>44616</v>
      </c>
      <c r="K1781" s="6">
        <f>+OPERAC[[#This Row],[cantidad]]</f>
        <v/>
      </c>
      <c r="L1781" s="6">
        <f>+OPERAC[[#This Row],[cantidad venta]]*224.117</f>
        <v/>
      </c>
      <c r="M1781" s="7">
        <f>IF(N1781=0,+L1781+H1781,0)</f>
        <v/>
      </c>
      <c r="N1781" s="7">
        <f>IF((+G1781-K1781)=0,0,+G1781-K1781)</f>
        <v/>
      </c>
      <c r="O1781" s="7">
        <f>IF(N1781=0,0,(L1781+H1781)/-N1781)</f>
        <v/>
      </c>
      <c r="P1781" s="7">
        <f>VLOOKUP(OPERAC[[#This Row],[especie]],[1]!ESPECIES[#All],6,0)</f>
        <v/>
      </c>
      <c r="Q1781" s="7">
        <f>IF(N1781&lt;&gt;0,P1781*N1781,0)</f>
        <v/>
      </c>
      <c r="R1781" s="8">
        <f>IF(Q1781&lt;&gt;0,Q1781+H1781+L1781,0)</f>
        <v/>
      </c>
      <c r="S1781" s="9">
        <f>VLOOKUP(OPERAC[[#This Row],[especie]],[1]!ESPECIES[#Data],9,FALSE)</f>
        <v/>
      </c>
    </row>
    <row r="1782">
      <c r="A1782" s="4" t="n">
        <v>7925</v>
      </c>
      <c r="B1782" s="5" t="n">
        <v>44608</v>
      </c>
      <c r="C1782" s="13" t="inlineStr">
        <is>
          <t>VTA</t>
        </is>
      </c>
      <c r="D1782" s="13" t="n">
        <v>40</v>
      </c>
      <c r="E1782" s="10">
        <f>IF(D1782&gt;0,VLOOKUP(OPERAC[[#This Row],[COD CART]],[1]!MatrizCortoLargoCyl[#All],3,0),"")</f>
        <v/>
      </c>
      <c r="F1782" s="13" t="inlineStr">
        <is>
          <t>NVDA</t>
        </is>
      </c>
      <c r="G1782" s="6" t="n">
        <v>1</v>
      </c>
      <c r="H1782" s="6" t="n">
        <v>-263.514</v>
      </c>
      <c r="I1782" s="7">
        <f>-H1782/G1782</f>
        <v/>
      </c>
      <c r="J1782" s="11" t="n">
        <v>44616</v>
      </c>
      <c r="K1782" s="6">
        <f>+OPERAC[[#This Row],[cantidad]]</f>
        <v/>
      </c>
      <c r="L1782" s="6">
        <f>+OPERAC[[#This Row],[cantidad venta]]*224.117</f>
        <v/>
      </c>
      <c r="M1782" s="7">
        <f>IF(N1782=0,+L1782+H1782,0)</f>
        <v/>
      </c>
      <c r="N1782" s="7">
        <f>IF((+G1782-K1782)=0,0,+G1782-K1782)</f>
        <v/>
      </c>
      <c r="O1782" s="7">
        <f>IF(N1782=0,0,(L1782+H1782)/-N1782)</f>
        <v/>
      </c>
      <c r="P1782" s="7">
        <f>VLOOKUP(OPERAC[[#This Row],[especie]],[1]!ESPECIES[#All],6,0)</f>
        <v/>
      </c>
      <c r="Q1782" s="7">
        <f>IF(N1782&lt;&gt;0,P1782*N1782,0)</f>
        <v/>
      </c>
      <c r="R1782" s="8">
        <f>IF(Q1782&lt;&gt;0,Q1782+H1782+L1782,0)</f>
        <v/>
      </c>
      <c r="S1782" s="9">
        <f>VLOOKUP(OPERAC[[#This Row],[especie]],[1]!ESPECIES[#Data],9,FALSE)</f>
        <v/>
      </c>
    </row>
    <row r="1783">
      <c r="A1783" s="4" t="n">
        <v>12022</v>
      </c>
      <c r="B1783" s="5" t="n">
        <v>44608</v>
      </c>
      <c r="C1783" s="13" t="inlineStr">
        <is>
          <t>VTA</t>
        </is>
      </c>
      <c r="D1783" s="13" t="n">
        <v>40</v>
      </c>
      <c r="E1783" s="10">
        <f>IF(D1783&gt;0,VLOOKUP(OPERAC[[#This Row],[COD CART]],[1]!MatrizCortoLargoCyl[#All],3,0),"")</f>
        <v/>
      </c>
      <c r="F1783" s="13" t="inlineStr">
        <is>
          <t>NVDA</t>
        </is>
      </c>
      <c r="G1783" s="6" t="n">
        <v>1</v>
      </c>
      <c r="H1783" s="6" t="n">
        <v>-263.514</v>
      </c>
      <c r="I1783" s="7">
        <f>-H1783/G1783</f>
        <v/>
      </c>
      <c r="J1783" s="11" t="n">
        <v>44616</v>
      </c>
      <c r="K1783" s="6">
        <f>+OPERAC[[#This Row],[cantidad]]</f>
        <v/>
      </c>
      <c r="L1783" s="6">
        <f>+OPERAC[[#This Row],[cantidad venta]]*224.117</f>
        <v/>
      </c>
      <c r="M1783" s="7">
        <f>IF(N1783=0,+L1783+H1783,0)</f>
        <v/>
      </c>
      <c r="N1783" s="7">
        <f>IF((+G1783-K1783)=0,0,+G1783-K1783)</f>
        <v/>
      </c>
      <c r="O1783" s="7">
        <f>IF(N1783=0,0,(L1783+H1783)/-N1783)</f>
        <v/>
      </c>
      <c r="P1783" s="7">
        <f>VLOOKUP(OPERAC[[#This Row],[especie]],[1]!ESPECIES[#All],6,0)</f>
        <v/>
      </c>
      <c r="Q1783" s="7">
        <f>IF(N1783&lt;&gt;0,P1783*N1783,0)</f>
        <v/>
      </c>
      <c r="R1783" s="8">
        <f>IF(Q1783&lt;&gt;0,Q1783+H1783+L1783,0)</f>
        <v/>
      </c>
      <c r="S1783" s="9">
        <f>VLOOKUP(OPERAC[[#This Row],[especie]],[1]!ESPECIES[#Data],9,FALSE)</f>
        <v/>
      </c>
    </row>
    <row r="1784">
      <c r="A1784" s="4" t="n">
        <v>18663</v>
      </c>
      <c r="B1784" s="5" t="n">
        <v>44539</v>
      </c>
      <c r="C1784" s="13" t="inlineStr">
        <is>
          <t>VTA</t>
        </is>
      </c>
      <c r="D1784" s="13" t="n">
        <v>41</v>
      </c>
      <c r="E1784" s="10">
        <f>IF(D1784&gt;0,VLOOKUP(OPERAC[[#This Row],[COD CART]],[1]!MatrizCortoLargoCyl[#All],3,0),"")</f>
        <v/>
      </c>
      <c r="F1784" s="13" t="inlineStr">
        <is>
          <t>T</t>
        </is>
      </c>
      <c r="G1784" s="6" t="n">
        <v>15</v>
      </c>
      <c r="H1784" s="6">
        <f>-17.6*OPERAC[[#This Row],[cantidad]]</f>
        <v/>
      </c>
      <c r="I1784" s="7">
        <f>-H1784/G1784</f>
        <v/>
      </c>
      <c r="J1784" s="11" t="n"/>
      <c r="K1784" s="6" t="n"/>
      <c r="L1784" s="6" t="n"/>
      <c r="M1784" s="7">
        <f>IF(N1784=0,+L1784+H1784,0)</f>
        <v/>
      </c>
      <c r="N1784" s="7">
        <f>IF((+G1784-K1784)=0,0,+G1784-K1784)</f>
        <v/>
      </c>
      <c r="O1784" s="7">
        <f>IF(N1784=0,0,(L1784+H1784)/-N1784)</f>
        <v/>
      </c>
      <c r="P1784" s="7">
        <f>VLOOKUP(OPERAC[[#This Row],[especie]],[1]!ESPECIES[#All],6,0)</f>
        <v/>
      </c>
      <c r="Q1784" s="7">
        <f>IF(N1784&lt;&gt;0,P1784*N1784,0)</f>
        <v/>
      </c>
      <c r="R1784" s="8">
        <f>IF(Q1784&lt;&gt;0,Q1784+H1784+L1784,0)</f>
        <v/>
      </c>
      <c r="S1784" s="9">
        <f>VLOOKUP(OPERAC[[#This Row],[especie]],[1]!ESPECIES[#Data],9,FALSE)</f>
        <v/>
      </c>
    </row>
    <row r="1785">
      <c r="A1785" s="4" t="n">
        <v>12655</v>
      </c>
      <c r="B1785" s="5" t="n">
        <v>44721</v>
      </c>
      <c r="C1785" s="13" t="inlineStr">
        <is>
          <t>VTA</t>
        </is>
      </c>
      <c r="D1785" s="13" t="n">
        <v>32</v>
      </c>
      <c r="E1785" s="10">
        <f>IF(D1785&gt;0,VLOOKUP(OPERAC[[#This Row],[COD CART]],[1]!MatrizCortoLargoCyl[#All],3,0),"")</f>
        <v/>
      </c>
      <c r="F1785" s="13" t="inlineStr">
        <is>
          <t>SESN/CYP/1,00/20-01-23</t>
        </is>
      </c>
      <c r="G1785" s="6" t="n">
        <v>1500</v>
      </c>
      <c r="H1785" s="6">
        <f>-0.176*OPERAC[[#This Row],[cantidad]]</f>
        <v/>
      </c>
      <c r="I1785" s="7">
        <f>-H1785/G1785</f>
        <v/>
      </c>
      <c r="J1785" s="5" t="n"/>
      <c r="K1785" s="6" t="n"/>
      <c r="L1785" s="6" t="n"/>
      <c r="M1785" s="7">
        <f>IF(N1785=0,+L1785+H1785,0)</f>
        <v/>
      </c>
      <c r="N1785" s="7">
        <f>IF((+G1785-K1785)=0,0,+G1785-K1785)</f>
        <v/>
      </c>
      <c r="O1785" s="7">
        <f>IF(N1785=0,0,(L1785+H1785)/-N1785)</f>
        <v/>
      </c>
      <c r="P1785" s="7">
        <f>VLOOKUP(OPERAC[[#This Row],[especie]],[1]!ESPECIES[#All],6,0)</f>
        <v/>
      </c>
      <c r="Q1785" s="7">
        <f>IF(N1785&lt;&gt;0,P1785*N1785,0)</f>
        <v/>
      </c>
      <c r="R1785" s="8">
        <f>IF(Q1785&lt;&gt;0,Q1785+H1785+L1785,0)</f>
        <v/>
      </c>
      <c r="S1785" s="9">
        <f>VLOOKUP(OPERAC[[#This Row],[especie]],[1]!ESPECIES[#Data],9,FALSE)</f>
        <v/>
      </c>
    </row>
    <row r="1786">
      <c r="A1786" s="4" t="n">
        <v>19888</v>
      </c>
      <c r="B1786" s="5" t="n">
        <v>44721</v>
      </c>
      <c r="C1786" s="13" t="inlineStr">
        <is>
          <t>VTA</t>
        </is>
      </c>
      <c r="D1786" s="13" t="n">
        <v>32</v>
      </c>
      <c r="E1786" s="10">
        <f>IF(D1786&gt;0,VLOOKUP(OPERAC[[#This Row],[COD CART]],[1]!MatrizCortoLargoCyl[#All],3,0),"")</f>
        <v/>
      </c>
      <c r="F1786" s="13" t="inlineStr">
        <is>
          <t>SESN/CYP/1,00/20-01-23</t>
        </is>
      </c>
      <c r="G1786" s="6" t="n">
        <v>1500</v>
      </c>
      <c r="H1786" s="6">
        <f>-0.176*OPERAC[[#This Row],[cantidad]]</f>
        <v/>
      </c>
      <c r="I1786" s="7">
        <f>-H1786/G1786</f>
        <v/>
      </c>
      <c r="J1786" s="5" t="n"/>
      <c r="K1786" s="6" t="n"/>
      <c r="L1786" s="6" t="n"/>
      <c r="M1786" s="7">
        <f>IF(N1786=0,+L1786+H1786,0)</f>
        <v/>
      </c>
      <c r="N1786" s="7">
        <f>IF((+G1786-K1786)=0,0,+G1786-K1786)</f>
        <v/>
      </c>
      <c r="O1786" s="7">
        <f>IF(N1786=0,0,(L1786+H1786)/-N1786)</f>
        <v/>
      </c>
      <c r="P1786" s="7">
        <f>VLOOKUP(OPERAC[[#This Row],[especie]],[1]!ESPECIES[#All],6,0)</f>
        <v/>
      </c>
      <c r="Q1786" s="7">
        <f>IF(N1786&lt;&gt;0,P1786*N1786,0)</f>
        <v/>
      </c>
      <c r="R1786" s="8">
        <f>IF(Q1786&lt;&gt;0,Q1786+H1786+L1786,0)</f>
        <v/>
      </c>
      <c r="S1786" s="9">
        <f>VLOOKUP(OPERAC[[#This Row],[especie]],[1]!ESPECIES[#Data],9,FALSE)</f>
        <v/>
      </c>
    </row>
    <row r="1787">
      <c r="A1787" s="4" t="n">
        <v>12688</v>
      </c>
      <c r="B1787" s="5" t="n">
        <v>44694</v>
      </c>
      <c r="C1787" s="13" t="inlineStr">
        <is>
          <t>VTA</t>
        </is>
      </c>
      <c r="D1787" s="13" t="n">
        <v>32</v>
      </c>
      <c r="E1787" s="10">
        <f>IF(D1787&gt;0,VLOOKUP(OPERAC[[#This Row],[COD CART]],[1]!MatrizCortoLargoCyl[#All],3,0),"")</f>
        <v/>
      </c>
      <c r="F1787" s="13" t="inlineStr">
        <is>
          <t>ACB/CYL/3,50/24-06-22</t>
        </is>
      </c>
      <c r="G1787" s="6" t="n">
        <v>100</v>
      </c>
      <c r="H1787" s="6" t="n">
        <v>-264.97</v>
      </c>
      <c r="I1787" s="7">
        <f>-H1787/G1787</f>
        <v/>
      </c>
      <c r="J1787" s="11" t="n"/>
      <c r="K1787" s="6" t="n"/>
      <c r="L1787" s="6" t="n"/>
      <c r="M1787" s="7">
        <f>IF(N1787=0,+L1787+H1787,0)</f>
        <v/>
      </c>
      <c r="N1787" s="7">
        <f>IF((+G1787-K1787)=0,0,+G1787-K1787)</f>
        <v/>
      </c>
      <c r="O1787" s="7">
        <f>IF(N1787=0,0,(L1787+H1787)/-N1787)</f>
        <v/>
      </c>
      <c r="P1787" s="7">
        <f>VLOOKUP(OPERAC[[#This Row],[especie]],[1]!ESPECIES[#All],6,0)</f>
        <v/>
      </c>
      <c r="Q1787" s="7">
        <f>IF(N1787&lt;&gt;0,P1787*N1787,0)</f>
        <v/>
      </c>
      <c r="R1787" s="8">
        <f>IF(Q1787&lt;&gt;0,Q1787+H1787+L1787,0)</f>
        <v/>
      </c>
      <c r="S1787" s="9">
        <f>VLOOKUP(OPERAC[[#This Row],[especie]],[1]!ESPECIES[#Data],9,FALSE)</f>
        <v/>
      </c>
    </row>
    <row r="1788">
      <c r="A1788" s="4" t="n">
        <v>18663</v>
      </c>
      <c r="B1788" s="5" t="n">
        <v>44687</v>
      </c>
      <c r="C1788" s="13" t="inlineStr">
        <is>
          <t>VTA</t>
        </is>
      </c>
      <c r="D1788" s="13" t="n">
        <v>41</v>
      </c>
      <c r="E1788" s="10">
        <f>IF(D1788&gt;0,VLOOKUP(OPERAC[[#This Row],[COD CART]],[1]!MatrizCortoLargoCyl[#All],3,0),"")</f>
        <v/>
      </c>
      <c r="F1788" s="13" t="inlineStr">
        <is>
          <t>TCNNF</t>
        </is>
      </c>
      <c r="G1788" s="6" t="n">
        <v>20</v>
      </c>
      <c r="H1788" s="6" t="n">
        <v>-266.244</v>
      </c>
      <c r="I1788" s="7">
        <f>-H1788/G1788</f>
        <v/>
      </c>
      <c r="J1788" s="11" t="n"/>
      <c r="K1788" s="6" t="n"/>
      <c r="L1788" s="6" t="n"/>
      <c r="M1788" s="7">
        <f>IF(N1788=0,+L1788+H1788,0)</f>
        <v/>
      </c>
      <c r="N1788" s="7">
        <f>IF((+G1788-K1788)=0,0,+G1788-K1788)</f>
        <v/>
      </c>
      <c r="O1788" s="7">
        <f>IF(N1788=0,0,(L1788+H1788)/-N1788)</f>
        <v/>
      </c>
      <c r="P1788" s="7">
        <f>VLOOKUP(OPERAC[[#This Row],[especie]],[1]!ESPECIES[#All],6,0)</f>
        <v/>
      </c>
      <c r="Q1788" s="7">
        <f>IF(N1788&lt;&gt;0,P1788*N1788,0)</f>
        <v/>
      </c>
      <c r="R1788" s="8">
        <f>IF(Q1788&lt;&gt;0,Q1788+H1788+L1788,0)</f>
        <v/>
      </c>
      <c r="S1788" s="9">
        <f>VLOOKUP(OPERAC[[#This Row],[especie]],[1]!ESPECIES[#Data],9,FALSE)</f>
        <v/>
      </c>
    </row>
    <row r="1789">
      <c r="A1789" s="4" t="n">
        <v>19972</v>
      </c>
      <c r="B1789" s="5" t="n">
        <v>44606</v>
      </c>
      <c r="C1789" s="13" t="inlineStr">
        <is>
          <t>VTA</t>
        </is>
      </c>
      <c r="D1789" s="13" t="n">
        <v>41</v>
      </c>
      <c r="E1789" s="10">
        <f>IF(D1789&gt;0,VLOOKUP(OPERAC[[#This Row],[COD CART]],[1]!MatrizCortoLargoCyl[#All],3,0),"")</f>
        <v/>
      </c>
      <c r="F1789" s="13" t="inlineStr">
        <is>
          <t>SSYS</t>
        </is>
      </c>
      <c r="G1789" s="6" t="n">
        <v>10</v>
      </c>
      <c r="H1789" s="6" t="n">
        <v>-266.81</v>
      </c>
      <c r="I1789" s="7">
        <f>-H1789/G1789</f>
        <v/>
      </c>
      <c r="J1789" s="11" t="n">
        <v>44686</v>
      </c>
      <c r="K1789" s="6" t="n">
        <v>10</v>
      </c>
      <c r="L1789" s="6" t="n">
        <v>199.395</v>
      </c>
      <c r="M1789" s="7">
        <f>IF(N1789=0,+L1789+H1789,0)</f>
        <v/>
      </c>
      <c r="N1789" s="7">
        <f>IF((+G1789-K1789)=0,0,+G1789-K1789)</f>
        <v/>
      </c>
      <c r="O1789" s="7">
        <f>IF(N1789=0,0,(L1789+H1789)/-N1789)</f>
        <v/>
      </c>
      <c r="P1789" s="7">
        <f>VLOOKUP(OPERAC[[#This Row],[especie]],[1]!ESPECIES[#All],6,0)</f>
        <v/>
      </c>
      <c r="Q1789" s="7">
        <f>IF(N1789&lt;&gt;0,P1789*N1789,0)</f>
        <v/>
      </c>
      <c r="R1789" s="8">
        <f>IF(Q1789&lt;&gt;0,Q1789+H1789+L1789,0)</f>
        <v/>
      </c>
      <c r="S1789" s="9">
        <f>VLOOKUP(OPERAC[[#This Row],[especie]],[1]!ESPECIES[#Data],9,FALSE)</f>
        <v/>
      </c>
    </row>
    <row r="1790">
      <c r="A1790" s="4" t="n">
        <v>6578</v>
      </c>
      <c r="B1790" s="5" t="n">
        <v>44643</v>
      </c>
      <c r="C1790" s="13" t="inlineStr">
        <is>
          <t>VTA</t>
        </is>
      </c>
      <c r="D1790" s="13" t="n">
        <v>42</v>
      </c>
      <c r="E1790" s="10">
        <f>IF(D1790&gt;0,VLOOKUP(OPERAC[[#This Row],[COD CART]],[1]!MatrizCortoLargoCyl[#All],3,0),"")</f>
        <v/>
      </c>
      <c r="F1790" s="13" t="inlineStr">
        <is>
          <t>SMH</t>
        </is>
      </c>
      <c r="G1790" s="6" t="n">
        <v>1</v>
      </c>
      <c r="H1790" s="6" t="n">
        <v>-267.162898</v>
      </c>
      <c r="I1790" s="7">
        <f>-H1790/G1790</f>
        <v/>
      </c>
      <c r="J1790" s="11" t="n">
        <v>44663</v>
      </c>
      <c r="K1790" s="6">
        <f>+OPERAC[[#This Row],[cantidad]]</f>
        <v/>
      </c>
      <c r="L1790" s="6">
        <f>+OPERAC[[#This Row],[cantidad venta]]*238.066</f>
        <v/>
      </c>
      <c r="M1790" s="7">
        <f>IF(N1790=0,+L1790+H1790,0)</f>
        <v/>
      </c>
      <c r="N1790" s="7">
        <f>IF((+G1790-K1790)=0,0,+G1790-K1790)</f>
        <v/>
      </c>
      <c r="O1790" s="7">
        <f>IF(N1790=0,0,(L1790+H1790)/-N1790)</f>
        <v/>
      </c>
      <c r="P1790" s="7">
        <f>VLOOKUP(OPERAC[[#This Row],[especie]],[1]!ESPECIES[#All],6,0)</f>
        <v/>
      </c>
      <c r="Q1790" s="7">
        <f>IF(N1790&lt;&gt;0,P1790*N1790,0)</f>
        <v/>
      </c>
      <c r="R1790" s="8">
        <f>IF(Q1790&lt;&gt;0,Q1790+H1790+L1790,0)</f>
        <v/>
      </c>
      <c r="S1790" s="9">
        <f>VLOOKUP(OPERAC[[#This Row],[especie]],[1]!ESPECIES[#Data],9,FALSE)</f>
        <v/>
      </c>
    </row>
    <row r="1791">
      <c r="A1791" s="4" t="n">
        <v>12652</v>
      </c>
      <c r="B1791" s="5" t="n">
        <v>44643</v>
      </c>
      <c r="C1791" s="13" t="inlineStr">
        <is>
          <t>VTA</t>
        </is>
      </c>
      <c r="D1791" s="13" t="n">
        <v>42</v>
      </c>
      <c r="E1791" s="10">
        <f>IF(D1791&gt;0,VLOOKUP(OPERAC[[#This Row],[COD CART]],[1]!MatrizCortoLargoCyl[#All],3,0),"")</f>
        <v/>
      </c>
      <c r="F1791" s="13" t="inlineStr">
        <is>
          <t>SMH</t>
        </is>
      </c>
      <c r="G1791" s="6" t="n">
        <v>1</v>
      </c>
      <c r="H1791" s="6" t="n">
        <v>-267.162898</v>
      </c>
      <c r="I1791" s="7">
        <f>-H1791/G1791</f>
        <v/>
      </c>
      <c r="J1791" s="11" t="n">
        <v>44648</v>
      </c>
      <c r="K1791" s="6" t="n">
        <v>1</v>
      </c>
      <c r="L1791" s="6">
        <f>270.33*OPERAC[[#This Row],[cantidad venta]]</f>
        <v/>
      </c>
      <c r="M1791" s="7">
        <f>IF(N1791=0,+L1791+H1791,0)</f>
        <v/>
      </c>
      <c r="N1791" s="7">
        <f>IF((+G1791-K1791)=0,0,+G1791-K1791)</f>
        <v/>
      </c>
      <c r="O1791" s="7">
        <f>IF(N1791=0,0,(L1791+H1791)/-N1791)</f>
        <v/>
      </c>
      <c r="P1791" s="7">
        <f>VLOOKUP(OPERAC[[#This Row],[especie]],[1]!ESPECIES[#All],6,0)</f>
        <v/>
      </c>
      <c r="Q1791" s="7">
        <f>IF(N1791&lt;&gt;0,P1791*N1791,0)</f>
        <v/>
      </c>
      <c r="R1791" s="8">
        <f>IF(Q1791&lt;&gt;0,Q1791+H1791+L1791,0)</f>
        <v/>
      </c>
      <c r="S1791" s="9">
        <f>VLOOKUP(OPERAC[[#This Row],[especie]],[1]!ESPECIES[#Data],9,FALSE)</f>
        <v/>
      </c>
    </row>
    <row r="1792">
      <c r="A1792" s="4" t="n">
        <v>12672</v>
      </c>
      <c r="B1792" s="5" t="n">
        <v>44643</v>
      </c>
      <c r="C1792" s="13" t="inlineStr">
        <is>
          <t>VTA</t>
        </is>
      </c>
      <c r="D1792" s="13" t="n">
        <v>42</v>
      </c>
      <c r="E1792" s="10">
        <f>IF(D1792&gt;0,VLOOKUP(OPERAC[[#This Row],[COD CART]],[1]!MatrizCortoLargoCyl[#All],3,0),"")</f>
        <v/>
      </c>
      <c r="F1792" s="13" t="inlineStr">
        <is>
          <t>SMH</t>
        </is>
      </c>
      <c r="G1792" s="6" t="n">
        <v>1</v>
      </c>
      <c r="H1792" s="6" t="n">
        <v>-267.162898</v>
      </c>
      <c r="I1792" s="7">
        <f>-H1792/G1792</f>
        <v/>
      </c>
      <c r="J1792" s="11" t="n">
        <v>44663</v>
      </c>
      <c r="K1792" s="6">
        <f>+OPERAC[[#This Row],[cantidad]]</f>
        <v/>
      </c>
      <c r="L1792" s="6">
        <f>+OPERAC[[#This Row],[cantidad venta]]*238.066</f>
        <v/>
      </c>
      <c r="M1792" s="7">
        <f>IF(N1792=0,+L1792+H1792,0)</f>
        <v/>
      </c>
      <c r="N1792" s="7">
        <f>IF((+G1792-K1792)=0,0,+G1792-K1792)</f>
        <v/>
      </c>
      <c r="O1792" s="7">
        <f>IF(N1792=0,0,(L1792+H1792)/-N1792)</f>
        <v/>
      </c>
      <c r="P1792" s="7">
        <f>VLOOKUP(OPERAC[[#This Row],[especie]],[1]!ESPECIES[#All],6,0)</f>
        <v/>
      </c>
      <c r="Q1792" s="7">
        <f>IF(N1792&lt;&gt;0,P1792*N1792,0)</f>
        <v/>
      </c>
      <c r="R1792" s="8">
        <f>IF(Q1792&lt;&gt;0,Q1792+H1792+L1792,0)</f>
        <v/>
      </c>
      <c r="S1792" s="9">
        <f>VLOOKUP(OPERAC[[#This Row],[especie]],[1]!ESPECIES[#Data],9,FALSE)</f>
        <v/>
      </c>
    </row>
    <row r="1793">
      <c r="A1793" s="4" t="n">
        <v>18677</v>
      </c>
      <c r="B1793" s="5" t="n">
        <v>44643</v>
      </c>
      <c r="C1793" s="13" t="inlineStr">
        <is>
          <t>VTA</t>
        </is>
      </c>
      <c r="D1793" s="13" t="n">
        <v>42</v>
      </c>
      <c r="E1793" s="10">
        <f>IF(D1793&gt;0,VLOOKUP(OPERAC[[#This Row],[COD CART]],[1]!MatrizCortoLargoCyl[#All],3,0),"")</f>
        <v/>
      </c>
      <c r="F1793" s="13" t="inlineStr">
        <is>
          <t>SMH</t>
        </is>
      </c>
      <c r="G1793" s="6" t="n">
        <v>1</v>
      </c>
      <c r="H1793" s="6" t="n">
        <v>-267.162898</v>
      </c>
      <c r="I1793" s="7">
        <f>-H1793/G1793</f>
        <v/>
      </c>
      <c r="J1793" s="11" t="n">
        <v>44663</v>
      </c>
      <c r="K1793" s="6">
        <f>+OPERAC[[#This Row],[cantidad]]</f>
        <v/>
      </c>
      <c r="L1793" s="6">
        <f>+OPERAC[[#This Row],[cantidad venta]]*238.066</f>
        <v/>
      </c>
      <c r="M1793" s="7">
        <f>IF(N1793=0,+L1793+H1793,0)</f>
        <v/>
      </c>
      <c r="N1793" s="7">
        <f>IF((+G1793-K1793)=0,0,+G1793-K1793)</f>
        <v/>
      </c>
      <c r="O1793" s="7">
        <f>IF(N1793=0,0,(L1793+H1793)/-N1793)</f>
        <v/>
      </c>
      <c r="P1793" s="7">
        <f>VLOOKUP(OPERAC[[#This Row],[especie]],[1]!ESPECIES[#All],6,0)</f>
        <v/>
      </c>
      <c r="Q1793" s="7">
        <f>IF(N1793&lt;&gt;0,P1793*N1793,0)</f>
        <v/>
      </c>
      <c r="R1793" s="8">
        <f>IF(Q1793&lt;&gt;0,Q1793+H1793+L1793,0)</f>
        <v/>
      </c>
      <c r="S1793" s="9">
        <f>VLOOKUP(OPERAC[[#This Row],[especie]],[1]!ESPECIES[#Data],9,FALSE)</f>
        <v/>
      </c>
    </row>
    <row r="1794">
      <c r="A1794" s="4" t="n">
        <v>18697</v>
      </c>
      <c r="B1794" s="5" t="n">
        <v>44643</v>
      </c>
      <c r="C1794" s="13" t="inlineStr">
        <is>
          <t>VTA</t>
        </is>
      </c>
      <c r="D1794" s="13" t="n">
        <v>42</v>
      </c>
      <c r="E1794" s="10">
        <f>IF(D1794&gt;0,VLOOKUP(OPERAC[[#This Row],[COD CART]],[1]!MatrizCortoLargoCyl[#All],3,0),"")</f>
        <v/>
      </c>
      <c r="F1794" s="13" t="inlineStr">
        <is>
          <t>SMH</t>
        </is>
      </c>
      <c r="G1794" s="6" t="n">
        <v>1</v>
      </c>
      <c r="H1794" s="6" t="n">
        <v>-267.162898</v>
      </c>
      <c r="I1794" s="7">
        <f>-H1794/G1794</f>
        <v/>
      </c>
      <c r="J1794" s="11" t="n">
        <v>44663</v>
      </c>
      <c r="K1794" s="6">
        <f>+OPERAC[[#This Row],[cantidad]]</f>
        <v/>
      </c>
      <c r="L1794" s="6">
        <f>+OPERAC[[#This Row],[cantidad venta]]*238.066</f>
        <v/>
      </c>
      <c r="M1794" s="7">
        <f>IF(N1794=0,+L1794+H1794,0)</f>
        <v/>
      </c>
      <c r="N1794" s="7">
        <f>IF((+G1794-K1794)=0,0,+G1794-K1794)</f>
        <v/>
      </c>
      <c r="O1794" s="7">
        <f>IF(N1794=0,0,(L1794+H1794)/-N1794)</f>
        <v/>
      </c>
      <c r="P1794" s="7">
        <f>VLOOKUP(OPERAC[[#This Row],[especie]],[1]!ESPECIES[#All],6,0)</f>
        <v/>
      </c>
      <c r="Q1794" s="7">
        <f>IF(N1794&lt;&gt;0,P1794*N1794,0)</f>
        <v/>
      </c>
      <c r="R1794" s="8">
        <f>IF(Q1794&lt;&gt;0,Q1794+H1794+L1794,0)</f>
        <v/>
      </c>
      <c r="S1794" s="9">
        <f>VLOOKUP(OPERAC[[#This Row],[especie]],[1]!ESPECIES[#Data],9,FALSE)</f>
        <v/>
      </c>
    </row>
    <row r="1795">
      <c r="A1795" s="4" t="n">
        <v>19932</v>
      </c>
      <c r="B1795" s="5" t="n">
        <v>44643</v>
      </c>
      <c r="C1795" s="13" t="inlineStr">
        <is>
          <t>VTA</t>
        </is>
      </c>
      <c r="D1795" s="13" t="n">
        <v>42</v>
      </c>
      <c r="E1795" s="10">
        <f>IF(D1795&gt;0,VLOOKUP(OPERAC[[#This Row],[COD CART]],[1]!MatrizCortoLargoCyl[#All],3,0),"")</f>
        <v/>
      </c>
      <c r="F1795" s="13" t="inlineStr">
        <is>
          <t>SMH</t>
        </is>
      </c>
      <c r="G1795" s="6" t="n">
        <v>1</v>
      </c>
      <c r="H1795" s="6" t="n">
        <v>-267.162898</v>
      </c>
      <c r="I1795" s="7">
        <f>-H1795/G1795</f>
        <v/>
      </c>
      <c r="J1795" s="11" t="n">
        <v>44663</v>
      </c>
      <c r="K1795" s="6">
        <f>+OPERAC[[#This Row],[cantidad]]</f>
        <v/>
      </c>
      <c r="L1795" s="6">
        <f>+OPERAC[[#This Row],[cantidad venta]]*238.066</f>
        <v/>
      </c>
      <c r="M1795" s="7">
        <f>IF(N1795=0,+L1795+H1795,0)</f>
        <v/>
      </c>
      <c r="N1795" s="7">
        <f>IF((+G1795-K1795)=0,0,+G1795-K1795)</f>
        <v/>
      </c>
      <c r="O1795" s="7">
        <f>IF(N1795=0,0,(L1795+H1795)/-N1795)</f>
        <v/>
      </c>
      <c r="P1795" s="7">
        <f>VLOOKUP(OPERAC[[#This Row],[especie]],[1]!ESPECIES[#All],6,0)</f>
        <v/>
      </c>
      <c r="Q1795" s="7">
        <f>IF(N1795&lt;&gt;0,P1795*N1795,0)</f>
        <v/>
      </c>
      <c r="R1795" s="8">
        <f>IF(Q1795&lt;&gt;0,Q1795+H1795+L1795,0)</f>
        <v/>
      </c>
      <c r="S1795" s="9">
        <f>VLOOKUP(OPERAC[[#This Row],[especie]],[1]!ESPECIES[#Data],9,FALSE)</f>
        <v/>
      </c>
    </row>
    <row r="1796">
      <c r="A1796" s="4" t="n">
        <v>21070</v>
      </c>
      <c r="B1796" s="5" t="n">
        <v>44643</v>
      </c>
      <c r="C1796" s="13" t="inlineStr">
        <is>
          <t>VTA</t>
        </is>
      </c>
      <c r="D1796" s="13" t="n">
        <v>42</v>
      </c>
      <c r="E1796" s="10">
        <f>IF(D1796&gt;0,VLOOKUP(OPERAC[[#This Row],[COD CART]],[1]!MatrizCortoLargoCyl[#All],3,0),"")</f>
        <v/>
      </c>
      <c r="F1796" s="13" t="inlineStr">
        <is>
          <t>SMH</t>
        </is>
      </c>
      <c r="G1796" s="6" t="n">
        <v>1</v>
      </c>
      <c r="H1796" s="6" t="n">
        <v>-267.162898</v>
      </c>
      <c r="I1796" s="7">
        <f>-H1796/G1796</f>
        <v/>
      </c>
      <c r="J1796" s="11" t="n">
        <v>44663</v>
      </c>
      <c r="K1796" s="6">
        <f>+OPERAC[[#This Row],[cantidad]]</f>
        <v/>
      </c>
      <c r="L1796" s="6">
        <f>+OPERAC[[#This Row],[cantidad venta]]*238.066</f>
        <v/>
      </c>
      <c r="M1796" s="7">
        <f>IF(N1796=0,+L1796+H1796,0)</f>
        <v/>
      </c>
      <c r="N1796" s="7">
        <f>IF((+G1796-K1796)=0,0,+G1796-K1796)</f>
        <v/>
      </c>
      <c r="O1796" s="7">
        <f>IF(N1796=0,0,(L1796+H1796)/-N1796)</f>
        <v/>
      </c>
      <c r="P1796" s="7">
        <f>VLOOKUP(OPERAC[[#This Row],[especie]],[1]!ESPECIES[#All],6,0)</f>
        <v/>
      </c>
      <c r="Q1796" s="7">
        <f>IF(N1796&lt;&gt;0,P1796*N1796,0)</f>
        <v/>
      </c>
      <c r="R1796" s="8">
        <f>IF(Q1796&lt;&gt;0,Q1796+H1796+L1796,0)</f>
        <v/>
      </c>
      <c r="S1796" s="9">
        <f>VLOOKUP(OPERAC[[#This Row],[especie]],[1]!ESPECIES[#Data],9,FALSE)</f>
        <v/>
      </c>
    </row>
    <row r="1797">
      <c r="A1797" s="4" t="n">
        <v>22439</v>
      </c>
      <c r="B1797" s="5" t="n">
        <v>44643</v>
      </c>
      <c r="C1797" s="13" t="inlineStr">
        <is>
          <t>VTA</t>
        </is>
      </c>
      <c r="D1797" s="13" t="n">
        <v>42</v>
      </c>
      <c r="E1797" s="10">
        <f>IF(D1797&gt;0,VLOOKUP(OPERAC[[#This Row],[COD CART]],[1]!MatrizCortoLargoCyl[#All],3,0),"")</f>
        <v/>
      </c>
      <c r="F1797" s="13" t="inlineStr">
        <is>
          <t>SMH</t>
        </is>
      </c>
      <c r="G1797" s="6" t="n">
        <v>1</v>
      </c>
      <c r="H1797" s="6" t="n">
        <v>-267.162898</v>
      </c>
      <c r="I1797" s="7">
        <f>-H1797/G1797</f>
        <v/>
      </c>
      <c r="J1797" s="11" t="n">
        <v>44663</v>
      </c>
      <c r="K1797" s="6">
        <f>+OPERAC[[#This Row],[cantidad]]</f>
        <v/>
      </c>
      <c r="L1797" s="6">
        <f>+OPERAC[[#This Row],[cantidad venta]]*238.066</f>
        <v/>
      </c>
      <c r="M1797" s="7">
        <f>IF(N1797=0,+L1797+H1797,0)</f>
        <v/>
      </c>
      <c r="N1797" s="7">
        <f>IF((+G1797-K1797)=0,0,+G1797-K1797)</f>
        <v/>
      </c>
      <c r="O1797" s="7">
        <f>IF(N1797=0,0,(L1797+H1797)/-N1797)</f>
        <v/>
      </c>
      <c r="P1797" s="7">
        <f>VLOOKUP(OPERAC[[#This Row],[especie]],[1]!ESPECIES[#All],6,0)</f>
        <v/>
      </c>
      <c r="Q1797" s="7">
        <f>IF(N1797&lt;&gt;0,P1797*N1797,0)</f>
        <v/>
      </c>
      <c r="R1797" s="8">
        <f>IF(Q1797&lt;&gt;0,Q1797+H1797+L1797,0)</f>
        <v/>
      </c>
      <c r="S1797" s="9">
        <f>VLOOKUP(OPERAC[[#This Row],[especie]],[1]!ESPECIES[#Data],9,FALSE)</f>
        <v/>
      </c>
    </row>
    <row r="1798">
      <c r="A1798" s="4" t="n">
        <v>13240</v>
      </c>
      <c r="B1798" s="5" t="n">
        <v>44536</v>
      </c>
      <c r="C1798" s="13" t="inlineStr">
        <is>
          <t>VTA</t>
        </is>
      </c>
      <c r="D1798" s="13" t="n">
        <v>43</v>
      </c>
      <c r="E1798" s="10">
        <f>IF(D1798&gt;0,VLOOKUP(OPERAC[[#This Row],[COD CART]],[1]!MatrizCortoLargoCyl[#All],3,0),"")</f>
        <v/>
      </c>
      <c r="F1798" s="13" t="inlineStr">
        <is>
          <t>XSPA/CYL-PUT/1,50/20-01-23</t>
        </is>
      </c>
      <c r="G1798" s="6" t="n">
        <v>600</v>
      </c>
      <c r="H1798" s="6">
        <f>-0.4462*OPERAC[[#This Row],[cantidad]]</f>
        <v/>
      </c>
      <c r="I1798" s="7">
        <f>-H1798/G1798</f>
        <v/>
      </c>
      <c r="J1798" s="11" t="n"/>
      <c r="K1798" s="6" t="n"/>
      <c r="L1798" s="6" t="n"/>
      <c r="M1798" s="7">
        <f>IF(N1798=0,+L1798+H1798,0)</f>
        <v/>
      </c>
      <c r="N1798" s="7">
        <f>IF((+G1798-K1798)=0,0,+G1798-K1798)</f>
        <v/>
      </c>
      <c r="O1798" s="7">
        <f>IF(N1798=0,0,(L1798+H1798)/-N1798)</f>
        <v/>
      </c>
      <c r="P1798" s="7">
        <f>VLOOKUP(OPERAC[[#This Row],[especie]],[1]!ESPECIES[#All],6,0)</f>
        <v/>
      </c>
      <c r="Q1798" s="7">
        <f>IF(N1798&lt;&gt;0,P1798*N1798,0)</f>
        <v/>
      </c>
      <c r="R1798" s="8">
        <f>IF(Q1798&lt;&gt;0,Q1798+H1798+L1798,0)</f>
        <v/>
      </c>
      <c r="S1798" s="9">
        <f>VLOOKUP(OPERAC[[#This Row],[especie]],[1]!ESPECIES[#Data],9,FALSE)</f>
        <v/>
      </c>
    </row>
    <row r="1799">
      <c r="A1799" s="4" t="n">
        <v>2217</v>
      </c>
      <c r="B1799" s="5" t="n">
        <v>44553</v>
      </c>
      <c r="C1799" s="13" t="inlineStr">
        <is>
          <t>VTA</t>
        </is>
      </c>
      <c r="D1799" s="13" t="n">
        <v>40</v>
      </c>
      <c r="E1799" s="10">
        <f>IF(D1799&gt;0,VLOOKUP(OPERAC[[#This Row],[COD CART]],[1]!MatrizCortoLargoCyl[#All],3,0),"")</f>
        <v/>
      </c>
      <c r="F1799" s="13" t="inlineStr">
        <is>
          <t>ON</t>
        </is>
      </c>
      <c r="G1799" s="6" t="n">
        <v>4</v>
      </c>
      <c r="H1799" s="6" t="n">
        <v>-268.4544319999999</v>
      </c>
      <c r="I1799" s="7">
        <f>-H1799/G1799</f>
        <v/>
      </c>
      <c r="J1799" s="11" t="n">
        <v>44606</v>
      </c>
      <c r="K1799" s="6">
        <f>+OPERAC[[#This Row],[cantidad]]</f>
        <v/>
      </c>
      <c r="L1799" s="6">
        <f>+OPERAC[[#This Row],[cantidad venta]]*58.449</f>
        <v/>
      </c>
      <c r="M1799" s="7">
        <f>IF(N1799=0,+L1799+H1799,0)</f>
        <v/>
      </c>
      <c r="N1799" s="7">
        <f>IF((+G1799-K1799)=0,0,+G1799-K1799)</f>
        <v/>
      </c>
      <c r="O1799" s="7">
        <f>IF(N1799=0,0,(L1799+H1799)/-N1799)</f>
        <v/>
      </c>
      <c r="P1799" s="7">
        <f>VLOOKUP(OPERAC[[#This Row],[especie]],[1]!ESPECIES[#All],6,0)</f>
        <v/>
      </c>
      <c r="Q1799" s="7">
        <f>IF(N1799&lt;&gt;0,P1799*N1799,0)</f>
        <v/>
      </c>
      <c r="R1799" s="8">
        <f>IF(Q1799&lt;&gt;0,Q1799+H1799+L1799,0)</f>
        <v/>
      </c>
      <c r="S1799" s="9">
        <f>VLOOKUP(OPERAC[[#This Row],[especie]],[1]!ESPECIES[#Data],9,FALSE)</f>
        <v/>
      </c>
    </row>
    <row r="1800">
      <c r="A1800" s="4" t="n">
        <v>3853</v>
      </c>
      <c r="B1800" s="5" t="n">
        <v>44553</v>
      </c>
      <c r="C1800" s="13" t="inlineStr">
        <is>
          <t>VTA</t>
        </is>
      </c>
      <c r="D1800" s="13" t="n">
        <v>40</v>
      </c>
      <c r="E1800" s="10">
        <f>IF(D1800&gt;0,VLOOKUP(OPERAC[[#This Row],[COD CART]],[1]!MatrizCortoLargoCyl[#All],3,0),"")</f>
        <v/>
      </c>
      <c r="F1800" s="13" t="inlineStr">
        <is>
          <t>ON</t>
        </is>
      </c>
      <c r="G1800" s="6" t="n">
        <v>4</v>
      </c>
      <c r="H1800" s="6" t="n">
        <v>-268.4544319999999</v>
      </c>
      <c r="I1800" s="7">
        <f>-H1800/G1800</f>
        <v/>
      </c>
      <c r="J1800" s="11" t="n">
        <v>44606</v>
      </c>
      <c r="K1800" s="6">
        <f>+OPERAC[[#This Row],[cantidad]]</f>
        <v/>
      </c>
      <c r="L1800" s="6">
        <f>+OPERAC[[#This Row],[cantidad venta]]*58.449</f>
        <v/>
      </c>
      <c r="M1800" s="7">
        <f>IF(N1800=0,+L1800+H1800,0)</f>
        <v/>
      </c>
      <c r="N1800" s="7">
        <f>IF((+G1800-K1800)=0,0,+G1800-K1800)</f>
        <v/>
      </c>
      <c r="O1800" s="7">
        <f>IF(N1800=0,0,(L1800+H1800)/-N1800)</f>
        <v/>
      </c>
      <c r="P1800" s="7">
        <f>VLOOKUP(OPERAC[[#This Row],[especie]],[1]!ESPECIES[#All],6,0)</f>
        <v/>
      </c>
      <c r="Q1800" s="7">
        <f>IF(N1800&lt;&gt;0,P1800*N1800,0)</f>
        <v/>
      </c>
      <c r="R1800" s="8">
        <f>IF(Q1800&lt;&gt;0,Q1800+H1800+L1800,0)</f>
        <v/>
      </c>
      <c r="S1800" s="9">
        <f>VLOOKUP(OPERAC[[#This Row],[especie]],[1]!ESPECIES[#Data],9,FALSE)</f>
        <v/>
      </c>
    </row>
    <row r="1801">
      <c r="A1801" s="4" t="n">
        <v>4543</v>
      </c>
      <c r="B1801" s="5" t="n">
        <v>44553</v>
      </c>
      <c r="C1801" s="13" t="inlineStr">
        <is>
          <t>VTA</t>
        </is>
      </c>
      <c r="D1801" s="13" t="n">
        <v>40</v>
      </c>
      <c r="E1801" s="10">
        <f>IF(D1801&gt;0,VLOOKUP(OPERAC[[#This Row],[COD CART]],[1]!MatrizCortoLargoCyl[#All],3,0),"")</f>
        <v/>
      </c>
      <c r="F1801" s="13" t="inlineStr">
        <is>
          <t>ON</t>
        </is>
      </c>
      <c r="G1801" s="6" t="n">
        <v>4</v>
      </c>
      <c r="H1801" s="6" t="n">
        <v>-268.4544319999999</v>
      </c>
      <c r="I1801" s="7">
        <f>-H1801/G1801</f>
        <v/>
      </c>
      <c r="J1801" s="11" t="n">
        <v>44606</v>
      </c>
      <c r="K1801" s="6">
        <f>+OPERAC[[#This Row],[cantidad]]</f>
        <v/>
      </c>
      <c r="L1801" s="6">
        <f>+OPERAC[[#This Row],[cantidad venta]]*58.449</f>
        <v/>
      </c>
      <c r="M1801" s="7">
        <f>IF(N1801=0,+L1801+H1801,0)</f>
        <v/>
      </c>
      <c r="N1801" s="7">
        <f>IF((+G1801-K1801)=0,0,+G1801-K1801)</f>
        <v/>
      </c>
      <c r="O1801" s="7">
        <f>IF(N1801=0,0,(L1801+H1801)/-N1801)</f>
        <v/>
      </c>
      <c r="P1801" s="7">
        <f>VLOOKUP(OPERAC[[#This Row],[especie]],[1]!ESPECIES[#All],6,0)</f>
        <v/>
      </c>
      <c r="Q1801" s="7">
        <f>IF(N1801&lt;&gt;0,P1801*N1801,0)</f>
        <v/>
      </c>
      <c r="R1801" s="8">
        <f>IF(Q1801&lt;&gt;0,Q1801+H1801+L1801,0)</f>
        <v/>
      </c>
      <c r="S1801" s="9">
        <f>VLOOKUP(OPERAC[[#This Row],[especie]],[1]!ESPECIES[#Data],9,FALSE)</f>
        <v/>
      </c>
    </row>
    <row r="1802">
      <c r="A1802" s="4" t="n">
        <v>6628</v>
      </c>
      <c r="B1802" s="5" t="n">
        <v>44553</v>
      </c>
      <c r="C1802" s="13" t="inlineStr">
        <is>
          <t>VTA</t>
        </is>
      </c>
      <c r="D1802" s="13" t="n">
        <v>40</v>
      </c>
      <c r="E1802" s="10">
        <f>IF(D1802&gt;0,VLOOKUP(OPERAC[[#This Row],[COD CART]],[1]!MatrizCortoLargoCyl[#All],3,0),"")</f>
        <v/>
      </c>
      <c r="F1802" s="13" t="inlineStr">
        <is>
          <t>ON</t>
        </is>
      </c>
      <c r="G1802" s="6" t="n">
        <v>4</v>
      </c>
      <c r="H1802" s="6" t="n">
        <v>-268.4544319999999</v>
      </c>
      <c r="I1802" s="7">
        <f>-H1802/G1802</f>
        <v/>
      </c>
      <c r="J1802" s="11" t="n">
        <v>44606</v>
      </c>
      <c r="K1802" s="6">
        <f>+OPERAC[[#This Row],[cantidad]]</f>
        <v/>
      </c>
      <c r="L1802" s="6">
        <f>+OPERAC[[#This Row],[cantidad venta]]*58.449</f>
        <v/>
      </c>
      <c r="M1802" s="7">
        <f>IF(N1802=0,+L1802+H1802,0)</f>
        <v/>
      </c>
      <c r="N1802" s="7">
        <f>IF((+G1802-K1802)=0,0,+G1802-K1802)</f>
        <v/>
      </c>
      <c r="O1802" s="7">
        <f>IF(N1802=0,0,(L1802+H1802)/-N1802)</f>
        <v/>
      </c>
      <c r="P1802" s="7">
        <f>VLOOKUP(OPERAC[[#This Row],[especie]],[1]!ESPECIES[#All],6,0)</f>
        <v/>
      </c>
      <c r="Q1802" s="7">
        <f>IF(N1802&lt;&gt;0,P1802*N1802,0)</f>
        <v/>
      </c>
      <c r="R1802" s="8">
        <f>IF(Q1802&lt;&gt;0,Q1802+H1802+L1802,0)</f>
        <v/>
      </c>
      <c r="S1802" s="9">
        <f>VLOOKUP(OPERAC[[#This Row],[especie]],[1]!ESPECIES[#Data],9,FALSE)</f>
        <v/>
      </c>
    </row>
    <row r="1803">
      <c r="A1803" s="4" t="n">
        <v>7925</v>
      </c>
      <c r="B1803" s="5" t="n">
        <v>44553</v>
      </c>
      <c r="C1803" s="13" t="inlineStr">
        <is>
          <t>VTA</t>
        </is>
      </c>
      <c r="D1803" s="13" t="n">
        <v>40</v>
      </c>
      <c r="E1803" s="10">
        <f>IF(D1803&gt;0,VLOOKUP(OPERAC[[#This Row],[COD CART]],[1]!MatrizCortoLargoCyl[#All],3,0),"")</f>
        <v/>
      </c>
      <c r="F1803" s="13" t="inlineStr">
        <is>
          <t>ON</t>
        </is>
      </c>
      <c r="G1803" s="6" t="n">
        <v>4</v>
      </c>
      <c r="H1803" s="6" t="n">
        <v>-268.4544319999999</v>
      </c>
      <c r="I1803" s="7">
        <f>-H1803/G1803</f>
        <v/>
      </c>
      <c r="J1803" s="11" t="n">
        <v>44581</v>
      </c>
      <c r="K1803" s="6" t="n">
        <v>4</v>
      </c>
      <c r="L1803" s="6" t="n">
        <v>233.552</v>
      </c>
      <c r="M1803" s="7">
        <f>IF(N1803=0,+L1803+H1803,0)</f>
        <v/>
      </c>
      <c r="N1803" s="7">
        <f>IF((+G1803-K1803)=0,0,+G1803-K1803)</f>
        <v/>
      </c>
      <c r="O1803" s="7">
        <f>IF(N1803=0,0,(L1803+H1803)/-N1803)</f>
        <v/>
      </c>
      <c r="P1803" s="7">
        <f>VLOOKUP(OPERAC[[#This Row],[especie]],[1]!ESPECIES[#All],6,0)</f>
        <v/>
      </c>
      <c r="Q1803" s="7">
        <f>IF(N1803&lt;&gt;0,P1803*N1803,0)</f>
        <v/>
      </c>
      <c r="R1803" s="8">
        <f>IF(Q1803&lt;&gt;0,Q1803+H1803+L1803,0)</f>
        <v/>
      </c>
      <c r="S1803" s="9">
        <f>VLOOKUP(OPERAC[[#This Row],[especie]],[1]!ESPECIES[#Data],9,FALSE)</f>
        <v/>
      </c>
    </row>
    <row r="1804">
      <c r="A1804" s="4" t="n">
        <v>8066</v>
      </c>
      <c r="B1804" s="5" t="n">
        <v>44553</v>
      </c>
      <c r="C1804" s="13" t="inlineStr">
        <is>
          <t>VTA</t>
        </is>
      </c>
      <c r="D1804" s="13" t="n">
        <v>40</v>
      </c>
      <c r="E1804" s="10">
        <f>IF(D1804&gt;0,VLOOKUP(OPERAC[[#This Row],[COD CART]],[1]!MatrizCortoLargoCyl[#All],3,0),"")</f>
        <v/>
      </c>
      <c r="F1804" s="13" t="inlineStr">
        <is>
          <t>ON</t>
        </is>
      </c>
      <c r="G1804" s="6" t="n">
        <v>4</v>
      </c>
      <c r="H1804" s="6" t="n">
        <v>-268.4544319999999</v>
      </c>
      <c r="I1804" s="7">
        <f>-H1804/G1804</f>
        <v/>
      </c>
      <c r="J1804" s="11" t="n">
        <v>44606</v>
      </c>
      <c r="K1804" s="6">
        <f>+OPERAC[[#This Row],[cantidad]]</f>
        <v/>
      </c>
      <c r="L1804" s="6">
        <f>+OPERAC[[#This Row],[cantidad venta]]*58.449</f>
        <v/>
      </c>
      <c r="M1804" s="7">
        <f>IF(N1804=0,+L1804+H1804,0)</f>
        <v/>
      </c>
      <c r="N1804" s="7">
        <f>IF((+G1804-K1804)=0,0,+G1804-K1804)</f>
        <v/>
      </c>
      <c r="O1804" s="7">
        <f>IF(N1804=0,0,(L1804+H1804)/-N1804)</f>
        <v/>
      </c>
      <c r="P1804" s="7">
        <f>VLOOKUP(OPERAC[[#This Row],[especie]],[1]!ESPECIES[#All],6,0)</f>
        <v/>
      </c>
      <c r="Q1804" s="7">
        <f>IF(N1804&lt;&gt;0,P1804*N1804,0)</f>
        <v/>
      </c>
      <c r="R1804" s="8">
        <f>IF(Q1804&lt;&gt;0,Q1804+H1804+L1804,0)</f>
        <v/>
      </c>
      <c r="S1804" s="9">
        <f>VLOOKUP(OPERAC[[#This Row],[especie]],[1]!ESPECIES[#Data],9,FALSE)</f>
        <v/>
      </c>
    </row>
    <row r="1805">
      <c r="A1805" s="4" t="n">
        <v>11168</v>
      </c>
      <c r="B1805" s="5" t="n">
        <v>44553</v>
      </c>
      <c r="C1805" s="13" t="inlineStr">
        <is>
          <t>VTA</t>
        </is>
      </c>
      <c r="D1805" s="13" t="n">
        <v>40</v>
      </c>
      <c r="E1805" s="10">
        <f>IF(D1805&gt;0,VLOOKUP(OPERAC[[#This Row],[COD CART]],[1]!MatrizCortoLargoCyl[#All],3,0),"")</f>
        <v/>
      </c>
      <c r="F1805" s="13" t="inlineStr">
        <is>
          <t>ON</t>
        </is>
      </c>
      <c r="G1805" s="6" t="n">
        <v>4</v>
      </c>
      <c r="H1805" s="6" t="n">
        <v>-268.4544319999999</v>
      </c>
      <c r="I1805" s="7">
        <f>-H1805/G1805</f>
        <v/>
      </c>
      <c r="J1805" s="11" t="n">
        <v>44606</v>
      </c>
      <c r="K1805" s="6">
        <f>+OPERAC[[#This Row],[cantidad]]</f>
        <v/>
      </c>
      <c r="L1805" s="6">
        <f>+OPERAC[[#This Row],[cantidad venta]]*58.449</f>
        <v/>
      </c>
      <c r="M1805" s="7">
        <f>IF(N1805=0,+L1805+H1805,0)</f>
        <v/>
      </c>
      <c r="N1805" s="7">
        <f>IF((+G1805-K1805)=0,0,+G1805-K1805)</f>
        <v/>
      </c>
      <c r="O1805" s="7">
        <f>IF(N1805=0,0,(L1805+H1805)/-N1805)</f>
        <v/>
      </c>
      <c r="P1805" s="7">
        <f>VLOOKUP(OPERAC[[#This Row],[especie]],[1]!ESPECIES[#All],6,0)</f>
        <v/>
      </c>
      <c r="Q1805" s="7">
        <f>IF(N1805&lt;&gt;0,P1805*N1805,0)</f>
        <v/>
      </c>
      <c r="R1805" s="8">
        <f>IF(Q1805&lt;&gt;0,Q1805+H1805+L1805,0)</f>
        <v/>
      </c>
      <c r="S1805" s="9">
        <f>VLOOKUP(OPERAC[[#This Row],[especie]],[1]!ESPECIES[#Data],9,FALSE)</f>
        <v/>
      </c>
    </row>
    <row r="1806">
      <c r="A1806" s="4" t="n">
        <v>12652</v>
      </c>
      <c r="B1806" s="5" t="n">
        <v>44553</v>
      </c>
      <c r="C1806" s="13" t="inlineStr">
        <is>
          <t>VTA</t>
        </is>
      </c>
      <c r="D1806" s="13" t="n">
        <v>40</v>
      </c>
      <c r="E1806" s="10">
        <f>IF(D1806&gt;0,VLOOKUP(OPERAC[[#This Row],[COD CART]],[1]!MatrizCortoLargoCyl[#All],3,0),"")</f>
        <v/>
      </c>
      <c r="F1806" s="13" t="inlineStr">
        <is>
          <t>ON</t>
        </is>
      </c>
      <c r="G1806" s="6" t="n">
        <v>4</v>
      </c>
      <c r="H1806" s="6" t="n">
        <v>-268.4544319999999</v>
      </c>
      <c r="I1806" s="7">
        <f>-H1806/G1806</f>
        <v/>
      </c>
      <c r="J1806" s="11" t="n">
        <v>44606</v>
      </c>
      <c r="K1806" s="6">
        <f>+OPERAC[[#This Row],[cantidad]]</f>
        <v/>
      </c>
      <c r="L1806" s="6">
        <f>+OPERAC[[#This Row],[cantidad venta]]*58.449</f>
        <v/>
      </c>
      <c r="M1806" s="7">
        <f>IF(N1806=0,+L1806+H1806,0)</f>
        <v/>
      </c>
      <c r="N1806" s="7">
        <f>IF((+G1806-K1806)=0,0,+G1806-K1806)</f>
        <v/>
      </c>
      <c r="O1806" s="7">
        <f>IF(N1806=0,0,(L1806+H1806)/-N1806)</f>
        <v/>
      </c>
      <c r="P1806" s="7">
        <f>VLOOKUP(OPERAC[[#This Row],[especie]],[1]!ESPECIES[#All],6,0)</f>
        <v/>
      </c>
      <c r="Q1806" s="7">
        <f>IF(N1806&lt;&gt;0,P1806*N1806,0)</f>
        <v/>
      </c>
      <c r="R1806" s="8">
        <f>IF(Q1806&lt;&gt;0,Q1806+H1806+L1806,0)</f>
        <v/>
      </c>
      <c r="S1806" s="9">
        <f>VLOOKUP(OPERAC[[#This Row],[especie]],[1]!ESPECIES[#Data],9,FALSE)</f>
        <v/>
      </c>
    </row>
    <row r="1807">
      <c r="A1807" s="4" t="n">
        <v>12662</v>
      </c>
      <c r="B1807" s="5" t="n">
        <v>44553</v>
      </c>
      <c r="C1807" s="13" t="inlineStr">
        <is>
          <t>VTA</t>
        </is>
      </c>
      <c r="D1807" s="13" t="n">
        <v>40</v>
      </c>
      <c r="E1807" s="10">
        <f>IF(D1807&gt;0,VLOOKUP(OPERAC[[#This Row],[COD CART]],[1]!MatrizCortoLargoCyl[#All],3,0),"")</f>
        <v/>
      </c>
      <c r="F1807" s="13" t="inlineStr">
        <is>
          <t>ON</t>
        </is>
      </c>
      <c r="G1807" s="6" t="n">
        <v>4</v>
      </c>
      <c r="H1807" s="6" t="n">
        <v>-268.4544319999999</v>
      </c>
      <c r="I1807" s="7">
        <f>-H1807/G1807</f>
        <v/>
      </c>
      <c r="J1807" s="11" t="n">
        <v>44606</v>
      </c>
      <c r="K1807" s="6">
        <f>+OPERAC[[#This Row],[cantidad]]</f>
        <v/>
      </c>
      <c r="L1807" s="6">
        <f>+OPERAC[[#This Row],[cantidad venta]]*58.449</f>
        <v/>
      </c>
      <c r="M1807" s="7">
        <f>IF(N1807=0,+L1807+H1807,0)</f>
        <v/>
      </c>
      <c r="N1807" s="7">
        <f>IF((+G1807-K1807)=0,0,+G1807-K1807)</f>
        <v/>
      </c>
      <c r="O1807" s="7">
        <f>IF(N1807=0,0,(L1807+H1807)/-N1807)</f>
        <v/>
      </c>
      <c r="P1807" s="7">
        <f>VLOOKUP(OPERAC[[#This Row],[especie]],[1]!ESPECIES[#All],6,0)</f>
        <v/>
      </c>
      <c r="Q1807" s="7">
        <f>IF(N1807&lt;&gt;0,P1807*N1807,0)</f>
        <v/>
      </c>
      <c r="R1807" s="8">
        <f>IF(Q1807&lt;&gt;0,Q1807+H1807+L1807,0)</f>
        <v/>
      </c>
      <c r="S1807" s="9">
        <f>VLOOKUP(OPERAC[[#This Row],[especie]],[1]!ESPECIES[#Data],9,FALSE)</f>
        <v/>
      </c>
    </row>
    <row r="1808">
      <c r="A1808" s="4" t="n">
        <v>12671</v>
      </c>
      <c r="B1808" s="5" t="n">
        <v>44553</v>
      </c>
      <c r="C1808" s="13" t="inlineStr">
        <is>
          <t>VTA</t>
        </is>
      </c>
      <c r="D1808" s="13" t="n">
        <v>40</v>
      </c>
      <c r="E1808" s="10">
        <f>IF(D1808&gt;0,VLOOKUP(OPERAC[[#This Row],[COD CART]],[1]!MatrizCortoLargoCyl[#All],3,0),"")</f>
        <v/>
      </c>
      <c r="F1808" s="13" t="inlineStr">
        <is>
          <t>ON</t>
        </is>
      </c>
      <c r="G1808" s="6" t="n">
        <v>4</v>
      </c>
      <c r="H1808" s="6" t="n">
        <v>-268.4544319999999</v>
      </c>
      <c r="I1808" s="7">
        <f>-H1808/G1808</f>
        <v/>
      </c>
      <c r="J1808" s="11" t="n">
        <v>44606</v>
      </c>
      <c r="K1808" s="6">
        <f>+OPERAC[[#This Row],[cantidad]]</f>
        <v/>
      </c>
      <c r="L1808" s="6">
        <f>+OPERAC[[#This Row],[cantidad venta]]*58.449</f>
        <v/>
      </c>
      <c r="M1808" s="7">
        <f>IF(N1808=0,+L1808+H1808,0)</f>
        <v/>
      </c>
      <c r="N1808" s="7">
        <f>IF((+G1808-K1808)=0,0,+G1808-K1808)</f>
        <v/>
      </c>
      <c r="O1808" s="7">
        <f>IF(N1808=0,0,(L1808+H1808)/-N1808)</f>
        <v/>
      </c>
      <c r="P1808" s="7">
        <f>VLOOKUP(OPERAC[[#This Row],[especie]],[1]!ESPECIES[#All],6,0)</f>
        <v/>
      </c>
      <c r="Q1808" s="7">
        <f>IF(N1808&lt;&gt;0,P1808*N1808,0)</f>
        <v/>
      </c>
      <c r="R1808" s="8">
        <f>IF(Q1808&lt;&gt;0,Q1808+H1808+L1808,0)</f>
        <v/>
      </c>
      <c r="S1808" s="9">
        <f>VLOOKUP(OPERAC[[#This Row],[especie]],[1]!ESPECIES[#Data],9,FALSE)</f>
        <v/>
      </c>
    </row>
    <row r="1809">
      <c r="A1809" s="4" t="n">
        <v>12672</v>
      </c>
      <c r="B1809" s="5" t="n">
        <v>44553</v>
      </c>
      <c r="C1809" s="13" t="inlineStr">
        <is>
          <t>VTA</t>
        </is>
      </c>
      <c r="D1809" s="13" t="n">
        <v>40</v>
      </c>
      <c r="E1809" s="10">
        <f>IF(D1809&gt;0,VLOOKUP(OPERAC[[#This Row],[COD CART]],[1]!MatrizCortoLargoCyl[#All],3,0),"")</f>
        <v/>
      </c>
      <c r="F1809" s="13" t="inlineStr">
        <is>
          <t>ON</t>
        </is>
      </c>
      <c r="G1809" s="6" t="n">
        <v>4</v>
      </c>
      <c r="H1809" s="6" t="n">
        <v>-268.4544319999999</v>
      </c>
      <c r="I1809" s="7">
        <f>-H1809/G1809</f>
        <v/>
      </c>
      <c r="J1809" s="11" t="n">
        <v>44606</v>
      </c>
      <c r="K1809" s="6">
        <f>+OPERAC[[#This Row],[cantidad]]</f>
        <v/>
      </c>
      <c r="L1809" s="6">
        <f>+OPERAC[[#This Row],[cantidad venta]]*58.449</f>
        <v/>
      </c>
      <c r="M1809" s="7">
        <f>IF(N1809=0,+L1809+H1809,0)</f>
        <v/>
      </c>
      <c r="N1809" s="7">
        <f>IF((+G1809-K1809)=0,0,+G1809-K1809)</f>
        <v/>
      </c>
      <c r="O1809" s="7">
        <f>IF(N1809=0,0,(L1809+H1809)/-N1809)</f>
        <v/>
      </c>
      <c r="P1809" s="7">
        <f>VLOOKUP(OPERAC[[#This Row],[especie]],[1]!ESPECIES[#All],6,0)</f>
        <v/>
      </c>
      <c r="Q1809" s="7">
        <f>IF(N1809&lt;&gt;0,P1809*N1809,0)</f>
        <v/>
      </c>
      <c r="R1809" s="8">
        <f>IF(Q1809&lt;&gt;0,Q1809+H1809+L1809,0)</f>
        <v/>
      </c>
      <c r="S1809" s="9">
        <f>VLOOKUP(OPERAC[[#This Row],[especie]],[1]!ESPECIES[#Data],9,FALSE)</f>
        <v/>
      </c>
    </row>
    <row r="1810">
      <c r="A1810" s="4" t="n">
        <v>12686</v>
      </c>
      <c r="B1810" s="5" t="n">
        <v>44553</v>
      </c>
      <c r="C1810" s="13" t="inlineStr">
        <is>
          <t>VTA</t>
        </is>
      </c>
      <c r="D1810" s="13" t="n">
        <v>40</v>
      </c>
      <c r="E1810" s="10">
        <f>IF(D1810&gt;0,VLOOKUP(OPERAC[[#This Row],[COD CART]],[1]!MatrizCortoLargoCyl[#All],3,0),"")</f>
        <v/>
      </c>
      <c r="F1810" s="13" t="inlineStr">
        <is>
          <t>ON</t>
        </is>
      </c>
      <c r="G1810" s="6" t="n">
        <v>4</v>
      </c>
      <c r="H1810" s="6" t="n">
        <v>-268.4544319999999</v>
      </c>
      <c r="I1810" s="7">
        <f>-H1810/G1810</f>
        <v/>
      </c>
      <c r="J1810" s="11" t="n">
        <v>44606</v>
      </c>
      <c r="K1810" s="6">
        <f>+OPERAC[[#This Row],[cantidad]]</f>
        <v/>
      </c>
      <c r="L1810" s="6">
        <f>+OPERAC[[#This Row],[cantidad venta]]*58.449</f>
        <v/>
      </c>
      <c r="M1810" s="7">
        <f>IF(N1810=0,+L1810+H1810,0)</f>
        <v/>
      </c>
      <c r="N1810" s="7">
        <f>IF((+G1810-K1810)=0,0,+G1810-K1810)</f>
        <v/>
      </c>
      <c r="O1810" s="7">
        <f>IF(N1810=0,0,(L1810+H1810)/-N1810)</f>
        <v/>
      </c>
      <c r="P1810" s="7">
        <f>VLOOKUP(OPERAC[[#This Row],[especie]],[1]!ESPECIES[#All],6,0)</f>
        <v/>
      </c>
      <c r="Q1810" s="7">
        <f>IF(N1810&lt;&gt;0,P1810*N1810,0)</f>
        <v/>
      </c>
      <c r="R1810" s="8">
        <f>IF(Q1810&lt;&gt;0,Q1810+H1810+L1810,0)</f>
        <v/>
      </c>
      <c r="S1810" s="9">
        <f>VLOOKUP(OPERAC[[#This Row],[especie]],[1]!ESPECIES[#Data],9,FALSE)</f>
        <v/>
      </c>
    </row>
    <row r="1811">
      <c r="A1811" s="4" t="n">
        <v>13190</v>
      </c>
      <c r="B1811" s="5" t="n">
        <v>44553</v>
      </c>
      <c r="C1811" s="13" t="inlineStr">
        <is>
          <t>VTA</t>
        </is>
      </c>
      <c r="D1811" s="13" t="n">
        <v>40</v>
      </c>
      <c r="E1811" s="10">
        <f>IF(D1811&gt;0,VLOOKUP(OPERAC[[#This Row],[COD CART]],[1]!MatrizCortoLargoCyl[#All],3,0),"")</f>
        <v/>
      </c>
      <c r="F1811" s="13" t="inlineStr">
        <is>
          <t>ON</t>
        </is>
      </c>
      <c r="G1811" s="6" t="n">
        <v>4</v>
      </c>
      <c r="H1811" s="6" t="n">
        <v>-268.4544319999999</v>
      </c>
      <c r="I1811" s="7">
        <f>-H1811/G1811</f>
        <v/>
      </c>
      <c r="J1811" s="11" t="n">
        <v>44606</v>
      </c>
      <c r="K1811" s="6">
        <f>+OPERAC[[#This Row],[cantidad]]</f>
        <v/>
      </c>
      <c r="L1811" s="6">
        <f>+OPERAC[[#This Row],[cantidad venta]]*58.449</f>
        <v/>
      </c>
      <c r="M1811" s="7">
        <f>IF(N1811=0,+L1811+H1811,0)</f>
        <v/>
      </c>
      <c r="N1811" s="7">
        <f>IF((+G1811-K1811)=0,0,+G1811-K1811)</f>
        <v/>
      </c>
      <c r="O1811" s="7">
        <f>IF(N1811=0,0,(L1811+H1811)/-N1811)</f>
        <v/>
      </c>
      <c r="P1811" s="7">
        <f>VLOOKUP(OPERAC[[#This Row],[especie]],[1]!ESPECIES[#All],6,0)</f>
        <v/>
      </c>
      <c r="Q1811" s="7">
        <f>IF(N1811&lt;&gt;0,P1811*N1811,0)</f>
        <v/>
      </c>
      <c r="R1811" s="8">
        <f>IF(Q1811&lt;&gt;0,Q1811+H1811+L1811,0)</f>
        <v/>
      </c>
      <c r="S1811" s="9">
        <f>VLOOKUP(OPERAC[[#This Row],[especie]],[1]!ESPECIES[#Data],9,FALSE)</f>
        <v/>
      </c>
    </row>
    <row r="1812">
      <c r="A1812" s="4" t="n">
        <v>13269</v>
      </c>
      <c r="B1812" s="5" t="n">
        <v>44553</v>
      </c>
      <c r="C1812" s="13" t="inlineStr">
        <is>
          <t>VTA</t>
        </is>
      </c>
      <c r="D1812" s="13" t="n">
        <v>40</v>
      </c>
      <c r="E1812" s="10">
        <f>IF(D1812&gt;0,VLOOKUP(OPERAC[[#This Row],[COD CART]],[1]!MatrizCortoLargoCyl[#All],3,0),"")</f>
        <v/>
      </c>
      <c r="F1812" s="13" t="inlineStr">
        <is>
          <t>ON</t>
        </is>
      </c>
      <c r="G1812" s="6" t="n">
        <v>4</v>
      </c>
      <c r="H1812" s="6" t="n">
        <v>-268.4544319999999</v>
      </c>
      <c r="I1812" s="7">
        <f>-H1812/G1812</f>
        <v/>
      </c>
      <c r="J1812" s="11" t="n">
        <v>44606</v>
      </c>
      <c r="K1812" s="6">
        <f>+OPERAC[[#This Row],[cantidad]]</f>
        <v/>
      </c>
      <c r="L1812" s="6">
        <f>+OPERAC[[#This Row],[cantidad venta]]*58.449</f>
        <v/>
      </c>
      <c r="M1812" s="7">
        <f>IF(N1812=0,+L1812+H1812,0)</f>
        <v/>
      </c>
      <c r="N1812" s="7">
        <f>IF((+G1812-K1812)=0,0,+G1812-K1812)</f>
        <v/>
      </c>
      <c r="O1812" s="7">
        <f>IF(N1812=0,0,(L1812+H1812)/-N1812)</f>
        <v/>
      </c>
      <c r="P1812" s="7">
        <f>VLOOKUP(OPERAC[[#This Row],[especie]],[1]!ESPECIES[#All],6,0)</f>
        <v/>
      </c>
      <c r="Q1812" s="7">
        <f>IF(N1812&lt;&gt;0,P1812*N1812,0)</f>
        <v/>
      </c>
      <c r="R1812" s="8">
        <f>IF(Q1812&lt;&gt;0,Q1812+H1812+L1812,0)</f>
        <v/>
      </c>
      <c r="S1812" s="9">
        <f>VLOOKUP(OPERAC[[#This Row],[especie]],[1]!ESPECIES[#Data],9,FALSE)</f>
        <v/>
      </c>
    </row>
    <row r="1813">
      <c r="A1813" s="4" t="n">
        <v>16786</v>
      </c>
      <c r="B1813" s="5" t="n">
        <v>44553</v>
      </c>
      <c r="C1813" s="13" t="inlineStr">
        <is>
          <t>VTA</t>
        </is>
      </c>
      <c r="D1813" s="13" t="n">
        <v>40</v>
      </c>
      <c r="E1813" s="10">
        <f>IF(D1813&gt;0,VLOOKUP(OPERAC[[#This Row],[COD CART]],[1]!MatrizCortoLargoCyl[#All],3,0),"")</f>
        <v/>
      </c>
      <c r="F1813" s="13" t="inlineStr">
        <is>
          <t>ON</t>
        </is>
      </c>
      <c r="G1813" s="6" t="n">
        <v>4</v>
      </c>
      <c r="H1813" s="6" t="n">
        <v>-268.4544319999999</v>
      </c>
      <c r="I1813" s="7">
        <f>-H1813/G1813</f>
        <v/>
      </c>
      <c r="J1813" s="11" t="n">
        <v>44606</v>
      </c>
      <c r="K1813" s="6">
        <f>+OPERAC[[#This Row],[cantidad]]</f>
        <v/>
      </c>
      <c r="L1813" s="6">
        <f>+OPERAC[[#This Row],[cantidad venta]]*58.449</f>
        <v/>
      </c>
      <c r="M1813" s="7">
        <f>IF(N1813=0,+L1813+H1813,0)</f>
        <v/>
      </c>
      <c r="N1813" s="7">
        <f>IF((+G1813-K1813)=0,0,+G1813-K1813)</f>
        <v/>
      </c>
      <c r="O1813" s="7">
        <f>IF(N1813=0,0,(L1813+H1813)/-N1813)</f>
        <v/>
      </c>
      <c r="P1813" s="7">
        <f>VLOOKUP(OPERAC[[#This Row],[especie]],[1]!ESPECIES[#All],6,0)</f>
        <v/>
      </c>
      <c r="Q1813" s="7">
        <f>IF(N1813&lt;&gt;0,P1813*N1813,0)</f>
        <v/>
      </c>
      <c r="R1813" s="8">
        <f>IF(Q1813&lt;&gt;0,Q1813+H1813+L1813,0)</f>
        <v/>
      </c>
      <c r="S1813" s="9">
        <f>VLOOKUP(OPERAC[[#This Row],[especie]],[1]!ESPECIES[#Data],9,FALSE)</f>
        <v/>
      </c>
    </row>
    <row r="1814">
      <c r="A1814" s="4" t="n">
        <v>16795</v>
      </c>
      <c r="B1814" s="5" t="n">
        <v>44553</v>
      </c>
      <c r="C1814" s="13" t="inlineStr">
        <is>
          <t>VTA</t>
        </is>
      </c>
      <c r="D1814" s="13" t="n">
        <v>40</v>
      </c>
      <c r="E1814" s="10">
        <f>IF(D1814&gt;0,VLOOKUP(OPERAC[[#This Row],[COD CART]],[1]!MatrizCortoLargoCyl[#All],3,0),"")</f>
        <v/>
      </c>
      <c r="F1814" s="13" t="inlineStr">
        <is>
          <t>ON</t>
        </is>
      </c>
      <c r="G1814" s="6" t="n">
        <v>4</v>
      </c>
      <c r="H1814" s="6" t="n">
        <v>-268.4544319999999</v>
      </c>
      <c r="I1814" s="7">
        <f>-H1814/G1814</f>
        <v/>
      </c>
      <c r="J1814" s="11" t="n">
        <v>44606</v>
      </c>
      <c r="K1814" s="6">
        <f>+OPERAC[[#This Row],[cantidad]]</f>
        <v/>
      </c>
      <c r="L1814" s="6">
        <f>+OPERAC[[#This Row],[cantidad venta]]*58.449</f>
        <v/>
      </c>
      <c r="M1814" s="7">
        <f>IF(N1814=0,+L1814+H1814,0)</f>
        <v/>
      </c>
      <c r="N1814" s="7">
        <f>IF((+G1814-K1814)=0,0,+G1814-K1814)</f>
        <v/>
      </c>
      <c r="O1814" s="7">
        <f>IF(N1814=0,0,(L1814+H1814)/-N1814)</f>
        <v/>
      </c>
      <c r="P1814" s="7">
        <f>VLOOKUP(OPERAC[[#This Row],[especie]],[1]!ESPECIES[#All],6,0)</f>
        <v/>
      </c>
      <c r="Q1814" s="7">
        <f>IF(N1814&lt;&gt;0,P1814*N1814,0)</f>
        <v/>
      </c>
      <c r="R1814" s="8">
        <f>IF(Q1814&lt;&gt;0,Q1814+H1814+L1814,0)</f>
        <v/>
      </c>
      <c r="S1814" s="9">
        <f>VLOOKUP(OPERAC[[#This Row],[especie]],[1]!ESPECIES[#Data],9,FALSE)</f>
        <v/>
      </c>
    </row>
    <row r="1815">
      <c r="A1815" s="4" t="n">
        <v>18677</v>
      </c>
      <c r="B1815" s="5" t="n">
        <v>44553</v>
      </c>
      <c r="C1815" s="13" t="inlineStr">
        <is>
          <t>VTA</t>
        </is>
      </c>
      <c r="D1815" s="13" t="n">
        <v>40</v>
      </c>
      <c r="E1815" s="10">
        <f>IF(D1815&gt;0,VLOOKUP(OPERAC[[#This Row],[COD CART]],[1]!MatrizCortoLargoCyl[#All],3,0),"")</f>
        <v/>
      </c>
      <c r="F1815" s="13" t="inlineStr">
        <is>
          <t>ON</t>
        </is>
      </c>
      <c r="G1815" s="6" t="n">
        <v>4</v>
      </c>
      <c r="H1815" s="6" t="n">
        <v>-268.4544319999999</v>
      </c>
      <c r="I1815" s="7">
        <f>-H1815/G1815</f>
        <v/>
      </c>
      <c r="J1815" s="11" t="n">
        <v>44606</v>
      </c>
      <c r="K1815" s="6">
        <f>+OPERAC[[#This Row],[cantidad]]</f>
        <v/>
      </c>
      <c r="L1815" s="6">
        <f>+OPERAC[[#This Row],[cantidad venta]]*58.449</f>
        <v/>
      </c>
      <c r="M1815" s="7">
        <f>IF(N1815=0,+L1815+H1815,0)</f>
        <v/>
      </c>
      <c r="N1815" s="7">
        <f>IF((+G1815-K1815)=0,0,+G1815-K1815)</f>
        <v/>
      </c>
      <c r="O1815" s="7">
        <f>IF(N1815=0,0,(L1815+H1815)/-N1815)</f>
        <v/>
      </c>
      <c r="P1815" s="7">
        <f>VLOOKUP(OPERAC[[#This Row],[especie]],[1]!ESPECIES[#All],6,0)</f>
        <v/>
      </c>
      <c r="Q1815" s="7">
        <f>IF(N1815&lt;&gt;0,P1815*N1815,0)</f>
        <v/>
      </c>
      <c r="R1815" s="8">
        <f>IF(Q1815&lt;&gt;0,Q1815+H1815+L1815,0)</f>
        <v/>
      </c>
      <c r="S1815" s="9">
        <f>VLOOKUP(OPERAC[[#This Row],[especie]],[1]!ESPECIES[#Data],9,FALSE)</f>
        <v/>
      </c>
    </row>
    <row r="1816">
      <c r="A1816" s="4" t="n">
        <v>20234</v>
      </c>
      <c r="B1816" s="5" t="n">
        <v>44553</v>
      </c>
      <c r="C1816" s="13" t="inlineStr">
        <is>
          <t>VTA</t>
        </is>
      </c>
      <c r="D1816" s="13" t="n">
        <v>40</v>
      </c>
      <c r="E1816" s="10">
        <f>IF(D1816&gt;0,VLOOKUP(OPERAC[[#This Row],[COD CART]],[1]!MatrizCortoLargoCyl[#All],3,0),"")</f>
        <v/>
      </c>
      <c r="F1816" s="13" t="inlineStr">
        <is>
          <t>ON</t>
        </is>
      </c>
      <c r="G1816" s="6" t="n">
        <v>4</v>
      </c>
      <c r="H1816" s="6" t="n">
        <v>-268.4544319999999</v>
      </c>
      <c r="I1816" s="7">
        <f>-H1816/G1816</f>
        <v/>
      </c>
      <c r="J1816" s="11" t="n">
        <v>44606</v>
      </c>
      <c r="K1816" s="6">
        <f>+OPERAC[[#This Row],[cantidad]]</f>
        <v/>
      </c>
      <c r="L1816" s="6">
        <f>+OPERAC[[#This Row],[cantidad venta]]*58.449</f>
        <v/>
      </c>
      <c r="M1816" s="7">
        <f>IF(N1816=0,+L1816+H1816,0)</f>
        <v/>
      </c>
      <c r="N1816" s="7">
        <f>IF((+G1816-K1816)=0,0,+G1816-K1816)</f>
        <v/>
      </c>
      <c r="O1816" s="7">
        <f>IF(N1816=0,0,(L1816+H1816)/-N1816)</f>
        <v/>
      </c>
      <c r="P1816" s="7">
        <f>VLOOKUP(OPERAC[[#This Row],[especie]],[1]!ESPECIES[#All],6,0)</f>
        <v/>
      </c>
      <c r="Q1816" s="7">
        <f>IF(N1816&lt;&gt;0,P1816*N1816,0)</f>
        <v/>
      </c>
      <c r="R1816" s="8">
        <f>IF(Q1816&lt;&gt;0,Q1816+H1816+L1816,0)</f>
        <v/>
      </c>
      <c r="S1816" s="9">
        <f>VLOOKUP(OPERAC[[#This Row],[especie]],[1]!ESPECIES[#Data],9,FALSE)</f>
        <v/>
      </c>
    </row>
    <row r="1817">
      <c r="A1817" s="4" t="n">
        <v>20312</v>
      </c>
      <c r="B1817" s="5" t="n">
        <v>44553</v>
      </c>
      <c r="C1817" s="13" t="inlineStr">
        <is>
          <t>VTA</t>
        </is>
      </c>
      <c r="D1817" s="13" t="n">
        <v>40</v>
      </c>
      <c r="E1817" s="10">
        <f>IF(D1817&gt;0,VLOOKUP(OPERAC[[#This Row],[COD CART]],[1]!MatrizCortoLargoCyl[#All],3,0),"")</f>
        <v/>
      </c>
      <c r="F1817" s="13" t="inlineStr">
        <is>
          <t>ON</t>
        </is>
      </c>
      <c r="G1817" s="6" t="n">
        <v>4</v>
      </c>
      <c r="H1817" s="6" t="n">
        <v>-268.4544319999999</v>
      </c>
      <c r="I1817" s="7">
        <f>-H1817/G1817</f>
        <v/>
      </c>
      <c r="J1817" s="11" t="n">
        <v>44606</v>
      </c>
      <c r="K1817" s="6">
        <f>+OPERAC[[#This Row],[cantidad]]</f>
        <v/>
      </c>
      <c r="L1817" s="6">
        <f>+OPERAC[[#This Row],[cantidad venta]]*58.449</f>
        <v/>
      </c>
      <c r="M1817" s="7">
        <f>IF(N1817=0,+L1817+H1817,0)</f>
        <v/>
      </c>
      <c r="N1817" s="7">
        <f>IF((+G1817-K1817)=0,0,+G1817-K1817)</f>
        <v/>
      </c>
      <c r="O1817" s="7">
        <f>IF(N1817=0,0,(L1817+H1817)/-N1817)</f>
        <v/>
      </c>
      <c r="P1817" s="7">
        <f>VLOOKUP(OPERAC[[#This Row],[especie]],[1]!ESPECIES[#All],6,0)</f>
        <v/>
      </c>
      <c r="Q1817" s="7">
        <f>IF(N1817&lt;&gt;0,P1817*N1817,0)</f>
        <v/>
      </c>
      <c r="R1817" s="8">
        <f>IF(Q1817&lt;&gt;0,Q1817+H1817+L1817,0)</f>
        <v/>
      </c>
      <c r="S1817" s="9">
        <f>VLOOKUP(OPERAC[[#This Row],[especie]],[1]!ESPECIES[#Data],9,FALSE)</f>
        <v/>
      </c>
    </row>
    <row r="1818">
      <c r="A1818" s="4" t="n">
        <v>20317</v>
      </c>
      <c r="B1818" s="5" t="n">
        <v>44553</v>
      </c>
      <c r="C1818" s="13" t="inlineStr">
        <is>
          <t>VTA</t>
        </is>
      </c>
      <c r="D1818" s="13" t="n">
        <v>40</v>
      </c>
      <c r="E1818" s="10">
        <f>IF(D1818&gt;0,VLOOKUP(OPERAC[[#This Row],[COD CART]],[1]!MatrizCortoLargoCyl[#All],3,0),"")</f>
        <v/>
      </c>
      <c r="F1818" s="13" t="inlineStr">
        <is>
          <t>ON</t>
        </is>
      </c>
      <c r="G1818" s="6" t="n">
        <v>4</v>
      </c>
      <c r="H1818" s="6" t="n">
        <v>-268.4544319999999</v>
      </c>
      <c r="I1818" s="7">
        <f>-H1818/G1818</f>
        <v/>
      </c>
      <c r="J1818" s="11" t="n">
        <v>44606</v>
      </c>
      <c r="K1818" s="6">
        <f>+OPERAC[[#This Row],[cantidad]]</f>
        <v/>
      </c>
      <c r="L1818" s="6">
        <f>+OPERAC[[#This Row],[cantidad venta]]*58.449</f>
        <v/>
      </c>
      <c r="M1818" s="7">
        <f>IF(N1818=0,+L1818+H1818,0)</f>
        <v/>
      </c>
      <c r="N1818" s="7">
        <f>IF((+G1818-K1818)=0,0,+G1818-K1818)</f>
        <v/>
      </c>
      <c r="O1818" s="7">
        <f>IF(N1818=0,0,(L1818+H1818)/-N1818)</f>
        <v/>
      </c>
      <c r="P1818" s="7">
        <f>VLOOKUP(OPERAC[[#This Row],[especie]],[1]!ESPECIES[#All],6,0)</f>
        <v/>
      </c>
      <c r="Q1818" s="7">
        <f>IF(N1818&lt;&gt;0,P1818*N1818,0)</f>
        <v/>
      </c>
      <c r="R1818" s="8">
        <f>IF(Q1818&lt;&gt;0,Q1818+H1818+L1818,0)</f>
        <v/>
      </c>
      <c r="S1818" s="9">
        <f>VLOOKUP(OPERAC[[#This Row],[especie]],[1]!ESPECIES[#Data],9,FALSE)</f>
        <v/>
      </c>
    </row>
    <row r="1819">
      <c r="A1819" s="4" t="n">
        <v>21070</v>
      </c>
      <c r="B1819" s="5" t="n">
        <v>44553</v>
      </c>
      <c r="C1819" s="13" t="inlineStr">
        <is>
          <t>VTA</t>
        </is>
      </c>
      <c r="D1819" s="13" t="n">
        <v>40</v>
      </c>
      <c r="E1819" s="10">
        <f>IF(D1819&gt;0,VLOOKUP(OPERAC[[#This Row],[COD CART]],[1]!MatrizCortoLargoCyl[#All],3,0),"")</f>
        <v/>
      </c>
      <c r="F1819" s="13" t="inlineStr">
        <is>
          <t>ON</t>
        </is>
      </c>
      <c r="G1819" s="6" t="n">
        <v>4</v>
      </c>
      <c r="H1819" s="6" t="n">
        <v>-268.4544319999999</v>
      </c>
      <c r="I1819" s="7">
        <f>-H1819/G1819</f>
        <v/>
      </c>
      <c r="J1819" s="11" t="n">
        <v>44606</v>
      </c>
      <c r="K1819" s="6">
        <f>+OPERAC[[#This Row],[cantidad]]</f>
        <v/>
      </c>
      <c r="L1819" s="6">
        <f>+OPERAC[[#This Row],[cantidad venta]]*58.449</f>
        <v/>
      </c>
      <c r="M1819" s="7">
        <f>IF(N1819=0,+L1819+H1819,0)</f>
        <v/>
      </c>
      <c r="N1819" s="7">
        <f>IF((+G1819-K1819)=0,0,+G1819-K1819)</f>
        <v/>
      </c>
      <c r="O1819" s="7">
        <f>IF(N1819=0,0,(L1819+H1819)/-N1819)</f>
        <v/>
      </c>
      <c r="P1819" s="7">
        <f>VLOOKUP(OPERAC[[#This Row],[especie]],[1]!ESPECIES[#All],6,0)</f>
        <v/>
      </c>
      <c r="Q1819" s="7">
        <f>IF(N1819&lt;&gt;0,P1819*N1819,0)</f>
        <v/>
      </c>
      <c r="R1819" s="8">
        <f>IF(Q1819&lt;&gt;0,Q1819+H1819+L1819,0)</f>
        <v/>
      </c>
      <c r="S1819" s="9">
        <f>VLOOKUP(OPERAC[[#This Row],[especie]],[1]!ESPECIES[#Data],9,FALSE)</f>
        <v/>
      </c>
    </row>
    <row r="1820">
      <c r="A1820" s="4" t="n">
        <v>25070</v>
      </c>
      <c r="B1820" s="5" t="n">
        <v>44553</v>
      </c>
      <c r="C1820" s="13" t="inlineStr">
        <is>
          <t>VTA</t>
        </is>
      </c>
      <c r="D1820" s="13" t="n">
        <v>40</v>
      </c>
      <c r="E1820" s="10">
        <f>IF(D1820&gt;0,VLOOKUP(OPERAC[[#This Row],[COD CART]],[1]!MatrizCortoLargoCyl[#All],3,0),"")</f>
        <v/>
      </c>
      <c r="F1820" s="13" t="inlineStr">
        <is>
          <t>ON</t>
        </is>
      </c>
      <c r="G1820" s="6" t="n">
        <v>4</v>
      </c>
      <c r="H1820" s="6" t="n">
        <v>-268.4544319999999</v>
      </c>
      <c r="I1820" s="7">
        <f>-H1820/G1820</f>
        <v/>
      </c>
      <c r="J1820" s="11" t="n">
        <v>44606</v>
      </c>
      <c r="K1820" s="6">
        <f>+OPERAC[[#This Row],[cantidad]]</f>
        <v/>
      </c>
      <c r="L1820" s="6">
        <f>+OPERAC[[#This Row],[cantidad venta]]*58.449</f>
        <v/>
      </c>
      <c r="M1820" s="7">
        <f>IF(N1820=0,+L1820+H1820,0)</f>
        <v/>
      </c>
      <c r="N1820" s="7">
        <f>IF((+G1820-K1820)=0,0,+G1820-K1820)</f>
        <v/>
      </c>
      <c r="O1820" s="7">
        <f>IF(N1820=0,0,(L1820+H1820)/-N1820)</f>
        <v/>
      </c>
      <c r="P1820" s="7">
        <f>VLOOKUP(OPERAC[[#This Row],[especie]],[1]!ESPECIES[#All],6,0)</f>
        <v/>
      </c>
      <c r="Q1820" s="7">
        <f>IF(N1820&lt;&gt;0,P1820*N1820,0)</f>
        <v/>
      </c>
      <c r="R1820" s="8">
        <f>IF(Q1820&lt;&gt;0,Q1820+H1820+L1820,0)</f>
        <v/>
      </c>
      <c r="S1820" s="9">
        <f>VLOOKUP(OPERAC[[#This Row],[especie]],[1]!ESPECIES[#Data],9,FALSE)</f>
        <v/>
      </c>
    </row>
    <row r="1821">
      <c r="A1821" s="4" t="n">
        <v>11168</v>
      </c>
      <c r="B1821" s="5" t="n">
        <v>44641</v>
      </c>
      <c r="C1821" s="13" t="inlineStr">
        <is>
          <t>VTA</t>
        </is>
      </c>
      <c r="D1821" s="13" t="n">
        <v>42</v>
      </c>
      <c r="E1821" s="10">
        <f>IF(D1821&gt;0,VLOOKUP(OPERAC[[#This Row],[COD CART]],[1]!MatrizCortoLargoCyl[#All],3,0),"")</f>
        <v/>
      </c>
      <c r="F1821" s="13" t="inlineStr">
        <is>
          <t>SMH</t>
        </is>
      </c>
      <c r="G1821" s="6" t="n">
        <v>1</v>
      </c>
      <c r="H1821" s="6" t="n">
        <v>-268.9576500000001</v>
      </c>
      <c r="I1821" s="7">
        <f>-H1821/G1821</f>
        <v/>
      </c>
      <c r="J1821" s="11" t="n">
        <v>44663</v>
      </c>
      <c r="K1821" s="6">
        <f>+OPERAC[[#This Row],[cantidad]]</f>
        <v/>
      </c>
      <c r="L1821" s="6">
        <f>+OPERAC[[#This Row],[cantidad venta]]*238.066</f>
        <v/>
      </c>
      <c r="M1821" s="7">
        <f>IF(N1821=0,+L1821+H1821,0)</f>
        <v/>
      </c>
      <c r="N1821" s="7">
        <f>IF((+G1821-K1821)=0,0,+G1821-K1821)</f>
        <v/>
      </c>
      <c r="O1821" s="7">
        <f>IF(N1821=0,0,(L1821+H1821)/-N1821)</f>
        <v/>
      </c>
      <c r="P1821" s="7">
        <f>VLOOKUP(OPERAC[[#This Row],[especie]],[1]!ESPECIES[#All],6,0)</f>
        <v/>
      </c>
      <c r="Q1821" s="7">
        <f>IF(N1821&lt;&gt;0,P1821*N1821,0)</f>
        <v/>
      </c>
      <c r="R1821" s="8">
        <f>IF(Q1821&lt;&gt;0,Q1821+H1821+L1821,0)</f>
        <v/>
      </c>
      <c r="S1821" s="9">
        <f>VLOOKUP(OPERAC[[#This Row],[especie]],[1]!ESPECIES[#Data],9,FALSE)</f>
        <v/>
      </c>
    </row>
    <row r="1822">
      <c r="A1822" s="4" t="n">
        <v>17042</v>
      </c>
      <c r="B1822" s="5" t="n">
        <v>44641</v>
      </c>
      <c r="C1822" s="13" t="inlineStr">
        <is>
          <t>VTA</t>
        </is>
      </c>
      <c r="D1822" s="13" t="n">
        <v>42</v>
      </c>
      <c r="E1822" s="10">
        <f>IF(D1822&gt;0,VLOOKUP(OPERAC[[#This Row],[COD CART]],[1]!MatrizCortoLargoCyl[#All],3,0),"")</f>
        <v/>
      </c>
      <c r="F1822" s="13" t="inlineStr">
        <is>
          <t>SMH</t>
        </is>
      </c>
      <c r="G1822" s="6" t="n">
        <v>1</v>
      </c>
      <c r="H1822" s="6" t="n">
        <v>-268.9576500000001</v>
      </c>
      <c r="I1822" s="7">
        <f>-H1822/G1822</f>
        <v/>
      </c>
      <c r="J1822" s="11" t="n">
        <v>44663</v>
      </c>
      <c r="K1822" s="6">
        <f>+OPERAC[[#This Row],[cantidad]]</f>
        <v/>
      </c>
      <c r="L1822" s="6">
        <f>+OPERAC[[#This Row],[cantidad venta]]*238.066</f>
        <v/>
      </c>
      <c r="M1822" s="7">
        <f>IF(N1822=0,+L1822+H1822,0)</f>
        <v/>
      </c>
      <c r="N1822" s="7">
        <f>IF((+G1822-K1822)=0,0,+G1822-K1822)</f>
        <v/>
      </c>
      <c r="O1822" s="7">
        <f>IF(N1822=0,0,(L1822+H1822)/-N1822)</f>
        <v/>
      </c>
      <c r="P1822" s="7">
        <f>VLOOKUP(OPERAC[[#This Row],[especie]],[1]!ESPECIES[#All],6,0)</f>
        <v/>
      </c>
      <c r="Q1822" s="7">
        <f>IF(N1822&lt;&gt;0,P1822*N1822,0)</f>
        <v/>
      </c>
      <c r="R1822" s="8">
        <f>IF(Q1822&lt;&gt;0,Q1822+H1822+L1822,0)</f>
        <v/>
      </c>
      <c r="S1822" s="9">
        <f>VLOOKUP(OPERAC[[#This Row],[especie]],[1]!ESPECIES[#Data],9,FALSE)</f>
        <v/>
      </c>
    </row>
    <row r="1823">
      <c r="A1823" s="4" t="n">
        <v>18713</v>
      </c>
      <c r="B1823" s="5" t="n">
        <v>44641</v>
      </c>
      <c r="C1823" s="13" t="inlineStr">
        <is>
          <t>VTA</t>
        </is>
      </c>
      <c r="D1823" s="13" t="n">
        <v>42</v>
      </c>
      <c r="E1823" s="10">
        <f>IF(D1823&gt;0,VLOOKUP(OPERAC[[#This Row],[COD CART]],[1]!MatrizCortoLargoCyl[#All],3,0),"")</f>
        <v/>
      </c>
      <c r="F1823" s="13" t="inlineStr">
        <is>
          <t>SMH</t>
        </is>
      </c>
      <c r="G1823" s="6" t="n">
        <v>1</v>
      </c>
      <c r="H1823" s="6" t="n">
        <v>-268.9576500000001</v>
      </c>
      <c r="I1823" s="7">
        <f>-H1823/G1823</f>
        <v/>
      </c>
      <c r="J1823" s="11" t="n">
        <v>44663</v>
      </c>
      <c r="K1823" s="6">
        <f>+OPERAC[[#This Row],[cantidad]]</f>
        <v/>
      </c>
      <c r="L1823" s="6">
        <f>+OPERAC[[#This Row],[cantidad venta]]*238.066</f>
        <v/>
      </c>
      <c r="M1823" s="7">
        <f>IF(N1823=0,+L1823+H1823,0)</f>
        <v/>
      </c>
      <c r="N1823" s="7">
        <f>IF((+G1823-K1823)=0,0,+G1823-K1823)</f>
        <v/>
      </c>
      <c r="O1823" s="7">
        <f>IF(N1823=0,0,(L1823+H1823)/-N1823)</f>
        <v/>
      </c>
      <c r="P1823" s="7">
        <f>VLOOKUP(OPERAC[[#This Row],[especie]],[1]!ESPECIES[#All],6,0)</f>
        <v/>
      </c>
      <c r="Q1823" s="7">
        <f>IF(N1823&lt;&gt;0,P1823*N1823,0)</f>
        <v/>
      </c>
      <c r="R1823" s="8">
        <f>IF(Q1823&lt;&gt;0,Q1823+H1823+L1823,0)</f>
        <v/>
      </c>
      <c r="S1823" s="9">
        <f>VLOOKUP(OPERAC[[#This Row],[especie]],[1]!ESPECIES[#Data],9,FALSE)</f>
        <v/>
      </c>
    </row>
    <row r="1824">
      <c r="A1824" s="4" t="n">
        <v>19897</v>
      </c>
      <c r="B1824" s="5" t="n">
        <v>44641</v>
      </c>
      <c r="C1824" s="13" t="inlineStr">
        <is>
          <t>VTA</t>
        </is>
      </c>
      <c r="D1824" s="13" t="n">
        <v>42</v>
      </c>
      <c r="E1824" s="10">
        <f>IF(D1824&gt;0,VLOOKUP(OPERAC[[#This Row],[COD CART]],[1]!MatrizCortoLargoCyl[#All],3,0),"")</f>
        <v/>
      </c>
      <c r="F1824" s="13" t="inlineStr">
        <is>
          <t>SMH</t>
        </is>
      </c>
      <c r="G1824" s="6" t="n">
        <v>1</v>
      </c>
      <c r="H1824" s="6" t="n">
        <v>-268.9576500000001</v>
      </c>
      <c r="I1824" s="7">
        <f>-H1824/G1824</f>
        <v/>
      </c>
      <c r="J1824" s="11" t="n">
        <v>44663</v>
      </c>
      <c r="K1824" s="6">
        <f>+OPERAC[[#This Row],[cantidad]]</f>
        <v/>
      </c>
      <c r="L1824" s="6">
        <f>+OPERAC[[#This Row],[cantidad venta]]*238.066</f>
        <v/>
      </c>
      <c r="M1824" s="7">
        <f>IF(N1824=0,+L1824+H1824,0)</f>
        <v/>
      </c>
      <c r="N1824" s="7">
        <f>IF((+G1824-K1824)=0,0,+G1824-K1824)</f>
        <v/>
      </c>
      <c r="O1824" s="7">
        <f>IF(N1824=0,0,(L1824+H1824)/-N1824)</f>
        <v/>
      </c>
      <c r="P1824" s="7">
        <f>VLOOKUP(OPERAC[[#This Row],[especie]],[1]!ESPECIES[#All],6,0)</f>
        <v/>
      </c>
      <c r="Q1824" s="7">
        <f>IF(N1824&lt;&gt;0,P1824*N1824,0)</f>
        <v/>
      </c>
      <c r="R1824" s="8">
        <f>IF(Q1824&lt;&gt;0,Q1824+H1824+L1824,0)</f>
        <v/>
      </c>
      <c r="S1824" s="9">
        <f>VLOOKUP(OPERAC[[#This Row],[especie]],[1]!ESPECIES[#Data],9,FALSE)</f>
        <v/>
      </c>
    </row>
    <row r="1825">
      <c r="A1825" s="4" t="n">
        <v>22439</v>
      </c>
      <c r="B1825" s="5" t="n">
        <v>44641</v>
      </c>
      <c r="C1825" s="13" t="inlineStr">
        <is>
          <t>VTA</t>
        </is>
      </c>
      <c r="D1825" s="13" t="n">
        <v>42</v>
      </c>
      <c r="E1825" s="10">
        <f>IF(D1825&gt;0,VLOOKUP(OPERAC[[#This Row],[COD CART]],[1]!MatrizCortoLargoCyl[#All],3,0),"")</f>
        <v/>
      </c>
      <c r="F1825" s="13" t="inlineStr">
        <is>
          <t>SMH</t>
        </is>
      </c>
      <c r="G1825" s="6" t="n">
        <v>1</v>
      </c>
      <c r="H1825" s="6" t="n">
        <v>-268.9576500000001</v>
      </c>
      <c r="I1825" s="7">
        <f>-H1825/G1825</f>
        <v/>
      </c>
      <c r="J1825" s="11" t="n">
        <v>44663</v>
      </c>
      <c r="K1825" s="6">
        <f>+OPERAC[[#This Row],[cantidad]]</f>
        <v/>
      </c>
      <c r="L1825" s="6">
        <f>+OPERAC[[#This Row],[cantidad venta]]*238.066</f>
        <v/>
      </c>
      <c r="M1825" s="7">
        <f>IF(N1825=0,+L1825+H1825,0)</f>
        <v/>
      </c>
      <c r="N1825" s="7">
        <f>IF((+G1825-K1825)=0,0,+G1825-K1825)</f>
        <v/>
      </c>
      <c r="O1825" s="7">
        <f>IF(N1825=0,0,(L1825+H1825)/-N1825)</f>
        <v/>
      </c>
      <c r="P1825" s="7">
        <f>VLOOKUP(OPERAC[[#This Row],[especie]],[1]!ESPECIES[#All],6,0)</f>
        <v/>
      </c>
      <c r="Q1825" s="7">
        <f>IF(N1825&lt;&gt;0,P1825*N1825,0)</f>
        <v/>
      </c>
      <c r="R1825" s="8">
        <f>IF(Q1825&lt;&gt;0,Q1825+H1825+L1825,0)</f>
        <v/>
      </c>
      <c r="S1825" s="9">
        <f>VLOOKUP(OPERAC[[#This Row],[especie]],[1]!ESPECIES[#Data],9,FALSE)</f>
        <v/>
      </c>
    </row>
    <row r="1826">
      <c r="A1826" s="4" t="n">
        <v>5212</v>
      </c>
      <c r="B1826" s="5" t="n">
        <v>44459</v>
      </c>
      <c r="C1826" s="13" t="inlineStr">
        <is>
          <t>VTA</t>
        </is>
      </c>
      <c r="D1826" s="13" t="n">
        <v>40</v>
      </c>
      <c r="E1826" s="10">
        <f>IF(D1826&gt;0,VLOOKUP(OPERAC[[#This Row],[COD CART]],[1]!MatrizCortoLargoCyl[#All],3,0),"")</f>
        <v/>
      </c>
      <c r="F1826" s="13" t="inlineStr">
        <is>
          <t>EDU</t>
        </is>
      </c>
      <c r="G1826" s="6" t="n">
        <v>300</v>
      </c>
      <c r="H1826" s="6">
        <f>-281.79+0.04*OPERAC[[#This Row],[cantidad]]</f>
        <v/>
      </c>
      <c r="I1826" s="7">
        <f>-H1826/G1826</f>
        <v/>
      </c>
      <c r="J1826" s="11" t="n">
        <v>44614</v>
      </c>
      <c r="K1826" s="6">
        <f>+OPERAC[[#This Row],[cantidad]]</f>
        <v/>
      </c>
      <c r="L1826" s="6">
        <f>1.483*OPERAC[[#This Row],[cantidad venta]]</f>
        <v/>
      </c>
      <c r="M1826" s="7">
        <f>IF(N1826=0,+L1826+H1826,0)</f>
        <v/>
      </c>
      <c r="N1826" s="7">
        <f>IF((+G1826-K1826)=0,0,+G1826-K1826)</f>
        <v/>
      </c>
      <c r="O1826" s="7">
        <f>IF(N1826=0,0,(L1826+H1826)/-N1826)</f>
        <v/>
      </c>
      <c r="P1826" s="7">
        <f>VLOOKUP(OPERAC[[#This Row],[especie]],[1]!ESPECIES[#All],6,0)</f>
        <v/>
      </c>
      <c r="Q1826" s="7">
        <f>IF(N1826&lt;&gt;0,P1826*N1826,0)</f>
        <v/>
      </c>
      <c r="R1826" s="8">
        <f>IF(Q1826&lt;&gt;0,Q1826+H1826+L1826,0)</f>
        <v/>
      </c>
      <c r="S1826" s="9">
        <f>VLOOKUP(OPERAC[[#This Row],[especie]],[1]!ESPECIES[#Data],9,FALSE)</f>
        <v/>
      </c>
    </row>
    <row r="1827">
      <c r="A1827" s="4" t="n">
        <v>3820</v>
      </c>
      <c r="B1827" s="5" t="n">
        <v>44537</v>
      </c>
      <c r="C1827" s="13" t="inlineStr">
        <is>
          <t>VTA</t>
        </is>
      </c>
      <c r="D1827" s="13" t="n">
        <v>43</v>
      </c>
      <c r="E1827" s="10">
        <f>IF(D1827&gt;0,VLOOKUP(OPERAC[[#This Row],[COD CART]],[1]!MatrizCortoLargoCyl[#All],3,0),"")</f>
        <v/>
      </c>
      <c r="F1827" s="13" t="inlineStr">
        <is>
          <t>HEXO/CYL-PUT/1,00/20-01-23</t>
        </is>
      </c>
      <c r="G1827" s="6" t="n">
        <v>1500</v>
      </c>
      <c r="H1827" s="6">
        <f>-0.18*OPERAC[[#This Row],[cantidad]]</f>
        <v/>
      </c>
      <c r="I1827" s="7">
        <f>-H1827/G1827</f>
        <v/>
      </c>
      <c r="J1827" s="11" t="n">
        <v>44636</v>
      </c>
      <c r="K1827" s="6">
        <f>1000+500</f>
        <v/>
      </c>
      <c r="L1827" s="6">
        <f>-307.87+125.479-25.16</f>
        <v/>
      </c>
      <c r="M1827" s="7">
        <f>IF(N1827=0,+L1827+H1827,0)</f>
        <v/>
      </c>
      <c r="N1827" s="7">
        <f>IF((+G1827-K1827)=0,0,+G1827-K1827)</f>
        <v/>
      </c>
      <c r="O1827" s="7">
        <f>IF(N1827=0,0,(L1827+H1827)/-N1827)</f>
        <v/>
      </c>
      <c r="P1827" s="7">
        <f>VLOOKUP(OPERAC[[#This Row],[especie]],[1]!ESPECIES[#All],6,0)</f>
        <v/>
      </c>
      <c r="Q1827" s="7">
        <f>IF(N1827&lt;&gt;0,P1827*N1827,0)</f>
        <v/>
      </c>
      <c r="R1827" s="8">
        <f>IF(Q1827&lt;&gt;0,Q1827+H1827+L1827,0)</f>
        <v/>
      </c>
      <c r="S1827" s="9">
        <f>VLOOKUP(OPERAC[[#This Row],[especie]],[1]!ESPECIES[#Data],9,FALSE)</f>
        <v/>
      </c>
    </row>
    <row r="1828">
      <c r="A1828" s="4" t="n">
        <v>13268</v>
      </c>
      <c r="B1828" s="5" t="n">
        <v>44614</v>
      </c>
      <c r="C1828" s="13" t="inlineStr">
        <is>
          <t>VTA</t>
        </is>
      </c>
      <c r="D1828" s="13" t="n">
        <v>32</v>
      </c>
      <c r="E1828" s="10">
        <f>IF(D1828&gt;0,VLOOKUP(OPERAC[[#This Row],[COD CART]],[1]!MatrizCortoLargoCyl[#All],3,0),"")</f>
        <v/>
      </c>
      <c r="F1828" s="13" t="inlineStr">
        <is>
          <t>NNDM/CYL/3,00/17-06-22</t>
        </is>
      </c>
      <c r="G1828" s="6" t="n">
        <v>100</v>
      </c>
      <c r="H1828" s="6">
        <f>-2.7*OPERAC[[#This Row],[cantidad]]</f>
        <v/>
      </c>
      <c r="I1828" s="7">
        <f>-H1828/G1828</f>
        <v/>
      </c>
      <c r="J1828" s="11" t="n"/>
      <c r="K1828" s="6" t="n"/>
      <c r="L1828" s="6" t="n"/>
      <c r="M1828" s="7">
        <f>IF(N1828=0,+L1828+H1828,0)</f>
        <v/>
      </c>
      <c r="N1828" s="7">
        <f>IF((+G1828-K1828)=0,0,+G1828-K1828)</f>
        <v/>
      </c>
      <c r="O1828" s="7">
        <f>IF(N1828=0,0,(L1828+H1828)/-N1828)</f>
        <v/>
      </c>
      <c r="P1828" s="7">
        <f>VLOOKUP(OPERAC[[#This Row],[especie]],[1]!ESPECIES[#All],6,0)</f>
        <v/>
      </c>
      <c r="Q1828" s="7">
        <f>IF(N1828&lt;&gt;0,P1828*N1828,0)</f>
        <v/>
      </c>
      <c r="R1828" s="8">
        <f>IF(Q1828&lt;&gt;0,Q1828+H1828+L1828,0)</f>
        <v/>
      </c>
      <c r="S1828" s="9">
        <f>VLOOKUP(OPERAC[[#This Row],[especie]],[1]!ESPECIES[#Data],9,FALSE)</f>
        <v/>
      </c>
    </row>
    <row r="1829">
      <c r="A1829" s="12" t="n">
        <v>18663</v>
      </c>
      <c r="B1829" s="5" t="n">
        <v>44567</v>
      </c>
      <c r="C1829" s="13" t="inlineStr">
        <is>
          <t>VTA</t>
        </is>
      </c>
      <c r="D1829" s="13" t="n">
        <v>41</v>
      </c>
      <c r="E1829" s="10">
        <f>IF(D1829&gt;0,VLOOKUP(OPERAC[[#This Row],[COD CART]],[1]!MatrizCortoLargoCyl[#All],3,0),"")</f>
        <v/>
      </c>
      <c r="F1829" s="13" t="inlineStr">
        <is>
          <t>EWZ</t>
        </is>
      </c>
      <c r="G1829" s="6" t="n">
        <v>10</v>
      </c>
      <c r="H1829" s="6" t="n">
        <v>-270.77704</v>
      </c>
      <c r="I1829" s="7">
        <f>-H1829/G1829</f>
        <v/>
      </c>
      <c r="J1829" s="11" t="n">
        <v>44623</v>
      </c>
      <c r="K1829" s="6" t="n">
        <v>10</v>
      </c>
      <c r="L1829" s="6" t="n">
        <v>341.494</v>
      </c>
      <c r="M1829" s="7">
        <f>IF(N1829=0,+L1829+H1829,0)</f>
        <v/>
      </c>
      <c r="N1829" s="7">
        <f>IF((+G1829-K1829)=0,0,+G1829-K1829)</f>
        <v/>
      </c>
      <c r="O1829" s="7">
        <f>IF(N1829=0,0,(L1829+H1829)/-N1829)</f>
        <v/>
      </c>
      <c r="P1829" s="7">
        <f>VLOOKUP(OPERAC[[#This Row],[especie]],[1]!ESPECIES[#All],6,0)</f>
        <v/>
      </c>
      <c r="Q1829" s="7">
        <f>IF(N1829&lt;&gt;0,P1829*N1829,0)</f>
        <v/>
      </c>
      <c r="R1829" s="8">
        <f>IF(Q1829&lt;&gt;0,Q1829+H1829+L1829,0)</f>
        <v/>
      </c>
      <c r="S1829" s="9">
        <f>VLOOKUP(OPERAC[[#This Row],[especie]],[1]!ESPECIES[#Data],9,FALSE)</f>
        <v/>
      </c>
    </row>
    <row r="1830">
      <c r="A1830" s="4" t="n">
        <v>7493</v>
      </c>
      <c r="B1830" s="5" t="n">
        <v>44655</v>
      </c>
      <c r="C1830" s="13" t="inlineStr">
        <is>
          <t>VTA</t>
        </is>
      </c>
      <c r="D1830" s="13" t="n">
        <v>42</v>
      </c>
      <c r="E1830" s="10">
        <f>IF(D1830&gt;0,VLOOKUP(OPERAC[[#This Row],[COD CART]],[1]!MatrizCortoLargoCyl[#All],3,0),"")</f>
        <v/>
      </c>
      <c r="F1830" s="13" t="inlineStr">
        <is>
          <t>SMH</t>
        </is>
      </c>
      <c r="G1830" s="6" t="n">
        <v>1</v>
      </c>
      <c r="H1830" s="6" t="n">
        <v>-271.83544</v>
      </c>
      <c r="I1830" s="7">
        <f>-H1830/G1830</f>
        <v/>
      </c>
      <c r="J1830" s="11" t="n">
        <v>44663</v>
      </c>
      <c r="K1830" s="6">
        <f>+OPERAC[[#This Row],[cantidad]]</f>
        <v/>
      </c>
      <c r="L1830" s="6">
        <f>+OPERAC[[#This Row],[cantidad venta]]*238.066</f>
        <v/>
      </c>
      <c r="M1830" s="7">
        <f>IF(N1830=0,+L1830+H1830,0)</f>
        <v/>
      </c>
      <c r="N1830" s="7">
        <f>IF((+G1830-K1830)=0,0,+G1830-K1830)</f>
        <v/>
      </c>
      <c r="O1830" s="7">
        <f>IF(N1830=0,0,(L1830+H1830)/-N1830)</f>
        <v/>
      </c>
      <c r="P1830" s="7">
        <f>VLOOKUP(OPERAC[[#This Row],[especie]],[1]!ESPECIES[#All],6,0)</f>
        <v/>
      </c>
      <c r="Q1830" s="7">
        <f>IF(N1830&lt;&gt;0,P1830*N1830,0)</f>
        <v/>
      </c>
      <c r="R1830" s="8">
        <f>IF(Q1830&lt;&gt;0,Q1830+H1830+L1830,0)</f>
        <v/>
      </c>
      <c r="S1830" s="9">
        <f>VLOOKUP(OPERAC[[#This Row],[especie]],[1]!ESPECIES[#Data],9,FALSE)</f>
        <v/>
      </c>
    </row>
    <row r="1831">
      <c r="A1831" s="4" t="n">
        <v>2276</v>
      </c>
      <c r="B1831" s="5" t="n">
        <v>44355</v>
      </c>
      <c r="C1831" s="13" t="inlineStr">
        <is>
          <t>VTA</t>
        </is>
      </c>
      <c r="D1831" s="13" t="n">
        <v>41</v>
      </c>
      <c r="E1831" s="10">
        <f>IF(D1831&gt;0,VLOOKUP(OPERAC[[#This Row],[COD CART]],[1]!MatrizCortoLargoCyl[#All],3,0),"")</f>
        <v/>
      </c>
      <c r="F1831" s="13" t="inlineStr">
        <is>
          <t>RBLX</t>
        </is>
      </c>
      <c r="G1831" s="6" t="n">
        <v>3</v>
      </c>
      <c r="H1831" s="6" t="n">
        <v>-272.56824</v>
      </c>
      <c r="I1831" s="7">
        <f>-H1831/G1831</f>
        <v/>
      </c>
      <c r="J1831" s="11" t="n"/>
      <c r="K1831" s="6" t="n"/>
      <c r="L1831" s="6" t="n"/>
      <c r="M1831" s="7">
        <f>IF(N1831=0,+L1831+H1831,0)</f>
        <v/>
      </c>
      <c r="N1831" s="7">
        <f>IF((+G1831-K1831)=0,0,+G1831-K1831)</f>
        <v/>
      </c>
      <c r="O1831" s="7">
        <f>IF(N1831=0,0,(L1831+H1831)/-N1831)</f>
        <v/>
      </c>
      <c r="P1831" s="7">
        <f>VLOOKUP(OPERAC[[#This Row],[especie]],[1]!ESPECIES[#All],6,0)</f>
        <v/>
      </c>
      <c r="Q1831" s="7">
        <f>IF(N1831&lt;&gt;0,P1831*N1831,0)</f>
        <v/>
      </c>
      <c r="R1831" s="8">
        <f>IF(Q1831&lt;&gt;0,Q1831+H1831+L1831,0)</f>
        <v/>
      </c>
      <c r="S1831" s="9">
        <f>VLOOKUP(OPERAC[[#This Row],[especie]],[1]!ESPECIES[#Data],9,FALSE)</f>
        <v/>
      </c>
    </row>
    <row r="1832">
      <c r="A1832" s="4" t="n">
        <v>1800</v>
      </c>
      <c r="B1832" s="5" t="n">
        <v>44648</v>
      </c>
      <c r="C1832" s="13" t="inlineStr">
        <is>
          <t>VTA</t>
        </is>
      </c>
      <c r="D1832" s="13" t="n">
        <v>42</v>
      </c>
      <c r="E1832" s="10">
        <f>IF(D1832&gt;0,VLOOKUP(OPERAC[[#This Row],[COD CART]],[1]!MatrizCortoLargoCyl[#All],3,0),"")</f>
        <v/>
      </c>
      <c r="F1832" s="13" t="inlineStr">
        <is>
          <t>SMH</t>
        </is>
      </c>
      <c r="G1832" s="6" t="n">
        <v>1</v>
      </c>
      <c r="H1832" s="6" t="n">
        <v>-273.38696</v>
      </c>
      <c r="I1832" s="7">
        <f>-H1832/G1832</f>
        <v/>
      </c>
      <c r="J1832" s="11" t="n">
        <v>44663</v>
      </c>
      <c r="K1832" s="6">
        <f>+OPERAC[[#This Row],[cantidad]]</f>
        <v/>
      </c>
      <c r="L1832" s="6">
        <f>+OPERAC[[#This Row],[cantidad venta]]*238.066</f>
        <v/>
      </c>
      <c r="M1832" s="7">
        <f>IF(N1832=0,+L1832+H1832,0)</f>
        <v/>
      </c>
      <c r="N1832" s="7">
        <f>IF((+G1832-K1832)=0,0,+G1832-K1832)</f>
        <v/>
      </c>
      <c r="O1832" s="7">
        <f>IF(N1832=0,0,(L1832+H1832)/-N1832)</f>
        <v/>
      </c>
      <c r="P1832" s="7">
        <f>VLOOKUP(OPERAC[[#This Row],[especie]],[1]!ESPECIES[#All],6,0)</f>
        <v/>
      </c>
      <c r="Q1832" s="7">
        <f>IF(N1832&lt;&gt;0,P1832*N1832,0)</f>
        <v/>
      </c>
      <c r="R1832" s="8">
        <f>IF(Q1832&lt;&gt;0,Q1832+H1832+L1832,0)</f>
        <v/>
      </c>
      <c r="S1832" s="9">
        <f>VLOOKUP(OPERAC[[#This Row],[especie]],[1]!ESPECIES[#Data],9,FALSE)</f>
        <v/>
      </c>
    </row>
    <row r="1833">
      <c r="A1833" s="4" t="n">
        <v>13185</v>
      </c>
      <c r="B1833" s="5" t="n">
        <v>44648</v>
      </c>
      <c r="C1833" s="13" t="inlineStr">
        <is>
          <t>VTA</t>
        </is>
      </c>
      <c r="D1833" s="13" t="n">
        <v>42</v>
      </c>
      <c r="E1833" s="10">
        <f>IF(D1833&gt;0,VLOOKUP(OPERAC[[#This Row],[COD CART]],[1]!MatrizCortoLargoCyl[#All],3,0),"")</f>
        <v/>
      </c>
      <c r="F1833" s="13" t="inlineStr">
        <is>
          <t>SMH</t>
        </is>
      </c>
      <c r="G1833" s="6" t="n">
        <v>1</v>
      </c>
      <c r="H1833" s="6" t="n">
        <v>-273.38696</v>
      </c>
      <c r="I1833" s="7">
        <f>-H1833/G1833</f>
        <v/>
      </c>
      <c r="J1833" s="11" t="n">
        <v>44663</v>
      </c>
      <c r="K1833" s="6">
        <f>+OPERAC[[#This Row],[cantidad]]</f>
        <v/>
      </c>
      <c r="L1833" s="6">
        <f>+OPERAC[[#This Row],[cantidad venta]]*238.066</f>
        <v/>
      </c>
      <c r="M1833" s="7">
        <f>IF(N1833=0,+L1833+H1833,0)</f>
        <v/>
      </c>
      <c r="N1833" s="7">
        <f>IF((+G1833-K1833)=0,0,+G1833-K1833)</f>
        <v/>
      </c>
      <c r="O1833" s="7">
        <f>IF(N1833=0,0,(L1833+H1833)/-N1833)</f>
        <v/>
      </c>
      <c r="P1833" s="7">
        <f>VLOOKUP(OPERAC[[#This Row],[especie]],[1]!ESPECIES[#All],6,0)</f>
        <v/>
      </c>
      <c r="Q1833" s="7">
        <f>IF(N1833&lt;&gt;0,P1833*N1833,0)</f>
        <v/>
      </c>
      <c r="R1833" s="8">
        <f>IF(Q1833&lt;&gt;0,Q1833+H1833+L1833,0)</f>
        <v/>
      </c>
      <c r="S1833" s="9">
        <f>VLOOKUP(OPERAC[[#This Row],[especie]],[1]!ESPECIES[#Data],9,FALSE)</f>
        <v/>
      </c>
    </row>
    <row r="1834">
      <c r="A1834" s="4" t="n">
        <v>18663</v>
      </c>
      <c r="B1834" s="5" t="n">
        <v>44103</v>
      </c>
      <c r="C1834" s="13" t="inlineStr">
        <is>
          <t>VTA</t>
        </is>
      </c>
      <c r="D1834" s="13" t="n">
        <v>41</v>
      </c>
      <c r="E1834" s="10">
        <f>IF(D1834&gt;0,VLOOKUP(OPERAC[[#This Row],[COD CART]],[1]!MatrizCortoLargoCyl[#All],3,0),"")</f>
        <v/>
      </c>
      <c r="F1834" s="13" t="inlineStr">
        <is>
          <t>STOR</t>
        </is>
      </c>
      <c r="G1834" s="6" t="n">
        <v>10</v>
      </c>
      <c r="H1834" s="6" t="n">
        <v>-273.8656</v>
      </c>
      <c r="I1834" s="7">
        <f>-H1834/G1834</f>
        <v/>
      </c>
      <c r="J1834" s="5" t="n"/>
      <c r="K1834" s="6" t="n"/>
      <c r="L1834" s="6" t="n"/>
      <c r="M1834" s="7">
        <f>IF(N1834=0,+L1834+H1834,0)</f>
        <v/>
      </c>
      <c r="N1834" s="7">
        <f>IF((+G1834-K1834)=0,0,+G1834-K1834)</f>
        <v/>
      </c>
      <c r="O1834" s="7">
        <f>IF(N1834=0,0,(L1834+H1834)/-N1834)</f>
        <v/>
      </c>
      <c r="P1834" s="7">
        <f>VLOOKUP(OPERAC[[#This Row],[especie]],[1]!ESPECIES[#All],6,0)</f>
        <v/>
      </c>
      <c r="Q1834" s="7">
        <f>IF(N1834&lt;&gt;0,P1834*N1834,0)</f>
        <v/>
      </c>
      <c r="R1834" s="8">
        <f>IF(Q1834&lt;&gt;0,Q1834+H1834+L1834,0)</f>
        <v/>
      </c>
      <c r="S1834" s="9">
        <f>VLOOKUP(OPERAC[[#This Row],[especie]],[1]!ESPECIES[#Data],9,FALSE)</f>
        <v/>
      </c>
    </row>
    <row r="1835">
      <c r="A1835" s="4" t="n">
        <v>18663</v>
      </c>
      <c r="B1835" s="5" t="n">
        <v>44617</v>
      </c>
      <c r="C1835" s="13" t="inlineStr">
        <is>
          <t>VTA</t>
        </is>
      </c>
      <c r="D1835" s="13" t="n">
        <v>41</v>
      </c>
      <c r="E1835" s="10">
        <f>IF(D1835&gt;0,VLOOKUP(OPERAC[[#This Row],[COD CART]],[1]!MatrizCortoLargoCyl[#All],3,0),"")</f>
        <v/>
      </c>
      <c r="F1835" s="13" t="inlineStr">
        <is>
          <t>FL</t>
        </is>
      </c>
      <c r="G1835" s="6" t="n">
        <v>10</v>
      </c>
      <c r="H1835" s="6" t="n">
        <v>-274.575</v>
      </c>
      <c r="I1835" s="7">
        <f>-H1835/G1835</f>
        <v/>
      </c>
      <c r="J1835" s="11" t="n"/>
      <c r="K1835" s="6" t="n"/>
      <c r="L1835" s="6" t="n"/>
      <c r="M1835" s="7">
        <f>IF(N1835=0,+L1835+H1835,0)</f>
        <v/>
      </c>
      <c r="N1835" s="7">
        <f>IF((+G1835-K1835)=0,0,+G1835-K1835)</f>
        <v/>
      </c>
      <c r="O1835" s="7">
        <f>IF(N1835=0,0,(L1835+H1835)/-N1835)</f>
        <v/>
      </c>
      <c r="P1835" s="7">
        <f>VLOOKUP(OPERAC[[#This Row],[especie]],[1]!ESPECIES[#All],6,0)</f>
        <v/>
      </c>
      <c r="Q1835" s="7">
        <f>IF(N1835&lt;&gt;0,P1835*N1835,0)</f>
        <v/>
      </c>
      <c r="R1835" s="8">
        <f>IF(Q1835&lt;&gt;0,Q1835+H1835+L1835,0)</f>
        <v/>
      </c>
      <c r="S1835" s="9">
        <f>VLOOKUP(OPERAC[[#This Row],[especie]],[1]!ESPECIES[#Data],9,FALSE)</f>
        <v/>
      </c>
    </row>
    <row r="1836">
      <c r="A1836" s="4" t="n">
        <v>15195</v>
      </c>
      <c r="B1836" s="5" t="n">
        <v>44490</v>
      </c>
      <c r="C1836" s="13" t="inlineStr">
        <is>
          <t>VTA</t>
        </is>
      </c>
      <c r="D1836" s="13" t="n">
        <v>43</v>
      </c>
      <c r="E1836" s="10">
        <f>IF(D1836&gt;0,VLOOKUP(OPERAC[[#This Row],[COD CART]],[1]!MatrizCortoLargoCyl[#All],3,0),"")</f>
        <v/>
      </c>
      <c r="F1836" s="13" t="inlineStr">
        <is>
          <t>SESN/CYL-PUT/1,00/19-01-24</t>
        </is>
      </c>
      <c r="G1836" s="6" t="n">
        <v>1000</v>
      </c>
      <c r="H1836" s="6" t="n">
        <v>-275.3</v>
      </c>
      <c r="I1836" s="7">
        <f>-H1836/G1836</f>
        <v/>
      </c>
      <c r="J1836" s="11" t="n"/>
      <c r="K1836" s="6" t="n"/>
      <c r="L1836" s="6" t="n"/>
      <c r="M1836" s="7">
        <f>IF(N1836=0,+L1836+H1836,0)</f>
        <v/>
      </c>
      <c r="N1836" s="7">
        <f>IF((+G1836-K1836)=0,0,+G1836-K1836)</f>
        <v/>
      </c>
      <c r="O1836" s="7">
        <f>IF(N1836=0,0,(L1836+H1836)/-N1836)</f>
        <v/>
      </c>
      <c r="P1836" s="7">
        <f>VLOOKUP(OPERAC[[#This Row],[especie]],[1]!ESPECIES[#All],6,0)</f>
        <v/>
      </c>
      <c r="Q1836" s="7">
        <f>IF(N1836&lt;&gt;0,P1836*N1836,0)</f>
        <v/>
      </c>
      <c r="R1836" s="8">
        <f>IF(Q1836&lt;&gt;0,Q1836+H1836+L1836,0)</f>
        <v/>
      </c>
      <c r="S1836" s="9">
        <f>VLOOKUP(OPERAC[[#This Row],[especie]],[1]!ESPECIES[#Data],9,FALSE)</f>
        <v/>
      </c>
    </row>
    <row r="1837">
      <c r="A1837" s="4" t="n">
        <v>18697</v>
      </c>
      <c r="B1837" s="5" t="n">
        <v>44459</v>
      </c>
      <c r="C1837" s="13" t="inlineStr">
        <is>
          <t>VTA</t>
        </is>
      </c>
      <c r="D1837" s="13" t="n">
        <v>40</v>
      </c>
      <c r="E1837" s="10">
        <f>IF(D1837&gt;0,VLOOKUP(OPERAC[[#This Row],[COD CART]],[1]!MatrizCortoLargoCyl[#All],3,0),"")</f>
        <v/>
      </c>
      <c r="F1837" s="13" t="inlineStr">
        <is>
          <t>EDU</t>
        </is>
      </c>
      <c r="G1837" s="6" t="n">
        <v>300</v>
      </c>
      <c r="H1837" s="6">
        <f>-288+0.04*OPERAC[[#This Row],[cantidad]]</f>
        <v/>
      </c>
      <c r="I1837" s="7">
        <f>-H1837/G1837</f>
        <v/>
      </c>
      <c r="J1837" s="11" t="n">
        <v>44614</v>
      </c>
      <c r="K1837" s="6">
        <f>+OPERAC[[#This Row],[cantidad]]</f>
        <v/>
      </c>
      <c r="L1837" s="6">
        <f>1.483*OPERAC[[#This Row],[cantidad venta]]</f>
        <v/>
      </c>
      <c r="M1837" s="7">
        <f>IF(N1837=0,+L1837+H1837,0)</f>
        <v/>
      </c>
      <c r="N1837" s="7">
        <f>IF((+G1837-K1837)=0,0,+G1837-K1837)</f>
        <v/>
      </c>
      <c r="O1837" s="7">
        <f>IF(N1837=0,0,(L1837+H1837)/-N1837)</f>
        <v/>
      </c>
      <c r="P1837" s="7">
        <f>VLOOKUP(OPERAC[[#This Row],[especie]],[1]!ESPECIES[#All],6,0)</f>
        <v/>
      </c>
      <c r="Q1837" s="7">
        <f>IF(N1837&lt;&gt;0,P1837*N1837,0)</f>
        <v/>
      </c>
      <c r="R1837" s="8">
        <f>IF(Q1837&lt;&gt;0,Q1837+H1837+L1837,0)</f>
        <v/>
      </c>
      <c r="S1837" s="9">
        <f>VLOOKUP(OPERAC[[#This Row],[especie]],[1]!ESPECIES[#Data],9,FALSE)</f>
        <v/>
      </c>
    </row>
    <row r="1838">
      <c r="A1838" s="4" t="n">
        <v>18663</v>
      </c>
      <c r="B1838" s="5" t="n">
        <v>44565</v>
      </c>
      <c r="C1838" s="13" t="inlineStr">
        <is>
          <t>VTA</t>
        </is>
      </c>
      <c r="D1838" s="13" t="n">
        <v>41</v>
      </c>
      <c r="E1838" s="10">
        <f>IF(D1838&gt;0,VLOOKUP(OPERAC[[#This Row],[COD CART]],[1]!MatrizCortoLargoCyl[#All],3,0),"")</f>
        <v/>
      </c>
      <c r="F1838" s="13" t="inlineStr">
        <is>
          <t>EWZ</t>
        </is>
      </c>
      <c r="G1838" s="6" t="n">
        <v>10</v>
      </c>
      <c r="H1838" s="6" t="n">
        <v>-276.8896</v>
      </c>
      <c r="I1838" s="7">
        <f>-H1838/G1838</f>
        <v/>
      </c>
      <c r="J1838" s="11" t="n">
        <v>44587</v>
      </c>
      <c r="K1838" s="6" t="n">
        <v>10</v>
      </c>
      <c r="L1838" s="6" t="n">
        <v>305.429</v>
      </c>
      <c r="M1838" s="7">
        <f>IF(N1838=0,+L1838+H1838,0)</f>
        <v/>
      </c>
      <c r="N1838" s="7">
        <f>IF((+G1838-K1838)=0,0,+G1838-K1838)</f>
        <v/>
      </c>
      <c r="O1838" s="7">
        <f>IF(N1838=0,0,(L1838+H1838)/-N1838)</f>
        <v/>
      </c>
      <c r="P1838" s="7">
        <f>VLOOKUP(OPERAC[[#This Row],[especie]],[1]!ESPECIES[#All],6,0)</f>
        <v/>
      </c>
      <c r="Q1838" s="7">
        <f>IF(N1838&lt;&gt;0,P1838*N1838,0)</f>
        <v/>
      </c>
      <c r="R1838" s="8">
        <f>IF(Q1838&lt;&gt;0,Q1838+H1838+L1838,0)</f>
        <v/>
      </c>
      <c r="S1838" s="9">
        <f>VLOOKUP(OPERAC[[#This Row],[especie]],[1]!ESPECIES[#Data],9,FALSE)</f>
        <v/>
      </c>
    </row>
    <row r="1839">
      <c r="A1839" s="4" t="n">
        <v>13269</v>
      </c>
      <c r="B1839" s="5" t="n">
        <v>44705</v>
      </c>
      <c r="C1839" s="13" t="inlineStr">
        <is>
          <t>VTA</t>
        </is>
      </c>
      <c r="D1839" s="13" t="n">
        <v>42</v>
      </c>
      <c r="E1839" s="10">
        <f>IF(D1839&gt;0,VLOOKUP(OPERAC[[#This Row],[COD CART]],[1]!MatrizCortoLargoCyl[#All],3,0),"")</f>
        <v/>
      </c>
      <c r="F1839" s="13" t="inlineStr">
        <is>
          <t>AMD</t>
        </is>
      </c>
      <c r="G1839" s="6" t="n">
        <v>3</v>
      </c>
      <c r="H1839" s="6" t="n">
        <v>-277.51062</v>
      </c>
      <c r="I1839" s="7">
        <f>-H1839/G1839</f>
        <v/>
      </c>
      <c r="J1839" s="5" t="n">
        <v>44707</v>
      </c>
      <c r="K1839" s="6">
        <f>+OPERAC[[#This Row],[cantidad]]</f>
        <v/>
      </c>
      <c r="L1839" s="6">
        <f>+OPERAC[[#This Row],[cantidad venta]]*94.8</f>
        <v/>
      </c>
      <c r="M1839" s="7">
        <f>IF(N1839=0,+L1839+H1839,0)</f>
        <v/>
      </c>
      <c r="N1839" s="7">
        <f>IF((+G1839-K1839)=0,0,+G1839-K1839)</f>
        <v/>
      </c>
      <c r="O1839" s="7">
        <f>IF(N1839=0,0,(L1839+H1839)/-N1839)</f>
        <v/>
      </c>
      <c r="P1839" s="7">
        <f>VLOOKUP(OPERAC[[#This Row],[especie]],[1]!ESPECIES[#All],6,0)</f>
        <v/>
      </c>
      <c r="Q1839" s="7">
        <f>IF(N1839&lt;&gt;0,P1839*N1839,0)</f>
        <v/>
      </c>
      <c r="R1839" s="8">
        <f>IF(Q1839&lt;&gt;0,Q1839+H1839+L1839,0)</f>
        <v/>
      </c>
      <c r="S1839" s="9">
        <f>VLOOKUP(OPERAC[[#This Row],[especie]],[1]!ESPECIES[#Data],9,FALSE)</f>
        <v/>
      </c>
    </row>
    <row r="1840">
      <c r="A1840" s="4" t="n">
        <v>12630</v>
      </c>
      <c r="B1840" s="5" t="n">
        <v>44236</v>
      </c>
      <c r="C1840" s="13" t="inlineStr">
        <is>
          <t>VTA</t>
        </is>
      </c>
      <c r="D1840" s="13" t="n">
        <v>41</v>
      </c>
      <c r="E1840" s="10">
        <f>IF(D1840&gt;0,VLOOKUP(OPERAC[[#This Row],[COD CART]],[1]!MatrizCortoLargoCyl[#All],3,0),"")</f>
        <v/>
      </c>
      <c r="F1840" s="13" t="inlineStr">
        <is>
          <t>AAPL</t>
        </is>
      </c>
      <c r="G1840" s="6" t="n">
        <v>2</v>
      </c>
      <c r="H1840" s="6" t="n">
        <v>-277.696</v>
      </c>
      <c r="I1840" s="7">
        <f>-H1840/G1840</f>
        <v/>
      </c>
      <c r="J1840" s="11" t="n">
        <v>44586</v>
      </c>
      <c r="K1840" s="6" t="n">
        <v>2</v>
      </c>
      <c r="L1840" s="6" t="n">
        <v>309.236</v>
      </c>
      <c r="M1840" s="7">
        <f>IF(N1840=0,+L1840+H1840,0)</f>
        <v/>
      </c>
      <c r="N1840" s="7">
        <f>IF((+G1840-K1840)=0,0,+G1840-K1840)</f>
        <v/>
      </c>
      <c r="O1840" s="7">
        <f>IF(N1840=0,0,(L1840+H1840)/-N1840)</f>
        <v/>
      </c>
      <c r="P1840" s="7">
        <f>VLOOKUP(OPERAC[[#This Row],[especie]],[1]!ESPECIES[#All],6,0)</f>
        <v/>
      </c>
      <c r="Q1840" s="7">
        <f>IF(N1840&lt;&gt;0,P1840*N1840,0)</f>
        <v/>
      </c>
      <c r="R1840" s="8">
        <f>IF(Q1840&lt;&gt;0,Q1840+H1840+L1840,0)</f>
        <v/>
      </c>
      <c r="S1840" s="9">
        <f>VLOOKUP(OPERAC[[#This Row],[especie]],[1]!ESPECIES[#Data],9,FALSE)</f>
        <v/>
      </c>
    </row>
    <row r="1841">
      <c r="A1841" s="4" t="n">
        <v>18663</v>
      </c>
      <c r="B1841" s="5" t="n">
        <v>44594</v>
      </c>
      <c r="C1841" s="13" t="inlineStr">
        <is>
          <t>VTA</t>
        </is>
      </c>
      <c r="D1841" s="13" t="n">
        <v>41</v>
      </c>
      <c r="E1841" s="10">
        <f>IF(D1841&gt;0,VLOOKUP(OPERAC[[#This Row],[COD CART]],[1]!MatrizCortoLargoCyl[#All],3,0),"")</f>
        <v/>
      </c>
      <c r="F1841" s="13" t="inlineStr">
        <is>
          <t>SFM</t>
        </is>
      </c>
      <c r="G1841" s="6" t="n">
        <v>10</v>
      </c>
      <c r="H1841" s="6" t="n">
        <v>-277.871</v>
      </c>
      <c r="I1841" s="7">
        <f>-H1841/G1841</f>
        <v/>
      </c>
      <c r="J1841" s="11" t="n">
        <v>44658</v>
      </c>
      <c r="K1841" s="6" t="n">
        <v>10</v>
      </c>
      <c r="L1841" s="6" t="n">
        <v>337.932</v>
      </c>
      <c r="M1841" s="7">
        <f>IF(N1841=0,+L1841+H1841,0)</f>
        <v/>
      </c>
      <c r="N1841" s="7">
        <f>IF((+G1841-K1841)=0,0,+G1841-K1841)</f>
        <v/>
      </c>
      <c r="O1841" s="7">
        <f>IF(N1841=0,0,(L1841+H1841)/-N1841)</f>
        <v/>
      </c>
      <c r="P1841" s="7">
        <f>VLOOKUP(OPERAC[[#This Row],[especie]],[1]!ESPECIES[#All],6,0)</f>
        <v/>
      </c>
      <c r="Q1841" s="7">
        <f>IF(N1841&lt;&gt;0,P1841*N1841,0)</f>
        <v/>
      </c>
      <c r="R1841" s="8">
        <f>IF(Q1841&lt;&gt;0,Q1841+H1841+L1841,0)</f>
        <v/>
      </c>
      <c r="S1841" s="9">
        <f>VLOOKUP(OPERAC[[#This Row],[especie]],[1]!ESPECIES[#Data],9,FALSE)</f>
        <v/>
      </c>
    </row>
    <row r="1842">
      <c r="A1842" s="4" t="n">
        <v>3820</v>
      </c>
      <c r="B1842" s="5" t="n">
        <v>44662</v>
      </c>
      <c r="C1842" s="13" t="inlineStr">
        <is>
          <t>VTA</t>
        </is>
      </c>
      <c r="D1842" s="13" t="n">
        <v>42</v>
      </c>
      <c r="E1842" s="10">
        <f>IF(D1842&gt;0,VLOOKUP(OPERAC[[#This Row],[COD CART]],[1]!MatrizCortoLargoCyl[#All],3,0),"")</f>
        <v/>
      </c>
      <c r="F1842" s="13" t="inlineStr">
        <is>
          <t>HYDR</t>
        </is>
      </c>
      <c r="G1842" s="6" t="n">
        <v>15</v>
      </c>
      <c r="H1842" s="6" t="n">
        <v>-278.00262</v>
      </c>
      <c r="I1842" s="7">
        <f>-H1842/G1842</f>
        <v/>
      </c>
      <c r="J1842" s="11" t="n">
        <v>44693</v>
      </c>
      <c r="K1842" s="6">
        <f>+OPERAC[[#This Row],[cantidad]]</f>
        <v/>
      </c>
      <c r="L1842" s="6">
        <f>+OPERAC[[#This Row],[cantidad venta]]*12.027</f>
        <v/>
      </c>
      <c r="M1842" s="7">
        <f>IF(N1842=0,+L1842+H1842,0)</f>
        <v/>
      </c>
      <c r="N1842" s="7">
        <f>IF((+G1842-K1842)=0,0,+G1842-K1842)</f>
        <v/>
      </c>
      <c r="O1842" s="7">
        <f>IF(N1842=0,0,(L1842+H1842)/-N1842)</f>
        <v/>
      </c>
      <c r="P1842" s="7">
        <f>VLOOKUP(OPERAC[[#This Row],[especie]],[1]!ESPECIES[#All],6,0)</f>
        <v/>
      </c>
      <c r="Q1842" s="7">
        <f>IF(N1842&lt;&gt;0,P1842*N1842,0)</f>
        <v/>
      </c>
      <c r="R1842" s="8">
        <f>IF(Q1842&lt;&gt;0,Q1842+H1842+L1842,0)</f>
        <v/>
      </c>
      <c r="S1842" s="9">
        <f>VLOOKUP(OPERAC[[#This Row],[especie]],[1]!ESPECIES[#Data],9,FALSE)</f>
        <v/>
      </c>
    </row>
    <row r="1843">
      <c r="A1843" s="4" t="n">
        <v>19972</v>
      </c>
      <c r="B1843" s="5" t="n">
        <v>44662</v>
      </c>
      <c r="C1843" s="13" t="inlineStr">
        <is>
          <t>VTA</t>
        </is>
      </c>
      <c r="D1843" s="13" t="n">
        <v>42</v>
      </c>
      <c r="E1843" s="10">
        <f>IF(D1843&gt;0,VLOOKUP(OPERAC[[#This Row],[COD CART]],[1]!MatrizCortoLargoCyl[#All],3,0),"")</f>
        <v/>
      </c>
      <c r="F1843" s="13" t="inlineStr">
        <is>
          <t>HYDR</t>
        </is>
      </c>
      <c r="G1843" s="6" t="n">
        <v>15</v>
      </c>
      <c r="H1843" s="6" t="n">
        <v>-278.00262</v>
      </c>
      <c r="I1843" s="7">
        <f>-H1843/G1843</f>
        <v/>
      </c>
      <c r="J1843" s="11" t="n"/>
      <c r="K1843" s="6" t="n"/>
      <c r="L1843" s="6" t="n"/>
      <c r="M1843" s="7">
        <f>IF(N1843=0,+L1843+H1843,0)</f>
        <v/>
      </c>
      <c r="N1843" s="7">
        <f>IF((+G1843-K1843)=0,0,+G1843-K1843)</f>
        <v/>
      </c>
      <c r="O1843" s="7">
        <f>IF(N1843=0,0,(L1843+H1843)/-N1843)</f>
        <v/>
      </c>
      <c r="P1843" s="7">
        <f>VLOOKUP(OPERAC[[#This Row],[especie]],[1]!ESPECIES[#All],6,0)</f>
        <v/>
      </c>
      <c r="Q1843" s="7">
        <f>IF(N1843&lt;&gt;0,P1843*N1843,0)</f>
        <v/>
      </c>
      <c r="R1843" s="8">
        <f>IF(Q1843&lt;&gt;0,Q1843+H1843+L1843,0)</f>
        <v/>
      </c>
      <c r="S1843" s="9">
        <f>VLOOKUP(OPERAC[[#This Row],[especie]],[1]!ESPECIES[#Data],9,FALSE)</f>
        <v/>
      </c>
    </row>
    <row r="1844">
      <c r="A1844" s="4" t="n">
        <v>1760</v>
      </c>
      <c r="B1844" s="5" t="n">
        <v>44662</v>
      </c>
      <c r="C1844" s="13" t="inlineStr">
        <is>
          <t>VTA</t>
        </is>
      </c>
      <c r="D1844" s="13" t="n">
        <v>42</v>
      </c>
      <c r="E1844" s="10">
        <f>IF(D1844&gt;0,VLOOKUP(OPERAC[[#This Row],[COD CART]],[1]!MatrizCortoLargoCyl[#All],3,0),"")</f>
        <v/>
      </c>
      <c r="F1844" s="13" t="inlineStr">
        <is>
          <t>HYDR</t>
        </is>
      </c>
      <c r="G1844" s="6" t="n">
        <v>15</v>
      </c>
      <c r="H1844" s="6" t="n">
        <v>-278.5551599999999</v>
      </c>
      <c r="I1844" s="7">
        <f>-H1844/G1844</f>
        <v/>
      </c>
      <c r="J1844" s="11" t="n">
        <v>44693</v>
      </c>
      <c r="K1844" s="6">
        <f>+OPERAC[[#This Row],[cantidad]]</f>
        <v/>
      </c>
      <c r="L1844" s="6">
        <f>+OPERAC[[#This Row],[cantidad venta]]*11.63</f>
        <v/>
      </c>
      <c r="M1844" s="7">
        <f>IF(N1844=0,+L1844+H1844,0)</f>
        <v/>
      </c>
      <c r="N1844" s="7">
        <f>IF((+G1844-K1844)=0,0,+G1844-K1844)</f>
        <v/>
      </c>
      <c r="O1844" s="7">
        <f>IF(N1844=0,0,(L1844+H1844)/-N1844)</f>
        <v/>
      </c>
      <c r="P1844" s="7">
        <f>VLOOKUP(OPERAC[[#This Row],[especie]],[1]!ESPECIES[#All],6,0)</f>
        <v/>
      </c>
      <c r="Q1844" s="7">
        <f>IF(N1844&lt;&gt;0,P1844*N1844,0)</f>
        <v/>
      </c>
      <c r="R1844" s="8">
        <f>IF(Q1844&lt;&gt;0,Q1844+H1844+L1844,0)</f>
        <v/>
      </c>
      <c r="S1844" s="9">
        <f>VLOOKUP(OPERAC[[#This Row],[especie]],[1]!ESPECIES[#Data],9,FALSE)</f>
        <v/>
      </c>
    </row>
    <row r="1845">
      <c r="A1845" s="4" t="n">
        <v>3867</v>
      </c>
      <c r="B1845" s="5" t="n">
        <v>44662</v>
      </c>
      <c r="C1845" s="13" t="inlineStr">
        <is>
          <t>VTA</t>
        </is>
      </c>
      <c r="D1845" s="13" t="n">
        <v>42</v>
      </c>
      <c r="E1845" s="10">
        <f>IF(D1845&gt;0,VLOOKUP(OPERAC[[#This Row],[COD CART]],[1]!MatrizCortoLargoCyl[#All],3,0),"")</f>
        <v/>
      </c>
      <c r="F1845" s="13" t="inlineStr">
        <is>
          <t>HYDR</t>
        </is>
      </c>
      <c r="G1845" s="6" t="n">
        <v>15</v>
      </c>
      <c r="H1845" s="6" t="n">
        <v>-278.5551599999999</v>
      </c>
      <c r="I1845" s="7">
        <f>-H1845/G1845</f>
        <v/>
      </c>
      <c r="J1845" s="11" t="n">
        <v>44693</v>
      </c>
      <c r="K1845" s="6">
        <f>+OPERAC[[#This Row],[cantidad]]</f>
        <v/>
      </c>
      <c r="L1845" s="6">
        <f>+OPERAC[[#This Row],[cantidad venta]]*12.027</f>
        <v/>
      </c>
      <c r="M1845" s="7">
        <f>IF(N1845=0,+L1845+H1845,0)</f>
        <v/>
      </c>
      <c r="N1845" s="7">
        <f>IF((+G1845-K1845)=0,0,+G1845-K1845)</f>
        <v/>
      </c>
      <c r="O1845" s="7">
        <f>IF(N1845=0,0,(L1845+H1845)/-N1845)</f>
        <v/>
      </c>
      <c r="P1845" s="7">
        <f>VLOOKUP(OPERAC[[#This Row],[especie]],[1]!ESPECIES[#All],6,0)</f>
        <v/>
      </c>
      <c r="Q1845" s="7">
        <f>IF(N1845&lt;&gt;0,P1845*N1845,0)</f>
        <v/>
      </c>
      <c r="R1845" s="8">
        <f>IF(Q1845&lt;&gt;0,Q1845+H1845+L1845,0)</f>
        <v/>
      </c>
      <c r="S1845" s="9">
        <f>VLOOKUP(OPERAC[[#This Row],[especie]],[1]!ESPECIES[#Data],9,FALSE)</f>
        <v/>
      </c>
    </row>
    <row r="1846">
      <c r="A1846" s="4" t="n">
        <v>12619</v>
      </c>
      <c r="B1846" s="5" t="n">
        <v>44662</v>
      </c>
      <c r="C1846" s="13" t="inlineStr">
        <is>
          <t>VTA</t>
        </is>
      </c>
      <c r="D1846" s="13" t="n">
        <v>42</v>
      </c>
      <c r="E1846" s="10">
        <f>IF(D1846&gt;0,VLOOKUP(OPERAC[[#This Row],[COD CART]],[1]!MatrizCortoLargoCyl[#All],3,0),"")</f>
        <v/>
      </c>
      <c r="F1846" s="13" t="inlineStr">
        <is>
          <t>HYDR</t>
        </is>
      </c>
      <c r="G1846" s="6" t="n">
        <v>15</v>
      </c>
      <c r="H1846" s="6" t="n">
        <v>-278.5551599999999</v>
      </c>
      <c r="I1846" s="7">
        <f>-H1846/G1846</f>
        <v/>
      </c>
      <c r="J1846" s="11" t="n">
        <v>44693</v>
      </c>
      <c r="K1846" s="6">
        <f>+OPERAC[[#This Row],[cantidad]]</f>
        <v/>
      </c>
      <c r="L1846" s="6">
        <f>+OPERAC[[#This Row],[cantidad venta]]*12.027</f>
        <v/>
      </c>
      <c r="M1846" s="7">
        <f>IF(N1846=0,+L1846+H1846,0)</f>
        <v/>
      </c>
      <c r="N1846" s="7">
        <f>IF((+G1846-K1846)=0,0,+G1846-K1846)</f>
        <v/>
      </c>
      <c r="O1846" s="7">
        <f>IF(N1846=0,0,(L1846+H1846)/-N1846)</f>
        <v/>
      </c>
      <c r="P1846" s="7">
        <f>VLOOKUP(OPERAC[[#This Row],[especie]],[1]!ESPECIES[#All],6,0)</f>
        <v/>
      </c>
      <c r="Q1846" s="7">
        <f>IF(N1846&lt;&gt;0,P1846*N1846,0)</f>
        <v/>
      </c>
      <c r="R1846" s="8">
        <f>IF(Q1846&lt;&gt;0,Q1846+H1846+L1846,0)</f>
        <v/>
      </c>
      <c r="S1846" s="9">
        <f>VLOOKUP(OPERAC[[#This Row],[especie]],[1]!ESPECIES[#Data],9,FALSE)</f>
        <v/>
      </c>
    </row>
    <row r="1847">
      <c r="A1847" s="4" t="n">
        <v>12652</v>
      </c>
      <c r="B1847" s="5" t="n">
        <v>44662</v>
      </c>
      <c r="C1847" s="13" t="inlineStr">
        <is>
          <t>CPR</t>
        </is>
      </c>
      <c r="D1847" s="13" t="n">
        <v>42</v>
      </c>
      <c r="E1847" s="10">
        <f>IF(D1847&gt;0,VLOOKUP(OPERAC[[#This Row],[COD CART]],[1]!MatrizCortoLargoCyl[#All],3,0),"")</f>
        <v/>
      </c>
      <c r="F1847" s="13" t="inlineStr">
        <is>
          <t>HYDR</t>
        </is>
      </c>
      <c r="G1847" s="6" t="n">
        <v>15</v>
      </c>
      <c r="H1847" s="6" t="n">
        <v>-278.5551599999999</v>
      </c>
      <c r="I1847" s="7">
        <f>-H1847/G1847</f>
        <v/>
      </c>
      <c r="J1847" s="11" t="n">
        <v>44693</v>
      </c>
      <c r="K1847" s="6">
        <f>+OPERAC[[#This Row],[cantidad]]</f>
        <v/>
      </c>
      <c r="L1847" s="6">
        <f>+OPERAC[[#This Row],[cantidad venta]]*12.027</f>
        <v/>
      </c>
      <c r="M1847" s="7">
        <f>IF(N1847=0,+L1847+H1847,0)</f>
        <v/>
      </c>
      <c r="N1847" s="7">
        <f>IF((+G1847-K1847)=0,0,+G1847-K1847)</f>
        <v/>
      </c>
      <c r="O1847" s="7">
        <f>IF(N1847=0,0,(L1847+H1847)/-N1847)</f>
        <v/>
      </c>
      <c r="P1847" s="7">
        <f>VLOOKUP(OPERAC[[#This Row],[especie]],[1]!ESPECIES[#All],6,0)</f>
        <v/>
      </c>
      <c r="Q1847" s="7">
        <f>IF(N1847&lt;&gt;0,P1847*N1847,0)</f>
        <v/>
      </c>
      <c r="R1847" s="8">
        <f>IF(Q1847&lt;&gt;0,Q1847+H1847+L1847,0)</f>
        <v/>
      </c>
      <c r="S1847" s="9">
        <f>VLOOKUP(OPERAC[[#This Row],[especie]],[1]!ESPECIES[#Data],9,FALSE)</f>
        <v/>
      </c>
    </row>
    <row r="1848">
      <c r="A1848" s="4" t="n">
        <v>18703</v>
      </c>
      <c r="B1848" s="5" t="n">
        <v>44662</v>
      </c>
      <c r="C1848" s="13" t="inlineStr">
        <is>
          <t>CPR</t>
        </is>
      </c>
      <c r="D1848" s="13" t="n">
        <v>42</v>
      </c>
      <c r="E1848" s="10">
        <f>IF(D1848&gt;0,VLOOKUP(OPERAC[[#This Row],[COD CART]],[1]!MatrizCortoLargoCyl[#All],3,0),"")</f>
        <v/>
      </c>
      <c r="F1848" s="13" t="inlineStr">
        <is>
          <t>HYDR</t>
        </is>
      </c>
      <c r="G1848" s="6" t="n">
        <v>15</v>
      </c>
      <c r="H1848" s="6" t="n">
        <v>-278.5551599999999</v>
      </c>
      <c r="I1848" s="7">
        <f>-H1848/G1848</f>
        <v/>
      </c>
      <c r="J1848" s="11" t="n">
        <v>44693</v>
      </c>
      <c r="K1848" s="6">
        <f>+OPERAC[[#This Row],[cantidad]]</f>
        <v/>
      </c>
      <c r="L1848" s="6">
        <f>+OPERAC[[#This Row],[cantidad venta]]*11.986</f>
        <v/>
      </c>
      <c r="M1848" s="7">
        <f>IF(N1848=0,+L1848+H1848,0)</f>
        <v/>
      </c>
      <c r="N1848" s="7">
        <f>IF((+G1848-K1848)=0,0,+G1848-K1848)</f>
        <v/>
      </c>
      <c r="O1848" s="7">
        <f>IF(N1848=0,0,(L1848+H1848)/-N1848)</f>
        <v/>
      </c>
      <c r="P1848" s="7">
        <f>VLOOKUP(OPERAC[[#This Row],[especie]],[1]!ESPECIES[#All],6,0)</f>
        <v/>
      </c>
      <c r="Q1848" s="7">
        <f>IF(N1848&lt;&gt;0,P1848*N1848,0)</f>
        <v/>
      </c>
      <c r="R1848" s="8">
        <f>IF(Q1848&lt;&gt;0,Q1848+H1848+L1848,0)</f>
        <v/>
      </c>
      <c r="S1848" s="9">
        <f>VLOOKUP(OPERAC[[#This Row],[especie]],[1]!ESPECIES[#Data],9,FALSE)</f>
        <v/>
      </c>
    </row>
    <row r="1849">
      <c r="A1849" s="4" t="n">
        <v>18711</v>
      </c>
      <c r="B1849" s="5" t="n">
        <v>44662</v>
      </c>
      <c r="C1849" s="13" t="inlineStr">
        <is>
          <t>CPR</t>
        </is>
      </c>
      <c r="D1849" s="13" t="n">
        <v>42</v>
      </c>
      <c r="E1849" s="10">
        <f>IF(D1849&gt;0,VLOOKUP(OPERAC[[#This Row],[COD CART]],[1]!MatrizCortoLargoCyl[#All],3,0),"")</f>
        <v/>
      </c>
      <c r="F1849" s="13" t="inlineStr">
        <is>
          <t>HYDR</t>
        </is>
      </c>
      <c r="G1849" s="6" t="n">
        <v>15</v>
      </c>
      <c r="H1849" s="6" t="n">
        <v>-278.5551599999999</v>
      </c>
      <c r="I1849" s="7">
        <f>-H1849/G1849</f>
        <v/>
      </c>
      <c r="J1849" s="11" t="n">
        <v>44693</v>
      </c>
      <c r="K1849" s="6">
        <f>+OPERAC[[#This Row],[cantidad]]</f>
        <v/>
      </c>
      <c r="L1849" s="6">
        <f>+OPERAC[[#This Row],[cantidad venta]]*11.986</f>
        <v/>
      </c>
      <c r="M1849" s="7">
        <f>IF(N1849=0,+L1849+H1849,0)</f>
        <v/>
      </c>
      <c r="N1849" s="7">
        <f>IF((+G1849-K1849)=0,0,+G1849-K1849)</f>
        <v/>
      </c>
      <c r="O1849" s="7">
        <f>IF(N1849=0,0,(L1849+H1849)/-N1849)</f>
        <v/>
      </c>
      <c r="P1849" s="7">
        <f>VLOOKUP(OPERAC[[#This Row],[especie]],[1]!ESPECIES[#All],6,0)</f>
        <v/>
      </c>
      <c r="Q1849" s="7">
        <f>IF(N1849&lt;&gt;0,P1849*N1849,0)</f>
        <v/>
      </c>
      <c r="R1849" s="8">
        <f>IF(Q1849&lt;&gt;0,Q1849+H1849+L1849,0)</f>
        <v/>
      </c>
      <c r="S1849" s="9">
        <f>VLOOKUP(OPERAC[[#This Row],[especie]],[1]!ESPECIES[#Data],9,FALSE)</f>
        <v/>
      </c>
    </row>
    <row r="1850">
      <c r="A1850" s="4" t="n">
        <v>18713</v>
      </c>
      <c r="B1850" s="5" t="n">
        <v>44662</v>
      </c>
      <c r="C1850" s="13" t="inlineStr">
        <is>
          <t>CPR</t>
        </is>
      </c>
      <c r="D1850" s="13" t="n">
        <v>42</v>
      </c>
      <c r="E1850" s="10">
        <f>IF(D1850&gt;0,VLOOKUP(OPERAC[[#This Row],[COD CART]],[1]!MatrizCortoLargoCyl[#All],3,0),"")</f>
        <v/>
      </c>
      <c r="F1850" s="13" t="inlineStr">
        <is>
          <t>HYDR</t>
        </is>
      </c>
      <c r="G1850" s="6" t="n">
        <v>15</v>
      </c>
      <c r="H1850" s="6" t="n">
        <v>-278.5551599999999</v>
      </c>
      <c r="I1850" s="7">
        <f>-H1850/G1850</f>
        <v/>
      </c>
      <c r="J1850" s="11" t="n">
        <v>44693</v>
      </c>
      <c r="K1850" s="6">
        <f>+OPERAC[[#This Row],[cantidad]]</f>
        <v/>
      </c>
      <c r="L1850" s="6">
        <f>+OPERAC[[#This Row],[cantidad venta]]*11.986</f>
        <v/>
      </c>
      <c r="M1850" s="7">
        <f>IF(N1850=0,+L1850+H1850,0)</f>
        <v/>
      </c>
      <c r="N1850" s="7">
        <f>IF((+G1850-K1850)=0,0,+G1850-K1850)</f>
        <v/>
      </c>
      <c r="O1850" s="7">
        <f>IF(N1850=0,0,(L1850+H1850)/-N1850)</f>
        <v/>
      </c>
      <c r="P1850" s="7">
        <f>VLOOKUP(OPERAC[[#This Row],[especie]],[1]!ESPECIES[#All],6,0)</f>
        <v/>
      </c>
      <c r="Q1850" s="7">
        <f>IF(N1850&lt;&gt;0,P1850*N1850,0)</f>
        <v/>
      </c>
      <c r="R1850" s="8">
        <f>IF(Q1850&lt;&gt;0,Q1850+H1850+L1850,0)</f>
        <v/>
      </c>
      <c r="S1850" s="9">
        <f>VLOOKUP(OPERAC[[#This Row],[especie]],[1]!ESPECIES[#Data],9,FALSE)</f>
        <v/>
      </c>
    </row>
    <row r="1851">
      <c r="A1851" s="4" t="n">
        <v>18726</v>
      </c>
      <c r="B1851" s="5" t="n">
        <v>44662</v>
      </c>
      <c r="C1851" s="13" t="inlineStr">
        <is>
          <t>CPR</t>
        </is>
      </c>
      <c r="D1851" s="13" t="n">
        <v>42</v>
      </c>
      <c r="E1851" s="10">
        <f>IF(D1851&gt;0,VLOOKUP(OPERAC[[#This Row],[COD CART]],[1]!MatrizCortoLargoCyl[#All],3,0),"")</f>
        <v/>
      </c>
      <c r="F1851" s="13" t="inlineStr">
        <is>
          <t>HYDR</t>
        </is>
      </c>
      <c r="G1851" s="6" t="n">
        <v>15</v>
      </c>
      <c r="H1851" s="6" t="n">
        <v>-278.5551599999999</v>
      </c>
      <c r="I1851" s="7">
        <f>-H1851/G1851</f>
        <v/>
      </c>
      <c r="J1851" s="11" t="n">
        <v>44693</v>
      </c>
      <c r="K1851" s="6">
        <f>+OPERAC[[#This Row],[cantidad]]</f>
        <v/>
      </c>
      <c r="L1851" s="6">
        <f>+OPERAC[[#This Row],[cantidad venta]]*11.986</f>
        <v/>
      </c>
      <c r="M1851" s="7">
        <f>IF(N1851=0,+L1851+H1851,0)</f>
        <v/>
      </c>
      <c r="N1851" s="7">
        <f>IF((+G1851-K1851)=0,0,+G1851-K1851)</f>
        <v/>
      </c>
      <c r="O1851" s="7">
        <f>IF(N1851=0,0,(L1851+H1851)/-N1851)</f>
        <v/>
      </c>
      <c r="P1851" s="7">
        <f>VLOOKUP(OPERAC[[#This Row],[especie]],[1]!ESPECIES[#All],6,0)</f>
        <v/>
      </c>
      <c r="Q1851" s="7">
        <f>IF(N1851&lt;&gt;0,P1851*N1851,0)</f>
        <v/>
      </c>
      <c r="R1851" s="8">
        <f>IF(Q1851&lt;&gt;0,Q1851+H1851+L1851,0)</f>
        <v/>
      </c>
      <c r="S1851" s="9">
        <f>VLOOKUP(OPERAC[[#This Row],[especie]],[1]!ESPECIES[#Data],9,FALSE)</f>
        <v/>
      </c>
    </row>
    <row r="1852">
      <c r="A1852" s="4" t="n">
        <v>22421</v>
      </c>
      <c r="B1852" s="5" t="n">
        <v>44662</v>
      </c>
      <c r="C1852" s="13" t="inlineStr">
        <is>
          <t>CPR</t>
        </is>
      </c>
      <c r="D1852" s="13" t="n">
        <v>42</v>
      </c>
      <c r="E1852" s="10">
        <f>IF(D1852&gt;0,VLOOKUP(OPERAC[[#This Row],[COD CART]],[1]!MatrizCortoLargoCyl[#All],3,0),"")</f>
        <v/>
      </c>
      <c r="F1852" s="13" t="inlineStr">
        <is>
          <t>HYDR</t>
        </is>
      </c>
      <c r="G1852" s="6" t="n">
        <v>15</v>
      </c>
      <c r="H1852" s="6" t="n">
        <v>-278.5551599999999</v>
      </c>
      <c r="I1852" s="7">
        <f>-H1852/G1852</f>
        <v/>
      </c>
      <c r="J1852" s="11" t="n">
        <v>44693</v>
      </c>
      <c r="K1852" s="6">
        <f>+OPERAC[[#This Row],[cantidad]]</f>
        <v/>
      </c>
      <c r="L1852" s="6">
        <f>+OPERAC[[#This Row],[cantidad venta]]*11.986</f>
        <v/>
      </c>
      <c r="M1852" s="7">
        <f>IF(N1852=0,+L1852+H1852,0)</f>
        <v/>
      </c>
      <c r="N1852" s="7">
        <f>IF((+G1852-K1852)=0,0,+G1852-K1852)</f>
        <v/>
      </c>
      <c r="O1852" s="7">
        <f>IF(N1852=0,0,(L1852+H1852)/-N1852)</f>
        <v/>
      </c>
      <c r="P1852" s="7">
        <f>VLOOKUP(OPERAC[[#This Row],[especie]],[1]!ESPECIES[#All],6,0)</f>
        <v/>
      </c>
      <c r="Q1852" s="7">
        <f>IF(N1852&lt;&gt;0,P1852*N1852,0)</f>
        <v/>
      </c>
      <c r="R1852" s="8">
        <f>IF(Q1852&lt;&gt;0,Q1852+H1852+L1852,0)</f>
        <v/>
      </c>
      <c r="S1852" s="9">
        <f>VLOOKUP(OPERAC[[#This Row],[especie]],[1]!ESPECIES[#Data],9,FALSE)</f>
        <v/>
      </c>
    </row>
    <row r="1853">
      <c r="A1853" s="4" t="n">
        <v>22433</v>
      </c>
      <c r="B1853" s="5" t="n">
        <v>44662</v>
      </c>
      <c r="C1853" s="13" t="inlineStr">
        <is>
          <t>CPR</t>
        </is>
      </c>
      <c r="D1853" s="13" t="n">
        <v>42</v>
      </c>
      <c r="E1853" s="10">
        <f>IF(D1853&gt;0,VLOOKUP(OPERAC[[#This Row],[COD CART]],[1]!MatrizCortoLargoCyl[#All],3,0),"")</f>
        <v/>
      </c>
      <c r="F1853" s="13" t="inlineStr">
        <is>
          <t>HYDR</t>
        </is>
      </c>
      <c r="G1853" s="6" t="n">
        <v>15</v>
      </c>
      <c r="H1853" s="6" t="n">
        <v>-278.5551599999999</v>
      </c>
      <c r="I1853" s="7">
        <f>-H1853/G1853</f>
        <v/>
      </c>
      <c r="J1853" s="11" t="n">
        <v>44693</v>
      </c>
      <c r="K1853" s="6">
        <f>+OPERAC[[#This Row],[cantidad]]</f>
        <v/>
      </c>
      <c r="L1853" s="6">
        <f>+OPERAC[[#This Row],[cantidad venta]]*11.986</f>
        <v/>
      </c>
      <c r="M1853" s="7">
        <f>IF(N1853=0,+L1853+H1853,0)</f>
        <v/>
      </c>
      <c r="N1853" s="7">
        <f>IF((+G1853-K1853)=0,0,+G1853-K1853)</f>
        <v/>
      </c>
      <c r="O1853" s="7">
        <f>IF(N1853=0,0,(L1853+H1853)/-N1853)</f>
        <v/>
      </c>
      <c r="P1853" s="7">
        <f>VLOOKUP(OPERAC[[#This Row],[especie]],[1]!ESPECIES[#All],6,0)</f>
        <v/>
      </c>
      <c r="Q1853" s="7">
        <f>IF(N1853&lt;&gt;0,P1853*N1853,0)</f>
        <v/>
      </c>
      <c r="R1853" s="8">
        <f>IF(Q1853&lt;&gt;0,Q1853+H1853+L1853,0)</f>
        <v/>
      </c>
      <c r="S1853" s="9">
        <f>VLOOKUP(OPERAC[[#This Row],[especie]],[1]!ESPECIES[#Data],9,FALSE)</f>
        <v/>
      </c>
    </row>
    <row r="1854">
      <c r="A1854" s="4" t="n">
        <v>22439</v>
      </c>
      <c r="B1854" s="5" t="n">
        <v>44662</v>
      </c>
      <c r="C1854" s="13" t="inlineStr">
        <is>
          <t>CPR</t>
        </is>
      </c>
      <c r="D1854" s="13" t="n">
        <v>42</v>
      </c>
      <c r="E1854" s="10">
        <f>IF(D1854&gt;0,VLOOKUP(OPERAC[[#This Row],[COD CART]],[1]!MatrizCortoLargoCyl[#All],3,0),"")</f>
        <v/>
      </c>
      <c r="F1854" s="13" t="inlineStr">
        <is>
          <t>HYDR</t>
        </is>
      </c>
      <c r="G1854" s="6" t="n">
        <v>15</v>
      </c>
      <c r="H1854" s="6" t="n">
        <v>-278.5551599999999</v>
      </c>
      <c r="I1854" s="7">
        <f>-H1854/G1854</f>
        <v/>
      </c>
      <c r="J1854" s="11" t="n">
        <v>44693</v>
      </c>
      <c r="K1854" s="6">
        <f>+OPERAC[[#This Row],[cantidad]]</f>
        <v/>
      </c>
      <c r="L1854" s="6">
        <f>+OPERAC[[#This Row],[cantidad venta]]*11.986</f>
        <v/>
      </c>
      <c r="M1854" s="7">
        <f>IF(N1854=0,+L1854+H1854,0)</f>
        <v/>
      </c>
      <c r="N1854" s="7">
        <f>IF((+G1854-K1854)=0,0,+G1854-K1854)</f>
        <v/>
      </c>
      <c r="O1854" s="7">
        <f>IF(N1854=0,0,(L1854+H1854)/-N1854)</f>
        <v/>
      </c>
      <c r="P1854" s="7">
        <f>VLOOKUP(OPERAC[[#This Row],[especie]],[1]!ESPECIES[#All],6,0)</f>
        <v/>
      </c>
      <c r="Q1854" s="7">
        <f>IF(N1854&lt;&gt;0,P1854*N1854,0)</f>
        <v/>
      </c>
      <c r="R1854" s="8">
        <f>IF(Q1854&lt;&gt;0,Q1854+H1854+L1854,0)</f>
        <v/>
      </c>
      <c r="S1854" s="9">
        <f>VLOOKUP(OPERAC[[#This Row],[especie]],[1]!ESPECIES[#Data],9,FALSE)</f>
        <v/>
      </c>
    </row>
    <row r="1855">
      <c r="A1855" s="4" t="n">
        <v>26137</v>
      </c>
      <c r="B1855" s="5" t="n">
        <v>44662</v>
      </c>
      <c r="C1855" s="13" t="inlineStr">
        <is>
          <t>CPR</t>
        </is>
      </c>
      <c r="D1855" s="13" t="n">
        <v>42</v>
      </c>
      <c r="E1855" s="10">
        <f>IF(D1855&gt;0,VLOOKUP(OPERAC[[#This Row],[COD CART]],[1]!MatrizCortoLargoCyl[#All],3,0),"")</f>
        <v/>
      </c>
      <c r="F1855" s="13" t="inlineStr">
        <is>
          <t>HYDR</t>
        </is>
      </c>
      <c r="G1855" s="6" t="n">
        <v>15</v>
      </c>
      <c r="H1855" s="6" t="n">
        <v>-278.5551599999999</v>
      </c>
      <c r="I1855" s="7">
        <f>-H1855/G1855</f>
        <v/>
      </c>
      <c r="J1855" s="11" t="n">
        <v>44693</v>
      </c>
      <c r="K1855" s="6">
        <f>+OPERAC[[#This Row],[cantidad]]</f>
        <v/>
      </c>
      <c r="L1855" s="6">
        <f>+OPERAC[[#This Row],[cantidad venta]]*11.986</f>
        <v/>
      </c>
      <c r="M1855" s="7">
        <f>IF(N1855=0,+L1855+H1855,0)</f>
        <v/>
      </c>
      <c r="N1855" s="7">
        <f>IF((+G1855-K1855)=0,0,+G1855-K1855)</f>
        <v/>
      </c>
      <c r="O1855" s="7">
        <f>IF(N1855=0,0,(L1855+H1855)/-N1855)</f>
        <v/>
      </c>
      <c r="P1855" s="7">
        <f>VLOOKUP(OPERAC[[#This Row],[especie]],[1]!ESPECIES[#All],6,0)</f>
        <v/>
      </c>
      <c r="Q1855" s="7">
        <f>IF(N1855&lt;&gt;0,P1855*N1855,0)</f>
        <v/>
      </c>
      <c r="R1855" s="8">
        <f>IF(Q1855&lt;&gt;0,Q1855+H1855+L1855,0)</f>
        <v/>
      </c>
      <c r="S1855" s="9">
        <f>VLOOKUP(OPERAC[[#This Row],[especie]],[1]!ESPECIES[#Data],9,FALSE)</f>
        <v/>
      </c>
    </row>
    <row r="1856">
      <c r="A1856" s="4" t="n">
        <v>12671</v>
      </c>
      <c r="B1856" s="5" t="n">
        <v>44645</v>
      </c>
      <c r="C1856" s="13" t="inlineStr">
        <is>
          <t>CPR</t>
        </is>
      </c>
      <c r="D1856" s="13" t="n">
        <v>42</v>
      </c>
      <c r="E1856" s="10">
        <f>IF(D1856&gt;0,VLOOKUP(OPERAC[[#This Row],[COD CART]],[1]!MatrizCortoLargoCyl[#All],3,0),"")</f>
        <v/>
      </c>
      <c r="F1856" s="13" t="inlineStr">
        <is>
          <t>PLUG</t>
        </is>
      </c>
      <c r="G1856" s="6" t="n">
        <v>10</v>
      </c>
      <c r="H1856" s="6" t="n">
        <v>-278.7623</v>
      </c>
      <c r="I1856" s="7">
        <f>-H1856/G1856</f>
        <v/>
      </c>
      <c r="J1856" s="11" t="n">
        <v>44652</v>
      </c>
      <c r="K1856" s="6">
        <f>+OPERAC[[#This Row],[cantidad]]</f>
        <v/>
      </c>
      <c r="L1856" s="6">
        <f>+OPERAC[[#This Row],[cantidad venta]]*27.754</f>
        <v/>
      </c>
      <c r="M1856" s="7">
        <f>IF(N1856=0,+L1856+H1856,0)</f>
        <v/>
      </c>
      <c r="N1856" s="7">
        <f>IF((+G1856-K1856)=0,0,+G1856-K1856)</f>
        <v/>
      </c>
      <c r="O1856" s="7">
        <f>IF(N1856=0,0,(L1856+H1856)/-N1856)</f>
        <v/>
      </c>
      <c r="P1856" s="7">
        <f>VLOOKUP(OPERAC[[#This Row],[especie]],[1]!ESPECIES[#All],6,0)</f>
        <v/>
      </c>
      <c r="Q1856" s="7">
        <f>IF(N1856&lt;&gt;0,P1856*N1856,0)</f>
        <v/>
      </c>
      <c r="R1856" s="8">
        <f>IF(Q1856&lt;&gt;0,Q1856+H1856+L1856,0)</f>
        <v/>
      </c>
      <c r="S1856" s="9">
        <f>VLOOKUP(OPERAC[[#This Row],[especie]],[1]!ESPECIES[#Data],9,FALSE)</f>
        <v/>
      </c>
    </row>
    <row r="1857">
      <c r="A1857" s="4" t="n">
        <v>1792</v>
      </c>
      <c r="B1857" s="5" t="n">
        <v>44494</v>
      </c>
      <c r="C1857" s="13" t="inlineStr">
        <is>
          <t>CPR</t>
        </is>
      </c>
      <c r="D1857" s="13" t="n">
        <v>40</v>
      </c>
      <c r="E1857" s="10">
        <f>IF(D1857&gt;0,VLOOKUP(OPERAC[[#This Row],[COD CART]],[1]!MatrizCortoLargoCyl[#All],3,0),"")</f>
        <v/>
      </c>
      <c r="F1857" s="13" t="inlineStr">
        <is>
          <t>YPF</t>
        </is>
      </c>
      <c r="G1857" s="6" t="n">
        <v>60</v>
      </c>
      <c r="H1857" s="6" t="n">
        <v>-279.1632</v>
      </c>
      <c r="I1857" s="7">
        <f>-H1857/G1857</f>
        <v/>
      </c>
      <c r="J1857" s="11" t="n">
        <v>44606</v>
      </c>
      <c r="K1857" s="6">
        <f>+OPERAC[[#This Row],[cantidad]]</f>
        <v/>
      </c>
      <c r="L1857" s="6">
        <f>+OPERAC[[#This Row],[cantidad venta]]*4.161</f>
        <v/>
      </c>
      <c r="M1857" s="7">
        <f>IF(N1857=0,+L1857+H1857,0)</f>
        <v/>
      </c>
      <c r="N1857" s="7">
        <f>IF((+G1857-K1857)=0,0,+G1857-K1857)</f>
        <v/>
      </c>
      <c r="O1857" s="7">
        <f>IF(N1857=0,0,(L1857+H1857)/-N1857)</f>
        <v/>
      </c>
      <c r="P1857" s="7">
        <f>VLOOKUP(OPERAC[[#This Row],[especie]],[1]!ESPECIES[#All],6,0)</f>
        <v/>
      </c>
      <c r="Q1857" s="7">
        <f>IF(N1857&lt;&gt;0,P1857*N1857,0)</f>
        <v/>
      </c>
      <c r="R1857" s="8">
        <f>IF(Q1857&lt;&gt;0,Q1857+H1857+L1857,0)</f>
        <v/>
      </c>
      <c r="S1857" s="9">
        <f>VLOOKUP(OPERAC[[#This Row],[especie]],[1]!ESPECIES[#Data],9,FALSE)</f>
        <v/>
      </c>
    </row>
    <row r="1858">
      <c r="A1858" s="4" t="n">
        <v>18705</v>
      </c>
      <c r="B1858" s="5" t="n">
        <v>44494</v>
      </c>
      <c r="C1858" s="13" t="inlineStr">
        <is>
          <t>CPR</t>
        </is>
      </c>
      <c r="D1858" s="13" t="n">
        <v>40</v>
      </c>
      <c r="E1858" s="10">
        <f>IF(D1858&gt;0,VLOOKUP(OPERAC[[#This Row],[COD CART]],[1]!MatrizCortoLargoCyl[#All],3,0),"")</f>
        <v/>
      </c>
      <c r="F1858" s="13" t="inlineStr">
        <is>
          <t>YPF</t>
        </is>
      </c>
      <c r="G1858" s="6" t="n">
        <v>60</v>
      </c>
      <c r="H1858" s="6" t="n">
        <v>-279.1632</v>
      </c>
      <c r="I1858" s="7">
        <f>-H1858/G1858</f>
        <v/>
      </c>
      <c r="J1858" s="11" t="n">
        <v>44606</v>
      </c>
      <c r="K1858" s="6">
        <f>+OPERAC[[#This Row],[cantidad]]</f>
        <v/>
      </c>
      <c r="L1858" s="6">
        <f>+OPERAC[[#This Row],[cantidad venta]]*4.161</f>
        <v/>
      </c>
      <c r="M1858" s="7">
        <f>IF(N1858=0,+L1858+H1858,0)</f>
        <v/>
      </c>
      <c r="N1858" s="7">
        <f>IF((+G1858-K1858)=0,0,+G1858-K1858)</f>
        <v/>
      </c>
      <c r="O1858" s="7">
        <f>IF(N1858=0,0,(L1858+H1858)/-N1858)</f>
        <v/>
      </c>
      <c r="P1858" s="7">
        <f>VLOOKUP(OPERAC[[#This Row],[especie]],[1]!ESPECIES[#All],6,0)</f>
        <v/>
      </c>
      <c r="Q1858" s="7">
        <f>IF(N1858&lt;&gt;0,P1858*N1858,0)</f>
        <v/>
      </c>
      <c r="R1858" s="8">
        <f>IF(Q1858&lt;&gt;0,Q1858+H1858+L1858,0)</f>
        <v/>
      </c>
      <c r="S1858" s="9">
        <f>VLOOKUP(OPERAC[[#This Row],[especie]],[1]!ESPECIES[#Data],9,FALSE)</f>
        <v/>
      </c>
    </row>
    <row r="1859">
      <c r="A1859" s="4" t="n">
        <v>2253</v>
      </c>
      <c r="B1859" s="5" t="n">
        <v>44645</v>
      </c>
      <c r="C1859" s="13" t="inlineStr">
        <is>
          <t>CPR</t>
        </is>
      </c>
      <c r="D1859" s="13" t="n">
        <v>42</v>
      </c>
      <c r="E1859" s="10">
        <f>IF(D1859&gt;0,VLOOKUP(OPERAC[[#This Row],[COD CART]],[1]!MatrizCortoLargoCyl[#All],3,0),"")</f>
        <v/>
      </c>
      <c r="F1859" s="13" t="inlineStr">
        <is>
          <t>PLUG</t>
        </is>
      </c>
      <c r="G1859" s="6" t="n">
        <v>10</v>
      </c>
      <c r="H1859" s="6" t="n">
        <v>-279.3164</v>
      </c>
      <c r="I1859" s="7">
        <f>-H1859/G1859</f>
        <v/>
      </c>
      <c r="J1859" s="11" t="n">
        <v>44652</v>
      </c>
      <c r="K1859" s="6">
        <f>+OPERAC[[#This Row],[cantidad]]</f>
        <v/>
      </c>
      <c r="L1859" s="6">
        <f>+OPERAC[[#This Row],[cantidad venta]]*27.754</f>
        <v/>
      </c>
      <c r="M1859" s="7">
        <f>IF(N1859=0,+L1859+H1859,0)</f>
        <v/>
      </c>
      <c r="N1859" s="7">
        <f>IF((+G1859-K1859)=0,0,+G1859-K1859)</f>
        <v/>
      </c>
      <c r="O1859" s="7">
        <f>IF(N1859=0,0,(L1859+H1859)/-N1859)</f>
        <v/>
      </c>
      <c r="P1859" s="7">
        <f>VLOOKUP(OPERAC[[#This Row],[especie]],[1]!ESPECIES[#All],6,0)</f>
        <v/>
      </c>
      <c r="Q1859" s="7">
        <f>IF(N1859&lt;&gt;0,P1859*N1859,0)</f>
        <v/>
      </c>
      <c r="R1859" s="8">
        <f>IF(Q1859&lt;&gt;0,Q1859+H1859+L1859,0)</f>
        <v/>
      </c>
      <c r="S1859" s="9">
        <f>VLOOKUP(OPERAC[[#This Row],[especie]],[1]!ESPECIES[#Data],9,FALSE)</f>
        <v/>
      </c>
    </row>
    <row r="1860">
      <c r="A1860" s="4" t="n">
        <v>12655</v>
      </c>
      <c r="B1860" s="5" t="n">
        <v>44645</v>
      </c>
      <c r="C1860" s="13" t="inlineStr">
        <is>
          <t>CPR</t>
        </is>
      </c>
      <c r="D1860" s="13" t="n">
        <v>42</v>
      </c>
      <c r="E1860" s="10">
        <f>IF(D1860&gt;0,VLOOKUP(OPERAC[[#This Row],[COD CART]],[1]!MatrizCortoLargoCyl[#All],3,0),"")</f>
        <v/>
      </c>
      <c r="F1860" s="13" t="inlineStr">
        <is>
          <t>PLUG</t>
        </is>
      </c>
      <c r="G1860" s="6" t="n">
        <v>10</v>
      </c>
      <c r="H1860" s="6" t="n">
        <v>-279.3164</v>
      </c>
      <c r="I1860" s="7">
        <f>-H1860/G1860</f>
        <v/>
      </c>
      <c r="J1860" s="11" t="n">
        <v>44652</v>
      </c>
      <c r="K1860" s="6">
        <f>+OPERAC[[#This Row],[cantidad]]</f>
        <v/>
      </c>
      <c r="L1860" s="6">
        <f>+OPERAC[[#This Row],[cantidad venta]]*27.754</f>
        <v/>
      </c>
      <c r="M1860" s="7">
        <f>IF(N1860=0,+L1860+H1860,0)</f>
        <v/>
      </c>
      <c r="N1860" s="7">
        <f>IF((+G1860-K1860)=0,0,+G1860-K1860)</f>
        <v/>
      </c>
      <c r="O1860" s="7">
        <f>IF(N1860=0,0,(L1860+H1860)/-N1860)</f>
        <v/>
      </c>
      <c r="P1860" s="7">
        <f>VLOOKUP(OPERAC[[#This Row],[especie]],[1]!ESPECIES[#All],6,0)</f>
        <v/>
      </c>
      <c r="Q1860" s="7">
        <f>IF(N1860&lt;&gt;0,P1860*N1860,0)</f>
        <v/>
      </c>
      <c r="R1860" s="8">
        <f>IF(Q1860&lt;&gt;0,Q1860+H1860+L1860,0)</f>
        <v/>
      </c>
      <c r="S1860" s="9">
        <f>VLOOKUP(OPERAC[[#This Row],[especie]],[1]!ESPECIES[#Data],9,FALSE)</f>
        <v/>
      </c>
    </row>
    <row r="1861">
      <c r="A1861" s="4" t="n">
        <v>12684</v>
      </c>
      <c r="B1861" s="5" t="n">
        <v>44645</v>
      </c>
      <c r="C1861" s="13" t="inlineStr">
        <is>
          <t>CPR</t>
        </is>
      </c>
      <c r="D1861" s="13" t="n">
        <v>42</v>
      </c>
      <c r="E1861" s="10">
        <f>IF(D1861&gt;0,VLOOKUP(OPERAC[[#This Row],[COD CART]],[1]!MatrizCortoLargoCyl[#All],3,0),"")</f>
        <v/>
      </c>
      <c r="F1861" s="13" t="inlineStr">
        <is>
          <t>PLUG</t>
        </is>
      </c>
      <c r="G1861" s="6" t="n">
        <v>10</v>
      </c>
      <c r="H1861" s="6" t="n">
        <v>-279.3164</v>
      </c>
      <c r="I1861" s="7">
        <f>-H1861/G1861</f>
        <v/>
      </c>
      <c r="J1861" s="11" t="n">
        <v>44652</v>
      </c>
      <c r="K1861" s="6">
        <f>+OPERAC[[#This Row],[cantidad]]</f>
        <v/>
      </c>
      <c r="L1861" s="6">
        <f>+OPERAC[[#This Row],[cantidad venta]]*27.754</f>
        <v/>
      </c>
      <c r="M1861" s="7">
        <f>IF(N1861=0,+L1861+H1861,0)</f>
        <v/>
      </c>
      <c r="N1861" s="7">
        <f>IF((+G1861-K1861)=0,0,+G1861-K1861)</f>
        <v/>
      </c>
      <c r="O1861" s="7">
        <f>IF(N1861=0,0,(L1861+H1861)/-N1861)</f>
        <v/>
      </c>
      <c r="P1861" s="7">
        <f>VLOOKUP(OPERAC[[#This Row],[especie]],[1]!ESPECIES[#All],6,0)</f>
        <v/>
      </c>
      <c r="Q1861" s="7">
        <f>IF(N1861&lt;&gt;0,P1861*N1861,0)</f>
        <v/>
      </c>
      <c r="R1861" s="8">
        <f>IF(Q1861&lt;&gt;0,Q1861+H1861+L1861,0)</f>
        <v/>
      </c>
      <c r="S1861" s="9">
        <f>VLOOKUP(OPERAC[[#This Row],[especie]],[1]!ESPECIES[#Data],9,FALSE)</f>
        <v/>
      </c>
    </row>
    <row r="1862">
      <c r="A1862" s="4" t="n">
        <v>12686</v>
      </c>
      <c r="B1862" s="5" t="n">
        <v>44645</v>
      </c>
      <c r="C1862" s="13" t="inlineStr">
        <is>
          <t>CPR</t>
        </is>
      </c>
      <c r="D1862" s="13" t="n">
        <v>42</v>
      </c>
      <c r="E1862" s="10">
        <f>IF(D1862&gt;0,VLOOKUP(OPERAC[[#This Row],[COD CART]],[1]!MatrizCortoLargoCyl[#All],3,0),"")</f>
        <v/>
      </c>
      <c r="F1862" s="13" t="inlineStr">
        <is>
          <t>PLUG</t>
        </is>
      </c>
      <c r="G1862" s="6" t="n">
        <v>10</v>
      </c>
      <c r="H1862" s="6" t="n">
        <v>-279.3164</v>
      </c>
      <c r="I1862" s="7">
        <f>-H1862/G1862</f>
        <v/>
      </c>
      <c r="J1862" s="11" t="n">
        <v>44652</v>
      </c>
      <c r="K1862" s="6">
        <f>+OPERAC[[#This Row],[cantidad]]</f>
        <v/>
      </c>
      <c r="L1862" s="6">
        <f>+OPERAC[[#This Row],[cantidad venta]]*27.754</f>
        <v/>
      </c>
      <c r="M1862" s="7">
        <f>IF(N1862=0,+L1862+H1862,0)</f>
        <v/>
      </c>
      <c r="N1862" s="7">
        <f>IF((+G1862-K1862)=0,0,+G1862-K1862)</f>
        <v/>
      </c>
      <c r="O1862" s="7">
        <f>IF(N1862=0,0,(L1862+H1862)/-N1862)</f>
        <v/>
      </c>
      <c r="P1862" s="7">
        <f>VLOOKUP(OPERAC[[#This Row],[especie]],[1]!ESPECIES[#All],6,0)</f>
        <v/>
      </c>
      <c r="Q1862" s="7">
        <f>IF(N1862&lt;&gt;0,P1862*N1862,0)</f>
        <v/>
      </c>
      <c r="R1862" s="8">
        <f>IF(Q1862&lt;&gt;0,Q1862+H1862+L1862,0)</f>
        <v/>
      </c>
      <c r="S1862" s="9">
        <f>VLOOKUP(OPERAC[[#This Row],[especie]],[1]!ESPECIES[#Data],9,FALSE)</f>
        <v/>
      </c>
    </row>
    <row r="1863">
      <c r="A1863" s="4" t="n">
        <v>13190</v>
      </c>
      <c r="B1863" s="5" t="n">
        <v>44645</v>
      </c>
      <c r="C1863" s="13" t="inlineStr">
        <is>
          <t>CPR</t>
        </is>
      </c>
      <c r="D1863" s="13" t="n">
        <v>42</v>
      </c>
      <c r="E1863" s="10">
        <f>IF(D1863&gt;0,VLOOKUP(OPERAC[[#This Row],[COD CART]],[1]!MatrizCortoLargoCyl[#All],3,0),"")</f>
        <v/>
      </c>
      <c r="F1863" s="13" t="inlineStr">
        <is>
          <t>PLUG</t>
        </is>
      </c>
      <c r="G1863" s="6" t="n">
        <v>10</v>
      </c>
      <c r="H1863" s="6" t="n">
        <v>-279.3164</v>
      </c>
      <c r="I1863" s="7">
        <f>-H1863/G1863</f>
        <v/>
      </c>
      <c r="J1863" s="11" t="n">
        <v>44652</v>
      </c>
      <c r="K1863" s="6">
        <f>+OPERAC[[#This Row],[cantidad]]</f>
        <v/>
      </c>
      <c r="L1863" s="6">
        <f>+OPERAC[[#This Row],[cantidad venta]]*27.754</f>
        <v/>
      </c>
      <c r="M1863" s="7">
        <f>IF(N1863=0,+L1863+H1863,0)</f>
        <v/>
      </c>
      <c r="N1863" s="7">
        <f>IF((+G1863-K1863)=0,0,+G1863-K1863)</f>
        <v/>
      </c>
      <c r="O1863" s="7">
        <f>IF(N1863=0,0,(L1863+H1863)/-N1863)</f>
        <v/>
      </c>
      <c r="P1863" s="7">
        <f>VLOOKUP(OPERAC[[#This Row],[especie]],[1]!ESPECIES[#All],6,0)</f>
        <v/>
      </c>
      <c r="Q1863" s="7">
        <f>IF(N1863&lt;&gt;0,P1863*N1863,0)</f>
        <v/>
      </c>
      <c r="R1863" s="8">
        <f>IF(Q1863&lt;&gt;0,Q1863+H1863+L1863,0)</f>
        <v/>
      </c>
      <c r="S1863" s="9">
        <f>VLOOKUP(OPERAC[[#This Row],[especie]],[1]!ESPECIES[#Data],9,FALSE)</f>
        <v/>
      </c>
    </row>
    <row r="1864">
      <c r="A1864" s="4" t="n">
        <v>18662</v>
      </c>
      <c r="B1864" s="5" t="n">
        <v>44645</v>
      </c>
      <c r="C1864" s="13" t="inlineStr">
        <is>
          <t>CPR</t>
        </is>
      </c>
      <c r="D1864" s="13" t="n">
        <v>42</v>
      </c>
      <c r="E1864" s="10">
        <f>IF(D1864&gt;0,VLOOKUP(OPERAC[[#This Row],[COD CART]],[1]!MatrizCortoLargoCyl[#All],3,0),"")</f>
        <v/>
      </c>
      <c r="F1864" s="13" t="inlineStr">
        <is>
          <t>PLUG</t>
        </is>
      </c>
      <c r="G1864" s="6" t="n">
        <v>10</v>
      </c>
      <c r="H1864" s="6" t="n">
        <v>-279.3164</v>
      </c>
      <c r="I1864" s="7">
        <f>-H1864/G1864</f>
        <v/>
      </c>
      <c r="J1864" s="11" t="n">
        <v>44652</v>
      </c>
      <c r="K1864" s="6">
        <f>+OPERAC[[#This Row],[cantidad]]</f>
        <v/>
      </c>
      <c r="L1864" s="6">
        <f>+OPERAC[[#This Row],[cantidad venta]]*27.754</f>
        <v/>
      </c>
      <c r="M1864" s="7">
        <f>IF(N1864=0,+L1864+H1864,0)</f>
        <v/>
      </c>
      <c r="N1864" s="7">
        <f>IF((+G1864-K1864)=0,0,+G1864-K1864)</f>
        <v/>
      </c>
      <c r="O1864" s="7">
        <f>IF(N1864=0,0,(L1864+H1864)/-N1864)</f>
        <v/>
      </c>
      <c r="P1864" s="7">
        <f>VLOOKUP(OPERAC[[#This Row],[especie]],[1]!ESPECIES[#All],6,0)</f>
        <v/>
      </c>
      <c r="Q1864" s="7">
        <f>IF(N1864&lt;&gt;0,P1864*N1864,0)</f>
        <v/>
      </c>
      <c r="R1864" s="8">
        <f>IF(Q1864&lt;&gt;0,Q1864+H1864+L1864,0)</f>
        <v/>
      </c>
      <c r="S1864" s="9">
        <f>VLOOKUP(OPERAC[[#This Row],[especie]],[1]!ESPECIES[#Data],9,FALSE)</f>
        <v/>
      </c>
    </row>
    <row r="1865">
      <c r="A1865" s="4" t="n">
        <v>18711</v>
      </c>
      <c r="B1865" s="5" t="n">
        <v>44645</v>
      </c>
      <c r="C1865" s="13" t="inlineStr">
        <is>
          <t>CPR</t>
        </is>
      </c>
      <c r="D1865" s="13" t="n">
        <v>42</v>
      </c>
      <c r="E1865" s="10">
        <f>IF(D1865&gt;0,VLOOKUP(OPERAC[[#This Row],[COD CART]],[1]!MatrizCortoLargoCyl[#All],3,0),"")</f>
        <v/>
      </c>
      <c r="F1865" s="13" t="inlineStr">
        <is>
          <t>PLUG</t>
        </is>
      </c>
      <c r="G1865" s="6" t="n">
        <v>10</v>
      </c>
      <c r="H1865" s="6" t="n">
        <v>-279.3164</v>
      </c>
      <c r="I1865" s="7">
        <f>-H1865/G1865</f>
        <v/>
      </c>
      <c r="J1865" s="11" t="n">
        <v>44652</v>
      </c>
      <c r="K1865" s="6">
        <f>+OPERAC[[#This Row],[cantidad]]</f>
        <v/>
      </c>
      <c r="L1865" s="6">
        <f>+OPERAC[[#This Row],[cantidad venta]]*27.754</f>
        <v/>
      </c>
      <c r="M1865" s="7">
        <f>IF(N1865=0,+L1865+H1865,0)</f>
        <v/>
      </c>
      <c r="N1865" s="7">
        <f>IF((+G1865-K1865)=0,0,+G1865-K1865)</f>
        <v/>
      </c>
      <c r="O1865" s="7">
        <f>IF(N1865=0,0,(L1865+H1865)/-N1865)</f>
        <v/>
      </c>
      <c r="P1865" s="7">
        <f>VLOOKUP(OPERAC[[#This Row],[especie]],[1]!ESPECIES[#All],6,0)</f>
        <v/>
      </c>
      <c r="Q1865" s="7">
        <f>IF(N1865&lt;&gt;0,P1865*N1865,0)</f>
        <v/>
      </c>
      <c r="R1865" s="8">
        <f>IF(Q1865&lt;&gt;0,Q1865+H1865+L1865,0)</f>
        <v/>
      </c>
      <c r="S1865" s="9">
        <f>VLOOKUP(OPERAC[[#This Row],[especie]],[1]!ESPECIES[#Data],9,FALSE)</f>
        <v/>
      </c>
    </row>
    <row r="1866">
      <c r="A1866" s="4" t="n">
        <v>20312</v>
      </c>
      <c r="B1866" s="5" t="n">
        <v>44645</v>
      </c>
      <c r="C1866" s="13" t="inlineStr">
        <is>
          <t>CPR</t>
        </is>
      </c>
      <c r="D1866" s="13" t="n">
        <v>42</v>
      </c>
      <c r="E1866" s="10">
        <f>IF(D1866&gt;0,VLOOKUP(OPERAC[[#This Row],[COD CART]],[1]!MatrizCortoLargoCyl[#All],3,0),"")</f>
        <v/>
      </c>
      <c r="F1866" s="13" t="inlineStr">
        <is>
          <t>PLUG</t>
        </is>
      </c>
      <c r="G1866" s="6" t="n">
        <v>10</v>
      </c>
      <c r="H1866" s="6" t="n">
        <v>-279.3164</v>
      </c>
      <c r="I1866" s="7">
        <f>-H1866/G1866</f>
        <v/>
      </c>
      <c r="J1866" s="11" t="n">
        <v>44652</v>
      </c>
      <c r="K1866" s="6">
        <f>+OPERAC[[#This Row],[cantidad]]</f>
        <v/>
      </c>
      <c r="L1866" s="6">
        <f>+OPERAC[[#This Row],[cantidad venta]]*27.754</f>
        <v/>
      </c>
      <c r="M1866" s="7">
        <f>IF(N1866=0,+L1866+H1866,0)</f>
        <v/>
      </c>
      <c r="N1866" s="7">
        <f>IF((+G1866-K1866)=0,0,+G1866-K1866)</f>
        <v/>
      </c>
      <c r="O1866" s="7">
        <f>IF(N1866=0,0,(L1866+H1866)/-N1866)</f>
        <v/>
      </c>
      <c r="P1866" s="7">
        <f>VLOOKUP(OPERAC[[#This Row],[especie]],[1]!ESPECIES[#All],6,0)</f>
        <v/>
      </c>
      <c r="Q1866" s="7">
        <f>IF(N1866&lt;&gt;0,P1866*N1866,0)</f>
        <v/>
      </c>
      <c r="R1866" s="8">
        <f>IF(Q1866&lt;&gt;0,Q1866+H1866+L1866,0)</f>
        <v/>
      </c>
      <c r="S1866" s="9">
        <f>VLOOKUP(OPERAC[[#This Row],[especie]],[1]!ESPECIES[#Data],9,FALSE)</f>
        <v/>
      </c>
    </row>
    <row r="1867">
      <c r="A1867" s="4" t="n">
        <v>22431</v>
      </c>
      <c r="B1867" s="5" t="n">
        <v>44645</v>
      </c>
      <c r="C1867" s="13" t="inlineStr">
        <is>
          <t>CPR</t>
        </is>
      </c>
      <c r="D1867" s="13" t="n">
        <v>42</v>
      </c>
      <c r="E1867" s="10">
        <f>IF(D1867&gt;0,VLOOKUP(OPERAC[[#This Row],[COD CART]],[1]!MatrizCortoLargoCyl[#All],3,0),"")</f>
        <v/>
      </c>
      <c r="F1867" s="13" t="inlineStr">
        <is>
          <t>PLUG</t>
        </is>
      </c>
      <c r="G1867" s="6" t="n">
        <v>10</v>
      </c>
      <c r="H1867" s="6" t="n">
        <v>-279.3164</v>
      </c>
      <c r="I1867" s="7">
        <f>-H1867/G1867</f>
        <v/>
      </c>
      <c r="J1867" s="11" t="n">
        <v>44652</v>
      </c>
      <c r="K1867" s="6">
        <f>+OPERAC[[#This Row],[cantidad]]</f>
        <v/>
      </c>
      <c r="L1867" s="6">
        <f>+OPERAC[[#This Row],[cantidad venta]]*27.754</f>
        <v/>
      </c>
      <c r="M1867" s="7">
        <f>IF(N1867=0,+L1867+H1867,0)</f>
        <v/>
      </c>
      <c r="N1867" s="7">
        <f>IF((+G1867-K1867)=0,0,+G1867-K1867)</f>
        <v/>
      </c>
      <c r="O1867" s="7">
        <f>IF(N1867=0,0,(L1867+H1867)/-N1867)</f>
        <v/>
      </c>
      <c r="P1867" s="7">
        <f>VLOOKUP(OPERAC[[#This Row],[especie]],[1]!ESPECIES[#All],6,0)</f>
        <v/>
      </c>
      <c r="Q1867" s="7">
        <f>IF(N1867&lt;&gt;0,P1867*N1867,0)</f>
        <v/>
      </c>
      <c r="R1867" s="8">
        <f>IF(Q1867&lt;&gt;0,Q1867+H1867+L1867,0)</f>
        <v/>
      </c>
      <c r="S1867" s="9">
        <f>VLOOKUP(OPERAC[[#This Row],[especie]],[1]!ESPECIES[#Data],9,FALSE)</f>
        <v/>
      </c>
    </row>
    <row r="1868">
      <c r="A1868" s="4" t="n">
        <v>26137</v>
      </c>
      <c r="B1868" s="5" t="n">
        <v>44645</v>
      </c>
      <c r="C1868" s="13" t="inlineStr">
        <is>
          <t>CPR</t>
        </is>
      </c>
      <c r="D1868" s="13" t="n">
        <v>42</v>
      </c>
      <c r="E1868" s="10">
        <f>IF(D1868&gt;0,VLOOKUP(OPERAC[[#This Row],[COD CART]],[1]!MatrizCortoLargoCyl[#All],3,0),"")</f>
        <v/>
      </c>
      <c r="F1868" s="13" t="inlineStr">
        <is>
          <t>PLUG</t>
        </is>
      </c>
      <c r="G1868" s="6" t="n">
        <v>10</v>
      </c>
      <c r="H1868" s="6" t="n">
        <v>-279.3164</v>
      </c>
      <c r="I1868" s="7">
        <f>-H1868/G1868</f>
        <v/>
      </c>
      <c r="J1868" s="11" t="n">
        <v>44652</v>
      </c>
      <c r="K1868" s="6">
        <f>+OPERAC[[#This Row],[cantidad]]</f>
        <v/>
      </c>
      <c r="L1868" s="6">
        <f>+OPERAC[[#This Row],[cantidad venta]]*27.754</f>
        <v/>
      </c>
      <c r="M1868" s="7">
        <f>IF(N1868=0,+L1868+H1868,0)</f>
        <v/>
      </c>
      <c r="N1868" s="7">
        <f>IF((+G1868-K1868)=0,0,+G1868-K1868)</f>
        <v/>
      </c>
      <c r="O1868" s="7">
        <f>IF(N1868=0,0,(L1868+H1868)/-N1868)</f>
        <v/>
      </c>
      <c r="P1868" s="7">
        <f>VLOOKUP(OPERAC[[#This Row],[especie]],[1]!ESPECIES[#All],6,0)</f>
        <v/>
      </c>
      <c r="Q1868" s="7">
        <f>IF(N1868&lt;&gt;0,P1868*N1868,0)</f>
        <v/>
      </c>
      <c r="R1868" s="8">
        <f>IF(Q1868&lt;&gt;0,Q1868+H1868+L1868,0)</f>
        <v/>
      </c>
      <c r="S1868" s="9">
        <f>VLOOKUP(OPERAC[[#This Row],[especie]],[1]!ESPECIES[#Data],9,FALSE)</f>
        <v/>
      </c>
    </row>
    <row r="1869">
      <c r="A1869" s="4" t="n">
        <v>4561</v>
      </c>
      <c r="B1869" s="5" t="n">
        <v>44543</v>
      </c>
      <c r="C1869" s="13" t="inlineStr">
        <is>
          <t>CPR</t>
        </is>
      </c>
      <c r="D1869" s="13" t="n">
        <v>40</v>
      </c>
      <c r="E1869" s="10">
        <f>IF(D1869&gt;0,VLOOKUP(OPERAC[[#This Row],[COD CART]],[1]!MatrizCortoLargoCyl[#All],3,0),"")</f>
        <v/>
      </c>
      <c r="F1869" s="13" t="inlineStr">
        <is>
          <t>VIST</t>
        </is>
      </c>
      <c r="G1869" s="6" t="n">
        <v>50</v>
      </c>
      <c r="H1869" s="6" t="n">
        <v>-279.97</v>
      </c>
      <c r="I1869" s="7">
        <f>-H1869/G1869</f>
        <v/>
      </c>
      <c r="J1869" s="11" t="n">
        <v>44574</v>
      </c>
      <c r="K1869" s="6">
        <f>+OPERAC[[#This Row],[cantidad]]</f>
        <v/>
      </c>
      <c r="L1869" s="6">
        <f>+OPERAC[[#This Row],[cantidad venta]]*6.125</f>
        <v/>
      </c>
      <c r="M1869" s="7">
        <f>IF(N1869=0,+L1869+H1869,0)</f>
        <v/>
      </c>
      <c r="N1869" s="7">
        <f>IF((+G1869-K1869)=0,0,+G1869-K1869)</f>
        <v/>
      </c>
      <c r="O1869" s="7">
        <f>IF(N1869=0,0,(L1869+H1869)/-N1869)</f>
        <v/>
      </c>
      <c r="P1869" s="7">
        <f>VLOOKUP(OPERAC[[#This Row],[especie]],[1]!ESPECIES[#All],6,0)</f>
        <v/>
      </c>
      <c r="Q1869" s="7">
        <f>IF(N1869&lt;&gt;0,P1869*N1869,0)</f>
        <v/>
      </c>
      <c r="R1869" s="8">
        <f>IF(Q1869&lt;&gt;0,Q1869+H1869+L1869,0)</f>
        <v/>
      </c>
      <c r="S1869" s="9">
        <f>VLOOKUP(OPERAC[[#This Row],[especie]],[1]!ESPECIES[#Data],9,FALSE)</f>
        <v/>
      </c>
    </row>
    <row r="1870">
      <c r="A1870" s="4" t="n">
        <v>13190</v>
      </c>
      <c r="B1870" s="5" t="n">
        <v>44543</v>
      </c>
      <c r="C1870" s="13" t="inlineStr">
        <is>
          <t>CPR</t>
        </is>
      </c>
      <c r="D1870" s="13" t="n">
        <v>40</v>
      </c>
      <c r="E1870" s="10">
        <f>IF(D1870&gt;0,VLOOKUP(OPERAC[[#This Row],[COD CART]],[1]!MatrizCortoLargoCyl[#All],3,0),"")</f>
        <v/>
      </c>
      <c r="F1870" s="13" t="inlineStr">
        <is>
          <t>VIST</t>
        </is>
      </c>
      <c r="G1870" s="6" t="n">
        <v>50</v>
      </c>
      <c r="H1870" s="6" t="n">
        <v>-279.97</v>
      </c>
      <c r="I1870" s="7">
        <f>-H1870/G1870</f>
        <v/>
      </c>
      <c r="J1870" s="11" t="n">
        <v>44574</v>
      </c>
      <c r="K1870" s="6">
        <f>+OPERAC[[#This Row],[cantidad]]</f>
        <v/>
      </c>
      <c r="L1870" s="6">
        <f>+OPERAC[[#This Row],[cantidad venta]]*6.125</f>
        <v/>
      </c>
      <c r="M1870" s="7">
        <f>IF(N1870=0,+L1870+H1870,0)</f>
        <v/>
      </c>
      <c r="N1870" s="7">
        <f>IF((+G1870-K1870)=0,0,+G1870-K1870)</f>
        <v/>
      </c>
      <c r="O1870" s="7">
        <f>IF(N1870=0,0,(L1870+H1870)/-N1870)</f>
        <v/>
      </c>
      <c r="P1870" s="7">
        <f>VLOOKUP(OPERAC[[#This Row],[especie]],[1]!ESPECIES[#All],6,0)</f>
        <v/>
      </c>
      <c r="Q1870" s="7">
        <f>IF(N1870&lt;&gt;0,P1870*N1870,0)</f>
        <v/>
      </c>
      <c r="R1870" s="8">
        <f>IF(Q1870&lt;&gt;0,Q1870+H1870+L1870,0)</f>
        <v/>
      </c>
      <c r="S1870" s="9">
        <f>VLOOKUP(OPERAC[[#This Row],[especie]],[1]!ESPECIES[#Data],9,FALSE)</f>
        <v/>
      </c>
    </row>
    <row r="1871">
      <c r="A1871" s="4" t="n">
        <v>18651</v>
      </c>
      <c r="B1871" s="5" t="n">
        <v>44543</v>
      </c>
      <c r="C1871" s="13" t="inlineStr">
        <is>
          <t>CPR</t>
        </is>
      </c>
      <c r="D1871" s="13" t="n">
        <v>40</v>
      </c>
      <c r="E1871" s="10">
        <f>IF(D1871&gt;0,VLOOKUP(OPERAC[[#This Row],[COD CART]],[1]!MatrizCortoLargoCyl[#All],3,0),"")</f>
        <v/>
      </c>
      <c r="F1871" s="13" t="inlineStr">
        <is>
          <t>VIST</t>
        </is>
      </c>
      <c r="G1871" s="6" t="n">
        <v>50</v>
      </c>
      <c r="H1871" s="6" t="n">
        <v>-279.97</v>
      </c>
      <c r="I1871" s="7">
        <f>-H1871/G1871</f>
        <v/>
      </c>
      <c r="J1871" s="11" t="n">
        <v>44574</v>
      </c>
      <c r="K1871" s="6">
        <f>+OPERAC[[#This Row],[cantidad]]</f>
        <v/>
      </c>
      <c r="L1871" s="6">
        <f>+OPERAC[[#This Row],[cantidad venta]]*6.125</f>
        <v/>
      </c>
      <c r="M1871" s="7">
        <f>IF(N1871=0,+L1871+H1871,0)</f>
        <v/>
      </c>
      <c r="N1871" s="7">
        <f>IF((+G1871-K1871)=0,0,+G1871-K1871)</f>
        <v/>
      </c>
      <c r="O1871" s="7">
        <f>IF(N1871=0,0,(L1871+H1871)/-N1871)</f>
        <v/>
      </c>
      <c r="P1871" s="7">
        <f>VLOOKUP(OPERAC[[#This Row],[especie]],[1]!ESPECIES[#All],6,0)</f>
        <v/>
      </c>
      <c r="Q1871" s="7">
        <f>IF(N1871&lt;&gt;0,P1871*N1871,0)</f>
        <v/>
      </c>
      <c r="R1871" s="8">
        <f>IF(Q1871&lt;&gt;0,Q1871+H1871+L1871,0)</f>
        <v/>
      </c>
      <c r="S1871" s="9">
        <f>VLOOKUP(OPERAC[[#This Row],[especie]],[1]!ESPECIES[#Data],9,FALSE)</f>
        <v/>
      </c>
    </row>
    <row r="1872">
      <c r="A1872" s="4" t="n">
        <v>1800</v>
      </c>
      <c r="B1872" s="5" t="n">
        <v>44490</v>
      </c>
      <c r="C1872" s="13" t="inlineStr">
        <is>
          <t>CPR</t>
        </is>
      </c>
      <c r="D1872" s="13" t="n">
        <v>43</v>
      </c>
      <c r="E1872" s="10">
        <f>IF(D1872&gt;0,VLOOKUP(OPERAC[[#This Row],[COD CART]],[1]!MatrizCortoLargoCyl[#All],3,0),"")</f>
        <v/>
      </c>
      <c r="F1872" s="13" t="inlineStr">
        <is>
          <t>SESN/CYL-PUT/1,00/19-01-24</t>
        </is>
      </c>
      <c r="G1872" s="6" t="n">
        <v>1000</v>
      </c>
      <c r="H1872" s="6">
        <f>-0.28*OPERAC[[#This Row],[cantidad]]</f>
        <v/>
      </c>
      <c r="I1872" s="7">
        <f>-H1872/G1872</f>
        <v/>
      </c>
      <c r="J1872" s="11" t="n"/>
      <c r="K1872" s="6" t="n"/>
      <c r="L1872" s="6" t="n"/>
      <c r="M1872" s="7">
        <f>IF(N1872=0,+L1872+H1872,0)</f>
        <v/>
      </c>
      <c r="N1872" s="7">
        <f>IF((+G1872-K1872)=0,0,+G1872-K1872)</f>
        <v/>
      </c>
      <c r="O1872" s="7">
        <f>IF(N1872=0,0,(L1872+H1872)/-N1872)</f>
        <v/>
      </c>
      <c r="P1872" s="7">
        <f>VLOOKUP(OPERAC[[#This Row],[especie]],[1]!ESPECIES[#All],6,0)</f>
        <v/>
      </c>
      <c r="Q1872" s="7">
        <f>IF(N1872&lt;&gt;0,P1872*N1872,0)</f>
        <v/>
      </c>
      <c r="R1872" s="8">
        <f>IF(Q1872&lt;&gt;0,Q1872+H1872+L1872,0)</f>
        <v/>
      </c>
      <c r="S1872" s="9">
        <f>VLOOKUP(OPERAC[[#This Row],[especie]],[1]!ESPECIES[#Data],9,FALSE)</f>
        <v/>
      </c>
    </row>
    <row r="1873">
      <c r="A1873" s="4" t="n">
        <v>18703</v>
      </c>
      <c r="B1873" s="5" t="n">
        <v>44490</v>
      </c>
      <c r="C1873" s="13" t="inlineStr">
        <is>
          <t>CPR</t>
        </is>
      </c>
      <c r="D1873" s="13" t="n">
        <v>43</v>
      </c>
      <c r="E1873" s="10">
        <f>IF(D1873&gt;0,VLOOKUP(OPERAC[[#This Row],[COD CART]],[1]!MatrizCortoLargoCyl[#All],3,0),"")</f>
        <v/>
      </c>
      <c r="F1873" s="13" t="inlineStr">
        <is>
          <t>SESN/CYL-PUT/1,00/19-01-24</t>
        </is>
      </c>
      <c r="G1873" s="6" t="n">
        <v>1000</v>
      </c>
      <c r="H1873" s="6">
        <f>-0.28*OPERAC[[#This Row],[cantidad]]</f>
        <v/>
      </c>
      <c r="I1873" s="7">
        <f>-H1873/G1873</f>
        <v/>
      </c>
      <c r="J1873" s="11" t="n">
        <v>44614</v>
      </c>
      <c r="K1873" s="6" t="n">
        <v>1000</v>
      </c>
      <c r="L1873" s="6" t="n">
        <v>266.068</v>
      </c>
      <c r="M1873" s="7">
        <f>IF(N1873=0,+L1873+H1873,0)</f>
        <v/>
      </c>
      <c r="N1873" s="7">
        <f>IF((+G1873-K1873)=0,0,+G1873-K1873)</f>
        <v/>
      </c>
      <c r="O1873" s="7">
        <f>IF(N1873=0,0,(L1873+H1873)/-N1873)</f>
        <v/>
      </c>
      <c r="P1873" s="7">
        <f>VLOOKUP(OPERAC[[#This Row],[especie]],[1]!ESPECIES[#All],6,0)</f>
        <v/>
      </c>
      <c r="Q1873" s="7">
        <f>IF(N1873&lt;&gt;0,P1873*N1873,0)</f>
        <v/>
      </c>
      <c r="R1873" s="8">
        <f>IF(Q1873&lt;&gt;0,Q1873+H1873+L1873,0)</f>
        <v/>
      </c>
      <c r="S1873" s="9">
        <f>VLOOKUP(OPERAC[[#This Row],[especie]],[1]!ESPECIES[#Data],9,FALSE)</f>
        <v/>
      </c>
    </row>
    <row r="1874">
      <c r="A1874" s="4" t="n">
        <v>18705</v>
      </c>
      <c r="B1874" s="5" t="n">
        <v>44490</v>
      </c>
      <c r="C1874" s="13" t="inlineStr">
        <is>
          <t>CPR</t>
        </is>
      </c>
      <c r="D1874" s="13" t="n">
        <v>43</v>
      </c>
      <c r="E1874" s="10">
        <f>IF(D1874&gt;0,VLOOKUP(OPERAC[[#This Row],[COD CART]],[1]!MatrizCortoLargoCyl[#All],3,0),"")</f>
        <v/>
      </c>
      <c r="F1874" s="13" t="inlineStr">
        <is>
          <t>SESN/CYL-PUT/1,00/19-01-24</t>
        </is>
      </c>
      <c r="G1874" s="6" t="n">
        <v>1000</v>
      </c>
      <c r="H1874" s="6">
        <f>-0.28*OPERAC[[#This Row],[cantidad]]</f>
        <v/>
      </c>
      <c r="I1874" s="7">
        <f>-H1874/G1874</f>
        <v/>
      </c>
      <c r="J1874" s="11" t="n"/>
      <c r="K1874" s="6" t="n"/>
      <c r="L1874" s="6" t="n"/>
      <c r="M1874" s="7">
        <f>IF(N1874=0,+L1874+H1874,0)</f>
        <v/>
      </c>
      <c r="N1874" s="7">
        <f>IF((+G1874-K1874)=0,0,+G1874-K1874)</f>
        <v/>
      </c>
      <c r="O1874" s="7">
        <f>IF(N1874=0,0,(L1874+H1874)/-N1874)</f>
        <v/>
      </c>
      <c r="P1874" s="7">
        <f>VLOOKUP(OPERAC[[#This Row],[especie]],[1]!ESPECIES[#All],6,0)</f>
        <v/>
      </c>
      <c r="Q1874" s="7">
        <f>IF(N1874&lt;&gt;0,P1874*N1874,0)</f>
        <v/>
      </c>
      <c r="R1874" s="8">
        <f>IF(Q1874&lt;&gt;0,Q1874+H1874+L1874,0)</f>
        <v/>
      </c>
      <c r="S1874" s="9">
        <f>VLOOKUP(OPERAC[[#This Row],[especie]],[1]!ESPECIES[#Data],9,FALSE)</f>
        <v/>
      </c>
    </row>
    <row r="1875">
      <c r="A1875" s="4" t="n">
        <v>19888</v>
      </c>
      <c r="B1875" s="5" t="n">
        <v>44490</v>
      </c>
      <c r="C1875" s="13" t="inlineStr">
        <is>
          <t>CPR</t>
        </is>
      </c>
      <c r="D1875" s="13" t="n">
        <v>43</v>
      </c>
      <c r="E1875" s="10">
        <f>IF(D1875&gt;0,VLOOKUP(OPERAC[[#This Row],[COD CART]],[1]!MatrizCortoLargoCyl[#All],3,0),"")</f>
        <v/>
      </c>
      <c r="F1875" s="13" t="inlineStr">
        <is>
          <t>SESN/CYL-PUT/1,00/19-01-24</t>
        </is>
      </c>
      <c r="G1875" s="6" t="n">
        <v>1000</v>
      </c>
      <c r="H1875" s="6">
        <f>-0.28*OPERAC[[#This Row],[cantidad]]</f>
        <v/>
      </c>
      <c r="I1875" s="7">
        <f>-H1875/G1875</f>
        <v/>
      </c>
      <c r="J1875" s="11" t="n">
        <v>44614</v>
      </c>
      <c r="K1875" s="6" t="n">
        <v>1000</v>
      </c>
      <c r="L1875" s="6">
        <f>0.266068*OPERAC[[#This Row],[cantidad venta]]</f>
        <v/>
      </c>
      <c r="M1875" s="7">
        <f>IF(N1875=0,+L1875+H1875,0)</f>
        <v/>
      </c>
      <c r="N1875" s="7">
        <f>IF((+G1875-K1875)=0,0,+G1875-K1875)</f>
        <v/>
      </c>
      <c r="O1875" s="7">
        <f>IF(N1875=0,0,(L1875+H1875)/-N1875)</f>
        <v/>
      </c>
      <c r="P1875" s="7">
        <f>VLOOKUP(OPERAC[[#This Row],[especie]],[1]!ESPECIES[#All],6,0)</f>
        <v/>
      </c>
      <c r="Q1875" s="7">
        <f>IF(N1875&lt;&gt;0,P1875*N1875,0)</f>
        <v/>
      </c>
      <c r="R1875" s="8">
        <f>IF(Q1875&lt;&gt;0,Q1875+H1875+L1875,0)</f>
        <v/>
      </c>
      <c r="S1875" s="9">
        <f>VLOOKUP(OPERAC[[#This Row],[especie]],[1]!ESPECIES[#Data],9,FALSE)</f>
        <v/>
      </c>
    </row>
    <row r="1876">
      <c r="A1876" s="4" t="n">
        <v>12671</v>
      </c>
      <c r="B1876" s="5" t="n">
        <v>44641</v>
      </c>
      <c r="C1876" s="13" t="inlineStr">
        <is>
          <t>CPR</t>
        </is>
      </c>
      <c r="D1876" s="13" t="n">
        <v>42</v>
      </c>
      <c r="E1876" s="10">
        <f>IF(D1876&gt;0,VLOOKUP(OPERAC[[#This Row],[COD CART]],[1]!MatrizCortoLargoCyl[#All],3,0),"")</f>
        <v/>
      </c>
      <c r="F1876" s="13" t="inlineStr">
        <is>
          <t>JPM</t>
        </is>
      </c>
      <c r="G1876" s="6" t="n">
        <v>2</v>
      </c>
      <c r="H1876" s="6" t="n">
        <v>-280.3513600000001</v>
      </c>
      <c r="I1876" s="7">
        <f>-H1876/G1876</f>
        <v/>
      </c>
      <c r="J1876" s="11" t="n">
        <v>44664</v>
      </c>
      <c r="K1876" s="6">
        <f>+OPERAC[[#This Row],[cantidad]]</f>
        <v/>
      </c>
      <c r="L1876" s="6">
        <f>+OPERAC[[#This Row],[cantidad venta]]*125.943</f>
        <v/>
      </c>
      <c r="M1876" s="7">
        <f>IF(N1876=0,+L1876+H1876,0)</f>
        <v/>
      </c>
      <c r="N1876" s="7">
        <f>IF((+G1876-K1876)=0,0,+G1876-K1876)</f>
        <v/>
      </c>
      <c r="O1876" s="7">
        <f>IF(N1876=0,0,(L1876+H1876)/-N1876)</f>
        <v/>
      </c>
      <c r="P1876" s="7">
        <f>VLOOKUP(OPERAC[[#This Row],[especie]],[1]!ESPECIES[#All],6,0)</f>
        <v/>
      </c>
      <c r="Q1876" s="7">
        <f>IF(N1876&lt;&gt;0,P1876*N1876,0)</f>
        <v/>
      </c>
      <c r="R1876" s="8">
        <f>IF(Q1876&lt;&gt;0,Q1876+H1876+L1876,0)</f>
        <v/>
      </c>
      <c r="S1876" s="9">
        <f>VLOOKUP(OPERAC[[#This Row],[especie]],[1]!ESPECIES[#Data],9,FALSE)</f>
        <v/>
      </c>
    </row>
    <row r="1877">
      <c r="A1877" s="4" t="n">
        <v>13253</v>
      </c>
      <c r="B1877" s="5" t="n">
        <v>44215</v>
      </c>
      <c r="C1877" s="13" t="inlineStr">
        <is>
          <t>CPR</t>
        </is>
      </c>
      <c r="D1877" s="13" t="n">
        <v>41</v>
      </c>
      <c r="E1877" s="10">
        <f>IF(D1877&gt;0,VLOOKUP(OPERAC[[#This Row],[COD CART]],[1]!MatrizCortoLargoCyl[#All],3,0),"")</f>
        <v/>
      </c>
      <c r="F1877" s="13" t="inlineStr">
        <is>
          <t>HIPS</t>
        </is>
      </c>
      <c r="G1877" s="6" t="n">
        <v>20</v>
      </c>
      <c r="H1877" s="6" t="n">
        <v>-280.6272</v>
      </c>
      <c r="I1877" s="7">
        <f>-H1877/G1877</f>
        <v/>
      </c>
      <c r="J1877" s="11" t="n"/>
      <c r="K1877" s="6" t="n"/>
      <c r="L1877" s="6" t="n"/>
      <c r="M1877" s="7">
        <f>IF(N1877=0,+L1877+H1877,0)</f>
        <v/>
      </c>
      <c r="N1877" s="7">
        <f>IF((+G1877-K1877)=0,0,+G1877-K1877)</f>
        <v/>
      </c>
      <c r="O1877" s="7">
        <f>IF(N1877=0,0,(L1877+H1877)/-N1877)</f>
        <v/>
      </c>
      <c r="P1877" s="7">
        <f>VLOOKUP(OPERAC[[#This Row],[especie]],[1]!ESPECIES[#All],6,0)</f>
        <v/>
      </c>
      <c r="Q1877" s="7">
        <f>IF(N1877&lt;&gt;0,P1877*N1877,0)</f>
        <v/>
      </c>
      <c r="R1877" s="8">
        <f>IF(Q1877&lt;&gt;0,Q1877+H1877+L1877,0)</f>
        <v/>
      </c>
      <c r="S1877" s="9">
        <f>VLOOKUP(OPERAC[[#This Row],[especie]],[1]!ESPECIES[#Data],9,FALSE)</f>
        <v/>
      </c>
    </row>
    <row r="1878">
      <c r="A1878" s="4" t="n">
        <v>1801</v>
      </c>
      <c r="B1878" s="5" t="n">
        <v>44641</v>
      </c>
      <c r="C1878" s="13" t="inlineStr">
        <is>
          <t>CPR</t>
        </is>
      </c>
      <c r="D1878" s="13" t="n">
        <v>42</v>
      </c>
      <c r="E1878" s="10">
        <f>IF(D1878&gt;0,VLOOKUP(OPERAC[[#This Row],[COD CART]],[1]!MatrizCortoLargoCyl[#All],3,0),"")</f>
        <v/>
      </c>
      <c r="F1878" s="13" t="inlineStr">
        <is>
          <t>JPM</t>
        </is>
      </c>
      <c r="G1878" s="6" t="n">
        <v>2</v>
      </c>
      <c r="H1878" s="6" t="n">
        <v>-280.9086800000001</v>
      </c>
      <c r="I1878" s="7">
        <f>-H1878/G1878</f>
        <v/>
      </c>
      <c r="J1878" s="11" t="n">
        <v>44664</v>
      </c>
      <c r="K1878" s="6">
        <f>+OPERAC[[#This Row],[cantidad]]</f>
        <v/>
      </c>
      <c r="L1878" s="6">
        <f>+OPERAC[[#This Row],[cantidad venta]]*125.943</f>
        <v/>
      </c>
      <c r="M1878" s="7">
        <f>IF(N1878=0,+L1878+H1878,0)</f>
        <v/>
      </c>
      <c r="N1878" s="7">
        <f>IF((+G1878-K1878)=0,0,+G1878-K1878)</f>
        <v/>
      </c>
      <c r="O1878" s="7">
        <f>IF(N1878=0,0,(L1878+H1878)/-N1878)</f>
        <v/>
      </c>
      <c r="P1878" s="7">
        <f>VLOOKUP(OPERAC[[#This Row],[especie]],[1]!ESPECIES[#All],6,0)</f>
        <v/>
      </c>
      <c r="Q1878" s="7">
        <f>IF(N1878&lt;&gt;0,P1878*N1878,0)</f>
        <v/>
      </c>
      <c r="R1878" s="8">
        <f>IF(Q1878&lt;&gt;0,Q1878+H1878+L1878,0)</f>
        <v/>
      </c>
      <c r="S1878" s="9">
        <f>VLOOKUP(OPERAC[[#This Row],[especie]],[1]!ESPECIES[#Data],9,FALSE)</f>
        <v/>
      </c>
    </row>
    <row r="1879">
      <c r="A1879" s="4" t="n">
        <v>2211</v>
      </c>
      <c r="B1879" s="5" t="n">
        <v>44641</v>
      </c>
      <c r="C1879" s="13" t="inlineStr">
        <is>
          <t>CPR</t>
        </is>
      </c>
      <c r="D1879" s="13" t="n">
        <v>42</v>
      </c>
      <c r="E1879" s="10">
        <f>IF(D1879&gt;0,VLOOKUP(OPERAC[[#This Row],[COD CART]],[1]!MatrizCortoLargoCyl[#All],3,0),"")</f>
        <v/>
      </c>
      <c r="F1879" s="13" t="inlineStr">
        <is>
          <t>JPM</t>
        </is>
      </c>
      <c r="G1879" s="6" t="n">
        <v>2</v>
      </c>
      <c r="H1879" s="6" t="n">
        <v>-280.9086800000001</v>
      </c>
      <c r="I1879" s="7">
        <f>-H1879/G1879</f>
        <v/>
      </c>
      <c r="J1879" s="11" t="n">
        <v>44664</v>
      </c>
      <c r="K1879" s="6">
        <f>+OPERAC[[#This Row],[cantidad]]</f>
        <v/>
      </c>
      <c r="L1879" s="6">
        <f>+OPERAC[[#This Row],[cantidad venta]]*125.943</f>
        <v/>
      </c>
      <c r="M1879" s="7">
        <f>IF(N1879=0,+L1879+H1879,0)</f>
        <v/>
      </c>
      <c r="N1879" s="7">
        <f>IF((+G1879-K1879)=0,0,+G1879-K1879)</f>
        <v/>
      </c>
      <c r="O1879" s="7">
        <f>IF(N1879=0,0,(L1879+H1879)/-N1879)</f>
        <v/>
      </c>
      <c r="P1879" s="7">
        <f>VLOOKUP(OPERAC[[#This Row],[especie]],[1]!ESPECIES[#All],6,0)</f>
        <v/>
      </c>
      <c r="Q1879" s="7">
        <f>IF(N1879&lt;&gt;0,P1879*N1879,0)</f>
        <v/>
      </c>
      <c r="R1879" s="8">
        <f>IF(Q1879&lt;&gt;0,Q1879+H1879+L1879,0)</f>
        <v/>
      </c>
      <c r="S1879" s="9">
        <f>VLOOKUP(OPERAC[[#This Row],[especie]],[1]!ESPECIES[#Data],9,FALSE)</f>
        <v/>
      </c>
    </row>
    <row r="1880">
      <c r="A1880" s="4" t="n">
        <v>11164</v>
      </c>
      <c r="B1880" s="5" t="n">
        <v>44641</v>
      </c>
      <c r="C1880" s="13" t="inlineStr">
        <is>
          <t>CPR</t>
        </is>
      </c>
      <c r="D1880" s="13" t="n">
        <v>42</v>
      </c>
      <c r="E1880" s="10">
        <f>IF(D1880&gt;0,VLOOKUP(OPERAC[[#This Row],[COD CART]],[1]!MatrizCortoLargoCyl[#All],3,0),"")</f>
        <v/>
      </c>
      <c r="F1880" s="13" t="inlineStr">
        <is>
          <t>JPM</t>
        </is>
      </c>
      <c r="G1880" s="6" t="n">
        <v>2</v>
      </c>
      <c r="H1880" s="6" t="n">
        <v>-280.9086800000001</v>
      </c>
      <c r="I1880" s="7">
        <f>-H1880/G1880</f>
        <v/>
      </c>
      <c r="J1880" s="11" t="n">
        <v>44664</v>
      </c>
      <c r="K1880" s="6">
        <f>+OPERAC[[#This Row],[cantidad]]</f>
        <v/>
      </c>
      <c r="L1880" s="6">
        <f>+OPERAC[[#This Row],[cantidad venta]]*125.943</f>
        <v/>
      </c>
      <c r="M1880" s="7">
        <f>IF(N1880=0,+L1880+H1880,0)</f>
        <v/>
      </c>
      <c r="N1880" s="7">
        <f>IF((+G1880-K1880)=0,0,+G1880-K1880)</f>
        <v/>
      </c>
      <c r="O1880" s="7">
        <f>IF(N1880=0,0,(L1880+H1880)/-N1880)</f>
        <v/>
      </c>
      <c r="P1880" s="7">
        <f>VLOOKUP(OPERAC[[#This Row],[especie]],[1]!ESPECIES[#All],6,0)</f>
        <v/>
      </c>
      <c r="Q1880" s="7">
        <f>IF(N1880&lt;&gt;0,P1880*N1880,0)</f>
        <v/>
      </c>
      <c r="R1880" s="8">
        <f>IF(Q1880&lt;&gt;0,Q1880+H1880+L1880,0)</f>
        <v/>
      </c>
      <c r="S1880" s="9">
        <f>VLOOKUP(OPERAC[[#This Row],[especie]],[1]!ESPECIES[#Data],9,FALSE)</f>
        <v/>
      </c>
    </row>
    <row r="1881">
      <c r="A1881" s="4" t="n">
        <v>18677</v>
      </c>
      <c r="B1881" s="5" t="n">
        <v>44641</v>
      </c>
      <c r="C1881" s="13" t="inlineStr">
        <is>
          <t>CPR</t>
        </is>
      </c>
      <c r="D1881" s="13" t="n">
        <v>42</v>
      </c>
      <c r="E1881" s="10">
        <f>IF(D1881&gt;0,VLOOKUP(OPERAC[[#This Row],[COD CART]],[1]!MatrizCortoLargoCyl[#All],3,0),"")</f>
        <v/>
      </c>
      <c r="F1881" s="13" t="inlineStr">
        <is>
          <t>JPM</t>
        </is>
      </c>
      <c r="G1881" s="6" t="n">
        <v>2</v>
      </c>
      <c r="H1881" s="6" t="n">
        <v>-280.9086800000001</v>
      </c>
      <c r="I1881" s="7">
        <f>-H1881/G1881</f>
        <v/>
      </c>
      <c r="J1881" s="11" t="n">
        <v>44664</v>
      </c>
      <c r="K1881" s="6">
        <f>+OPERAC[[#This Row],[cantidad]]</f>
        <v/>
      </c>
      <c r="L1881" s="6">
        <f>+OPERAC[[#This Row],[cantidad venta]]*125.943</f>
        <v/>
      </c>
      <c r="M1881" s="7">
        <f>IF(N1881=0,+L1881+H1881,0)</f>
        <v/>
      </c>
      <c r="N1881" s="7">
        <f>IF((+G1881-K1881)=0,0,+G1881-K1881)</f>
        <v/>
      </c>
      <c r="O1881" s="7">
        <f>IF(N1881=0,0,(L1881+H1881)/-N1881)</f>
        <v/>
      </c>
      <c r="P1881" s="7">
        <f>VLOOKUP(OPERAC[[#This Row],[especie]],[1]!ESPECIES[#All],6,0)</f>
        <v/>
      </c>
      <c r="Q1881" s="7">
        <f>IF(N1881&lt;&gt;0,P1881*N1881,0)</f>
        <v/>
      </c>
      <c r="R1881" s="8">
        <f>IF(Q1881&lt;&gt;0,Q1881+H1881+L1881,0)</f>
        <v/>
      </c>
      <c r="S1881" s="9">
        <f>VLOOKUP(OPERAC[[#This Row],[especie]],[1]!ESPECIES[#Data],9,FALSE)</f>
        <v/>
      </c>
    </row>
    <row r="1882">
      <c r="A1882" s="4" t="n">
        <v>18713</v>
      </c>
      <c r="B1882" s="5" t="n">
        <v>44641</v>
      </c>
      <c r="C1882" s="13" t="inlineStr">
        <is>
          <t>CPR</t>
        </is>
      </c>
      <c r="D1882" s="13" t="n">
        <v>42</v>
      </c>
      <c r="E1882" s="10">
        <f>IF(D1882&gt;0,VLOOKUP(OPERAC[[#This Row],[COD CART]],[1]!MatrizCortoLargoCyl[#All],3,0),"")</f>
        <v/>
      </c>
      <c r="F1882" s="13" t="inlineStr">
        <is>
          <t>JPM</t>
        </is>
      </c>
      <c r="G1882" s="6" t="n">
        <v>2</v>
      </c>
      <c r="H1882" s="6" t="n">
        <v>-280.9086800000001</v>
      </c>
      <c r="I1882" s="7">
        <f>-H1882/G1882</f>
        <v/>
      </c>
      <c r="J1882" s="11" t="n">
        <v>44664</v>
      </c>
      <c r="K1882" s="6">
        <f>+OPERAC[[#This Row],[cantidad]]</f>
        <v/>
      </c>
      <c r="L1882" s="6">
        <f>+OPERAC[[#This Row],[cantidad venta]]*125.943</f>
        <v/>
      </c>
      <c r="M1882" s="7">
        <f>IF(N1882=0,+L1882+H1882,0)</f>
        <v/>
      </c>
      <c r="N1882" s="7">
        <f>IF((+G1882-K1882)=0,0,+G1882-K1882)</f>
        <v/>
      </c>
      <c r="O1882" s="7">
        <f>IF(N1882=0,0,(L1882+H1882)/-N1882)</f>
        <v/>
      </c>
      <c r="P1882" s="7">
        <f>VLOOKUP(OPERAC[[#This Row],[especie]],[1]!ESPECIES[#All],6,0)</f>
        <v/>
      </c>
      <c r="Q1882" s="7">
        <f>IF(N1882&lt;&gt;0,P1882*N1882,0)</f>
        <v/>
      </c>
      <c r="R1882" s="8">
        <f>IF(Q1882&lt;&gt;0,Q1882+H1882+L1882,0)</f>
        <v/>
      </c>
      <c r="S1882" s="9">
        <f>VLOOKUP(OPERAC[[#This Row],[especie]],[1]!ESPECIES[#Data],9,FALSE)</f>
        <v/>
      </c>
    </row>
    <row r="1883">
      <c r="A1883" s="4" t="n">
        <v>18716</v>
      </c>
      <c r="B1883" s="5" t="n">
        <v>44641</v>
      </c>
      <c r="C1883" s="13" t="inlineStr">
        <is>
          <t>CPR</t>
        </is>
      </c>
      <c r="D1883" s="13" t="n">
        <v>42</v>
      </c>
      <c r="E1883" s="10">
        <f>IF(D1883&gt;0,VLOOKUP(OPERAC[[#This Row],[COD CART]],[1]!MatrizCortoLargoCyl[#All],3,0),"")</f>
        <v/>
      </c>
      <c r="F1883" s="13" t="inlineStr">
        <is>
          <t>JPM</t>
        </is>
      </c>
      <c r="G1883" s="6" t="n">
        <v>2</v>
      </c>
      <c r="H1883" s="6" t="n">
        <v>-280.9086800000001</v>
      </c>
      <c r="I1883" s="7">
        <f>-H1883/G1883</f>
        <v/>
      </c>
      <c r="J1883" s="11" t="n">
        <v>44645</v>
      </c>
      <c r="K1883" s="6" t="n">
        <v>2</v>
      </c>
      <c r="L1883" s="6" t="n">
        <v>257.49</v>
      </c>
      <c r="M1883" s="7">
        <f>IF(N1883=0,+L1883+H1883,0)</f>
        <v/>
      </c>
      <c r="N1883" s="7">
        <f>IF((+G1883-K1883)=0,0,+G1883-K1883)</f>
        <v/>
      </c>
      <c r="O1883" s="7">
        <f>IF(N1883=0,0,(L1883+H1883)/-N1883)</f>
        <v/>
      </c>
      <c r="P1883" s="7">
        <f>VLOOKUP(OPERAC[[#This Row],[especie]],[1]!ESPECIES[#All],6,0)</f>
        <v/>
      </c>
      <c r="Q1883" s="7">
        <f>IF(N1883&lt;&gt;0,P1883*N1883,0)</f>
        <v/>
      </c>
      <c r="R1883" s="8">
        <f>IF(Q1883&lt;&gt;0,Q1883+H1883+L1883,0)</f>
        <v/>
      </c>
      <c r="S1883" s="9">
        <f>VLOOKUP(OPERAC[[#This Row],[especie]],[1]!ESPECIES[#Data],9,FALSE)</f>
        <v/>
      </c>
    </row>
    <row r="1884">
      <c r="A1884" s="4" t="n">
        <v>22431</v>
      </c>
      <c r="B1884" s="5" t="n">
        <v>44641</v>
      </c>
      <c r="C1884" s="13" t="inlineStr">
        <is>
          <t>VTA</t>
        </is>
      </c>
      <c r="D1884" s="13" t="n">
        <v>42</v>
      </c>
      <c r="E1884" s="10">
        <f>IF(D1884&gt;0,VLOOKUP(OPERAC[[#This Row],[COD CART]],[1]!MatrizCortoLargoCyl[#All],3,0),"")</f>
        <v/>
      </c>
      <c r="F1884" s="13" t="inlineStr">
        <is>
          <t>JPM</t>
        </is>
      </c>
      <c r="G1884" s="6" t="n">
        <v>2</v>
      </c>
      <c r="H1884" s="6" t="n">
        <v>-280.9086800000001</v>
      </c>
      <c r="I1884" s="7">
        <f>-H1884/G1884</f>
        <v/>
      </c>
      <c r="J1884" s="11" t="n">
        <v>44664</v>
      </c>
      <c r="K1884" s="6">
        <f>+OPERAC[[#This Row],[cantidad]]</f>
        <v/>
      </c>
      <c r="L1884" s="6">
        <f>+OPERAC[[#This Row],[cantidad venta]]*125.943</f>
        <v/>
      </c>
      <c r="M1884" s="7">
        <f>IF(N1884=0,+L1884+H1884,0)</f>
        <v/>
      </c>
      <c r="N1884" s="7">
        <f>IF((+G1884-K1884)=0,0,+G1884-K1884)</f>
        <v/>
      </c>
      <c r="O1884" s="7">
        <f>IF(N1884=0,0,(L1884+H1884)/-N1884)</f>
        <v/>
      </c>
      <c r="P1884" s="7">
        <f>VLOOKUP(OPERAC[[#This Row],[especie]],[1]!ESPECIES[#All],6,0)</f>
        <v/>
      </c>
      <c r="Q1884" s="7">
        <f>IF(N1884&lt;&gt;0,P1884*N1884,0)</f>
        <v/>
      </c>
      <c r="R1884" s="8">
        <f>IF(Q1884&lt;&gt;0,Q1884+H1884+L1884,0)</f>
        <v/>
      </c>
      <c r="S1884" s="9">
        <f>VLOOKUP(OPERAC[[#This Row],[especie]],[1]!ESPECIES[#Data],9,FALSE)</f>
        <v/>
      </c>
    </row>
    <row r="1885">
      <c r="A1885" s="4" t="n">
        <v>22439</v>
      </c>
      <c r="B1885" s="5" t="n">
        <v>44641</v>
      </c>
      <c r="C1885" s="13" t="inlineStr">
        <is>
          <t>VTA</t>
        </is>
      </c>
      <c r="D1885" s="13" t="n">
        <v>42</v>
      </c>
      <c r="E1885" s="10">
        <f>IF(D1885&gt;0,VLOOKUP(OPERAC[[#This Row],[COD CART]],[1]!MatrizCortoLargoCyl[#All],3,0),"")</f>
        <v/>
      </c>
      <c r="F1885" s="13" t="inlineStr">
        <is>
          <t>JPM</t>
        </is>
      </c>
      <c r="G1885" s="6" t="n">
        <v>2</v>
      </c>
      <c r="H1885" s="6" t="n">
        <v>-280.9086800000001</v>
      </c>
      <c r="I1885" s="7">
        <f>-H1885/G1885</f>
        <v/>
      </c>
      <c r="J1885" s="11" t="n">
        <v>44664</v>
      </c>
      <c r="K1885" s="6">
        <f>+OPERAC[[#This Row],[cantidad]]</f>
        <v/>
      </c>
      <c r="L1885" s="6">
        <f>+OPERAC[[#This Row],[cantidad venta]]*125.943</f>
        <v/>
      </c>
      <c r="M1885" s="7">
        <f>IF(N1885=0,+L1885+H1885,0)</f>
        <v/>
      </c>
      <c r="N1885" s="7">
        <f>IF((+G1885-K1885)=0,0,+G1885-K1885)</f>
        <v/>
      </c>
      <c r="O1885" s="7">
        <f>IF(N1885=0,0,(L1885+H1885)/-N1885)</f>
        <v/>
      </c>
      <c r="P1885" s="7">
        <f>VLOOKUP(OPERAC[[#This Row],[especie]],[1]!ESPECIES[#All],6,0)</f>
        <v/>
      </c>
      <c r="Q1885" s="7">
        <f>IF(N1885&lt;&gt;0,P1885*N1885,0)</f>
        <v/>
      </c>
      <c r="R1885" s="8">
        <f>IF(Q1885&lt;&gt;0,Q1885+H1885+L1885,0)</f>
        <v/>
      </c>
      <c r="S1885" s="9">
        <f>VLOOKUP(OPERAC[[#This Row],[especie]],[1]!ESPECIES[#Data],9,FALSE)</f>
        <v/>
      </c>
    </row>
    <row r="1886">
      <c r="A1886" s="4" t="n">
        <v>2276</v>
      </c>
      <c r="B1886" s="5" t="n">
        <v>44342</v>
      </c>
      <c r="C1886" s="13" t="inlineStr">
        <is>
          <t>VTA</t>
        </is>
      </c>
      <c r="D1886" s="13" t="n">
        <v>41</v>
      </c>
      <c r="E1886" s="10">
        <f>IF(D1886&gt;0,VLOOKUP(OPERAC[[#This Row],[COD CART]],[1]!MatrizCortoLargoCyl[#All],3,0),"")</f>
        <v/>
      </c>
      <c r="F1886" s="13" t="inlineStr">
        <is>
          <t>SDGR</t>
        </is>
      </c>
      <c r="G1886" s="6" t="n">
        <v>4</v>
      </c>
      <c r="H1886" s="6" t="n">
        <v>-281.26432</v>
      </c>
      <c r="I1886" s="7">
        <f>-H1886/G1886</f>
        <v/>
      </c>
      <c r="J1886" s="11" t="n"/>
      <c r="K1886" s="6" t="n"/>
      <c r="L1886" s="6" t="n"/>
      <c r="M1886" s="7">
        <f>IF(N1886=0,+L1886+H1886,0)</f>
        <v/>
      </c>
      <c r="N1886" s="7">
        <f>IF((+G1886-K1886)=0,0,+G1886-K1886)</f>
        <v/>
      </c>
      <c r="O1886" s="7">
        <f>IF(N1886=0,0,(L1886+H1886)/-N1886)</f>
        <v/>
      </c>
      <c r="P1886" s="7">
        <f>VLOOKUP(OPERAC[[#This Row],[especie]],[1]!ESPECIES[#All],6,0)</f>
        <v/>
      </c>
      <c r="Q1886" s="7">
        <f>IF(N1886&lt;&gt;0,P1886*N1886,0)</f>
        <v/>
      </c>
      <c r="R1886" s="8">
        <f>IF(Q1886&lt;&gt;0,Q1886+H1886+L1886,0)</f>
        <v/>
      </c>
      <c r="S1886" s="9">
        <f>VLOOKUP(OPERAC[[#This Row],[especie]],[1]!ESPECIES[#Data],9,FALSE)</f>
        <v/>
      </c>
    </row>
    <row r="1887">
      <c r="A1887" s="4" t="n">
        <v>11168</v>
      </c>
      <c r="B1887" s="5" t="n">
        <v>44650</v>
      </c>
      <c r="C1887" s="13" t="inlineStr">
        <is>
          <t>VTA</t>
        </is>
      </c>
      <c r="D1887" s="13" t="n">
        <v>42</v>
      </c>
      <c r="E1887" s="10">
        <f>IF(D1887&gt;0,VLOOKUP(OPERAC[[#This Row],[COD CART]],[1]!MatrizCortoLargoCyl[#All],3,0),"")</f>
        <v/>
      </c>
      <c r="F1887" s="13" t="inlineStr">
        <is>
          <t>SMH</t>
        </is>
      </c>
      <c r="G1887" s="6" t="n">
        <v>1</v>
      </c>
      <c r="H1887" s="6" t="n">
        <v>-281.3078800000001</v>
      </c>
      <c r="I1887" s="7">
        <f>-H1887/G1887</f>
        <v/>
      </c>
      <c r="J1887" s="11" t="n">
        <v>44663</v>
      </c>
      <c r="K1887" s="6">
        <f>+OPERAC[[#This Row],[cantidad]]</f>
        <v/>
      </c>
      <c r="L1887" s="6">
        <f>+OPERAC[[#This Row],[cantidad venta]]*238.066</f>
        <v/>
      </c>
      <c r="M1887" s="7">
        <f>IF(N1887=0,+L1887+H1887,0)</f>
        <v/>
      </c>
      <c r="N1887" s="7">
        <f>IF((+G1887-K1887)=0,0,+G1887-K1887)</f>
        <v/>
      </c>
      <c r="O1887" s="7">
        <f>IF(N1887=0,0,(L1887+H1887)/-N1887)</f>
        <v/>
      </c>
      <c r="P1887" s="7">
        <f>VLOOKUP(OPERAC[[#This Row],[especie]],[1]!ESPECIES[#All],6,0)</f>
        <v/>
      </c>
      <c r="Q1887" s="7">
        <f>IF(N1887&lt;&gt;0,P1887*N1887,0)</f>
        <v/>
      </c>
      <c r="R1887" s="8">
        <f>IF(Q1887&lt;&gt;0,Q1887+H1887+L1887,0)</f>
        <v/>
      </c>
      <c r="S1887" s="9">
        <f>VLOOKUP(OPERAC[[#This Row],[especie]],[1]!ESPECIES[#Data],9,FALSE)</f>
        <v/>
      </c>
    </row>
    <row r="1888">
      <c r="A1888" s="4" t="n">
        <v>2194</v>
      </c>
      <c r="B1888" s="5" t="n">
        <v>44649</v>
      </c>
      <c r="C1888" s="13" t="inlineStr">
        <is>
          <t>VTA</t>
        </is>
      </c>
      <c r="D1888" s="13" t="n">
        <v>42</v>
      </c>
      <c r="E1888" s="10">
        <f>IF(D1888&gt;0,VLOOKUP(OPERAC[[#This Row],[COD CART]],[1]!MatrizCortoLargoCyl[#All],3,0),"")</f>
        <v/>
      </c>
      <c r="F1888" s="13" t="inlineStr">
        <is>
          <t>SMH</t>
        </is>
      </c>
      <c r="G1888" s="6" t="n">
        <v>1</v>
      </c>
      <c r="H1888" s="6" t="n">
        <v>-281.9972</v>
      </c>
      <c r="I1888" s="7">
        <f>-H1888/G1888</f>
        <v/>
      </c>
      <c r="J1888" s="11" t="n">
        <v>44663</v>
      </c>
      <c r="K1888" s="6">
        <f>+OPERAC[[#This Row],[cantidad]]</f>
        <v/>
      </c>
      <c r="L1888" s="6">
        <f>+OPERAC[[#This Row],[cantidad venta]]*238.066</f>
        <v/>
      </c>
      <c r="M1888" s="7">
        <f>IF(N1888=0,+L1888+H1888,0)</f>
        <v/>
      </c>
      <c r="N1888" s="7">
        <f>IF((+G1888-K1888)=0,0,+G1888-K1888)</f>
        <v/>
      </c>
      <c r="O1888" s="7">
        <f>IF(N1888=0,0,(L1888+H1888)/-N1888)</f>
        <v/>
      </c>
      <c r="P1888" s="7">
        <f>VLOOKUP(OPERAC[[#This Row],[especie]],[1]!ESPECIES[#All],6,0)</f>
        <v/>
      </c>
      <c r="Q1888" s="7">
        <f>IF(N1888&lt;&gt;0,P1888*N1888,0)</f>
        <v/>
      </c>
      <c r="R1888" s="8">
        <f>IF(Q1888&lt;&gt;0,Q1888+H1888+L1888,0)</f>
        <v/>
      </c>
      <c r="S1888" s="9">
        <f>VLOOKUP(OPERAC[[#This Row],[especie]],[1]!ESPECIES[#Data],9,FALSE)</f>
        <v/>
      </c>
    </row>
    <row r="1889">
      <c r="A1889" s="4" t="n">
        <v>18690</v>
      </c>
      <c r="B1889" s="5" t="n">
        <v>44649</v>
      </c>
      <c r="C1889" s="13" t="inlineStr">
        <is>
          <t>VTA</t>
        </is>
      </c>
      <c r="D1889" s="13" t="n">
        <v>42</v>
      </c>
      <c r="E1889" s="10">
        <f>IF(D1889&gt;0,VLOOKUP(OPERAC[[#This Row],[COD CART]],[1]!MatrizCortoLargoCyl[#All],3,0),"")</f>
        <v/>
      </c>
      <c r="F1889" s="13" t="inlineStr">
        <is>
          <t>SMH</t>
        </is>
      </c>
      <c r="G1889" s="6" t="n">
        <v>1</v>
      </c>
      <c r="H1889" s="6" t="n">
        <v>-281.9972</v>
      </c>
      <c r="I1889" s="7">
        <f>-H1889/G1889</f>
        <v/>
      </c>
      <c r="J1889" s="11" t="n">
        <v>44663</v>
      </c>
      <c r="K1889" s="6">
        <f>+OPERAC[[#This Row],[cantidad]]</f>
        <v/>
      </c>
      <c r="L1889" s="6">
        <f>+OPERAC[[#This Row],[cantidad venta]]*238.066</f>
        <v/>
      </c>
      <c r="M1889" s="7">
        <f>IF(N1889=0,+L1889+H1889,0)</f>
        <v/>
      </c>
      <c r="N1889" s="7">
        <f>IF((+G1889-K1889)=0,0,+G1889-K1889)</f>
        <v/>
      </c>
      <c r="O1889" s="7">
        <f>IF(N1889=0,0,(L1889+H1889)/-N1889)</f>
        <v/>
      </c>
      <c r="P1889" s="7">
        <f>VLOOKUP(OPERAC[[#This Row],[especie]],[1]!ESPECIES[#All],6,0)</f>
        <v/>
      </c>
      <c r="Q1889" s="7">
        <f>IF(N1889&lt;&gt;0,P1889*N1889,0)</f>
        <v/>
      </c>
      <c r="R1889" s="8">
        <f>IF(Q1889&lt;&gt;0,Q1889+H1889+L1889,0)</f>
        <v/>
      </c>
      <c r="S1889" s="9">
        <f>VLOOKUP(OPERAC[[#This Row],[especie]],[1]!ESPECIES[#Data],9,FALSE)</f>
        <v/>
      </c>
    </row>
    <row r="1890">
      <c r="A1890" s="4" t="n">
        <v>12672</v>
      </c>
      <c r="B1890" s="5" t="n">
        <v>44643</v>
      </c>
      <c r="C1890" s="13" t="inlineStr">
        <is>
          <t>VTA</t>
        </is>
      </c>
      <c r="D1890" s="13" t="n">
        <v>42</v>
      </c>
      <c r="E1890" s="10">
        <f>IF(D1890&gt;0,VLOOKUP(OPERAC[[#This Row],[COD CART]],[1]!MatrizCortoLargoCyl[#All],3,0),"")</f>
        <v/>
      </c>
      <c r="F1890" s="13" t="inlineStr">
        <is>
          <t>JPM</t>
        </is>
      </c>
      <c r="G1890" s="6" t="n">
        <v>2</v>
      </c>
      <c r="H1890" s="6" t="n">
        <v>-282.49328</v>
      </c>
      <c r="I1890" s="7">
        <f>-H1890/G1890</f>
        <v/>
      </c>
      <c r="J1890" s="11" t="n">
        <v>44664</v>
      </c>
      <c r="K1890" s="6">
        <f>+OPERAC[[#This Row],[cantidad]]</f>
        <v/>
      </c>
      <c r="L1890" s="6">
        <f>+OPERAC[[#This Row],[cantidad venta]]*125.943</f>
        <v/>
      </c>
      <c r="M1890" s="7">
        <f>IF(N1890=0,+L1890+H1890,0)</f>
        <v/>
      </c>
      <c r="N1890" s="7">
        <f>IF((+G1890-K1890)=0,0,+G1890-K1890)</f>
        <v/>
      </c>
      <c r="O1890" s="7">
        <f>IF(N1890=0,0,(L1890+H1890)/-N1890)</f>
        <v/>
      </c>
      <c r="P1890" s="7">
        <f>VLOOKUP(OPERAC[[#This Row],[especie]],[1]!ESPECIES[#All],6,0)</f>
        <v/>
      </c>
      <c r="Q1890" s="7">
        <f>IF(N1890&lt;&gt;0,P1890*N1890,0)</f>
        <v/>
      </c>
      <c r="R1890" s="8">
        <f>IF(Q1890&lt;&gt;0,Q1890+H1890+L1890,0)</f>
        <v/>
      </c>
      <c r="S1890" s="9">
        <f>VLOOKUP(OPERAC[[#This Row],[especie]],[1]!ESPECIES[#Data],9,FALSE)</f>
        <v/>
      </c>
    </row>
    <row r="1891">
      <c r="A1891" s="4" t="n">
        <v>13204</v>
      </c>
      <c r="B1891" s="5" t="n">
        <v>44643</v>
      </c>
      <c r="C1891" s="13" t="inlineStr">
        <is>
          <t>VTA</t>
        </is>
      </c>
      <c r="D1891" s="13" t="n">
        <v>42</v>
      </c>
      <c r="E1891" s="10">
        <f>IF(D1891&gt;0,VLOOKUP(OPERAC[[#This Row],[COD CART]],[1]!MatrizCortoLargoCyl[#All],3,0),"")</f>
        <v/>
      </c>
      <c r="F1891" s="13" t="inlineStr">
        <is>
          <t>JPM</t>
        </is>
      </c>
      <c r="G1891" s="6" t="n">
        <v>2</v>
      </c>
      <c r="H1891" s="6" t="n">
        <v>-282.49328</v>
      </c>
      <c r="I1891" s="7">
        <f>-H1891/G1891</f>
        <v/>
      </c>
      <c r="J1891" s="11" t="n">
        <v>44664</v>
      </c>
      <c r="K1891" s="6">
        <f>+OPERAC[[#This Row],[cantidad]]</f>
        <v/>
      </c>
      <c r="L1891" s="6">
        <f>+OPERAC[[#This Row],[cantidad venta]]*125.943</f>
        <v/>
      </c>
      <c r="M1891" s="7">
        <f>IF(N1891=0,+L1891+H1891,0)</f>
        <v/>
      </c>
      <c r="N1891" s="7">
        <f>IF((+G1891-K1891)=0,0,+G1891-K1891)</f>
        <v/>
      </c>
      <c r="O1891" s="7">
        <f>IF(N1891=0,0,(L1891+H1891)/-N1891)</f>
        <v/>
      </c>
      <c r="P1891" s="7">
        <f>VLOOKUP(OPERAC[[#This Row],[especie]],[1]!ESPECIES[#All],6,0)</f>
        <v/>
      </c>
      <c r="Q1891" s="7">
        <f>IF(N1891&lt;&gt;0,P1891*N1891,0)</f>
        <v/>
      </c>
      <c r="R1891" s="8">
        <f>IF(Q1891&lt;&gt;0,Q1891+H1891+L1891,0)</f>
        <v/>
      </c>
      <c r="S1891" s="9">
        <f>VLOOKUP(OPERAC[[#This Row],[especie]],[1]!ESPECIES[#Data],9,FALSE)</f>
        <v/>
      </c>
    </row>
    <row r="1892">
      <c r="A1892" s="4" t="n">
        <v>16833</v>
      </c>
      <c r="B1892" s="5" t="n">
        <v>44643</v>
      </c>
      <c r="C1892" s="13" t="inlineStr">
        <is>
          <t>VTA</t>
        </is>
      </c>
      <c r="D1892" s="13" t="n">
        <v>42</v>
      </c>
      <c r="E1892" s="10">
        <f>IF(D1892&gt;0,VLOOKUP(OPERAC[[#This Row],[COD CART]],[1]!MatrizCortoLargoCyl[#All],3,0),"")</f>
        <v/>
      </c>
      <c r="F1892" s="13" t="inlineStr">
        <is>
          <t>JPM</t>
        </is>
      </c>
      <c r="G1892" s="6" t="n">
        <v>2</v>
      </c>
      <c r="H1892" s="6" t="n">
        <v>-282.49328</v>
      </c>
      <c r="I1892" s="7">
        <f>-H1892/G1892</f>
        <v/>
      </c>
      <c r="J1892" s="11" t="n">
        <v>44664</v>
      </c>
      <c r="K1892" s="6">
        <f>+OPERAC[[#This Row],[cantidad]]</f>
        <v/>
      </c>
      <c r="L1892" s="6">
        <f>+OPERAC[[#This Row],[cantidad venta]]*125.943</f>
        <v/>
      </c>
      <c r="M1892" s="7">
        <f>IF(N1892=0,+L1892+H1892,0)</f>
        <v/>
      </c>
      <c r="N1892" s="7">
        <f>IF((+G1892-K1892)=0,0,+G1892-K1892)</f>
        <v/>
      </c>
      <c r="O1892" s="7">
        <f>IF(N1892=0,0,(L1892+H1892)/-N1892)</f>
        <v/>
      </c>
      <c r="P1892" s="7">
        <f>VLOOKUP(OPERAC[[#This Row],[especie]],[1]!ESPECIES[#All],6,0)</f>
        <v/>
      </c>
      <c r="Q1892" s="7">
        <f>IF(N1892&lt;&gt;0,P1892*N1892,0)</f>
        <v/>
      </c>
      <c r="R1892" s="8">
        <f>IF(Q1892&lt;&gt;0,Q1892+H1892+L1892,0)</f>
        <v/>
      </c>
      <c r="S1892" s="9">
        <f>VLOOKUP(OPERAC[[#This Row],[especie]],[1]!ESPECIES[#Data],9,FALSE)</f>
        <v/>
      </c>
    </row>
    <row r="1893">
      <c r="A1893" s="4" t="n">
        <v>22421</v>
      </c>
      <c r="B1893" s="5" t="n">
        <v>44643</v>
      </c>
      <c r="C1893" s="13" t="inlineStr">
        <is>
          <t>VTA</t>
        </is>
      </c>
      <c r="D1893" s="13" t="n">
        <v>42</v>
      </c>
      <c r="E1893" s="10">
        <f>IF(D1893&gt;0,VLOOKUP(OPERAC[[#This Row],[COD CART]],[1]!MatrizCortoLargoCyl[#All],3,0),"")</f>
        <v/>
      </c>
      <c r="F1893" s="13" t="inlineStr">
        <is>
          <t>JPM</t>
        </is>
      </c>
      <c r="G1893" s="6" t="n">
        <v>2</v>
      </c>
      <c r="H1893" s="6" t="n">
        <v>-282.49328</v>
      </c>
      <c r="I1893" s="7">
        <f>-H1893/G1893</f>
        <v/>
      </c>
      <c r="J1893" s="11" t="n">
        <v>44664</v>
      </c>
      <c r="K1893" s="6">
        <f>+OPERAC[[#This Row],[cantidad]]</f>
        <v/>
      </c>
      <c r="L1893" s="6">
        <f>+OPERAC[[#This Row],[cantidad venta]]*125.943</f>
        <v/>
      </c>
      <c r="M1893" s="7">
        <f>IF(N1893=0,+L1893+H1893,0)</f>
        <v/>
      </c>
      <c r="N1893" s="7">
        <f>IF((+G1893-K1893)=0,0,+G1893-K1893)</f>
        <v/>
      </c>
      <c r="O1893" s="7">
        <f>IF(N1893=0,0,(L1893+H1893)/-N1893)</f>
        <v/>
      </c>
      <c r="P1893" s="7">
        <f>VLOOKUP(OPERAC[[#This Row],[especie]],[1]!ESPECIES[#All],6,0)</f>
        <v/>
      </c>
      <c r="Q1893" s="7">
        <f>IF(N1893&lt;&gt;0,P1893*N1893,0)</f>
        <v/>
      </c>
      <c r="R1893" s="8">
        <f>IF(Q1893&lt;&gt;0,Q1893+H1893+L1893,0)</f>
        <v/>
      </c>
      <c r="S1893" s="9">
        <f>VLOOKUP(OPERAC[[#This Row],[especie]],[1]!ESPECIES[#Data],9,FALSE)</f>
        <v/>
      </c>
    </row>
    <row r="1894">
      <c r="A1894" s="4" t="n">
        <v>1792</v>
      </c>
      <c r="B1894" s="5" t="n">
        <v>44489</v>
      </c>
      <c r="C1894" s="13" t="inlineStr">
        <is>
          <t>VTA</t>
        </is>
      </c>
      <c r="D1894" s="13" t="n">
        <v>43</v>
      </c>
      <c r="E1894" s="10">
        <f>IF(D1894&gt;0,VLOOKUP(OPERAC[[#This Row],[COD CART]],[1]!MatrizCortoLargoCyl[#All],3,0),"")</f>
        <v/>
      </c>
      <c r="F1894" s="13" t="inlineStr">
        <is>
          <t>SESN/CYL-PUT/1,00/19-01-24</t>
        </is>
      </c>
      <c r="G1894" s="6" t="n">
        <v>1500</v>
      </c>
      <c r="H1894" s="6">
        <f>-0.1885*OPERAC[[#This Row],[cantidad]]</f>
        <v/>
      </c>
      <c r="I1894" s="7">
        <f>-H1894/G1894</f>
        <v/>
      </c>
      <c r="J1894" s="11" t="n"/>
      <c r="K1894" s="6" t="n"/>
      <c r="L1894" s="6" t="n"/>
      <c r="M1894" s="7">
        <f>IF(N1894=0,+L1894+H1894,0)</f>
        <v/>
      </c>
      <c r="N1894" s="7">
        <f>IF((+G1894-K1894)=0,0,+G1894-K1894)</f>
        <v/>
      </c>
      <c r="O1894" s="7">
        <f>IF(N1894=0,0,(L1894+H1894)/-N1894)</f>
        <v/>
      </c>
      <c r="P1894" s="7">
        <f>VLOOKUP(OPERAC[[#This Row],[especie]],[1]!ESPECIES[#All],6,0)</f>
        <v/>
      </c>
      <c r="Q1894" s="7">
        <f>IF(N1894&lt;&gt;0,P1894*N1894,0)</f>
        <v/>
      </c>
      <c r="R1894" s="8">
        <f>IF(Q1894&lt;&gt;0,Q1894+H1894+L1894,0)</f>
        <v/>
      </c>
      <c r="S1894" s="9">
        <f>VLOOKUP(OPERAC[[#This Row],[especie]],[1]!ESPECIES[#Data],9,FALSE)</f>
        <v/>
      </c>
    </row>
    <row r="1895">
      <c r="A1895" s="4" t="n">
        <v>22407</v>
      </c>
      <c r="B1895" s="5" t="n">
        <v>44538</v>
      </c>
      <c r="C1895" s="13" t="inlineStr">
        <is>
          <t>VTA</t>
        </is>
      </c>
      <c r="D1895" s="13" t="n">
        <v>43</v>
      </c>
      <c r="E1895" s="10">
        <f>IF(D1895&gt;0,VLOOKUP(OPERAC[[#This Row],[COD CART]],[1]!MatrizCortoLargoCyl[#All],3,0),"")</f>
        <v/>
      </c>
      <c r="F1895" s="13" t="inlineStr">
        <is>
          <t>HEXO/CYL-PUT/1,00/20-01-23</t>
        </is>
      </c>
      <c r="G1895" s="6" t="n">
        <v>1500</v>
      </c>
      <c r="H1895" s="6">
        <f>-0.1886*OPERAC[[#This Row],[cantidad]]</f>
        <v/>
      </c>
      <c r="I1895" s="7">
        <f>-H1895/G1895</f>
        <v/>
      </c>
      <c r="J1895" s="11" t="n"/>
      <c r="K1895" s="6" t="n"/>
      <c r="L1895" s="6" t="n"/>
      <c r="M1895" s="7">
        <f>IF(N1895=0,+L1895+H1895,0)</f>
        <v/>
      </c>
      <c r="N1895" s="7">
        <f>IF((+G1895-K1895)=0,0,+G1895-K1895)</f>
        <v/>
      </c>
      <c r="O1895" s="7">
        <f>IF(N1895=0,0,(L1895+H1895)/-N1895)</f>
        <v/>
      </c>
      <c r="P1895" s="7">
        <f>VLOOKUP(OPERAC[[#This Row],[especie]],[1]!ESPECIES[#All],6,0)</f>
        <v/>
      </c>
      <c r="Q1895" s="7">
        <f>IF(N1895&lt;&gt;0,P1895*N1895,0)</f>
        <v/>
      </c>
      <c r="R1895" s="8">
        <f>IF(Q1895&lt;&gt;0,Q1895+H1895+L1895,0)</f>
        <v/>
      </c>
      <c r="S1895" s="9">
        <f>VLOOKUP(OPERAC[[#This Row],[especie]],[1]!ESPECIES[#Data],9,FALSE)</f>
        <v/>
      </c>
    </row>
    <row r="1896">
      <c r="A1896" s="4" t="n">
        <v>13253</v>
      </c>
      <c r="B1896" s="5" t="n">
        <v>44530</v>
      </c>
      <c r="C1896" s="13" t="inlineStr">
        <is>
          <t>VTA</t>
        </is>
      </c>
      <c r="D1896" s="13" t="n">
        <v>41</v>
      </c>
      <c r="E1896" s="10">
        <f>IF(D1896&gt;0,VLOOKUP(OPERAC[[#This Row],[COD CART]],[1]!MatrizCortoLargoCyl[#All],3,0),"")</f>
        <v/>
      </c>
      <c r="F1896" s="13" t="inlineStr">
        <is>
          <t>TCNNF</t>
        </is>
      </c>
      <c r="G1896" s="6" t="n">
        <v>10</v>
      </c>
      <c r="H1896" s="6" t="n">
        <v>-283.9456</v>
      </c>
      <c r="I1896" s="7">
        <f>-H1896/G1896</f>
        <v/>
      </c>
      <c r="J1896" s="11" t="n">
        <v>44602</v>
      </c>
      <c r="K1896" s="6" t="n">
        <v>5</v>
      </c>
      <c r="L1896" s="6">
        <f>26.98*5</f>
        <v/>
      </c>
      <c r="M1896" s="7">
        <f>IF(N1896=0,+L1896+H1896,0)</f>
        <v/>
      </c>
      <c r="N1896" s="7">
        <f>IF((+G1896-K1896)=0,0,+G1896-K1896)</f>
        <v/>
      </c>
      <c r="O1896" s="7">
        <f>IF(N1896=0,0,(L1896+H1896)/-N1896)</f>
        <v/>
      </c>
      <c r="P1896" s="7">
        <f>VLOOKUP(OPERAC[[#This Row],[especie]],[1]!ESPECIES[#All],6,0)</f>
        <v/>
      </c>
      <c r="Q1896" s="7">
        <f>IF(N1896&lt;&gt;0,P1896*N1896,0)</f>
        <v/>
      </c>
      <c r="R1896" s="8">
        <f>IF(Q1896&lt;&gt;0,Q1896+H1896+L1896,0)</f>
        <v/>
      </c>
      <c r="S1896" s="9">
        <f>VLOOKUP(OPERAC[[#This Row],[especie]],[1]!ESPECIES[#Data],9,FALSE)</f>
        <v/>
      </c>
    </row>
    <row r="1897">
      <c r="A1897" s="4" t="n">
        <v>1000</v>
      </c>
      <c r="B1897" s="5" t="n">
        <v>44607</v>
      </c>
      <c r="C1897" s="13" t="inlineStr">
        <is>
          <t>VTA</t>
        </is>
      </c>
      <c r="D1897" s="13" t="n">
        <v>41</v>
      </c>
      <c r="E1897" s="10">
        <f>IF(D1897&gt;0,VLOOKUP(OPERAC[[#This Row],[COD CART]],[1]!MatrizCortoLargoCyl[#All],3,0),"")</f>
        <v/>
      </c>
      <c r="F1897" s="13" t="inlineStr">
        <is>
          <t>DDD</t>
        </is>
      </c>
      <c r="G1897" s="6" t="n">
        <v>15</v>
      </c>
      <c r="H1897" s="6" t="n">
        <v>-284.275</v>
      </c>
      <c r="I1897" s="7">
        <f>-H1897/G1897</f>
        <v/>
      </c>
      <c r="J1897" s="11" t="n"/>
      <c r="K1897" s="6" t="n"/>
      <c r="L1897" s="6" t="n"/>
      <c r="M1897" s="7">
        <f>IF(N1897=0,+L1897+H1897,0)</f>
        <v/>
      </c>
      <c r="N1897" s="7">
        <f>IF((+G1897-K1897)=0,0,+G1897-K1897)</f>
        <v/>
      </c>
      <c r="O1897" s="7">
        <f>IF(N1897=0,0,(L1897+H1897)/-N1897)</f>
        <v/>
      </c>
      <c r="P1897" s="7">
        <f>VLOOKUP(OPERAC[[#This Row],[especie]],[1]!ESPECIES[#All],6,0)</f>
        <v/>
      </c>
      <c r="Q1897" s="7">
        <f>IF(N1897&lt;&gt;0,P1897*N1897,0)</f>
        <v/>
      </c>
      <c r="R1897" s="8">
        <f>IF(Q1897&lt;&gt;0,Q1897+H1897+L1897,0)</f>
        <v/>
      </c>
      <c r="S1897" s="9">
        <f>VLOOKUP(OPERAC[[#This Row],[especie]],[1]!ESPECIES[#Data],9,FALSE)</f>
        <v/>
      </c>
    </row>
    <row r="1898">
      <c r="A1898" s="4" t="n">
        <v>19972</v>
      </c>
      <c r="B1898" s="5" t="n">
        <v>44686</v>
      </c>
      <c r="C1898" s="13" t="inlineStr">
        <is>
          <t>VTA</t>
        </is>
      </c>
      <c r="D1898" s="13" t="n">
        <v>41</v>
      </c>
      <c r="E1898" s="10">
        <f>IF(D1898&gt;0,VLOOKUP(OPERAC[[#This Row],[COD CART]],[1]!MatrizCortoLargoCyl[#All],3,0),"")</f>
        <v/>
      </c>
      <c r="F1898" s="13" t="inlineStr">
        <is>
          <t>AMD</t>
        </is>
      </c>
      <c r="G1898" s="6" t="n">
        <v>3</v>
      </c>
      <c r="H1898" s="6" t="n">
        <v>-285.252165</v>
      </c>
      <c r="I1898" s="7">
        <f>-H1898/G1898</f>
        <v/>
      </c>
      <c r="J1898" s="11" t="n">
        <v>44691</v>
      </c>
      <c r="K1898" s="6" t="n">
        <v>1</v>
      </c>
      <c r="L1898" s="6" t="n">
        <v>87.895</v>
      </c>
      <c r="M1898" s="7">
        <f>IF(N1898=0,+L1898+H1898,0)</f>
        <v/>
      </c>
      <c r="N1898" s="7">
        <f>IF((+G1898-K1898)=0,0,+G1898-K1898)</f>
        <v/>
      </c>
      <c r="O1898" s="7">
        <f>IF(N1898=0,0,(L1898+H1898)/-N1898)</f>
        <v/>
      </c>
      <c r="P1898" s="7">
        <f>VLOOKUP(OPERAC[[#This Row],[especie]],[1]!ESPECIES[#All],6,0)</f>
        <v/>
      </c>
      <c r="Q1898" s="7">
        <f>IF(N1898&lt;&gt;0,P1898*N1898,0)</f>
        <v/>
      </c>
      <c r="R1898" s="8">
        <f>IF(Q1898&lt;&gt;0,Q1898+H1898+L1898,0)</f>
        <v/>
      </c>
      <c r="S1898" s="9">
        <f>VLOOKUP(OPERAC[[#This Row],[especie]],[1]!ESPECIES[#Data],9,FALSE)</f>
        <v/>
      </c>
    </row>
    <row r="1899">
      <c r="A1899" s="4" t="n">
        <v>18663</v>
      </c>
      <c r="B1899" s="5" t="n">
        <v>44627</v>
      </c>
      <c r="C1899" s="13" t="inlineStr">
        <is>
          <t>VTA</t>
        </is>
      </c>
      <c r="D1899" s="13" t="n">
        <v>41</v>
      </c>
      <c r="E1899" s="10">
        <f>IF(D1899&gt;0,VLOOKUP(OPERAC[[#This Row],[COD CART]],[1]!MatrizCortoLargoCyl[#All],3,0),"")</f>
        <v/>
      </c>
      <c r="F1899" s="13" t="inlineStr">
        <is>
          <t>MSFT</t>
        </is>
      </c>
      <c r="G1899" s="6" t="n">
        <v>1</v>
      </c>
      <c r="H1899" s="6" t="n">
        <v>-285.614</v>
      </c>
      <c r="I1899" s="7">
        <f>-H1899/G1899</f>
        <v/>
      </c>
      <c r="J1899" s="11" t="n"/>
      <c r="K1899" s="6" t="n"/>
      <c r="L1899" s="6" t="n"/>
      <c r="M1899" s="7">
        <f>IF(N1899=0,+L1899+H1899,0)</f>
        <v/>
      </c>
      <c r="N1899" s="7">
        <f>IF((+G1899-K1899)=0,0,+G1899-K1899)</f>
        <v/>
      </c>
      <c r="O1899" s="7">
        <f>IF(N1899=0,0,(L1899+H1899)/-N1899)</f>
        <v/>
      </c>
      <c r="P1899" s="7">
        <f>VLOOKUP(OPERAC[[#This Row],[especie]],[1]!ESPECIES[#All],6,0)</f>
        <v/>
      </c>
      <c r="Q1899" s="7">
        <f>IF(N1899&lt;&gt;0,P1899*N1899,0)</f>
        <v/>
      </c>
      <c r="R1899" s="8">
        <f>IF(Q1899&lt;&gt;0,Q1899+H1899+L1899,0)</f>
        <v/>
      </c>
      <c r="S1899" s="9">
        <f>VLOOKUP(OPERAC[[#This Row],[especie]],[1]!ESPECIES[#Data],9,FALSE)</f>
        <v/>
      </c>
    </row>
    <row r="1900">
      <c r="A1900" s="4" t="n">
        <v>18663</v>
      </c>
      <c r="B1900" s="5" t="n">
        <v>44057</v>
      </c>
      <c r="C1900" s="13" t="inlineStr">
        <is>
          <t>VTA</t>
        </is>
      </c>
      <c r="D1900" s="13" t="n">
        <v>41</v>
      </c>
      <c r="E1900" s="10">
        <f>IF(D1900&gt;0,VLOOKUP(OPERAC[[#This Row],[COD CART]],[1]!MatrizCortoLargoCyl[#All],3,0),"")</f>
        <v/>
      </c>
      <c r="F1900" s="13" t="inlineStr">
        <is>
          <t>ABBV</t>
        </is>
      </c>
      <c r="G1900" s="6" t="n">
        <v>3</v>
      </c>
      <c r="H1900" s="6" t="n">
        <v>-287</v>
      </c>
      <c r="I1900" s="7">
        <f>-H1900/G1900</f>
        <v/>
      </c>
      <c r="J1900" s="5" t="n">
        <v>44726</v>
      </c>
      <c r="K1900" s="6" t="n">
        <v>3</v>
      </c>
      <c r="L1900" s="6" t="n">
        <v>-418.57</v>
      </c>
      <c r="M1900" s="7">
        <f>IF(N1900=0,+L1900+H1900,0)</f>
        <v/>
      </c>
      <c r="N1900" s="7">
        <f>IF((+G1900-K1900)=0,0,+G1900-K1900)</f>
        <v/>
      </c>
      <c r="O1900" s="7">
        <f>IF(N1900=0,0,(L1900+H1900)/-N1900)</f>
        <v/>
      </c>
      <c r="P1900" s="7">
        <f>VLOOKUP(OPERAC[[#This Row],[especie]],[1]!ESPECIES[#All],6,0)</f>
        <v/>
      </c>
      <c r="Q1900" s="7">
        <f>IF(N1900&lt;&gt;0,P1900*N1900,0)</f>
        <v/>
      </c>
      <c r="R1900" s="8">
        <f>IF(Q1900&lt;&gt;0,Q1900+H1900+L1900,0)</f>
        <v/>
      </c>
      <c r="S1900" s="9">
        <f>VLOOKUP(OPERAC[[#This Row],[especie]],[1]!ESPECIES[#Data],9,FALSE)</f>
        <v/>
      </c>
    </row>
    <row r="1901">
      <c r="A1901" s="4" t="n">
        <v>18663</v>
      </c>
      <c r="B1901" s="5" t="n">
        <v>44616</v>
      </c>
      <c r="C1901" s="13" t="inlineStr">
        <is>
          <t>VTA</t>
        </is>
      </c>
      <c r="D1901" s="13" t="n">
        <v>41</v>
      </c>
      <c r="E1901" s="10">
        <f>IF(D1901&gt;0,VLOOKUP(OPERAC[[#This Row],[COD CART]],[1]!MatrizCortoLargoCyl[#All],3,0),"")</f>
        <v/>
      </c>
      <c r="F1901" s="13" t="inlineStr">
        <is>
          <t>DIS</t>
        </is>
      </c>
      <c r="G1901" s="6" t="n">
        <v>2</v>
      </c>
      <c r="H1901" s="6" t="n">
        <v>-287.61472</v>
      </c>
      <c r="I1901" s="7">
        <f>-H1901/G1901</f>
        <v/>
      </c>
      <c r="J1901" s="11" t="n"/>
      <c r="K1901" s="6" t="n"/>
      <c r="L1901" s="6" t="n"/>
      <c r="M1901" s="7">
        <f>IF(N1901=0,+L1901+H1901,0)</f>
        <v/>
      </c>
      <c r="N1901" s="7">
        <f>IF((+G1901-K1901)=0,0,+G1901-K1901)</f>
        <v/>
      </c>
      <c r="O1901" s="7">
        <f>IF(N1901=0,0,(L1901+H1901)/-N1901)</f>
        <v/>
      </c>
      <c r="P1901" s="7">
        <f>VLOOKUP(OPERAC[[#This Row],[especie]],[1]!ESPECIES[#All],6,0)</f>
        <v/>
      </c>
      <c r="Q1901" s="7">
        <f>IF(N1901&lt;&gt;0,P1901*N1901,0)</f>
        <v/>
      </c>
      <c r="R1901" s="8">
        <f>IF(Q1901&lt;&gt;0,Q1901+H1901+L1901,0)</f>
        <v/>
      </c>
      <c r="S1901" s="9">
        <f>VLOOKUP(OPERAC[[#This Row],[especie]],[1]!ESPECIES[#Data],9,FALSE)</f>
        <v/>
      </c>
    </row>
    <row r="1902">
      <c r="A1902" s="4" t="n">
        <v>13190</v>
      </c>
      <c r="B1902" s="5" t="n">
        <v>44649</v>
      </c>
      <c r="C1902" s="13" t="inlineStr">
        <is>
          <t>VTA</t>
        </is>
      </c>
      <c r="D1902" s="13" t="n">
        <v>42</v>
      </c>
      <c r="E1902" s="10">
        <f>IF(D1902&gt;0,VLOOKUP(OPERAC[[#This Row],[COD CART]],[1]!MatrizCortoLargoCyl[#All],3,0),"")</f>
        <v/>
      </c>
      <c r="F1902" s="13" t="inlineStr">
        <is>
          <t>DIS</t>
        </is>
      </c>
      <c r="G1902" s="6" t="n">
        <v>2</v>
      </c>
      <c r="H1902" s="6" t="n">
        <v>-287.700046</v>
      </c>
      <c r="I1902" s="7">
        <f>-H1902/G1902</f>
        <v/>
      </c>
      <c r="J1902" s="11" t="n">
        <v>44671</v>
      </c>
      <c r="K1902" s="6">
        <f>+OPERAC[[#This Row],[cantidad]]</f>
        <v/>
      </c>
      <c r="L1902" s="6">
        <f>+OPERAC[[#This Row],[cantidad venta]]*123.621</f>
        <v/>
      </c>
      <c r="M1902" s="7">
        <f>IF(N1902=0,+L1902+H1902,0)</f>
        <v/>
      </c>
      <c r="N1902" s="7">
        <f>IF((+G1902-K1902)=0,0,+G1902-K1902)</f>
        <v/>
      </c>
      <c r="O1902" s="7">
        <f>IF(N1902=0,0,(L1902+H1902)/-N1902)</f>
        <v/>
      </c>
      <c r="P1902" s="7">
        <f>VLOOKUP(OPERAC[[#This Row],[especie]],[1]!ESPECIES[#All],6,0)</f>
        <v/>
      </c>
      <c r="Q1902" s="7">
        <f>IF(N1902&lt;&gt;0,P1902*N1902,0)</f>
        <v/>
      </c>
      <c r="R1902" s="8">
        <f>IF(Q1902&lt;&gt;0,Q1902+H1902+L1902,0)</f>
        <v/>
      </c>
      <c r="S1902" s="9">
        <f>VLOOKUP(OPERAC[[#This Row],[especie]],[1]!ESPECIES[#Data],9,FALSE)</f>
        <v/>
      </c>
    </row>
    <row r="1903">
      <c r="A1903" s="4" t="n">
        <v>18663</v>
      </c>
      <c r="B1903" s="5" t="n">
        <v>44713</v>
      </c>
      <c r="C1903" s="13" t="inlineStr">
        <is>
          <t>VTA</t>
        </is>
      </c>
      <c r="D1903" s="13" t="n">
        <v>41</v>
      </c>
      <c r="E1903" s="10">
        <f>IF(D1903&gt;0,VLOOKUP(OPERAC[[#This Row],[COD CART]],[1]!MatrizCortoLargoCyl[#All],3,0),"")</f>
        <v/>
      </c>
      <c r="F1903" s="13" t="inlineStr">
        <is>
          <t>JEPI</t>
        </is>
      </c>
      <c r="G1903" s="6" t="n">
        <v>5</v>
      </c>
      <c r="H1903" s="6" t="n">
        <v>-288.26611025</v>
      </c>
      <c r="I1903" s="7">
        <f>-H1903/G1903</f>
        <v/>
      </c>
      <c r="J1903" s="5" t="n"/>
      <c r="K1903" s="6" t="n"/>
      <c r="L1903" s="6" t="n"/>
      <c r="M1903" s="7">
        <f>IF(N1903=0,+L1903+H1903,0)</f>
        <v/>
      </c>
      <c r="N1903" s="7">
        <f>IF((+G1903-K1903)=0,0,+G1903-K1903)</f>
        <v/>
      </c>
      <c r="O1903" s="7">
        <f>IF(N1903=0,0,(L1903+H1903)/-N1903)</f>
        <v/>
      </c>
      <c r="P1903" s="7">
        <f>VLOOKUP(OPERAC[[#This Row],[especie]],[1]!ESPECIES[#All],6,0)</f>
        <v/>
      </c>
      <c r="Q1903" s="7">
        <f>IF(N1903&lt;&gt;0,P1903*N1903,0)</f>
        <v/>
      </c>
      <c r="R1903" s="8">
        <f>IF(Q1903&lt;&gt;0,Q1903+H1903+L1903,0)</f>
        <v/>
      </c>
      <c r="S1903" s="9">
        <f>VLOOKUP(OPERAC[[#This Row],[especie]],[1]!ESPECIES[#Data],9,FALSE)</f>
        <v/>
      </c>
    </row>
    <row r="1904">
      <c r="A1904" s="4" t="n">
        <v>9195</v>
      </c>
      <c r="B1904" s="5" t="n">
        <v>44586</v>
      </c>
      <c r="C1904" s="13" t="inlineStr">
        <is>
          <t>VTA</t>
        </is>
      </c>
      <c r="D1904" s="13" t="n">
        <v>43</v>
      </c>
      <c r="E1904" s="10">
        <f>IF(D1904&gt;0,VLOOKUP(OPERAC[[#This Row],[COD CART]],[1]!MatrizCortoLargoCyl[#All],3,0),"")</f>
        <v/>
      </c>
      <c r="F1904" s="13" t="inlineStr">
        <is>
          <t>GMBL/CYL-PUT/2,50/20-01-23</t>
        </is>
      </c>
      <c r="G1904" s="6" t="n">
        <v>300</v>
      </c>
      <c r="H1904" s="6" t="n">
        <v>-288.8555000000001</v>
      </c>
      <c r="I1904" s="7">
        <f>-H1904/G1904</f>
        <v/>
      </c>
      <c r="J1904" s="11" t="n">
        <v>44636</v>
      </c>
      <c r="K1904" s="6" t="n">
        <v>300</v>
      </c>
      <c r="L1904" s="6">
        <f>-1.36*OPERAC[[#This Row],[cantidad venta]]</f>
        <v/>
      </c>
      <c r="M1904" s="7">
        <f>IF(N1904=0,+L1904+H1904,0)</f>
        <v/>
      </c>
      <c r="N1904" s="7">
        <f>IF((+G1904-K1904)=0,0,+G1904-K1904)</f>
        <v/>
      </c>
      <c r="O1904" s="7">
        <f>IF(N1904=0,0,(L1904+H1904)/-N1904)</f>
        <v/>
      </c>
      <c r="P1904" s="7">
        <f>VLOOKUP(OPERAC[[#This Row],[especie]],[1]!ESPECIES[#All],6,0)</f>
        <v/>
      </c>
      <c r="Q1904" s="7">
        <f>IF(N1904&lt;&gt;0,P1904*N1904,0)</f>
        <v/>
      </c>
      <c r="R1904" s="8">
        <f>IF(Q1904&lt;&gt;0,Q1904+H1904+L1904,0)</f>
        <v/>
      </c>
      <c r="S1904" s="9">
        <f>VLOOKUP(OPERAC[[#This Row],[especie]],[1]!ESPECIES[#Data],9,FALSE)</f>
        <v/>
      </c>
    </row>
    <row r="1905">
      <c r="A1905" s="4" t="n">
        <v>16818</v>
      </c>
      <c r="B1905" s="5" t="n">
        <v>44586</v>
      </c>
      <c r="C1905" s="13" t="inlineStr">
        <is>
          <t>VTA</t>
        </is>
      </c>
      <c r="D1905" s="13" t="n">
        <v>43</v>
      </c>
      <c r="E1905" s="10">
        <f>IF(D1905&gt;0,VLOOKUP(OPERAC[[#This Row],[COD CART]],[1]!MatrizCortoLargoCyl[#All],3,0),"")</f>
        <v/>
      </c>
      <c r="F1905" s="13" t="inlineStr">
        <is>
          <t>GMBL/CYL-PUT/2,50/20-01-23</t>
        </is>
      </c>
      <c r="G1905" s="6" t="n">
        <v>300</v>
      </c>
      <c r="H1905" s="6" t="n">
        <v>-288.8555000000001</v>
      </c>
      <c r="I1905" s="7">
        <f>-H1905/G1905</f>
        <v/>
      </c>
      <c r="J1905" s="11" t="n"/>
      <c r="K1905" s="6" t="n"/>
      <c r="L1905" s="6" t="n"/>
      <c r="M1905" s="7">
        <f>IF(N1905=0,+L1905+H1905,0)</f>
        <v/>
      </c>
      <c r="N1905" s="7">
        <f>IF((+G1905-K1905)=0,0,+G1905-K1905)</f>
        <v/>
      </c>
      <c r="O1905" s="7">
        <f>IF(N1905=0,0,(L1905+H1905)/-N1905)</f>
        <v/>
      </c>
      <c r="P1905" s="7">
        <f>VLOOKUP(OPERAC[[#This Row],[especie]],[1]!ESPECIES[#All],6,0)</f>
        <v/>
      </c>
      <c r="Q1905" s="7">
        <f>IF(N1905&lt;&gt;0,P1905*N1905,0)</f>
        <v/>
      </c>
      <c r="R1905" s="8">
        <f>IF(Q1905&lt;&gt;0,Q1905+H1905+L1905,0)</f>
        <v/>
      </c>
      <c r="S1905" s="9">
        <f>VLOOKUP(OPERAC[[#This Row],[especie]],[1]!ESPECIES[#Data],9,FALSE)</f>
        <v/>
      </c>
    </row>
    <row r="1906">
      <c r="A1906" s="4" t="n">
        <v>18663</v>
      </c>
      <c r="B1906" s="5" t="n">
        <v>44466</v>
      </c>
      <c r="C1906" s="13" t="inlineStr">
        <is>
          <t>VTA</t>
        </is>
      </c>
      <c r="D1906" s="13" t="n">
        <v>41</v>
      </c>
      <c r="E1906" s="10">
        <f>IF(D1906&gt;0,VLOOKUP(OPERAC[[#This Row],[COD CART]],[1]!MatrizCortoLargoCyl[#All],3,0),"")</f>
        <v/>
      </c>
      <c r="F1906" s="13" t="inlineStr">
        <is>
          <t>TCNNF</t>
        </is>
      </c>
      <c r="G1906" s="6" t="n">
        <v>10</v>
      </c>
      <c r="H1906" s="6" t="n">
        <v>-289.691</v>
      </c>
      <c r="I1906" s="7">
        <f>-H1906/G1906</f>
        <v/>
      </c>
      <c r="J1906" s="11" t="n"/>
      <c r="K1906" s="6" t="n"/>
      <c r="L1906" s="6" t="n"/>
      <c r="M1906" s="7">
        <f>IF(N1906=0,+L1906+H1906,0)</f>
        <v/>
      </c>
      <c r="N1906" s="7">
        <f>IF((+G1906-K1906)=0,0,+G1906-K1906)</f>
        <v/>
      </c>
      <c r="O1906" s="7">
        <f>IF(N1906=0,0,(L1906+H1906)/-N1906)</f>
        <v/>
      </c>
      <c r="P1906" s="7">
        <f>VLOOKUP(OPERAC[[#This Row],[especie]],[1]!ESPECIES[#All],6,0)</f>
        <v/>
      </c>
      <c r="Q1906" s="7">
        <f>IF(N1906&lt;&gt;0,P1906*N1906,0)</f>
        <v/>
      </c>
      <c r="R1906" s="8">
        <f>IF(Q1906&lt;&gt;0,Q1906+H1906+L1906,0)</f>
        <v/>
      </c>
      <c r="S1906" s="9">
        <f>VLOOKUP(OPERAC[[#This Row],[especie]],[1]!ESPECIES[#Data],9,FALSE)</f>
        <v/>
      </c>
    </row>
    <row r="1907">
      <c r="A1907" s="4" t="n">
        <v>7916</v>
      </c>
      <c r="B1907" s="5" t="n">
        <v>44655</v>
      </c>
      <c r="C1907" s="13" t="inlineStr">
        <is>
          <t>VTA</t>
        </is>
      </c>
      <c r="D1907" s="13" t="n">
        <v>31</v>
      </c>
      <c r="E1907" s="10">
        <f>IF(D1907&gt;0,VLOOKUP(OPERAC[[#This Row],[COD CART]],[1]!MatrizCortoLargoCyl[#All],3,0),"")</f>
        <v/>
      </c>
      <c r="F1907" s="13" t="inlineStr">
        <is>
          <t>TEO</t>
        </is>
      </c>
      <c r="G1907" s="6" t="n">
        <v>45</v>
      </c>
      <c r="H1907" s="6" t="n">
        <v>-289.849365</v>
      </c>
      <c r="I1907" s="7">
        <f>-H1907/G1907</f>
        <v/>
      </c>
      <c r="J1907" s="11" t="n"/>
      <c r="K1907" s="6" t="n"/>
      <c r="L1907" s="6" t="n"/>
      <c r="M1907" s="7">
        <f>IF(N1907=0,+L1907+H1907,0)</f>
        <v/>
      </c>
      <c r="N1907" s="7">
        <f>IF((+G1907-K1907)=0,0,+G1907-K1907)</f>
        <v/>
      </c>
      <c r="O1907" s="7">
        <f>IF(N1907=0,0,(L1907+H1907)/-N1907)</f>
        <v/>
      </c>
      <c r="P1907" s="7">
        <f>VLOOKUP(OPERAC[[#This Row],[especie]],[1]!ESPECIES[#All],6,0)</f>
        <v/>
      </c>
      <c r="Q1907" s="7">
        <f>IF(N1907&lt;&gt;0,P1907*N1907,0)</f>
        <v/>
      </c>
      <c r="R1907" s="8">
        <f>IF(Q1907&lt;&gt;0,Q1907+H1907+L1907,0)</f>
        <v/>
      </c>
      <c r="S1907" s="9">
        <f>VLOOKUP(OPERAC[[#This Row],[especie]],[1]!ESPECIES[#Data],9,FALSE)</f>
        <v/>
      </c>
    </row>
    <row r="1908">
      <c r="A1908" s="4" t="n">
        <v>2217</v>
      </c>
      <c r="B1908" s="5" t="n">
        <v>44642</v>
      </c>
      <c r="C1908" s="13" t="inlineStr">
        <is>
          <t>VTA</t>
        </is>
      </c>
      <c r="D1908" s="13" t="n">
        <v>42</v>
      </c>
      <c r="E1908" s="10">
        <f>IF(D1908&gt;0,VLOOKUP(OPERAC[[#This Row],[COD CART]],[1]!MatrizCortoLargoCyl[#All],3,0),"")</f>
        <v/>
      </c>
      <c r="F1908" s="13" t="inlineStr">
        <is>
          <t>HYDR</t>
        </is>
      </c>
      <c r="G1908" s="6" t="n">
        <v>15</v>
      </c>
      <c r="H1908" s="6">
        <f>-19.39*OPERAC[[#This Row],[cantidad]]</f>
        <v/>
      </c>
      <c r="I1908" s="7">
        <f>-H1908/G1908</f>
        <v/>
      </c>
      <c r="J1908" s="11" t="n">
        <v>44693</v>
      </c>
      <c r="K1908" s="6">
        <f>+OPERAC[[#This Row],[cantidad]]</f>
        <v/>
      </c>
      <c r="L1908" s="6">
        <f>+OPERAC[[#This Row],[cantidad venta]]*11.63</f>
        <v/>
      </c>
      <c r="M1908" s="7">
        <f>IF(N1908=0,+L1908+H1908,0)</f>
        <v/>
      </c>
      <c r="N1908" s="7">
        <f>IF((+G1908-K1908)=0,0,+G1908-K1908)</f>
        <v/>
      </c>
      <c r="O1908" s="7">
        <f>IF(N1908=0,0,(L1908+H1908)/-N1908)</f>
        <v/>
      </c>
      <c r="P1908" s="7">
        <f>VLOOKUP(OPERAC[[#This Row],[especie]],[1]!ESPECIES[#All],6,0)</f>
        <v/>
      </c>
      <c r="Q1908" s="7">
        <f>IF(N1908&lt;&gt;0,P1908*N1908,0)</f>
        <v/>
      </c>
      <c r="R1908" s="8">
        <f>IF(Q1908&lt;&gt;0,Q1908+H1908+L1908,0)</f>
        <v/>
      </c>
      <c r="S1908" s="9">
        <f>VLOOKUP(OPERAC[[#This Row],[especie]],[1]!ESPECIES[#Data],9,FALSE)</f>
        <v/>
      </c>
    </row>
    <row r="1909">
      <c r="A1909" s="4" t="n">
        <v>2289</v>
      </c>
      <c r="B1909" s="5" t="n">
        <v>44642</v>
      </c>
      <c r="C1909" s="13" t="inlineStr">
        <is>
          <t>VTA</t>
        </is>
      </c>
      <c r="D1909" s="13" t="n">
        <v>42</v>
      </c>
      <c r="E1909" s="10">
        <f>IF(D1909&gt;0,VLOOKUP(OPERAC[[#This Row],[COD CART]],[1]!MatrizCortoLargoCyl[#All],3,0),"")</f>
        <v/>
      </c>
      <c r="F1909" s="13" t="inlineStr">
        <is>
          <t>HYDR</t>
        </is>
      </c>
      <c r="G1909" s="6" t="n">
        <v>15</v>
      </c>
      <c r="H1909" s="6">
        <f>-19.39*OPERAC[[#This Row],[cantidad]]</f>
        <v/>
      </c>
      <c r="I1909" s="7">
        <f>-H1909/G1909</f>
        <v/>
      </c>
      <c r="J1909" s="11" t="n">
        <v>44693</v>
      </c>
      <c r="K1909" s="6">
        <f>+OPERAC[[#This Row],[cantidad]]</f>
        <v/>
      </c>
      <c r="L1909" s="6">
        <f>+OPERAC[[#This Row],[cantidad venta]]*11.63</f>
        <v/>
      </c>
      <c r="M1909" s="7">
        <f>IF(N1909=0,+L1909+H1909,0)</f>
        <v/>
      </c>
      <c r="N1909" s="7">
        <f>IF((+G1909-K1909)=0,0,+G1909-K1909)</f>
        <v/>
      </c>
      <c r="O1909" s="7">
        <f>IF(N1909=0,0,(L1909+H1909)/-N1909)</f>
        <v/>
      </c>
      <c r="P1909" s="7">
        <f>VLOOKUP(OPERAC[[#This Row],[especie]],[1]!ESPECIES[#All],6,0)</f>
        <v/>
      </c>
      <c r="Q1909" s="7">
        <f>IF(N1909&lt;&gt;0,P1909*N1909,0)</f>
        <v/>
      </c>
      <c r="R1909" s="8">
        <f>IF(Q1909&lt;&gt;0,Q1909+H1909+L1909,0)</f>
        <v/>
      </c>
      <c r="S1909" s="9">
        <f>VLOOKUP(OPERAC[[#This Row],[especie]],[1]!ESPECIES[#Data],9,FALSE)</f>
        <v/>
      </c>
    </row>
    <row r="1910">
      <c r="A1910" s="4" t="n">
        <v>3021</v>
      </c>
      <c r="B1910" s="5" t="n">
        <v>44642</v>
      </c>
      <c r="C1910" s="13" t="inlineStr">
        <is>
          <t>VTA</t>
        </is>
      </c>
      <c r="D1910" s="13" t="n">
        <v>42</v>
      </c>
      <c r="E1910" s="10">
        <f>IF(D1910&gt;0,VLOOKUP(OPERAC[[#This Row],[COD CART]],[1]!MatrizCortoLargoCyl[#All],3,0),"")</f>
        <v/>
      </c>
      <c r="F1910" s="13" t="inlineStr">
        <is>
          <t>HYDR</t>
        </is>
      </c>
      <c r="G1910" s="6" t="n">
        <v>15</v>
      </c>
      <c r="H1910" s="6">
        <f>-19.39*OPERAC[[#This Row],[cantidad]]</f>
        <v/>
      </c>
      <c r="I1910" s="7">
        <f>-H1910/G1910</f>
        <v/>
      </c>
      <c r="J1910" s="11" t="n">
        <v>44691</v>
      </c>
      <c r="K1910" s="6" t="n">
        <v>15</v>
      </c>
      <c r="L1910" s="6" t="n">
        <v>193.606</v>
      </c>
      <c r="M1910" s="7">
        <f>IF(N1910=0,+L1910+H1910,0)</f>
        <v/>
      </c>
      <c r="N1910" s="7">
        <f>IF((+G1910-K1910)=0,0,+G1910-K1910)</f>
        <v/>
      </c>
      <c r="O1910" s="7">
        <f>IF(N1910=0,0,(L1910+H1910)/-N1910)</f>
        <v/>
      </c>
      <c r="P1910" s="7">
        <f>VLOOKUP(OPERAC[[#This Row],[especie]],[1]!ESPECIES[#All],6,0)</f>
        <v/>
      </c>
      <c r="Q1910" s="7">
        <f>IF(N1910&lt;&gt;0,P1910*N1910,0)</f>
        <v/>
      </c>
      <c r="R1910" s="8">
        <f>IF(Q1910&lt;&gt;0,Q1910+H1910+L1910,0)</f>
        <v/>
      </c>
      <c r="S1910" s="9">
        <f>VLOOKUP(OPERAC[[#This Row],[especie]],[1]!ESPECIES[#Data],9,FALSE)</f>
        <v/>
      </c>
    </row>
    <row r="1911">
      <c r="A1911" s="4" t="n">
        <v>18663</v>
      </c>
      <c r="B1911" s="5" t="n">
        <v>44725</v>
      </c>
      <c r="C1911" s="13" t="inlineStr">
        <is>
          <t>VTA</t>
        </is>
      </c>
      <c r="D1911" s="13" t="n">
        <v>41</v>
      </c>
      <c r="E1911" s="10">
        <f>IF(D1911&gt;0,VLOOKUP(OPERAC[[#This Row],[COD CART]],[1]!MatrizCortoLargoCyl[#All],3,0),"")</f>
        <v/>
      </c>
      <c r="F1911" s="13" t="inlineStr">
        <is>
          <t>FL</t>
        </is>
      </c>
      <c r="G1911" s="6" t="n">
        <v>10</v>
      </c>
      <c r="H1911" s="6" t="n">
        <v>-291.15395</v>
      </c>
      <c r="I1911" s="7">
        <f>-H1911/G1911</f>
        <v/>
      </c>
      <c r="J1911" s="5" t="n"/>
      <c r="K1911" s="6" t="n"/>
      <c r="L1911" s="6" t="n"/>
      <c r="M1911" s="7">
        <f>IF(N1911=0,+L1911+H1911,0)</f>
        <v/>
      </c>
      <c r="N1911" s="7">
        <f>IF((+G1911-K1911)=0,0,+G1911-K1911)</f>
        <v/>
      </c>
      <c r="O1911" s="7">
        <f>IF(N1911=0,0,(L1911+H1911)/-N1911)</f>
        <v/>
      </c>
      <c r="P1911" s="7">
        <f>VLOOKUP(OPERAC[[#This Row],[especie]],[1]!ESPECIES[#All],6,0)</f>
        <v/>
      </c>
      <c r="Q1911" s="7">
        <f>IF(N1911&lt;&gt;0,P1911*N1911,0)</f>
        <v/>
      </c>
      <c r="R1911" s="8">
        <f>IF(Q1911&lt;&gt;0,Q1911+H1911+L1911,0)</f>
        <v/>
      </c>
      <c r="S1911" s="9">
        <f>VLOOKUP(OPERAC[[#This Row],[especie]],[1]!ESPECIES[#Data],9,FALSE)</f>
        <v/>
      </c>
    </row>
    <row r="1912">
      <c r="A1912" s="4" t="n">
        <v>13253</v>
      </c>
      <c r="B1912" s="5" t="n">
        <v>44393</v>
      </c>
      <c r="C1912" s="13" t="inlineStr">
        <is>
          <t>VTA</t>
        </is>
      </c>
      <c r="D1912" s="13" t="n">
        <v>41</v>
      </c>
      <c r="E1912" s="10">
        <f>IF(D1912&gt;0,VLOOKUP(OPERAC[[#This Row],[COD CART]],[1]!MatrizCortoLargoCyl[#All],3,0),"")</f>
        <v/>
      </c>
      <c r="F1912" s="13" t="inlineStr">
        <is>
          <t>NRZ</t>
        </is>
      </c>
      <c r="G1912" s="6" t="n">
        <v>30</v>
      </c>
      <c r="H1912" s="6" t="n">
        <v>-292.0315</v>
      </c>
      <c r="I1912" s="7">
        <f>-H1912/G1912</f>
        <v/>
      </c>
      <c r="J1912" s="11" t="n"/>
      <c r="K1912" s="6" t="n"/>
      <c r="L1912" s="6" t="n"/>
      <c r="M1912" s="7">
        <f>IF(N1912=0,+L1912+H1912,0)</f>
        <v/>
      </c>
      <c r="N1912" s="7">
        <f>IF((+G1912-K1912)=0,0,+G1912-K1912)</f>
        <v/>
      </c>
      <c r="O1912" s="7">
        <f>IF(N1912=0,0,(L1912+H1912)/-N1912)</f>
        <v/>
      </c>
      <c r="P1912" s="7">
        <f>VLOOKUP(OPERAC[[#This Row],[especie]],[1]!ESPECIES[#All],6,0)</f>
        <v/>
      </c>
      <c r="Q1912" s="7">
        <f>IF(N1912&lt;&gt;0,P1912*N1912,0)</f>
        <v/>
      </c>
      <c r="R1912" s="8">
        <f>IF(Q1912&lt;&gt;0,Q1912+H1912+L1912,0)</f>
        <v/>
      </c>
      <c r="S1912" s="9">
        <f>VLOOKUP(OPERAC[[#This Row],[especie]],[1]!ESPECIES[#Data],9,FALSE)</f>
        <v/>
      </c>
    </row>
    <row r="1913">
      <c r="A1913" s="4" t="n">
        <v>13253</v>
      </c>
      <c r="B1913" s="5" t="n">
        <v>44725</v>
      </c>
      <c r="C1913" s="13" t="inlineStr">
        <is>
          <t>VTA</t>
        </is>
      </c>
      <c r="D1913" s="13" t="n">
        <v>41</v>
      </c>
      <c r="E1913" s="10">
        <f>IF(D1913&gt;0,VLOOKUP(OPERAC[[#This Row],[COD CART]],[1]!MatrizCortoLargoCyl[#All],3,0),"")</f>
        <v/>
      </c>
      <c r="F1913" s="13" t="inlineStr">
        <is>
          <t>NRZ</t>
        </is>
      </c>
      <c r="G1913" s="6" t="n">
        <v>30</v>
      </c>
      <c r="H1913" s="6" t="n">
        <v>-293.624775</v>
      </c>
      <c r="I1913" s="7">
        <f>-H1913/G1913</f>
        <v/>
      </c>
      <c r="J1913" s="5" t="n"/>
      <c r="K1913" s="6" t="n"/>
      <c r="L1913" s="6" t="n"/>
      <c r="M1913" s="7">
        <f>IF(N1913=0,+L1913+H1913,0)</f>
        <v/>
      </c>
      <c r="N1913" s="7">
        <f>IF((+G1913-K1913)=0,0,+G1913-K1913)</f>
        <v/>
      </c>
      <c r="O1913" s="7">
        <f>IF(N1913=0,0,(L1913+H1913)/-N1913)</f>
        <v/>
      </c>
      <c r="P1913" s="7">
        <f>VLOOKUP(OPERAC[[#This Row],[especie]],[1]!ESPECIES[#All],6,0)</f>
        <v/>
      </c>
      <c r="Q1913" s="7">
        <f>IF(N1913&lt;&gt;0,P1913*N1913,0)</f>
        <v/>
      </c>
      <c r="R1913" s="8">
        <f>IF(Q1913&lt;&gt;0,Q1913+H1913+L1913,0)</f>
        <v/>
      </c>
      <c r="S1913" s="9">
        <f>VLOOKUP(OPERAC[[#This Row],[especie]],[1]!ESPECIES[#Data],9,FALSE)</f>
        <v/>
      </c>
    </row>
    <row r="1914">
      <c r="A1914" s="4" t="n">
        <v>2255</v>
      </c>
      <c r="B1914" s="5" t="n">
        <v>44550</v>
      </c>
      <c r="C1914" s="13" t="inlineStr">
        <is>
          <t>VTA</t>
        </is>
      </c>
      <c r="D1914" s="13" t="n">
        <v>40</v>
      </c>
      <c r="E1914" s="10">
        <f>IF(D1914&gt;0,VLOOKUP(OPERAC[[#This Row],[COD CART]],[1]!MatrizCortoLargoCyl[#All],3,0),"")</f>
        <v/>
      </c>
      <c r="F1914" s="13" t="inlineStr">
        <is>
          <t>SMH</t>
        </is>
      </c>
      <c r="G1914" s="6" t="n">
        <v>1</v>
      </c>
      <c r="H1914" s="6" t="n">
        <v>-293.97304</v>
      </c>
      <c r="I1914" s="7">
        <f>-H1914/G1914</f>
        <v/>
      </c>
      <c r="J1914" s="11" t="n">
        <v>44574</v>
      </c>
      <c r="K1914" s="6">
        <f>+OPERAC[[#This Row],[cantidad]]</f>
        <v/>
      </c>
      <c r="L1914" s="6">
        <f>+OPERAC[[#This Row],[cantidad venta]]*306.843</f>
        <v/>
      </c>
      <c r="M1914" s="7">
        <f>IF(N1914=0,+L1914+H1914,0)</f>
        <v/>
      </c>
      <c r="N1914" s="7">
        <f>IF((+G1914-K1914)=0,0,+G1914-K1914)</f>
        <v/>
      </c>
      <c r="O1914" s="7">
        <f>IF(N1914=0,0,(L1914+H1914)/-N1914)</f>
        <v/>
      </c>
      <c r="P1914" s="7">
        <f>VLOOKUP(OPERAC[[#This Row],[especie]],[1]!ESPECIES[#All],6,0)</f>
        <v/>
      </c>
      <c r="Q1914" s="7">
        <f>IF(N1914&lt;&gt;0,P1914*N1914,0)</f>
        <v/>
      </c>
      <c r="R1914" s="8">
        <f>IF(Q1914&lt;&gt;0,Q1914+H1914+L1914,0)</f>
        <v/>
      </c>
      <c r="S1914" s="9">
        <f>VLOOKUP(OPERAC[[#This Row],[especie]],[1]!ESPECIES[#Data],9,FALSE)</f>
        <v/>
      </c>
    </row>
    <row r="1915">
      <c r="A1915" s="4" t="n">
        <v>2289</v>
      </c>
      <c r="B1915" s="5" t="n">
        <v>44550</v>
      </c>
      <c r="C1915" s="13" t="inlineStr">
        <is>
          <t>VTA</t>
        </is>
      </c>
      <c r="D1915" s="13" t="n">
        <v>40</v>
      </c>
      <c r="E1915" s="10">
        <f>IF(D1915&gt;0,VLOOKUP(OPERAC[[#This Row],[COD CART]],[1]!MatrizCortoLargoCyl[#All],3,0),"")</f>
        <v/>
      </c>
      <c r="F1915" s="13" t="inlineStr">
        <is>
          <t>SMH</t>
        </is>
      </c>
      <c r="G1915" s="6" t="n">
        <v>1</v>
      </c>
      <c r="H1915" s="6" t="n">
        <v>-293.97304</v>
      </c>
      <c r="I1915" s="7">
        <f>-H1915/G1915</f>
        <v/>
      </c>
      <c r="J1915" s="11" t="n">
        <v>44574</v>
      </c>
      <c r="K1915" s="6">
        <f>+OPERAC[[#This Row],[cantidad]]</f>
        <v/>
      </c>
      <c r="L1915" s="6">
        <f>+OPERAC[[#This Row],[cantidad venta]]*306.843</f>
        <v/>
      </c>
      <c r="M1915" s="7">
        <f>IF(N1915=0,+L1915+H1915,0)</f>
        <v/>
      </c>
      <c r="N1915" s="7">
        <f>IF((+G1915-K1915)=0,0,+G1915-K1915)</f>
        <v/>
      </c>
      <c r="O1915" s="7">
        <f>IF(N1915=0,0,(L1915+H1915)/-N1915)</f>
        <v/>
      </c>
      <c r="P1915" s="7">
        <f>VLOOKUP(OPERAC[[#This Row],[especie]],[1]!ESPECIES[#All],6,0)</f>
        <v/>
      </c>
      <c r="Q1915" s="7">
        <f>IF(N1915&lt;&gt;0,P1915*N1915,0)</f>
        <v/>
      </c>
      <c r="R1915" s="8">
        <f>IF(Q1915&lt;&gt;0,Q1915+H1915+L1915,0)</f>
        <v/>
      </c>
      <c r="S1915" s="9">
        <f>VLOOKUP(OPERAC[[#This Row],[especie]],[1]!ESPECIES[#Data],9,FALSE)</f>
        <v/>
      </c>
    </row>
    <row r="1916">
      <c r="A1916" s="4" t="n">
        <v>4561</v>
      </c>
      <c r="B1916" s="5" t="n">
        <v>44550</v>
      </c>
      <c r="C1916" s="13" t="inlineStr">
        <is>
          <t>VTA</t>
        </is>
      </c>
      <c r="D1916" s="13" t="n">
        <v>40</v>
      </c>
      <c r="E1916" s="10">
        <f>IF(D1916&gt;0,VLOOKUP(OPERAC[[#This Row],[COD CART]],[1]!MatrizCortoLargoCyl[#All],3,0),"")</f>
        <v/>
      </c>
      <c r="F1916" s="13" t="inlineStr">
        <is>
          <t>SMH</t>
        </is>
      </c>
      <c r="G1916" s="6" t="n">
        <v>1</v>
      </c>
      <c r="H1916" s="6" t="n">
        <v>-293.97304</v>
      </c>
      <c r="I1916" s="7">
        <f>-H1916/G1916</f>
        <v/>
      </c>
      <c r="J1916" s="11" t="n">
        <v>44574</v>
      </c>
      <c r="K1916" s="6">
        <f>+OPERAC[[#This Row],[cantidad]]</f>
        <v/>
      </c>
      <c r="L1916" s="6">
        <f>+OPERAC[[#This Row],[cantidad venta]]*306.843</f>
        <v/>
      </c>
      <c r="M1916" s="7">
        <f>IF(N1916=0,+L1916+H1916,0)</f>
        <v/>
      </c>
      <c r="N1916" s="7">
        <f>IF((+G1916-K1916)=0,0,+G1916-K1916)</f>
        <v/>
      </c>
      <c r="O1916" s="7">
        <f>IF(N1916=0,0,(L1916+H1916)/-N1916)</f>
        <v/>
      </c>
      <c r="P1916" s="7">
        <f>VLOOKUP(OPERAC[[#This Row],[especie]],[1]!ESPECIES[#All],6,0)</f>
        <v/>
      </c>
      <c r="Q1916" s="7">
        <f>IF(N1916&lt;&gt;0,P1916*N1916,0)</f>
        <v/>
      </c>
      <c r="R1916" s="8">
        <f>IF(Q1916&lt;&gt;0,Q1916+H1916+L1916,0)</f>
        <v/>
      </c>
      <c r="S1916" s="9">
        <f>VLOOKUP(OPERAC[[#This Row],[especie]],[1]!ESPECIES[#Data],9,FALSE)</f>
        <v/>
      </c>
    </row>
    <row r="1917">
      <c r="A1917" s="4" t="n">
        <v>6628</v>
      </c>
      <c r="B1917" s="5" t="n">
        <v>44550</v>
      </c>
      <c r="C1917" s="13" t="inlineStr">
        <is>
          <t>VTA</t>
        </is>
      </c>
      <c r="D1917" s="13" t="n">
        <v>40</v>
      </c>
      <c r="E1917" s="10">
        <f>IF(D1917&gt;0,VLOOKUP(OPERAC[[#This Row],[COD CART]],[1]!MatrizCortoLargoCyl[#All],3,0),"")</f>
        <v/>
      </c>
      <c r="F1917" s="13" t="inlineStr">
        <is>
          <t>SMH</t>
        </is>
      </c>
      <c r="G1917" s="6" t="n">
        <v>1</v>
      </c>
      <c r="H1917" s="6" t="n">
        <v>-293.97304</v>
      </c>
      <c r="I1917" s="7">
        <f>-H1917/G1917</f>
        <v/>
      </c>
      <c r="J1917" s="11" t="n">
        <v>44574</v>
      </c>
      <c r="K1917" s="6">
        <f>+OPERAC[[#This Row],[cantidad]]</f>
        <v/>
      </c>
      <c r="L1917" s="6">
        <f>+OPERAC[[#This Row],[cantidad venta]]*306.843</f>
        <v/>
      </c>
      <c r="M1917" s="7">
        <f>IF(N1917=0,+L1917+H1917,0)</f>
        <v/>
      </c>
      <c r="N1917" s="7">
        <f>IF((+G1917-K1917)=0,0,+G1917-K1917)</f>
        <v/>
      </c>
      <c r="O1917" s="7">
        <f>IF(N1917=0,0,(L1917+H1917)/-N1917)</f>
        <v/>
      </c>
      <c r="P1917" s="7">
        <f>VLOOKUP(OPERAC[[#This Row],[especie]],[1]!ESPECIES[#All],6,0)</f>
        <v/>
      </c>
      <c r="Q1917" s="7">
        <f>IF(N1917&lt;&gt;0,P1917*N1917,0)</f>
        <v/>
      </c>
      <c r="R1917" s="8">
        <f>IF(Q1917&lt;&gt;0,Q1917+H1917+L1917,0)</f>
        <v/>
      </c>
      <c r="S1917" s="9">
        <f>VLOOKUP(OPERAC[[#This Row],[especie]],[1]!ESPECIES[#Data],9,FALSE)</f>
        <v/>
      </c>
    </row>
    <row r="1918">
      <c r="A1918" s="4" t="n">
        <v>16829</v>
      </c>
      <c r="B1918" s="5" t="n">
        <v>44550</v>
      </c>
      <c r="C1918" s="13" t="inlineStr">
        <is>
          <t>VTA</t>
        </is>
      </c>
      <c r="D1918" s="13" t="n">
        <v>40</v>
      </c>
      <c r="E1918" s="10">
        <f>IF(D1918&gt;0,VLOOKUP(OPERAC[[#This Row],[COD CART]],[1]!MatrizCortoLargoCyl[#All],3,0),"")</f>
        <v/>
      </c>
      <c r="F1918" s="13" t="inlineStr">
        <is>
          <t>SMH</t>
        </is>
      </c>
      <c r="G1918" s="6" t="n">
        <v>1</v>
      </c>
      <c r="H1918" s="6" t="n">
        <v>-293.97304</v>
      </c>
      <c r="I1918" s="7">
        <f>-H1918/G1918</f>
        <v/>
      </c>
      <c r="J1918" s="11" t="n">
        <v>44574</v>
      </c>
      <c r="K1918" s="6">
        <f>+OPERAC[[#This Row],[cantidad]]</f>
        <v/>
      </c>
      <c r="L1918" s="6">
        <f>+OPERAC[[#This Row],[cantidad venta]]*306.843</f>
        <v/>
      </c>
      <c r="M1918" s="7">
        <f>IF(N1918=0,+L1918+H1918,0)</f>
        <v/>
      </c>
      <c r="N1918" s="7">
        <f>IF((+G1918-K1918)=0,0,+G1918-K1918)</f>
        <v/>
      </c>
      <c r="O1918" s="7">
        <f>IF(N1918=0,0,(L1918+H1918)/-N1918)</f>
        <v/>
      </c>
      <c r="P1918" s="7">
        <f>VLOOKUP(OPERAC[[#This Row],[especie]],[1]!ESPECIES[#All],6,0)</f>
        <v/>
      </c>
      <c r="Q1918" s="7">
        <f>IF(N1918&lt;&gt;0,P1918*N1918,0)</f>
        <v/>
      </c>
      <c r="R1918" s="8">
        <f>IF(Q1918&lt;&gt;0,Q1918+H1918+L1918,0)</f>
        <v/>
      </c>
      <c r="S1918" s="9">
        <f>VLOOKUP(OPERAC[[#This Row],[especie]],[1]!ESPECIES[#Data],9,FALSE)</f>
        <v/>
      </c>
    </row>
    <row r="1919">
      <c r="A1919" s="4" t="n">
        <v>26137</v>
      </c>
      <c r="B1919" s="5" t="n">
        <v>44550</v>
      </c>
      <c r="C1919" s="13" t="inlineStr">
        <is>
          <t>VTA</t>
        </is>
      </c>
      <c r="D1919" s="13" t="n">
        <v>40</v>
      </c>
      <c r="E1919" s="10">
        <f>IF(D1919&gt;0,VLOOKUP(OPERAC[[#This Row],[COD CART]],[1]!MatrizCortoLargoCyl[#All],3,0),"")</f>
        <v/>
      </c>
      <c r="F1919" s="13" t="inlineStr">
        <is>
          <t>SMH</t>
        </is>
      </c>
      <c r="G1919" s="6" t="n">
        <v>1</v>
      </c>
      <c r="H1919" s="6" t="n">
        <v>-293.97304</v>
      </c>
      <c r="I1919" s="7">
        <f>-H1919/G1919</f>
        <v/>
      </c>
      <c r="J1919" s="11" t="n">
        <v>44574</v>
      </c>
      <c r="K1919" s="6">
        <f>+OPERAC[[#This Row],[cantidad]]</f>
        <v/>
      </c>
      <c r="L1919" s="6">
        <f>+OPERAC[[#This Row],[cantidad venta]]*306.843</f>
        <v/>
      </c>
      <c r="M1919" s="7">
        <f>IF(N1919=0,+L1919+H1919,0)</f>
        <v/>
      </c>
      <c r="N1919" s="7">
        <f>IF((+G1919-K1919)=0,0,+G1919-K1919)</f>
        <v/>
      </c>
      <c r="O1919" s="7">
        <f>IF(N1919=0,0,(L1919+H1919)/-N1919)</f>
        <v/>
      </c>
      <c r="P1919" s="7">
        <f>VLOOKUP(OPERAC[[#This Row],[especie]],[1]!ESPECIES[#All],6,0)</f>
        <v/>
      </c>
      <c r="Q1919" s="7">
        <f>IF(N1919&lt;&gt;0,P1919*N1919,0)</f>
        <v/>
      </c>
      <c r="R1919" s="8">
        <f>IF(Q1919&lt;&gt;0,Q1919+H1919+L1919,0)</f>
        <v/>
      </c>
      <c r="S1919" s="9">
        <f>VLOOKUP(OPERAC[[#This Row],[especie]],[1]!ESPECIES[#Data],9,FALSE)</f>
        <v/>
      </c>
    </row>
    <row r="1920">
      <c r="A1920" s="4" t="n">
        <v>13253</v>
      </c>
      <c r="B1920" s="5" t="n">
        <v>44589</v>
      </c>
      <c r="C1920" s="13" t="inlineStr">
        <is>
          <t>VTA</t>
        </is>
      </c>
      <c r="D1920" s="13" t="n">
        <v>41</v>
      </c>
      <c r="E1920" s="10">
        <f>IF(D1920&gt;0,VLOOKUP(OPERAC[[#This Row],[COD CART]],[1]!MatrizCortoLargoCyl[#All],3,0),"")</f>
        <v/>
      </c>
      <c r="F1920" s="13" t="inlineStr">
        <is>
          <t>SPWR</t>
        </is>
      </c>
      <c r="G1920" s="6" t="n">
        <v>20</v>
      </c>
      <c r="H1920" s="6" t="n">
        <v>-296.1170285714285</v>
      </c>
      <c r="I1920" s="7">
        <f>-H1920/G1920</f>
        <v/>
      </c>
      <c r="J1920" s="11" t="n">
        <v>44592</v>
      </c>
      <c r="K1920" s="6" t="n">
        <v>20</v>
      </c>
      <c r="L1920" s="6" t="n">
        <v>323.41</v>
      </c>
      <c r="M1920" s="7">
        <f>IF(N1920=0,+L1920+H1920,0)</f>
        <v/>
      </c>
      <c r="N1920" s="7">
        <f>IF((+G1920-K1920)=0,0,+G1920-K1920)</f>
        <v/>
      </c>
      <c r="O1920" s="7">
        <f>IF(N1920=0,0,(L1920+H1920)/-N1920)</f>
        <v/>
      </c>
      <c r="P1920" s="7">
        <f>VLOOKUP(OPERAC[[#This Row],[especie]],[1]!ESPECIES[#All],6,0)</f>
        <v/>
      </c>
      <c r="Q1920" s="7">
        <f>IF(N1920&lt;&gt;0,P1920*N1920,0)</f>
        <v/>
      </c>
      <c r="R1920" s="8">
        <f>IF(Q1920&lt;&gt;0,Q1920+H1920+L1920,0)</f>
        <v/>
      </c>
      <c r="S1920" s="9">
        <f>VLOOKUP(OPERAC[[#This Row],[especie]],[1]!ESPECIES[#Data],9,FALSE)</f>
        <v/>
      </c>
    </row>
    <row r="1921">
      <c r="A1921" s="4" t="n">
        <v>1800</v>
      </c>
      <c r="B1921" s="5" t="n">
        <v>44664</v>
      </c>
      <c r="C1921" s="13" t="inlineStr">
        <is>
          <t>VTA</t>
        </is>
      </c>
      <c r="D1921" s="13" t="n">
        <v>42</v>
      </c>
      <c r="E1921" s="10">
        <f>IF(D1921&gt;0,VLOOKUP(OPERAC[[#This Row],[COD CART]],[1]!MatrizCortoLargoCyl[#All],3,0),"")</f>
        <v/>
      </c>
      <c r="F1921" s="13" t="inlineStr">
        <is>
          <t>AMD</t>
        </is>
      </c>
      <c r="G1921" s="6" t="n">
        <v>3</v>
      </c>
      <c r="H1921" s="6" t="n">
        <v>-296.31196359</v>
      </c>
      <c r="I1921" s="7">
        <f>-H1921/G1921</f>
        <v/>
      </c>
      <c r="J1921" s="11" t="n">
        <v>44693</v>
      </c>
      <c r="K1921" s="6" t="n">
        <v>3</v>
      </c>
      <c r="L1921" s="6" t="n">
        <v>249.44</v>
      </c>
      <c r="M1921" s="7">
        <f>IF(N1921=0,+L1921+H1921,0)</f>
        <v/>
      </c>
      <c r="N1921" s="7">
        <f>IF((+G1921-K1921)=0,0,+G1921-K1921)</f>
        <v/>
      </c>
      <c r="O1921" s="7">
        <f>IF(N1921=0,0,(L1921+H1921)/-N1921)</f>
        <v/>
      </c>
      <c r="P1921" s="7">
        <f>VLOOKUP(OPERAC[[#This Row],[especie]],[1]!ESPECIES[#All],6,0)</f>
        <v/>
      </c>
      <c r="Q1921" s="7">
        <f>IF(N1921&lt;&gt;0,P1921*N1921,0)</f>
        <v/>
      </c>
      <c r="R1921" s="8">
        <f>IF(Q1921&lt;&gt;0,Q1921+H1921+L1921,0)</f>
        <v/>
      </c>
      <c r="S1921" s="9">
        <f>VLOOKUP(OPERAC[[#This Row],[especie]],[1]!ESPECIES[#Data],9,FALSE)</f>
        <v/>
      </c>
    </row>
    <row r="1922">
      <c r="A1922" s="4" t="n">
        <v>2217</v>
      </c>
      <c r="B1922" s="5" t="n">
        <v>44664</v>
      </c>
      <c r="C1922" s="13" t="inlineStr">
        <is>
          <t>VTA</t>
        </is>
      </c>
      <c r="D1922" s="13" t="n">
        <v>42</v>
      </c>
      <c r="E1922" s="10">
        <f>IF(D1922&gt;0,VLOOKUP(OPERAC[[#This Row],[COD CART]],[1]!MatrizCortoLargoCyl[#All],3,0),"")</f>
        <v/>
      </c>
      <c r="F1922" s="13" t="inlineStr">
        <is>
          <t>AMD</t>
        </is>
      </c>
      <c r="G1922" s="6" t="n">
        <v>3</v>
      </c>
      <c r="H1922" s="6" t="n">
        <v>-296.31196359</v>
      </c>
      <c r="I1922" s="7">
        <f>-H1922/G1922</f>
        <v/>
      </c>
      <c r="J1922" s="11" t="n">
        <v>44693</v>
      </c>
      <c r="K1922" s="6" t="n">
        <v>3</v>
      </c>
      <c r="L1922" s="6">
        <f>+OPERAC[[#This Row],[cantidad venta]]*83.148</f>
        <v/>
      </c>
      <c r="M1922" s="7">
        <f>IF(N1922=0,+L1922+H1922,0)</f>
        <v/>
      </c>
      <c r="N1922" s="7">
        <f>IF((+G1922-K1922)=0,0,+G1922-K1922)</f>
        <v/>
      </c>
      <c r="O1922" s="7">
        <f>IF(N1922=0,0,(L1922+H1922)/-N1922)</f>
        <v/>
      </c>
      <c r="P1922" s="7">
        <f>VLOOKUP(OPERAC[[#This Row],[especie]],[1]!ESPECIES[#All],6,0)</f>
        <v/>
      </c>
      <c r="Q1922" s="7">
        <f>IF(N1922&lt;&gt;0,P1922*N1922,0)</f>
        <v/>
      </c>
      <c r="R1922" s="8">
        <f>IF(Q1922&lt;&gt;0,Q1922+H1922+L1922,0)</f>
        <v/>
      </c>
      <c r="S1922" s="9">
        <f>VLOOKUP(OPERAC[[#This Row],[especie]],[1]!ESPECIES[#Data],9,FALSE)</f>
        <v/>
      </c>
    </row>
    <row r="1923">
      <c r="A1923" s="4" t="n">
        <v>2279</v>
      </c>
      <c r="B1923" s="5" t="n">
        <v>44664</v>
      </c>
      <c r="C1923" s="13" t="inlineStr">
        <is>
          <t>VTA</t>
        </is>
      </c>
      <c r="D1923" s="13" t="n">
        <v>42</v>
      </c>
      <c r="E1923" s="10">
        <f>IF(D1923&gt;0,VLOOKUP(OPERAC[[#This Row],[COD CART]],[1]!MatrizCortoLargoCyl[#All],3,0),"")</f>
        <v/>
      </c>
      <c r="F1923" s="13" t="inlineStr">
        <is>
          <t>AMD</t>
        </is>
      </c>
      <c r="G1923" s="6" t="n">
        <v>3</v>
      </c>
      <c r="H1923" s="6" t="n">
        <v>-296.31196359</v>
      </c>
      <c r="I1923" s="7">
        <f>-H1923/G1923</f>
        <v/>
      </c>
      <c r="J1923" s="11" t="n">
        <v>44693</v>
      </c>
      <c r="K1923" s="6" t="n">
        <v>3</v>
      </c>
      <c r="L1923" s="6" t="n">
        <v>249.44</v>
      </c>
      <c r="M1923" s="7">
        <f>IF(N1923=0,+L1923+H1923,0)</f>
        <v/>
      </c>
      <c r="N1923" s="7">
        <f>IF((+G1923-K1923)=0,0,+G1923-K1923)</f>
        <v/>
      </c>
      <c r="O1923" s="7">
        <f>IF(N1923=0,0,(L1923+H1923)/-N1923)</f>
        <v/>
      </c>
      <c r="P1923" s="7">
        <f>VLOOKUP(OPERAC[[#This Row],[especie]],[1]!ESPECIES[#All],6,0)</f>
        <v/>
      </c>
      <c r="Q1923" s="7">
        <f>IF(N1923&lt;&gt;0,P1923*N1923,0)</f>
        <v/>
      </c>
      <c r="R1923" s="8">
        <f>IF(Q1923&lt;&gt;0,Q1923+H1923+L1923,0)</f>
        <v/>
      </c>
      <c r="S1923" s="9">
        <f>VLOOKUP(OPERAC[[#This Row],[especie]],[1]!ESPECIES[#Data],9,FALSE)</f>
        <v/>
      </c>
    </row>
    <row r="1924">
      <c r="A1924" s="4" t="n">
        <v>18663</v>
      </c>
      <c r="B1924" s="5" t="n">
        <v>43831</v>
      </c>
      <c r="C1924" s="13" t="inlineStr">
        <is>
          <t>VTA</t>
        </is>
      </c>
      <c r="D1924" s="13" t="n">
        <v>41</v>
      </c>
      <c r="E1924" s="10">
        <f>IF(D1924&gt;0,VLOOKUP(OPERAC[[#This Row],[COD CART]],[1]!MatrizCortoLargoCyl[#All],3,0),"")</f>
        <v/>
      </c>
      <c r="F1924" s="13" t="inlineStr">
        <is>
          <t>DIS</t>
        </is>
      </c>
      <c r="G1924" s="6" t="n">
        <v>2</v>
      </c>
      <c r="H1924" s="6" t="n">
        <v>-296.4</v>
      </c>
      <c r="I1924" s="7" t="n">
        <v>148.2</v>
      </c>
      <c r="J1924" s="5" t="n">
        <v>44263</v>
      </c>
      <c r="K1924" s="6" t="n">
        <v>1</v>
      </c>
      <c r="L1924" s="6" t="n">
        <v>197.41984</v>
      </c>
      <c r="M1924" s="7">
        <f>IF(N1924=0,+L1924+H1924,0)</f>
        <v/>
      </c>
      <c r="N1924" s="7">
        <f>IF((+G1924-K1924)=0,0,+G1924-K1924)</f>
        <v/>
      </c>
      <c r="O1924" s="7">
        <f>IF(N1924=0,0,(L1924+H1924)/-N1924)</f>
        <v/>
      </c>
      <c r="P1924" s="7">
        <f>VLOOKUP(OPERAC[[#This Row],[especie]],[1]!ESPECIES[#All],6,0)</f>
        <v/>
      </c>
      <c r="Q1924" s="7">
        <f>IF(N1924&lt;&gt;0,P1924*N1924,0)</f>
        <v/>
      </c>
      <c r="R1924" s="8">
        <f>IF(Q1924&lt;&gt;0,Q1924+H1924+L1924,0)</f>
        <v/>
      </c>
      <c r="S1924" s="9">
        <f>VLOOKUP(OPERAC[[#This Row],[especie]],[1]!ESPECIES[#Data],9,FALSE)</f>
        <v/>
      </c>
    </row>
    <row r="1925">
      <c r="A1925" s="4" t="n">
        <v>18663</v>
      </c>
      <c r="B1925" s="5" t="n">
        <v>44502</v>
      </c>
      <c r="C1925" s="13" t="inlineStr">
        <is>
          <t>VTA</t>
        </is>
      </c>
      <c r="D1925" s="13" t="n">
        <v>41</v>
      </c>
      <c r="E1925" s="10">
        <f>IF(D1925&gt;0,VLOOKUP(OPERAC[[#This Row],[COD CART]],[1]!MatrizCortoLargoCyl[#All],3,0),"")</f>
        <v/>
      </c>
      <c r="F1925" s="13" t="inlineStr">
        <is>
          <t>EWZ</t>
        </is>
      </c>
      <c r="G1925" s="6" t="n">
        <v>10</v>
      </c>
      <c r="H1925" s="6" t="n">
        <v>-297.302</v>
      </c>
      <c r="I1925" s="7">
        <f>-H1925/G1925</f>
        <v/>
      </c>
      <c r="J1925" s="11" t="n">
        <v>44574</v>
      </c>
      <c r="K1925" s="6" t="n">
        <v>10</v>
      </c>
      <c r="L1925" s="6" t="n">
        <v>285.366</v>
      </c>
      <c r="M1925" s="7">
        <f>IF(N1925=0,+L1925+H1925,0)</f>
        <v/>
      </c>
      <c r="N1925" s="7">
        <f>IF((+G1925-K1925)=0,0,+G1925-K1925)</f>
        <v/>
      </c>
      <c r="O1925" s="7">
        <f>IF(N1925=0,0,(L1925+H1925)/-N1925)</f>
        <v/>
      </c>
      <c r="P1925" s="7">
        <f>VLOOKUP(OPERAC[[#This Row],[especie]],[1]!ESPECIES[#All],6,0)</f>
        <v/>
      </c>
      <c r="Q1925" s="7">
        <f>IF(N1925&lt;&gt;0,P1925*N1925,0)</f>
        <v/>
      </c>
      <c r="R1925" s="8">
        <f>IF(Q1925&lt;&gt;0,Q1925+H1925+L1925,0)</f>
        <v/>
      </c>
      <c r="S1925" s="9">
        <f>VLOOKUP(OPERAC[[#This Row],[especie]],[1]!ESPECIES[#Data],9,FALSE)</f>
        <v/>
      </c>
    </row>
    <row r="1926">
      <c r="A1926" s="4" t="n">
        <v>15195</v>
      </c>
      <c r="B1926" s="5" t="n">
        <v>44533</v>
      </c>
      <c r="C1926" s="13" t="inlineStr">
        <is>
          <t>VTA</t>
        </is>
      </c>
      <c r="D1926" s="13" t="n">
        <v>32</v>
      </c>
      <c r="E1926" s="10">
        <f>IF(D1926&gt;0,VLOOKUP(OPERAC[[#This Row],[COD CART]],[1]!MatrizCortoLargoCyl[#All],3,0),"")</f>
        <v/>
      </c>
      <c r="F1926" s="13" t="inlineStr">
        <is>
          <t>AAL/BULL/14,00-20,00/14-04-22</t>
        </is>
      </c>
      <c r="G1926" s="6" t="n">
        <v>200</v>
      </c>
      <c r="H1926" s="6">
        <f>-16.02*OPERAC[[#This Row],[cantidad]]+20.824+74.147+43.086+3649.3-880.904</f>
        <v/>
      </c>
      <c r="I1926" s="7">
        <f>-H1926/G1926</f>
        <v/>
      </c>
      <c r="J1926" s="11" t="n">
        <v>44665</v>
      </c>
      <c r="K1926" s="6" t="n">
        <v>200</v>
      </c>
      <c r="L1926" s="6">
        <f>5.5*200</f>
        <v/>
      </c>
      <c r="M1926" s="7">
        <f>IF(N1926=0,+L1926+H1926,0)</f>
        <v/>
      </c>
      <c r="N1926" s="7">
        <f>IF((+G1926-K1926)=0,0,+G1926-K1926)</f>
        <v/>
      </c>
      <c r="O1926" s="7">
        <f>IF(N1926=0,0,(L1926+H1926)/-N1926)</f>
        <v/>
      </c>
      <c r="P1926" s="7">
        <f>VLOOKUP(OPERAC[[#This Row],[especie]],[1]!ESPECIES[#All],6,0)</f>
        <v/>
      </c>
      <c r="Q1926" s="7">
        <f>IF(N1926&lt;&gt;0,P1926*N1926,0)</f>
        <v/>
      </c>
      <c r="R1926" s="8">
        <f>IF(Q1926&lt;&gt;0,Q1926+H1926+L1926,0)</f>
        <v/>
      </c>
      <c r="S1926" s="9">
        <f>VLOOKUP(OPERAC[[#This Row],[especie]],[1]!ESPECIES[#Data],9,FALSE)</f>
        <v/>
      </c>
    </row>
    <row r="1927">
      <c r="A1927" s="4" t="n">
        <v>18663</v>
      </c>
      <c r="B1927" s="5" t="n">
        <v>44427</v>
      </c>
      <c r="C1927" s="13" t="inlineStr">
        <is>
          <t>VTA</t>
        </is>
      </c>
      <c r="D1927" s="13" t="n">
        <v>41</v>
      </c>
      <c r="E1927" s="10">
        <f>IF(D1927&gt;0,VLOOKUP(OPERAC[[#This Row],[COD CART]],[1]!MatrizCortoLargoCyl[#All],3,0),"")</f>
        <v/>
      </c>
      <c r="F1927" s="13" t="inlineStr">
        <is>
          <t>MPW</t>
        </is>
      </c>
      <c r="G1927" s="6" t="n">
        <v>15</v>
      </c>
      <c r="H1927" s="6" t="n">
        <v>-298.032</v>
      </c>
      <c r="I1927" s="7">
        <f>-H1927/G1927</f>
        <v/>
      </c>
      <c r="J1927" s="11" t="n"/>
      <c r="K1927" s="6" t="n"/>
      <c r="L1927" s="6" t="n"/>
      <c r="M1927" s="7">
        <f>IF(N1927=0,+L1927+H1927,0)</f>
        <v/>
      </c>
      <c r="N1927" s="7">
        <f>IF((+G1927-K1927)=0,0,+G1927-K1927)</f>
        <v/>
      </c>
      <c r="O1927" s="7">
        <f>IF(N1927=0,0,(L1927+H1927)/-N1927)</f>
        <v/>
      </c>
      <c r="P1927" s="7">
        <f>VLOOKUP(OPERAC[[#This Row],[especie]],[1]!ESPECIES[#All],6,0)</f>
        <v/>
      </c>
      <c r="Q1927" s="7">
        <f>IF(N1927&lt;&gt;0,P1927*N1927,0)</f>
        <v/>
      </c>
      <c r="R1927" s="8">
        <f>IF(Q1927&lt;&gt;0,Q1927+H1927+L1927,0)</f>
        <v/>
      </c>
      <c r="S1927" s="9">
        <f>VLOOKUP(OPERAC[[#This Row],[especie]],[1]!ESPECIES[#Data],9,FALSE)</f>
        <v/>
      </c>
    </row>
    <row r="1928">
      <c r="A1928" s="4" t="n">
        <v>18663</v>
      </c>
      <c r="B1928" s="5" t="n">
        <v>44489</v>
      </c>
      <c r="C1928" s="13" t="inlineStr">
        <is>
          <t>VTA</t>
        </is>
      </c>
      <c r="D1928" s="13" t="n">
        <v>41</v>
      </c>
      <c r="E1928" s="10">
        <f>IF(D1928&gt;0,VLOOKUP(OPERAC[[#This Row],[COD CART]],[1]!MatrizCortoLargoCyl[#All],3,0),"")</f>
        <v/>
      </c>
      <c r="F1928" s="13" t="inlineStr">
        <is>
          <t>T</t>
        </is>
      </c>
      <c r="G1928" s="6" t="n">
        <v>15</v>
      </c>
      <c r="H1928" s="6">
        <f>-19.93*OPERAC[[#This Row],[cantidad]]</f>
        <v/>
      </c>
      <c r="I1928" s="7">
        <f>-H1928/G1928</f>
        <v/>
      </c>
      <c r="J1928" s="11" t="n"/>
      <c r="K1928" s="6" t="n"/>
      <c r="L1928" s="6" t="n"/>
      <c r="M1928" s="7">
        <f>IF(N1928=0,+L1928+H1928,0)</f>
        <v/>
      </c>
      <c r="N1928" s="7">
        <f>IF((+G1928-K1928)=0,0,+G1928-K1928)</f>
        <v/>
      </c>
      <c r="O1928" s="7">
        <f>IF(N1928=0,0,(L1928+H1928)/-N1928)</f>
        <v/>
      </c>
      <c r="P1928" s="7">
        <f>VLOOKUP(OPERAC[[#This Row],[especie]],[1]!ESPECIES[#All],6,0)</f>
        <v/>
      </c>
      <c r="Q1928" s="7">
        <f>IF(N1928&lt;&gt;0,P1928*N1928,0)</f>
        <v/>
      </c>
      <c r="R1928" s="8">
        <f>IF(Q1928&lt;&gt;0,Q1928+H1928+L1928,0)</f>
        <v/>
      </c>
      <c r="S1928" s="9">
        <f>VLOOKUP(OPERAC[[#This Row],[especie]],[1]!ESPECIES[#Data],9,FALSE)</f>
        <v/>
      </c>
    </row>
    <row r="1929">
      <c r="A1929" s="4" t="n">
        <v>18663</v>
      </c>
      <c r="B1929" s="5" t="n">
        <v>44714</v>
      </c>
      <c r="C1929" s="13" t="inlineStr">
        <is>
          <t>VTA</t>
        </is>
      </c>
      <c r="D1929" s="13" t="n">
        <v>41</v>
      </c>
      <c r="E1929" s="10">
        <f>IF(D1929&gt;0,VLOOKUP(OPERAC[[#This Row],[COD CART]],[1]!MatrizCortoLargoCyl[#All],3,0),"")</f>
        <v/>
      </c>
      <c r="F1929" s="13" t="inlineStr">
        <is>
          <t>ET</t>
        </is>
      </c>
      <c r="G1929" s="6" t="n">
        <v>25</v>
      </c>
      <c r="H1929" s="6" t="n">
        <v>-299.02</v>
      </c>
      <c r="I1929" s="7">
        <f>-H1929/G1929</f>
        <v/>
      </c>
      <c r="J1929" s="5" t="n"/>
      <c r="K1929" s="6" t="n"/>
      <c r="L1929" s="6" t="n"/>
      <c r="M1929" s="7">
        <f>IF(N1929=0,+L1929+H1929,0)</f>
        <v/>
      </c>
      <c r="N1929" s="7">
        <f>IF((+G1929-K1929)=0,0,+G1929-K1929)</f>
        <v/>
      </c>
      <c r="O1929" s="7">
        <f>IF(N1929=0,0,(L1929+H1929)/-N1929)</f>
        <v/>
      </c>
      <c r="P1929" s="7">
        <f>VLOOKUP(OPERAC[[#This Row],[especie]],[1]!ESPECIES[#All],6,0)</f>
        <v/>
      </c>
      <c r="Q1929" s="7">
        <f>IF(N1929&lt;&gt;0,P1929*N1929,0)</f>
        <v/>
      </c>
      <c r="R1929" s="8">
        <f>IF(Q1929&lt;&gt;0,Q1929+H1929+L1929,0)</f>
        <v/>
      </c>
      <c r="S1929" s="9">
        <f>VLOOKUP(OPERAC[[#This Row],[especie]],[1]!ESPECIES[#Data],9,FALSE)</f>
        <v/>
      </c>
    </row>
    <row r="1930">
      <c r="A1930" s="4" t="n">
        <v>22407</v>
      </c>
      <c r="B1930" s="5" t="n">
        <v>44538</v>
      </c>
      <c r="C1930" s="13" t="inlineStr">
        <is>
          <t>VTA</t>
        </is>
      </c>
      <c r="D1930" s="13" t="n">
        <v>43</v>
      </c>
      <c r="E1930" s="10">
        <f>IF(D1930&gt;0,VLOOKUP(OPERAC[[#This Row],[COD CART]],[1]!MatrizCortoLargoCyl[#All],3,0),"")</f>
        <v/>
      </c>
      <c r="F1930" s="13" t="inlineStr">
        <is>
          <t>XSPA/CYL-PUT/1,50/20-01-23</t>
        </is>
      </c>
      <c r="G1930" s="6" t="n">
        <v>500</v>
      </c>
      <c r="H1930" s="6">
        <f>-0.59863*OPERAC[[#This Row],[cantidad]]</f>
        <v/>
      </c>
      <c r="I1930" s="7">
        <f>-H1930/G1930</f>
        <v/>
      </c>
      <c r="J1930" s="11" t="n"/>
      <c r="K1930" s="6" t="n"/>
      <c r="L1930" s="6" t="n"/>
      <c r="M1930" s="7">
        <f>IF(N1930=0,+L1930+H1930,0)</f>
        <v/>
      </c>
      <c r="N1930" s="7">
        <f>IF((+G1930-K1930)=0,0,+G1930-K1930)</f>
        <v/>
      </c>
      <c r="O1930" s="7">
        <f>IF(N1930=0,0,(L1930+H1930)/-N1930)</f>
        <v/>
      </c>
      <c r="P1930" s="7">
        <f>VLOOKUP(OPERAC[[#This Row],[especie]],[1]!ESPECIES[#All],6,0)</f>
        <v/>
      </c>
      <c r="Q1930" s="7">
        <f>IF(N1930&lt;&gt;0,P1930*N1930,0)</f>
        <v/>
      </c>
      <c r="R1930" s="8">
        <f>IF(Q1930&lt;&gt;0,Q1930+H1930+L1930,0)</f>
        <v/>
      </c>
      <c r="S1930" s="9">
        <f>VLOOKUP(OPERAC[[#This Row],[especie]],[1]!ESPECIES[#Data],9,FALSE)</f>
        <v/>
      </c>
    </row>
    <row r="1931">
      <c r="A1931" s="4" t="n">
        <v>22421</v>
      </c>
      <c r="B1931" s="5" t="n">
        <v>44538</v>
      </c>
      <c r="C1931" s="13" t="inlineStr">
        <is>
          <t>VTA</t>
        </is>
      </c>
      <c r="D1931" s="13" t="n">
        <v>43</v>
      </c>
      <c r="E1931" s="10">
        <f>IF(D1931&gt;0,VLOOKUP(OPERAC[[#This Row],[COD CART]],[1]!MatrizCortoLargoCyl[#All],3,0),"")</f>
        <v/>
      </c>
      <c r="F1931" s="13" t="inlineStr">
        <is>
          <t>XSPA/CYL-PUT/1,50/20-01-23</t>
        </is>
      </c>
      <c r="G1931" s="6" t="n">
        <v>500</v>
      </c>
      <c r="H1931" s="6">
        <f>-0.59863*OPERAC[[#This Row],[cantidad]]</f>
        <v/>
      </c>
      <c r="I1931" s="7">
        <f>-H1931/G1931</f>
        <v/>
      </c>
      <c r="J1931" s="11" t="n"/>
      <c r="K1931" s="6" t="n"/>
      <c r="L1931" s="6" t="n"/>
      <c r="M1931" s="7">
        <f>IF(N1931=0,+L1931+H1931,0)</f>
        <v/>
      </c>
      <c r="N1931" s="7">
        <f>IF((+G1931-K1931)=0,0,+G1931-K1931)</f>
        <v/>
      </c>
      <c r="O1931" s="7">
        <f>IF(N1931=0,0,(L1931+H1931)/-N1931)</f>
        <v/>
      </c>
      <c r="P1931" s="7">
        <f>VLOOKUP(OPERAC[[#This Row],[especie]],[1]!ESPECIES[#All],6,0)</f>
        <v/>
      </c>
      <c r="Q1931" s="7">
        <f>IF(N1931&lt;&gt;0,P1931*N1931,0)</f>
        <v/>
      </c>
      <c r="R1931" s="8">
        <f>IF(Q1931&lt;&gt;0,Q1931+H1931+L1931,0)</f>
        <v/>
      </c>
      <c r="S1931" s="9">
        <f>VLOOKUP(OPERAC[[#This Row],[especie]],[1]!ESPECIES[#Data],9,FALSE)</f>
        <v/>
      </c>
    </row>
    <row r="1932">
      <c r="A1932" s="4" t="n">
        <v>3852</v>
      </c>
      <c r="B1932" s="5" t="n">
        <v>44438</v>
      </c>
      <c r="C1932" s="13" t="inlineStr">
        <is>
          <t>VTA</t>
        </is>
      </c>
      <c r="D1932" s="13" t="n">
        <v>40</v>
      </c>
      <c r="E1932" s="10">
        <f>IF(D1932&gt;0,VLOOKUP(OPERAC[[#This Row],[COD CART]],[1]!MatrizCortoLargoCyl[#All],3,0),"")</f>
        <v/>
      </c>
      <c r="F1932" s="13" t="inlineStr">
        <is>
          <t>MTCR</t>
        </is>
      </c>
      <c r="G1932" s="6" t="n">
        <v>100</v>
      </c>
      <c r="H1932" s="6">
        <f>-323.06+23.435</f>
        <v/>
      </c>
      <c r="I1932" s="7">
        <f>-H1932/G1932</f>
        <v/>
      </c>
      <c r="J1932" s="11" t="n"/>
      <c r="K1932" s="6" t="n"/>
      <c r="L1932" s="6" t="n"/>
      <c r="M1932" s="7">
        <f>IF(N1932=0,+L1932+H1932,0)</f>
        <v/>
      </c>
      <c r="N1932" s="7">
        <f>IF((+G1932-K1932)=0,0,+G1932-K1932)</f>
        <v/>
      </c>
      <c r="O1932" s="7">
        <f>IF(N1932=0,0,(L1932+H1932)/-N1932)</f>
        <v/>
      </c>
      <c r="P1932" s="7">
        <f>VLOOKUP(OPERAC[[#This Row],[especie]],[1]!ESPECIES[#All],6,0)</f>
        <v/>
      </c>
      <c r="Q1932" s="7">
        <f>IF(N1932&lt;&gt;0,P1932*N1932,0)</f>
        <v/>
      </c>
      <c r="R1932" s="8">
        <f>IF(Q1932&lt;&gt;0,Q1932+H1932+L1932,0)</f>
        <v/>
      </c>
      <c r="S1932" s="9">
        <f>VLOOKUP(OPERAC[[#This Row],[especie]],[1]!ESPECIES[#Data],9,FALSE)</f>
        <v/>
      </c>
    </row>
    <row r="1933">
      <c r="A1933" s="4" t="n">
        <v>16783</v>
      </c>
      <c r="B1933" s="5" t="n">
        <v>43891</v>
      </c>
      <c r="C1933" s="13" t="inlineStr">
        <is>
          <t>VTA</t>
        </is>
      </c>
      <c r="D1933" s="13" t="n">
        <v>31</v>
      </c>
      <c r="E1933" s="10">
        <f>IF(D1933&gt;0,VLOOKUP(OPERAC[[#This Row],[COD CART]],[1]!MatrizCortoLargoCyl[#All],3,0),"")</f>
        <v/>
      </c>
      <c r="F1933" s="13" t="inlineStr">
        <is>
          <t>IPIX</t>
        </is>
      </c>
      <c r="G1933" s="6" t="n">
        <v>2500</v>
      </c>
      <c r="H1933" s="6" t="n">
        <v>-300</v>
      </c>
      <c r="I1933" s="7" t="n">
        <v>0.12</v>
      </c>
      <c r="J1933" s="5" t="n"/>
      <c r="K1933" s="6" t="n"/>
      <c r="L1933" s="6" t="n"/>
      <c r="M1933" s="7">
        <f>IF(N1933=0,+L1933+H1933,0)</f>
        <v/>
      </c>
      <c r="N1933" s="7">
        <f>IF((+G1933-K1933)=0,0,+G1933-K1933)</f>
        <v/>
      </c>
      <c r="O1933" s="7">
        <f>IF(N1933=0,0,(L1933+H1933)/-N1933)</f>
        <v/>
      </c>
      <c r="P1933" s="7">
        <f>VLOOKUP(OPERAC[[#This Row],[especie]],[1]!ESPECIES[#All],6,0)</f>
        <v/>
      </c>
      <c r="Q1933" s="7">
        <f>IF(N1933&lt;&gt;0,P1933*N1933,0)</f>
        <v/>
      </c>
      <c r="R1933" s="8">
        <f>IF(Q1933&lt;&gt;0,Q1933+H1933+L1933,0)</f>
        <v/>
      </c>
      <c r="S1933" s="9">
        <f>VLOOKUP(OPERAC[[#This Row],[especie]],[1]!ESPECIES[#Data],9,FALSE)</f>
        <v/>
      </c>
    </row>
    <row r="1934">
      <c r="A1934" s="4" t="n">
        <v>18663</v>
      </c>
      <c r="B1934" s="5" t="n">
        <v>44678</v>
      </c>
      <c r="C1934" s="13" t="inlineStr">
        <is>
          <t>VTA</t>
        </is>
      </c>
      <c r="D1934" s="13" t="n">
        <v>41</v>
      </c>
      <c r="E1934" s="10">
        <f>IF(D1934&gt;0,VLOOKUP(OPERAC[[#This Row],[COD CART]],[1]!MatrizCortoLargoCyl[#All],3,0),"")</f>
        <v/>
      </c>
      <c r="F1934" s="13" t="inlineStr">
        <is>
          <t>SSYS</t>
        </is>
      </c>
      <c r="G1934" s="6" t="n">
        <v>15</v>
      </c>
      <c r="H1934" s="6" t="n">
        <v>-300.583</v>
      </c>
      <c r="I1934" s="7">
        <f>-H1934/G1934</f>
        <v/>
      </c>
      <c r="J1934" s="11" t="n"/>
      <c r="K1934" s="6" t="n"/>
      <c r="L1934" s="6" t="n"/>
      <c r="M1934" s="7">
        <f>IF(N1934=0,+L1934+H1934,0)</f>
        <v/>
      </c>
      <c r="N1934" s="7">
        <f>IF((+G1934-K1934)=0,0,+G1934-K1934)</f>
        <v/>
      </c>
      <c r="O1934" s="7">
        <f>IF(N1934=0,0,(L1934+H1934)/-N1934)</f>
        <v/>
      </c>
      <c r="P1934" s="7">
        <f>VLOOKUP(OPERAC[[#This Row],[especie]],[1]!ESPECIES[#All],6,0)</f>
        <v/>
      </c>
      <c r="Q1934" s="7">
        <f>IF(N1934&lt;&gt;0,P1934*N1934,0)</f>
        <v/>
      </c>
      <c r="R1934" s="8">
        <f>IF(Q1934&lt;&gt;0,Q1934+H1934+L1934,0)</f>
        <v/>
      </c>
      <c r="S1934" s="9">
        <f>VLOOKUP(OPERAC[[#This Row],[especie]],[1]!ESPECIES[#Data],9,FALSE)</f>
        <v/>
      </c>
    </row>
    <row r="1935">
      <c r="A1935" s="4" t="n">
        <v>18663</v>
      </c>
      <c r="B1935" s="5" t="n">
        <v>44680</v>
      </c>
      <c r="C1935" s="13" t="inlineStr">
        <is>
          <t>VTA</t>
        </is>
      </c>
      <c r="D1935" s="13" t="n">
        <v>41</v>
      </c>
      <c r="E1935" s="10">
        <f>IF(D1935&gt;0,VLOOKUP(OPERAC[[#This Row],[COD CART]],[1]!MatrizCortoLargoCyl[#All],3,0),"")</f>
        <v/>
      </c>
      <c r="F1935" s="13" t="inlineStr">
        <is>
          <t>JEPI</t>
        </is>
      </c>
      <c r="G1935" s="6" t="n">
        <v>5</v>
      </c>
      <c r="H1935" s="6" t="n">
        <v>-300.735</v>
      </c>
      <c r="I1935" s="7">
        <f>-H1935/G1935</f>
        <v/>
      </c>
      <c r="J1935" s="11" t="n"/>
      <c r="K1935" s="6" t="n"/>
      <c r="L1935" s="6" t="n"/>
      <c r="M1935" s="7">
        <f>IF(N1935=0,+L1935+H1935,0)</f>
        <v/>
      </c>
      <c r="N1935" s="7">
        <f>IF((+G1935-K1935)=0,0,+G1935-K1935)</f>
        <v/>
      </c>
      <c r="O1935" s="7">
        <f>IF(N1935=0,0,(L1935+H1935)/-N1935)</f>
        <v/>
      </c>
      <c r="P1935" s="7">
        <f>VLOOKUP(OPERAC[[#This Row],[especie]],[1]!ESPECIES[#All],6,0)</f>
        <v/>
      </c>
      <c r="Q1935" s="7">
        <f>IF(N1935&lt;&gt;0,P1935*N1935,0)</f>
        <v/>
      </c>
      <c r="R1935" s="8">
        <f>IF(Q1935&lt;&gt;0,Q1935+H1935+L1935,0)</f>
        <v/>
      </c>
      <c r="S1935" s="9">
        <f>VLOOKUP(OPERAC[[#This Row],[especie]],[1]!ESPECIES[#Data],9,FALSE)</f>
        <v/>
      </c>
    </row>
    <row r="1936">
      <c r="A1936" s="4" t="n">
        <v>1000</v>
      </c>
      <c r="B1936" s="5" t="n">
        <v>44552</v>
      </c>
      <c r="C1936" s="13" t="inlineStr">
        <is>
          <t>VTA</t>
        </is>
      </c>
      <c r="D1936" s="13" t="n">
        <v>41</v>
      </c>
      <c r="E1936" s="10">
        <f>IF(D1936&gt;0,VLOOKUP(OPERAC[[#This Row],[COD CART]],[1]!MatrizCortoLargoCyl[#All],3,0),"")</f>
        <v/>
      </c>
      <c r="F1936" s="13" t="inlineStr">
        <is>
          <t>SMH</t>
        </is>
      </c>
      <c r="G1936" s="6" t="n">
        <v>1</v>
      </c>
      <c r="H1936" s="6" t="n">
        <v>-301.09</v>
      </c>
      <c r="I1936" s="7">
        <f>-H1936/G1936</f>
        <v/>
      </c>
      <c r="J1936" s="11" t="n">
        <v>44572</v>
      </c>
      <c r="K1936" s="6" t="n">
        <v>1</v>
      </c>
      <c r="L1936" s="6" t="n">
        <v>299.87</v>
      </c>
      <c r="M1936" s="7">
        <f>IF(N1936=0,+L1936+H1936,0)</f>
        <v/>
      </c>
      <c r="N1936" s="7">
        <f>IF((+G1936-K1936)=0,0,+G1936-K1936)</f>
        <v/>
      </c>
      <c r="O1936" s="7">
        <f>IF(N1936=0,0,(L1936+H1936)/-N1936)</f>
        <v/>
      </c>
      <c r="P1936" s="7">
        <f>VLOOKUP(OPERAC[[#This Row],[especie]],[1]!ESPECIES[#All],6,0)</f>
        <v/>
      </c>
      <c r="Q1936" s="7">
        <f>IF(N1936&lt;&gt;0,P1936*N1936,0)</f>
        <v/>
      </c>
      <c r="R1936" s="8">
        <f>IF(Q1936&lt;&gt;0,Q1936+H1936+L1936,0)</f>
        <v/>
      </c>
      <c r="S1936" s="9">
        <f>VLOOKUP(OPERAC[[#This Row],[especie]],[1]!ESPECIES[#Data],9,FALSE)</f>
        <v/>
      </c>
    </row>
    <row r="1937">
      <c r="A1937" s="4" t="n">
        <v>2194</v>
      </c>
      <c r="B1937" s="5" t="n">
        <v>44558</v>
      </c>
      <c r="C1937" s="13" t="inlineStr">
        <is>
          <t>VTA</t>
        </is>
      </c>
      <c r="D1937" s="13" t="n">
        <v>40</v>
      </c>
      <c r="E1937" s="10">
        <f>IF(D1937&gt;0,VLOOKUP(OPERAC[[#This Row],[COD CART]],[1]!MatrizCortoLargoCyl[#All],3,0),"")</f>
        <v/>
      </c>
      <c r="F1937" s="13" t="inlineStr">
        <is>
          <t>UPST</t>
        </is>
      </c>
      <c r="G1937" s="6" t="n">
        <v>2</v>
      </c>
      <c r="H1937" s="6" t="n">
        <v>-301.2004</v>
      </c>
      <c r="I1937" s="7">
        <f>-H1937/G1937</f>
        <v/>
      </c>
      <c r="J1937" s="11" t="n">
        <v>44606</v>
      </c>
      <c r="K1937" s="6">
        <f>+OPERAC[[#This Row],[cantidad]]</f>
        <v/>
      </c>
      <c r="L1937" s="6">
        <f>+OPERAC[[#This Row],[cantidad venta]]*98.994</f>
        <v/>
      </c>
      <c r="M1937" s="7">
        <f>IF(N1937=0,+L1937+H1937,0)</f>
        <v/>
      </c>
      <c r="N1937" s="7">
        <f>IF((+G1937-K1937)=0,0,+G1937-K1937)</f>
        <v/>
      </c>
      <c r="O1937" s="7">
        <f>IF(N1937=0,0,(L1937+H1937)/-N1937)</f>
        <v/>
      </c>
      <c r="P1937" s="7">
        <f>VLOOKUP(OPERAC[[#This Row],[especie]],[1]!ESPECIES[#All],6,0)</f>
        <v/>
      </c>
      <c r="Q1937" s="7">
        <f>IF(N1937&lt;&gt;0,P1937*N1937,0)</f>
        <v/>
      </c>
      <c r="R1937" s="8">
        <f>IF(Q1937&lt;&gt;0,Q1937+H1937+L1937,0)</f>
        <v/>
      </c>
      <c r="S1937" s="9">
        <f>VLOOKUP(OPERAC[[#This Row],[especie]],[1]!ESPECIES[#Data],9,FALSE)</f>
        <v/>
      </c>
    </row>
    <row r="1938">
      <c r="A1938" s="4" t="n">
        <v>2253</v>
      </c>
      <c r="B1938" s="5" t="n">
        <v>44558</v>
      </c>
      <c r="C1938" s="13" t="inlineStr">
        <is>
          <t>VTA</t>
        </is>
      </c>
      <c r="D1938" s="13" t="n">
        <v>40</v>
      </c>
      <c r="E1938" s="10">
        <f>IF(D1938&gt;0,VLOOKUP(OPERAC[[#This Row],[COD CART]],[1]!MatrizCortoLargoCyl[#All],3,0),"")</f>
        <v/>
      </c>
      <c r="F1938" s="13" t="inlineStr">
        <is>
          <t>UPST</t>
        </is>
      </c>
      <c r="G1938" s="6" t="n">
        <v>2</v>
      </c>
      <c r="H1938" s="6" t="n">
        <v>-301.2004</v>
      </c>
      <c r="I1938" s="7">
        <f>-H1938/G1938</f>
        <v/>
      </c>
      <c r="J1938" s="11" t="n">
        <v>44606</v>
      </c>
      <c r="K1938" s="6">
        <f>+OPERAC[[#This Row],[cantidad]]</f>
        <v/>
      </c>
      <c r="L1938" s="6">
        <f>+OPERAC[[#This Row],[cantidad venta]]*98.994</f>
        <v/>
      </c>
      <c r="M1938" s="7">
        <f>IF(N1938=0,+L1938+H1938,0)</f>
        <v/>
      </c>
      <c r="N1938" s="7">
        <f>IF((+G1938-K1938)=0,0,+G1938-K1938)</f>
        <v/>
      </c>
      <c r="O1938" s="7">
        <f>IF(N1938=0,0,(L1938+H1938)/-N1938)</f>
        <v/>
      </c>
      <c r="P1938" s="7">
        <f>VLOOKUP(OPERAC[[#This Row],[especie]],[1]!ESPECIES[#All],6,0)</f>
        <v/>
      </c>
      <c r="Q1938" s="7">
        <f>IF(N1938&lt;&gt;0,P1938*N1938,0)</f>
        <v/>
      </c>
      <c r="R1938" s="8">
        <f>IF(Q1938&lt;&gt;0,Q1938+H1938+L1938,0)</f>
        <v/>
      </c>
      <c r="S1938" s="9">
        <f>VLOOKUP(OPERAC[[#This Row],[especie]],[1]!ESPECIES[#Data],9,FALSE)</f>
        <v/>
      </c>
    </row>
    <row r="1939">
      <c r="A1939" s="4" t="n">
        <v>3787</v>
      </c>
      <c r="B1939" s="5" t="n">
        <v>44558</v>
      </c>
      <c r="C1939" s="13" t="inlineStr">
        <is>
          <t>VTA</t>
        </is>
      </c>
      <c r="D1939" s="13" t="n">
        <v>40</v>
      </c>
      <c r="E1939" s="10">
        <f>IF(D1939&gt;0,VLOOKUP(OPERAC[[#This Row],[COD CART]],[1]!MatrizCortoLargoCyl[#All],3,0),"")</f>
        <v/>
      </c>
      <c r="F1939" s="13" t="inlineStr">
        <is>
          <t>UPST</t>
        </is>
      </c>
      <c r="G1939" s="6" t="n">
        <v>2</v>
      </c>
      <c r="H1939" s="6" t="n">
        <v>-301.2004</v>
      </c>
      <c r="I1939" s="7">
        <f>-H1939/G1939</f>
        <v/>
      </c>
      <c r="J1939" s="11" t="n">
        <v>44606</v>
      </c>
      <c r="K1939" s="6">
        <f>+OPERAC[[#This Row],[cantidad]]</f>
        <v/>
      </c>
      <c r="L1939" s="6">
        <f>+OPERAC[[#This Row],[cantidad venta]]*98.994</f>
        <v/>
      </c>
      <c r="M1939" s="7">
        <f>IF(N1939=0,+L1939+H1939,0)</f>
        <v/>
      </c>
      <c r="N1939" s="7">
        <f>IF((+G1939-K1939)=0,0,+G1939-K1939)</f>
        <v/>
      </c>
      <c r="O1939" s="7">
        <f>IF(N1939=0,0,(L1939+H1939)/-N1939)</f>
        <v/>
      </c>
      <c r="P1939" s="7">
        <f>VLOOKUP(OPERAC[[#This Row],[especie]],[1]!ESPECIES[#All],6,0)</f>
        <v/>
      </c>
      <c r="Q1939" s="7">
        <f>IF(N1939&lt;&gt;0,P1939*N1939,0)</f>
        <v/>
      </c>
      <c r="R1939" s="8">
        <f>IF(Q1939&lt;&gt;0,Q1939+H1939+L1939,0)</f>
        <v/>
      </c>
      <c r="S1939" s="9">
        <f>VLOOKUP(OPERAC[[#This Row],[especie]],[1]!ESPECIES[#Data],9,FALSE)</f>
        <v/>
      </c>
    </row>
    <row r="1940">
      <c r="A1940" s="4" t="n">
        <v>3818</v>
      </c>
      <c r="B1940" s="5" t="n">
        <v>44558</v>
      </c>
      <c r="C1940" s="13" t="inlineStr">
        <is>
          <t>VTA</t>
        </is>
      </c>
      <c r="D1940" s="13" t="n">
        <v>40</v>
      </c>
      <c r="E1940" s="10">
        <f>IF(D1940&gt;0,VLOOKUP(OPERAC[[#This Row],[COD CART]],[1]!MatrizCortoLargoCyl[#All],3,0),"")</f>
        <v/>
      </c>
      <c r="F1940" s="13" t="inlineStr">
        <is>
          <t>UPST</t>
        </is>
      </c>
      <c r="G1940" s="6" t="n">
        <v>2</v>
      </c>
      <c r="H1940" s="6" t="n">
        <v>-301.2004</v>
      </c>
      <c r="I1940" s="7">
        <f>-H1940/G1940</f>
        <v/>
      </c>
      <c r="J1940" s="11" t="n">
        <v>44600</v>
      </c>
      <c r="K1940" s="6" t="n">
        <v>2</v>
      </c>
      <c r="L1940" s="6" t="n">
        <v>200</v>
      </c>
      <c r="M1940" s="7">
        <f>IF(N1940=0,+L1940+H1940,0)</f>
        <v/>
      </c>
      <c r="N1940" s="7">
        <f>IF((+G1940-K1940)=0,0,+G1940-K1940)</f>
        <v/>
      </c>
      <c r="O1940" s="7">
        <f>IF(N1940=0,0,(L1940+H1940)/-N1940)</f>
        <v/>
      </c>
      <c r="P1940" s="7">
        <f>VLOOKUP(OPERAC[[#This Row],[especie]],[1]!ESPECIES[#All],6,0)</f>
        <v/>
      </c>
      <c r="Q1940" s="7">
        <f>IF(N1940&lt;&gt;0,P1940*N1940,0)</f>
        <v/>
      </c>
      <c r="R1940" s="8">
        <f>IF(Q1940&lt;&gt;0,Q1940+H1940+L1940,0)</f>
        <v/>
      </c>
      <c r="S1940" s="9">
        <f>VLOOKUP(OPERAC[[#This Row],[especie]],[1]!ESPECIES[#Data],9,FALSE)</f>
        <v/>
      </c>
    </row>
    <row r="1941">
      <c r="A1941" s="4" t="n">
        <v>5212</v>
      </c>
      <c r="B1941" s="5" t="n">
        <v>44558</v>
      </c>
      <c r="C1941" s="13" t="inlineStr">
        <is>
          <t>VTA</t>
        </is>
      </c>
      <c r="D1941" s="13" t="n">
        <v>40</v>
      </c>
      <c r="E1941" s="10">
        <f>IF(D1941&gt;0,VLOOKUP(OPERAC[[#This Row],[COD CART]],[1]!MatrizCortoLargoCyl[#All],3,0),"")</f>
        <v/>
      </c>
      <c r="F1941" s="13" t="inlineStr">
        <is>
          <t>UPST</t>
        </is>
      </c>
      <c r="G1941" s="6" t="n">
        <v>2</v>
      </c>
      <c r="H1941" s="6" t="n">
        <v>-301.2004</v>
      </c>
      <c r="I1941" s="7">
        <f>-H1941/G1941</f>
        <v/>
      </c>
      <c r="J1941" s="11" t="n">
        <v>44606</v>
      </c>
      <c r="K1941" s="6">
        <f>+OPERAC[[#This Row],[cantidad]]</f>
        <v/>
      </c>
      <c r="L1941" s="6">
        <f>+OPERAC[[#This Row],[cantidad venta]]*98.994</f>
        <v/>
      </c>
      <c r="M1941" s="7">
        <f>IF(N1941=0,+L1941+H1941,0)</f>
        <v/>
      </c>
      <c r="N1941" s="7">
        <f>IF((+G1941-K1941)=0,0,+G1941-K1941)</f>
        <v/>
      </c>
      <c r="O1941" s="7">
        <f>IF(N1941=0,0,(L1941+H1941)/-N1941)</f>
        <v/>
      </c>
      <c r="P1941" s="7">
        <f>VLOOKUP(OPERAC[[#This Row],[especie]],[1]!ESPECIES[#All],6,0)</f>
        <v/>
      </c>
      <c r="Q1941" s="7">
        <f>IF(N1941&lt;&gt;0,P1941*N1941,0)</f>
        <v/>
      </c>
      <c r="R1941" s="8">
        <f>IF(Q1941&lt;&gt;0,Q1941+H1941+L1941,0)</f>
        <v/>
      </c>
      <c r="S1941" s="9">
        <f>VLOOKUP(OPERAC[[#This Row],[especie]],[1]!ESPECIES[#Data],9,FALSE)</f>
        <v/>
      </c>
    </row>
    <row r="1942">
      <c r="A1942" s="4" t="n">
        <v>6599</v>
      </c>
      <c r="B1942" s="5" t="n">
        <v>44558</v>
      </c>
      <c r="C1942" s="13" t="inlineStr">
        <is>
          <t>VTA</t>
        </is>
      </c>
      <c r="D1942" s="13" t="n">
        <v>40</v>
      </c>
      <c r="E1942" s="10">
        <f>IF(D1942&gt;0,VLOOKUP(OPERAC[[#This Row],[COD CART]],[1]!MatrizCortoLargoCyl[#All],3,0),"")</f>
        <v/>
      </c>
      <c r="F1942" s="13" t="inlineStr">
        <is>
          <t>UPST</t>
        </is>
      </c>
      <c r="G1942" s="6" t="n">
        <v>2</v>
      </c>
      <c r="H1942" s="6" t="n">
        <v>-301.2004</v>
      </c>
      <c r="I1942" s="7">
        <f>-H1942/G1942</f>
        <v/>
      </c>
      <c r="J1942" s="11" t="n">
        <v>44606</v>
      </c>
      <c r="K1942" s="6">
        <f>+OPERAC[[#This Row],[cantidad]]</f>
        <v/>
      </c>
      <c r="L1942" s="6">
        <f>+OPERAC[[#This Row],[cantidad venta]]*98.994</f>
        <v/>
      </c>
      <c r="M1942" s="7">
        <f>IF(N1942=0,+L1942+H1942,0)</f>
        <v/>
      </c>
      <c r="N1942" s="7">
        <f>IF((+G1942-K1942)=0,0,+G1942-K1942)</f>
        <v/>
      </c>
      <c r="O1942" s="7">
        <f>IF(N1942=0,0,(L1942+H1942)/-N1942)</f>
        <v/>
      </c>
      <c r="P1942" s="7">
        <f>VLOOKUP(OPERAC[[#This Row],[especie]],[1]!ESPECIES[#All],6,0)</f>
        <v/>
      </c>
      <c r="Q1942" s="7">
        <f>IF(N1942&lt;&gt;0,P1942*N1942,0)</f>
        <v/>
      </c>
      <c r="R1942" s="8">
        <f>IF(Q1942&lt;&gt;0,Q1942+H1942+L1942,0)</f>
        <v/>
      </c>
      <c r="S1942" s="9">
        <f>VLOOKUP(OPERAC[[#This Row],[especie]],[1]!ESPECIES[#Data],9,FALSE)</f>
        <v/>
      </c>
    </row>
    <row r="1943">
      <c r="A1943" s="4" t="n">
        <v>6628</v>
      </c>
      <c r="B1943" s="5" t="n">
        <v>44558</v>
      </c>
      <c r="C1943" s="13" t="inlineStr">
        <is>
          <t>VTA</t>
        </is>
      </c>
      <c r="D1943" s="13" t="n">
        <v>40</v>
      </c>
      <c r="E1943" s="10">
        <f>IF(D1943&gt;0,VLOOKUP(OPERAC[[#This Row],[COD CART]],[1]!MatrizCortoLargoCyl[#All],3,0),"")</f>
        <v/>
      </c>
      <c r="F1943" s="13" t="inlineStr">
        <is>
          <t>UPST</t>
        </is>
      </c>
      <c r="G1943" s="6" t="n">
        <v>2</v>
      </c>
      <c r="H1943" s="6" t="n">
        <v>-301.2004</v>
      </c>
      <c r="I1943" s="7">
        <f>-H1943/G1943</f>
        <v/>
      </c>
      <c r="J1943" s="11" t="n">
        <v>44606</v>
      </c>
      <c r="K1943" s="6">
        <f>+OPERAC[[#This Row],[cantidad]]</f>
        <v/>
      </c>
      <c r="L1943" s="6">
        <f>+OPERAC[[#This Row],[cantidad venta]]*98.994</f>
        <v/>
      </c>
      <c r="M1943" s="7">
        <f>IF(N1943=0,+L1943+H1943,0)</f>
        <v/>
      </c>
      <c r="N1943" s="7">
        <f>IF((+G1943-K1943)=0,0,+G1943-K1943)</f>
        <v/>
      </c>
      <c r="O1943" s="7">
        <f>IF(N1943=0,0,(L1943+H1943)/-N1943)</f>
        <v/>
      </c>
      <c r="P1943" s="7">
        <f>VLOOKUP(OPERAC[[#This Row],[especie]],[1]!ESPECIES[#All],6,0)</f>
        <v/>
      </c>
      <c r="Q1943" s="7">
        <f>IF(N1943&lt;&gt;0,P1943*N1943,0)</f>
        <v/>
      </c>
      <c r="R1943" s="8">
        <f>IF(Q1943&lt;&gt;0,Q1943+H1943+L1943,0)</f>
        <v/>
      </c>
      <c r="S1943" s="9">
        <f>VLOOKUP(OPERAC[[#This Row],[especie]],[1]!ESPECIES[#Data],9,FALSE)</f>
        <v/>
      </c>
    </row>
    <row r="1944">
      <c r="A1944" s="4" t="n">
        <v>12619</v>
      </c>
      <c r="B1944" s="5" t="n">
        <v>44558</v>
      </c>
      <c r="C1944" s="13" t="inlineStr">
        <is>
          <t>VTA</t>
        </is>
      </c>
      <c r="D1944" s="13" t="n">
        <v>40</v>
      </c>
      <c r="E1944" s="10">
        <f>IF(D1944&gt;0,VLOOKUP(OPERAC[[#This Row],[COD CART]],[1]!MatrizCortoLargoCyl[#All],3,0),"")</f>
        <v/>
      </c>
      <c r="F1944" s="13" t="inlineStr">
        <is>
          <t>UPST</t>
        </is>
      </c>
      <c r="G1944" s="6" t="n">
        <v>2</v>
      </c>
      <c r="H1944" s="6" t="n">
        <v>-301.2004</v>
      </c>
      <c r="I1944" s="7">
        <f>-H1944/G1944</f>
        <v/>
      </c>
      <c r="J1944" s="11" t="n">
        <v>44606</v>
      </c>
      <c r="K1944" s="6">
        <f>+OPERAC[[#This Row],[cantidad]]</f>
        <v/>
      </c>
      <c r="L1944" s="6">
        <f>+OPERAC[[#This Row],[cantidad venta]]*98.994</f>
        <v/>
      </c>
      <c r="M1944" s="7">
        <f>IF(N1944=0,+L1944+H1944,0)</f>
        <v/>
      </c>
      <c r="N1944" s="7">
        <f>IF((+G1944-K1944)=0,0,+G1944-K1944)</f>
        <v/>
      </c>
      <c r="O1944" s="7">
        <f>IF(N1944=0,0,(L1944+H1944)/-N1944)</f>
        <v/>
      </c>
      <c r="P1944" s="7">
        <f>VLOOKUP(OPERAC[[#This Row],[especie]],[1]!ESPECIES[#All],6,0)</f>
        <v/>
      </c>
      <c r="Q1944" s="7">
        <f>IF(N1944&lt;&gt;0,P1944*N1944,0)</f>
        <v/>
      </c>
      <c r="R1944" s="8">
        <f>IF(Q1944&lt;&gt;0,Q1944+H1944+L1944,0)</f>
        <v/>
      </c>
      <c r="S1944" s="9">
        <f>VLOOKUP(OPERAC[[#This Row],[especie]],[1]!ESPECIES[#Data],9,FALSE)</f>
        <v/>
      </c>
    </row>
    <row r="1945">
      <c r="A1945" s="4" t="n">
        <v>13273</v>
      </c>
      <c r="B1945" s="5" t="n">
        <v>44558</v>
      </c>
      <c r="C1945" s="13" t="inlineStr">
        <is>
          <t>VTA</t>
        </is>
      </c>
      <c r="D1945" s="13" t="n">
        <v>40</v>
      </c>
      <c r="E1945" s="10">
        <f>IF(D1945&gt;0,VLOOKUP(OPERAC[[#This Row],[COD CART]],[1]!MatrizCortoLargoCyl[#All],3,0),"")</f>
        <v/>
      </c>
      <c r="F1945" s="13" t="inlineStr">
        <is>
          <t>UPST</t>
        </is>
      </c>
      <c r="G1945" s="6" t="n">
        <v>2</v>
      </c>
      <c r="H1945" s="6" t="n">
        <v>-301.2004</v>
      </c>
      <c r="I1945" s="7">
        <f>-H1945/G1945</f>
        <v/>
      </c>
      <c r="J1945" s="11" t="n">
        <v>44606</v>
      </c>
      <c r="K1945" s="6">
        <f>+OPERAC[[#This Row],[cantidad]]</f>
        <v/>
      </c>
      <c r="L1945" s="6">
        <f>+OPERAC[[#This Row],[cantidad venta]]*98.994</f>
        <v/>
      </c>
      <c r="M1945" s="7">
        <f>IF(N1945=0,+L1945+H1945,0)</f>
        <v/>
      </c>
      <c r="N1945" s="7">
        <f>IF((+G1945-K1945)=0,0,+G1945-K1945)</f>
        <v/>
      </c>
      <c r="O1945" s="7">
        <f>IF(N1945=0,0,(L1945+H1945)/-N1945)</f>
        <v/>
      </c>
      <c r="P1945" s="7">
        <f>VLOOKUP(OPERAC[[#This Row],[especie]],[1]!ESPECIES[#All],6,0)</f>
        <v/>
      </c>
      <c r="Q1945" s="7">
        <f>IF(N1945&lt;&gt;0,P1945*N1945,0)</f>
        <v/>
      </c>
      <c r="R1945" s="8">
        <f>IF(Q1945&lt;&gt;0,Q1945+H1945+L1945,0)</f>
        <v/>
      </c>
      <c r="S1945" s="9">
        <f>VLOOKUP(OPERAC[[#This Row],[especie]],[1]!ESPECIES[#Data],9,FALSE)</f>
        <v/>
      </c>
    </row>
    <row r="1946">
      <c r="A1946" s="4" t="n">
        <v>18703</v>
      </c>
      <c r="B1946" s="5" t="n">
        <v>44558</v>
      </c>
      <c r="C1946" s="13" t="inlineStr">
        <is>
          <t>VTA</t>
        </is>
      </c>
      <c r="D1946" s="13" t="n">
        <v>40</v>
      </c>
      <c r="E1946" s="10">
        <f>IF(D1946&gt;0,VLOOKUP(OPERAC[[#This Row],[COD CART]],[1]!MatrizCortoLargoCyl[#All],3,0),"")</f>
        <v/>
      </c>
      <c r="F1946" s="13" t="inlineStr">
        <is>
          <t>UPST</t>
        </is>
      </c>
      <c r="G1946" s="6" t="n">
        <v>2</v>
      </c>
      <c r="H1946" s="6" t="n">
        <v>-301.2004</v>
      </c>
      <c r="I1946" s="7">
        <f>-H1946/G1946</f>
        <v/>
      </c>
      <c r="J1946" s="11" t="n">
        <v>44606</v>
      </c>
      <c r="K1946" s="6">
        <f>+OPERAC[[#This Row],[cantidad]]</f>
        <v/>
      </c>
      <c r="L1946" s="6">
        <f>+OPERAC[[#This Row],[cantidad venta]]*98.994</f>
        <v/>
      </c>
      <c r="M1946" s="7">
        <f>IF(N1946=0,+L1946+H1946,0)</f>
        <v/>
      </c>
      <c r="N1946" s="7">
        <f>IF((+G1946-K1946)=0,0,+G1946-K1946)</f>
        <v/>
      </c>
      <c r="O1946" s="7">
        <f>IF(N1946=0,0,(L1946+H1946)/-N1946)</f>
        <v/>
      </c>
      <c r="P1946" s="7">
        <f>VLOOKUP(OPERAC[[#This Row],[especie]],[1]!ESPECIES[#All],6,0)</f>
        <v/>
      </c>
      <c r="Q1946" s="7">
        <f>IF(N1946&lt;&gt;0,P1946*N1946,0)</f>
        <v/>
      </c>
      <c r="R1946" s="8">
        <f>IF(Q1946&lt;&gt;0,Q1946+H1946+L1946,0)</f>
        <v/>
      </c>
      <c r="S1946" s="9">
        <f>VLOOKUP(OPERAC[[#This Row],[especie]],[1]!ESPECIES[#Data],9,FALSE)</f>
        <v/>
      </c>
    </row>
    <row r="1947">
      <c r="A1947" s="4" t="n">
        <v>18711</v>
      </c>
      <c r="B1947" s="5" t="n">
        <v>44558</v>
      </c>
      <c r="C1947" s="13" t="inlineStr">
        <is>
          <t>VTA</t>
        </is>
      </c>
      <c r="D1947" s="13" t="n">
        <v>40</v>
      </c>
      <c r="E1947" s="10">
        <f>IF(D1947&gt;0,VLOOKUP(OPERAC[[#This Row],[COD CART]],[1]!MatrizCortoLargoCyl[#All],3,0),"")</f>
        <v/>
      </c>
      <c r="F1947" s="13" t="inlineStr">
        <is>
          <t>UPST</t>
        </is>
      </c>
      <c r="G1947" s="6" t="n">
        <v>2</v>
      </c>
      <c r="H1947" s="6" t="n">
        <v>-301.2004</v>
      </c>
      <c r="I1947" s="7">
        <f>-H1947/G1947</f>
        <v/>
      </c>
      <c r="J1947" s="11" t="n">
        <v>44606</v>
      </c>
      <c r="K1947" s="6">
        <f>+OPERAC[[#This Row],[cantidad]]</f>
        <v/>
      </c>
      <c r="L1947" s="6">
        <f>+OPERAC[[#This Row],[cantidad venta]]*98.994</f>
        <v/>
      </c>
      <c r="M1947" s="7">
        <f>IF(N1947=0,+L1947+H1947,0)</f>
        <v/>
      </c>
      <c r="N1947" s="7">
        <f>IF((+G1947-K1947)=0,0,+G1947-K1947)</f>
        <v/>
      </c>
      <c r="O1947" s="7">
        <f>IF(N1947=0,0,(L1947+H1947)/-N1947)</f>
        <v/>
      </c>
      <c r="P1947" s="7">
        <f>VLOOKUP(OPERAC[[#This Row],[especie]],[1]!ESPECIES[#All],6,0)</f>
        <v/>
      </c>
      <c r="Q1947" s="7">
        <f>IF(N1947&lt;&gt;0,P1947*N1947,0)</f>
        <v/>
      </c>
      <c r="R1947" s="8">
        <f>IF(Q1947&lt;&gt;0,Q1947+H1947+L1947,0)</f>
        <v/>
      </c>
      <c r="S1947" s="9">
        <f>VLOOKUP(OPERAC[[#This Row],[especie]],[1]!ESPECIES[#Data],9,FALSE)</f>
        <v/>
      </c>
    </row>
    <row r="1948">
      <c r="A1948" s="4" t="n">
        <v>18713</v>
      </c>
      <c r="B1948" s="5" t="n">
        <v>44558</v>
      </c>
      <c r="C1948" s="13" t="inlineStr">
        <is>
          <t>VTA</t>
        </is>
      </c>
      <c r="D1948" s="13" t="n">
        <v>40</v>
      </c>
      <c r="E1948" s="10">
        <f>IF(D1948&gt;0,VLOOKUP(OPERAC[[#This Row],[COD CART]],[1]!MatrizCortoLargoCyl[#All],3,0),"")</f>
        <v/>
      </c>
      <c r="F1948" s="13" t="inlineStr">
        <is>
          <t>UPST</t>
        </is>
      </c>
      <c r="G1948" s="6" t="n">
        <v>2</v>
      </c>
      <c r="H1948" s="6" t="n">
        <v>-301.2004</v>
      </c>
      <c r="I1948" s="7">
        <f>-H1948/G1948</f>
        <v/>
      </c>
      <c r="J1948" s="11" t="n">
        <v>44606</v>
      </c>
      <c r="K1948" s="6">
        <f>+OPERAC[[#This Row],[cantidad]]</f>
        <v/>
      </c>
      <c r="L1948" s="6">
        <f>+OPERAC[[#This Row],[cantidad venta]]*98.994</f>
        <v/>
      </c>
      <c r="M1948" s="7">
        <f>IF(N1948=0,+L1948+H1948,0)</f>
        <v/>
      </c>
      <c r="N1948" s="7">
        <f>IF((+G1948-K1948)=0,0,+G1948-K1948)</f>
        <v/>
      </c>
      <c r="O1948" s="7">
        <f>IF(N1948=0,0,(L1948+H1948)/-N1948)</f>
        <v/>
      </c>
      <c r="P1948" s="7">
        <f>VLOOKUP(OPERAC[[#This Row],[especie]],[1]!ESPECIES[#All],6,0)</f>
        <v/>
      </c>
      <c r="Q1948" s="7">
        <f>IF(N1948&lt;&gt;0,P1948*N1948,0)</f>
        <v/>
      </c>
      <c r="R1948" s="8">
        <f>IF(Q1948&lt;&gt;0,Q1948+H1948+L1948,0)</f>
        <v/>
      </c>
      <c r="S1948" s="9">
        <f>VLOOKUP(OPERAC[[#This Row],[especie]],[1]!ESPECIES[#Data],9,FALSE)</f>
        <v/>
      </c>
    </row>
    <row r="1949">
      <c r="A1949" s="4" t="n">
        <v>18716</v>
      </c>
      <c r="B1949" s="5" t="n">
        <v>44558</v>
      </c>
      <c r="C1949" s="13" t="inlineStr">
        <is>
          <t>VTA</t>
        </is>
      </c>
      <c r="D1949" s="13" t="n">
        <v>40</v>
      </c>
      <c r="E1949" s="10">
        <f>IF(D1949&gt;0,VLOOKUP(OPERAC[[#This Row],[COD CART]],[1]!MatrizCortoLargoCyl[#All],3,0),"")</f>
        <v/>
      </c>
      <c r="F1949" s="13" t="inlineStr">
        <is>
          <t>UPST</t>
        </is>
      </c>
      <c r="G1949" s="6" t="n">
        <v>2</v>
      </c>
      <c r="H1949" s="6" t="n">
        <v>-301.2004</v>
      </c>
      <c r="I1949" s="7">
        <f>-H1949/G1949</f>
        <v/>
      </c>
      <c r="J1949" s="11" t="n">
        <v>44606</v>
      </c>
      <c r="K1949" s="6">
        <f>+OPERAC[[#This Row],[cantidad]]</f>
        <v/>
      </c>
      <c r="L1949" s="6">
        <f>+OPERAC[[#This Row],[cantidad venta]]*98.994</f>
        <v/>
      </c>
      <c r="M1949" s="7">
        <f>IF(N1949=0,+L1949+H1949,0)</f>
        <v/>
      </c>
      <c r="N1949" s="7">
        <f>IF((+G1949-K1949)=0,0,+G1949-K1949)</f>
        <v/>
      </c>
      <c r="O1949" s="7">
        <f>IF(N1949=0,0,(L1949+H1949)/-N1949)</f>
        <v/>
      </c>
      <c r="P1949" s="7">
        <f>VLOOKUP(OPERAC[[#This Row],[especie]],[1]!ESPECIES[#All],6,0)</f>
        <v/>
      </c>
      <c r="Q1949" s="7">
        <f>IF(N1949&lt;&gt;0,P1949*N1949,0)</f>
        <v/>
      </c>
      <c r="R1949" s="8">
        <f>IF(Q1949&lt;&gt;0,Q1949+H1949+L1949,0)</f>
        <v/>
      </c>
      <c r="S1949" s="9">
        <f>VLOOKUP(OPERAC[[#This Row],[especie]],[1]!ESPECIES[#Data],9,FALSE)</f>
        <v/>
      </c>
    </row>
    <row r="1950">
      <c r="A1950" s="4" t="n">
        <v>18724</v>
      </c>
      <c r="B1950" s="5" t="n">
        <v>44558</v>
      </c>
      <c r="C1950" s="13" t="inlineStr">
        <is>
          <t>VTA</t>
        </is>
      </c>
      <c r="D1950" s="13" t="n">
        <v>40</v>
      </c>
      <c r="E1950" s="10">
        <f>IF(D1950&gt;0,VLOOKUP(OPERAC[[#This Row],[COD CART]],[1]!MatrizCortoLargoCyl[#All],3,0),"")</f>
        <v/>
      </c>
      <c r="F1950" s="13" t="inlineStr">
        <is>
          <t>UPST</t>
        </is>
      </c>
      <c r="G1950" s="6" t="n">
        <v>2</v>
      </c>
      <c r="H1950" s="6" t="n">
        <v>-301.2004</v>
      </c>
      <c r="I1950" s="7">
        <f>-H1950/G1950</f>
        <v/>
      </c>
      <c r="J1950" s="11" t="n">
        <v>44606</v>
      </c>
      <c r="K1950" s="6">
        <f>+OPERAC[[#This Row],[cantidad]]</f>
        <v/>
      </c>
      <c r="L1950" s="6">
        <f>+OPERAC[[#This Row],[cantidad venta]]*98.994</f>
        <v/>
      </c>
      <c r="M1950" s="7">
        <f>IF(N1950=0,+L1950+H1950,0)</f>
        <v/>
      </c>
      <c r="N1950" s="7">
        <f>IF((+G1950-K1950)=0,0,+G1950-K1950)</f>
        <v/>
      </c>
      <c r="O1950" s="7">
        <f>IF(N1950=0,0,(L1950+H1950)/-N1950)</f>
        <v/>
      </c>
      <c r="P1950" s="7">
        <f>VLOOKUP(OPERAC[[#This Row],[especie]],[1]!ESPECIES[#All],6,0)</f>
        <v/>
      </c>
      <c r="Q1950" s="7">
        <f>IF(N1950&lt;&gt;0,P1950*N1950,0)</f>
        <v/>
      </c>
      <c r="R1950" s="8">
        <f>IF(Q1950&lt;&gt;0,Q1950+H1950+L1950,0)</f>
        <v/>
      </c>
      <c r="S1950" s="9">
        <f>VLOOKUP(OPERAC[[#This Row],[especie]],[1]!ESPECIES[#Data],9,FALSE)</f>
        <v/>
      </c>
    </row>
    <row r="1951">
      <c r="A1951" s="4" t="n">
        <v>19897</v>
      </c>
      <c r="B1951" s="5" t="n">
        <v>44558</v>
      </c>
      <c r="C1951" s="13" t="inlineStr">
        <is>
          <t>VTA</t>
        </is>
      </c>
      <c r="D1951" s="13" t="n">
        <v>40</v>
      </c>
      <c r="E1951" s="10">
        <f>IF(D1951&gt;0,VLOOKUP(OPERAC[[#This Row],[COD CART]],[1]!MatrizCortoLargoCyl[#All],3,0),"")</f>
        <v/>
      </c>
      <c r="F1951" s="13" t="inlineStr">
        <is>
          <t>UPST</t>
        </is>
      </c>
      <c r="G1951" s="6" t="n">
        <v>2</v>
      </c>
      <c r="H1951" s="6" t="n">
        <v>-301.2004</v>
      </c>
      <c r="I1951" s="7">
        <f>-H1951/G1951</f>
        <v/>
      </c>
      <c r="J1951" s="11" t="n">
        <v>44606</v>
      </c>
      <c r="K1951" s="6">
        <f>+OPERAC[[#This Row],[cantidad]]</f>
        <v/>
      </c>
      <c r="L1951" s="6">
        <f>+OPERAC[[#This Row],[cantidad venta]]*98.994</f>
        <v/>
      </c>
      <c r="M1951" s="7">
        <f>IF(N1951=0,+L1951+H1951,0)</f>
        <v/>
      </c>
      <c r="N1951" s="7">
        <f>IF((+G1951-K1951)=0,0,+G1951-K1951)</f>
        <v/>
      </c>
      <c r="O1951" s="7">
        <f>IF(N1951=0,0,(L1951+H1951)/-N1951)</f>
        <v/>
      </c>
      <c r="P1951" s="7">
        <f>VLOOKUP(OPERAC[[#This Row],[especie]],[1]!ESPECIES[#All],6,0)</f>
        <v/>
      </c>
      <c r="Q1951" s="7">
        <f>IF(N1951&lt;&gt;0,P1951*N1951,0)</f>
        <v/>
      </c>
      <c r="R1951" s="8">
        <f>IF(Q1951&lt;&gt;0,Q1951+H1951+L1951,0)</f>
        <v/>
      </c>
      <c r="S1951" s="9">
        <f>VLOOKUP(OPERAC[[#This Row],[especie]],[1]!ESPECIES[#Data],9,FALSE)</f>
        <v/>
      </c>
    </row>
    <row r="1952">
      <c r="A1952" s="4" t="n">
        <v>20317</v>
      </c>
      <c r="B1952" s="5" t="n">
        <v>44558</v>
      </c>
      <c r="C1952" s="13" t="inlineStr">
        <is>
          <t>VTA</t>
        </is>
      </c>
      <c r="D1952" s="13" t="n">
        <v>40</v>
      </c>
      <c r="E1952" s="10">
        <f>IF(D1952&gt;0,VLOOKUP(OPERAC[[#This Row],[COD CART]],[1]!MatrizCortoLargoCyl[#All],3,0),"")</f>
        <v/>
      </c>
      <c r="F1952" s="13" t="inlineStr">
        <is>
          <t>UPST</t>
        </is>
      </c>
      <c r="G1952" s="6" t="n">
        <v>2</v>
      </c>
      <c r="H1952" s="6" t="n">
        <v>-301.2004</v>
      </c>
      <c r="I1952" s="7">
        <f>-H1952/G1952</f>
        <v/>
      </c>
      <c r="J1952" s="11" t="n">
        <v>44606</v>
      </c>
      <c r="K1952" s="6">
        <f>+OPERAC[[#This Row],[cantidad]]</f>
        <v/>
      </c>
      <c r="L1952" s="6">
        <f>+OPERAC[[#This Row],[cantidad venta]]*98.994</f>
        <v/>
      </c>
      <c r="M1952" s="7">
        <f>IF(N1952=0,+L1952+H1952,0)</f>
        <v/>
      </c>
      <c r="N1952" s="7">
        <f>IF((+G1952-K1952)=0,0,+G1952-K1952)</f>
        <v/>
      </c>
      <c r="O1952" s="7">
        <f>IF(N1952=0,0,(L1952+H1952)/-N1952)</f>
        <v/>
      </c>
      <c r="P1952" s="7">
        <f>VLOOKUP(OPERAC[[#This Row],[especie]],[1]!ESPECIES[#All],6,0)</f>
        <v/>
      </c>
      <c r="Q1952" s="7">
        <f>IF(N1952&lt;&gt;0,P1952*N1952,0)</f>
        <v/>
      </c>
      <c r="R1952" s="8">
        <f>IF(Q1952&lt;&gt;0,Q1952+H1952+L1952,0)</f>
        <v/>
      </c>
      <c r="S1952" s="9">
        <f>VLOOKUP(OPERAC[[#This Row],[especie]],[1]!ESPECIES[#Data],9,FALSE)</f>
        <v/>
      </c>
    </row>
    <row r="1953">
      <c r="A1953" s="4" t="n">
        <v>22421</v>
      </c>
      <c r="B1953" s="5" t="n">
        <v>44558</v>
      </c>
      <c r="C1953" s="13" t="inlineStr">
        <is>
          <t>VTA</t>
        </is>
      </c>
      <c r="D1953" s="13" t="n">
        <v>40</v>
      </c>
      <c r="E1953" s="10">
        <f>IF(D1953&gt;0,VLOOKUP(OPERAC[[#This Row],[COD CART]],[1]!MatrizCortoLargoCyl[#All],3,0),"")</f>
        <v/>
      </c>
      <c r="F1953" s="13" t="inlineStr">
        <is>
          <t>UPST</t>
        </is>
      </c>
      <c r="G1953" s="6" t="n">
        <v>2</v>
      </c>
      <c r="H1953" s="6" t="n">
        <v>-301.2004</v>
      </c>
      <c r="I1953" s="7">
        <f>-H1953/G1953</f>
        <v/>
      </c>
      <c r="J1953" s="11" t="n">
        <v>44606</v>
      </c>
      <c r="K1953" s="6">
        <f>+OPERAC[[#This Row],[cantidad]]</f>
        <v/>
      </c>
      <c r="L1953" s="6">
        <f>+OPERAC[[#This Row],[cantidad venta]]*98.994</f>
        <v/>
      </c>
      <c r="M1953" s="7">
        <f>IF(N1953=0,+L1953+H1953,0)</f>
        <v/>
      </c>
      <c r="N1953" s="7">
        <f>IF((+G1953-K1953)=0,0,+G1953-K1953)</f>
        <v/>
      </c>
      <c r="O1953" s="7">
        <f>IF(N1953=0,0,(L1953+H1953)/-N1953)</f>
        <v/>
      </c>
      <c r="P1953" s="7">
        <f>VLOOKUP(OPERAC[[#This Row],[especie]],[1]!ESPECIES[#All],6,0)</f>
        <v/>
      </c>
      <c r="Q1953" s="7">
        <f>IF(N1953&lt;&gt;0,P1953*N1953,0)</f>
        <v/>
      </c>
      <c r="R1953" s="8">
        <f>IF(Q1953&lt;&gt;0,Q1953+H1953+L1953,0)</f>
        <v/>
      </c>
      <c r="S1953" s="9">
        <f>VLOOKUP(OPERAC[[#This Row],[especie]],[1]!ESPECIES[#Data],9,FALSE)</f>
        <v/>
      </c>
    </row>
    <row r="1954">
      <c r="A1954" s="4" t="n">
        <v>22393</v>
      </c>
      <c r="B1954" s="5" t="n">
        <v>44558</v>
      </c>
      <c r="C1954" s="13" t="inlineStr">
        <is>
          <t>VTA</t>
        </is>
      </c>
      <c r="D1954" s="13" t="n">
        <v>40</v>
      </c>
      <c r="E1954" s="10">
        <f>IF(D1954&gt;0,VLOOKUP(OPERAC[[#This Row],[COD CART]],[1]!MatrizCortoLargoCyl[#All],3,0),"")</f>
        <v/>
      </c>
      <c r="F1954" s="13" t="inlineStr">
        <is>
          <t>UPST</t>
        </is>
      </c>
      <c r="G1954" s="6" t="n">
        <v>2</v>
      </c>
      <c r="H1954" s="6" t="n">
        <v>-301.2004</v>
      </c>
      <c r="I1954" s="7">
        <f>-H1954/G1954</f>
        <v/>
      </c>
      <c r="J1954" s="11" t="n">
        <v>44606</v>
      </c>
      <c r="K1954" s="6">
        <f>+OPERAC[[#This Row],[cantidad]]</f>
        <v/>
      </c>
      <c r="L1954" s="6">
        <f>+OPERAC[[#This Row],[cantidad venta]]*98.994</f>
        <v/>
      </c>
      <c r="M1954" s="7">
        <f>IF(N1954=0,+L1954+H1954,0)</f>
        <v/>
      </c>
      <c r="N1954" s="7">
        <f>IF((+G1954-K1954)=0,0,+G1954-K1954)</f>
        <v/>
      </c>
      <c r="O1954" s="7">
        <f>IF(N1954=0,0,(L1954+H1954)/-N1954)</f>
        <v/>
      </c>
      <c r="P1954" s="7">
        <f>VLOOKUP(OPERAC[[#This Row],[especie]],[1]!ESPECIES[#All],6,0)</f>
        <v/>
      </c>
      <c r="Q1954" s="7">
        <f>IF(N1954&lt;&gt;0,P1954*N1954,0)</f>
        <v/>
      </c>
      <c r="R1954" s="8">
        <f>IF(Q1954&lt;&gt;0,Q1954+H1954+L1954,0)</f>
        <v/>
      </c>
      <c r="S1954" s="9">
        <f>VLOOKUP(OPERAC[[#This Row],[especie]],[1]!ESPECIES[#Data],9,FALSE)</f>
        <v/>
      </c>
    </row>
    <row r="1955">
      <c r="A1955" s="4" t="n">
        <v>2218</v>
      </c>
      <c r="B1955" s="5" t="n">
        <v>44587</v>
      </c>
      <c r="C1955" s="13" t="inlineStr">
        <is>
          <t>VTA</t>
        </is>
      </c>
      <c r="D1955" s="13" t="n">
        <v>40</v>
      </c>
      <c r="E1955" s="10">
        <f>IF(D1955&gt;0,VLOOKUP(OPERAC[[#This Row],[COD CART]],[1]!MatrizCortoLargoCyl[#All],3,0),"")</f>
        <v/>
      </c>
      <c r="F1955" s="13" t="inlineStr">
        <is>
          <t>MSFT</t>
        </is>
      </c>
      <c r="G1955" s="6" t="n">
        <v>1</v>
      </c>
      <c r="H1955" s="6" t="n">
        <v>-301.30433</v>
      </c>
      <c r="I1955" s="7">
        <f>-H1955/G1955</f>
        <v/>
      </c>
      <c r="J1955" s="11" t="n">
        <v>44606</v>
      </c>
      <c r="K1955" s="6">
        <f>+OPERAC[[#This Row],[cantidad]]</f>
        <v/>
      </c>
      <c r="L1955" s="6">
        <f>+OPERAC[[#This Row],[cantidad venta]]*290.091</f>
        <v/>
      </c>
      <c r="M1955" s="7">
        <f>IF(N1955=0,+L1955+H1955,0)</f>
        <v/>
      </c>
      <c r="N1955" s="7">
        <f>IF((+G1955-K1955)=0,0,+G1955-K1955)</f>
        <v/>
      </c>
      <c r="O1955" s="7">
        <f>IF(N1955=0,0,(L1955+H1955)/-N1955)</f>
        <v/>
      </c>
      <c r="P1955" s="7">
        <f>VLOOKUP(OPERAC[[#This Row],[especie]],[1]!ESPECIES[#All],6,0)</f>
        <v/>
      </c>
      <c r="Q1955" s="7">
        <f>IF(N1955&lt;&gt;0,P1955*N1955,0)</f>
        <v/>
      </c>
      <c r="R1955" s="8">
        <f>IF(Q1955&lt;&gt;0,Q1955+H1955+L1955,0)</f>
        <v/>
      </c>
      <c r="S1955" s="9">
        <f>VLOOKUP(OPERAC[[#This Row],[especie]],[1]!ESPECIES[#Data],9,FALSE)</f>
        <v/>
      </c>
    </row>
    <row r="1956">
      <c r="A1956" s="4" t="n">
        <v>3852</v>
      </c>
      <c r="B1956" s="5" t="n">
        <v>44587</v>
      </c>
      <c r="C1956" s="13" t="inlineStr">
        <is>
          <t>VTA</t>
        </is>
      </c>
      <c r="D1956" s="13" t="n">
        <v>40</v>
      </c>
      <c r="E1956" s="10">
        <f>IF(D1956&gt;0,VLOOKUP(OPERAC[[#This Row],[COD CART]],[1]!MatrizCortoLargoCyl[#All],3,0),"")</f>
        <v/>
      </c>
      <c r="F1956" s="13" t="inlineStr">
        <is>
          <t>MSFT</t>
        </is>
      </c>
      <c r="G1956" s="6" t="n">
        <v>1</v>
      </c>
      <c r="H1956" s="6" t="n">
        <v>-301.30433</v>
      </c>
      <c r="I1956" s="7">
        <f>-H1956/G1956</f>
        <v/>
      </c>
      <c r="J1956" s="11" t="n">
        <v>44606</v>
      </c>
      <c r="K1956" s="6">
        <f>+OPERAC[[#This Row],[cantidad]]</f>
        <v/>
      </c>
      <c r="L1956" s="6">
        <f>+OPERAC[[#This Row],[cantidad venta]]*290.091</f>
        <v/>
      </c>
      <c r="M1956" s="7">
        <f>IF(N1956=0,+L1956+H1956,0)</f>
        <v/>
      </c>
      <c r="N1956" s="7">
        <f>IF((+G1956-K1956)=0,0,+G1956-K1956)</f>
        <v/>
      </c>
      <c r="O1956" s="7">
        <f>IF(N1956=0,0,(L1956+H1956)/-N1956)</f>
        <v/>
      </c>
      <c r="P1956" s="7">
        <f>VLOOKUP(OPERAC[[#This Row],[especie]],[1]!ESPECIES[#All],6,0)</f>
        <v/>
      </c>
      <c r="Q1956" s="7">
        <f>IF(N1956&lt;&gt;0,P1956*N1956,0)</f>
        <v/>
      </c>
      <c r="R1956" s="8">
        <f>IF(Q1956&lt;&gt;0,Q1956+H1956+L1956,0)</f>
        <v/>
      </c>
      <c r="S1956" s="9">
        <f>VLOOKUP(OPERAC[[#This Row],[especie]],[1]!ESPECIES[#Data],9,FALSE)</f>
        <v/>
      </c>
    </row>
    <row r="1957">
      <c r="A1957" s="4" t="n">
        <v>18663</v>
      </c>
      <c r="B1957" s="5" t="n">
        <v>44655</v>
      </c>
      <c r="C1957" s="13" t="inlineStr">
        <is>
          <t>VTA</t>
        </is>
      </c>
      <c r="D1957" s="13" t="n">
        <v>41</v>
      </c>
      <c r="E1957" s="10">
        <f>IF(D1957&gt;0,VLOOKUP(OPERAC[[#This Row],[COD CART]],[1]!MatrizCortoLargoCyl[#All],3,0),"")</f>
        <v/>
      </c>
      <c r="F1957" s="13" t="inlineStr">
        <is>
          <t>FL</t>
        </is>
      </c>
      <c r="G1957" s="6" t="n">
        <v>10</v>
      </c>
      <c r="H1957" s="6" t="n">
        <v>-301.458</v>
      </c>
      <c r="I1957" s="7">
        <f>-H1957/G1957</f>
        <v/>
      </c>
      <c r="J1957" s="11" t="n">
        <v>44707</v>
      </c>
      <c r="K1957" s="6" t="n">
        <v>10</v>
      </c>
      <c r="L1957" s="6" t="n">
        <v>324.049</v>
      </c>
      <c r="M1957" s="7">
        <f>IF(N1957=0,+L1957+H1957,0)</f>
        <v/>
      </c>
      <c r="N1957" s="7">
        <f>IF((+G1957-K1957)=0,0,+G1957-K1957)</f>
        <v/>
      </c>
      <c r="O1957" s="7">
        <f>IF(N1957=0,0,(L1957+H1957)/-N1957)</f>
        <v/>
      </c>
      <c r="P1957" s="7">
        <f>VLOOKUP(OPERAC[[#This Row],[especie]],[1]!ESPECIES[#All],6,0)</f>
        <v/>
      </c>
      <c r="Q1957" s="7">
        <f>IF(N1957&lt;&gt;0,P1957*N1957,0)</f>
        <v/>
      </c>
      <c r="R1957" s="8">
        <f>IF(Q1957&lt;&gt;0,Q1957+H1957+L1957,0)</f>
        <v/>
      </c>
      <c r="S1957" s="9">
        <f>VLOOKUP(OPERAC[[#This Row],[especie]],[1]!ESPECIES[#Data],9,FALSE)</f>
        <v/>
      </c>
    </row>
    <row r="1958">
      <c r="A1958" s="4" t="n">
        <v>18663</v>
      </c>
      <c r="B1958" s="5" t="n">
        <v>44585</v>
      </c>
      <c r="C1958" s="13" t="inlineStr">
        <is>
          <t>VTA</t>
        </is>
      </c>
      <c r="D1958" s="13" t="n">
        <v>41</v>
      </c>
      <c r="E1958" s="10">
        <f>IF(D1958&gt;0,VLOOKUP(OPERAC[[#This Row],[COD CART]],[1]!MatrizCortoLargoCyl[#All],3,0),"")</f>
        <v/>
      </c>
      <c r="F1958" s="13" t="inlineStr">
        <is>
          <t>STOR</t>
        </is>
      </c>
      <c r="G1958" s="6" t="n">
        <v>10</v>
      </c>
      <c r="H1958" s="6" t="n">
        <v>-301.485</v>
      </c>
      <c r="I1958" s="7">
        <f>-H1958/G1958</f>
        <v/>
      </c>
      <c r="J1958" s="11" t="n"/>
      <c r="K1958" s="6" t="n"/>
      <c r="L1958" s="6" t="n"/>
      <c r="M1958" s="7">
        <f>IF(N1958=0,+L1958+H1958,0)</f>
        <v/>
      </c>
      <c r="N1958" s="7">
        <f>IF((+G1958-K1958)=0,0,+G1958-K1958)</f>
        <v/>
      </c>
      <c r="O1958" s="7">
        <f>IF(N1958=0,0,(L1958+H1958)/-N1958)</f>
        <v/>
      </c>
      <c r="P1958" s="7">
        <f>VLOOKUP(OPERAC[[#This Row],[especie]],[1]!ESPECIES[#All],6,0)</f>
        <v/>
      </c>
      <c r="Q1958" s="7">
        <f>IF(N1958&lt;&gt;0,P1958*N1958,0)</f>
        <v/>
      </c>
      <c r="R1958" s="8">
        <f>IF(Q1958&lt;&gt;0,Q1958+H1958+L1958,0)</f>
        <v/>
      </c>
      <c r="S1958" s="9">
        <f>VLOOKUP(OPERAC[[#This Row],[especie]],[1]!ESPECIES[#Data],9,FALSE)</f>
        <v/>
      </c>
    </row>
    <row r="1959">
      <c r="A1959" s="4" t="n">
        <v>1816</v>
      </c>
      <c r="B1959" s="5" t="n">
        <v>44637</v>
      </c>
      <c r="C1959" s="13" t="inlineStr">
        <is>
          <t>VTA</t>
        </is>
      </c>
      <c r="D1959" s="13" t="n">
        <v>41</v>
      </c>
      <c r="E1959" s="10">
        <f>IF(D1959&gt;0,VLOOKUP(OPERAC[[#This Row],[COD CART]],[1]!MatrizCortoLargoCyl[#All],3,0),"")</f>
        <v/>
      </c>
      <c r="F1959" s="13" t="inlineStr">
        <is>
          <t>QCOM</t>
        </is>
      </c>
      <c r="G1959" s="6" t="n">
        <v>2</v>
      </c>
      <c r="H1959" s="6" t="n">
        <v>-301.82752</v>
      </c>
      <c r="I1959" s="7">
        <f>-H1959/G1959</f>
        <v/>
      </c>
      <c r="J1959" s="11" t="n"/>
      <c r="K1959" s="6" t="n"/>
      <c r="L1959" s="6" t="n"/>
      <c r="M1959" s="7">
        <f>IF(N1959=0,+L1959+H1959,0)</f>
        <v/>
      </c>
      <c r="N1959" s="7">
        <f>IF((+G1959-K1959)=0,0,+G1959-K1959)</f>
        <v/>
      </c>
      <c r="O1959" s="7">
        <f>IF(N1959=0,0,(L1959+H1959)/-N1959)</f>
        <v/>
      </c>
      <c r="P1959" s="7">
        <f>VLOOKUP(OPERAC[[#This Row],[especie]],[1]!ESPECIES[#All],6,0)</f>
        <v/>
      </c>
      <c r="Q1959" s="7">
        <f>IF(N1959&lt;&gt;0,P1959*N1959,0)</f>
        <v/>
      </c>
      <c r="R1959" s="8">
        <f>IF(Q1959&lt;&gt;0,Q1959+H1959+L1959,0)</f>
        <v/>
      </c>
      <c r="S1959" s="9">
        <f>VLOOKUP(OPERAC[[#This Row],[especie]],[1]!ESPECIES[#Data],9,FALSE)</f>
        <v/>
      </c>
    </row>
    <row r="1960">
      <c r="A1960" s="4" t="n">
        <v>18663</v>
      </c>
      <c r="B1960" s="5" t="n">
        <v>44474</v>
      </c>
      <c r="C1960" s="13" t="inlineStr">
        <is>
          <t>VTA</t>
        </is>
      </c>
      <c r="D1960" s="13" t="n">
        <v>41</v>
      </c>
      <c r="E1960" s="10">
        <f>IF(D1960&gt;0,VLOOKUP(OPERAC[[#This Row],[COD CART]],[1]!MatrizCortoLargoCyl[#All],3,0),"")</f>
        <v/>
      </c>
      <c r="F1960" s="13" t="inlineStr">
        <is>
          <t>MPW</t>
        </is>
      </c>
      <c r="G1960" s="6" t="n">
        <v>15</v>
      </c>
      <c r="H1960" s="6" t="n">
        <v>-302.039</v>
      </c>
      <c r="I1960" s="7">
        <f>-H1960/G1960</f>
        <v/>
      </c>
      <c r="J1960" s="11" t="n"/>
      <c r="K1960" s="6" t="n"/>
      <c r="L1960" s="6" t="n"/>
      <c r="M1960" s="7">
        <f>IF(N1960=0,+L1960+H1960,0)</f>
        <v/>
      </c>
      <c r="N1960" s="7">
        <f>IF((+G1960-K1960)=0,0,+G1960-K1960)</f>
        <v/>
      </c>
      <c r="O1960" s="7">
        <f>IF(N1960=0,0,(L1960+H1960)/-N1960)</f>
        <v/>
      </c>
      <c r="P1960" s="7">
        <f>VLOOKUP(OPERAC[[#This Row],[especie]],[1]!ESPECIES[#All],6,0)</f>
        <v/>
      </c>
      <c r="Q1960" s="7">
        <f>IF(N1960&lt;&gt;0,P1960*N1960,0)</f>
        <v/>
      </c>
      <c r="R1960" s="8">
        <f>IF(Q1960&lt;&gt;0,Q1960+H1960+L1960,0)</f>
        <v/>
      </c>
      <c r="S1960" s="9">
        <f>VLOOKUP(OPERAC[[#This Row],[especie]],[1]!ESPECIES[#Data],9,FALSE)</f>
        <v/>
      </c>
    </row>
    <row r="1961">
      <c r="A1961" s="4" t="n">
        <v>2255</v>
      </c>
      <c r="B1961" s="5" t="n">
        <v>44587</v>
      </c>
      <c r="C1961" s="13" t="inlineStr">
        <is>
          <t>VTA</t>
        </is>
      </c>
      <c r="D1961" s="13" t="n">
        <v>40</v>
      </c>
      <c r="E1961" s="10">
        <f>IF(D1961&gt;0,VLOOKUP(OPERAC[[#This Row],[COD CART]],[1]!MatrizCortoLargoCyl[#All],3,0),"")</f>
        <v/>
      </c>
      <c r="F1961" s="13" t="inlineStr">
        <is>
          <t>MSFT</t>
        </is>
      </c>
      <c r="G1961" s="6" t="n">
        <v>1</v>
      </c>
      <c r="H1961" s="6" t="n">
        <v>-302.2073</v>
      </c>
      <c r="I1961" s="7">
        <f>-H1961/G1961</f>
        <v/>
      </c>
      <c r="J1961" s="11" t="n">
        <v>44606</v>
      </c>
      <c r="K1961" s="6">
        <f>+OPERAC[[#This Row],[cantidad]]</f>
        <v/>
      </c>
      <c r="L1961" s="6">
        <f>+OPERAC[[#This Row],[cantidad venta]]*290.091</f>
        <v/>
      </c>
      <c r="M1961" s="7">
        <f>IF(N1961=0,+L1961+H1961,0)</f>
        <v/>
      </c>
      <c r="N1961" s="7">
        <f>IF((+G1961-K1961)=0,0,+G1961-K1961)</f>
        <v/>
      </c>
      <c r="O1961" s="7">
        <f>IF(N1961=0,0,(L1961+H1961)/-N1961)</f>
        <v/>
      </c>
      <c r="P1961" s="7">
        <f>VLOOKUP(OPERAC[[#This Row],[especie]],[1]!ESPECIES[#All],6,0)</f>
        <v/>
      </c>
      <c r="Q1961" s="7">
        <f>IF(N1961&lt;&gt;0,P1961*N1961,0)</f>
        <v/>
      </c>
      <c r="R1961" s="8">
        <f>IF(Q1961&lt;&gt;0,Q1961+H1961+L1961,0)</f>
        <v/>
      </c>
      <c r="S1961" s="9">
        <f>VLOOKUP(OPERAC[[#This Row],[especie]],[1]!ESPECIES[#Data],9,FALSE)</f>
        <v/>
      </c>
    </row>
    <row r="1962">
      <c r="A1962" s="4" t="n">
        <v>2257</v>
      </c>
      <c r="B1962" s="5" t="n">
        <v>44720</v>
      </c>
      <c r="C1962" s="13" t="inlineStr">
        <is>
          <t>VTA</t>
        </is>
      </c>
      <c r="D1962" s="13" t="n">
        <v>42</v>
      </c>
      <c r="E1962" s="10">
        <f>IF(D1962&gt;0,VLOOKUP(OPERAC[[#This Row],[COD CART]],[1]!MatrizCortoLargoCyl[#All],3,0),"")</f>
        <v/>
      </c>
      <c r="F1962" s="13" t="inlineStr">
        <is>
          <t>HYDR</t>
        </is>
      </c>
      <c r="G1962" s="6" t="n">
        <v>20</v>
      </c>
      <c r="H1962" s="6" t="n">
        <v>-302.55</v>
      </c>
      <c r="I1962" s="7">
        <f>-H1962/G1962</f>
        <v/>
      </c>
      <c r="J1962" s="5" t="n"/>
      <c r="K1962" s="6" t="n"/>
      <c r="L1962" s="6" t="n"/>
      <c r="M1962" s="7">
        <f>IF(N1962=0,+L1962+H1962,0)</f>
        <v/>
      </c>
      <c r="N1962" s="7">
        <f>IF((+G1962-K1962)=0,0,+G1962-K1962)</f>
        <v/>
      </c>
      <c r="O1962" s="7">
        <f>IF(N1962=0,0,(L1962+H1962)/-N1962)</f>
        <v/>
      </c>
      <c r="P1962" s="7">
        <f>VLOOKUP(OPERAC[[#This Row],[especie]],[1]!ESPECIES[#All],6,0)</f>
        <v/>
      </c>
      <c r="Q1962" s="7">
        <f>IF(N1962&lt;&gt;0,P1962*N1962,0)</f>
        <v/>
      </c>
      <c r="R1962" s="8">
        <f>IF(Q1962&lt;&gt;0,Q1962+H1962+L1962,0)</f>
        <v/>
      </c>
      <c r="S1962" s="9">
        <f>VLOOKUP(OPERAC[[#This Row],[especie]],[1]!ESPECIES[#Data],9,FALSE)</f>
        <v/>
      </c>
    </row>
    <row r="1963">
      <c r="A1963" s="4" t="n">
        <v>18663</v>
      </c>
      <c r="B1963" s="5" t="n">
        <v>44602</v>
      </c>
      <c r="C1963" s="13" t="inlineStr">
        <is>
          <t>VTA</t>
        </is>
      </c>
      <c r="D1963" s="13" t="n">
        <v>41</v>
      </c>
      <c r="E1963" s="10">
        <f>IF(D1963&gt;0,VLOOKUP(OPERAC[[#This Row],[COD CART]],[1]!MatrizCortoLargoCyl[#All],3,0),"")</f>
        <v/>
      </c>
      <c r="F1963" s="13" t="inlineStr">
        <is>
          <t>JEPI</t>
        </is>
      </c>
      <c r="G1963" s="6" t="n">
        <v>5</v>
      </c>
      <c r="H1963" s="6">
        <f>-60.58*5</f>
        <v/>
      </c>
      <c r="I1963" s="7">
        <f>-H1963/G1963</f>
        <v/>
      </c>
      <c r="J1963" s="11" t="n"/>
      <c r="K1963" s="6" t="n"/>
      <c r="L1963" s="6" t="n"/>
      <c r="M1963" s="7">
        <f>IF(N1963=0,+L1963+H1963,0)</f>
        <v/>
      </c>
      <c r="N1963" s="7">
        <f>IF((+G1963-K1963)=0,0,+G1963-K1963)</f>
        <v/>
      </c>
      <c r="O1963" s="7">
        <f>IF(N1963=0,0,(L1963+H1963)/-N1963)</f>
        <v/>
      </c>
      <c r="P1963" s="7">
        <f>VLOOKUP(OPERAC[[#This Row],[especie]],[1]!ESPECIES[#All],6,0)</f>
        <v/>
      </c>
      <c r="Q1963" s="7">
        <f>IF(N1963&lt;&gt;0,P1963*N1963,0)</f>
        <v/>
      </c>
      <c r="R1963" s="8">
        <f>IF(Q1963&lt;&gt;0,Q1963+H1963+L1963,0)</f>
        <v/>
      </c>
      <c r="S1963" s="9">
        <f>VLOOKUP(OPERAC[[#This Row],[especie]],[1]!ESPECIES[#Data],9,FALSE)</f>
        <v/>
      </c>
    </row>
    <row r="1964">
      <c r="A1964" s="4" t="n">
        <v>19931</v>
      </c>
      <c r="B1964" s="5" t="n">
        <v>44691</v>
      </c>
      <c r="C1964" s="13" t="inlineStr">
        <is>
          <t>VTA</t>
        </is>
      </c>
      <c r="D1964" s="13" t="n">
        <v>41</v>
      </c>
      <c r="E1964" s="10">
        <f>IF(D1964&gt;0,VLOOKUP(OPERAC[[#This Row],[COD CART]],[1]!MatrizCortoLargoCyl[#All],3,0),"")</f>
        <v/>
      </c>
      <c r="F1964" s="13" t="inlineStr">
        <is>
          <t>QQQ</t>
        </is>
      </c>
      <c r="G1964" s="6" t="n">
        <v>1</v>
      </c>
      <c r="H1964" s="6" t="n">
        <v>-303.105</v>
      </c>
      <c r="I1964" s="7">
        <f>-H1964/G1964</f>
        <v/>
      </c>
      <c r="J1964" s="11" t="n">
        <v>44713</v>
      </c>
      <c r="K1964" s="6" t="n">
        <v>1</v>
      </c>
      <c r="L1964" s="6" t="n">
        <v>305.461</v>
      </c>
      <c r="M1964" s="7">
        <f>IF(N1964=0,+L1964+H1964,0)</f>
        <v/>
      </c>
      <c r="N1964" s="7">
        <f>IF((+G1964-K1964)=0,0,+G1964-K1964)</f>
        <v/>
      </c>
      <c r="O1964" s="7">
        <f>IF(N1964=0,0,(L1964+H1964)/-N1964)</f>
        <v/>
      </c>
      <c r="P1964" s="7">
        <f>VLOOKUP(OPERAC[[#This Row],[especie]],[1]!ESPECIES[#All],6,0)</f>
        <v/>
      </c>
      <c r="Q1964" s="7">
        <f>IF(N1964&lt;&gt;0,P1964*N1964,0)</f>
        <v/>
      </c>
      <c r="R1964" s="8">
        <f>IF(Q1964&lt;&gt;0,Q1964+H1964+L1964,0)</f>
        <v/>
      </c>
      <c r="S1964" s="9">
        <f>VLOOKUP(OPERAC[[#This Row],[especie]],[1]!ESPECIES[#Data],9,FALSE)</f>
        <v/>
      </c>
    </row>
    <row r="1965">
      <c r="A1965" s="4" t="n">
        <v>3818</v>
      </c>
      <c r="B1965" s="5" t="n">
        <v>44587</v>
      </c>
      <c r="C1965" s="13" t="inlineStr">
        <is>
          <t>VTA</t>
        </is>
      </c>
      <c r="D1965" s="13" t="n">
        <v>40</v>
      </c>
      <c r="E1965" s="10">
        <f>IF(D1965&gt;0,VLOOKUP(OPERAC[[#This Row],[COD CART]],[1]!MatrizCortoLargoCyl[#All],3,0),"")</f>
        <v/>
      </c>
      <c r="F1965" s="13" t="inlineStr">
        <is>
          <t>MSFT</t>
        </is>
      </c>
      <c r="G1965" s="6" t="n">
        <v>1</v>
      </c>
      <c r="H1965" s="6" t="n">
        <v>-303.41126</v>
      </c>
      <c r="I1965" s="7">
        <f>-H1965/G1965</f>
        <v/>
      </c>
      <c r="J1965" s="11" t="n">
        <v>44600</v>
      </c>
      <c r="K1965" s="6" t="n">
        <v>1</v>
      </c>
      <c r="L1965" s="6" t="n">
        <v>303</v>
      </c>
      <c r="M1965" s="7">
        <f>IF(N1965=0,+L1965+H1965,0)</f>
        <v/>
      </c>
      <c r="N1965" s="7">
        <f>IF((+G1965-K1965)=0,0,+G1965-K1965)</f>
        <v/>
      </c>
      <c r="O1965" s="7">
        <f>IF(N1965=0,0,(L1965+H1965)/-N1965)</f>
        <v/>
      </c>
      <c r="P1965" s="7">
        <f>VLOOKUP(OPERAC[[#This Row],[especie]],[1]!ESPECIES[#All],6,0)</f>
        <v/>
      </c>
      <c r="Q1965" s="7">
        <f>IF(N1965&lt;&gt;0,P1965*N1965,0)</f>
        <v/>
      </c>
      <c r="R1965" s="8">
        <f>IF(Q1965&lt;&gt;0,Q1965+H1965+L1965,0)</f>
        <v/>
      </c>
      <c r="S1965" s="9">
        <f>VLOOKUP(OPERAC[[#This Row],[especie]],[1]!ESPECIES[#Data],9,FALSE)</f>
        <v/>
      </c>
    </row>
    <row r="1966">
      <c r="A1966" s="4" t="n">
        <v>3820</v>
      </c>
      <c r="B1966" s="5" t="n">
        <v>44587</v>
      </c>
      <c r="C1966" s="13" t="inlineStr">
        <is>
          <t>VTA</t>
        </is>
      </c>
      <c r="D1966" s="13" t="n">
        <v>40</v>
      </c>
      <c r="E1966" s="10">
        <f>IF(D1966&gt;0,VLOOKUP(OPERAC[[#This Row],[COD CART]],[1]!MatrizCortoLargoCyl[#All],3,0),"")</f>
        <v/>
      </c>
      <c r="F1966" s="13" t="inlineStr">
        <is>
          <t>MSFT</t>
        </is>
      </c>
      <c r="G1966" s="6" t="n">
        <v>1</v>
      </c>
      <c r="H1966" s="6" t="n">
        <v>-303.41126</v>
      </c>
      <c r="I1966" s="7">
        <f>-H1966/G1966</f>
        <v/>
      </c>
      <c r="J1966" s="11" t="n">
        <v>44606</v>
      </c>
      <c r="K1966" s="6">
        <f>+OPERAC[[#This Row],[cantidad]]</f>
        <v/>
      </c>
      <c r="L1966" s="6">
        <f>+OPERAC[[#This Row],[cantidad venta]]*290.091</f>
        <v/>
      </c>
      <c r="M1966" s="7">
        <f>IF(N1966=0,+L1966+H1966,0)</f>
        <v/>
      </c>
      <c r="N1966" s="7">
        <f>IF((+G1966-K1966)=0,0,+G1966-K1966)</f>
        <v/>
      </c>
      <c r="O1966" s="7">
        <f>IF(N1966=0,0,(L1966+H1966)/-N1966)</f>
        <v/>
      </c>
      <c r="P1966" s="7">
        <f>VLOOKUP(OPERAC[[#This Row],[especie]],[1]!ESPECIES[#All],6,0)</f>
        <v/>
      </c>
      <c r="Q1966" s="7">
        <f>IF(N1966&lt;&gt;0,P1966*N1966,0)</f>
        <v/>
      </c>
      <c r="R1966" s="8">
        <f>IF(Q1966&lt;&gt;0,Q1966+H1966+L1966,0)</f>
        <v/>
      </c>
      <c r="S1966" s="9">
        <f>VLOOKUP(OPERAC[[#This Row],[especie]],[1]!ESPECIES[#Data],9,FALSE)</f>
        <v/>
      </c>
    </row>
    <row r="1967">
      <c r="A1967" s="4" t="n">
        <v>3823</v>
      </c>
      <c r="B1967" s="5" t="n">
        <v>44587</v>
      </c>
      <c r="C1967" s="13" t="inlineStr">
        <is>
          <t>VTA</t>
        </is>
      </c>
      <c r="D1967" s="13" t="n">
        <v>40</v>
      </c>
      <c r="E1967" s="10">
        <f>IF(D1967&gt;0,VLOOKUP(OPERAC[[#This Row],[COD CART]],[1]!MatrizCortoLargoCyl[#All],3,0),"")</f>
        <v/>
      </c>
      <c r="F1967" s="13" t="inlineStr">
        <is>
          <t>MSFT</t>
        </is>
      </c>
      <c r="G1967" s="6" t="n">
        <v>1</v>
      </c>
      <c r="H1967" s="6" t="n">
        <v>-303.41126</v>
      </c>
      <c r="I1967" s="7">
        <f>-H1967/G1967</f>
        <v/>
      </c>
      <c r="J1967" s="11" t="n">
        <v>44606</v>
      </c>
      <c r="K1967" s="6">
        <f>+OPERAC[[#This Row],[cantidad]]</f>
        <v/>
      </c>
      <c r="L1967" s="6">
        <f>+OPERAC[[#This Row],[cantidad venta]]*290.091</f>
        <v/>
      </c>
      <c r="M1967" s="7">
        <f>IF(N1967=0,+L1967+H1967,0)</f>
        <v/>
      </c>
      <c r="N1967" s="7">
        <f>IF((+G1967-K1967)=0,0,+G1967-K1967)</f>
        <v/>
      </c>
      <c r="O1967" s="7">
        <f>IF(N1967=0,0,(L1967+H1967)/-N1967)</f>
        <v/>
      </c>
      <c r="P1967" s="7">
        <f>VLOOKUP(OPERAC[[#This Row],[especie]],[1]!ESPECIES[#All],6,0)</f>
        <v/>
      </c>
      <c r="Q1967" s="7">
        <f>IF(N1967&lt;&gt;0,P1967*N1967,0)</f>
        <v/>
      </c>
      <c r="R1967" s="8">
        <f>IF(Q1967&lt;&gt;0,Q1967+H1967+L1967,0)</f>
        <v/>
      </c>
      <c r="S1967" s="9">
        <f>VLOOKUP(OPERAC[[#This Row],[especie]],[1]!ESPECIES[#Data],9,FALSE)</f>
        <v/>
      </c>
    </row>
    <row r="1968">
      <c r="A1968" s="4" t="n">
        <v>7867</v>
      </c>
      <c r="B1968" s="5" t="n">
        <v>44587</v>
      </c>
      <c r="C1968" s="13" t="inlineStr">
        <is>
          <t>VTA</t>
        </is>
      </c>
      <c r="D1968" s="13" t="n">
        <v>40</v>
      </c>
      <c r="E1968" s="10">
        <f>IF(D1968&gt;0,VLOOKUP(OPERAC[[#This Row],[COD CART]],[1]!MatrizCortoLargoCyl[#All],3,0),"")</f>
        <v/>
      </c>
      <c r="F1968" s="13" t="inlineStr">
        <is>
          <t>MSFT</t>
        </is>
      </c>
      <c r="G1968" s="6" t="n">
        <v>1</v>
      </c>
      <c r="H1968" s="6" t="n">
        <v>-303.41126</v>
      </c>
      <c r="I1968" s="7">
        <f>-H1968/G1968</f>
        <v/>
      </c>
      <c r="J1968" s="11" t="n">
        <v>44606</v>
      </c>
      <c r="K1968" s="6">
        <f>+OPERAC[[#This Row],[cantidad]]</f>
        <v/>
      </c>
      <c r="L1968" s="6">
        <f>+OPERAC[[#This Row],[cantidad venta]]*290.091</f>
        <v/>
      </c>
      <c r="M1968" s="7">
        <f>IF(N1968=0,+L1968+H1968,0)</f>
        <v/>
      </c>
      <c r="N1968" s="7">
        <f>IF((+G1968-K1968)=0,0,+G1968-K1968)</f>
        <v/>
      </c>
      <c r="O1968" s="7">
        <f>IF(N1968=0,0,(L1968+H1968)/-N1968)</f>
        <v/>
      </c>
      <c r="P1968" s="7">
        <f>VLOOKUP(OPERAC[[#This Row],[especie]],[1]!ESPECIES[#All],6,0)</f>
        <v/>
      </c>
      <c r="Q1968" s="7">
        <f>IF(N1968&lt;&gt;0,P1968*N1968,0)</f>
        <v/>
      </c>
      <c r="R1968" s="8">
        <f>IF(Q1968&lt;&gt;0,Q1968+H1968+L1968,0)</f>
        <v/>
      </c>
      <c r="S1968" s="9">
        <f>VLOOKUP(OPERAC[[#This Row],[especie]],[1]!ESPECIES[#Data],9,FALSE)</f>
        <v/>
      </c>
    </row>
    <row r="1969">
      <c r="A1969" s="4" t="n">
        <v>12655</v>
      </c>
      <c r="B1969" s="5" t="n">
        <v>44587</v>
      </c>
      <c r="C1969" s="13" t="inlineStr">
        <is>
          <t>VTA</t>
        </is>
      </c>
      <c r="D1969" s="13" t="n">
        <v>40</v>
      </c>
      <c r="E1969" s="10">
        <f>IF(D1969&gt;0,VLOOKUP(OPERAC[[#This Row],[COD CART]],[1]!MatrizCortoLargoCyl[#All],3,0),"")</f>
        <v/>
      </c>
      <c r="F1969" s="13" t="inlineStr">
        <is>
          <t>MSFT</t>
        </is>
      </c>
      <c r="G1969" s="6" t="n">
        <v>1</v>
      </c>
      <c r="H1969" s="6" t="n">
        <v>-303.41126</v>
      </c>
      <c r="I1969" s="7">
        <f>-H1969/G1969</f>
        <v/>
      </c>
      <c r="J1969" s="11" t="n">
        <v>44606</v>
      </c>
      <c r="K1969" s="6">
        <f>+OPERAC[[#This Row],[cantidad]]</f>
        <v/>
      </c>
      <c r="L1969" s="6">
        <f>+OPERAC[[#This Row],[cantidad venta]]*290.091</f>
        <v/>
      </c>
      <c r="M1969" s="7">
        <f>IF(N1969=0,+L1969+H1969,0)</f>
        <v/>
      </c>
      <c r="N1969" s="7">
        <f>IF((+G1969-K1969)=0,0,+G1969-K1969)</f>
        <v/>
      </c>
      <c r="O1969" s="7">
        <f>IF(N1969=0,0,(L1969+H1969)/-N1969)</f>
        <v/>
      </c>
      <c r="P1969" s="7">
        <f>VLOOKUP(OPERAC[[#This Row],[especie]],[1]!ESPECIES[#All],6,0)</f>
        <v/>
      </c>
      <c r="Q1969" s="7">
        <f>IF(N1969&lt;&gt;0,P1969*N1969,0)</f>
        <v/>
      </c>
      <c r="R1969" s="8">
        <f>IF(Q1969&lt;&gt;0,Q1969+H1969+L1969,0)</f>
        <v/>
      </c>
      <c r="S1969" s="9">
        <f>VLOOKUP(OPERAC[[#This Row],[especie]],[1]!ESPECIES[#Data],9,FALSE)</f>
        <v/>
      </c>
    </row>
    <row r="1970">
      <c r="A1970" s="4" t="n">
        <v>17042</v>
      </c>
      <c r="B1970" s="5" t="n">
        <v>44587</v>
      </c>
      <c r="C1970" s="13" t="inlineStr">
        <is>
          <t>VTA</t>
        </is>
      </c>
      <c r="D1970" s="13" t="n">
        <v>40</v>
      </c>
      <c r="E1970" s="10">
        <f>IF(D1970&gt;0,VLOOKUP(OPERAC[[#This Row],[COD CART]],[1]!MatrizCortoLargoCyl[#All],3,0),"")</f>
        <v/>
      </c>
      <c r="F1970" s="13" t="inlineStr">
        <is>
          <t>MSFT</t>
        </is>
      </c>
      <c r="G1970" s="6" t="n">
        <v>1</v>
      </c>
      <c r="H1970" s="6" t="n">
        <v>-303.41126</v>
      </c>
      <c r="I1970" s="7">
        <f>-H1970/G1970</f>
        <v/>
      </c>
      <c r="J1970" s="11" t="n">
        <v>44606</v>
      </c>
      <c r="K1970" s="6">
        <f>+OPERAC[[#This Row],[cantidad]]</f>
        <v/>
      </c>
      <c r="L1970" s="6">
        <f>+OPERAC[[#This Row],[cantidad venta]]*290.091</f>
        <v/>
      </c>
      <c r="M1970" s="7">
        <f>IF(N1970=0,+L1970+H1970,0)</f>
        <v/>
      </c>
      <c r="N1970" s="7">
        <f>IF((+G1970-K1970)=0,0,+G1970-K1970)</f>
        <v/>
      </c>
      <c r="O1970" s="7">
        <f>IF(N1970=0,0,(L1970+H1970)/-N1970)</f>
        <v/>
      </c>
      <c r="P1970" s="7">
        <f>VLOOKUP(OPERAC[[#This Row],[especie]],[1]!ESPECIES[#All],6,0)</f>
        <v/>
      </c>
      <c r="Q1970" s="7">
        <f>IF(N1970&lt;&gt;0,P1970*N1970,0)</f>
        <v/>
      </c>
      <c r="R1970" s="8">
        <f>IF(Q1970&lt;&gt;0,Q1970+H1970+L1970,0)</f>
        <v/>
      </c>
      <c r="S1970" s="9">
        <f>VLOOKUP(OPERAC[[#This Row],[especie]],[1]!ESPECIES[#Data],9,FALSE)</f>
        <v/>
      </c>
    </row>
    <row r="1971">
      <c r="A1971" s="4" t="n">
        <v>13253</v>
      </c>
      <c r="B1971" s="5" t="n">
        <v>44623</v>
      </c>
      <c r="C1971" s="13" t="inlineStr">
        <is>
          <t>VTA</t>
        </is>
      </c>
      <c r="D1971" s="13" t="n">
        <v>41</v>
      </c>
      <c r="E1971" s="10">
        <f>IF(D1971&gt;0,VLOOKUP(OPERAC[[#This Row],[COD CART]],[1]!MatrizCortoLargoCyl[#All],3,0),"")</f>
        <v/>
      </c>
      <c r="F1971" s="13" t="inlineStr">
        <is>
          <t>KWEB</t>
        </is>
      </c>
      <c r="G1971" s="6" t="n">
        <v>10</v>
      </c>
      <c r="H1971" s="6">
        <f>-30.41*OPERAC[[#This Row],[cantidad]]</f>
        <v/>
      </c>
      <c r="I1971" s="7">
        <f>-H1971/G1971</f>
        <v/>
      </c>
      <c r="J1971" s="11" t="n"/>
      <c r="K1971" s="6" t="n"/>
      <c r="L1971" s="6" t="n"/>
      <c r="M1971" s="7">
        <f>IF(N1971=0,+L1971+H1971,0)</f>
        <v/>
      </c>
      <c r="N1971" s="7">
        <f>IF((+G1971-K1971)=0,0,+G1971-K1971)</f>
        <v/>
      </c>
      <c r="O1971" s="7">
        <f>IF(N1971=0,0,(L1971+H1971)/-N1971)</f>
        <v/>
      </c>
      <c r="P1971" s="7">
        <f>VLOOKUP(OPERAC[[#This Row],[especie]],[1]!ESPECIES[#All],6,0)</f>
        <v/>
      </c>
      <c r="Q1971" s="7">
        <f>IF(N1971&lt;&gt;0,P1971*N1971,0)</f>
        <v/>
      </c>
      <c r="R1971" s="8">
        <f>IF(Q1971&lt;&gt;0,Q1971+H1971+L1971,0)</f>
        <v/>
      </c>
      <c r="S1971" s="9">
        <f>VLOOKUP(OPERAC[[#This Row],[especie]],[1]!ESPECIES[#Data],9,FALSE)</f>
        <v/>
      </c>
    </row>
    <row r="1972">
      <c r="A1972" s="4" t="n">
        <v>22431</v>
      </c>
      <c r="B1972" s="5" t="n">
        <v>44698</v>
      </c>
      <c r="C1972" s="13" t="inlineStr">
        <is>
          <t>VTA</t>
        </is>
      </c>
      <c r="D1972" s="13" t="n">
        <v>32</v>
      </c>
      <c r="E1972" s="10">
        <f>IF(D1972&gt;0,VLOOKUP(OPERAC[[#This Row],[COD CART]],[1]!MatrizCortoLargoCyl[#All],3,0),"")</f>
        <v/>
      </c>
      <c r="F1972" s="13" t="inlineStr">
        <is>
          <t>ACB/CYL/4,00/24-06-22</t>
        </is>
      </c>
      <c r="G1972" s="6" t="n">
        <v>100</v>
      </c>
      <c r="H1972" s="6" t="n">
        <v>-304.23</v>
      </c>
      <c r="I1972" s="7">
        <f>-H1972/G1972</f>
        <v/>
      </c>
      <c r="J1972" s="11" t="n"/>
      <c r="K1972" s="6" t="n"/>
      <c r="L1972" s="6" t="n"/>
      <c r="M1972" s="7">
        <f>IF(N1972=0,+L1972+H1972,0)</f>
        <v/>
      </c>
      <c r="N1972" s="7">
        <f>IF((+G1972-K1972)=0,0,+G1972-K1972)</f>
        <v/>
      </c>
      <c r="O1972" s="7">
        <f>IF(N1972=0,0,(L1972+H1972)/-N1972)</f>
        <v/>
      </c>
      <c r="P1972" s="7">
        <f>VLOOKUP(OPERAC[[#This Row],[especie]],[1]!ESPECIES[#All],6,0)</f>
        <v/>
      </c>
      <c r="Q1972" s="7">
        <f>IF(N1972&lt;&gt;0,P1972*N1972,0)</f>
        <v/>
      </c>
      <c r="R1972" s="8">
        <f>IF(Q1972&lt;&gt;0,Q1972+H1972+L1972,0)</f>
        <v/>
      </c>
      <c r="S1972" s="9">
        <f>VLOOKUP(OPERAC[[#This Row],[especie]],[1]!ESPECIES[#Data],9,FALSE)</f>
        <v/>
      </c>
    </row>
    <row r="1973">
      <c r="A1973" s="4" t="n">
        <v>18663</v>
      </c>
      <c r="B1973" s="5" t="n">
        <v>44459</v>
      </c>
      <c r="C1973" s="13" t="inlineStr">
        <is>
          <t>VTA</t>
        </is>
      </c>
      <c r="D1973" s="13" t="n">
        <v>41</v>
      </c>
      <c r="E1973" s="10">
        <f>IF(D1973&gt;0,VLOOKUP(OPERAC[[#This Row],[COD CART]],[1]!MatrizCortoLargoCyl[#All],3,0),"")</f>
        <v/>
      </c>
      <c r="F1973" s="13" t="inlineStr">
        <is>
          <t>JEPI</t>
        </is>
      </c>
      <c r="G1973" s="6" t="n">
        <v>5</v>
      </c>
      <c r="H1973" s="6" t="n">
        <v>-304.25</v>
      </c>
      <c r="I1973" s="7">
        <f>-H1973/G1973</f>
        <v/>
      </c>
      <c r="J1973" s="11" t="n"/>
      <c r="K1973" s="6" t="n"/>
      <c r="L1973" s="6" t="n"/>
      <c r="M1973" s="7">
        <f>IF(N1973=0,+L1973+H1973,0)</f>
        <v/>
      </c>
      <c r="N1973" s="7">
        <f>IF((+G1973-K1973)=0,0,+G1973-K1973)</f>
        <v/>
      </c>
      <c r="O1973" s="7">
        <f>IF(N1973=0,0,(L1973+H1973)/-N1973)</f>
        <v/>
      </c>
      <c r="P1973" s="7">
        <f>VLOOKUP(OPERAC[[#This Row],[especie]],[1]!ESPECIES[#All],6,0)</f>
        <v/>
      </c>
      <c r="Q1973" s="7">
        <f>IF(N1973&lt;&gt;0,P1973*N1973,0)</f>
        <v/>
      </c>
      <c r="R1973" s="8">
        <f>IF(Q1973&lt;&gt;0,Q1973+H1973+L1973,0)</f>
        <v/>
      </c>
      <c r="S1973" s="9">
        <f>VLOOKUP(OPERAC[[#This Row],[especie]],[1]!ESPECIES[#Data],9,FALSE)</f>
        <v/>
      </c>
    </row>
    <row r="1974">
      <c r="A1974" s="4" t="n">
        <v>13253</v>
      </c>
      <c r="B1974" s="5" t="n">
        <v>44552</v>
      </c>
      <c r="C1974" s="13" t="inlineStr">
        <is>
          <t>VTA</t>
        </is>
      </c>
      <c r="D1974" s="13" t="n">
        <v>41</v>
      </c>
      <c r="E1974" s="10">
        <f>IF(D1974&gt;0,VLOOKUP(OPERAC[[#This Row],[COD CART]],[1]!MatrizCortoLargoCyl[#All],3,0),"")</f>
        <v/>
      </c>
      <c r="F1974" s="13" t="inlineStr">
        <is>
          <t>HIPS</t>
        </is>
      </c>
      <c r="G1974" s="6" t="n">
        <v>20</v>
      </c>
      <c r="H1974" s="6" t="n">
        <v>-304.408</v>
      </c>
      <c r="I1974" s="7">
        <f>-H1974/G1974</f>
        <v/>
      </c>
      <c r="J1974" s="11" t="n"/>
      <c r="K1974" s="6" t="n"/>
      <c r="L1974" s="6" t="n"/>
      <c r="M1974" s="7">
        <f>IF(N1974=0,+L1974+H1974,0)</f>
        <v/>
      </c>
      <c r="N1974" s="7">
        <f>IF((+G1974-K1974)=0,0,+G1974-K1974)</f>
        <v/>
      </c>
      <c r="O1974" s="7">
        <f>IF(N1974=0,0,(L1974+H1974)/-N1974)</f>
        <v/>
      </c>
      <c r="P1974" s="7">
        <f>VLOOKUP(OPERAC[[#This Row],[especie]],[1]!ESPECIES[#All],6,0)</f>
        <v/>
      </c>
      <c r="Q1974" s="7">
        <f>IF(N1974&lt;&gt;0,P1974*N1974,0)</f>
        <v/>
      </c>
      <c r="R1974" s="8">
        <f>IF(Q1974&lt;&gt;0,Q1974+H1974+L1974,0)</f>
        <v/>
      </c>
      <c r="S1974" s="9">
        <f>VLOOKUP(OPERAC[[#This Row],[especie]],[1]!ESPECIES[#Data],9,FALSE)</f>
        <v/>
      </c>
    </row>
    <row r="1975">
      <c r="A1975" s="4" t="n">
        <v>16832</v>
      </c>
      <c r="B1975" s="5" t="n">
        <v>44503</v>
      </c>
      <c r="C1975" s="13" t="inlineStr">
        <is>
          <t>VTA</t>
        </is>
      </c>
      <c r="D1975" s="13" t="n">
        <v>41</v>
      </c>
      <c r="E1975" s="10">
        <f>IF(D1975&gt;0,VLOOKUP(OPERAC[[#This Row],[COD CART]],[1]!MatrizCortoLargoCyl[#All],3,0),"")</f>
        <v/>
      </c>
      <c r="F1975" s="13" t="inlineStr">
        <is>
          <t>AAPL</t>
        </is>
      </c>
      <c r="G1975" s="6" t="n">
        <v>2</v>
      </c>
      <c r="H1975" s="6" t="n">
        <v>-304.509</v>
      </c>
      <c r="I1975" s="7">
        <f>-H1975/G1975</f>
        <v/>
      </c>
      <c r="J1975" s="11" t="n"/>
      <c r="K1975" s="6" t="n"/>
      <c r="L1975" s="6" t="n"/>
      <c r="M1975" s="7">
        <f>IF(N1975=0,+L1975+H1975,0)</f>
        <v/>
      </c>
      <c r="N1975" s="7">
        <f>IF((+G1975-K1975)=0,0,+G1975-K1975)</f>
        <v/>
      </c>
      <c r="O1975" s="7">
        <f>IF(N1975=0,0,(L1975+H1975)/-N1975)</f>
        <v/>
      </c>
      <c r="P1975" s="7">
        <f>VLOOKUP(OPERAC[[#This Row],[especie]],[1]!ESPECIES[#All],6,0)</f>
        <v/>
      </c>
      <c r="Q1975" s="7">
        <f>IF(N1975&lt;&gt;0,P1975*N1975,0)</f>
        <v/>
      </c>
      <c r="R1975" s="8">
        <f>IF(Q1975&lt;&gt;0,Q1975+H1975+L1975,0)</f>
        <v/>
      </c>
      <c r="S1975" s="9">
        <f>VLOOKUP(OPERAC[[#This Row],[especie]],[1]!ESPECIES[#Data],9,FALSE)</f>
        <v/>
      </c>
    </row>
    <row r="1976">
      <c r="A1976" s="4" t="n">
        <v>11168</v>
      </c>
      <c r="B1976" s="5" t="n">
        <v>44586</v>
      </c>
      <c r="C1976" s="13" t="inlineStr">
        <is>
          <t>VTA</t>
        </is>
      </c>
      <c r="D1976" s="13" t="n">
        <v>43</v>
      </c>
      <c r="E1976" s="10">
        <f>IF(D1976&gt;0,VLOOKUP(OPERAC[[#This Row],[COD CART]],[1]!MatrizCortoLargoCyl[#All],3,0),"")</f>
        <v/>
      </c>
      <c r="F1976" s="13" t="inlineStr">
        <is>
          <t>GMBL/CYL-PUT/2,50/20-01-23</t>
        </is>
      </c>
      <c r="G1976" s="6" t="n">
        <v>300</v>
      </c>
      <c r="H1976" s="6" t="n">
        <v>-304.8143</v>
      </c>
      <c r="I1976" s="7">
        <f>-H1976/G1976</f>
        <v/>
      </c>
      <c r="J1976" s="11" t="n">
        <v>44708</v>
      </c>
      <c r="K1976" s="6" t="n">
        <v>300</v>
      </c>
      <c r="L1976" s="6" t="n">
        <v>-570.38</v>
      </c>
      <c r="M1976" s="7">
        <f>IF(N1976=0,+L1976+H1976,0)</f>
        <v/>
      </c>
      <c r="N1976" s="7">
        <f>IF((+G1976-K1976)=0,0,+G1976-K1976)</f>
        <v/>
      </c>
      <c r="O1976" s="7">
        <f>IF(N1976=0,0,(L1976+H1976)/-N1976)</f>
        <v/>
      </c>
      <c r="P1976" s="7">
        <f>VLOOKUP(OPERAC[[#This Row],[especie]],[1]!ESPECIES[#All],6,0)</f>
        <v/>
      </c>
      <c r="Q1976" s="7">
        <f>IF(N1976&lt;&gt;0,P1976*N1976,0)</f>
        <v/>
      </c>
      <c r="R1976" s="8">
        <f>IF(Q1976&lt;&gt;0,Q1976+H1976+L1976,0)</f>
        <v/>
      </c>
      <c r="S1976" s="9">
        <f>VLOOKUP(OPERAC[[#This Row],[especie]],[1]!ESPECIES[#Data],9,FALSE)</f>
        <v/>
      </c>
    </row>
    <row r="1977">
      <c r="A1977" s="4" t="n">
        <v>12686</v>
      </c>
      <c r="B1977" s="5" t="n">
        <v>44586</v>
      </c>
      <c r="C1977" s="13" t="inlineStr">
        <is>
          <t>VTA</t>
        </is>
      </c>
      <c r="D1977" s="13" t="n">
        <v>43</v>
      </c>
      <c r="E1977" s="10">
        <f>IF(D1977&gt;0,VLOOKUP(OPERAC[[#This Row],[COD CART]],[1]!MatrizCortoLargoCyl[#All],3,0),"")</f>
        <v/>
      </c>
      <c r="F1977" s="13" t="inlineStr">
        <is>
          <t>GMBL/CYL-PUT/2,50/20-01-23</t>
        </is>
      </c>
      <c r="G1977" s="6" t="n">
        <v>300</v>
      </c>
      <c r="H1977" s="6" t="n">
        <v>-304.8143</v>
      </c>
      <c r="I1977" s="7">
        <f>-H1977/G1977</f>
        <v/>
      </c>
      <c r="J1977" s="11" t="n">
        <v>44705</v>
      </c>
      <c r="K1977" s="6" t="n">
        <v>300</v>
      </c>
      <c r="L1977" s="6" t="n">
        <v>-600.28</v>
      </c>
      <c r="M1977" s="7">
        <f>IF(N1977=0,+L1977+H1977,0)</f>
        <v/>
      </c>
      <c r="N1977" s="7">
        <f>IF((+G1977-K1977)=0,0,+G1977-K1977)</f>
        <v/>
      </c>
      <c r="O1977" s="7">
        <f>IF(N1977=0,0,(L1977+H1977)/-N1977)</f>
        <v/>
      </c>
      <c r="P1977" s="7">
        <f>VLOOKUP(OPERAC[[#This Row],[especie]],[1]!ESPECIES[#All],6,0)</f>
        <v/>
      </c>
      <c r="Q1977" s="7">
        <f>IF(N1977&lt;&gt;0,P1977*N1977,0)</f>
        <v/>
      </c>
      <c r="R1977" s="8">
        <f>IF(Q1977&lt;&gt;0,Q1977+H1977+L1977,0)</f>
        <v/>
      </c>
      <c r="S1977" s="9">
        <f>VLOOKUP(OPERAC[[#This Row],[especie]],[1]!ESPECIES[#Data],9,FALSE)</f>
        <v/>
      </c>
    </row>
    <row r="1978">
      <c r="A1978" s="4" t="n">
        <v>12688</v>
      </c>
      <c r="B1978" s="5" t="n">
        <v>44586</v>
      </c>
      <c r="C1978" s="13" t="inlineStr">
        <is>
          <t>VTA</t>
        </is>
      </c>
      <c r="D1978" s="13" t="n">
        <v>43</v>
      </c>
      <c r="E1978" s="10">
        <f>IF(D1978&gt;0,VLOOKUP(OPERAC[[#This Row],[COD CART]],[1]!MatrizCortoLargoCyl[#All],3,0),"")</f>
        <v/>
      </c>
      <c r="F1978" s="13" t="inlineStr">
        <is>
          <t>GMBL/CYL-PUT/2,50/20-01-23</t>
        </is>
      </c>
      <c r="G1978" s="6" t="n">
        <v>300</v>
      </c>
      <c r="H1978" s="6" t="n">
        <v>-304.8143</v>
      </c>
      <c r="I1978" s="7">
        <f>-H1978/G1978</f>
        <v/>
      </c>
      <c r="J1978" s="11" t="n">
        <v>44636</v>
      </c>
      <c r="K1978" s="6" t="n">
        <v>300</v>
      </c>
      <c r="L1978" s="6">
        <f>-1.36*OPERAC[[#This Row],[cantidad venta]]</f>
        <v/>
      </c>
      <c r="M1978" s="7">
        <f>IF(N1978=0,+L1978+H1978,0)</f>
        <v/>
      </c>
      <c r="N1978" s="7">
        <f>IF((+G1978-K1978)=0,0,+G1978-K1978)</f>
        <v/>
      </c>
      <c r="O1978" s="7">
        <f>IF(N1978=0,0,(L1978+H1978)/-N1978)</f>
        <v/>
      </c>
      <c r="P1978" s="7">
        <f>VLOOKUP(OPERAC[[#This Row],[especie]],[1]!ESPECIES[#All],6,0)</f>
        <v/>
      </c>
      <c r="Q1978" s="7">
        <f>IF(N1978&lt;&gt;0,P1978*N1978,0)</f>
        <v/>
      </c>
      <c r="R1978" s="8">
        <f>IF(Q1978&lt;&gt;0,Q1978+H1978+L1978,0)</f>
        <v/>
      </c>
      <c r="S1978" s="9">
        <f>VLOOKUP(OPERAC[[#This Row],[especie]],[1]!ESPECIES[#Data],9,FALSE)</f>
        <v/>
      </c>
    </row>
    <row r="1979">
      <c r="A1979" s="4" t="n">
        <v>21070</v>
      </c>
      <c r="B1979" s="5" t="n">
        <v>44586</v>
      </c>
      <c r="C1979" s="13" t="inlineStr">
        <is>
          <t>VTA</t>
        </is>
      </c>
      <c r="D1979" s="13" t="n">
        <v>43</v>
      </c>
      <c r="E1979" s="10">
        <f>IF(D1979&gt;0,VLOOKUP(OPERAC[[#This Row],[COD CART]],[1]!MatrizCortoLargoCyl[#All],3,0),"")</f>
        <v/>
      </c>
      <c r="F1979" s="13" t="inlineStr">
        <is>
          <t>GMBL/CYL-PUT/2,50/20-01-23</t>
        </is>
      </c>
      <c r="G1979" s="6" t="n">
        <v>300</v>
      </c>
      <c r="H1979" s="6" t="n">
        <v>-304.8143000000001</v>
      </c>
      <c r="I1979" s="7">
        <f>-H1979/G1979</f>
        <v/>
      </c>
      <c r="J1979" s="11" t="n">
        <v>44645</v>
      </c>
      <c r="K1979" s="6" t="n">
        <v>300</v>
      </c>
      <c r="L1979" s="6" t="n">
        <v>-365.41</v>
      </c>
      <c r="M1979" s="7">
        <f>IF(N1979=0,+L1979+H1979,0)</f>
        <v/>
      </c>
      <c r="N1979" s="7">
        <f>IF((+G1979-K1979)=0,0,+G1979-K1979)</f>
        <v/>
      </c>
      <c r="O1979" s="7">
        <f>IF(N1979=0,0,(L1979+H1979)/-N1979)</f>
        <v/>
      </c>
      <c r="P1979" s="7">
        <f>VLOOKUP(OPERAC[[#This Row],[especie]],[1]!ESPECIES[#All],6,0)</f>
        <v/>
      </c>
      <c r="Q1979" s="7">
        <f>IF(N1979&lt;&gt;0,P1979*N1979,0)</f>
        <v/>
      </c>
      <c r="R1979" s="8">
        <f>IF(Q1979&lt;&gt;0,Q1979+H1979+L1979,0)</f>
        <v/>
      </c>
      <c r="S1979" s="9">
        <f>VLOOKUP(OPERAC[[#This Row],[especie]],[1]!ESPECIES[#Data],9,FALSE)</f>
        <v/>
      </c>
    </row>
    <row r="1980">
      <c r="A1980" s="4" t="n">
        <v>13253</v>
      </c>
      <c r="B1980" s="5" t="n">
        <v>44531</v>
      </c>
      <c r="C1980" s="13" t="inlineStr">
        <is>
          <t>VTA</t>
        </is>
      </c>
      <c r="D1980" s="13" t="n">
        <v>41</v>
      </c>
      <c r="E1980" s="10">
        <f>IF(D1980&gt;0,VLOOKUP(OPERAC[[#This Row],[COD CART]],[1]!MatrizCortoLargoCyl[#All],3,0),"")</f>
        <v/>
      </c>
      <c r="F1980" s="13" t="inlineStr">
        <is>
          <t>JEPI</t>
        </is>
      </c>
      <c r="G1980" s="6" t="n">
        <v>5</v>
      </c>
      <c r="H1980" s="6" t="n">
        <v>-305.021</v>
      </c>
      <c r="I1980" s="7">
        <f>-H1980/G1980</f>
        <v/>
      </c>
      <c r="J1980" s="11" t="n"/>
      <c r="K1980" s="6" t="n"/>
      <c r="L1980" s="6" t="n"/>
      <c r="M1980" s="7">
        <f>IF(N1980=0,+L1980+H1980,0)</f>
        <v/>
      </c>
      <c r="N1980" s="7">
        <f>IF((+G1980-K1980)=0,0,+G1980-K1980)</f>
        <v/>
      </c>
      <c r="O1980" s="7">
        <f>IF(N1980=0,0,(L1980+H1980)/-N1980)</f>
        <v/>
      </c>
      <c r="P1980" s="7">
        <f>VLOOKUP(OPERAC[[#This Row],[especie]],[1]!ESPECIES[#All],6,0)</f>
        <v/>
      </c>
      <c r="Q1980" s="7">
        <f>IF(N1980&lt;&gt;0,P1980*N1980,0)</f>
        <v/>
      </c>
      <c r="R1980" s="8">
        <f>IF(Q1980&lt;&gt;0,Q1980+H1980+L1980,0)</f>
        <v/>
      </c>
      <c r="S1980" s="9">
        <f>VLOOKUP(OPERAC[[#This Row],[especie]],[1]!ESPECIES[#Data],9,FALSE)</f>
        <v/>
      </c>
    </row>
    <row r="1981">
      <c r="A1981" s="4" t="n">
        <v>18663</v>
      </c>
      <c r="B1981" s="5" t="n">
        <v>44533</v>
      </c>
      <c r="C1981" s="13" t="inlineStr">
        <is>
          <t>VTA</t>
        </is>
      </c>
      <c r="D1981" s="13" t="n">
        <v>41</v>
      </c>
      <c r="E1981" s="10">
        <f>IF(D1981&gt;0,VLOOKUP(OPERAC[[#This Row],[COD CART]],[1]!MatrizCortoLargoCyl[#All],3,0),"")</f>
        <v/>
      </c>
      <c r="F1981" s="13" t="inlineStr">
        <is>
          <t>JEPI</t>
        </is>
      </c>
      <c r="G1981" s="6" t="n">
        <v>5</v>
      </c>
      <c r="H1981" s="6" t="n">
        <v>-305.618</v>
      </c>
      <c r="I1981" s="7">
        <f>-H1981/G1981</f>
        <v/>
      </c>
      <c r="J1981" s="11" t="n"/>
      <c r="K1981" s="6" t="n"/>
      <c r="L1981" s="6" t="n"/>
      <c r="M1981" s="7">
        <f>IF(N1981=0,+L1981+H1981,0)</f>
        <v/>
      </c>
      <c r="N1981" s="7">
        <f>IF((+G1981-K1981)=0,0,+G1981-K1981)</f>
        <v/>
      </c>
      <c r="O1981" s="7">
        <f>IF(N1981=0,0,(L1981+H1981)/-N1981)</f>
        <v/>
      </c>
      <c r="P1981" s="7">
        <f>VLOOKUP(OPERAC[[#This Row],[especie]],[1]!ESPECIES[#All],6,0)</f>
        <v/>
      </c>
      <c r="Q1981" s="7">
        <f>IF(N1981&lt;&gt;0,P1981*N1981,0)</f>
        <v/>
      </c>
      <c r="R1981" s="8">
        <f>IF(Q1981&lt;&gt;0,Q1981+H1981+L1981,0)</f>
        <v/>
      </c>
      <c r="S1981" s="9">
        <f>VLOOKUP(OPERAC[[#This Row],[especie]],[1]!ESPECIES[#Data],9,FALSE)</f>
        <v/>
      </c>
    </row>
    <row r="1982">
      <c r="A1982" s="4" t="n">
        <v>13253</v>
      </c>
      <c r="B1982" s="5" t="n">
        <v>44589</v>
      </c>
      <c r="C1982" s="13" t="inlineStr">
        <is>
          <t>VTA</t>
        </is>
      </c>
      <c r="D1982" s="13" t="n">
        <v>41</v>
      </c>
      <c r="E1982" s="10">
        <f>IF(D1982&gt;0,VLOOKUP(OPERAC[[#This Row],[COD CART]],[1]!MatrizCortoLargoCyl[#All],3,0),"")</f>
        <v/>
      </c>
      <c r="F1982" s="13" t="inlineStr">
        <is>
          <t>HIMX</t>
        </is>
      </c>
      <c r="G1982" s="6" t="n">
        <v>30</v>
      </c>
      <c r="H1982" s="6" t="n">
        <v>-305.8192</v>
      </c>
      <c r="I1982" s="7">
        <f>-H1982/G1982</f>
        <v/>
      </c>
      <c r="J1982" s="11" t="n"/>
      <c r="K1982" s="6" t="n"/>
      <c r="L1982" s="6" t="n"/>
      <c r="M1982" s="7">
        <f>IF(N1982=0,+L1982+H1982,0)</f>
        <v/>
      </c>
      <c r="N1982" s="7">
        <f>IF((+G1982-K1982)=0,0,+G1982-K1982)</f>
        <v/>
      </c>
      <c r="O1982" s="7">
        <f>IF(N1982=0,0,(L1982+H1982)/-N1982)</f>
        <v/>
      </c>
      <c r="P1982" s="7">
        <f>VLOOKUP(OPERAC[[#This Row],[especie]],[1]!ESPECIES[#All],6,0)</f>
        <v/>
      </c>
      <c r="Q1982" s="7">
        <f>IF(N1982&lt;&gt;0,P1982*N1982,0)</f>
        <v/>
      </c>
      <c r="R1982" s="8">
        <f>IF(Q1982&lt;&gt;0,Q1982+H1982+L1982,0)</f>
        <v/>
      </c>
      <c r="S1982" s="9">
        <f>VLOOKUP(OPERAC[[#This Row],[especie]],[1]!ESPECIES[#Data],9,FALSE)</f>
        <v/>
      </c>
    </row>
    <row r="1983">
      <c r="A1983" s="4" t="n">
        <v>17042</v>
      </c>
      <c r="B1983" s="5" t="n">
        <v>44691</v>
      </c>
      <c r="C1983" s="2" t="inlineStr">
        <is>
          <t>VTA</t>
        </is>
      </c>
      <c r="D1983" s="13" t="n">
        <v>40</v>
      </c>
      <c r="E1983" s="10">
        <f>IF(D1983&gt;0,VLOOKUP(OPERAC[[#This Row],[COD CART]],[1]!MatrizCortoLargoCyl[#All],3,0),"")</f>
        <v/>
      </c>
      <c r="F1983" s="13" t="inlineStr">
        <is>
          <t>QQQ</t>
        </is>
      </c>
      <c r="G1983" s="6" t="n">
        <v>1</v>
      </c>
      <c r="H1983" s="6" t="n">
        <v>-305.969</v>
      </c>
      <c r="I1983" s="7">
        <f>-H1983/G1983</f>
        <v/>
      </c>
      <c r="J1983" s="11" t="n"/>
      <c r="K1983" s="6" t="n"/>
      <c r="L1983" s="6" t="n"/>
      <c r="M1983" s="7">
        <f>IF(N1983=0,+L1983+H1983,0)</f>
        <v/>
      </c>
      <c r="N1983" s="7">
        <f>IF((+G1983-K1983)=0,0,+G1983-K1983)</f>
        <v/>
      </c>
      <c r="O1983" s="7">
        <f>IF(N1983=0,0,(L1983+H1983)/-N1983)</f>
        <v/>
      </c>
      <c r="P1983" s="7">
        <f>VLOOKUP(OPERAC[[#This Row],[especie]],[1]!ESPECIES[#All],6,0)</f>
        <v/>
      </c>
      <c r="Q1983" s="7">
        <f>IF(N1983&lt;&gt;0,P1983*N1983,0)</f>
        <v/>
      </c>
      <c r="R1983" s="8">
        <f>IF(Q1983&lt;&gt;0,Q1983+H1983+L1983,0)</f>
        <v/>
      </c>
      <c r="S1983" s="9">
        <f>VLOOKUP(OPERAC[[#This Row],[especie]],[1]!ESPECIES[#Data],9,FALSE)</f>
        <v/>
      </c>
    </row>
    <row r="1984">
      <c r="A1984" s="4" t="n">
        <v>18663</v>
      </c>
      <c r="B1984" s="5" t="n">
        <v>44211</v>
      </c>
      <c r="C1984" s="13" t="inlineStr">
        <is>
          <t>VTA</t>
        </is>
      </c>
      <c r="D1984" s="13" t="n">
        <v>41</v>
      </c>
      <c r="E1984" s="10">
        <f>IF(D1984&gt;0,VLOOKUP(OPERAC[[#This Row],[COD CART]],[1]!MatrizCortoLargoCyl[#All],3,0),"")</f>
        <v/>
      </c>
      <c r="F1984" s="13" t="inlineStr">
        <is>
          <t>ACB</t>
        </is>
      </c>
      <c r="G1984" s="6" t="n">
        <v>17</v>
      </c>
      <c r="H1984" s="6" t="n">
        <v>-306</v>
      </c>
      <c r="I1984" s="7">
        <f>-H1984/G1984</f>
        <v/>
      </c>
      <c r="J1984" s="11" t="n"/>
      <c r="K1984" s="6" t="n"/>
      <c r="L1984" s="6" t="n"/>
      <c r="M1984" s="7">
        <f>IF(N1984=0,+L1984+H1984,0)</f>
        <v/>
      </c>
      <c r="N1984" s="7">
        <f>IF((+G1984-K1984)=0,0,+G1984-K1984)</f>
        <v/>
      </c>
      <c r="O1984" s="7">
        <f>IF(N1984=0,0,(L1984+H1984)/-N1984)</f>
        <v/>
      </c>
      <c r="P1984" s="7">
        <f>VLOOKUP(OPERAC[[#This Row],[especie]],[1]!ESPECIES[#All],6,0)</f>
        <v/>
      </c>
      <c r="Q1984" s="7">
        <f>IF(N1984&lt;&gt;0,P1984*N1984,0)</f>
        <v/>
      </c>
      <c r="R1984" s="8">
        <f>IF(Q1984&lt;&gt;0,Q1984+H1984+L1984,0)</f>
        <v/>
      </c>
      <c r="S1984" s="9">
        <f>VLOOKUP(OPERAC[[#This Row],[especie]],[1]!ESPECIES[#Data],9,FALSE)</f>
        <v/>
      </c>
    </row>
    <row r="1985">
      <c r="A1985" s="4" t="n">
        <v>3867</v>
      </c>
      <c r="B1985" s="5" t="n">
        <v>44644</v>
      </c>
      <c r="C1985" s="13" t="inlineStr">
        <is>
          <t>VTA</t>
        </is>
      </c>
      <c r="D1985" s="13" t="n">
        <v>32</v>
      </c>
      <c r="E1985" s="10">
        <f>IF(D1985&gt;0,VLOOKUP(OPERAC[[#This Row],[COD CART]],[1]!MatrizCortoLargoCyl[#All],3,0),"")</f>
        <v/>
      </c>
      <c r="F1985" s="13" t="inlineStr">
        <is>
          <t>LAC/BULL/30,00-35,00/14-04-22</t>
        </is>
      </c>
      <c r="G1985" s="6" t="n">
        <v>100</v>
      </c>
      <c r="H1985" s="6">
        <f>-3262.4185+3760.862-805.1</f>
        <v/>
      </c>
      <c r="I1985" s="7">
        <f>-H1985/G1985</f>
        <v/>
      </c>
      <c r="J1985" s="11" t="n">
        <v>44665</v>
      </c>
      <c r="K1985" s="6" t="n">
        <v>100</v>
      </c>
      <c r="L1985" s="6" t="n">
        <v>0</v>
      </c>
      <c r="M1985" s="7">
        <f>IF(N1985=0,+L1985+H1985,0)</f>
        <v/>
      </c>
      <c r="N1985" s="7">
        <f>IF((+G1985-K1985)=0,0,+G1985-K1985)</f>
        <v/>
      </c>
      <c r="O1985" s="7">
        <f>IF(N1985=0,0,(L1985+H1985)/-N1985)</f>
        <v/>
      </c>
      <c r="P1985" s="7">
        <f>VLOOKUP(OPERAC[[#This Row],[especie]],[1]!ESPECIES[#All],6,0)</f>
        <v/>
      </c>
      <c r="Q1985" s="7">
        <f>IF(N1985&lt;&gt;0,P1985*N1985,0)</f>
        <v/>
      </c>
      <c r="R1985" s="8">
        <f>IF(Q1985&lt;&gt;0,Q1985+H1985+L1985,0)</f>
        <v/>
      </c>
      <c r="S1985" s="9">
        <f>VLOOKUP(OPERAC[[#This Row],[especie]],[1]!ESPECIES[#Data],9,FALSE)</f>
        <v/>
      </c>
    </row>
    <row r="1986">
      <c r="A1986" s="4" t="n">
        <v>16829</v>
      </c>
      <c r="B1986" s="5" t="n">
        <v>44575</v>
      </c>
      <c r="C1986" s="13" t="inlineStr">
        <is>
          <t>VTA</t>
        </is>
      </c>
      <c r="D1986" s="13" t="n">
        <v>40</v>
      </c>
      <c r="E1986" s="10">
        <f>IF(D1986&gt;0,VLOOKUP(OPERAC[[#This Row],[COD CART]],[1]!MatrizCortoLargoCyl[#All],3,0),"")</f>
        <v/>
      </c>
      <c r="F1986" s="13" t="inlineStr">
        <is>
          <t>GBTC</t>
        </is>
      </c>
      <c r="G1986" s="6" t="n">
        <v>10</v>
      </c>
      <c r="H1986" s="6" t="n">
        <v>-306.8724</v>
      </c>
      <c r="I1986" s="7">
        <f>-H1986/G1986</f>
        <v/>
      </c>
      <c r="J1986" s="11" t="n">
        <v>44651</v>
      </c>
      <c r="K1986" s="6">
        <f>+OPERAC[[#This Row],[cantidad]]</f>
        <v/>
      </c>
      <c r="L1986" s="6">
        <f>+OPERAC[[#This Row],[cantidad venta]]*31.332</f>
        <v/>
      </c>
      <c r="M1986" s="7">
        <f>IF(N1986=0,+L1986+H1986,0)</f>
        <v/>
      </c>
      <c r="N1986" s="7">
        <f>IF((+G1986-K1986)=0,0,+G1986-K1986)</f>
        <v/>
      </c>
      <c r="O1986" s="7">
        <f>IF(N1986=0,0,(L1986+H1986)/-N1986)</f>
        <v/>
      </c>
      <c r="P1986" s="7">
        <f>VLOOKUP(OPERAC[[#This Row],[especie]],[1]!ESPECIES[#All],6,0)</f>
        <v/>
      </c>
      <c r="Q1986" s="7">
        <f>IF(N1986&lt;&gt;0,P1986*N1986,0)</f>
        <v/>
      </c>
      <c r="R1986" s="8">
        <f>IF(Q1986&lt;&gt;0,Q1986+H1986+L1986,0)</f>
        <v/>
      </c>
      <c r="S1986" s="9">
        <f>VLOOKUP(OPERAC[[#This Row],[especie]],[1]!ESPECIES[#Data],9,FALSE)</f>
        <v/>
      </c>
    </row>
    <row r="1987">
      <c r="A1987" s="4" t="n">
        <v>16842</v>
      </c>
      <c r="B1987" s="5" t="n">
        <v>44691</v>
      </c>
      <c r="C1987" s="13" t="inlineStr">
        <is>
          <t>VTA</t>
        </is>
      </c>
      <c r="D1987" s="13" t="n">
        <v>41</v>
      </c>
      <c r="E1987" s="10">
        <f>IF(D1987&gt;0,VLOOKUP(OPERAC[[#This Row],[COD CART]],[1]!MatrizCortoLargoCyl[#All],3,0),"")</f>
        <v/>
      </c>
      <c r="F1987" s="13" t="inlineStr">
        <is>
          <t>QQQ</t>
        </is>
      </c>
      <c r="G1987" s="6" t="n">
        <v>1</v>
      </c>
      <c r="H1987" s="6" t="n">
        <v>-307.03</v>
      </c>
      <c r="I1987" s="7">
        <f>-H1987/G1987</f>
        <v/>
      </c>
      <c r="J1987" s="11" t="n"/>
      <c r="K1987" s="6" t="n"/>
      <c r="L1987" s="6" t="n"/>
      <c r="M1987" s="7">
        <f>IF(N1987=0,+L1987+H1987,0)</f>
        <v/>
      </c>
      <c r="N1987" s="7">
        <f>IF((+G1987-K1987)=0,0,+G1987-K1987)</f>
        <v/>
      </c>
      <c r="O1987" s="7">
        <f>IF(N1987=0,0,(L1987+H1987)/-N1987)</f>
        <v/>
      </c>
      <c r="P1987" s="7">
        <f>VLOOKUP(OPERAC[[#This Row],[especie]],[1]!ESPECIES[#All],6,0)</f>
        <v/>
      </c>
      <c r="Q1987" s="7">
        <f>IF(N1987&lt;&gt;0,P1987*N1987,0)</f>
        <v/>
      </c>
      <c r="R1987" s="8">
        <f>IF(Q1987&lt;&gt;0,Q1987+H1987+L1987,0)</f>
        <v/>
      </c>
      <c r="S1987" s="9">
        <f>VLOOKUP(OPERAC[[#This Row],[especie]],[1]!ESPECIES[#Data],9,FALSE)</f>
        <v/>
      </c>
    </row>
    <row r="1988">
      <c r="A1988" s="4" t="n">
        <v>18663</v>
      </c>
      <c r="B1988" s="5" t="n">
        <v>44376</v>
      </c>
      <c r="C1988" s="13" t="inlineStr">
        <is>
          <t>VTA</t>
        </is>
      </c>
      <c r="D1988" s="13" t="n">
        <v>41</v>
      </c>
      <c r="E1988" s="10">
        <f>IF(D1988&gt;0,VLOOKUP(OPERAC[[#This Row],[COD CART]],[1]!MatrizCortoLargoCyl[#All],3,0),"")</f>
        <v/>
      </c>
      <c r="F1988" s="13" t="inlineStr">
        <is>
          <t>MPW</t>
        </is>
      </c>
      <c r="G1988" s="6" t="n">
        <v>15</v>
      </c>
      <c r="H1988" s="6" t="n">
        <v>-307.558</v>
      </c>
      <c r="I1988" s="7">
        <f>-H1988/G1988</f>
        <v/>
      </c>
      <c r="J1988" s="11" t="n"/>
      <c r="K1988" s="6" t="n"/>
      <c r="L1988" s="6" t="n"/>
      <c r="M1988" s="7">
        <f>IF(N1988=0,+L1988+H1988,0)</f>
        <v/>
      </c>
      <c r="N1988" s="7">
        <f>IF((+G1988-K1988)=0,0,+G1988-K1988)</f>
        <v/>
      </c>
      <c r="O1988" s="7">
        <f>IF(N1988=0,0,(L1988+H1988)/-N1988)</f>
        <v/>
      </c>
      <c r="P1988" s="7">
        <f>VLOOKUP(OPERAC[[#This Row],[especie]],[1]!ESPECIES[#All],6,0)</f>
        <v/>
      </c>
      <c r="Q1988" s="7">
        <f>IF(N1988&lt;&gt;0,P1988*N1988,0)</f>
        <v/>
      </c>
      <c r="R1988" s="8">
        <f>IF(Q1988&lt;&gt;0,Q1988+H1988+L1988,0)</f>
        <v/>
      </c>
      <c r="S1988" s="9">
        <f>VLOOKUP(OPERAC[[#This Row],[especie]],[1]!ESPECIES[#Data],9,FALSE)</f>
        <v/>
      </c>
    </row>
    <row r="1989">
      <c r="A1989" s="4" t="n">
        <v>2194</v>
      </c>
      <c r="B1989" s="5" t="n">
        <v>44575</v>
      </c>
      <c r="C1989" s="13" t="inlineStr">
        <is>
          <t>VTA</t>
        </is>
      </c>
      <c r="D1989" s="13" t="n">
        <v>40</v>
      </c>
      <c r="E1989" s="10">
        <f>IF(D1989&gt;0,VLOOKUP(OPERAC[[#This Row],[COD CART]],[1]!MatrizCortoLargoCyl[#All],3,0),"")</f>
        <v/>
      </c>
      <c r="F1989" s="13" t="inlineStr">
        <is>
          <t>GBTC</t>
        </is>
      </c>
      <c r="G1989" s="6" t="n">
        <v>10</v>
      </c>
      <c r="H1989" s="6" t="n">
        <v>-308.0948</v>
      </c>
      <c r="I1989" s="7">
        <f>-H1989/G1989</f>
        <v/>
      </c>
      <c r="J1989" s="11" t="n">
        <v>44651</v>
      </c>
      <c r="K1989" s="6">
        <f>+OPERAC[[#This Row],[cantidad]]</f>
        <v/>
      </c>
      <c r="L1989" s="6">
        <f>+OPERAC[[#This Row],[cantidad venta]]*31.332</f>
        <v/>
      </c>
      <c r="M1989" s="7">
        <f>IF(N1989=0,+L1989+H1989,0)</f>
        <v/>
      </c>
      <c r="N1989" s="7">
        <f>IF((+G1989-K1989)=0,0,+G1989-K1989)</f>
        <v/>
      </c>
      <c r="O1989" s="7">
        <f>IF(N1989=0,0,(L1989+H1989)/-N1989)</f>
        <v/>
      </c>
      <c r="P1989" s="7">
        <f>VLOOKUP(OPERAC[[#This Row],[especie]],[1]!ESPECIES[#All],6,0)</f>
        <v/>
      </c>
      <c r="Q1989" s="7">
        <f>IF(N1989&lt;&gt;0,P1989*N1989,0)</f>
        <v/>
      </c>
      <c r="R1989" s="8">
        <f>IF(Q1989&lt;&gt;0,Q1989+H1989+L1989,0)</f>
        <v/>
      </c>
      <c r="S1989" s="9">
        <f>VLOOKUP(OPERAC[[#This Row],[especie]],[1]!ESPECIES[#Data],9,FALSE)</f>
        <v/>
      </c>
    </row>
    <row r="1990">
      <c r="A1990" s="4" t="n">
        <v>2203</v>
      </c>
      <c r="B1990" s="5" t="n">
        <v>44575</v>
      </c>
      <c r="C1990" s="13" t="inlineStr">
        <is>
          <t>VTA</t>
        </is>
      </c>
      <c r="D1990" s="13" t="n">
        <v>40</v>
      </c>
      <c r="E1990" s="10">
        <f>IF(D1990&gt;0,VLOOKUP(OPERAC[[#This Row],[COD CART]],[1]!MatrizCortoLargoCyl[#All],3,0),"")</f>
        <v/>
      </c>
      <c r="F1990" s="13" t="inlineStr">
        <is>
          <t>GBTC</t>
        </is>
      </c>
      <c r="G1990" s="6" t="n">
        <v>10</v>
      </c>
      <c r="H1990" s="6" t="n">
        <v>-308.0948</v>
      </c>
      <c r="I1990" s="7">
        <f>-H1990/G1990</f>
        <v/>
      </c>
      <c r="J1990" s="11" t="n">
        <v>44651</v>
      </c>
      <c r="K1990" s="6">
        <f>+OPERAC[[#This Row],[cantidad]]</f>
        <v/>
      </c>
      <c r="L1990" s="6">
        <f>+OPERAC[[#This Row],[cantidad venta]]*31.332</f>
        <v/>
      </c>
      <c r="M1990" s="7">
        <f>IF(N1990=0,+L1990+H1990,0)</f>
        <v/>
      </c>
      <c r="N1990" s="7">
        <f>IF((+G1990-K1990)=0,0,+G1990-K1990)</f>
        <v/>
      </c>
      <c r="O1990" s="7">
        <f>IF(N1990=0,0,(L1990+H1990)/-N1990)</f>
        <v/>
      </c>
      <c r="P1990" s="7">
        <f>VLOOKUP(OPERAC[[#This Row],[especie]],[1]!ESPECIES[#All],6,0)</f>
        <v/>
      </c>
      <c r="Q1990" s="7">
        <f>IF(N1990&lt;&gt;0,P1990*N1990,0)</f>
        <v/>
      </c>
      <c r="R1990" s="8">
        <f>IF(Q1990&lt;&gt;0,Q1990+H1990+L1990,0)</f>
        <v/>
      </c>
      <c r="S1990" s="9">
        <f>VLOOKUP(OPERAC[[#This Row],[especie]],[1]!ESPECIES[#Data],9,FALSE)</f>
        <v/>
      </c>
    </row>
    <row r="1991">
      <c r="A1991" s="4" t="n">
        <v>2253</v>
      </c>
      <c r="B1991" s="5" t="n">
        <v>44575</v>
      </c>
      <c r="C1991" s="13" t="inlineStr">
        <is>
          <t>VTA</t>
        </is>
      </c>
      <c r="D1991" s="13" t="n">
        <v>40</v>
      </c>
      <c r="E1991" s="10">
        <f>IF(D1991&gt;0,VLOOKUP(OPERAC[[#This Row],[COD CART]],[1]!MatrizCortoLargoCyl[#All],3,0),"")</f>
        <v/>
      </c>
      <c r="F1991" s="13" t="inlineStr">
        <is>
          <t>GBTC</t>
        </is>
      </c>
      <c r="G1991" s="6" t="n">
        <v>10</v>
      </c>
      <c r="H1991" s="6" t="n">
        <v>-308.0948</v>
      </c>
      <c r="I1991" s="7">
        <f>-H1991/G1991</f>
        <v/>
      </c>
      <c r="J1991" s="11" t="n">
        <v>44651</v>
      </c>
      <c r="K1991" s="6">
        <f>+OPERAC[[#This Row],[cantidad]]</f>
        <v/>
      </c>
      <c r="L1991" s="6">
        <f>+OPERAC[[#This Row],[cantidad venta]]*31.332</f>
        <v/>
      </c>
      <c r="M1991" s="7">
        <f>IF(N1991=0,+L1991+H1991,0)</f>
        <v/>
      </c>
      <c r="N1991" s="7">
        <f>IF((+G1991-K1991)=0,0,+G1991-K1991)</f>
        <v/>
      </c>
      <c r="O1991" s="7">
        <f>IF(N1991=0,0,(L1991+H1991)/-N1991)</f>
        <v/>
      </c>
      <c r="P1991" s="7">
        <f>VLOOKUP(OPERAC[[#This Row],[especie]],[1]!ESPECIES[#All],6,0)</f>
        <v/>
      </c>
      <c r="Q1991" s="7">
        <f>IF(N1991&lt;&gt;0,P1991*N1991,0)</f>
        <v/>
      </c>
      <c r="R1991" s="8">
        <f>IF(Q1991&lt;&gt;0,Q1991+H1991+L1991,0)</f>
        <v/>
      </c>
      <c r="S1991" s="9">
        <f>VLOOKUP(OPERAC[[#This Row],[especie]],[1]!ESPECIES[#Data],9,FALSE)</f>
        <v/>
      </c>
    </row>
    <row r="1992">
      <c r="A1992" s="4" t="n">
        <v>7493</v>
      </c>
      <c r="B1992" s="5" t="n">
        <v>44575</v>
      </c>
      <c r="C1992" s="13" t="inlineStr">
        <is>
          <t>VTA</t>
        </is>
      </c>
      <c r="D1992" s="13" t="n">
        <v>40</v>
      </c>
      <c r="E1992" s="10">
        <f>IF(D1992&gt;0,VLOOKUP(OPERAC[[#This Row],[COD CART]],[1]!MatrizCortoLargoCyl[#All],3,0),"")</f>
        <v/>
      </c>
      <c r="F1992" s="13" t="inlineStr">
        <is>
          <t>GBTC</t>
        </is>
      </c>
      <c r="G1992" s="6" t="n">
        <v>10</v>
      </c>
      <c r="H1992" s="6" t="n">
        <v>-308.0948</v>
      </c>
      <c r="I1992" s="7">
        <f>-H1992/G1992</f>
        <v/>
      </c>
      <c r="J1992" s="11" t="n">
        <v>44623</v>
      </c>
      <c r="K1992" s="6" t="n">
        <v>10</v>
      </c>
      <c r="L1992" s="6" t="n">
        <v>290.549</v>
      </c>
      <c r="M1992" s="7">
        <f>IF(N1992=0,+L1992+H1992,0)</f>
        <v/>
      </c>
      <c r="N1992" s="7">
        <f>IF((+G1992-K1992)=0,0,+G1992-K1992)</f>
        <v/>
      </c>
      <c r="O1992" s="7">
        <f>IF(N1992=0,0,(L1992+H1992)/-N1992)</f>
        <v/>
      </c>
      <c r="P1992" s="7">
        <f>VLOOKUP(OPERAC[[#This Row],[especie]],[1]!ESPECIES[#All],6,0)</f>
        <v/>
      </c>
      <c r="Q1992" s="7">
        <f>IF(N1992&lt;&gt;0,P1992*N1992,0)</f>
        <v/>
      </c>
      <c r="R1992" s="8">
        <f>IF(Q1992&lt;&gt;0,Q1992+H1992+L1992,0)</f>
        <v/>
      </c>
      <c r="S1992" s="9">
        <f>VLOOKUP(OPERAC[[#This Row],[especie]],[1]!ESPECIES[#Data],9,FALSE)</f>
        <v/>
      </c>
    </row>
    <row r="1993">
      <c r="A1993" s="4" t="n">
        <v>7916</v>
      </c>
      <c r="B1993" s="5" t="n">
        <v>44575</v>
      </c>
      <c r="C1993" s="13" t="inlineStr">
        <is>
          <t>VTA</t>
        </is>
      </c>
      <c r="D1993" s="13" t="n">
        <v>40</v>
      </c>
      <c r="E1993" s="10">
        <f>IF(D1993&gt;0,VLOOKUP(OPERAC[[#This Row],[COD CART]],[1]!MatrizCortoLargoCyl[#All],3,0),"")</f>
        <v/>
      </c>
      <c r="F1993" s="13" t="inlineStr">
        <is>
          <t>GBTC</t>
        </is>
      </c>
      <c r="G1993" s="6" t="n">
        <v>10</v>
      </c>
      <c r="H1993" s="6" t="n">
        <v>-308.0948</v>
      </c>
      <c r="I1993" s="7">
        <f>-H1993/G1993</f>
        <v/>
      </c>
      <c r="J1993" s="11" t="n">
        <v>44651</v>
      </c>
      <c r="K1993" s="6">
        <f>+OPERAC[[#This Row],[cantidad]]</f>
        <v/>
      </c>
      <c r="L1993" s="6">
        <f>+OPERAC[[#This Row],[cantidad venta]]*31.332</f>
        <v/>
      </c>
      <c r="M1993" s="7">
        <f>IF(N1993=0,+L1993+H1993,0)</f>
        <v/>
      </c>
      <c r="N1993" s="7">
        <f>IF((+G1993-K1993)=0,0,+G1993-K1993)</f>
        <v/>
      </c>
      <c r="O1993" s="7">
        <f>IF(N1993=0,0,(L1993+H1993)/-N1993)</f>
        <v/>
      </c>
      <c r="P1993" s="7">
        <f>VLOOKUP(OPERAC[[#This Row],[especie]],[1]!ESPECIES[#All],6,0)</f>
        <v/>
      </c>
      <c r="Q1993" s="7">
        <f>IF(N1993&lt;&gt;0,P1993*N1993,0)</f>
        <v/>
      </c>
      <c r="R1993" s="8">
        <f>IF(Q1993&lt;&gt;0,Q1993+H1993+L1993,0)</f>
        <v/>
      </c>
      <c r="S1993" s="9">
        <f>VLOOKUP(OPERAC[[#This Row],[especie]],[1]!ESPECIES[#Data],9,FALSE)</f>
        <v/>
      </c>
    </row>
    <row r="1994">
      <c r="A1994" s="4" t="n">
        <v>7925</v>
      </c>
      <c r="B1994" s="5" t="n">
        <v>44575</v>
      </c>
      <c r="C1994" s="13" t="inlineStr">
        <is>
          <t>VTA</t>
        </is>
      </c>
      <c r="D1994" s="13" t="n">
        <v>40</v>
      </c>
      <c r="E1994" s="10">
        <f>IF(D1994&gt;0,VLOOKUP(OPERAC[[#This Row],[COD CART]],[1]!MatrizCortoLargoCyl[#All],3,0),"")</f>
        <v/>
      </c>
      <c r="F1994" s="13" t="inlineStr">
        <is>
          <t>GBTC</t>
        </is>
      </c>
      <c r="G1994" s="6" t="n">
        <v>10</v>
      </c>
      <c r="H1994" s="6" t="n">
        <v>-308.0948</v>
      </c>
      <c r="I1994" s="7">
        <f>-H1994/G1994</f>
        <v/>
      </c>
      <c r="J1994" s="11" t="n">
        <v>44651</v>
      </c>
      <c r="K1994" s="6">
        <f>+OPERAC[[#This Row],[cantidad]]</f>
        <v/>
      </c>
      <c r="L1994" s="6">
        <f>+OPERAC[[#This Row],[cantidad venta]]*31.332</f>
        <v/>
      </c>
      <c r="M1994" s="7">
        <f>IF(N1994=0,+L1994+H1994,0)</f>
        <v/>
      </c>
      <c r="N1994" s="7">
        <f>IF((+G1994-K1994)=0,0,+G1994-K1994)</f>
        <v/>
      </c>
      <c r="O1994" s="7">
        <f>IF(N1994=0,0,(L1994+H1994)/-N1994)</f>
        <v/>
      </c>
      <c r="P1994" s="7">
        <f>VLOOKUP(OPERAC[[#This Row],[especie]],[1]!ESPECIES[#All],6,0)</f>
        <v/>
      </c>
      <c r="Q1994" s="7">
        <f>IF(N1994&lt;&gt;0,P1994*N1994,0)</f>
        <v/>
      </c>
      <c r="R1994" s="8">
        <f>IF(Q1994&lt;&gt;0,Q1994+H1994+L1994,0)</f>
        <v/>
      </c>
      <c r="S1994" s="9">
        <f>VLOOKUP(OPERAC[[#This Row],[especie]],[1]!ESPECIES[#Data],9,FALSE)</f>
        <v/>
      </c>
    </row>
    <row r="1995">
      <c r="A1995" s="4" t="n">
        <v>12022</v>
      </c>
      <c r="B1995" s="5" t="n">
        <v>44575</v>
      </c>
      <c r="C1995" s="13" t="inlineStr">
        <is>
          <t>VTA</t>
        </is>
      </c>
      <c r="D1995" s="13" t="n">
        <v>40</v>
      </c>
      <c r="E1995" s="10">
        <f>IF(D1995&gt;0,VLOOKUP(OPERAC[[#This Row],[COD CART]],[1]!MatrizCortoLargoCyl[#All],3,0),"")</f>
        <v/>
      </c>
      <c r="F1995" s="13" t="inlineStr">
        <is>
          <t>GBTC</t>
        </is>
      </c>
      <c r="G1995" s="6" t="n">
        <v>10</v>
      </c>
      <c r="H1995" s="6" t="n">
        <v>-308.0948</v>
      </c>
      <c r="I1995" s="7">
        <f>-H1995/G1995</f>
        <v/>
      </c>
      <c r="J1995" s="11" t="n">
        <v>44651</v>
      </c>
      <c r="K1995" s="6">
        <f>+OPERAC[[#This Row],[cantidad]]</f>
        <v/>
      </c>
      <c r="L1995" s="6">
        <f>+OPERAC[[#This Row],[cantidad venta]]*31.332</f>
        <v/>
      </c>
      <c r="M1995" s="7">
        <f>IF(N1995=0,+L1995+H1995,0)</f>
        <v/>
      </c>
      <c r="N1995" s="7">
        <f>IF((+G1995-K1995)=0,0,+G1995-K1995)</f>
        <v/>
      </c>
      <c r="O1995" s="7">
        <f>IF(N1995=0,0,(L1995+H1995)/-N1995)</f>
        <v/>
      </c>
      <c r="P1995" s="7">
        <f>VLOOKUP(OPERAC[[#This Row],[especie]],[1]!ESPECIES[#All],6,0)</f>
        <v/>
      </c>
      <c r="Q1995" s="7">
        <f>IF(N1995&lt;&gt;0,P1995*N1995,0)</f>
        <v/>
      </c>
      <c r="R1995" s="8">
        <f>IF(Q1995&lt;&gt;0,Q1995+H1995+L1995,0)</f>
        <v/>
      </c>
      <c r="S1995" s="9">
        <f>VLOOKUP(OPERAC[[#This Row],[especie]],[1]!ESPECIES[#Data],9,FALSE)</f>
        <v/>
      </c>
    </row>
    <row r="1996">
      <c r="A1996" s="4" t="n">
        <v>12619</v>
      </c>
      <c r="B1996" s="5" t="n">
        <v>44575</v>
      </c>
      <c r="C1996" s="13" t="inlineStr">
        <is>
          <t>VTA</t>
        </is>
      </c>
      <c r="D1996" s="13" t="n">
        <v>40</v>
      </c>
      <c r="E1996" s="10">
        <f>IF(D1996&gt;0,VLOOKUP(OPERAC[[#This Row],[COD CART]],[1]!MatrizCortoLargoCyl[#All],3,0),"")</f>
        <v/>
      </c>
      <c r="F1996" s="13" t="inlineStr">
        <is>
          <t>GBTC</t>
        </is>
      </c>
      <c r="G1996" s="6" t="n">
        <v>10</v>
      </c>
      <c r="H1996" s="6" t="n">
        <v>-308.0948</v>
      </c>
      <c r="I1996" s="7">
        <f>-H1996/G1996</f>
        <v/>
      </c>
      <c r="J1996" s="11" t="n">
        <v>44651</v>
      </c>
      <c r="K1996" s="6">
        <f>+OPERAC[[#This Row],[cantidad]]</f>
        <v/>
      </c>
      <c r="L1996" s="6">
        <f>+OPERAC[[#This Row],[cantidad venta]]*31.332</f>
        <v/>
      </c>
      <c r="M1996" s="7">
        <f>IF(N1996=0,+L1996+H1996,0)</f>
        <v/>
      </c>
      <c r="N1996" s="7">
        <f>IF((+G1996-K1996)=0,0,+G1996-K1996)</f>
        <v/>
      </c>
      <c r="O1996" s="7">
        <f>IF(N1996=0,0,(L1996+H1996)/-N1996)</f>
        <v/>
      </c>
      <c r="P1996" s="7">
        <f>VLOOKUP(OPERAC[[#This Row],[especie]],[1]!ESPECIES[#All],6,0)</f>
        <v/>
      </c>
      <c r="Q1996" s="7">
        <f>IF(N1996&lt;&gt;0,P1996*N1996,0)</f>
        <v/>
      </c>
      <c r="R1996" s="8">
        <f>IF(Q1996&lt;&gt;0,Q1996+H1996+L1996,0)</f>
        <v/>
      </c>
      <c r="S1996" s="9">
        <f>VLOOKUP(OPERAC[[#This Row],[especie]],[1]!ESPECIES[#Data],9,FALSE)</f>
        <v/>
      </c>
    </row>
    <row r="1997">
      <c r="A1997" s="4" t="n">
        <v>12662</v>
      </c>
      <c r="B1997" s="5" t="n">
        <v>44575</v>
      </c>
      <c r="C1997" s="13" t="inlineStr">
        <is>
          <t>VTA</t>
        </is>
      </c>
      <c r="D1997" s="13" t="n">
        <v>40</v>
      </c>
      <c r="E1997" s="10">
        <f>IF(D1997&gt;0,VLOOKUP(OPERAC[[#This Row],[COD CART]],[1]!MatrizCortoLargoCyl[#All],3,0),"")</f>
        <v/>
      </c>
      <c r="F1997" s="13" t="inlineStr">
        <is>
          <t>GBTC</t>
        </is>
      </c>
      <c r="G1997" s="6" t="n">
        <v>10</v>
      </c>
      <c r="H1997" s="6" t="n">
        <v>-308.0948</v>
      </c>
      <c r="I1997" s="7">
        <f>-H1997/G1997</f>
        <v/>
      </c>
      <c r="J1997" s="11" t="n">
        <v>44651</v>
      </c>
      <c r="K1997" s="6">
        <f>+OPERAC[[#This Row],[cantidad]]</f>
        <v/>
      </c>
      <c r="L1997" s="6">
        <f>+OPERAC[[#This Row],[cantidad venta]]*31.332</f>
        <v/>
      </c>
      <c r="M1997" s="7">
        <f>IF(N1997=0,+L1997+H1997,0)</f>
        <v/>
      </c>
      <c r="N1997" s="7">
        <f>IF((+G1997-K1997)=0,0,+G1997-K1997)</f>
        <v/>
      </c>
      <c r="O1997" s="7">
        <f>IF(N1997=0,0,(L1997+H1997)/-N1997)</f>
        <v/>
      </c>
      <c r="P1997" s="7">
        <f>VLOOKUP(OPERAC[[#This Row],[especie]],[1]!ESPECIES[#All],6,0)</f>
        <v/>
      </c>
      <c r="Q1997" s="7">
        <f>IF(N1997&lt;&gt;0,P1997*N1997,0)</f>
        <v/>
      </c>
      <c r="R1997" s="8">
        <f>IF(Q1997&lt;&gt;0,Q1997+H1997+L1997,0)</f>
        <v/>
      </c>
      <c r="S1997" s="9">
        <f>VLOOKUP(OPERAC[[#This Row],[especie]],[1]!ESPECIES[#Data],9,FALSE)</f>
        <v/>
      </c>
    </row>
    <row r="1998">
      <c r="A1998" s="4" t="n">
        <v>13271</v>
      </c>
      <c r="B1998" s="5" t="n">
        <v>44575</v>
      </c>
      <c r="C1998" s="13" t="inlineStr">
        <is>
          <t>VTA</t>
        </is>
      </c>
      <c r="D1998" s="13" t="n">
        <v>40</v>
      </c>
      <c r="E1998" s="10">
        <f>IF(D1998&gt;0,VLOOKUP(OPERAC[[#This Row],[COD CART]],[1]!MatrizCortoLargoCyl[#All],3,0),"")</f>
        <v/>
      </c>
      <c r="F1998" s="13" t="inlineStr">
        <is>
          <t>GBTC</t>
        </is>
      </c>
      <c r="G1998" s="6" t="n">
        <v>10</v>
      </c>
      <c r="H1998" s="6" t="n">
        <v>-308.0948</v>
      </c>
      <c r="I1998" s="7">
        <f>-H1998/G1998</f>
        <v/>
      </c>
      <c r="J1998" s="11" t="n">
        <v>44651</v>
      </c>
      <c r="K1998" s="6">
        <f>+OPERAC[[#This Row],[cantidad]]</f>
        <v/>
      </c>
      <c r="L1998" s="6">
        <f>+OPERAC[[#This Row],[cantidad venta]]*31.332</f>
        <v/>
      </c>
      <c r="M1998" s="7">
        <f>IF(N1998=0,+L1998+H1998,0)</f>
        <v/>
      </c>
      <c r="N1998" s="7">
        <f>IF((+G1998-K1998)=0,0,+G1998-K1998)</f>
        <v/>
      </c>
      <c r="O1998" s="7">
        <f>IF(N1998=0,0,(L1998+H1998)/-N1998)</f>
        <v/>
      </c>
      <c r="P1998" s="7">
        <f>VLOOKUP(OPERAC[[#This Row],[especie]],[1]!ESPECIES[#All],6,0)</f>
        <v/>
      </c>
      <c r="Q1998" s="7">
        <f>IF(N1998&lt;&gt;0,P1998*N1998,0)</f>
        <v/>
      </c>
      <c r="R1998" s="8">
        <f>IF(Q1998&lt;&gt;0,Q1998+H1998+L1998,0)</f>
        <v/>
      </c>
      <c r="S1998" s="9">
        <f>VLOOKUP(OPERAC[[#This Row],[especie]],[1]!ESPECIES[#Data],9,FALSE)</f>
        <v/>
      </c>
    </row>
    <row r="1999">
      <c r="A1999" s="4" t="n">
        <v>15194</v>
      </c>
      <c r="B1999" s="5" t="n">
        <v>44575</v>
      </c>
      <c r="C1999" s="13" t="inlineStr">
        <is>
          <t>VTA</t>
        </is>
      </c>
      <c r="D1999" s="13" t="n">
        <v>40</v>
      </c>
      <c r="E1999" s="10">
        <f>IF(D1999&gt;0,VLOOKUP(OPERAC[[#This Row],[COD CART]],[1]!MatrizCortoLargoCyl[#All],3,0),"")</f>
        <v/>
      </c>
      <c r="F1999" s="13" t="inlineStr">
        <is>
          <t>GBTC</t>
        </is>
      </c>
      <c r="G1999" s="6" t="n">
        <v>10</v>
      </c>
      <c r="H1999" s="6" t="n">
        <v>-308.0948</v>
      </c>
      <c r="I1999" s="7">
        <f>-H1999/G1999</f>
        <v/>
      </c>
      <c r="J1999" s="11" t="n">
        <v>44651</v>
      </c>
      <c r="K1999" s="6">
        <f>+OPERAC[[#This Row],[cantidad]]</f>
        <v/>
      </c>
      <c r="L1999" s="6">
        <f>+OPERAC[[#This Row],[cantidad venta]]*31.332</f>
        <v/>
      </c>
      <c r="M1999" s="7">
        <f>IF(N1999=0,+L1999+H1999,0)</f>
        <v/>
      </c>
      <c r="N1999" s="7">
        <f>IF((+G1999-K1999)=0,0,+G1999-K1999)</f>
        <v/>
      </c>
      <c r="O1999" s="7">
        <f>IF(N1999=0,0,(L1999+H1999)/-N1999)</f>
        <v/>
      </c>
      <c r="P1999" s="7">
        <f>VLOOKUP(OPERAC[[#This Row],[especie]],[1]!ESPECIES[#All],6,0)</f>
        <v/>
      </c>
      <c r="Q1999" s="7">
        <f>IF(N1999&lt;&gt;0,P1999*N1999,0)</f>
        <v/>
      </c>
      <c r="R1999" s="8">
        <f>IF(Q1999&lt;&gt;0,Q1999+H1999+L1999,0)</f>
        <v/>
      </c>
      <c r="S1999" s="9">
        <f>VLOOKUP(OPERAC[[#This Row],[especie]],[1]!ESPECIES[#Data],9,FALSE)</f>
        <v/>
      </c>
    </row>
    <row r="2000">
      <c r="A2000" s="4" t="n">
        <v>18662</v>
      </c>
      <c r="B2000" s="5" t="n">
        <v>44575</v>
      </c>
      <c r="C2000" s="13" t="inlineStr">
        <is>
          <t>VTA</t>
        </is>
      </c>
      <c r="D2000" s="13" t="n">
        <v>40</v>
      </c>
      <c r="E2000" s="10">
        <f>IF(D2000&gt;0,VLOOKUP(OPERAC[[#This Row],[COD CART]],[1]!MatrizCortoLargoCyl[#All],3,0),"")</f>
        <v/>
      </c>
      <c r="F2000" s="13" t="inlineStr">
        <is>
          <t>GBTC</t>
        </is>
      </c>
      <c r="G2000" s="6" t="n">
        <v>10</v>
      </c>
      <c r="H2000" s="6" t="n">
        <v>-308.0948</v>
      </c>
      <c r="I2000" s="7">
        <f>-H2000/G2000</f>
        <v/>
      </c>
      <c r="J2000" s="11" t="n">
        <v>44651</v>
      </c>
      <c r="K2000" s="6">
        <f>+OPERAC[[#This Row],[cantidad]]</f>
        <v/>
      </c>
      <c r="L2000" s="6">
        <f>+OPERAC[[#This Row],[cantidad venta]]*31.332</f>
        <v/>
      </c>
      <c r="M2000" s="7">
        <f>IF(N2000=0,+L2000+H2000,0)</f>
        <v/>
      </c>
      <c r="N2000" s="7">
        <f>IF((+G2000-K2000)=0,0,+G2000-K2000)</f>
        <v/>
      </c>
      <c r="O2000" s="7">
        <f>IF(N2000=0,0,(L2000+H2000)/-N2000)</f>
        <v/>
      </c>
      <c r="P2000" s="7">
        <f>VLOOKUP(OPERAC[[#This Row],[especie]],[1]!ESPECIES[#All],6,0)</f>
        <v/>
      </c>
      <c r="Q2000" s="7">
        <f>IF(N2000&lt;&gt;0,P2000*N2000,0)</f>
        <v/>
      </c>
      <c r="R2000" s="8">
        <f>IF(Q2000&lt;&gt;0,Q2000+H2000+L2000,0)</f>
        <v/>
      </c>
      <c r="S2000" s="9">
        <f>VLOOKUP(OPERAC[[#This Row],[especie]],[1]!ESPECIES[#Data],9,FALSE)</f>
        <v/>
      </c>
    </row>
    <row r="2001">
      <c r="A2001" s="4" t="n">
        <v>18663</v>
      </c>
      <c r="B2001" s="5" t="n">
        <v>44383</v>
      </c>
      <c r="C2001" s="13" t="inlineStr">
        <is>
          <t>VTA</t>
        </is>
      </c>
      <c r="D2001" s="13" t="n">
        <v>41</v>
      </c>
      <c r="E2001" s="10">
        <f>IF(D2001&gt;0,VLOOKUP(OPERAC[[#This Row],[COD CART]],[1]!MatrizCortoLargoCyl[#All],3,0),"")</f>
        <v/>
      </c>
      <c r="F2001" s="13" t="inlineStr">
        <is>
          <t>JEPI</t>
        </is>
      </c>
      <c r="G2001" s="6" t="n">
        <v>5</v>
      </c>
      <c r="H2001" s="6" t="n">
        <v>-308.85</v>
      </c>
      <c r="I2001" s="7">
        <f>-H2001/G2001</f>
        <v/>
      </c>
      <c r="J2001" s="11" t="n"/>
      <c r="K2001" s="6" t="n"/>
      <c r="L2001" s="6" t="n"/>
      <c r="M2001" s="7">
        <f>IF(N2001=0,+L2001+H2001,0)</f>
        <v/>
      </c>
      <c r="N2001" s="7">
        <f>IF((+G2001-K2001)=0,0,+G2001-K2001)</f>
        <v/>
      </c>
      <c r="O2001" s="7">
        <f>IF(N2001=0,0,(L2001+H2001)/-N2001)</f>
        <v/>
      </c>
      <c r="P2001" s="7">
        <f>VLOOKUP(OPERAC[[#This Row],[especie]],[1]!ESPECIES[#All],6,0)</f>
        <v/>
      </c>
      <c r="Q2001" s="7">
        <f>IF(N2001&lt;&gt;0,P2001*N2001,0)</f>
        <v/>
      </c>
      <c r="R2001" s="8">
        <f>IF(Q2001&lt;&gt;0,Q2001+H2001+L2001,0)</f>
        <v/>
      </c>
      <c r="S2001" s="9">
        <f>VLOOKUP(OPERAC[[#This Row],[especie]],[1]!ESPECIES[#Data],9,FALSE)</f>
        <v/>
      </c>
    </row>
    <row r="2002">
      <c r="A2002" s="4" t="n">
        <v>9195</v>
      </c>
      <c r="B2002" s="5" t="n">
        <v>44664</v>
      </c>
      <c r="C2002" s="13" t="inlineStr">
        <is>
          <t>VTA</t>
        </is>
      </c>
      <c r="D2002" s="13" t="n">
        <v>42</v>
      </c>
      <c r="E2002" s="10">
        <f>IF(D2002&gt;0,VLOOKUP(OPERAC[[#This Row],[COD CART]],[1]!MatrizCortoLargoCyl[#All],3,0),"")</f>
        <v/>
      </c>
      <c r="F2002" s="13" t="inlineStr">
        <is>
          <t>PSQ</t>
        </is>
      </c>
      <c r="G2002" s="6" t="n">
        <v>25</v>
      </c>
      <c r="H2002" s="6" t="n">
        <v>-309.581525925</v>
      </c>
      <c r="I2002" s="7">
        <f>-H2002/G2002</f>
        <v/>
      </c>
      <c r="J2002" s="11" t="n">
        <v>44680</v>
      </c>
      <c r="K2002" s="6">
        <f>+OPERAC[[#This Row],[cantidad]]</f>
        <v/>
      </c>
      <c r="L2002" s="6">
        <f>12.848*OPERAC[[#This Row],[cantidad venta]]</f>
        <v/>
      </c>
      <c r="M2002" s="7">
        <f>IF(N2002=0,+L2002+H2002,0)</f>
        <v/>
      </c>
      <c r="N2002" s="7">
        <f>IF((+G2002-K2002)=0,0,+G2002-K2002)</f>
        <v/>
      </c>
      <c r="O2002" s="7">
        <f>IF(N2002=0,0,(L2002+H2002)/-N2002)</f>
        <v/>
      </c>
      <c r="P2002" s="7">
        <f>VLOOKUP(OPERAC[[#This Row],[especie]],[1]!ESPECIES[#All],6,0)</f>
        <v/>
      </c>
      <c r="Q2002" s="7">
        <f>IF(N2002&lt;&gt;0,P2002*N2002,0)</f>
        <v/>
      </c>
      <c r="R2002" s="8">
        <f>IF(Q2002&lt;&gt;0,Q2002+H2002+L2002,0)</f>
        <v/>
      </c>
      <c r="S2002" s="9">
        <f>VLOOKUP(OPERAC[[#This Row],[especie]],[1]!ESPECIES[#Data],9,FALSE)</f>
        <v/>
      </c>
    </row>
    <row r="2003">
      <c r="A2003" s="4" t="n">
        <v>6628</v>
      </c>
      <c r="B2003" s="5" t="n">
        <v>44697</v>
      </c>
      <c r="C2003" s="13" t="inlineStr">
        <is>
          <t>VTA</t>
        </is>
      </c>
      <c r="D2003" s="13" t="n">
        <v>32</v>
      </c>
      <c r="E2003" s="10">
        <f>IF(D2003&gt;0,VLOOKUP(OPERAC[[#This Row],[COD CART]],[1]!MatrizCortoLargoCyl[#All],3,0),"")</f>
        <v/>
      </c>
      <c r="F2003" s="13" t="inlineStr">
        <is>
          <t>SOLO/CYL/2,00/24-06-22</t>
        </is>
      </c>
      <c r="G2003" s="6" t="n">
        <v>200</v>
      </c>
      <c r="H2003" s="6" t="n">
        <v>-310.28</v>
      </c>
      <c r="I2003" s="7">
        <f>-H2003/G2003</f>
        <v/>
      </c>
      <c r="J2003" s="11" t="n"/>
      <c r="K2003" s="6" t="n"/>
      <c r="L2003" s="6" t="n"/>
      <c r="M2003" s="7">
        <f>IF(N2003=0,+L2003+H2003,0)</f>
        <v/>
      </c>
      <c r="N2003" s="7">
        <f>IF((+G2003-K2003)=0,0,+G2003-K2003)</f>
        <v/>
      </c>
      <c r="O2003" s="7">
        <f>IF(N2003=0,0,(L2003+H2003)/-N2003)</f>
        <v/>
      </c>
      <c r="P2003" s="7">
        <f>VLOOKUP(OPERAC[[#This Row],[especie]],[1]!ESPECIES[#All],6,0)</f>
        <v/>
      </c>
      <c r="Q2003" s="7">
        <f>IF(N2003&lt;&gt;0,P2003*N2003,0)</f>
        <v/>
      </c>
      <c r="R2003" s="8">
        <f>IF(Q2003&lt;&gt;0,Q2003+H2003+L2003,0)</f>
        <v/>
      </c>
      <c r="S2003" s="9">
        <f>VLOOKUP(OPERAC[[#This Row],[especie]],[1]!ESPECIES[#Data],9,FALSE)</f>
        <v/>
      </c>
    </row>
    <row r="2004">
      <c r="A2004" s="4" t="n">
        <v>1800</v>
      </c>
      <c r="B2004" s="5" t="n">
        <v>44664</v>
      </c>
      <c r="C2004" s="13" t="inlineStr">
        <is>
          <t>VTA</t>
        </is>
      </c>
      <c r="D2004" s="13" t="n">
        <v>42</v>
      </c>
      <c r="E2004" s="10">
        <f>IF(D2004&gt;0,VLOOKUP(OPERAC[[#This Row],[COD CART]],[1]!MatrizCortoLargoCyl[#All],3,0),"")</f>
        <v/>
      </c>
      <c r="F2004" s="13" t="inlineStr">
        <is>
          <t>PSQ</t>
        </is>
      </c>
      <c r="G2004" s="6" t="n">
        <v>25</v>
      </c>
      <c r="H2004" s="6" t="n">
        <v>-310.814304525</v>
      </c>
      <c r="I2004" s="7">
        <f>-H2004/G2004</f>
        <v/>
      </c>
      <c r="J2004" s="11" t="n">
        <v>44680</v>
      </c>
      <c r="K2004" s="6">
        <f>+OPERAC[[#This Row],[cantidad]]</f>
        <v/>
      </c>
      <c r="L2004" s="6">
        <f>12.848*OPERAC[[#This Row],[cantidad venta]]</f>
        <v/>
      </c>
      <c r="M2004" s="7">
        <f>IF(N2004=0,+L2004+H2004,0)</f>
        <v/>
      </c>
      <c r="N2004" s="7">
        <f>IF((+G2004-K2004)=0,0,+G2004-K2004)</f>
        <v/>
      </c>
      <c r="O2004" s="7">
        <f>IF(N2004=0,0,(L2004+H2004)/-N2004)</f>
        <v/>
      </c>
      <c r="P2004" s="7">
        <f>VLOOKUP(OPERAC[[#This Row],[especie]],[1]!ESPECIES[#All],6,0)</f>
        <v/>
      </c>
      <c r="Q2004" s="7">
        <f>IF(N2004&lt;&gt;0,P2004*N2004,0)</f>
        <v/>
      </c>
      <c r="R2004" s="8">
        <f>IF(Q2004&lt;&gt;0,Q2004+H2004+L2004,0)</f>
        <v/>
      </c>
      <c r="S2004" s="9">
        <f>VLOOKUP(OPERAC[[#This Row],[especie]],[1]!ESPECIES[#Data],9,FALSE)</f>
        <v/>
      </c>
    </row>
    <row r="2005">
      <c r="A2005" s="4" t="n">
        <v>1800</v>
      </c>
      <c r="B2005" s="5" t="n">
        <v>44718</v>
      </c>
      <c r="C2005" s="13" t="inlineStr">
        <is>
          <t>VTA</t>
        </is>
      </c>
      <c r="D2005" s="13" t="n">
        <v>42</v>
      </c>
      <c r="E2005" s="10">
        <f>IF(D2005&gt;0,VLOOKUP(OPERAC[[#This Row],[COD CART]],[1]!MatrizCortoLargoCyl[#All],3,0),"")</f>
        <v/>
      </c>
      <c r="F2005" s="13" t="inlineStr">
        <is>
          <t>KWEB</t>
        </is>
      </c>
      <c r="G2005" s="6" t="n">
        <v>10</v>
      </c>
      <c r="H2005" s="6" t="n">
        <v>-310.83388</v>
      </c>
      <c r="I2005" s="7">
        <f>-H2005/G2005</f>
        <v/>
      </c>
      <c r="J2005" s="5" t="n"/>
      <c r="K2005" s="6" t="n"/>
      <c r="L2005" s="6" t="n"/>
      <c r="M2005" s="7">
        <f>IF(N2005=0,+L2005+H2005,0)</f>
        <v/>
      </c>
      <c r="N2005" s="7">
        <f>IF((+G2005-K2005)=0,0,+G2005-K2005)</f>
        <v/>
      </c>
      <c r="O2005" s="7">
        <f>IF(N2005=0,0,(L2005+H2005)/-N2005)</f>
        <v/>
      </c>
      <c r="P2005" s="7">
        <f>VLOOKUP(OPERAC[[#This Row],[especie]],[1]!ESPECIES[#All],6,0)</f>
        <v/>
      </c>
      <c r="Q2005" s="7">
        <f>IF(N2005&lt;&gt;0,P2005*N2005,0)</f>
        <v/>
      </c>
      <c r="R2005" s="8">
        <f>IF(Q2005&lt;&gt;0,Q2005+H2005+L2005,0)</f>
        <v/>
      </c>
      <c r="S2005" s="9">
        <f>VLOOKUP(OPERAC[[#This Row],[especie]],[1]!ESPECIES[#Data],9,FALSE)</f>
        <v/>
      </c>
    </row>
    <row r="2006">
      <c r="A2006" s="4" t="n">
        <v>2203</v>
      </c>
      <c r="B2006" s="5" t="n">
        <v>44718</v>
      </c>
      <c r="C2006" s="13" t="inlineStr">
        <is>
          <t>VTA</t>
        </is>
      </c>
      <c r="D2006" s="13" t="n">
        <v>42</v>
      </c>
      <c r="E2006" s="10">
        <f>IF(D2006&gt;0,VLOOKUP(OPERAC[[#This Row],[COD CART]],[1]!MatrizCortoLargoCyl[#All],3,0),"")</f>
        <v/>
      </c>
      <c r="F2006" s="13" t="inlineStr">
        <is>
          <t>KWEB</t>
        </is>
      </c>
      <c r="G2006" s="6" t="n">
        <v>10</v>
      </c>
      <c r="H2006" s="6" t="n">
        <v>-310.83388</v>
      </c>
      <c r="I2006" s="7">
        <f>-H2006/G2006</f>
        <v/>
      </c>
      <c r="J2006" s="5" t="n"/>
      <c r="K2006" s="6" t="n"/>
      <c r="L2006" s="6" t="n"/>
      <c r="M2006" s="7">
        <f>IF(N2006=0,+L2006+H2006,0)</f>
        <v/>
      </c>
      <c r="N2006" s="7">
        <f>IF((+G2006-K2006)=0,0,+G2006-K2006)</f>
        <v/>
      </c>
      <c r="O2006" s="7">
        <f>IF(N2006=0,0,(L2006+H2006)/-N2006)</f>
        <v/>
      </c>
      <c r="P2006" s="7">
        <f>VLOOKUP(OPERAC[[#This Row],[especie]],[1]!ESPECIES[#All],6,0)</f>
        <v/>
      </c>
      <c r="Q2006" s="7">
        <f>IF(N2006&lt;&gt;0,P2006*N2006,0)</f>
        <v/>
      </c>
      <c r="R2006" s="8">
        <f>IF(Q2006&lt;&gt;0,Q2006+H2006+L2006,0)</f>
        <v/>
      </c>
      <c r="S2006" s="9">
        <f>VLOOKUP(OPERAC[[#This Row],[especie]],[1]!ESPECIES[#Data],9,FALSE)</f>
        <v/>
      </c>
    </row>
    <row r="2007">
      <c r="A2007" s="4" t="n">
        <v>2217</v>
      </c>
      <c r="B2007" s="5" t="n">
        <v>44718</v>
      </c>
      <c r="C2007" s="13" t="inlineStr">
        <is>
          <t>VTA</t>
        </is>
      </c>
      <c r="D2007" s="13" t="n">
        <v>42</v>
      </c>
      <c r="E2007" s="10">
        <f>IF(D2007&gt;0,VLOOKUP(OPERAC[[#This Row],[COD CART]],[1]!MatrizCortoLargoCyl[#All],3,0),"")</f>
        <v/>
      </c>
      <c r="F2007" s="13" t="inlineStr">
        <is>
          <t>KWEB</t>
        </is>
      </c>
      <c r="G2007" s="6" t="n">
        <v>10</v>
      </c>
      <c r="H2007" s="6" t="n">
        <v>-310.83388</v>
      </c>
      <c r="I2007" s="7">
        <f>-H2007/G2007</f>
        <v/>
      </c>
      <c r="J2007" s="5" t="n"/>
      <c r="K2007" s="6" t="n"/>
      <c r="L2007" s="6" t="n"/>
      <c r="M2007" s="7">
        <f>IF(N2007=0,+L2007+H2007,0)</f>
        <v/>
      </c>
      <c r="N2007" s="7">
        <f>IF((+G2007-K2007)=0,0,+G2007-K2007)</f>
        <v/>
      </c>
      <c r="O2007" s="7">
        <f>IF(N2007=0,0,(L2007+H2007)/-N2007)</f>
        <v/>
      </c>
      <c r="P2007" s="7">
        <f>VLOOKUP(OPERAC[[#This Row],[especie]],[1]!ESPECIES[#All],6,0)</f>
        <v/>
      </c>
      <c r="Q2007" s="7">
        <f>IF(N2007&lt;&gt;0,P2007*N2007,0)</f>
        <v/>
      </c>
      <c r="R2007" s="8">
        <f>IF(Q2007&lt;&gt;0,Q2007+H2007+L2007,0)</f>
        <v/>
      </c>
      <c r="S2007" s="9">
        <f>VLOOKUP(OPERAC[[#This Row],[especie]],[1]!ESPECIES[#Data],9,FALSE)</f>
        <v/>
      </c>
    </row>
    <row r="2008">
      <c r="A2008" s="4" t="n">
        <v>2289</v>
      </c>
      <c r="B2008" s="5" t="n">
        <v>44718</v>
      </c>
      <c r="C2008" s="13" t="inlineStr">
        <is>
          <t>VTA</t>
        </is>
      </c>
      <c r="D2008" s="13" t="n">
        <v>42</v>
      </c>
      <c r="E2008" s="10">
        <f>IF(D2008&gt;0,VLOOKUP(OPERAC[[#This Row],[COD CART]],[1]!MatrizCortoLargoCyl[#All],3,0),"")</f>
        <v/>
      </c>
      <c r="F2008" s="13" t="inlineStr">
        <is>
          <t>KWEB</t>
        </is>
      </c>
      <c r="G2008" s="6" t="n">
        <v>10</v>
      </c>
      <c r="H2008" s="6" t="n">
        <v>-310.83388</v>
      </c>
      <c r="I2008" s="7">
        <f>-H2008/G2008</f>
        <v/>
      </c>
      <c r="J2008" s="5" t="n"/>
      <c r="K2008" s="6" t="n"/>
      <c r="L2008" s="6" t="n"/>
      <c r="M2008" s="7">
        <f>IF(N2008=0,+L2008+H2008,0)</f>
        <v/>
      </c>
      <c r="N2008" s="7">
        <f>IF((+G2008-K2008)=0,0,+G2008-K2008)</f>
        <v/>
      </c>
      <c r="O2008" s="7">
        <f>IF(N2008=0,0,(L2008+H2008)/-N2008)</f>
        <v/>
      </c>
      <c r="P2008" s="7">
        <f>VLOOKUP(OPERAC[[#This Row],[especie]],[1]!ESPECIES[#All],6,0)</f>
        <v/>
      </c>
      <c r="Q2008" s="7">
        <f>IF(N2008&lt;&gt;0,P2008*N2008,0)</f>
        <v/>
      </c>
      <c r="R2008" s="8">
        <f>IF(Q2008&lt;&gt;0,Q2008+H2008+L2008,0)</f>
        <v/>
      </c>
      <c r="S2008" s="9">
        <f>VLOOKUP(OPERAC[[#This Row],[especie]],[1]!ESPECIES[#Data],9,FALSE)</f>
        <v/>
      </c>
    </row>
    <row r="2009">
      <c r="A2009" s="4" t="n">
        <v>12686</v>
      </c>
      <c r="B2009" s="5" t="n">
        <v>44718</v>
      </c>
      <c r="C2009" s="13" t="inlineStr">
        <is>
          <t>VTA</t>
        </is>
      </c>
      <c r="D2009" s="13" t="n">
        <v>42</v>
      </c>
      <c r="E2009" s="10">
        <f>IF(D2009&gt;0,VLOOKUP(OPERAC[[#This Row],[COD CART]],[1]!MatrizCortoLargoCyl[#All],3,0),"")</f>
        <v/>
      </c>
      <c r="F2009" s="13" t="inlineStr">
        <is>
          <t>KWEB</t>
        </is>
      </c>
      <c r="G2009" s="6" t="n">
        <v>10</v>
      </c>
      <c r="H2009" s="6" t="n">
        <v>-310.83388</v>
      </c>
      <c r="I2009" s="7">
        <f>-H2009/G2009</f>
        <v/>
      </c>
      <c r="J2009" s="5" t="n"/>
      <c r="K2009" s="6" t="n"/>
      <c r="L2009" s="6" t="n"/>
      <c r="M2009" s="7">
        <f>IF(N2009=0,+L2009+H2009,0)</f>
        <v/>
      </c>
      <c r="N2009" s="7">
        <f>IF((+G2009-K2009)=0,0,+G2009-K2009)</f>
        <v/>
      </c>
      <c r="O2009" s="7">
        <f>IF(N2009=0,0,(L2009+H2009)/-N2009)</f>
        <v/>
      </c>
      <c r="P2009" s="7">
        <f>VLOOKUP(OPERAC[[#This Row],[especie]],[1]!ESPECIES[#All],6,0)</f>
        <v/>
      </c>
      <c r="Q2009" s="7">
        <f>IF(N2009&lt;&gt;0,P2009*N2009,0)</f>
        <v/>
      </c>
      <c r="R2009" s="8">
        <f>IF(Q2009&lt;&gt;0,Q2009+H2009+L2009,0)</f>
        <v/>
      </c>
      <c r="S2009" s="9">
        <f>VLOOKUP(OPERAC[[#This Row],[especie]],[1]!ESPECIES[#Data],9,FALSE)</f>
        <v/>
      </c>
    </row>
    <row r="2010">
      <c r="A2010" s="4" t="n">
        <v>7950</v>
      </c>
      <c r="B2010" s="5" t="n">
        <v>44680</v>
      </c>
      <c r="C2010" s="13" t="inlineStr">
        <is>
          <t>VTA</t>
        </is>
      </c>
      <c r="D2010" s="13" t="n">
        <v>31</v>
      </c>
      <c r="E2010" s="10">
        <f>IF(D2010&gt;0,VLOOKUP(OPERAC[[#This Row],[COD CART]],[1]!MatrizCortoLargoCyl[#All],3,0),"")</f>
        <v/>
      </c>
      <c r="F2010" s="13" t="inlineStr">
        <is>
          <t>TEO</t>
        </is>
      </c>
      <c r="G2010" s="6" t="n">
        <v>55</v>
      </c>
      <c r="H2010" s="6" t="n">
        <v>-311.6355</v>
      </c>
      <c r="I2010" s="7">
        <f>-H2010/G2010</f>
        <v/>
      </c>
      <c r="J2010" s="11" t="n"/>
      <c r="K2010" s="6" t="n"/>
      <c r="L2010" s="6" t="n"/>
      <c r="M2010" s="7">
        <f>IF(N2010=0,+L2010+H2010,0)</f>
        <v/>
      </c>
      <c r="N2010" s="7">
        <f>IF((+G2010-K2010)=0,0,+G2010-K2010)</f>
        <v/>
      </c>
      <c r="O2010" s="7">
        <f>IF(N2010=0,0,(L2010+H2010)/-N2010)</f>
        <v/>
      </c>
      <c r="P2010" s="7">
        <f>VLOOKUP(OPERAC[[#This Row],[especie]],[1]!ESPECIES[#All],6,0)</f>
        <v/>
      </c>
      <c r="Q2010" s="7">
        <f>IF(N2010&lt;&gt;0,P2010*N2010,0)</f>
        <v/>
      </c>
      <c r="R2010" s="8">
        <f>IF(Q2010&lt;&gt;0,Q2010+H2010+L2010,0)</f>
        <v/>
      </c>
      <c r="S2010" s="9">
        <f>VLOOKUP(OPERAC[[#This Row],[especie]],[1]!ESPECIES[#Data],9,FALSE)</f>
        <v/>
      </c>
    </row>
    <row r="2011">
      <c r="A2011" s="4" t="n">
        <v>18662</v>
      </c>
      <c r="B2011" s="5" t="n">
        <v>44166</v>
      </c>
      <c r="C2011" s="13" t="inlineStr">
        <is>
          <t>VTA</t>
        </is>
      </c>
      <c r="D2011" s="13" t="n">
        <v>41</v>
      </c>
      <c r="E2011" s="10">
        <f>IF(D2011&gt;0,VLOOKUP(OPERAC[[#This Row],[COD CART]],[1]!MatrizCortoLargoCyl[#All],3,0),"")</f>
        <v/>
      </c>
      <c r="F2011" s="13" t="inlineStr">
        <is>
          <t>AESE</t>
        </is>
      </c>
      <c r="G2011" s="6" t="n">
        <v>300</v>
      </c>
      <c r="H2011" s="6" t="n">
        <v>-312</v>
      </c>
      <c r="I2011" s="7">
        <f>-H2011/G2011</f>
        <v/>
      </c>
      <c r="J2011" s="11" t="n"/>
      <c r="K2011" s="6" t="n"/>
      <c r="L2011" s="6" t="n"/>
      <c r="M2011" s="7">
        <f>IF(N2011=0,+L2011+H2011,0)</f>
        <v/>
      </c>
      <c r="N2011" s="7">
        <f>IF((+G2011-K2011)=0,0,+G2011-K2011)</f>
        <v/>
      </c>
      <c r="O2011" s="7">
        <f>IF(N2011=0,0,(L2011+H2011)/-N2011)</f>
        <v/>
      </c>
      <c r="P2011" s="7">
        <f>VLOOKUP(OPERAC[[#This Row],[especie]],[1]!ESPECIES[#All],6,0)</f>
        <v/>
      </c>
      <c r="Q2011" s="7">
        <f>IF(N2011&lt;&gt;0,P2011*N2011,0)</f>
        <v/>
      </c>
      <c r="R2011" s="8">
        <f>IF(Q2011&lt;&gt;0,Q2011+H2011+L2011,0)</f>
        <v/>
      </c>
      <c r="S2011" s="9">
        <f>VLOOKUP(OPERAC[[#This Row],[especie]],[1]!ESPECIES[#Data],9,FALSE)</f>
        <v/>
      </c>
    </row>
    <row r="2012">
      <c r="A2012" s="4" t="n">
        <v>18663</v>
      </c>
      <c r="B2012" s="5" t="n">
        <v>44327</v>
      </c>
      <c r="C2012" s="13" t="inlineStr">
        <is>
          <t>VTA</t>
        </is>
      </c>
      <c r="D2012" s="13" t="n">
        <v>41</v>
      </c>
      <c r="E2012" s="10">
        <f>IF(D2012&gt;0,VLOOKUP(OPERAC[[#This Row],[COD CART]],[1]!MatrizCortoLargoCyl[#All],3,0),"")</f>
        <v/>
      </c>
      <c r="F2012" s="13" t="inlineStr">
        <is>
          <t>NRZ</t>
        </is>
      </c>
      <c r="G2012" s="6" t="n">
        <v>30</v>
      </c>
      <c r="H2012" s="6" t="n">
        <v>-312.0184</v>
      </c>
      <c r="I2012" s="7">
        <f>-H2012/G2012</f>
        <v/>
      </c>
      <c r="J2012" s="11" t="n"/>
      <c r="K2012" s="6" t="n"/>
      <c r="L2012" s="6" t="n"/>
      <c r="M2012" s="7">
        <f>IF(N2012=0,+L2012+H2012,0)</f>
        <v/>
      </c>
      <c r="N2012" s="7">
        <f>IF((+G2012-K2012)=0,0,+G2012-K2012)</f>
        <v/>
      </c>
      <c r="O2012" s="7">
        <f>IF(N2012=0,0,(L2012+H2012)/-N2012)</f>
        <v/>
      </c>
      <c r="P2012" s="7">
        <f>VLOOKUP(OPERAC[[#This Row],[especie]],[1]!ESPECIES[#All],6,0)</f>
        <v/>
      </c>
      <c r="Q2012" s="7">
        <f>IF(N2012&lt;&gt;0,P2012*N2012,0)</f>
        <v/>
      </c>
      <c r="R2012" s="8">
        <f>IF(Q2012&lt;&gt;0,Q2012+H2012+L2012,0)</f>
        <v/>
      </c>
      <c r="S2012" s="9">
        <f>VLOOKUP(OPERAC[[#This Row],[especie]],[1]!ESPECIES[#Data],9,FALSE)</f>
        <v/>
      </c>
    </row>
    <row r="2013">
      <c r="A2013" s="4" t="n">
        <v>13253</v>
      </c>
      <c r="B2013" s="5" t="n">
        <v>44215</v>
      </c>
      <c r="C2013" s="13" t="inlineStr">
        <is>
          <t>VTA</t>
        </is>
      </c>
      <c r="D2013" s="13" t="n">
        <v>41</v>
      </c>
      <c r="E2013" s="10">
        <f>IF(D2013&gt;0,VLOOKUP(OPERAC[[#This Row],[COD CART]],[1]!MatrizCortoLargoCyl[#All],3,0),"")</f>
        <v/>
      </c>
      <c r="F2013" s="13" t="inlineStr">
        <is>
          <t>STOR</t>
        </is>
      </c>
      <c r="G2013" s="6" t="n">
        <v>10</v>
      </c>
      <c r="H2013" s="6" t="n">
        <v>-312.2704</v>
      </c>
      <c r="I2013" s="7">
        <f>-H2013/G2013</f>
        <v/>
      </c>
      <c r="J2013" s="11" t="n"/>
      <c r="K2013" s="6" t="n"/>
      <c r="L2013" s="6" t="n"/>
      <c r="M2013" s="7">
        <f>IF(N2013=0,+L2013+H2013,0)</f>
        <v/>
      </c>
      <c r="N2013" s="7">
        <f>IF((+G2013-K2013)=0,0,+G2013-K2013)</f>
        <v/>
      </c>
      <c r="O2013" s="7">
        <f>IF(N2013=0,0,(L2013+H2013)/-N2013)</f>
        <v/>
      </c>
      <c r="P2013" s="7">
        <f>VLOOKUP(OPERAC[[#This Row],[especie]],[1]!ESPECIES[#All],6,0)</f>
        <v/>
      </c>
      <c r="Q2013" s="7">
        <f>IF(N2013&lt;&gt;0,P2013*N2013,0)</f>
        <v/>
      </c>
      <c r="R2013" s="8">
        <f>IF(Q2013&lt;&gt;0,Q2013+H2013+L2013,0)</f>
        <v/>
      </c>
      <c r="S2013" s="9">
        <f>VLOOKUP(OPERAC[[#This Row],[especie]],[1]!ESPECIES[#Data],9,FALSE)</f>
        <v/>
      </c>
    </row>
    <row r="2014">
      <c r="A2014" s="4" t="n">
        <v>13180</v>
      </c>
      <c r="B2014" s="5" t="n">
        <v>44536</v>
      </c>
      <c r="C2014" s="13" t="inlineStr">
        <is>
          <t>VTA</t>
        </is>
      </c>
      <c r="D2014" s="13" t="n">
        <v>43</v>
      </c>
      <c r="E2014" s="10">
        <f>IF(D2014&gt;0,VLOOKUP(OPERAC[[#This Row],[COD CART]],[1]!MatrizCortoLargoCyl[#All],3,0),"")</f>
        <v/>
      </c>
      <c r="F2014" s="13" t="inlineStr">
        <is>
          <t>XSPA/CYL-PUT/1,50/20-01-23</t>
        </is>
      </c>
      <c r="G2014" s="6" t="n">
        <v>700</v>
      </c>
      <c r="H2014" s="6">
        <f>-0.4462*OPERAC[[#This Row],[cantidad]]</f>
        <v/>
      </c>
      <c r="I2014" s="7">
        <f>-H2014/G2014</f>
        <v/>
      </c>
      <c r="J2014" s="11" t="n"/>
      <c r="K2014" s="6" t="n"/>
      <c r="L2014" s="6" t="n"/>
      <c r="M2014" s="7">
        <f>IF(N2014=0,+L2014+H2014,0)</f>
        <v/>
      </c>
      <c r="N2014" s="7">
        <f>IF((+G2014-K2014)=0,0,+G2014-K2014)</f>
        <v/>
      </c>
      <c r="O2014" s="7">
        <f>IF(N2014=0,0,(L2014+H2014)/-N2014)</f>
        <v/>
      </c>
      <c r="P2014" s="7">
        <f>VLOOKUP(OPERAC[[#This Row],[especie]],[1]!ESPECIES[#All],6,0)</f>
        <v/>
      </c>
      <c r="Q2014" s="7">
        <f>IF(N2014&lt;&gt;0,P2014*N2014,0)</f>
        <v/>
      </c>
      <c r="R2014" s="8">
        <f>IF(Q2014&lt;&gt;0,Q2014+H2014+L2014,0)</f>
        <v/>
      </c>
      <c r="S2014" s="9">
        <f>VLOOKUP(OPERAC[[#This Row],[especie]],[1]!ESPECIES[#Data],9,FALSE)</f>
        <v/>
      </c>
    </row>
    <row r="2015">
      <c r="A2015" s="4" t="n">
        <v>18669</v>
      </c>
      <c r="B2015" s="5" t="n">
        <v>44200</v>
      </c>
      <c r="C2015" s="13" t="inlineStr">
        <is>
          <t>VTA</t>
        </is>
      </c>
      <c r="D2015" s="13" t="n">
        <v>41</v>
      </c>
      <c r="E2015" s="10">
        <f>IF(D2015&gt;0,VLOOKUP(OPERAC[[#This Row],[COD CART]],[1]!MatrizCortoLargoCyl[#All],3,0),"")</f>
        <v/>
      </c>
      <c r="F2015" s="13" t="inlineStr">
        <is>
          <t>NIO</t>
        </is>
      </c>
      <c r="G2015" s="6" t="n">
        <v>6</v>
      </c>
      <c r="H2015" s="6" t="n">
        <v>-312.472</v>
      </c>
      <c r="I2015" s="7">
        <f>-H2015/G2015</f>
        <v/>
      </c>
      <c r="J2015" s="11" t="n"/>
      <c r="K2015" s="6" t="n"/>
      <c r="L2015" s="6" t="n"/>
      <c r="M2015" s="7">
        <f>IF(N2015=0,+L2015+H2015,0)</f>
        <v/>
      </c>
      <c r="N2015" s="7">
        <f>IF((+G2015-K2015)=0,0,+G2015-K2015)</f>
        <v/>
      </c>
      <c r="O2015" s="7">
        <f>IF(N2015=0,0,(L2015+H2015)/-N2015)</f>
        <v/>
      </c>
      <c r="P2015" s="7">
        <f>VLOOKUP(OPERAC[[#This Row],[especie]],[1]!ESPECIES[#All],6,0)</f>
        <v/>
      </c>
      <c r="Q2015" s="7">
        <f>IF(N2015&lt;&gt;0,P2015*N2015,0)</f>
        <v/>
      </c>
      <c r="R2015" s="8">
        <f>IF(Q2015&lt;&gt;0,Q2015+H2015+L2015,0)</f>
        <v/>
      </c>
      <c r="S2015" s="9">
        <f>VLOOKUP(OPERAC[[#This Row],[especie]],[1]!ESPECIES[#Data],9,FALSE)</f>
        <v/>
      </c>
    </row>
    <row r="2016">
      <c r="A2016" s="4" t="n">
        <v>7879</v>
      </c>
      <c r="B2016" s="5" t="n">
        <v>44725</v>
      </c>
      <c r="C2016" s="13" t="inlineStr">
        <is>
          <t>VTA</t>
        </is>
      </c>
      <c r="D2016" s="13" t="n">
        <v>40</v>
      </c>
      <c r="E2016" s="10">
        <f>IF(D2016&gt;0,VLOOKUP(OPERAC[[#This Row],[COD CART]],[1]!MatrizCortoLargoCyl[#All],3,0),"")</f>
        <v/>
      </c>
      <c r="F2016" s="13" t="inlineStr">
        <is>
          <t>AMZN</t>
        </is>
      </c>
      <c r="G2016" s="6" t="n">
        <v>3</v>
      </c>
      <c r="H2016" s="6" t="n">
        <v>-312.5311245</v>
      </c>
      <c r="I2016" s="7">
        <f>-H2016/G2016</f>
        <v/>
      </c>
      <c r="J2016" s="5" t="n"/>
      <c r="K2016" s="6" t="n"/>
      <c r="L2016" s="6" t="n"/>
      <c r="M2016" s="7">
        <f>IF(N2016=0,+L2016+H2016,0)</f>
        <v/>
      </c>
      <c r="N2016" s="7">
        <f>IF((+G2016-K2016)=0,0,+G2016-K2016)</f>
        <v/>
      </c>
      <c r="O2016" s="7">
        <f>IF(N2016=0,0,(L2016+H2016)/-N2016)</f>
        <v/>
      </c>
      <c r="P2016" s="7">
        <f>VLOOKUP(OPERAC[[#This Row],[especie]],[1]!ESPECIES[#All],6,0)</f>
        <v/>
      </c>
      <c r="Q2016" s="7">
        <f>IF(N2016&lt;&gt;0,P2016*N2016,0)</f>
        <v/>
      </c>
      <c r="R2016" s="8">
        <f>IF(Q2016&lt;&gt;0,Q2016+H2016+L2016,0)</f>
        <v/>
      </c>
      <c r="S2016" s="9">
        <f>VLOOKUP(OPERAC[[#This Row],[especie]],[1]!ESPECIES[#Data],9,FALSE)</f>
        <v/>
      </c>
    </row>
    <row r="2017">
      <c r="A2017" s="4" t="n">
        <v>18663</v>
      </c>
      <c r="B2017" s="5" t="n">
        <v>44641</v>
      </c>
      <c r="C2017" s="13" t="inlineStr">
        <is>
          <t>VTA</t>
        </is>
      </c>
      <c r="D2017" s="13" t="n">
        <v>41</v>
      </c>
      <c r="E2017" s="10">
        <f>IF(D2017&gt;0,VLOOKUP(OPERAC[[#This Row],[COD CART]],[1]!MatrizCortoLargoCyl[#All],3,0),"")</f>
        <v/>
      </c>
      <c r="F2017" s="13" t="inlineStr">
        <is>
          <t>BABA</t>
        </is>
      </c>
      <c r="G2017" s="6" t="n">
        <v>3</v>
      </c>
      <c r="H2017" s="6" t="n">
        <v>-313.198</v>
      </c>
      <c r="I2017" s="7">
        <f>-H2017/G2017</f>
        <v/>
      </c>
      <c r="J2017" s="11" t="n"/>
      <c r="K2017" s="6" t="n"/>
      <c r="L2017" s="6" t="n"/>
      <c r="M2017" s="7">
        <f>IF(N2017=0,+L2017+H2017,0)</f>
        <v/>
      </c>
      <c r="N2017" s="7">
        <f>IF((+G2017-K2017)=0,0,+G2017-K2017)</f>
        <v/>
      </c>
      <c r="O2017" s="7">
        <f>IF(N2017=0,0,(L2017+H2017)/-N2017)</f>
        <v/>
      </c>
      <c r="P2017" s="7">
        <f>VLOOKUP(OPERAC[[#This Row],[especie]],[1]!ESPECIES[#All],6,0)</f>
        <v/>
      </c>
      <c r="Q2017" s="7">
        <f>IF(N2017&lt;&gt;0,P2017*N2017,0)</f>
        <v/>
      </c>
      <c r="R2017" s="8">
        <f>IF(Q2017&lt;&gt;0,Q2017+H2017+L2017,0)</f>
        <v/>
      </c>
      <c r="S2017" s="9">
        <f>VLOOKUP(OPERAC[[#This Row],[especie]],[1]!ESPECIES[#Data],9,FALSE)</f>
        <v/>
      </c>
    </row>
    <row r="2018">
      <c r="A2018" s="4" t="n">
        <v>18663</v>
      </c>
      <c r="B2018" s="5" t="n">
        <v>44446</v>
      </c>
      <c r="C2018" s="13" t="inlineStr">
        <is>
          <t>VTA</t>
        </is>
      </c>
      <c r="D2018" s="13" t="n">
        <v>41</v>
      </c>
      <c r="E2018" s="10">
        <f>IF(D2018&gt;0,VLOOKUP(OPERAC[[#This Row],[COD CART]],[1]!MatrizCortoLargoCyl[#All],3,0),"")</f>
        <v/>
      </c>
      <c r="F2018" s="13" t="inlineStr">
        <is>
          <t>JEPI</t>
        </is>
      </c>
      <c r="G2018" s="6" t="n">
        <v>5</v>
      </c>
      <c r="H2018" s="6" t="n">
        <v>-313.41952</v>
      </c>
      <c r="I2018" s="7">
        <f>-H2018/G2018</f>
        <v/>
      </c>
      <c r="J2018" s="11" t="n"/>
      <c r="K2018" s="6" t="n"/>
      <c r="L2018" s="6" t="n"/>
      <c r="M2018" s="7">
        <f>IF(N2018=0,+L2018+H2018,0)</f>
        <v/>
      </c>
      <c r="N2018" s="7">
        <f>IF((+G2018-K2018)=0,0,+G2018-K2018)</f>
        <v/>
      </c>
      <c r="O2018" s="7">
        <f>IF(N2018=0,0,(L2018+H2018)/-N2018)</f>
        <v/>
      </c>
      <c r="P2018" s="7">
        <f>VLOOKUP(OPERAC[[#This Row],[especie]],[1]!ESPECIES[#All],6,0)</f>
        <v/>
      </c>
      <c r="Q2018" s="7">
        <f>IF(N2018&lt;&gt;0,P2018*N2018,0)</f>
        <v/>
      </c>
      <c r="R2018" s="8">
        <f>IF(Q2018&lt;&gt;0,Q2018+H2018+L2018,0)</f>
        <v/>
      </c>
      <c r="S2018" s="9">
        <f>VLOOKUP(OPERAC[[#This Row],[especie]],[1]!ESPECIES[#Data],9,FALSE)</f>
        <v/>
      </c>
    </row>
    <row r="2019">
      <c r="A2019" s="4" t="n">
        <v>20312</v>
      </c>
      <c r="B2019" s="5" t="n">
        <v>44722</v>
      </c>
      <c r="C2019" s="13" t="inlineStr">
        <is>
          <t>VTA</t>
        </is>
      </c>
      <c r="D2019" s="13" t="n">
        <v>40</v>
      </c>
      <c r="E2019" s="10">
        <f>IF(D2019&gt;0,VLOOKUP(OPERAC[[#This Row],[COD CART]],[1]!MatrizCortoLargoCyl[#All],3,0),"")</f>
        <v/>
      </c>
      <c r="F2019" s="13" t="inlineStr">
        <is>
          <t>TS</t>
        </is>
      </c>
      <c r="G2019" s="6" t="n">
        <v>10</v>
      </c>
      <c r="H2019" s="6" t="n">
        <v>-313.895625</v>
      </c>
      <c r="I2019" s="7">
        <f>-H2019/G2019</f>
        <v/>
      </c>
      <c r="J2019" s="5" t="n"/>
      <c r="K2019" s="6" t="n"/>
      <c r="L2019" s="6" t="n"/>
      <c r="M2019" s="7">
        <f>IF(N2019=0,+L2019+H2019,0)</f>
        <v/>
      </c>
      <c r="N2019" s="7">
        <f>IF((+G2019-K2019)=0,0,+G2019-K2019)</f>
        <v/>
      </c>
      <c r="O2019" s="7">
        <f>IF(N2019=0,0,(L2019+H2019)/-N2019)</f>
        <v/>
      </c>
      <c r="P2019" s="7">
        <f>VLOOKUP(OPERAC[[#This Row],[especie]],[1]!ESPECIES[#All],6,0)</f>
        <v/>
      </c>
      <c r="Q2019" s="7">
        <f>IF(N2019&lt;&gt;0,P2019*N2019,0)</f>
        <v/>
      </c>
      <c r="R2019" s="8">
        <f>IF(Q2019&lt;&gt;0,Q2019+H2019+L2019,0)</f>
        <v/>
      </c>
      <c r="S2019" s="9">
        <f>VLOOKUP(OPERAC[[#This Row],[especie]],[1]!ESPECIES[#Data],9,FALSE)</f>
        <v/>
      </c>
    </row>
    <row r="2020">
      <c r="A2020" s="4" t="n">
        <v>13204</v>
      </c>
      <c r="B2020" s="5" t="n">
        <v>44461</v>
      </c>
      <c r="C2020" s="13" t="inlineStr">
        <is>
          <t>VTA</t>
        </is>
      </c>
      <c r="D2020" s="13" t="n">
        <v>40</v>
      </c>
      <c r="E2020" s="10">
        <f>IF(D2020&gt;0,VLOOKUP(OPERAC[[#This Row],[COD CART]],[1]!MatrizCortoLargoCyl[#All],3,0),"")</f>
        <v/>
      </c>
      <c r="F2020" s="13" t="inlineStr">
        <is>
          <t>EDU</t>
        </is>
      </c>
      <c r="G2020" s="6" t="n">
        <v>300</v>
      </c>
      <c r="H2020" s="6">
        <f>-1.0864*OPERAC[[#This Row],[cantidad]]+0.04*OPERAC[[#This Row],[cantidad]]</f>
        <v/>
      </c>
      <c r="I2020" s="7">
        <f>-H2020/G2020</f>
        <v/>
      </c>
      <c r="J2020" s="11" t="n">
        <v>44614</v>
      </c>
      <c r="K2020" s="6">
        <f>+OPERAC[[#This Row],[cantidad]]</f>
        <v/>
      </c>
      <c r="L2020" s="6">
        <f>1.483*OPERAC[[#This Row],[cantidad venta]]</f>
        <v/>
      </c>
      <c r="M2020" s="7">
        <f>IF(N2020=0,+L2020+H2020,0)</f>
        <v/>
      </c>
      <c r="N2020" s="7">
        <f>IF((+G2020-K2020)=0,0,+G2020-K2020)</f>
        <v/>
      </c>
      <c r="O2020" s="7">
        <f>IF(N2020=0,0,(L2020+H2020)/-N2020)</f>
        <v/>
      </c>
      <c r="P2020" s="7">
        <f>VLOOKUP(OPERAC[[#This Row],[especie]],[1]!ESPECIES[#All],6,0)</f>
        <v/>
      </c>
      <c r="Q2020" s="7">
        <f>IF(N2020&lt;&gt;0,P2020*N2020,0)</f>
        <v/>
      </c>
      <c r="R2020" s="8">
        <f>IF(Q2020&lt;&gt;0,Q2020+H2020+L2020,0)</f>
        <v/>
      </c>
      <c r="S2020" s="9">
        <f>VLOOKUP(OPERAC[[#This Row],[especie]],[1]!ESPECIES[#Data],9,FALSE)</f>
        <v/>
      </c>
    </row>
    <row r="2021">
      <c r="A2021" s="4" t="n">
        <v>16818</v>
      </c>
      <c r="B2021" s="5" t="n">
        <v>44461</v>
      </c>
      <c r="C2021" s="13" t="inlineStr">
        <is>
          <t>VTA</t>
        </is>
      </c>
      <c r="D2021" s="13" t="n">
        <v>40</v>
      </c>
      <c r="E2021" s="10">
        <f>IF(D2021&gt;0,VLOOKUP(OPERAC[[#This Row],[COD CART]],[1]!MatrizCortoLargoCyl[#All],3,0),"")</f>
        <v/>
      </c>
      <c r="F2021" s="13" t="inlineStr">
        <is>
          <t>EDU</t>
        </is>
      </c>
      <c r="G2021" s="6" t="n">
        <v>300</v>
      </c>
      <c r="H2021" s="6">
        <f>-1.0864*OPERAC[[#This Row],[cantidad]]+0.04*OPERAC[[#This Row],[cantidad]]</f>
        <v/>
      </c>
      <c r="I2021" s="7">
        <f>-H2021/G2021</f>
        <v/>
      </c>
      <c r="J2021" s="11" t="n">
        <v>44630</v>
      </c>
      <c r="K2021" s="6" t="n">
        <v>300</v>
      </c>
      <c r="L2021" s="6" t="n">
        <v>342.378</v>
      </c>
      <c r="M2021" s="7">
        <f>IF(N2021=0,+L2021+H2021,0)</f>
        <v/>
      </c>
      <c r="N2021" s="7">
        <f>IF((+G2021-K2021)=0,0,+G2021-K2021)</f>
        <v/>
      </c>
      <c r="O2021" s="7">
        <f>IF(N2021=0,0,(L2021+H2021)/-N2021)</f>
        <v/>
      </c>
      <c r="P2021" s="7">
        <f>VLOOKUP(OPERAC[[#This Row],[especie]],[1]!ESPECIES[#All],6,0)</f>
        <v/>
      </c>
      <c r="Q2021" s="7">
        <f>IF(N2021&lt;&gt;0,P2021*N2021,0)</f>
        <v/>
      </c>
      <c r="R2021" s="8">
        <f>IF(Q2021&lt;&gt;0,Q2021+H2021+L2021,0)</f>
        <v/>
      </c>
      <c r="S2021" s="9">
        <f>VLOOKUP(OPERAC[[#This Row],[especie]],[1]!ESPECIES[#Data],9,FALSE)</f>
        <v/>
      </c>
    </row>
    <row r="2022">
      <c r="A2022" s="4" t="n">
        <v>19867</v>
      </c>
      <c r="B2022" s="5" t="n">
        <v>44461</v>
      </c>
      <c r="C2022" s="13" t="inlineStr">
        <is>
          <t>VTA</t>
        </is>
      </c>
      <c r="D2022" s="13" t="n">
        <v>40</v>
      </c>
      <c r="E2022" s="10">
        <f>IF(D2022&gt;0,VLOOKUP(OPERAC[[#This Row],[COD CART]],[1]!MatrizCortoLargoCyl[#All],3,0),"")</f>
        <v/>
      </c>
      <c r="F2022" s="13" t="inlineStr">
        <is>
          <t>EDU</t>
        </is>
      </c>
      <c r="G2022" s="6" t="n">
        <v>300</v>
      </c>
      <c r="H2022" s="6">
        <f>-1.0864*OPERAC[[#This Row],[cantidad]]+0.04*OPERAC[[#This Row],[cantidad]]</f>
        <v/>
      </c>
      <c r="I2022" s="7">
        <f>-H2022/G2022</f>
        <v/>
      </c>
      <c r="J2022" s="11" t="n">
        <v>44622</v>
      </c>
      <c r="K2022" s="6" t="n">
        <v>300</v>
      </c>
      <c r="L2022" s="6">
        <f>+OPERAC[[#This Row],[cantidad venta]]*1.378</f>
        <v/>
      </c>
      <c r="M2022" s="7">
        <f>IF(N2022=0,+L2022+H2022,0)</f>
        <v/>
      </c>
      <c r="N2022" s="7">
        <f>IF((+G2022-K2022)=0,0,+G2022-K2022)</f>
        <v/>
      </c>
      <c r="O2022" s="7">
        <f>IF(N2022=0,0,(L2022+H2022)/-N2022)</f>
        <v/>
      </c>
      <c r="P2022" s="7">
        <f>VLOOKUP(OPERAC[[#This Row],[especie]],[1]!ESPECIES[#All],6,0)</f>
        <v/>
      </c>
      <c r="Q2022" s="7">
        <f>IF(N2022&lt;&gt;0,P2022*N2022,0)</f>
        <v/>
      </c>
      <c r="R2022" s="8">
        <f>IF(Q2022&lt;&gt;0,Q2022+H2022+L2022,0)</f>
        <v/>
      </c>
      <c r="S2022" s="9">
        <f>VLOOKUP(OPERAC[[#This Row],[especie]],[1]!ESPECIES[#Data],9,FALSE)</f>
        <v/>
      </c>
    </row>
    <row r="2023">
      <c r="A2023" s="4" t="n">
        <v>20312</v>
      </c>
      <c r="B2023" s="5" t="n">
        <v>44461</v>
      </c>
      <c r="C2023" s="13" t="inlineStr">
        <is>
          <t>VTA</t>
        </is>
      </c>
      <c r="D2023" s="13" t="n">
        <v>40</v>
      </c>
      <c r="E2023" s="10">
        <f>IF(D2023&gt;0,VLOOKUP(OPERAC[[#This Row],[COD CART]],[1]!MatrizCortoLargoCyl[#All],3,0),"")</f>
        <v/>
      </c>
      <c r="F2023" s="13" t="inlineStr">
        <is>
          <t>EDU</t>
        </is>
      </c>
      <c r="G2023" s="6" t="n">
        <v>300</v>
      </c>
      <c r="H2023" s="6">
        <f>-1.0864*OPERAC[[#This Row],[cantidad]]+0.04*OPERAC[[#This Row],[cantidad]]</f>
        <v/>
      </c>
      <c r="I2023" s="7">
        <f>-H2023/G2023</f>
        <v/>
      </c>
      <c r="J2023" s="11" t="n">
        <v>44614</v>
      </c>
      <c r="K2023" s="6">
        <f>+OPERAC[[#This Row],[cantidad]]</f>
        <v/>
      </c>
      <c r="L2023" s="6">
        <f>1.483*OPERAC[[#This Row],[cantidad venta]]</f>
        <v/>
      </c>
      <c r="M2023" s="7">
        <f>IF(N2023=0,+L2023+H2023,0)</f>
        <v/>
      </c>
      <c r="N2023" s="7">
        <f>IF((+G2023-K2023)=0,0,+G2023-K2023)</f>
        <v/>
      </c>
      <c r="O2023" s="7">
        <f>IF(N2023=0,0,(L2023+H2023)/-N2023)</f>
        <v/>
      </c>
      <c r="P2023" s="7">
        <f>VLOOKUP(OPERAC[[#This Row],[especie]],[1]!ESPECIES[#All],6,0)</f>
        <v/>
      </c>
      <c r="Q2023" s="7">
        <f>IF(N2023&lt;&gt;0,P2023*N2023,0)</f>
        <v/>
      </c>
      <c r="R2023" s="8">
        <f>IF(Q2023&lt;&gt;0,Q2023+H2023+L2023,0)</f>
        <v/>
      </c>
      <c r="S2023" s="9">
        <f>VLOOKUP(OPERAC[[#This Row],[especie]],[1]!ESPECIES[#Data],9,FALSE)</f>
        <v/>
      </c>
    </row>
    <row r="2024">
      <c r="A2024" s="4" t="n">
        <v>18663</v>
      </c>
      <c r="B2024" s="5" t="n">
        <v>44634</v>
      </c>
      <c r="C2024" s="13" t="inlineStr">
        <is>
          <t>VTA</t>
        </is>
      </c>
      <c r="D2024" s="13" t="n">
        <v>41</v>
      </c>
      <c r="E2024" s="10">
        <f>IF(D2024&gt;0,VLOOKUP(OPERAC[[#This Row],[COD CART]],[1]!MatrizCortoLargoCyl[#All],3,0),"")</f>
        <v/>
      </c>
      <c r="F2024" s="13" t="inlineStr">
        <is>
          <t>SFM</t>
        </is>
      </c>
      <c r="G2024" s="6" t="n">
        <v>10</v>
      </c>
      <c r="H2024" s="6" t="n">
        <v>-314.186</v>
      </c>
      <c r="I2024" s="7">
        <f>-H2024/G2024</f>
        <v/>
      </c>
      <c r="J2024" s="11" t="n"/>
      <c r="K2024" s="6" t="n"/>
      <c r="L2024" s="6" t="n"/>
      <c r="M2024" s="7">
        <f>IF(N2024=0,+L2024+H2024,0)</f>
        <v/>
      </c>
      <c r="N2024" s="7">
        <f>IF((+G2024-K2024)=0,0,+G2024-K2024)</f>
        <v/>
      </c>
      <c r="O2024" s="7">
        <f>IF(N2024=0,0,(L2024+H2024)/-N2024)</f>
        <v/>
      </c>
      <c r="P2024" s="7">
        <f>VLOOKUP(OPERAC[[#This Row],[especie]],[1]!ESPECIES[#All],6,0)</f>
        <v/>
      </c>
      <c r="Q2024" s="7">
        <f>IF(N2024&lt;&gt;0,P2024*N2024,0)</f>
        <v/>
      </c>
      <c r="R2024" s="8">
        <f>IF(Q2024&lt;&gt;0,Q2024+H2024+L2024,0)</f>
        <v/>
      </c>
      <c r="S2024" s="9">
        <f>VLOOKUP(OPERAC[[#This Row],[especie]],[1]!ESPECIES[#Data],9,FALSE)</f>
        <v/>
      </c>
    </row>
    <row r="2025">
      <c r="A2025" s="4" t="n">
        <v>13253</v>
      </c>
      <c r="B2025" s="5" t="n">
        <v>44546</v>
      </c>
      <c r="C2025" s="13" t="inlineStr">
        <is>
          <t>VTA</t>
        </is>
      </c>
      <c r="D2025" s="13" t="n">
        <v>41</v>
      </c>
      <c r="E2025" s="10">
        <f>IF(D2025&gt;0,VLOOKUP(OPERAC[[#This Row],[COD CART]],[1]!MatrizCortoLargoCyl[#All],3,0),"")</f>
        <v/>
      </c>
      <c r="F2025" s="13" t="inlineStr">
        <is>
          <t>SPWR</t>
        </is>
      </c>
      <c r="G2025" s="6" t="n">
        <v>15</v>
      </c>
      <c r="H2025" s="6" t="n">
        <v>-314.256</v>
      </c>
      <c r="I2025" s="7">
        <f>-H2025/G2025</f>
        <v/>
      </c>
      <c r="J2025" s="11" t="n">
        <v>44585</v>
      </c>
      <c r="K2025" s="6">
        <f>10+5</f>
        <v/>
      </c>
      <c r="L2025" s="6">
        <f>163.68+83.77</f>
        <v/>
      </c>
      <c r="M2025" s="7">
        <f>IF(N2025=0,+L2025+H2025,0)</f>
        <v/>
      </c>
      <c r="N2025" s="7">
        <f>IF((+G2025-K2025)=0,0,+G2025-K2025)</f>
        <v/>
      </c>
      <c r="O2025" s="7">
        <f>IF(N2025=0,0,(L2025+H2025)/-N2025)</f>
        <v/>
      </c>
      <c r="P2025" s="7">
        <f>VLOOKUP(OPERAC[[#This Row],[especie]],[1]!ESPECIES[#All],6,0)</f>
        <v/>
      </c>
      <c r="Q2025" s="7">
        <f>IF(N2025&lt;&gt;0,P2025*N2025,0)</f>
        <v/>
      </c>
      <c r="R2025" s="8">
        <f>IF(Q2025&lt;&gt;0,Q2025+H2025+L2025,0)</f>
        <v/>
      </c>
      <c r="S2025" s="9">
        <f>VLOOKUP(OPERAC[[#This Row],[especie]],[1]!ESPECIES[#Data],9,FALSE)</f>
        <v/>
      </c>
    </row>
    <row r="2026">
      <c r="A2026" s="4" t="n">
        <v>21070</v>
      </c>
      <c r="B2026" s="5" t="n">
        <v>44721</v>
      </c>
      <c r="C2026" s="13" t="inlineStr">
        <is>
          <t>VTA</t>
        </is>
      </c>
      <c r="D2026" s="13" t="n">
        <v>32</v>
      </c>
      <c r="E2026" s="10">
        <f>IF(D2026&gt;0,VLOOKUP(OPERAC[[#This Row],[COD CART]],[1]!MatrizCortoLargoCyl[#All],3,0),"")</f>
        <v/>
      </c>
      <c r="F2026" s="13" t="inlineStr">
        <is>
          <t>SESN/CYL/1,00/18-11-22</t>
        </is>
      </c>
      <c r="G2026" s="6" t="n">
        <v>500</v>
      </c>
      <c r="H2026" s="6" t="n">
        <v>-315</v>
      </c>
      <c r="I2026" s="7">
        <f>-H2026/G2026</f>
        <v/>
      </c>
      <c r="J2026" s="5" t="n"/>
      <c r="K2026" s="6" t="n"/>
      <c r="L2026" s="6" t="n"/>
      <c r="M2026" s="7">
        <f>IF(N2026=0,+L2026+H2026,0)</f>
        <v/>
      </c>
      <c r="N2026" s="7">
        <f>IF((+G2026-K2026)=0,0,+G2026-K2026)</f>
        <v/>
      </c>
      <c r="O2026" s="7">
        <f>IF(N2026=0,0,(L2026+H2026)/-N2026)</f>
        <v/>
      </c>
      <c r="P2026" s="7">
        <f>VLOOKUP(OPERAC[[#This Row],[especie]],[1]!ESPECIES[#All],6,0)</f>
        <v/>
      </c>
      <c r="Q2026" s="7">
        <f>IF(N2026&lt;&gt;0,P2026*N2026,0)</f>
        <v/>
      </c>
      <c r="R2026" s="8">
        <f>IF(Q2026&lt;&gt;0,Q2026+H2026+L2026,0)</f>
        <v/>
      </c>
      <c r="S2026" s="9">
        <f>VLOOKUP(OPERAC[[#This Row],[especie]],[1]!ESPECIES[#Data],9,FALSE)</f>
        <v/>
      </c>
    </row>
    <row r="2027">
      <c r="A2027" s="4" t="n">
        <v>13268</v>
      </c>
      <c r="B2027" s="5" t="n">
        <v>44721</v>
      </c>
      <c r="C2027" s="13" t="inlineStr">
        <is>
          <t>VTA</t>
        </is>
      </c>
      <c r="D2027" s="13" t="n">
        <v>32</v>
      </c>
      <c r="E2027" s="10">
        <f>IF(D2027&gt;0,VLOOKUP(OPERAC[[#This Row],[COD CART]],[1]!MatrizCortoLargoCyl[#All],3,0),"")</f>
        <v/>
      </c>
      <c r="F2027" s="13" t="inlineStr">
        <is>
          <t>SESN/CYL/1,00/18-11-22</t>
        </is>
      </c>
      <c r="G2027" s="6" t="n">
        <v>500</v>
      </c>
      <c r="H2027" s="6" t="n">
        <v>-315</v>
      </c>
      <c r="I2027" s="7">
        <f>-H2027/G2027</f>
        <v/>
      </c>
      <c r="J2027" s="5" t="n"/>
      <c r="K2027" s="6" t="n"/>
      <c r="L2027" s="6" t="n"/>
      <c r="M2027" s="7">
        <f>IF(N2027=0,+L2027+H2027,0)</f>
        <v/>
      </c>
      <c r="N2027" s="7">
        <f>IF((+G2027-K2027)=0,0,+G2027-K2027)</f>
        <v/>
      </c>
      <c r="O2027" s="7">
        <f>IF(N2027=0,0,(L2027+H2027)/-N2027)</f>
        <v/>
      </c>
      <c r="P2027" s="7">
        <f>VLOOKUP(OPERAC[[#This Row],[especie]],[1]!ESPECIES[#All],6,0)</f>
        <v/>
      </c>
      <c r="Q2027" s="7">
        <f>IF(N2027&lt;&gt;0,P2027*N2027,0)</f>
        <v/>
      </c>
      <c r="R2027" s="8">
        <f>IF(Q2027&lt;&gt;0,Q2027+H2027+L2027,0)</f>
        <v/>
      </c>
      <c r="S2027" s="9">
        <f>VLOOKUP(OPERAC[[#This Row],[especie]],[1]!ESPECIES[#Data],9,FALSE)</f>
        <v/>
      </c>
    </row>
    <row r="2028">
      <c r="A2028" s="4" t="n">
        <v>19972</v>
      </c>
      <c r="B2028" s="5" t="n">
        <v>44642</v>
      </c>
      <c r="C2028" s="13" t="inlineStr">
        <is>
          <t>VTA</t>
        </is>
      </c>
      <c r="D2028" s="13" t="n">
        <v>41</v>
      </c>
      <c r="E2028" s="10">
        <f>IF(D2028&gt;0,VLOOKUP(OPERAC[[#This Row],[COD CART]],[1]!MatrizCortoLargoCyl[#All],3,0),"")</f>
        <v/>
      </c>
      <c r="F2028" s="13" t="inlineStr">
        <is>
          <t>KWEB</t>
        </is>
      </c>
      <c r="G2028" s="6" t="n">
        <v>10</v>
      </c>
      <c r="H2028" s="6" t="n">
        <v>-315.476</v>
      </c>
      <c r="I2028" s="7">
        <f>-H2028/G2028</f>
        <v/>
      </c>
      <c r="J2028" s="11" t="n">
        <v>44686</v>
      </c>
      <c r="K2028" s="6" t="n">
        <v>10</v>
      </c>
      <c r="L2028" s="6" t="n">
        <v>269.735</v>
      </c>
      <c r="M2028" s="7">
        <f>IF(N2028=0,+L2028+H2028,0)</f>
        <v/>
      </c>
      <c r="N2028" s="7">
        <f>IF((+G2028-K2028)=0,0,+G2028-K2028)</f>
        <v/>
      </c>
      <c r="O2028" s="7">
        <f>IF(N2028=0,0,(L2028+H2028)/-N2028)</f>
        <v/>
      </c>
      <c r="P2028" s="7">
        <f>VLOOKUP(OPERAC[[#This Row],[especie]],[1]!ESPECIES[#All],6,0)</f>
        <v/>
      </c>
      <c r="Q2028" s="7">
        <f>IF(N2028&lt;&gt;0,P2028*N2028,0)</f>
        <v/>
      </c>
      <c r="R2028" s="8">
        <f>IF(Q2028&lt;&gt;0,Q2028+H2028+L2028,0)</f>
        <v/>
      </c>
      <c r="S2028" s="9">
        <f>VLOOKUP(OPERAC[[#This Row],[especie]],[1]!ESPECIES[#Data],9,FALSE)</f>
        <v/>
      </c>
    </row>
    <row r="2029">
      <c r="A2029" s="4" t="n">
        <v>13253</v>
      </c>
      <c r="B2029" s="5" t="n">
        <v>44552</v>
      </c>
      <c r="C2029" s="13" t="inlineStr">
        <is>
          <t>VTA</t>
        </is>
      </c>
      <c r="D2029" s="13" t="n">
        <v>41</v>
      </c>
      <c r="E2029" s="10">
        <f>IF(D2029&gt;0,VLOOKUP(OPERAC[[#This Row],[COD CART]],[1]!MatrizCortoLargoCyl[#All],3,0),"")</f>
        <v/>
      </c>
      <c r="F2029" s="13" t="inlineStr">
        <is>
          <t>JEPI</t>
        </is>
      </c>
      <c r="G2029" s="6" t="n">
        <v>5</v>
      </c>
      <c r="H2029" s="6" t="n">
        <v>-315.6472</v>
      </c>
      <c r="I2029" s="7">
        <f>-H2029/G2029</f>
        <v/>
      </c>
      <c r="J2029" s="11" t="n"/>
      <c r="K2029" s="6" t="n"/>
      <c r="L2029" s="6" t="n"/>
      <c r="M2029" s="7">
        <f>IF(N2029=0,+L2029+H2029,0)</f>
        <v/>
      </c>
      <c r="N2029" s="7">
        <f>IF((+G2029-K2029)=0,0,+G2029-K2029)</f>
        <v/>
      </c>
      <c r="O2029" s="7">
        <f>IF(N2029=0,0,(L2029+H2029)/-N2029)</f>
        <v/>
      </c>
      <c r="P2029" s="7">
        <f>VLOOKUP(OPERAC[[#This Row],[especie]],[1]!ESPECIES[#All],6,0)</f>
        <v/>
      </c>
      <c r="Q2029" s="7">
        <f>IF(N2029&lt;&gt;0,P2029*N2029,0)</f>
        <v/>
      </c>
      <c r="R2029" s="8">
        <f>IF(Q2029&lt;&gt;0,Q2029+H2029+L2029,0)</f>
        <v/>
      </c>
      <c r="S2029" s="9">
        <f>VLOOKUP(OPERAC[[#This Row],[especie]],[1]!ESPECIES[#Data],9,FALSE)</f>
        <v/>
      </c>
    </row>
    <row r="2030">
      <c r="A2030" s="4" t="n">
        <v>9195</v>
      </c>
      <c r="B2030" s="5" t="n">
        <v>44680</v>
      </c>
      <c r="C2030" s="13" t="inlineStr">
        <is>
          <t>VTA</t>
        </is>
      </c>
      <c r="D2030" s="13" t="n">
        <v>42</v>
      </c>
      <c r="E2030" s="10">
        <f>IF(D2030&gt;0,VLOOKUP(OPERAC[[#This Row],[COD CART]],[1]!MatrizCortoLargoCyl[#All],3,0),"")</f>
        <v/>
      </c>
      <c r="F2030" s="14" t="inlineStr">
        <is>
          <t>XLP</t>
        </is>
      </c>
      <c r="G2030" s="6" t="n">
        <v>4</v>
      </c>
      <c r="H2030" s="6" t="n">
        <v>-316.47777</v>
      </c>
      <c r="I2030" s="7">
        <f>-H2030/G2030</f>
        <v/>
      </c>
      <c r="J2030" s="11" t="n"/>
      <c r="K2030" s="6" t="n"/>
      <c r="L2030" s="6" t="n"/>
      <c r="M2030" s="7">
        <f>IF(N2030=0,+L2030+H2030,0)</f>
        <v/>
      </c>
      <c r="N2030" s="7">
        <f>IF((+G2030-K2030)=0,0,+G2030-K2030)</f>
        <v/>
      </c>
      <c r="O2030" s="7">
        <f>IF(N2030=0,0,(L2030+H2030)/-N2030)</f>
        <v/>
      </c>
      <c r="P2030" s="7">
        <f>VLOOKUP(OPERAC[[#This Row],[especie]],[1]!ESPECIES[#All],6,0)</f>
        <v/>
      </c>
      <c r="Q2030" s="7">
        <f>IF(N2030&lt;&gt;0,P2030*N2030,0)</f>
        <v/>
      </c>
      <c r="R2030" s="8">
        <f>IF(Q2030&lt;&gt;0,Q2030+H2030+L2030,0)</f>
        <v/>
      </c>
      <c r="S2030" s="9">
        <f>VLOOKUP(OPERAC[[#This Row],[especie]],[1]!ESPECIES[#Data],9,FALSE)</f>
        <v/>
      </c>
    </row>
    <row r="2031">
      <c r="A2031" s="4" t="n">
        <v>13271</v>
      </c>
      <c r="B2031" s="5" t="n">
        <v>44725</v>
      </c>
      <c r="C2031" s="13" t="inlineStr">
        <is>
          <t>VTA</t>
        </is>
      </c>
      <c r="D2031" s="13" t="n">
        <v>40</v>
      </c>
      <c r="E2031" s="10">
        <f>IF(D2031&gt;0,VLOOKUP(OPERAC[[#This Row],[COD CART]],[1]!MatrizCortoLargoCyl[#All],3,0),"")</f>
        <v/>
      </c>
      <c r="F2031" s="13" t="inlineStr">
        <is>
          <t>AMZN</t>
        </is>
      </c>
      <c r="G2031" s="6" t="n">
        <v>3</v>
      </c>
      <c r="H2031" s="6" t="n">
        <v>-316.797</v>
      </c>
      <c r="I2031" s="7">
        <f>-H2031/G2031</f>
        <v/>
      </c>
      <c r="J2031" s="5" t="n"/>
      <c r="K2031" s="6" t="n"/>
      <c r="L2031" s="6" t="n"/>
      <c r="M2031" s="7">
        <f>IF(N2031=0,+L2031+H2031,0)</f>
        <v/>
      </c>
      <c r="N2031" s="7">
        <f>IF((+G2031-K2031)=0,0,+G2031-K2031)</f>
        <v/>
      </c>
      <c r="O2031" s="7">
        <f>IF(N2031=0,0,(L2031+H2031)/-N2031)</f>
        <v/>
      </c>
      <c r="P2031" s="7">
        <f>VLOOKUP(OPERAC[[#This Row],[especie]],[1]!ESPECIES[#All],6,0)</f>
        <v/>
      </c>
      <c r="Q2031" s="7">
        <f>IF(N2031&lt;&gt;0,P2031*N2031,0)</f>
        <v/>
      </c>
      <c r="R2031" s="8">
        <f>IF(Q2031&lt;&gt;0,Q2031+H2031+L2031,0)</f>
        <v/>
      </c>
      <c r="S2031" s="9">
        <f>VLOOKUP(OPERAC[[#This Row],[especie]],[1]!ESPECIES[#Data],9,FALSE)</f>
        <v/>
      </c>
    </row>
    <row r="2032">
      <c r="A2032" s="4" t="n">
        <v>13253</v>
      </c>
      <c r="B2032" s="5" t="n">
        <v>44334</v>
      </c>
      <c r="C2032" s="13" t="inlineStr">
        <is>
          <t>VTA</t>
        </is>
      </c>
      <c r="D2032" s="13" t="n">
        <v>41</v>
      </c>
      <c r="E2032" s="10">
        <f>IF(D2032&gt;0,VLOOKUP(OPERAC[[#This Row],[COD CART]],[1]!MatrizCortoLargoCyl[#All],3,0),"")</f>
        <v/>
      </c>
      <c r="F2032" s="13" t="inlineStr">
        <is>
          <t>NRZ</t>
        </is>
      </c>
      <c r="G2032" s="6" t="n">
        <v>30</v>
      </c>
      <c r="H2032" s="6" t="n">
        <v>-317.24992</v>
      </c>
      <c r="I2032" s="7">
        <f>-H2032/G2032</f>
        <v/>
      </c>
      <c r="J2032" s="11" t="n"/>
      <c r="K2032" s="6" t="n"/>
      <c r="L2032" s="6" t="n"/>
      <c r="M2032" s="7">
        <f>IF(N2032=0,+L2032+H2032,0)</f>
        <v/>
      </c>
      <c r="N2032" s="7">
        <f>IF((+G2032-K2032)=0,0,+G2032-K2032)</f>
        <v/>
      </c>
      <c r="O2032" s="7">
        <f>IF(N2032=0,0,(L2032+H2032)/-N2032)</f>
        <v/>
      </c>
      <c r="P2032" s="7">
        <f>VLOOKUP(OPERAC[[#This Row],[especie]],[1]!ESPECIES[#All],6,0)</f>
        <v/>
      </c>
      <c r="Q2032" s="7">
        <f>IF(N2032&lt;&gt;0,P2032*N2032,0)</f>
        <v/>
      </c>
      <c r="R2032" s="8">
        <f>IF(Q2032&lt;&gt;0,Q2032+H2032+L2032,0)</f>
        <v/>
      </c>
      <c r="S2032" s="9">
        <f>VLOOKUP(OPERAC[[#This Row],[especie]],[1]!ESPECIES[#Data],9,FALSE)</f>
        <v/>
      </c>
    </row>
    <row r="2033">
      <c r="A2033" s="4" t="n">
        <v>1816</v>
      </c>
      <c r="B2033" s="5" t="n">
        <v>44637</v>
      </c>
      <c r="C2033" s="13" t="inlineStr">
        <is>
          <t>VTA</t>
        </is>
      </c>
      <c r="D2033" s="13" t="n">
        <v>41</v>
      </c>
      <c r="E2033" s="10">
        <f>IF(D2033&gt;0,VLOOKUP(OPERAC[[#This Row],[COD CART]],[1]!MatrizCortoLargoCyl[#All],3,0),"")</f>
        <v/>
      </c>
      <c r="F2033" s="13" t="inlineStr">
        <is>
          <t>ICLN</t>
        </is>
      </c>
      <c r="G2033" s="6" t="n">
        <v>15</v>
      </c>
      <c r="H2033" s="6" t="n">
        <v>-317.3104</v>
      </c>
      <c r="I2033" s="7">
        <f>-H2033/G2033</f>
        <v/>
      </c>
      <c r="J2033" s="11" t="n">
        <v>44656</v>
      </c>
      <c r="K2033" s="6" t="n">
        <v>15</v>
      </c>
      <c r="L2033" s="6" t="n">
        <v>327.327</v>
      </c>
      <c r="M2033" s="7">
        <f>IF(N2033=0,+L2033+H2033,0)</f>
        <v/>
      </c>
      <c r="N2033" s="7">
        <f>IF((+G2033-K2033)=0,0,+G2033-K2033)</f>
        <v/>
      </c>
      <c r="O2033" s="7">
        <f>IF(N2033=0,0,(L2033+H2033)/-N2033)</f>
        <v/>
      </c>
      <c r="P2033" s="7">
        <f>VLOOKUP(OPERAC[[#This Row],[especie]],[1]!ESPECIES[#All],6,0)</f>
        <v/>
      </c>
      <c r="Q2033" s="7">
        <f>IF(N2033&lt;&gt;0,P2033*N2033,0)</f>
        <v/>
      </c>
      <c r="R2033" s="8">
        <f>IF(Q2033&lt;&gt;0,Q2033+H2033+L2033,0)</f>
        <v/>
      </c>
      <c r="S2033" s="9">
        <f>VLOOKUP(OPERAC[[#This Row],[especie]],[1]!ESPECIES[#Data],9,FALSE)</f>
        <v/>
      </c>
    </row>
    <row r="2034">
      <c r="A2034" s="4" t="n">
        <v>1800</v>
      </c>
      <c r="B2034" s="5" t="n">
        <v>44680</v>
      </c>
      <c r="C2034" s="13" t="inlineStr">
        <is>
          <t>VTA</t>
        </is>
      </c>
      <c r="D2034" s="13" t="n">
        <v>42</v>
      </c>
      <c r="E2034" s="10">
        <f>IF(D2034&gt;0,VLOOKUP(OPERAC[[#This Row],[COD CART]],[1]!MatrizCortoLargoCyl[#All],3,0),"")</f>
        <v/>
      </c>
      <c r="F2034" s="14" t="inlineStr">
        <is>
          <t>XLP</t>
        </is>
      </c>
      <c r="G2034" s="6" t="n">
        <v>4</v>
      </c>
      <c r="H2034" s="6" t="n">
        <v>-317.73801</v>
      </c>
      <c r="I2034" s="7">
        <f>-H2034/G2034</f>
        <v/>
      </c>
      <c r="J2034" s="11" t="n">
        <v>44693</v>
      </c>
      <c r="K2034" s="6">
        <f>+OPERAC[[#This Row],[cantidad]]</f>
        <v/>
      </c>
      <c r="L2034" s="6">
        <f>+OPERAC[[#This Row],[cantidad venta]]*75.624</f>
        <v/>
      </c>
      <c r="M2034" s="7">
        <f>IF(N2034=0,+L2034+H2034,0)</f>
        <v/>
      </c>
      <c r="N2034" s="7">
        <f>IF((+G2034-K2034)=0,0,+G2034-K2034)</f>
        <v/>
      </c>
      <c r="O2034" s="7">
        <f>IF(N2034=0,0,(L2034+H2034)/-N2034)</f>
        <v/>
      </c>
      <c r="P2034" s="7">
        <f>VLOOKUP(OPERAC[[#This Row],[especie]],[1]!ESPECIES[#All],6,0)</f>
        <v/>
      </c>
      <c r="Q2034" s="7">
        <f>IF(N2034&lt;&gt;0,P2034*N2034,0)</f>
        <v/>
      </c>
      <c r="R2034" s="8">
        <f>IF(Q2034&lt;&gt;0,Q2034+H2034+L2034,0)</f>
        <v/>
      </c>
      <c r="S2034" s="9">
        <f>VLOOKUP(OPERAC[[#This Row],[especie]],[1]!ESPECIES[#Data],9,FALSE)</f>
        <v/>
      </c>
    </row>
    <row r="2035">
      <c r="A2035" s="4" t="n">
        <v>2209</v>
      </c>
      <c r="B2035" s="5" t="n">
        <v>44585</v>
      </c>
      <c r="C2035" s="13" t="inlineStr">
        <is>
          <t>VTA</t>
        </is>
      </c>
      <c r="D2035" s="13" t="n">
        <v>41</v>
      </c>
      <c r="E2035" s="10">
        <f>IF(D2035&gt;0,VLOOKUP(OPERAC[[#This Row],[COD CART]],[1]!MatrizCortoLargoCyl[#All],3,0),"")</f>
        <v/>
      </c>
      <c r="F2035" s="13" t="inlineStr">
        <is>
          <t>YPF</t>
        </is>
      </c>
      <c r="G2035" s="6" t="n">
        <v>85</v>
      </c>
      <c r="H2035" s="6" t="n">
        <v>-318.4444</v>
      </c>
      <c r="I2035" s="7">
        <f>-H2035/G2035</f>
        <v/>
      </c>
      <c r="J2035" s="11" t="n"/>
      <c r="K2035" s="6" t="n"/>
      <c r="L2035" s="6" t="n"/>
      <c r="M2035" s="7">
        <f>IF(N2035=0,+L2035+H2035,0)</f>
        <v/>
      </c>
      <c r="N2035" s="7">
        <f>IF((+G2035-K2035)=0,0,+G2035-K2035)</f>
        <v/>
      </c>
      <c r="O2035" s="7">
        <f>IF(N2035=0,0,(L2035+H2035)/-N2035)</f>
        <v/>
      </c>
      <c r="P2035" s="7">
        <f>VLOOKUP(OPERAC[[#This Row],[especie]],[1]!ESPECIES[#All],6,0)</f>
        <v/>
      </c>
      <c r="Q2035" s="7">
        <f>IF(N2035&lt;&gt;0,P2035*N2035,0)</f>
        <v/>
      </c>
      <c r="R2035" s="8">
        <f>IF(Q2035&lt;&gt;0,Q2035+H2035+L2035,0)</f>
        <v/>
      </c>
      <c r="S2035" s="9">
        <f>VLOOKUP(OPERAC[[#This Row],[especie]],[1]!ESPECIES[#Data],9,FALSE)</f>
        <v/>
      </c>
    </row>
    <row r="2036">
      <c r="A2036" s="4" t="n">
        <v>18663</v>
      </c>
      <c r="B2036" s="5" t="n">
        <v>44669</v>
      </c>
      <c r="C2036" s="13" t="inlineStr">
        <is>
          <t>VTA</t>
        </is>
      </c>
      <c r="D2036" s="13" t="n">
        <v>41</v>
      </c>
      <c r="E2036" s="10">
        <f>IF(D2036&gt;0,VLOOKUP(OPERAC[[#This Row],[COD CART]],[1]!MatrizCortoLargoCyl[#All],3,0),"")</f>
        <v/>
      </c>
      <c r="F2036" s="13" t="inlineStr">
        <is>
          <t>SFM</t>
        </is>
      </c>
      <c r="G2036" s="6" t="n">
        <v>10</v>
      </c>
      <c r="H2036" s="6" t="n">
        <v>-319.463</v>
      </c>
      <c r="I2036" s="7">
        <f>-H2036/G2036</f>
        <v/>
      </c>
      <c r="J2036" s="11" t="n"/>
      <c r="K2036" s="6" t="n"/>
      <c r="L2036" s="6" t="n"/>
      <c r="M2036" s="7">
        <f>IF(N2036=0,+L2036+H2036,0)</f>
        <v/>
      </c>
      <c r="N2036" s="7">
        <f>IF((+G2036-K2036)=0,0,+G2036-K2036)</f>
        <v/>
      </c>
      <c r="O2036" s="7">
        <f>IF(N2036=0,0,(L2036+H2036)/-N2036)</f>
        <v/>
      </c>
      <c r="P2036" s="7">
        <f>VLOOKUP(OPERAC[[#This Row],[especie]],[1]!ESPECIES[#All],6,0)</f>
        <v/>
      </c>
      <c r="Q2036" s="7">
        <f>IF(N2036&lt;&gt;0,P2036*N2036,0)</f>
        <v/>
      </c>
      <c r="R2036" s="8">
        <f>IF(Q2036&lt;&gt;0,Q2036+H2036+L2036,0)</f>
        <v/>
      </c>
      <c r="S2036" s="9">
        <f>VLOOKUP(OPERAC[[#This Row],[especie]],[1]!ESPECIES[#Data],9,FALSE)</f>
        <v/>
      </c>
    </row>
    <row r="2037">
      <c r="A2037" s="4" t="n">
        <v>13253</v>
      </c>
      <c r="B2037" s="5" t="n">
        <v>44582</v>
      </c>
      <c r="C2037" s="13" t="inlineStr">
        <is>
          <t>VTA</t>
        </is>
      </c>
      <c r="D2037" s="13" t="n">
        <v>41</v>
      </c>
      <c r="E2037" s="10">
        <f>IF(D2037&gt;0,VLOOKUP(OPERAC[[#This Row],[COD CART]],[1]!MatrizCortoLargoCyl[#All],3,0),"")</f>
        <v/>
      </c>
      <c r="F2037" s="13" t="inlineStr">
        <is>
          <t>NRZ</t>
        </is>
      </c>
      <c r="G2037" s="6" t="n">
        <v>30</v>
      </c>
      <c r="H2037" s="6" t="n">
        <v>-320.3344</v>
      </c>
      <c r="I2037" s="7">
        <f>-H2037/G2037</f>
        <v/>
      </c>
      <c r="J2037" s="11" t="n"/>
      <c r="K2037" s="6" t="n"/>
      <c r="L2037" s="6" t="n"/>
      <c r="M2037" s="7">
        <f>IF(N2037=0,+L2037+H2037,0)</f>
        <v/>
      </c>
      <c r="N2037" s="7">
        <f>IF((+G2037-K2037)=0,0,+G2037-K2037)</f>
        <v/>
      </c>
      <c r="O2037" s="7">
        <f>IF(N2037=0,0,(L2037+H2037)/-N2037)</f>
        <v/>
      </c>
      <c r="P2037" s="7">
        <f>VLOOKUP(OPERAC[[#This Row],[especie]],[1]!ESPECIES[#All],6,0)</f>
        <v/>
      </c>
      <c r="Q2037" s="7">
        <f>IF(N2037&lt;&gt;0,P2037*N2037,0)</f>
        <v/>
      </c>
      <c r="R2037" s="8">
        <f>IF(Q2037&lt;&gt;0,Q2037+H2037+L2037,0)</f>
        <v/>
      </c>
      <c r="S2037" s="9">
        <f>VLOOKUP(OPERAC[[#This Row],[especie]],[1]!ESPECIES[#Data],9,FALSE)</f>
        <v/>
      </c>
    </row>
    <row r="2038">
      <c r="A2038" s="4" t="n">
        <v>12671</v>
      </c>
      <c r="B2038" s="5" t="n">
        <v>44652</v>
      </c>
      <c r="C2038" s="13" t="inlineStr">
        <is>
          <t>VTA</t>
        </is>
      </c>
      <c r="D2038" s="13" t="n">
        <v>42</v>
      </c>
      <c r="E2038" s="10">
        <f>IF(D2038&gt;0,VLOOKUP(OPERAC[[#This Row],[COD CART]],[1]!MatrizCortoLargoCyl[#All],3,0),"")</f>
        <v/>
      </c>
      <c r="F2038" s="13" t="inlineStr">
        <is>
          <t>GBTC</t>
        </is>
      </c>
      <c r="G2038" s="6" t="n">
        <v>10</v>
      </c>
      <c r="H2038" s="6" t="n">
        <v>-320.461</v>
      </c>
      <c r="I2038" s="7">
        <f>-H2038/G2038</f>
        <v/>
      </c>
      <c r="J2038" s="11" t="n">
        <v>44662</v>
      </c>
      <c r="K2038" s="6">
        <f>+OPERAC[[#This Row],[cantidad]]</f>
        <v/>
      </c>
      <c r="L2038" s="6">
        <f>27.99*OPERAC[[#This Row],[cantidad venta]]</f>
        <v/>
      </c>
      <c r="M2038" s="7">
        <f>IF(N2038=0,+L2038+H2038,0)</f>
        <v/>
      </c>
      <c r="N2038" s="7">
        <f>IF((+G2038-K2038)=0,0,+G2038-K2038)</f>
        <v/>
      </c>
      <c r="O2038" s="7">
        <f>IF(N2038=0,0,(L2038+H2038)/-N2038)</f>
        <v/>
      </c>
      <c r="P2038" s="7">
        <f>VLOOKUP(OPERAC[[#This Row],[especie]],[1]!ESPECIES[#All],6,0)</f>
        <v/>
      </c>
      <c r="Q2038" s="7">
        <f>IF(N2038&lt;&gt;0,P2038*N2038,0)</f>
        <v/>
      </c>
      <c r="R2038" s="8">
        <f>IF(Q2038&lt;&gt;0,Q2038+H2038+L2038,0)</f>
        <v/>
      </c>
      <c r="S2038" s="9">
        <f>VLOOKUP(OPERAC[[#This Row],[especie]],[1]!ESPECIES[#Data],9,FALSE)</f>
        <v/>
      </c>
    </row>
    <row r="2039">
      <c r="A2039" s="4" t="n">
        <v>1816</v>
      </c>
      <c r="B2039" s="5" t="n">
        <v>44637</v>
      </c>
      <c r="C2039" s="13" t="inlineStr">
        <is>
          <t>VTA</t>
        </is>
      </c>
      <c r="D2039" s="13" t="n">
        <v>41</v>
      </c>
      <c r="E2039" s="10">
        <f>IF(D2039&gt;0,VLOOKUP(OPERAC[[#This Row],[COD CART]],[1]!MatrizCortoLargoCyl[#All],3,0),"")</f>
        <v/>
      </c>
      <c r="F2039" s="13" t="inlineStr">
        <is>
          <t>BIOX</t>
        </is>
      </c>
      <c r="G2039" s="6" t="n">
        <v>25</v>
      </c>
      <c r="H2039" s="6" t="n">
        <v>-321.04</v>
      </c>
      <c r="I2039" s="7">
        <f>-H2039/G2039</f>
        <v/>
      </c>
      <c r="J2039" s="11" t="n"/>
      <c r="K2039" s="6" t="n"/>
      <c r="L2039" s="6" t="n"/>
      <c r="M2039" s="7">
        <f>IF(N2039=0,+L2039+H2039,0)</f>
        <v/>
      </c>
      <c r="N2039" s="7">
        <f>IF((+G2039-K2039)=0,0,+G2039-K2039)</f>
        <v/>
      </c>
      <c r="O2039" s="7">
        <f>IF(N2039=0,0,(L2039+H2039)/-N2039)</f>
        <v/>
      </c>
      <c r="P2039" s="7">
        <f>VLOOKUP(OPERAC[[#This Row],[especie]],[1]!ESPECIES[#All],6,0)</f>
        <v/>
      </c>
      <c r="Q2039" s="7">
        <f>IF(N2039&lt;&gt;0,P2039*N2039,0)</f>
        <v/>
      </c>
      <c r="R2039" s="8">
        <f>IF(Q2039&lt;&gt;0,Q2039+H2039+L2039,0)</f>
        <v/>
      </c>
      <c r="S2039" s="9">
        <f>VLOOKUP(OPERAC[[#This Row],[especie]],[1]!ESPECIES[#Data],9,FALSE)</f>
        <v/>
      </c>
    </row>
    <row r="2040">
      <c r="A2040" s="4" t="n">
        <v>2253</v>
      </c>
      <c r="B2040" s="5" t="n">
        <v>44652</v>
      </c>
      <c r="C2040" s="13" t="inlineStr">
        <is>
          <t>VTA</t>
        </is>
      </c>
      <c r="D2040" s="13" t="n">
        <v>42</v>
      </c>
      <c r="E2040" s="10">
        <f>IF(D2040&gt;0,VLOOKUP(OPERAC[[#This Row],[COD CART]],[1]!MatrizCortoLargoCyl[#All],3,0),"")</f>
        <v/>
      </c>
      <c r="F2040" s="13" t="inlineStr">
        <is>
          <t>GBTC</t>
        </is>
      </c>
      <c r="G2040" s="6" t="n">
        <v>10</v>
      </c>
      <c r="H2040" s="6" t="n">
        <v>-321.098</v>
      </c>
      <c r="I2040" s="7">
        <f>-H2040/G2040</f>
        <v/>
      </c>
      <c r="J2040" s="11" t="n">
        <v>44662</v>
      </c>
      <c r="K2040" s="6">
        <f>+OPERAC[[#This Row],[cantidad]]</f>
        <v/>
      </c>
      <c r="L2040" s="6">
        <f>27.99*OPERAC[[#This Row],[cantidad venta]]</f>
        <v/>
      </c>
      <c r="M2040" s="7">
        <f>IF(N2040=0,+L2040+H2040,0)</f>
        <v/>
      </c>
      <c r="N2040" s="7">
        <f>IF((+G2040-K2040)=0,0,+G2040-K2040)</f>
        <v/>
      </c>
      <c r="O2040" s="7">
        <f>IF(N2040=0,0,(L2040+H2040)/-N2040)</f>
        <v/>
      </c>
      <c r="P2040" s="7">
        <f>VLOOKUP(OPERAC[[#This Row],[especie]],[1]!ESPECIES[#All],6,0)</f>
        <v/>
      </c>
      <c r="Q2040" s="7">
        <f>IF(N2040&lt;&gt;0,P2040*N2040,0)</f>
        <v/>
      </c>
      <c r="R2040" s="8">
        <f>IF(Q2040&lt;&gt;0,Q2040+H2040+L2040,0)</f>
        <v/>
      </c>
      <c r="S2040" s="9">
        <f>VLOOKUP(OPERAC[[#This Row],[especie]],[1]!ESPECIES[#Data],9,FALSE)</f>
        <v/>
      </c>
    </row>
    <row r="2041">
      <c r="A2041" s="4" t="n">
        <v>12655</v>
      </c>
      <c r="B2041" s="5" t="n">
        <v>44652</v>
      </c>
      <c r="C2041" s="13" t="inlineStr">
        <is>
          <t>VTA</t>
        </is>
      </c>
      <c r="D2041" s="13" t="n">
        <v>42</v>
      </c>
      <c r="E2041" s="10">
        <f>IF(D2041&gt;0,VLOOKUP(OPERAC[[#This Row],[COD CART]],[1]!MatrizCortoLargoCyl[#All],3,0),"")</f>
        <v/>
      </c>
      <c r="F2041" s="13" t="inlineStr">
        <is>
          <t>GBTC</t>
        </is>
      </c>
      <c r="G2041" s="6" t="n">
        <v>10</v>
      </c>
      <c r="H2041" s="6" t="n">
        <v>-321.098</v>
      </c>
      <c r="I2041" s="7">
        <f>-H2041/G2041</f>
        <v/>
      </c>
      <c r="J2041" s="11" t="n">
        <v>44662</v>
      </c>
      <c r="K2041" s="6">
        <f>+OPERAC[[#This Row],[cantidad]]</f>
        <v/>
      </c>
      <c r="L2041" s="6">
        <f>27.99*OPERAC[[#This Row],[cantidad venta]]</f>
        <v/>
      </c>
      <c r="M2041" s="7">
        <f>IF(N2041=0,+L2041+H2041,0)</f>
        <v/>
      </c>
      <c r="N2041" s="7">
        <f>IF((+G2041-K2041)=0,0,+G2041-K2041)</f>
        <v/>
      </c>
      <c r="O2041" s="7">
        <f>IF(N2041=0,0,(L2041+H2041)/-N2041)</f>
        <v/>
      </c>
      <c r="P2041" s="7">
        <f>VLOOKUP(OPERAC[[#This Row],[especie]],[1]!ESPECIES[#All],6,0)</f>
        <v/>
      </c>
      <c r="Q2041" s="7">
        <f>IF(N2041&lt;&gt;0,P2041*N2041,0)</f>
        <v/>
      </c>
      <c r="R2041" s="8">
        <f>IF(Q2041&lt;&gt;0,Q2041+H2041+L2041,0)</f>
        <v/>
      </c>
      <c r="S2041" s="9">
        <f>VLOOKUP(OPERAC[[#This Row],[especie]],[1]!ESPECIES[#Data],9,FALSE)</f>
        <v/>
      </c>
    </row>
    <row r="2042">
      <c r="A2042" s="4" t="n">
        <v>12684</v>
      </c>
      <c r="B2042" s="5" t="n">
        <v>44652</v>
      </c>
      <c r="C2042" s="13" t="inlineStr">
        <is>
          <t>VTA</t>
        </is>
      </c>
      <c r="D2042" s="13" t="n">
        <v>42</v>
      </c>
      <c r="E2042" s="10">
        <f>IF(D2042&gt;0,VLOOKUP(OPERAC[[#This Row],[COD CART]],[1]!MatrizCortoLargoCyl[#All],3,0),"")</f>
        <v/>
      </c>
      <c r="F2042" s="13" t="inlineStr">
        <is>
          <t>GBTC</t>
        </is>
      </c>
      <c r="G2042" s="6" t="n">
        <v>10</v>
      </c>
      <c r="H2042" s="6" t="n">
        <v>-321.098</v>
      </c>
      <c r="I2042" s="7">
        <f>-H2042/G2042</f>
        <v/>
      </c>
      <c r="J2042" s="11" t="n">
        <v>44662</v>
      </c>
      <c r="K2042" s="6">
        <f>+OPERAC[[#This Row],[cantidad]]</f>
        <v/>
      </c>
      <c r="L2042" s="6">
        <f>27.99*OPERAC[[#This Row],[cantidad venta]]</f>
        <v/>
      </c>
      <c r="M2042" s="7">
        <f>IF(N2042=0,+L2042+H2042,0)</f>
        <v/>
      </c>
      <c r="N2042" s="7">
        <f>IF((+G2042-K2042)=0,0,+G2042-K2042)</f>
        <v/>
      </c>
      <c r="O2042" s="7">
        <f>IF(N2042=0,0,(L2042+H2042)/-N2042)</f>
        <v/>
      </c>
      <c r="P2042" s="7">
        <f>VLOOKUP(OPERAC[[#This Row],[especie]],[1]!ESPECIES[#All],6,0)</f>
        <v/>
      </c>
      <c r="Q2042" s="7">
        <f>IF(N2042&lt;&gt;0,P2042*N2042,0)</f>
        <v/>
      </c>
      <c r="R2042" s="8">
        <f>IF(Q2042&lt;&gt;0,Q2042+H2042+L2042,0)</f>
        <v/>
      </c>
      <c r="S2042" s="9">
        <f>VLOOKUP(OPERAC[[#This Row],[especie]],[1]!ESPECIES[#Data],9,FALSE)</f>
        <v/>
      </c>
    </row>
    <row r="2043">
      <c r="A2043" s="4" t="n">
        <v>12686</v>
      </c>
      <c r="B2043" s="5" t="n">
        <v>44652</v>
      </c>
      <c r="C2043" s="13" t="inlineStr">
        <is>
          <t>VTA</t>
        </is>
      </c>
      <c r="D2043" s="13" t="n">
        <v>42</v>
      </c>
      <c r="E2043" s="10">
        <f>IF(D2043&gt;0,VLOOKUP(OPERAC[[#This Row],[COD CART]],[1]!MatrizCortoLargoCyl[#All],3,0),"")</f>
        <v/>
      </c>
      <c r="F2043" s="13" t="inlineStr">
        <is>
          <t>GBTC</t>
        </is>
      </c>
      <c r="G2043" s="6" t="n">
        <v>10</v>
      </c>
      <c r="H2043" s="6" t="n">
        <v>-321.098</v>
      </c>
      <c r="I2043" s="7">
        <f>-H2043/G2043</f>
        <v/>
      </c>
      <c r="J2043" s="11" t="n">
        <v>44662</v>
      </c>
      <c r="K2043" s="6">
        <f>+OPERAC[[#This Row],[cantidad]]</f>
        <v/>
      </c>
      <c r="L2043" s="6">
        <f>27.99*OPERAC[[#This Row],[cantidad venta]]</f>
        <v/>
      </c>
      <c r="M2043" s="7">
        <f>IF(N2043=0,+L2043+H2043,0)</f>
        <v/>
      </c>
      <c r="N2043" s="7">
        <f>IF((+G2043-K2043)=0,0,+G2043-K2043)</f>
        <v/>
      </c>
      <c r="O2043" s="7">
        <f>IF(N2043=0,0,(L2043+H2043)/-N2043)</f>
        <v/>
      </c>
      <c r="P2043" s="7">
        <f>VLOOKUP(OPERAC[[#This Row],[especie]],[1]!ESPECIES[#All],6,0)</f>
        <v/>
      </c>
      <c r="Q2043" s="7">
        <f>IF(N2043&lt;&gt;0,P2043*N2043,0)</f>
        <v/>
      </c>
      <c r="R2043" s="8">
        <f>IF(Q2043&lt;&gt;0,Q2043+H2043+L2043,0)</f>
        <v/>
      </c>
      <c r="S2043" s="9">
        <f>VLOOKUP(OPERAC[[#This Row],[especie]],[1]!ESPECIES[#Data],9,FALSE)</f>
        <v/>
      </c>
    </row>
    <row r="2044">
      <c r="A2044" s="4" t="n">
        <v>13190</v>
      </c>
      <c r="B2044" s="5" t="n">
        <v>44652</v>
      </c>
      <c r="C2044" s="13" t="inlineStr">
        <is>
          <t>VTA</t>
        </is>
      </c>
      <c r="D2044" s="13" t="n">
        <v>42</v>
      </c>
      <c r="E2044" s="10">
        <f>IF(D2044&gt;0,VLOOKUP(OPERAC[[#This Row],[COD CART]],[1]!MatrizCortoLargoCyl[#All],3,0),"")</f>
        <v/>
      </c>
      <c r="F2044" s="13" t="inlineStr">
        <is>
          <t>GBTC</t>
        </is>
      </c>
      <c r="G2044" s="6" t="n">
        <v>10</v>
      </c>
      <c r="H2044" s="6" t="n">
        <v>-321.098</v>
      </c>
      <c r="I2044" s="7">
        <f>-H2044/G2044</f>
        <v/>
      </c>
      <c r="J2044" s="11" t="n">
        <v>44662</v>
      </c>
      <c r="K2044" s="6">
        <f>+OPERAC[[#This Row],[cantidad]]</f>
        <v/>
      </c>
      <c r="L2044" s="6">
        <f>27.99*OPERAC[[#This Row],[cantidad venta]]</f>
        <v/>
      </c>
      <c r="M2044" s="7">
        <f>IF(N2044=0,+L2044+H2044,0)</f>
        <v/>
      </c>
      <c r="N2044" s="7">
        <f>IF((+G2044-K2044)=0,0,+G2044-K2044)</f>
        <v/>
      </c>
      <c r="O2044" s="7">
        <f>IF(N2044=0,0,(L2044+H2044)/-N2044)</f>
        <v/>
      </c>
      <c r="P2044" s="7">
        <f>VLOOKUP(OPERAC[[#This Row],[especie]],[1]!ESPECIES[#All],6,0)</f>
        <v/>
      </c>
      <c r="Q2044" s="7">
        <f>IF(N2044&lt;&gt;0,P2044*N2044,0)</f>
        <v/>
      </c>
      <c r="R2044" s="8">
        <f>IF(Q2044&lt;&gt;0,Q2044+H2044+L2044,0)</f>
        <v/>
      </c>
      <c r="S2044" s="9">
        <f>VLOOKUP(OPERAC[[#This Row],[especie]],[1]!ESPECIES[#Data],9,FALSE)</f>
        <v/>
      </c>
    </row>
    <row r="2045">
      <c r="A2045" s="4" t="n">
        <v>18662</v>
      </c>
      <c r="B2045" s="5" t="n">
        <v>44652</v>
      </c>
      <c r="C2045" s="13" t="inlineStr">
        <is>
          <t>VTA</t>
        </is>
      </c>
      <c r="D2045" s="13" t="n">
        <v>42</v>
      </c>
      <c r="E2045" s="10">
        <f>IF(D2045&gt;0,VLOOKUP(OPERAC[[#This Row],[COD CART]],[1]!MatrizCortoLargoCyl[#All],3,0),"")</f>
        <v/>
      </c>
      <c r="F2045" s="13" t="inlineStr">
        <is>
          <t>GBTC</t>
        </is>
      </c>
      <c r="G2045" s="6" t="n">
        <v>10</v>
      </c>
      <c r="H2045" s="6" t="n">
        <v>-321.098</v>
      </c>
      <c r="I2045" s="7">
        <f>-H2045/G2045</f>
        <v/>
      </c>
      <c r="J2045" s="11" t="n">
        <v>44662</v>
      </c>
      <c r="K2045" s="6">
        <f>+OPERAC[[#This Row],[cantidad]]</f>
        <v/>
      </c>
      <c r="L2045" s="6">
        <f>27.99*OPERAC[[#This Row],[cantidad venta]]</f>
        <v/>
      </c>
      <c r="M2045" s="7">
        <f>IF(N2045=0,+L2045+H2045,0)</f>
        <v/>
      </c>
      <c r="N2045" s="7">
        <f>IF((+G2045-K2045)=0,0,+G2045-K2045)</f>
        <v/>
      </c>
      <c r="O2045" s="7">
        <f>IF(N2045=0,0,(L2045+H2045)/-N2045)</f>
        <v/>
      </c>
      <c r="P2045" s="7">
        <f>VLOOKUP(OPERAC[[#This Row],[especie]],[1]!ESPECIES[#All],6,0)</f>
        <v/>
      </c>
      <c r="Q2045" s="7">
        <f>IF(N2045&lt;&gt;0,P2045*N2045,0)</f>
        <v/>
      </c>
      <c r="R2045" s="8">
        <f>IF(Q2045&lt;&gt;0,Q2045+H2045+L2045,0)</f>
        <v/>
      </c>
      <c r="S2045" s="9">
        <f>VLOOKUP(OPERAC[[#This Row],[especie]],[1]!ESPECIES[#Data],9,FALSE)</f>
        <v/>
      </c>
    </row>
    <row r="2046">
      <c r="A2046" s="4" t="n">
        <v>18711</v>
      </c>
      <c r="B2046" s="5" t="n">
        <v>44652</v>
      </c>
      <c r="C2046" s="13" t="inlineStr">
        <is>
          <t>VTA</t>
        </is>
      </c>
      <c r="D2046" s="13" t="n">
        <v>42</v>
      </c>
      <c r="E2046" s="10">
        <f>IF(D2046&gt;0,VLOOKUP(OPERAC[[#This Row],[COD CART]],[1]!MatrizCortoLargoCyl[#All],3,0),"")</f>
        <v/>
      </c>
      <c r="F2046" s="13" t="inlineStr">
        <is>
          <t>GBTC</t>
        </is>
      </c>
      <c r="G2046" s="6" t="n">
        <v>10</v>
      </c>
      <c r="H2046" s="6" t="n">
        <v>-321.098</v>
      </c>
      <c r="I2046" s="7">
        <f>-H2046/G2046</f>
        <v/>
      </c>
      <c r="J2046" s="11" t="n">
        <v>44662</v>
      </c>
      <c r="K2046" s="6">
        <f>+OPERAC[[#This Row],[cantidad]]</f>
        <v/>
      </c>
      <c r="L2046" s="6">
        <f>27.99*OPERAC[[#This Row],[cantidad venta]]</f>
        <v/>
      </c>
      <c r="M2046" s="7">
        <f>IF(N2046=0,+L2046+H2046,0)</f>
        <v/>
      </c>
      <c r="N2046" s="7">
        <f>IF((+G2046-K2046)=0,0,+G2046-K2046)</f>
        <v/>
      </c>
      <c r="O2046" s="7">
        <f>IF(N2046=0,0,(L2046+H2046)/-N2046)</f>
        <v/>
      </c>
      <c r="P2046" s="7">
        <f>VLOOKUP(OPERAC[[#This Row],[especie]],[1]!ESPECIES[#All],6,0)</f>
        <v/>
      </c>
      <c r="Q2046" s="7">
        <f>IF(N2046&lt;&gt;0,P2046*N2046,0)</f>
        <v/>
      </c>
      <c r="R2046" s="8">
        <f>IF(Q2046&lt;&gt;0,Q2046+H2046+L2046,0)</f>
        <v/>
      </c>
      <c r="S2046" s="9">
        <f>VLOOKUP(OPERAC[[#This Row],[especie]],[1]!ESPECIES[#Data],9,FALSE)</f>
        <v/>
      </c>
    </row>
    <row r="2047">
      <c r="A2047" s="4" t="n">
        <v>20312</v>
      </c>
      <c r="B2047" s="5" t="n">
        <v>44652</v>
      </c>
      <c r="C2047" s="13" t="inlineStr">
        <is>
          <t>VTA</t>
        </is>
      </c>
      <c r="D2047" s="13" t="n">
        <v>42</v>
      </c>
      <c r="E2047" s="10">
        <f>IF(D2047&gt;0,VLOOKUP(OPERAC[[#This Row],[COD CART]],[1]!MatrizCortoLargoCyl[#All],3,0),"")</f>
        <v/>
      </c>
      <c r="F2047" s="13" t="inlineStr">
        <is>
          <t>GBTC</t>
        </is>
      </c>
      <c r="G2047" s="6" t="n">
        <v>10</v>
      </c>
      <c r="H2047" s="6" t="n">
        <v>-321.098</v>
      </c>
      <c r="I2047" s="7">
        <f>-H2047/G2047</f>
        <v/>
      </c>
      <c r="J2047" s="11" t="n">
        <v>44662</v>
      </c>
      <c r="K2047" s="6">
        <f>+OPERAC[[#This Row],[cantidad]]</f>
        <v/>
      </c>
      <c r="L2047" s="6">
        <f>27.99*OPERAC[[#This Row],[cantidad venta]]</f>
        <v/>
      </c>
      <c r="M2047" s="7">
        <f>IF(N2047=0,+L2047+H2047,0)</f>
        <v/>
      </c>
      <c r="N2047" s="7">
        <f>IF((+G2047-K2047)=0,0,+G2047-K2047)</f>
        <v/>
      </c>
      <c r="O2047" s="7">
        <f>IF(N2047=0,0,(L2047+H2047)/-N2047)</f>
        <v/>
      </c>
      <c r="P2047" s="7">
        <f>VLOOKUP(OPERAC[[#This Row],[especie]],[1]!ESPECIES[#All],6,0)</f>
        <v/>
      </c>
      <c r="Q2047" s="7">
        <f>IF(N2047&lt;&gt;0,P2047*N2047,0)</f>
        <v/>
      </c>
      <c r="R2047" s="8">
        <f>IF(Q2047&lt;&gt;0,Q2047+H2047+L2047,0)</f>
        <v/>
      </c>
      <c r="S2047" s="9">
        <f>VLOOKUP(OPERAC[[#This Row],[especie]],[1]!ESPECIES[#Data],9,FALSE)</f>
        <v/>
      </c>
    </row>
    <row r="2048">
      <c r="A2048" s="4" t="n">
        <v>22431</v>
      </c>
      <c r="B2048" s="5" t="n">
        <v>44652</v>
      </c>
      <c r="C2048" s="13" t="inlineStr">
        <is>
          <t>VTA</t>
        </is>
      </c>
      <c r="D2048" s="13" t="n">
        <v>42</v>
      </c>
      <c r="E2048" s="10">
        <f>IF(D2048&gt;0,VLOOKUP(OPERAC[[#This Row],[COD CART]],[1]!MatrizCortoLargoCyl[#All],3,0),"")</f>
        <v/>
      </c>
      <c r="F2048" s="13" t="inlineStr">
        <is>
          <t>GBTC</t>
        </is>
      </c>
      <c r="G2048" s="6" t="n">
        <v>10</v>
      </c>
      <c r="H2048" s="6" t="n">
        <v>-321.098</v>
      </c>
      <c r="I2048" s="7">
        <f>-H2048/G2048</f>
        <v/>
      </c>
      <c r="J2048" s="11" t="n">
        <v>44662</v>
      </c>
      <c r="K2048" s="6">
        <f>+OPERAC[[#This Row],[cantidad]]</f>
        <v/>
      </c>
      <c r="L2048" s="6">
        <f>27.99*OPERAC[[#This Row],[cantidad venta]]</f>
        <v/>
      </c>
      <c r="M2048" s="7">
        <f>IF(N2048=0,+L2048+H2048,0)</f>
        <v/>
      </c>
      <c r="N2048" s="7">
        <f>IF((+G2048-K2048)=0,0,+G2048-K2048)</f>
        <v/>
      </c>
      <c r="O2048" s="7">
        <f>IF(N2048=0,0,(L2048+H2048)/-N2048)</f>
        <v/>
      </c>
      <c r="P2048" s="7">
        <f>VLOOKUP(OPERAC[[#This Row],[especie]],[1]!ESPECIES[#All],6,0)</f>
        <v/>
      </c>
      <c r="Q2048" s="7">
        <f>IF(N2048&lt;&gt;0,P2048*N2048,0)</f>
        <v/>
      </c>
      <c r="R2048" s="8">
        <f>IF(Q2048&lt;&gt;0,Q2048+H2048+L2048,0)</f>
        <v/>
      </c>
      <c r="S2048" s="9">
        <f>VLOOKUP(OPERAC[[#This Row],[especie]],[1]!ESPECIES[#Data],9,FALSE)</f>
        <v/>
      </c>
    </row>
    <row r="2049">
      <c r="A2049" s="4" t="n">
        <v>26137</v>
      </c>
      <c r="B2049" s="5" t="n">
        <v>44652</v>
      </c>
      <c r="C2049" s="13" t="inlineStr">
        <is>
          <t>VTA</t>
        </is>
      </c>
      <c r="D2049" s="13" t="n">
        <v>42</v>
      </c>
      <c r="E2049" s="10">
        <f>IF(D2049&gt;0,VLOOKUP(OPERAC[[#This Row],[COD CART]],[1]!MatrizCortoLargoCyl[#All],3,0),"")</f>
        <v/>
      </c>
      <c r="F2049" s="13" t="inlineStr">
        <is>
          <t>GBTC</t>
        </is>
      </c>
      <c r="G2049" s="6" t="n">
        <v>10</v>
      </c>
      <c r="H2049" s="6" t="n">
        <v>-321.098</v>
      </c>
      <c r="I2049" s="7">
        <f>-H2049/G2049</f>
        <v/>
      </c>
      <c r="J2049" s="11" t="n">
        <v>44662</v>
      </c>
      <c r="K2049" s="6">
        <f>+OPERAC[[#This Row],[cantidad]]</f>
        <v/>
      </c>
      <c r="L2049" s="6">
        <f>27.99*OPERAC[[#This Row],[cantidad venta]]</f>
        <v/>
      </c>
      <c r="M2049" s="7">
        <f>IF(N2049=0,+L2049+H2049,0)</f>
        <v/>
      </c>
      <c r="N2049" s="7">
        <f>IF((+G2049-K2049)=0,0,+G2049-K2049)</f>
        <v/>
      </c>
      <c r="O2049" s="7">
        <f>IF(N2049=0,0,(L2049+H2049)/-N2049)</f>
        <v/>
      </c>
      <c r="P2049" s="7">
        <f>VLOOKUP(OPERAC[[#This Row],[especie]],[1]!ESPECIES[#All],6,0)</f>
        <v/>
      </c>
      <c r="Q2049" s="7">
        <f>IF(N2049&lt;&gt;0,P2049*N2049,0)</f>
        <v/>
      </c>
      <c r="R2049" s="8">
        <f>IF(Q2049&lt;&gt;0,Q2049+H2049+L2049,0)</f>
        <v/>
      </c>
      <c r="S2049" s="9">
        <f>VLOOKUP(OPERAC[[#This Row],[especie]],[1]!ESPECIES[#Data],9,FALSE)</f>
        <v/>
      </c>
    </row>
    <row r="2050">
      <c r="A2050" s="4" t="n">
        <v>18663</v>
      </c>
      <c r="B2050" s="5" t="n">
        <v>44243</v>
      </c>
      <c r="C2050" s="13" t="inlineStr">
        <is>
          <t>VTA</t>
        </is>
      </c>
      <c r="D2050" s="13" t="n">
        <v>41</v>
      </c>
      <c r="E2050" s="10">
        <f>IF(D2050&gt;0,VLOOKUP(OPERAC[[#This Row],[COD CART]],[1]!MatrizCortoLargoCyl[#All],3,0),"")</f>
        <v/>
      </c>
      <c r="F2050" s="13" t="inlineStr">
        <is>
          <t>ABBV</t>
        </is>
      </c>
      <c r="G2050" s="6" t="n">
        <v>3</v>
      </c>
      <c r="H2050" s="6" t="n">
        <v>-321.27</v>
      </c>
      <c r="I2050" s="7">
        <f>-H2050/G2050</f>
        <v/>
      </c>
      <c r="J2050" s="11" t="n"/>
      <c r="K2050" s="6" t="n"/>
      <c r="L2050" s="6" t="n"/>
      <c r="M2050" s="7">
        <f>IF(N2050=0,+L2050+H2050,0)</f>
        <v/>
      </c>
      <c r="N2050" s="7">
        <f>IF((+G2050-K2050)=0,0,+G2050-K2050)</f>
        <v/>
      </c>
      <c r="O2050" s="7">
        <f>IF(N2050=0,0,(L2050+H2050)/-N2050)</f>
        <v/>
      </c>
      <c r="P2050" s="7">
        <f>VLOOKUP(OPERAC[[#This Row],[especie]],[1]!ESPECIES[#All],6,0)</f>
        <v/>
      </c>
      <c r="Q2050" s="7">
        <f>IF(N2050&lt;&gt;0,P2050*N2050,0)</f>
        <v/>
      </c>
      <c r="R2050" s="8">
        <f>IF(Q2050&lt;&gt;0,Q2050+H2050+L2050,0)</f>
        <v/>
      </c>
      <c r="S2050" s="9">
        <f>VLOOKUP(OPERAC[[#This Row],[especie]],[1]!ESPECIES[#Data],9,FALSE)</f>
        <v/>
      </c>
    </row>
    <row r="2051">
      <c r="A2051" s="4" t="n">
        <v>12671</v>
      </c>
      <c r="B2051" s="5" t="n">
        <v>44462</v>
      </c>
      <c r="C2051" s="13" t="inlineStr">
        <is>
          <t>VTA</t>
        </is>
      </c>
      <c r="D2051" s="13" t="n">
        <v>43</v>
      </c>
      <c r="E2051" s="10">
        <f>IF(D2051&gt;0,VLOOKUP(OPERAC[[#This Row],[COD CART]],[1]!MatrizCortoLargoCyl[#All],3,0),"")</f>
        <v/>
      </c>
      <c r="F2051" s="13" t="inlineStr">
        <is>
          <t>SOLO/CYL-PUT/4,00/16-09-22</t>
        </is>
      </c>
      <c r="G2051" s="6" t="n">
        <v>200</v>
      </c>
      <c r="H2051" s="6">
        <f>OPERAC[[#This Row],[cantidad]]*-2.54+0.32*OPERAC[[#This Row],[cantidad]]+0.387*OPERAC[[#This Row],[cantidad]]+0.22*OPERAC[[#This Row],[cantidad]]</f>
        <v/>
      </c>
      <c r="I2051" s="7">
        <f>-H2051/G2051</f>
        <v/>
      </c>
      <c r="J2051" s="11" t="n">
        <v>44551</v>
      </c>
      <c r="K2051" s="6" t="n">
        <v>100</v>
      </c>
      <c r="L2051" s="6">
        <f>+OPERAC[[#This Row],[cantidad venta]]*0.65175</f>
        <v/>
      </c>
      <c r="M2051" s="7">
        <f>IF(N2051=0,+L2051+H2051,0)</f>
        <v/>
      </c>
      <c r="N2051" s="7">
        <f>IF((+G2051-K2051)=0,0,+G2051-K2051)</f>
        <v/>
      </c>
      <c r="O2051" s="7">
        <f>IF(N2051=0,0,(L2051+H2051)/-N2051)</f>
        <v/>
      </c>
      <c r="P2051" s="7">
        <f>VLOOKUP(OPERAC[[#This Row],[especie]],[1]!ESPECIES[#All],6,0)</f>
        <v/>
      </c>
      <c r="Q2051" s="7">
        <f>IF(N2051&lt;&gt;0,P2051*N2051,0)</f>
        <v/>
      </c>
      <c r="R2051" s="8">
        <f>IF(Q2051&lt;&gt;0,Q2051+H2051+L2051,0)</f>
        <v/>
      </c>
      <c r="S2051" s="9">
        <f>VLOOKUP(OPERAC[[#This Row],[especie]],[1]!ESPECIES[#Data],9,FALSE)</f>
        <v/>
      </c>
    </row>
    <row r="2052">
      <c r="A2052" s="4" t="n">
        <v>13240</v>
      </c>
      <c r="B2052" s="5" t="n">
        <v>44462</v>
      </c>
      <c r="C2052" s="13" t="inlineStr">
        <is>
          <t>VTA</t>
        </is>
      </c>
      <c r="D2052" s="13" t="n">
        <v>43</v>
      </c>
      <c r="E2052" s="10">
        <f>IF(D2052&gt;0,VLOOKUP(OPERAC[[#This Row],[COD CART]],[1]!MatrizCortoLargoCyl[#All],3,0),"")</f>
        <v/>
      </c>
      <c r="F2052" s="13" t="inlineStr">
        <is>
          <t>SOLO/CYL-PUT/4,00/16-09-22</t>
        </is>
      </c>
      <c r="G2052" s="6" t="n">
        <v>200</v>
      </c>
      <c r="H2052" s="6">
        <f>OPERAC[[#This Row],[cantidad]]*-2.54+0.32*OPERAC[[#This Row],[cantidad]]+0.387*OPERAC[[#This Row],[cantidad]]+0.22*OPERAC[[#This Row],[cantidad]]</f>
        <v/>
      </c>
      <c r="I2052" s="7">
        <f>-H2052/G2052</f>
        <v/>
      </c>
      <c r="J2052" s="11" t="n"/>
      <c r="K2052" s="6" t="n"/>
      <c r="L2052" s="6" t="n"/>
      <c r="M2052" s="7">
        <f>IF(N2052=0,+L2052+H2052,0)</f>
        <v/>
      </c>
      <c r="N2052" s="7">
        <f>IF((+G2052-K2052)=0,0,+G2052-K2052)</f>
        <v/>
      </c>
      <c r="O2052" s="7">
        <f>IF(N2052=0,0,(L2052+H2052)/-N2052)</f>
        <v/>
      </c>
      <c r="P2052" s="7">
        <f>VLOOKUP(OPERAC[[#This Row],[especie]],[1]!ESPECIES[#All],6,0)</f>
        <v/>
      </c>
      <c r="Q2052" s="7">
        <f>IF(N2052&lt;&gt;0,P2052*N2052,0)</f>
        <v/>
      </c>
      <c r="R2052" s="8">
        <f>IF(Q2052&lt;&gt;0,Q2052+H2052+L2052,0)</f>
        <v/>
      </c>
      <c r="S2052" s="9">
        <f>VLOOKUP(OPERAC[[#This Row],[especie]],[1]!ESPECIES[#Data],9,FALSE)</f>
        <v/>
      </c>
    </row>
    <row r="2053">
      <c r="A2053" s="4" t="n">
        <v>15194</v>
      </c>
      <c r="B2053" s="5" t="n">
        <v>44462</v>
      </c>
      <c r="C2053" s="13" t="inlineStr">
        <is>
          <t>VTA</t>
        </is>
      </c>
      <c r="D2053" s="13" t="n">
        <v>43</v>
      </c>
      <c r="E2053" s="10">
        <f>IF(D2053&gt;0,VLOOKUP(OPERAC[[#This Row],[COD CART]],[1]!MatrizCortoLargoCyl[#All],3,0),"")</f>
        <v/>
      </c>
      <c r="F2053" s="13" t="inlineStr">
        <is>
          <t>SOLO/CYL-PUT/4,00/16-09-22</t>
        </is>
      </c>
      <c r="G2053" s="6" t="n">
        <v>200</v>
      </c>
      <c r="H2053" s="6">
        <f>OPERAC[[#This Row],[cantidad]]*-2.54+0.32*OPERAC[[#This Row],[cantidad]]+0.387*OPERAC[[#This Row],[cantidad]]+0.22*OPERAC[[#This Row],[cantidad]]</f>
        <v/>
      </c>
      <c r="I2053" s="7">
        <f>-H2053/G2053</f>
        <v/>
      </c>
      <c r="J2053" s="11" t="n"/>
      <c r="K2053" s="6" t="n"/>
      <c r="L2053" s="6" t="n"/>
      <c r="M2053" s="7">
        <f>IF(N2053=0,+L2053+H2053,0)</f>
        <v/>
      </c>
      <c r="N2053" s="7">
        <f>IF((+G2053-K2053)=0,0,+G2053-K2053)</f>
        <v/>
      </c>
      <c r="O2053" s="7">
        <f>IF(N2053=0,0,(L2053+H2053)/-N2053)</f>
        <v/>
      </c>
      <c r="P2053" s="7">
        <f>VLOOKUP(OPERAC[[#This Row],[especie]],[1]!ESPECIES[#All],6,0)</f>
        <v/>
      </c>
      <c r="Q2053" s="7">
        <f>IF(N2053&lt;&gt;0,P2053*N2053,0)</f>
        <v/>
      </c>
      <c r="R2053" s="8">
        <f>IF(Q2053&lt;&gt;0,Q2053+H2053+L2053,0)</f>
        <v/>
      </c>
      <c r="S2053" s="9">
        <f>VLOOKUP(OPERAC[[#This Row],[especie]],[1]!ESPECIES[#Data],9,FALSE)</f>
        <v/>
      </c>
    </row>
    <row r="2054">
      <c r="A2054" s="4" t="n">
        <v>16818</v>
      </c>
      <c r="B2054" s="5" t="n">
        <v>44462</v>
      </c>
      <c r="C2054" s="13" t="inlineStr">
        <is>
          <t>VTA</t>
        </is>
      </c>
      <c r="D2054" s="13" t="n">
        <v>43</v>
      </c>
      <c r="E2054" s="10">
        <f>IF(D2054&gt;0,VLOOKUP(OPERAC[[#This Row],[COD CART]],[1]!MatrizCortoLargoCyl[#All],3,0),"")</f>
        <v/>
      </c>
      <c r="F2054" s="13" t="inlineStr">
        <is>
          <t>SOLO/CYL-PUT/4,00/16-09-22</t>
        </is>
      </c>
      <c r="G2054" s="6" t="n">
        <v>200</v>
      </c>
      <c r="H2054" s="6">
        <f>OPERAC[[#This Row],[cantidad]]*-2.54+0.32*OPERAC[[#This Row],[cantidad]]+0.387*OPERAC[[#This Row],[cantidad]]+0.22*OPERAC[[#This Row],[cantidad]]</f>
        <v/>
      </c>
      <c r="I2054" s="7">
        <f>-H2054/G2054</f>
        <v/>
      </c>
      <c r="J2054" s="11" t="n"/>
      <c r="K2054" s="6" t="n"/>
      <c r="L2054" s="6" t="n"/>
      <c r="M2054" s="7">
        <f>IF(N2054=0,+L2054+H2054,0)</f>
        <v/>
      </c>
      <c r="N2054" s="7">
        <f>IF((+G2054-K2054)=0,0,+G2054-K2054)</f>
        <v/>
      </c>
      <c r="O2054" s="7">
        <f>IF(N2054=0,0,(L2054+H2054)/-N2054)</f>
        <v/>
      </c>
      <c r="P2054" s="7">
        <f>VLOOKUP(OPERAC[[#This Row],[especie]],[1]!ESPECIES[#All],6,0)</f>
        <v/>
      </c>
      <c r="Q2054" s="7">
        <f>IF(N2054&lt;&gt;0,P2054*N2054,0)</f>
        <v/>
      </c>
      <c r="R2054" s="8">
        <f>IF(Q2054&lt;&gt;0,Q2054+H2054+L2054,0)</f>
        <v/>
      </c>
      <c r="S2054" s="9">
        <f>VLOOKUP(OPERAC[[#This Row],[especie]],[1]!ESPECIES[#Data],9,FALSE)</f>
        <v/>
      </c>
    </row>
    <row r="2055">
      <c r="A2055" s="4" t="n">
        <v>18651</v>
      </c>
      <c r="B2055" s="5" t="n">
        <v>44462</v>
      </c>
      <c r="C2055" s="13" t="inlineStr">
        <is>
          <t>VTA</t>
        </is>
      </c>
      <c r="D2055" s="13" t="n">
        <v>43</v>
      </c>
      <c r="E2055" s="10">
        <f>IF(D2055&gt;0,VLOOKUP(OPERAC[[#This Row],[COD CART]],[1]!MatrizCortoLargoCyl[#All],3,0),"")</f>
        <v/>
      </c>
      <c r="F2055" s="13" t="inlineStr">
        <is>
          <t>SOLO/CYL-PUT/4,00/16-09-22</t>
        </is>
      </c>
      <c r="G2055" s="6" t="n">
        <v>200</v>
      </c>
      <c r="H2055" s="6">
        <f>OPERAC[[#This Row],[cantidad]]*-2.54+0.32*OPERAC[[#This Row],[cantidad]]+0.387*OPERAC[[#This Row],[cantidad]]+0.22*OPERAC[[#This Row],[cantidad]]</f>
        <v/>
      </c>
      <c r="I2055" s="7">
        <f>-H2055/G2055</f>
        <v/>
      </c>
      <c r="J2055" s="11" t="n"/>
      <c r="K2055" s="6" t="n"/>
      <c r="L2055" s="6" t="n"/>
      <c r="M2055" s="7">
        <f>IF(N2055=0,+L2055+H2055,0)</f>
        <v/>
      </c>
      <c r="N2055" s="7">
        <f>IF((+G2055-K2055)=0,0,+G2055-K2055)</f>
        <v/>
      </c>
      <c r="O2055" s="7">
        <f>IF(N2055=0,0,(L2055+H2055)/-N2055)</f>
        <v/>
      </c>
      <c r="P2055" s="7">
        <f>VLOOKUP(OPERAC[[#This Row],[especie]],[1]!ESPECIES[#All],6,0)</f>
        <v/>
      </c>
      <c r="Q2055" s="7">
        <f>IF(N2055&lt;&gt;0,P2055*N2055,0)</f>
        <v/>
      </c>
      <c r="R2055" s="8">
        <f>IF(Q2055&lt;&gt;0,Q2055+H2055+L2055,0)</f>
        <v/>
      </c>
      <c r="S2055" s="9">
        <f>VLOOKUP(OPERAC[[#This Row],[especie]],[1]!ESPECIES[#Data],9,FALSE)</f>
        <v/>
      </c>
    </row>
    <row r="2056">
      <c r="A2056" s="4" t="n">
        <v>18663</v>
      </c>
      <c r="B2056" s="5" t="n">
        <v>44470</v>
      </c>
      <c r="C2056" s="13" t="inlineStr">
        <is>
          <t>VTA</t>
        </is>
      </c>
      <c r="D2056" s="13" t="n">
        <v>41</v>
      </c>
      <c r="E2056" s="10">
        <f>IF(D2056&gt;0,VLOOKUP(OPERAC[[#This Row],[COD CART]],[1]!MatrizCortoLargoCyl[#All],3,0),"")</f>
        <v/>
      </c>
      <c r="F2056" s="13" t="inlineStr">
        <is>
          <t>SSYS</t>
        </is>
      </c>
      <c r="G2056" s="6" t="n">
        <v>15</v>
      </c>
      <c r="H2056" s="6" t="n">
        <v>-323.3584</v>
      </c>
      <c r="I2056" s="7">
        <f>-H2056/G2056</f>
        <v/>
      </c>
      <c r="J2056" s="11" t="n">
        <v>44649</v>
      </c>
      <c r="K2056" s="6" t="n">
        <v>15</v>
      </c>
      <c r="L2056" s="6" t="n">
        <v>401.058</v>
      </c>
      <c r="M2056" s="7">
        <f>IF(N2056=0,+L2056+H2056,0)</f>
        <v/>
      </c>
      <c r="N2056" s="7">
        <f>IF((+G2056-K2056)=0,0,+G2056-K2056)</f>
        <v/>
      </c>
      <c r="O2056" s="7">
        <f>IF(N2056=0,0,(L2056+H2056)/-N2056)</f>
        <v/>
      </c>
      <c r="P2056" s="7">
        <f>VLOOKUP(OPERAC[[#This Row],[especie]],[1]!ESPECIES[#All],6,0)</f>
        <v/>
      </c>
      <c r="Q2056" s="7">
        <f>IF(N2056&lt;&gt;0,P2056*N2056,0)</f>
        <v/>
      </c>
      <c r="R2056" s="8">
        <f>IF(Q2056&lt;&gt;0,Q2056+H2056+L2056,0)</f>
        <v/>
      </c>
      <c r="S2056" s="9">
        <f>VLOOKUP(OPERAC[[#This Row],[especie]],[1]!ESPECIES[#Data],9,FALSE)</f>
        <v/>
      </c>
    </row>
    <row r="2057">
      <c r="A2057" s="4" t="n">
        <v>19920</v>
      </c>
      <c r="B2057" s="5" t="n">
        <v>44637</v>
      </c>
      <c r="C2057" s="13" t="inlineStr">
        <is>
          <t>VTA</t>
        </is>
      </c>
      <c r="D2057" s="13" t="n">
        <v>31</v>
      </c>
      <c r="E2057" s="10">
        <f>IF(D2057&gt;0,VLOOKUP(OPERAC[[#This Row],[COD CART]],[1]!MatrizCortoLargoCyl[#All],3,0),"")</f>
        <v/>
      </c>
      <c r="F2057" s="13" t="inlineStr">
        <is>
          <t>PAM</t>
        </is>
      </c>
      <c r="G2057" s="6" t="n">
        <v>15</v>
      </c>
      <c r="H2057" s="6" t="n">
        <v>-323.5096</v>
      </c>
      <c r="I2057" s="7">
        <f>-H2057/G2057</f>
        <v/>
      </c>
      <c r="J2057" s="11" t="n"/>
      <c r="K2057" s="6" t="n"/>
      <c r="L2057" s="6" t="n"/>
      <c r="M2057" s="7">
        <f>IF(N2057=0,+L2057+H2057,0)</f>
        <v/>
      </c>
      <c r="N2057" s="7">
        <f>IF((+G2057-K2057)=0,0,+G2057-K2057)</f>
        <v/>
      </c>
      <c r="O2057" s="7">
        <f>IF(N2057=0,0,(L2057+H2057)/-N2057)</f>
        <v/>
      </c>
      <c r="P2057" s="7">
        <f>VLOOKUP(OPERAC[[#This Row],[especie]],[1]!ESPECIES[#All],6,0)</f>
        <v/>
      </c>
      <c r="Q2057" s="7">
        <f>IF(N2057&lt;&gt;0,P2057*N2057,0)</f>
        <v/>
      </c>
      <c r="R2057" s="8">
        <f>IF(Q2057&lt;&gt;0,Q2057+H2057+L2057,0)</f>
        <v/>
      </c>
      <c r="S2057" s="9">
        <f>VLOOKUP(OPERAC[[#This Row],[especie]],[1]!ESPECIES[#Data],9,FALSE)</f>
        <v/>
      </c>
    </row>
    <row r="2058">
      <c r="A2058" s="4" t="n">
        <v>2276</v>
      </c>
      <c r="B2058" s="5" t="n">
        <v>44337</v>
      </c>
      <c r="C2058" s="13" t="inlineStr">
        <is>
          <t>VTA</t>
        </is>
      </c>
      <c r="D2058" s="13" t="n">
        <v>41</v>
      </c>
      <c r="E2058" s="10">
        <f>IF(D2058&gt;0,VLOOKUP(OPERAC[[#This Row],[COD CART]],[1]!MatrizCortoLargoCyl[#All],3,0),"")</f>
        <v/>
      </c>
      <c r="F2058" s="13" t="inlineStr">
        <is>
          <t>EEM</t>
        </is>
      </c>
      <c r="G2058" s="6" t="n">
        <v>6</v>
      </c>
      <c r="H2058" s="6" t="n">
        <v>-323.60032</v>
      </c>
      <c r="I2058" s="7">
        <f>-H2058/G2058</f>
        <v/>
      </c>
      <c r="J2058" s="11" t="n"/>
      <c r="K2058" s="6" t="n"/>
      <c r="L2058" s="6" t="n"/>
      <c r="M2058" s="7">
        <f>IF(N2058=0,+L2058+H2058,0)</f>
        <v/>
      </c>
      <c r="N2058" s="7">
        <f>IF((+G2058-K2058)=0,0,+G2058-K2058)</f>
        <v/>
      </c>
      <c r="O2058" s="7">
        <f>IF(N2058=0,0,(L2058+H2058)/-N2058)</f>
        <v/>
      </c>
      <c r="P2058" s="7">
        <f>VLOOKUP(OPERAC[[#This Row],[especie]],[1]!ESPECIES[#All],6,0)</f>
        <v/>
      </c>
      <c r="Q2058" s="7">
        <f>IF(N2058&lt;&gt;0,P2058*N2058,0)</f>
        <v/>
      </c>
      <c r="R2058" s="8">
        <f>IF(Q2058&lt;&gt;0,Q2058+H2058+L2058,0)</f>
        <v/>
      </c>
      <c r="S2058" s="9">
        <f>VLOOKUP(OPERAC[[#This Row],[especie]],[1]!ESPECIES[#Data],9,FALSE)</f>
        <v/>
      </c>
    </row>
    <row r="2059">
      <c r="A2059" s="4" t="n">
        <v>18663</v>
      </c>
      <c r="B2059" s="5" t="n">
        <v>44635</v>
      </c>
      <c r="C2059" s="13" t="inlineStr">
        <is>
          <t>VTA</t>
        </is>
      </c>
      <c r="D2059" s="13" t="n">
        <v>41</v>
      </c>
      <c r="E2059" s="10">
        <f>IF(D2059&gt;0,VLOOKUP(OPERAC[[#This Row],[COD CART]],[1]!MatrizCortoLargoCyl[#All],3,0),"")</f>
        <v/>
      </c>
      <c r="F2059" s="13" t="inlineStr">
        <is>
          <t>EWZ</t>
        </is>
      </c>
      <c r="G2059" s="6" t="n">
        <v>10</v>
      </c>
      <c r="H2059" s="6" t="n">
        <v>-323.614</v>
      </c>
      <c r="I2059" s="7">
        <f>-H2059/G2059</f>
        <v/>
      </c>
      <c r="J2059" s="11" t="n"/>
      <c r="K2059" s="6" t="n"/>
      <c r="L2059" s="6" t="n"/>
      <c r="M2059" s="7">
        <f>IF(N2059=0,+L2059+H2059,0)</f>
        <v/>
      </c>
      <c r="N2059" s="7">
        <f>IF((+G2059-K2059)=0,0,+G2059-K2059)</f>
        <v/>
      </c>
      <c r="O2059" s="7">
        <f>IF(N2059=0,0,(L2059+H2059)/-N2059)</f>
        <v/>
      </c>
      <c r="P2059" s="7">
        <f>VLOOKUP(OPERAC[[#This Row],[especie]],[1]!ESPECIES[#All],6,0)</f>
        <v/>
      </c>
      <c r="Q2059" s="7">
        <f>IF(N2059&lt;&gt;0,P2059*N2059,0)</f>
        <v/>
      </c>
      <c r="R2059" s="8">
        <f>IF(Q2059&lt;&gt;0,Q2059+H2059+L2059,0)</f>
        <v/>
      </c>
      <c r="S2059" s="9">
        <f>VLOOKUP(OPERAC[[#This Row],[especie]],[1]!ESPECIES[#Data],9,FALSE)</f>
        <v/>
      </c>
    </row>
    <row r="2060">
      <c r="A2060" s="4" t="n">
        <v>8066</v>
      </c>
      <c r="B2060" s="5" t="n">
        <v>44698</v>
      </c>
      <c r="C2060" s="13" t="inlineStr">
        <is>
          <t>VTA</t>
        </is>
      </c>
      <c r="D2060" s="13" t="n">
        <v>32</v>
      </c>
      <c r="E2060" s="10">
        <f>IF(D2060&gt;0,VLOOKUP(OPERAC[[#This Row],[COD CART]],[1]!MatrizCortoLargoCyl[#All],3,0),"")</f>
        <v/>
      </c>
      <c r="F2060" s="13" t="inlineStr">
        <is>
          <t>SOLO/CYL/2,00/24-06-22</t>
        </is>
      </c>
      <c r="G2060" s="6" t="n">
        <v>200</v>
      </c>
      <c r="H2060" s="6" t="n">
        <v>-323.967</v>
      </c>
      <c r="I2060" s="7">
        <f>-H2060/G2060</f>
        <v/>
      </c>
      <c r="J2060" s="11" t="n"/>
      <c r="K2060" s="6" t="n"/>
      <c r="L2060" s="6" t="n"/>
      <c r="M2060" s="7">
        <f>IF(N2060=0,+L2060+H2060,0)</f>
        <v/>
      </c>
      <c r="N2060" s="7">
        <f>IF((+G2060-K2060)=0,0,+G2060-K2060)</f>
        <v/>
      </c>
      <c r="O2060" s="7">
        <f>IF(N2060=0,0,(L2060+H2060)/-N2060)</f>
        <v/>
      </c>
      <c r="P2060" s="7">
        <f>VLOOKUP(OPERAC[[#This Row],[especie]],[1]!ESPECIES[#All],6,0)</f>
        <v/>
      </c>
      <c r="Q2060" s="7">
        <f>IF(N2060&lt;&gt;0,P2060*N2060,0)</f>
        <v/>
      </c>
      <c r="R2060" s="8">
        <f>IF(Q2060&lt;&gt;0,Q2060+H2060+L2060,0)</f>
        <v/>
      </c>
      <c r="S2060" s="9">
        <f>VLOOKUP(OPERAC[[#This Row],[especie]],[1]!ESPECIES[#Data],9,FALSE)</f>
        <v/>
      </c>
    </row>
    <row r="2061">
      <c r="A2061" s="4" t="n">
        <v>9195</v>
      </c>
      <c r="B2061" s="5" t="n">
        <v>44636</v>
      </c>
      <c r="C2061" s="13" t="inlineStr">
        <is>
          <t>VTA</t>
        </is>
      </c>
      <c r="D2061" s="13" t="n">
        <v>43</v>
      </c>
      <c r="E2061" s="10">
        <f>IF(D2061&gt;0,VLOOKUP(OPERAC[[#This Row],[COD CART]],[1]!MatrizCortoLargoCyl[#All],3,0),"")</f>
        <v/>
      </c>
      <c r="F2061" s="13" t="inlineStr">
        <is>
          <t>GMBL/CYL-PUT/1,00/20-01-23</t>
        </is>
      </c>
      <c r="G2061" s="6" t="n">
        <v>2000</v>
      </c>
      <c r="H2061" s="6" t="n">
        <v>-324.7710400000002</v>
      </c>
      <c r="I2061" s="7">
        <f>-H2061/G2061</f>
        <v/>
      </c>
      <c r="J2061" s="11" t="n"/>
      <c r="K2061" s="6" t="n"/>
      <c r="L2061" s="6" t="n"/>
      <c r="M2061" s="7">
        <f>IF(N2061=0,+L2061+H2061,0)</f>
        <v/>
      </c>
      <c r="N2061" s="7">
        <f>IF((+G2061-K2061)=0,0,+G2061-K2061)</f>
        <v/>
      </c>
      <c r="O2061" s="7">
        <f>IF(N2061=0,0,(L2061+H2061)/-N2061)</f>
        <v/>
      </c>
      <c r="P2061" s="7">
        <f>VLOOKUP(OPERAC[[#This Row],[especie]],[1]!ESPECIES[#All],6,0)</f>
        <v/>
      </c>
      <c r="Q2061" s="7">
        <f>IF(N2061&lt;&gt;0,P2061*N2061,0)</f>
        <v/>
      </c>
      <c r="R2061" s="8">
        <f>IF(Q2061&lt;&gt;0,Q2061+H2061+L2061,0)</f>
        <v/>
      </c>
      <c r="S2061" s="9">
        <f>VLOOKUP(OPERAC[[#This Row],[especie]],[1]!ESPECIES[#Data],9,FALSE)</f>
        <v/>
      </c>
    </row>
    <row r="2062">
      <c r="A2062" s="4" t="n">
        <v>7879</v>
      </c>
      <c r="B2062" s="5" t="n">
        <v>44634</v>
      </c>
      <c r="C2062" s="13" t="inlineStr">
        <is>
          <t>VTA</t>
        </is>
      </c>
      <c r="D2062" s="13" t="n">
        <v>41</v>
      </c>
      <c r="E2062" s="10">
        <f>IF(D2062&gt;0,VLOOKUP(OPERAC[[#This Row],[COD CART]],[1]!MatrizCortoLargoCyl[#All],3,0),"")</f>
        <v/>
      </c>
      <c r="F2062" s="13" t="inlineStr">
        <is>
          <t>QQQ</t>
        </is>
      </c>
      <c r="G2062" s="6" t="n">
        <v>1</v>
      </c>
      <c r="H2062" s="6" t="n">
        <v>-325.319</v>
      </c>
      <c r="I2062" s="7">
        <f>-H2062/G2062</f>
        <v/>
      </c>
      <c r="J2062" s="11" t="n"/>
      <c r="K2062" s="6" t="n"/>
      <c r="L2062" s="6" t="n"/>
      <c r="M2062" s="7">
        <f>IF(N2062=0,+L2062+H2062,0)</f>
        <v/>
      </c>
      <c r="N2062" s="7">
        <f>IF((+G2062-K2062)=0,0,+G2062-K2062)</f>
        <v/>
      </c>
      <c r="O2062" s="7">
        <f>IF(N2062=0,0,(L2062+H2062)/-N2062)</f>
        <v/>
      </c>
      <c r="P2062" s="7">
        <f>VLOOKUP(OPERAC[[#This Row],[especie]],[1]!ESPECIES[#All],6,0)</f>
        <v/>
      </c>
      <c r="Q2062" s="7">
        <f>IF(N2062&lt;&gt;0,P2062*N2062,0)</f>
        <v/>
      </c>
      <c r="R2062" s="8">
        <f>IF(Q2062&lt;&gt;0,Q2062+H2062+L2062,0)</f>
        <v/>
      </c>
      <c r="S2062" s="9">
        <f>VLOOKUP(OPERAC[[#This Row],[especie]],[1]!ESPECIES[#Data],9,FALSE)</f>
        <v/>
      </c>
    </row>
    <row r="2063">
      <c r="A2063" s="4" t="n">
        <v>18677</v>
      </c>
      <c r="B2063" s="5" t="n">
        <v>44494</v>
      </c>
      <c r="C2063" s="13" t="inlineStr">
        <is>
          <t>VTA</t>
        </is>
      </c>
      <c r="D2063" s="13" t="n">
        <v>40</v>
      </c>
      <c r="E2063" s="10">
        <f>IF(D2063&gt;0,VLOOKUP(OPERAC[[#This Row],[COD CART]],[1]!MatrizCortoLargoCyl[#All],3,0),"")</f>
        <v/>
      </c>
      <c r="F2063" s="13" t="inlineStr">
        <is>
          <t>YPF</t>
        </is>
      </c>
      <c r="G2063" s="6" t="n">
        <v>70</v>
      </c>
      <c r="H2063" s="6" t="n">
        <v>-325.6904000000001</v>
      </c>
      <c r="I2063" s="7">
        <f>-H2063/G2063</f>
        <v/>
      </c>
      <c r="J2063" s="11" t="n">
        <v>44606</v>
      </c>
      <c r="K2063" s="6">
        <f>+OPERAC[[#This Row],[cantidad]]</f>
        <v/>
      </c>
      <c r="L2063" s="6">
        <f>+OPERAC[[#This Row],[cantidad venta]]*4.161</f>
        <v/>
      </c>
      <c r="M2063" s="7">
        <f>IF(N2063=0,+L2063+H2063,0)</f>
        <v/>
      </c>
      <c r="N2063" s="7">
        <f>IF((+G2063-K2063)=0,0,+G2063-K2063)</f>
        <v/>
      </c>
      <c r="O2063" s="7">
        <f>IF(N2063=0,0,(L2063+H2063)/-N2063)</f>
        <v/>
      </c>
      <c r="P2063" s="7">
        <f>VLOOKUP(OPERAC[[#This Row],[especie]],[1]!ESPECIES[#All],6,0)</f>
        <v/>
      </c>
      <c r="Q2063" s="7">
        <f>IF(N2063&lt;&gt;0,P2063*N2063,0)</f>
        <v/>
      </c>
      <c r="R2063" s="8">
        <f>IF(Q2063&lt;&gt;0,Q2063+H2063+L2063,0)</f>
        <v/>
      </c>
      <c r="S2063" s="9">
        <f>VLOOKUP(OPERAC[[#This Row],[especie]],[1]!ESPECIES[#Data],9,FALSE)</f>
        <v/>
      </c>
    </row>
    <row r="2064">
      <c r="A2064" s="4" t="n">
        <v>3021</v>
      </c>
      <c r="B2064" s="5" t="n">
        <v>44587</v>
      </c>
      <c r="C2064" s="13" t="inlineStr">
        <is>
          <t>VTA</t>
        </is>
      </c>
      <c r="D2064" s="13" t="n">
        <v>40</v>
      </c>
      <c r="E2064" s="10">
        <f>IF(D2064&gt;0,VLOOKUP(OPERAC[[#This Row],[COD CART]],[1]!MatrizCortoLargoCyl[#All],3,0),"")</f>
        <v/>
      </c>
      <c r="F2064" s="13" t="inlineStr">
        <is>
          <t>AAPL</t>
        </is>
      </c>
      <c r="G2064" s="6" t="n">
        <v>2</v>
      </c>
      <c r="H2064" s="6" t="n">
        <v>-325.83048</v>
      </c>
      <c r="I2064" s="7">
        <f>-H2064/G2064</f>
        <v/>
      </c>
      <c r="J2064" s="11" t="n">
        <v>44601</v>
      </c>
      <c r="K2064" s="6" t="n">
        <v>2</v>
      </c>
      <c r="L2064" s="6">
        <f>175.66*OPERAC[[#This Row],[cantidad venta]]</f>
        <v/>
      </c>
      <c r="M2064" s="7">
        <f>IF(N2064=0,+L2064+H2064,0)</f>
        <v/>
      </c>
      <c r="N2064" s="7">
        <f>IF((+G2064-K2064)=0,0,+G2064-K2064)</f>
        <v/>
      </c>
      <c r="O2064" s="7">
        <f>IF(N2064=0,0,(L2064+H2064)/-N2064)</f>
        <v/>
      </c>
      <c r="P2064" s="7">
        <f>VLOOKUP(OPERAC[[#This Row],[especie]],[1]!ESPECIES[#All],6,0)</f>
        <v/>
      </c>
      <c r="Q2064" s="7">
        <f>IF(N2064&lt;&gt;0,P2064*N2064,0)</f>
        <v/>
      </c>
      <c r="R2064" s="8">
        <f>IF(Q2064&lt;&gt;0,Q2064+H2064+L2064,0)</f>
        <v/>
      </c>
      <c r="S2064" s="9">
        <f>VLOOKUP(OPERAC[[#This Row],[especie]],[1]!ESPECIES[#Data],9,FALSE)</f>
        <v/>
      </c>
    </row>
    <row r="2065">
      <c r="A2065" s="4" t="n">
        <v>3820</v>
      </c>
      <c r="B2065" s="5" t="n">
        <v>44335</v>
      </c>
      <c r="C2065" s="13" t="inlineStr">
        <is>
          <t>VTA</t>
        </is>
      </c>
      <c r="D2065" s="13" t="n">
        <v>41</v>
      </c>
      <c r="E2065" s="10">
        <f>IF(D2065&gt;0,VLOOKUP(OPERAC[[#This Row],[COD CART]],[1]!MatrizCortoLargoCyl[#All],3,0),"")</f>
        <v/>
      </c>
      <c r="F2065" s="13" t="inlineStr">
        <is>
          <t>GBTC</t>
        </is>
      </c>
      <c r="G2065" s="6" t="n">
        <v>10</v>
      </c>
      <c r="H2065" s="6" t="n">
        <v>-326.42</v>
      </c>
      <c r="I2065" s="7">
        <f>-H2065/G2065</f>
        <v/>
      </c>
      <c r="J2065" s="11" t="n"/>
      <c r="K2065" s="6" t="n"/>
      <c r="L2065" s="6" t="n"/>
      <c r="M2065" s="7">
        <f>IF(N2065=0,+L2065+H2065,0)</f>
        <v/>
      </c>
      <c r="N2065" s="7">
        <f>IF((+G2065-K2065)=0,0,+G2065-K2065)</f>
        <v/>
      </c>
      <c r="O2065" s="7">
        <f>IF(N2065=0,0,(L2065+H2065)/-N2065)</f>
        <v/>
      </c>
      <c r="P2065" s="7">
        <f>VLOOKUP(OPERAC[[#This Row],[especie]],[1]!ESPECIES[#All],6,0)</f>
        <v/>
      </c>
      <c r="Q2065" s="7">
        <f>IF(N2065&lt;&gt;0,P2065*N2065,0)</f>
        <v/>
      </c>
      <c r="R2065" s="8">
        <f>IF(Q2065&lt;&gt;0,Q2065+H2065+L2065,0)</f>
        <v/>
      </c>
      <c r="S2065" s="9">
        <f>VLOOKUP(OPERAC[[#This Row],[especie]],[1]!ESPECIES[#Data],9,FALSE)</f>
        <v/>
      </c>
    </row>
    <row r="2066">
      <c r="A2066" s="4" t="n">
        <v>2253</v>
      </c>
      <c r="B2066" s="5" t="n">
        <v>44636</v>
      </c>
      <c r="C2066" s="13" t="inlineStr">
        <is>
          <t>VTA</t>
        </is>
      </c>
      <c r="D2066" s="13" t="n">
        <v>43</v>
      </c>
      <c r="E2066" s="10">
        <f>IF(D2066&gt;0,VLOOKUP(OPERAC[[#This Row],[COD CART]],[1]!MatrizCortoLargoCyl[#All],3,0),"")</f>
        <v/>
      </c>
      <c r="F2066" s="13" t="inlineStr">
        <is>
          <t>GMBL/CYL-PUT/1,00/20-01-23</t>
        </is>
      </c>
      <c r="G2066" s="6" t="n">
        <v>2000</v>
      </c>
      <c r="H2066" s="6" t="n">
        <v>-326.7773000000002</v>
      </c>
      <c r="I2066" s="7">
        <f>-H2066/G2066</f>
        <v/>
      </c>
      <c r="J2066" s="11" t="n"/>
      <c r="K2066" s="6" t="n"/>
      <c r="L2066" s="6" t="n"/>
      <c r="M2066" s="7">
        <f>IF(N2066=0,+L2066+H2066,0)</f>
        <v/>
      </c>
      <c r="N2066" s="7">
        <f>IF((+G2066-K2066)=0,0,+G2066-K2066)</f>
        <v/>
      </c>
      <c r="O2066" s="7">
        <f>IF(N2066=0,0,(L2066+H2066)/-N2066)</f>
        <v/>
      </c>
      <c r="P2066" s="7">
        <f>VLOOKUP(OPERAC[[#This Row],[especie]],[1]!ESPECIES[#All],6,0)</f>
        <v/>
      </c>
      <c r="Q2066" s="7">
        <f>IF(N2066&lt;&gt;0,P2066*N2066,0)</f>
        <v/>
      </c>
      <c r="R2066" s="8">
        <f>IF(Q2066&lt;&gt;0,Q2066+H2066+L2066,0)</f>
        <v/>
      </c>
      <c r="S2066" s="9">
        <f>VLOOKUP(OPERAC[[#This Row],[especie]],[1]!ESPECIES[#Data],9,FALSE)</f>
        <v/>
      </c>
    </row>
    <row r="2067">
      <c r="A2067" s="4" t="n">
        <v>6578</v>
      </c>
      <c r="B2067" s="5" t="n">
        <v>44636</v>
      </c>
      <c r="C2067" s="13" t="inlineStr">
        <is>
          <t>VTA</t>
        </is>
      </c>
      <c r="D2067" s="13" t="n">
        <v>43</v>
      </c>
      <c r="E2067" s="10">
        <f>IF(D2067&gt;0,VLOOKUP(OPERAC[[#This Row],[COD CART]],[1]!MatrizCortoLargoCyl[#All],3,0),"")</f>
        <v/>
      </c>
      <c r="F2067" s="13" t="inlineStr">
        <is>
          <t>GMBL/CYL-PUT/1,00/20-01-23</t>
        </is>
      </c>
      <c r="G2067" s="6" t="n">
        <v>2000</v>
      </c>
      <c r="H2067" s="6" t="n">
        <v>-326.7773000000002</v>
      </c>
      <c r="I2067" s="7">
        <f>-H2067/G2067</f>
        <v/>
      </c>
      <c r="J2067" s="11" t="n"/>
      <c r="K2067" s="6" t="n"/>
      <c r="L2067" s="6" t="n"/>
      <c r="M2067" s="7">
        <f>IF(N2067=0,+L2067+H2067,0)</f>
        <v/>
      </c>
      <c r="N2067" s="7">
        <f>IF((+G2067-K2067)=0,0,+G2067-K2067)</f>
        <v/>
      </c>
      <c r="O2067" s="7">
        <f>IF(N2067=0,0,(L2067+H2067)/-N2067)</f>
        <v/>
      </c>
      <c r="P2067" s="7">
        <f>VLOOKUP(OPERAC[[#This Row],[especie]],[1]!ESPECIES[#All],6,0)</f>
        <v/>
      </c>
      <c r="Q2067" s="7">
        <f>IF(N2067&lt;&gt;0,P2067*N2067,0)</f>
        <v/>
      </c>
      <c r="R2067" s="8">
        <f>IF(Q2067&lt;&gt;0,Q2067+H2067+L2067,0)</f>
        <v/>
      </c>
      <c r="S2067" s="9">
        <f>VLOOKUP(OPERAC[[#This Row],[especie]],[1]!ESPECIES[#Data],9,FALSE)</f>
        <v/>
      </c>
    </row>
    <row r="2068">
      <c r="A2068" s="4" t="n">
        <v>12655</v>
      </c>
      <c r="B2068" s="5" t="n">
        <v>44636</v>
      </c>
      <c r="C2068" s="13" t="inlineStr">
        <is>
          <t>VTA</t>
        </is>
      </c>
      <c r="D2068" s="13" t="n">
        <v>43</v>
      </c>
      <c r="E2068" s="10">
        <f>IF(D2068&gt;0,VLOOKUP(OPERAC[[#This Row],[COD CART]],[1]!MatrizCortoLargoCyl[#All],3,0),"")</f>
        <v/>
      </c>
      <c r="F2068" s="13" t="inlineStr">
        <is>
          <t>GMBL/CYL-PUT/1,00/20-01-23</t>
        </is>
      </c>
      <c r="G2068" s="6" t="n">
        <v>2000</v>
      </c>
      <c r="H2068" s="6" t="n">
        <v>-326.7773000000002</v>
      </c>
      <c r="I2068" s="7">
        <f>-H2068/G2068</f>
        <v/>
      </c>
      <c r="J2068" s="11" t="n"/>
      <c r="K2068" s="6" t="n"/>
      <c r="L2068" s="6" t="n"/>
      <c r="M2068" s="7">
        <f>IF(N2068=0,+L2068+H2068,0)</f>
        <v/>
      </c>
      <c r="N2068" s="7">
        <f>IF((+G2068-K2068)=0,0,+G2068-K2068)</f>
        <v/>
      </c>
      <c r="O2068" s="7">
        <f>IF(N2068=0,0,(L2068+H2068)/-N2068)</f>
        <v/>
      </c>
      <c r="P2068" s="7">
        <f>VLOOKUP(OPERAC[[#This Row],[especie]],[1]!ESPECIES[#All],6,0)</f>
        <v/>
      </c>
      <c r="Q2068" s="7">
        <f>IF(N2068&lt;&gt;0,P2068*N2068,0)</f>
        <v/>
      </c>
      <c r="R2068" s="8">
        <f>IF(Q2068&lt;&gt;0,Q2068+H2068+L2068,0)</f>
        <v/>
      </c>
      <c r="S2068" s="9">
        <f>VLOOKUP(OPERAC[[#This Row],[especie]],[1]!ESPECIES[#Data],9,FALSE)</f>
        <v/>
      </c>
    </row>
    <row r="2069">
      <c r="A2069" s="4" t="n">
        <v>18663</v>
      </c>
      <c r="B2069" s="5" t="n">
        <v>44474</v>
      </c>
      <c r="C2069" s="13" t="inlineStr">
        <is>
          <t>VTA</t>
        </is>
      </c>
      <c r="D2069" s="13" t="n">
        <v>41</v>
      </c>
      <c r="E2069" s="10">
        <f>IF(D2069&gt;0,VLOOKUP(OPERAC[[#This Row],[COD CART]],[1]!MatrizCortoLargoCyl[#All],3,0),"")</f>
        <v/>
      </c>
      <c r="F2069" s="13" t="inlineStr">
        <is>
          <t>SOLO</t>
        </is>
      </c>
      <c r="G2069" s="6" t="n">
        <v>100</v>
      </c>
      <c r="H2069" s="6" t="n">
        <v>-328.096</v>
      </c>
      <c r="I2069" s="7">
        <f>-H2069/G2069</f>
        <v/>
      </c>
      <c r="J2069" s="11" t="n"/>
      <c r="K2069" s="6" t="n"/>
      <c r="L2069" s="6" t="n"/>
      <c r="M2069" s="7">
        <f>IF(N2069=0,+L2069+H2069,0)</f>
        <v/>
      </c>
      <c r="N2069" s="7">
        <f>IF((+G2069-K2069)=0,0,+G2069-K2069)</f>
        <v/>
      </c>
      <c r="O2069" s="7">
        <f>IF(N2069=0,0,(L2069+H2069)/-N2069)</f>
        <v/>
      </c>
      <c r="P2069" s="7">
        <f>VLOOKUP(OPERAC[[#This Row],[especie]],[1]!ESPECIES[#All],6,0)</f>
        <v/>
      </c>
      <c r="Q2069" s="7">
        <f>IF(N2069&lt;&gt;0,P2069*N2069,0)</f>
        <v/>
      </c>
      <c r="R2069" s="8">
        <f>IF(Q2069&lt;&gt;0,Q2069+H2069+L2069,0)</f>
        <v/>
      </c>
      <c r="S2069" s="9">
        <f>VLOOKUP(OPERAC[[#This Row],[especie]],[1]!ESPECIES[#Data],9,FALSE)</f>
        <v/>
      </c>
    </row>
    <row r="2070">
      <c r="A2070" s="4" t="n">
        <v>12652</v>
      </c>
      <c r="B2070" s="5" t="n">
        <v>44587</v>
      </c>
      <c r="C2070" s="13" t="inlineStr">
        <is>
          <t>VTA</t>
        </is>
      </c>
      <c r="D2070" s="13" t="n">
        <v>40</v>
      </c>
      <c r="E2070" s="10">
        <f>IF(D2070&gt;0,VLOOKUP(OPERAC[[#This Row],[COD CART]],[1]!MatrizCortoLargoCyl[#All],3,0),"")</f>
        <v/>
      </c>
      <c r="F2070" s="13" t="inlineStr">
        <is>
          <t>AAPL</t>
        </is>
      </c>
      <c r="G2070" s="6" t="n">
        <v>2</v>
      </c>
      <c r="H2070" s="6" t="n">
        <v>-328.10884</v>
      </c>
      <c r="I2070" s="7">
        <f>-H2070/G2070</f>
        <v/>
      </c>
      <c r="J2070" s="11" t="n">
        <v>44601</v>
      </c>
      <c r="K2070" s="6" t="n">
        <v>2</v>
      </c>
      <c r="L2070" s="6">
        <f>175.66*OPERAC[[#This Row],[cantidad venta]]</f>
        <v/>
      </c>
      <c r="M2070" s="7">
        <f>IF(N2070=0,+L2070+H2070,0)</f>
        <v/>
      </c>
      <c r="N2070" s="7">
        <f>IF((+G2070-K2070)=0,0,+G2070-K2070)</f>
        <v/>
      </c>
      <c r="O2070" s="7">
        <f>IF(N2070=0,0,(L2070+H2070)/-N2070)</f>
        <v/>
      </c>
      <c r="P2070" s="7">
        <f>VLOOKUP(OPERAC[[#This Row],[especie]],[1]!ESPECIES[#All],6,0)</f>
        <v/>
      </c>
      <c r="Q2070" s="7">
        <f>IF(N2070&lt;&gt;0,P2070*N2070,0)</f>
        <v/>
      </c>
      <c r="R2070" s="8">
        <f>IF(Q2070&lt;&gt;0,Q2070+H2070+L2070,0)</f>
        <v/>
      </c>
      <c r="S2070" s="9">
        <f>VLOOKUP(OPERAC[[#This Row],[especie]],[1]!ESPECIES[#Data],9,FALSE)</f>
        <v/>
      </c>
    </row>
    <row r="2071">
      <c r="A2071" s="4" t="n">
        <v>13253</v>
      </c>
      <c r="B2071" s="5" t="n">
        <v>44439</v>
      </c>
      <c r="C2071" s="13" t="inlineStr">
        <is>
          <t>VTA</t>
        </is>
      </c>
      <c r="D2071" s="13" t="n">
        <v>41</v>
      </c>
      <c r="E2071" s="10">
        <f>IF(D2071&gt;0,VLOOKUP(OPERAC[[#This Row],[COD CART]],[1]!MatrizCortoLargoCyl[#All],3,0),"")</f>
        <v/>
      </c>
      <c r="F2071" s="13" t="inlineStr">
        <is>
          <t>MTCR</t>
        </is>
      </c>
      <c r="G2071" s="6" t="n">
        <v>100</v>
      </c>
      <c r="H2071" s="6" t="n">
        <v>-329.608</v>
      </c>
      <c r="I2071" s="7">
        <f>-H2071/G2071</f>
        <v/>
      </c>
      <c r="J2071" s="11" t="n"/>
      <c r="K2071" s="6" t="n"/>
      <c r="L2071" s="6" t="n"/>
      <c r="M2071" s="7">
        <f>IF(N2071=0,+L2071+H2071,0)</f>
        <v/>
      </c>
      <c r="N2071" s="7">
        <f>IF((+G2071-K2071)=0,0,+G2071-K2071)</f>
        <v/>
      </c>
      <c r="O2071" s="7">
        <f>IF(N2071=0,0,(L2071+H2071)/-N2071)</f>
        <v/>
      </c>
      <c r="P2071" s="7">
        <f>VLOOKUP(OPERAC[[#This Row],[especie]],[1]!ESPECIES[#All],6,0)</f>
        <v/>
      </c>
      <c r="Q2071" s="7">
        <f>IF(N2071&lt;&gt;0,P2071*N2071,0)</f>
        <v/>
      </c>
      <c r="R2071" s="8">
        <f>IF(Q2071&lt;&gt;0,Q2071+H2071+L2071,0)</f>
        <v/>
      </c>
      <c r="S2071" s="9">
        <f>VLOOKUP(OPERAC[[#This Row],[especie]],[1]!ESPECIES[#Data],9,FALSE)</f>
        <v/>
      </c>
    </row>
    <row r="2072">
      <c r="A2072" s="4" t="n">
        <v>3021</v>
      </c>
      <c r="B2072" s="5" t="n">
        <v>44634</v>
      </c>
      <c r="C2072" s="13" t="inlineStr">
        <is>
          <t>VTA</t>
        </is>
      </c>
      <c r="D2072" s="13" t="n">
        <v>42</v>
      </c>
      <c r="E2072" s="10">
        <f>IF(D2072&gt;0,VLOOKUP(OPERAC[[#This Row],[COD CART]],[1]!MatrizCortoLargoCyl[#All],3,0),"")</f>
        <v/>
      </c>
      <c r="F2072" s="13" t="inlineStr">
        <is>
          <t>INO</t>
        </is>
      </c>
      <c r="G2072" s="6" t="n">
        <v>100</v>
      </c>
      <c r="H2072" s="6" t="n">
        <v>-329.77895</v>
      </c>
      <c r="I2072" s="7">
        <f>-H2072/G2072</f>
        <v/>
      </c>
      <c r="J2072" s="11" t="n">
        <v>44634</v>
      </c>
      <c r="K2072" s="6" t="n">
        <v>100</v>
      </c>
      <c r="L2072" s="6" t="n">
        <v>299.1855</v>
      </c>
      <c r="M2072" s="7">
        <f>IF(N2072=0,+L2072+H2072,0)</f>
        <v/>
      </c>
      <c r="N2072" s="7">
        <f>IF((+G2072-K2072)=0,0,+G2072-K2072)</f>
        <v/>
      </c>
      <c r="O2072" s="7">
        <f>IF(N2072=0,0,(L2072+H2072)/-N2072)</f>
        <v/>
      </c>
      <c r="P2072" s="7">
        <f>VLOOKUP(OPERAC[[#This Row],[especie]],[1]!ESPECIES[#All],6,0)</f>
        <v/>
      </c>
      <c r="Q2072" s="7">
        <f>IF(N2072&lt;&gt;0,P2072*N2072,0)</f>
        <v/>
      </c>
      <c r="R2072" s="8">
        <f>IF(Q2072&lt;&gt;0,Q2072+H2072+L2072,0)</f>
        <v/>
      </c>
      <c r="S2072" s="9">
        <f>VLOOKUP(OPERAC[[#This Row],[especie]],[1]!ESPECIES[#Data],9,FALSE)</f>
        <v/>
      </c>
    </row>
    <row r="2073">
      <c r="A2073" s="4" t="n">
        <v>13253</v>
      </c>
      <c r="B2073" s="5" t="n">
        <v>44459</v>
      </c>
      <c r="C2073" s="13" t="inlineStr">
        <is>
          <t>VTA</t>
        </is>
      </c>
      <c r="D2073" s="13" t="n">
        <v>41</v>
      </c>
      <c r="E2073" s="10">
        <f>IF(D2073&gt;0,VLOOKUP(OPERAC[[#This Row],[COD CART]],[1]!MatrizCortoLargoCyl[#All],3,0),"")</f>
        <v/>
      </c>
      <c r="F2073" s="13" t="inlineStr">
        <is>
          <t>SSYS</t>
        </is>
      </c>
      <c r="G2073" s="6" t="n">
        <v>15</v>
      </c>
      <c r="H2073" s="6" t="n">
        <v>-330.7208</v>
      </c>
      <c r="I2073" s="7">
        <f>-H2073/G2073</f>
        <v/>
      </c>
      <c r="J2073" s="11" t="n">
        <v>44649</v>
      </c>
      <c r="K2073" s="6" t="n">
        <v>15</v>
      </c>
      <c r="L2073" s="6" t="n">
        <v>399.718</v>
      </c>
      <c r="M2073" s="7">
        <f>IF(N2073=0,+L2073+H2073,0)</f>
        <v/>
      </c>
      <c r="N2073" s="7">
        <f>IF((+G2073-K2073)=0,0,+G2073-K2073)</f>
        <v/>
      </c>
      <c r="O2073" s="7">
        <f>IF(N2073=0,0,(L2073+H2073)/-N2073)</f>
        <v/>
      </c>
      <c r="P2073" s="7">
        <f>VLOOKUP(OPERAC[[#This Row],[especie]],[1]!ESPECIES[#All],6,0)</f>
        <v/>
      </c>
      <c r="Q2073" s="7">
        <f>IF(N2073&lt;&gt;0,P2073*N2073,0)</f>
        <v/>
      </c>
      <c r="R2073" s="8">
        <f>IF(Q2073&lt;&gt;0,Q2073+H2073+L2073,0)</f>
        <v/>
      </c>
      <c r="S2073" s="9">
        <f>VLOOKUP(OPERAC[[#This Row],[especie]],[1]!ESPECIES[#Data],9,FALSE)</f>
        <v/>
      </c>
    </row>
    <row r="2074">
      <c r="A2074" s="4" t="n">
        <v>3820</v>
      </c>
      <c r="B2074" s="5" t="n">
        <v>44634</v>
      </c>
      <c r="C2074" s="13" t="inlineStr">
        <is>
          <t>VTA</t>
        </is>
      </c>
      <c r="D2074" s="13" t="n">
        <v>42</v>
      </c>
      <c r="E2074" s="10">
        <f>IF(D2074&gt;0,VLOOKUP(OPERAC[[#This Row],[COD CART]],[1]!MatrizCortoLargoCyl[#All],3,0),"")</f>
        <v/>
      </c>
      <c r="F2074" s="13" t="inlineStr">
        <is>
          <t>INO</t>
        </is>
      </c>
      <c r="G2074" s="6" t="n">
        <v>100</v>
      </c>
      <c r="H2074" s="6" t="n">
        <v>-331.4237</v>
      </c>
      <c r="I2074" s="7">
        <f>-H2074/G2074</f>
        <v/>
      </c>
      <c r="J2074" s="11" t="n">
        <v>44634</v>
      </c>
      <c r="K2074" s="6" t="n">
        <v>100</v>
      </c>
      <c r="L2074" s="6" t="n">
        <v>298.8855</v>
      </c>
      <c r="M2074" s="7">
        <f>IF(N2074=0,+L2074+H2074,0)</f>
        <v/>
      </c>
      <c r="N2074" s="7">
        <f>IF((+G2074-K2074)=0,0,+G2074-K2074)</f>
        <v/>
      </c>
      <c r="O2074" s="7">
        <f>IF(N2074=0,0,(L2074+H2074)/-N2074)</f>
        <v/>
      </c>
      <c r="P2074" s="7">
        <f>VLOOKUP(OPERAC[[#This Row],[especie]],[1]!ESPECIES[#All],6,0)</f>
        <v/>
      </c>
      <c r="Q2074" s="7">
        <f>IF(N2074&lt;&gt;0,P2074*N2074,0)</f>
        <v/>
      </c>
      <c r="R2074" s="8">
        <f>IF(Q2074&lt;&gt;0,Q2074+H2074+L2074,0)</f>
        <v/>
      </c>
      <c r="S2074" s="9">
        <f>VLOOKUP(OPERAC[[#This Row],[especie]],[1]!ESPECIES[#Data],9,FALSE)</f>
        <v/>
      </c>
    </row>
    <row r="2075">
      <c r="A2075" s="4" t="n">
        <v>12671</v>
      </c>
      <c r="B2075" s="5" t="n">
        <v>44634</v>
      </c>
      <c r="C2075" s="13" t="inlineStr">
        <is>
          <t>VTA</t>
        </is>
      </c>
      <c r="D2075" s="13" t="n">
        <v>42</v>
      </c>
      <c r="E2075" s="10">
        <f>IF(D2075&gt;0,VLOOKUP(OPERAC[[#This Row],[COD CART]],[1]!MatrizCortoLargoCyl[#All],3,0),"")</f>
        <v/>
      </c>
      <c r="F2075" s="13" t="inlineStr">
        <is>
          <t>INO</t>
        </is>
      </c>
      <c r="G2075" s="6" t="n">
        <v>100</v>
      </c>
      <c r="H2075" s="6" t="n">
        <v>-331.4237</v>
      </c>
      <c r="I2075" s="7">
        <f>-H2075/G2075</f>
        <v/>
      </c>
      <c r="J2075" s="11" t="n">
        <v>44634</v>
      </c>
      <c r="K2075" s="6" t="n">
        <v>100</v>
      </c>
      <c r="L2075" s="6" t="n">
        <v>298.8855</v>
      </c>
      <c r="M2075" s="7">
        <f>IF(N2075=0,+L2075+H2075,0)</f>
        <v/>
      </c>
      <c r="N2075" s="7">
        <f>IF((+G2075-K2075)=0,0,+G2075-K2075)</f>
        <v/>
      </c>
      <c r="O2075" s="7">
        <f>IF(N2075=0,0,(L2075+H2075)/-N2075)</f>
        <v/>
      </c>
      <c r="P2075" s="7">
        <f>VLOOKUP(OPERAC[[#This Row],[especie]],[1]!ESPECIES[#All],6,0)</f>
        <v/>
      </c>
      <c r="Q2075" s="7">
        <f>IF(N2075&lt;&gt;0,P2075*N2075,0)</f>
        <v/>
      </c>
      <c r="R2075" s="8">
        <f>IF(Q2075&lt;&gt;0,Q2075+H2075+L2075,0)</f>
        <v/>
      </c>
      <c r="S2075" s="9">
        <f>VLOOKUP(OPERAC[[#This Row],[especie]],[1]!ESPECIES[#Data],9,FALSE)</f>
        <v/>
      </c>
    </row>
    <row r="2076">
      <c r="A2076" s="4" t="n">
        <v>2194</v>
      </c>
      <c r="B2076" s="5" t="n">
        <v>44312</v>
      </c>
      <c r="C2076" s="13" t="inlineStr">
        <is>
          <t>VTA</t>
        </is>
      </c>
      <c r="D2076" s="13" t="n">
        <v>41</v>
      </c>
      <c r="E2076" s="10">
        <f>IF(D2076&gt;0,VLOOKUP(OPERAC[[#This Row],[COD CART]],[1]!MatrizCortoLargoCyl[#All],3,0),"")</f>
        <v/>
      </c>
      <c r="F2076" s="13" t="inlineStr">
        <is>
          <t>ETHE</t>
        </is>
      </c>
      <c r="G2076" s="6" t="n">
        <v>13</v>
      </c>
      <c r="H2076" s="6" t="n">
        <v>-331.48288</v>
      </c>
      <c r="I2076" s="7">
        <f>-H2076/G2076</f>
        <v/>
      </c>
      <c r="J2076" s="11" t="n"/>
      <c r="K2076" s="6" t="n"/>
      <c r="L2076" s="6" t="n"/>
      <c r="M2076" s="7">
        <f>IF(N2076=0,+L2076+H2076,0)</f>
        <v/>
      </c>
      <c r="N2076" s="7">
        <f>IF((+G2076-K2076)=0,0,+G2076-K2076)</f>
        <v/>
      </c>
      <c r="O2076" s="7">
        <f>IF(N2076=0,0,(L2076+H2076)/-N2076)</f>
        <v/>
      </c>
      <c r="P2076" s="7">
        <f>VLOOKUP(OPERAC[[#This Row],[especie]],[1]!ESPECIES[#All],6,0)</f>
        <v/>
      </c>
      <c r="Q2076" s="7">
        <f>IF(N2076&lt;&gt;0,P2076*N2076,0)</f>
        <v/>
      </c>
      <c r="R2076" s="8">
        <f>IF(Q2076&lt;&gt;0,Q2076+H2076+L2076,0)</f>
        <v/>
      </c>
      <c r="S2076" s="9">
        <f>VLOOKUP(OPERAC[[#This Row],[especie]],[1]!ESPECIES[#Data],9,FALSE)</f>
        <v/>
      </c>
    </row>
    <row r="2077">
      <c r="A2077" s="4" t="n">
        <v>18663</v>
      </c>
      <c r="B2077" s="5" t="n">
        <v>44169</v>
      </c>
      <c r="C2077" s="13" t="inlineStr">
        <is>
          <t>VTA</t>
        </is>
      </c>
      <c r="D2077" s="13" t="n">
        <v>41</v>
      </c>
      <c r="E2077" s="10">
        <f>IF(D2077&gt;0,VLOOKUP(OPERAC[[#This Row],[COD CART]],[1]!MatrizCortoLargoCyl[#All],3,0),"")</f>
        <v/>
      </c>
      <c r="F2077" s="13" t="inlineStr">
        <is>
          <t>VIOT</t>
        </is>
      </c>
      <c r="G2077" s="6" t="n">
        <v>60</v>
      </c>
      <c r="H2077" s="6" t="n">
        <v>-331.78</v>
      </c>
      <c r="I2077" s="7">
        <f>-H2077/G2077</f>
        <v/>
      </c>
      <c r="J2077" s="11" t="n">
        <v>44249</v>
      </c>
      <c r="K2077" s="6" t="n">
        <v>30</v>
      </c>
      <c r="L2077" s="6" t="n">
        <v>406.9915999999999</v>
      </c>
      <c r="M2077" s="7">
        <f>IF(N2077=0,+L2077+H2077,0)</f>
        <v/>
      </c>
      <c r="N2077" s="7">
        <f>IF((+G2077-K2077)=0,0,+G2077-K2077)</f>
        <v/>
      </c>
      <c r="O2077" s="7">
        <f>IF(N2077=0,0,(L2077+H2077)/-N2077)</f>
        <v/>
      </c>
      <c r="P2077" s="7">
        <f>VLOOKUP(OPERAC[[#This Row],[especie]],[1]!ESPECIES[#All],6,0)</f>
        <v/>
      </c>
      <c r="Q2077" s="7">
        <f>IF(N2077&lt;&gt;0,P2077*N2077,0)</f>
        <v/>
      </c>
      <c r="R2077" s="8">
        <f>IF(Q2077&lt;&gt;0,Q2077+H2077+L2077,0)</f>
        <v/>
      </c>
      <c r="S2077" s="9">
        <f>VLOOKUP(OPERAC[[#This Row],[especie]],[1]!ESPECIES[#Data],9,FALSE)</f>
        <v/>
      </c>
    </row>
    <row r="2078">
      <c r="A2078" s="4" t="n">
        <v>3853</v>
      </c>
      <c r="B2078" s="5" t="n">
        <v>44655</v>
      </c>
      <c r="C2078" s="13" t="inlineStr">
        <is>
          <t>VTA</t>
        </is>
      </c>
      <c r="D2078" s="13" t="n">
        <v>42</v>
      </c>
      <c r="E2078" s="10">
        <f>IF(D2078&gt;0,VLOOKUP(OPERAC[[#This Row],[COD CART]],[1]!MatrizCortoLargoCyl[#All],3,0),"")</f>
        <v/>
      </c>
      <c r="F2078" s="13" t="inlineStr">
        <is>
          <t>AMD</t>
        </is>
      </c>
      <c r="G2078" s="6" t="n">
        <v>3</v>
      </c>
      <c r="H2078" s="6" t="n">
        <v>-331.86045</v>
      </c>
      <c r="I2078" s="7">
        <f>-H2078/G2078</f>
        <v/>
      </c>
      <c r="J2078" s="11" t="n">
        <v>44693</v>
      </c>
      <c r="K2078" s="6" t="n">
        <v>3</v>
      </c>
      <c r="L2078" s="6" t="n">
        <v>254.75</v>
      </c>
      <c r="M2078" s="7">
        <f>IF(N2078=0,+L2078+H2078,0)</f>
        <v/>
      </c>
      <c r="N2078" s="7">
        <f>IF((+G2078-K2078)=0,0,+G2078-K2078)</f>
        <v/>
      </c>
      <c r="O2078" s="7">
        <f>IF(N2078=0,0,(L2078+H2078)/-N2078)</f>
        <v/>
      </c>
      <c r="P2078" s="7">
        <f>VLOOKUP(OPERAC[[#This Row],[especie]],[1]!ESPECIES[#All],6,0)</f>
        <v/>
      </c>
      <c r="Q2078" s="7">
        <f>IF(N2078&lt;&gt;0,P2078*N2078,0)</f>
        <v/>
      </c>
      <c r="R2078" s="8">
        <f>IF(Q2078&lt;&gt;0,Q2078+H2078+L2078,0)</f>
        <v/>
      </c>
      <c r="S2078" s="9">
        <f>VLOOKUP(OPERAC[[#This Row],[especie]],[1]!ESPECIES[#Data],9,FALSE)</f>
        <v/>
      </c>
    </row>
    <row r="2079">
      <c r="A2079" s="4" t="n">
        <v>26137</v>
      </c>
      <c r="B2079" s="5" t="n">
        <v>44655</v>
      </c>
      <c r="C2079" s="13" t="inlineStr">
        <is>
          <t>VTA</t>
        </is>
      </c>
      <c r="D2079" s="13" t="n">
        <v>42</v>
      </c>
      <c r="E2079" s="10">
        <f>IF(D2079&gt;0,VLOOKUP(OPERAC[[#This Row],[COD CART]],[1]!MatrizCortoLargoCyl[#All],3,0),"")</f>
        <v/>
      </c>
      <c r="F2079" s="13" t="inlineStr">
        <is>
          <t>AMD</t>
        </is>
      </c>
      <c r="G2079" s="6" t="n">
        <v>3</v>
      </c>
      <c r="H2079" s="6" t="n">
        <v>-331.86045</v>
      </c>
      <c r="I2079" s="7">
        <f>-H2079/G2079</f>
        <v/>
      </c>
      <c r="J2079" s="11" t="n">
        <v>44693</v>
      </c>
      <c r="K2079" s="6">
        <f>+OPERAC[[#This Row],[cantidad]]</f>
        <v/>
      </c>
      <c r="L2079" s="6">
        <f>+OPERAC[[#This Row],[cantidad venta]]*85.26</f>
        <v/>
      </c>
      <c r="M2079" s="7">
        <f>IF(N2079=0,+L2079+H2079,0)</f>
        <v/>
      </c>
      <c r="N2079" s="7">
        <f>IF((+G2079-K2079)=0,0,+G2079-K2079)</f>
        <v/>
      </c>
      <c r="O2079" s="7">
        <f>IF(N2079=0,0,(L2079+H2079)/-N2079)</f>
        <v/>
      </c>
      <c r="P2079" s="7">
        <f>VLOOKUP(OPERAC[[#This Row],[especie]],[1]!ESPECIES[#All],6,0)</f>
        <v/>
      </c>
      <c r="Q2079" s="7">
        <f>IF(N2079&lt;&gt;0,P2079*N2079,0)</f>
        <v/>
      </c>
      <c r="R2079" s="8">
        <f>IF(Q2079&lt;&gt;0,Q2079+H2079+L2079,0)</f>
        <v/>
      </c>
      <c r="S2079" s="9">
        <f>VLOOKUP(OPERAC[[#This Row],[especie]],[1]!ESPECIES[#Data],9,FALSE)</f>
        <v/>
      </c>
    </row>
    <row r="2080">
      <c r="A2080" s="4" t="n">
        <v>13253</v>
      </c>
      <c r="B2080" s="5" t="n">
        <v>44531</v>
      </c>
      <c r="C2080" s="13" t="inlineStr">
        <is>
          <t>VTA</t>
        </is>
      </c>
      <c r="D2080" s="13" t="n">
        <v>41</v>
      </c>
      <c r="E2080" s="10">
        <f>IF(D2080&gt;0,VLOOKUP(OPERAC[[#This Row],[COD CART]],[1]!MatrizCortoLargoCyl[#All],3,0),"")</f>
        <v/>
      </c>
      <c r="F2080" s="13" t="inlineStr">
        <is>
          <t>DDD</t>
        </is>
      </c>
      <c r="G2080" s="6" t="n">
        <v>15</v>
      </c>
      <c r="H2080" s="6" t="n">
        <v>-331.884</v>
      </c>
      <c r="I2080" s="7">
        <f>-H2080/G2080</f>
        <v/>
      </c>
      <c r="J2080" s="11" t="n"/>
      <c r="K2080" s="6" t="n"/>
      <c r="L2080" s="6" t="n"/>
      <c r="M2080" s="7">
        <f>IF(N2080=0,+L2080+H2080,0)</f>
        <v/>
      </c>
      <c r="N2080" s="7">
        <f>IF((+G2080-K2080)=0,0,+G2080-K2080)</f>
        <v/>
      </c>
      <c r="O2080" s="7">
        <f>IF(N2080=0,0,(L2080+H2080)/-N2080)</f>
        <v/>
      </c>
      <c r="P2080" s="7">
        <f>VLOOKUP(OPERAC[[#This Row],[especie]],[1]!ESPECIES[#All],6,0)</f>
        <v/>
      </c>
      <c r="Q2080" s="7">
        <f>IF(N2080&lt;&gt;0,P2080*N2080,0)</f>
        <v/>
      </c>
      <c r="R2080" s="8">
        <f>IF(Q2080&lt;&gt;0,Q2080+H2080+L2080,0)</f>
        <v/>
      </c>
      <c r="S2080" s="9">
        <f>VLOOKUP(OPERAC[[#This Row],[especie]],[1]!ESPECIES[#Data],9,FALSE)</f>
        <v/>
      </c>
    </row>
    <row r="2081">
      <c r="A2081" s="4" t="n">
        <v>2194</v>
      </c>
      <c r="B2081" s="5" t="n">
        <v>44634</v>
      </c>
      <c r="C2081" s="13" t="inlineStr">
        <is>
          <t>VTA</t>
        </is>
      </c>
      <c r="D2081" s="13" t="n">
        <v>42</v>
      </c>
      <c r="E2081" s="10">
        <f>IF(D2081&gt;0,VLOOKUP(OPERAC[[#This Row],[COD CART]],[1]!MatrizCortoLargoCyl[#All],3,0),"")</f>
        <v/>
      </c>
      <c r="F2081" s="13" t="inlineStr">
        <is>
          <t>INO</t>
        </is>
      </c>
      <c r="G2081" s="6" t="n">
        <v>100</v>
      </c>
      <c r="H2081" s="6" t="n">
        <v>-332.0816</v>
      </c>
      <c r="I2081" s="7">
        <f>-H2081/G2081</f>
        <v/>
      </c>
      <c r="J2081" s="11" t="n">
        <v>44634</v>
      </c>
      <c r="K2081" s="6" t="n">
        <v>100</v>
      </c>
      <c r="L2081" s="6" t="n">
        <v>298.8855</v>
      </c>
      <c r="M2081" s="7">
        <f>IF(N2081=0,+L2081+H2081,0)</f>
        <v/>
      </c>
      <c r="N2081" s="7">
        <f>IF((+G2081-K2081)=0,0,+G2081-K2081)</f>
        <v/>
      </c>
      <c r="O2081" s="7">
        <f>IF(N2081=0,0,(L2081+H2081)/-N2081)</f>
        <v/>
      </c>
      <c r="P2081" s="7">
        <f>VLOOKUP(OPERAC[[#This Row],[especie]],[1]!ESPECIES[#All],6,0)</f>
        <v/>
      </c>
      <c r="Q2081" s="7">
        <f>IF(N2081&lt;&gt;0,P2081*N2081,0)</f>
        <v/>
      </c>
      <c r="R2081" s="8">
        <f>IF(Q2081&lt;&gt;0,Q2081+H2081+L2081,0)</f>
        <v/>
      </c>
      <c r="S2081" s="9">
        <f>VLOOKUP(OPERAC[[#This Row],[especie]],[1]!ESPECIES[#Data],9,FALSE)</f>
        <v/>
      </c>
    </row>
    <row r="2082">
      <c r="A2082" s="4" t="n">
        <v>2217</v>
      </c>
      <c r="B2082" s="5" t="n">
        <v>44634</v>
      </c>
      <c r="C2082" s="13" t="inlineStr">
        <is>
          <t>VTA</t>
        </is>
      </c>
      <c r="D2082" s="13" t="n">
        <v>42</v>
      </c>
      <c r="E2082" s="10">
        <f>IF(D2082&gt;0,VLOOKUP(OPERAC[[#This Row],[COD CART]],[1]!MatrizCortoLargoCyl[#All],3,0),"")</f>
        <v/>
      </c>
      <c r="F2082" s="13" t="inlineStr">
        <is>
          <t>INO</t>
        </is>
      </c>
      <c r="G2082" s="6" t="n">
        <v>100</v>
      </c>
      <c r="H2082" s="6" t="n">
        <v>-332.0816</v>
      </c>
      <c r="I2082" s="7">
        <f>-H2082/G2082</f>
        <v/>
      </c>
      <c r="J2082" s="11" t="n">
        <v>44634</v>
      </c>
      <c r="K2082" s="6" t="n">
        <v>100</v>
      </c>
      <c r="L2082" s="6" t="n">
        <v>298.8855</v>
      </c>
      <c r="M2082" s="7">
        <f>IF(N2082=0,+L2082+H2082,0)</f>
        <v/>
      </c>
      <c r="N2082" s="7">
        <f>IF((+G2082-K2082)=0,0,+G2082-K2082)</f>
        <v/>
      </c>
      <c r="O2082" s="7">
        <f>IF(N2082=0,0,(L2082+H2082)/-N2082)</f>
        <v/>
      </c>
      <c r="P2082" s="7">
        <f>VLOOKUP(OPERAC[[#This Row],[especie]],[1]!ESPECIES[#All],6,0)</f>
        <v/>
      </c>
      <c r="Q2082" s="7">
        <f>IF(N2082&lt;&gt;0,P2082*N2082,0)</f>
        <v/>
      </c>
      <c r="R2082" s="8">
        <f>IF(Q2082&lt;&gt;0,Q2082+H2082+L2082,0)</f>
        <v/>
      </c>
      <c r="S2082" s="9">
        <f>VLOOKUP(OPERAC[[#This Row],[especie]],[1]!ESPECIES[#Data],9,FALSE)</f>
        <v/>
      </c>
    </row>
    <row r="2083">
      <c r="A2083" s="4" t="n">
        <v>2279</v>
      </c>
      <c r="B2083" s="5" t="n">
        <v>44634</v>
      </c>
      <c r="C2083" s="13" t="inlineStr">
        <is>
          <t>VTA</t>
        </is>
      </c>
      <c r="D2083" s="13" t="n">
        <v>42</v>
      </c>
      <c r="E2083" s="10">
        <f>IF(D2083&gt;0,VLOOKUP(OPERAC[[#This Row],[COD CART]],[1]!MatrizCortoLargoCyl[#All],3,0),"")</f>
        <v/>
      </c>
      <c r="F2083" s="13" t="inlineStr">
        <is>
          <t>INO</t>
        </is>
      </c>
      <c r="G2083" s="6" t="n">
        <v>100</v>
      </c>
      <c r="H2083" s="6" t="n">
        <v>-332.0816</v>
      </c>
      <c r="I2083" s="7">
        <f>-H2083/G2083</f>
        <v/>
      </c>
      <c r="J2083" s="11" t="n">
        <v>44634</v>
      </c>
      <c r="K2083" s="6" t="n">
        <v>100</v>
      </c>
      <c r="L2083" s="6" t="n">
        <v>298.8855</v>
      </c>
      <c r="M2083" s="7">
        <f>IF(N2083=0,+L2083+H2083,0)</f>
        <v/>
      </c>
      <c r="N2083" s="7">
        <f>IF((+G2083-K2083)=0,0,+G2083-K2083)</f>
        <v/>
      </c>
      <c r="O2083" s="7">
        <f>IF(N2083=0,0,(L2083+H2083)/-N2083)</f>
        <v/>
      </c>
      <c r="P2083" s="7">
        <f>VLOOKUP(OPERAC[[#This Row],[especie]],[1]!ESPECIES[#All],6,0)</f>
        <v/>
      </c>
      <c r="Q2083" s="7">
        <f>IF(N2083&lt;&gt;0,P2083*N2083,0)</f>
        <v/>
      </c>
      <c r="R2083" s="8">
        <f>IF(Q2083&lt;&gt;0,Q2083+H2083+L2083,0)</f>
        <v/>
      </c>
      <c r="S2083" s="9">
        <f>VLOOKUP(OPERAC[[#This Row],[especie]],[1]!ESPECIES[#Data],9,FALSE)</f>
        <v/>
      </c>
    </row>
    <row r="2084">
      <c r="A2084" s="4" t="n">
        <v>7925</v>
      </c>
      <c r="B2084" s="5" t="n">
        <v>44634</v>
      </c>
      <c r="C2084" s="13" t="inlineStr">
        <is>
          <t>VTA</t>
        </is>
      </c>
      <c r="D2084" s="13" t="n">
        <v>42</v>
      </c>
      <c r="E2084" s="10">
        <f>IF(D2084&gt;0,VLOOKUP(OPERAC[[#This Row],[COD CART]],[1]!MatrizCortoLargoCyl[#All],3,0),"")</f>
        <v/>
      </c>
      <c r="F2084" s="13" t="inlineStr">
        <is>
          <t>INO</t>
        </is>
      </c>
      <c r="G2084" s="6" t="n">
        <v>100</v>
      </c>
      <c r="H2084" s="6" t="n">
        <v>-332.0816</v>
      </c>
      <c r="I2084" s="7">
        <f>-H2084/G2084</f>
        <v/>
      </c>
      <c r="J2084" s="11" t="n">
        <v>44634</v>
      </c>
      <c r="K2084" s="6" t="n">
        <v>100</v>
      </c>
      <c r="L2084" s="6" t="n">
        <v>298.8855</v>
      </c>
      <c r="M2084" s="7">
        <f>IF(N2084=0,+L2084+H2084,0)</f>
        <v/>
      </c>
      <c r="N2084" s="7">
        <f>IF((+G2084-K2084)=0,0,+G2084-K2084)</f>
        <v/>
      </c>
      <c r="O2084" s="7">
        <f>IF(N2084=0,0,(L2084+H2084)/-N2084)</f>
        <v/>
      </c>
      <c r="P2084" s="7">
        <f>VLOOKUP(OPERAC[[#This Row],[especie]],[1]!ESPECIES[#All],6,0)</f>
        <v/>
      </c>
      <c r="Q2084" s="7">
        <f>IF(N2084&lt;&gt;0,P2084*N2084,0)</f>
        <v/>
      </c>
      <c r="R2084" s="8">
        <f>IF(Q2084&lt;&gt;0,Q2084+H2084+L2084,0)</f>
        <v/>
      </c>
      <c r="S2084" s="9">
        <f>VLOOKUP(OPERAC[[#This Row],[especie]],[1]!ESPECIES[#Data],9,FALSE)</f>
        <v/>
      </c>
    </row>
    <row r="2085">
      <c r="A2085" s="4" t="n">
        <v>10079</v>
      </c>
      <c r="B2085" s="5" t="n">
        <v>44634</v>
      </c>
      <c r="C2085" s="13" t="inlineStr">
        <is>
          <t>VTA</t>
        </is>
      </c>
      <c r="D2085" s="13" t="n">
        <v>42</v>
      </c>
      <c r="E2085" s="10">
        <f>IF(D2085&gt;0,VLOOKUP(OPERAC[[#This Row],[COD CART]],[1]!MatrizCortoLargoCyl[#All],3,0),"")</f>
        <v/>
      </c>
      <c r="F2085" s="13" t="inlineStr">
        <is>
          <t>INO</t>
        </is>
      </c>
      <c r="G2085" s="6" t="n">
        <v>100</v>
      </c>
      <c r="H2085" s="6" t="n">
        <v>-332.0816</v>
      </c>
      <c r="I2085" s="7">
        <f>-H2085/G2085</f>
        <v/>
      </c>
      <c r="J2085" s="11" t="n">
        <v>44634</v>
      </c>
      <c r="K2085" s="6" t="n">
        <v>100</v>
      </c>
      <c r="L2085" s="6" t="n">
        <v>298.8855</v>
      </c>
      <c r="M2085" s="7">
        <f>IF(N2085=0,+L2085+H2085,0)</f>
        <v/>
      </c>
      <c r="N2085" s="7">
        <f>IF((+G2085-K2085)=0,0,+G2085-K2085)</f>
        <v/>
      </c>
      <c r="O2085" s="7">
        <f>IF(N2085=0,0,(L2085+H2085)/-N2085)</f>
        <v/>
      </c>
      <c r="P2085" s="7">
        <f>VLOOKUP(OPERAC[[#This Row],[especie]],[1]!ESPECIES[#All],6,0)</f>
        <v/>
      </c>
      <c r="Q2085" s="7">
        <f>IF(N2085&lt;&gt;0,P2085*N2085,0)</f>
        <v/>
      </c>
      <c r="R2085" s="8">
        <f>IF(Q2085&lt;&gt;0,Q2085+H2085+L2085,0)</f>
        <v/>
      </c>
      <c r="S2085" s="9">
        <f>VLOOKUP(OPERAC[[#This Row],[especie]],[1]!ESPECIES[#Data],9,FALSE)</f>
        <v/>
      </c>
    </row>
    <row r="2086">
      <c r="A2086" s="4" t="n">
        <v>11170</v>
      </c>
      <c r="B2086" s="5" t="n">
        <v>44634</v>
      </c>
      <c r="C2086" s="13" t="inlineStr">
        <is>
          <t>VTA</t>
        </is>
      </c>
      <c r="D2086" s="13" t="n">
        <v>42</v>
      </c>
      <c r="E2086" s="10">
        <f>IF(D2086&gt;0,VLOOKUP(OPERAC[[#This Row],[COD CART]],[1]!MatrizCortoLargoCyl[#All],3,0),"")</f>
        <v/>
      </c>
      <c r="F2086" s="13" t="inlineStr">
        <is>
          <t>INO</t>
        </is>
      </c>
      <c r="G2086" s="6" t="n">
        <v>100</v>
      </c>
      <c r="H2086" s="6" t="n">
        <v>-332.0816</v>
      </c>
      <c r="I2086" s="7">
        <f>-H2086/G2086</f>
        <v/>
      </c>
      <c r="J2086" s="11" t="n">
        <v>44634</v>
      </c>
      <c r="K2086" s="6" t="n">
        <v>100</v>
      </c>
      <c r="L2086" s="6" t="n">
        <v>298.8855</v>
      </c>
      <c r="M2086" s="7">
        <f>IF(N2086=0,+L2086+H2086,0)</f>
        <v/>
      </c>
      <c r="N2086" s="7">
        <f>IF((+G2086-K2086)=0,0,+G2086-K2086)</f>
        <v/>
      </c>
      <c r="O2086" s="7">
        <f>IF(N2086=0,0,(L2086+H2086)/-N2086)</f>
        <v/>
      </c>
      <c r="P2086" s="7">
        <f>VLOOKUP(OPERAC[[#This Row],[especie]],[1]!ESPECIES[#All],6,0)</f>
        <v/>
      </c>
      <c r="Q2086" s="7">
        <f>IF(N2086&lt;&gt;0,P2086*N2086,0)</f>
        <v/>
      </c>
      <c r="R2086" s="8">
        <f>IF(Q2086&lt;&gt;0,Q2086+H2086+L2086,0)</f>
        <v/>
      </c>
      <c r="S2086" s="9">
        <f>VLOOKUP(OPERAC[[#This Row],[especie]],[1]!ESPECIES[#Data],9,FALSE)</f>
        <v/>
      </c>
    </row>
    <row r="2087">
      <c r="A2087" s="4" t="n">
        <v>12652</v>
      </c>
      <c r="B2087" s="5" t="n">
        <v>44634</v>
      </c>
      <c r="C2087" s="13" t="inlineStr">
        <is>
          <t>VTA</t>
        </is>
      </c>
      <c r="D2087" s="13" t="n">
        <v>42</v>
      </c>
      <c r="E2087" s="10">
        <f>IF(D2087&gt;0,VLOOKUP(OPERAC[[#This Row],[COD CART]],[1]!MatrizCortoLargoCyl[#All],3,0),"")</f>
        <v/>
      </c>
      <c r="F2087" s="13" t="inlineStr">
        <is>
          <t>INO</t>
        </is>
      </c>
      <c r="G2087" s="6" t="n">
        <v>100</v>
      </c>
      <c r="H2087" s="6" t="n">
        <v>-332.0816</v>
      </c>
      <c r="I2087" s="7">
        <f>-H2087/G2087</f>
        <v/>
      </c>
      <c r="J2087" s="11" t="n">
        <v>44634</v>
      </c>
      <c r="K2087" s="6" t="n">
        <v>100</v>
      </c>
      <c r="L2087" s="6" t="n">
        <v>298.8855</v>
      </c>
      <c r="M2087" s="7">
        <f>IF(N2087=0,+L2087+H2087,0)</f>
        <v/>
      </c>
      <c r="N2087" s="7">
        <f>IF((+G2087-K2087)=0,0,+G2087-K2087)</f>
        <v/>
      </c>
      <c r="O2087" s="7">
        <f>IF(N2087=0,0,(L2087+H2087)/-N2087)</f>
        <v/>
      </c>
      <c r="P2087" s="7">
        <f>VLOOKUP(OPERAC[[#This Row],[especie]],[1]!ESPECIES[#All],6,0)</f>
        <v/>
      </c>
      <c r="Q2087" s="7">
        <f>IF(N2087&lt;&gt;0,P2087*N2087,0)</f>
        <v/>
      </c>
      <c r="R2087" s="8">
        <f>IF(Q2087&lt;&gt;0,Q2087+H2087+L2087,0)</f>
        <v/>
      </c>
      <c r="S2087" s="9">
        <f>VLOOKUP(OPERAC[[#This Row],[especie]],[1]!ESPECIES[#Data],9,FALSE)</f>
        <v/>
      </c>
    </row>
    <row r="2088">
      <c r="A2088" s="4" t="n">
        <v>12674</v>
      </c>
      <c r="B2088" s="5" t="n">
        <v>44634</v>
      </c>
      <c r="C2088" s="13" t="inlineStr">
        <is>
          <t>VTA</t>
        </is>
      </c>
      <c r="D2088" s="13" t="n">
        <v>42</v>
      </c>
      <c r="E2088" s="10">
        <f>IF(D2088&gt;0,VLOOKUP(OPERAC[[#This Row],[COD CART]],[1]!MatrizCortoLargoCyl[#All],3,0),"")</f>
        <v/>
      </c>
      <c r="F2088" s="13" t="inlineStr">
        <is>
          <t>INO</t>
        </is>
      </c>
      <c r="G2088" s="6" t="n">
        <v>100</v>
      </c>
      <c r="H2088" s="6" t="n">
        <v>-332.0816</v>
      </c>
      <c r="I2088" s="7">
        <f>-H2088/G2088</f>
        <v/>
      </c>
      <c r="J2088" s="11" t="n">
        <v>44634</v>
      </c>
      <c r="K2088" s="6" t="n">
        <v>100</v>
      </c>
      <c r="L2088" s="6" t="n">
        <v>298.8855</v>
      </c>
      <c r="M2088" s="7">
        <f>IF(N2088=0,+L2088+H2088,0)</f>
        <v/>
      </c>
      <c r="N2088" s="7">
        <f>IF((+G2088-K2088)=0,0,+G2088-K2088)</f>
        <v/>
      </c>
      <c r="O2088" s="7">
        <f>IF(N2088=0,0,(L2088+H2088)/-N2088)</f>
        <v/>
      </c>
      <c r="P2088" s="7">
        <f>VLOOKUP(OPERAC[[#This Row],[especie]],[1]!ESPECIES[#All],6,0)</f>
        <v/>
      </c>
      <c r="Q2088" s="7">
        <f>IF(N2088&lt;&gt;0,P2088*N2088,0)</f>
        <v/>
      </c>
      <c r="R2088" s="8">
        <f>IF(Q2088&lt;&gt;0,Q2088+H2088+L2088,0)</f>
        <v/>
      </c>
      <c r="S2088" s="9">
        <f>VLOOKUP(OPERAC[[#This Row],[especie]],[1]!ESPECIES[#Data],9,FALSE)</f>
        <v/>
      </c>
    </row>
    <row r="2089">
      <c r="A2089" s="4" t="n">
        <v>13204</v>
      </c>
      <c r="B2089" s="5" t="n">
        <v>44634</v>
      </c>
      <c r="C2089" s="13" t="inlineStr">
        <is>
          <t>VTA</t>
        </is>
      </c>
      <c r="D2089" s="13" t="n">
        <v>42</v>
      </c>
      <c r="E2089" s="10">
        <f>IF(D2089&gt;0,VLOOKUP(OPERAC[[#This Row],[COD CART]],[1]!MatrizCortoLargoCyl[#All],3,0),"")</f>
        <v/>
      </c>
      <c r="F2089" s="13" t="inlineStr">
        <is>
          <t>INO</t>
        </is>
      </c>
      <c r="G2089" s="6" t="n">
        <v>100</v>
      </c>
      <c r="H2089" s="6" t="n">
        <v>-332.0816</v>
      </c>
      <c r="I2089" s="7">
        <f>-H2089/G2089</f>
        <v/>
      </c>
      <c r="J2089" s="11" t="n">
        <v>44634</v>
      </c>
      <c r="K2089" s="6" t="n">
        <v>100</v>
      </c>
      <c r="L2089" s="6" t="n">
        <v>298.8855</v>
      </c>
      <c r="M2089" s="7">
        <f>IF(N2089=0,+L2089+H2089,0)</f>
        <v/>
      </c>
      <c r="N2089" s="7">
        <f>IF((+G2089-K2089)=0,0,+G2089-K2089)</f>
        <v/>
      </c>
      <c r="O2089" s="7">
        <f>IF(N2089=0,0,(L2089+H2089)/-N2089)</f>
        <v/>
      </c>
      <c r="P2089" s="7">
        <f>VLOOKUP(OPERAC[[#This Row],[especie]],[1]!ESPECIES[#All],6,0)</f>
        <v/>
      </c>
      <c r="Q2089" s="7">
        <f>IF(N2089&lt;&gt;0,P2089*N2089,0)</f>
        <v/>
      </c>
      <c r="R2089" s="8">
        <f>IF(Q2089&lt;&gt;0,Q2089+H2089+L2089,0)</f>
        <v/>
      </c>
      <c r="S2089" s="9">
        <f>VLOOKUP(OPERAC[[#This Row],[especie]],[1]!ESPECIES[#Data],9,FALSE)</f>
        <v/>
      </c>
    </row>
    <row r="2090">
      <c r="A2090" s="4" t="n">
        <v>19920</v>
      </c>
      <c r="B2090" s="5" t="n">
        <v>44634</v>
      </c>
      <c r="C2090" s="13" t="inlineStr">
        <is>
          <t>VTA</t>
        </is>
      </c>
      <c r="D2090" s="13" t="n">
        <v>42</v>
      </c>
      <c r="E2090" s="10">
        <f>IF(D2090&gt;0,VLOOKUP(OPERAC[[#This Row],[COD CART]],[1]!MatrizCortoLargoCyl[#All],3,0),"")</f>
        <v/>
      </c>
      <c r="F2090" s="13" t="inlineStr">
        <is>
          <t>INO</t>
        </is>
      </c>
      <c r="G2090" s="6" t="n">
        <v>100</v>
      </c>
      <c r="H2090" s="6" t="n">
        <v>-332.0816</v>
      </c>
      <c r="I2090" s="7">
        <f>-H2090/G2090</f>
        <v/>
      </c>
      <c r="J2090" s="11" t="n">
        <v>44634</v>
      </c>
      <c r="K2090" s="6" t="n">
        <v>100</v>
      </c>
      <c r="L2090" s="6" t="n">
        <v>298.8855</v>
      </c>
      <c r="M2090" s="7">
        <f>IF(N2090=0,+L2090+H2090,0)</f>
        <v/>
      </c>
      <c r="N2090" s="7">
        <f>IF((+G2090-K2090)=0,0,+G2090-K2090)</f>
        <v/>
      </c>
      <c r="O2090" s="7">
        <f>IF(N2090=0,0,(L2090+H2090)/-N2090)</f>
        <v/>
      </c>
      <c r="P2090" s="7">
        <f>VLOOKUP(OPERAC[[#This Row],[especie]],[1]!ESPECIES[#All],6,0)</f>
        <v/>
      </c>
      <c r="Q2090" s="7">
        <f>IF(N2090&lt;&gt;0,P2090*N2090,0)</f>
        <v/>
      </c>
      <c r="R2090" s="8">
        <f>IF(Q2090&lt;&gt;0,Q2090+H2090+L2090,0)</f>
        <v/>
      </c>
      <c r="S2090" s="9">
        <f>VLOOKUP(OPERAC[[#This Row],[especie]],[1]!ESPECIES[#Data],9,FALSE)</f>
        <v/>
      </c>
    </row>
    <row r="2091">
      <c r="A2091" s="4" t="n">
        <v>2194</v>
      </c>
      <c r="B2091" s="5" t="n">
        <v>44637</v>
      </c>
      <c r="C2091" s="13" t="inlineStr">
        <is>
          <t>VTA</t>
        </is>
      </c>
      <c r="D2091" s="13" t="n">
        <v>43</v>
      </c>
      <c r="E2091" s="10">
        <f>IF(D2091&gt;0,VLOOKUP(OPERAC[[#This Row],[COD CART]],[1]!MatrizCortoLargoCyl[#All],3,0),"")</f>
        <v/>
      </c>
      <c r="F2091" s="13" t="inlineStr">
        <is>
          <t>GMBL/CYL-PUT/1,00/20-01-23</t>
        </is>
      </c>
      <c r="G2091" s="6" t="n">
        <v>1600</v>
      </c>
      <c r="H2091" s="6" t="n">
        <v>-332.530816</v>
      </c>
      <c r="I2091" s="7">
        <f>-H2091/G2091</f>
        <v/>
      </c>
      <c r="J2091" s="11" t="n">
        <v>44691</v>
      </c>
      <c r="K2091" s="6" t="n">
        <v>1600</v>
      </c>
      <c r="L2091" s="6" t="n">
        <v>-664.25</v>
      </c>
      <c r="M2091" s="7">
        <f>IF(N2091=0,+L2091+H2091,0)</f>
        <v/>
      </c>
      <c r="N2091" s="7">
        <f>IF((+G2091-K2091)=0,0,+G2091-K2091)</f>
        <v/>
      </c>
      <c r="O2091" s="7">
        <f>IF(N2091=0,0,(L2091+H2091)/-N2091)</f>
        <v/>
      </c>
      <c r="P2091" s="7">
        <f>VLOOKUP(OPERAC[[#This Row],[especie]],[1]!ESPECIES[#All],6,0)</f>
        <v/>
      </c>
      <c r="Q2091" s="7">
        <f>IF(N2091&lt;&gt;0,P2091*N2091,0)</f>
        <v/>
      </c>
      <c r="R2091" s="8">
        <f>IF(Q2091&lt;&gt;0,Q2091+H2091+L2091,0)</f>
        <v/>
      </c>
      <c r="S2091" s="9">
        <f>VLOOKUP(OPERAC[[#This Row],[especie]],[1]!ESPECIES[#Data],9,FALSE)</f>
        <v/>
      </c>
    </row>
    <row r="2092">
      <c r="A2092" s="4" t="n">
        <v>3832</v>
      </c>
      <c r="B2092" s="5" t="n">
        <v>44643</v>
      </c>
      <c r="C2092" s="13" t="inlineStr">
        <is>
          <t>VTA</t>
        </is>
      </c>
      <c r="D2092" s="13" t="n">
        <v>31</v>
      </c>
      <c r="E2092" s="10">
        <f>IF(D2092&gt;0,VLOOKUP(OPERAC[[#This Row],[COD CART]],[1]!MatrizCortoLargoCyl[#All],3,0),"")</f>
        <v/>
      </c>
      <c r="F2092" s="13" t="inlineStr">
        <is>
          <t>LAC</t>
        </is>
      </c>
      <c r="G2092" s="6" t="n">
        <v>10</v>
      </c>
      <c r="H2092" s="6" t="n">
        <v>-332.805373</v>
      </c>
      <c r="I2092" s="7">
        <f>-H2092/G2092</f>
        <v/>
      </c>
      <c r="J2092" s="11" t="n">
        <v>44713</v>
      </c>
      <c r="K2092" s="6" t="n">
        <v>10</v>
      </c>
      <c r="L2092" s="6" t="n">
        <v>222.897</v>
      </c>
      <c r="M2092" s="7">
        <f>IF(N2092=0,+L2092+H2092,0)</f>
        <v/>
      </c>
      <c r="N2092" s="7">
        <f>IF((+G2092-K2092)=0,0,+G2092-K2092)</f>
        <v/>
      </c>
      <c r="O2092" s="7">
        <f>IF(N2092=0,0,(L2092+H2092)/-N2092)</f>
        <v/>
      </c>
      <c r="P2092" s="7">
        <f>VLOOKUP(OPERAC[[#This Row],[especie]],[1]!ESPECIES[#All],6,0)</f>
        <v/>
      </c>
      <c r="Q2092" s="7">
        <f>IF(N2092&lt;&gt;0,P2092*N2092,0)</f>
        <v/>
      </c>
      <c r="R2092" s="8">
        <f>IF(Q2092&lt;&gt;0,Q2092+H2092+L2092,0)</f>
        <v/>
      </c>
      <c r="S2092" s="9">
        <f>VLOOKUP(OPERAC[[#This Row],[especie]],[1]!ESPECIES[#Data],9,FALSE)</f>
        <v/>
      </c>
    </row>
    <row r="2093">
      <c r="A2093" s="4" t="n">
        <v>18663</v>
      </c>
      <c r="B2093" s="5" t="n">
        <v>44616</v>
      </c>
      <c r="C2093" s="13" t="inlineStr">
        <is>
          <t>VTA</t>
        </is>
      </c>
      <c r="D2093" s="13" t="n">
        <v>41</v>
      </c>
      <c r="E2093" s="10">
        <f>IF(D2093&gt;0,VLOOKUP(OPERAC[[#This Row],[COD CART]],[1]!MatrizCortoLargoCyl[#All],3,0),"")</f>
        <v/>
      </c>
      <c r="F2093" s="13" t="inlineStr">
        <is>
          <t>BEP</t>
        </is>
      </c>
      <c r="G2093" s="6" t="n">
        <v>10</v>
      </c>
      <c r="H2093" s="6" t="n">
        <v>-333.138016</v>
      </c>
      <c r="I2093" s="7">
        <f>-H2093/G2093</f>
        <v/>
      </c>
      <c r="J2093" s="11" t="n"/>
      <c r="K2093" s="6" t="n"/>
      <c r="L2093" s="6" t="n"/>
      <c r="M2093" s="7">
        <f>IF(N2093=0,+L2093+H2093,0)</f>
        <v/>
      </c>
      <c r="N2093" s="7">
        <f>IF((+G2093-K2093)=0,0,+G2093-K2093)</f>
        <v/>
      </c>
      <c r="O2093" s="7">
        <f>IF(N2093=0,0,(L2093+H2093)/-N2093)</f>
        <v/>
      </c>
      <c r="P2093" s="7">
        <f>VLOOKUP(OPERAC[[#This Row],[especie]],[1]!ESPECIES[#All],6,0)</f>
        <v/>
      </c>
      <c r="Q2093" s="7">
        <f>IF(N2093&lt;&gt;0,P2093*N2093,0)</f>
        <v/>
      </c>
      <c r="R2093" s="8">
        <f>IF(Q2093&lt;&gt;0,Q2093+H2093+L2093,0)</f>
        <v/>
      </c>
      <c r="S2093" s="9">
        <f>VLOOKUP(OPERAC[[#This Row],[especie]],[1]!ESPECIES[#Data],9,FALSE)</f>
        <v/>
      </c>
    </row>
    <row r="2094">
      <c r="A2094" s="4" t="n">
        <v>18663</v>
      </c>
      <c r="B2094" s="5" t="n">
        <v>44481</v>
      </c>
      <c r="C2094" s="13" t="inlineStr">
        <is>
          <t>VTA</t>
        </is>
      </c>
      <c r="D2094" s="13" t="n">
        <v>41</v>
      </c>
      <c r="E2094" s="10">
        <f>IF(D2094&gt;0,VLOOKUP(OPERAC[[#This Row],[COD CART]],[1]!MatrizCortoLargoCyl[#All],3,0),"")</f>
        <v/>
      </c>
      <c r="F2094" s="13" t="inlineStr">
        <is>
          <t>BABA</t>
        </is>
      </c>
      <c r="G2094" s="6" t="n">
        <v>2</v>
      </c>
      <c r="H2094" s="6" t="n">
        <v>-333.68032</v>
      </c>
      <c r="I2094" s="7">
        <f>-H2094/G2094</f>
        <v/>
      </c>
      <c r="J2094" s="11" t="n"/>
      <c r="K2094" s="6" t="n"/>
      <c r="L2094" s="6" t="n"/>
      <c r="M2094" s="7">
        <f>IF(N2094=0,+L2094+H2094,0)</f>
        <v/>
      </c>
      <c r="N2094" s="7">
        <f>IF((+G2094-K2094)=0,0,+G2094-K2094)</f>
        <v/>
      </c>
      <c r="O2094" s="7">
        <f>IF(N2094=0,0,(L2094+H2094)/-N2094)</f>
        <v/>
      </c>
      <c r="P2094" s="7">
        <f>VLOOKUP(OPERAC[[#This Row],[especie]],[1]!ESPECIES[#All],6,0)</f>
        <v/>
      </c>
      <c r="Q2094" s="7">
        <f>IF(N2094&lt;&gt;0,P2094*N2094,0)</f>
        <v/>
      </c>
      <c r="R2094" s="8">
        <f>IF(Q2094&lt;&gt;0,Q2094+H2094+L2094,0)</f>
        <v/>
      </c>
      <c r="S2094" s="9">
        <f>VLOOKUP(OPERAC[[#This Row],[especie]],[1]!ESPECIES[#Data],9,FALSE)</f>
        <v/>
      </c>
    </row>
    <row r="2095">
      <c r="A2095" s="4" t="n">
        <v>2253</v>
      </c>
      <c r="B2095" s="5" t="n">
        <v>44536</v>
      </c>
      <c r="C2095" s="13" t="inlineStr">
        <is>
          <t>VTA</t>
        </is>
      </c>
      <c r="D2095" s="13" t="n">
        <v>43</v>
      </c>
      <c r="E2095" s="10">
        <f>IF(D2095&gt;0,VLOOKUP(OPERAC[[#This Row],[COD CART]],[1]!MatrizCortoLargoCyl[#All],3,0),"")</f>
        <v/>
      </c>
      <c r="F2095" s="13" t="inlineStr">
        <is>
          <t>HEXO/CYL-PUT/1,00/20-01-23</t>
        </is>
      </c>
      <c r="G2095" s="6" t="n">
        <v>2000</v>
      </c>
      <c r="H2095" s="6">
        <f>-0.1671*OPERAC[[#This Row],[cantidad]]</f>
        <v/>
      </c>
      <c r="I2095" s="7">
        <f>-H2095/G2095</f>
        <v/>
      </c>
      <c r="J2095" s="11" t="n">
        <v>44712</v>
      </c>
      <c r="K2095" s="6" t="n">
        <v>2000</v>
      </c>
      <c r="L2095" s="6" t="n">
        <v>289.29</v>
      </c>
      <c r="M2095" s="7">
        <f>IF(N2095=0,+L2095+H2095,0)</f>
        <v/>
      </c>
      <c r="N2095" s="7">
        <f>IF((+G2095-K2095)=0,0,+G2095-K2095)</f>
        <v/>
      </c>
      <c r="O2095" s="7">
        <f>IF(N2095=0,0,(L2095+H2095)/-N2095)</f>
        <v/>
      </c>
      <c r="P2095" s="7">
        <f>VLOOKUP(OPERAC[[#This Row],[especie]],[1]!ESPECIES[#All],6,0)</f>
        <v/>
      </c>
      <c r="Q2095" s="7">
        <f>IF(N2095&lt;&gt;0,P2095*N2095,0)</f>
        <v/>
      </c>
      <c r="R2095" s="8">
        <f>IF(Q2095&lt;&gt;0,Q2095+H2095+L2095,0)</f>
        <v/>
      </c>
      <c r="S2095" s="9">
        <f>VLOOKUP(OPERAC[[#This Row],[especie]],[1]!ESPECIES[#Data],9,FALSE)</f>
        <v/>
      </c>
    </row>
    <row r="2096">
      <c r="A2096" s="4" t="n">
        <v>3728</v>
      </c>
      <c r="B2096" s="5" t="n">
        <v>44536</v>
      </c>
      <c r="C2096" s="13" t="inlineStr">
        <is>
          <t>VTA</t>
        </is>
      </c>
      <c r="D2096" s="13" t="n">
        <v>43</v>
      </c>
      <c r="E2096" s="10">
        <f>IF(D2096&gt;0,VLOOKUP(OPERAC[[#This Row],[COD CART]],[1]!MatrizCortoLargoCyl[#All],3,0),"")</f>
        <v/>
      </c>
      <c r="F2096" s="13" t="inlineStr">
        <is>
          <t>HEXO/CYL-PUT/1,00/20-01-23</t>
        </is>
      </c>
      <c r="G2096" s="6" t="n">
        <v>2000</v>
      </c>
      <c r="H2096" s="6">
        <f>-0.1671*OPERAC[[#This Row],[cantidad]]</f>
        <v/>
      </c>
      <c r="I2096" s="7">
        <f>-H2096/G2096</f>
        <v/>
      </c>
      <c r="J2096" s="11" t="n"/>
      <c r="K2096" s="6" t="n"/>
      <c r="L2096" s="6" t="n"/>
      <c r="M2096" s="7">
        <f>IF(N2096=0,+L2096+H2096,0)</f>
        <v/>
      </c>
      <c r="N2096" s="7">
        <f>IF((+G2096-K2096)=0,0,+G2096-K2096)</f>
        <v/>
      </c>
      <c r="O2096" s="7">
        <f>IF(N2096=0,0,(L2096+H2096)/-N2096)</f>
        <v/>
      </c>
      <c r="P2096" s="7">
        <f>VLOOKUP(OPERAC[[#This Row],[especie]],[1]!ESPECIES[#All],6,0)</f>
        <v/>
      </c>
      <c r="Q2096" s="7">
        <f>IF(N2096&lt;&gt;0,P2096*N2096,0)</f>
        <v/>
      </c>
      <c r="R2096" s="8">
        <f>IF(Q2096&lt;&gt;0,Q2096+H2096+L2096,0)</f>
        <v/>
      </c>
      <c r="S2096" s="9">
        <f>VLOOKUP(OPERAC[[#This Row],[especie]],[1]!ESPECIES[#Data],9,FALSE)</f>
        <v/>
      </c>
    </row>
    <row r="2097">
      <c r="A2097" s="4" t="n">
        <v>12655</v>
      </c>
      <c r="B2097" s="5" t="n">
        <v>44536</v>
      </c>
      <c r="C2097" s="13" t="inlineStr">
        <is>
          <t>VTA</t>
        </is>
      </c>
      <c r="D2097" s="13" t="n">
        <v>43</v>
      </c>
      <c r="E2097" s="10">
        <f>IF(D2097&gt;0,VLOOKUP(OPERAC[[#This Row],[COD CART]],[1]!MatrizCortoLargoCyl[#All],3,0),"")</f>
        <v/>
      </c>
      <c r="F2097" s="13" t="inlineStr">
        <is>
          <t>HEXO/CYL-PUT/1,00/20-01-23</t>
        </is>
      </c>
      <c r="G2097" s="6" t="n">
        <v>2000</v>
      </c>
      <c r="H2097" s="6">
        <f>-0.1671*OPERAC[[#This Row],[cantidad]]</f>
        <v/>
      </c>
      <c r="I2097" s="7">
        <f>-H2097/G2097</f>
        <v/>
      </c>
      <c r="J2097" s="11" t="n"/>
      <c r="K2097" s="6" t="n"/>
      <c r="L2097" s="6" t="n"/>
      <c r="M2097" s="7">
        <f>IF(N2097=0,+L2097+H2097,0)</f>
        <v/>
      </c>
      <c r="N2097" s="7">
        <f>IF((+G2097-K2097)=0,0,+G2097-K2097)</f>
        <v/>
      </c>
      <c r="O2097" s="7">
        <f>IF(N2097=0,0,(L2097+H2097)/-N2097)</f>
        <v/>
      </c>
      <c r="P2097" s="7">
        <f>VLOOKUP(OPERAC[[#This Row],[especie]],[1]!ESPECIES[#All],6,0)</f>
        <v/>
      </c>
      <c r="Q2097" s="7">
        <f>IF(N2097&lt;&gt;0,P2097*N2097,0)</f>
        <v/>
      </c>
      <c r="R2097" s="8">
        <f>IF(Q2097&lt;&gt;0,Q2097+H2097+L2097,0)</f>
        <v/>
      </c>
      <c r="S2097" s="9">
        <f>VLOOKUP(OPERAC[[#This Row],[especie]],[1]!ESPECIES[#Data],9,FALSE)</f>
        <v/>
      </c>
    </row>
    <row r="2098">
      <c r="A2098" s="4" t="n">
        <v>2255</v>
      </c>
      <c r="B2098" s="5" t="n">
        <v>44553</v>
      </c>
      <c r="C2098" s="13" t="inlineStr">
        <is>
          <t>VTA</t>
        </is>
      </c>
      <c r="D2098" s="13" t="n">
        <v>40</v>
      </c>
      <c r="E2098" s="10">
        <f>IF(D2098&gt;0,VLOOKUP(OPERAC[[#This Row],[COD CART]],[1]!MatrizCortoLargoCyl[#All],3,0),"")</f>
        <v/>
      </c>
      <c r="F2098" s="13" t="inlineStr">
        <is>
          <t>ON</t>
        </is>
      </c>
      <c r="G2098" s="6" t="n">
        <v>5</v>
      </c>
      <c r="H2098" s="6" t="n">
        <v>-334.23652</v>
      </c>
      <c r="I2098" s="7">
        <f>-H2098/G2098</f>
        <v/>
      </c>
      <c r="J2098" s="11" t="n">
        <v>44606</v>
      </c>
      <c r="K2098" s="6">
        <f>+OPERAC[[#This Row],[cantidad]]</f>
        <v/>
      </c>
      <c r="L2098" s="6">
        <f>+OPERAC[[#This Row],[cantidad venta]]*58.449</f>
        <v/>
      </c>
      <c r="M2098" s="7">
        <f>IF(N2098=0,+L2098+H2098,0)</f>
        <v/>
      </c>
      <c r="N2098" s="7">
        <f>IF((+G2098-K2098)=0,0,+G2098-K2098)</f>
        <v/>
      </c>
      <c r="O2098" s="7">
        <f>IF(N2098=0,0,(L2098+H2098)/-N2098)</f>
        <v/>
      </c>
      <c r="P2098" s="7">
        <f>VLOOKUP(OPERAC[[#This Row],[especie]],[1]!ESPECIES[#All],6,0)</f>
        <v/>
      </c>
      <c r="Q2098" s="7">
        <f>IF(N2098&lt;&gt;0,P2098*N2098,0)</f>
        <v/>
      </c>
      <c r="R2098" s="8">
        <f>IF(Q2098&lt;&gt;0,Q2098+H2098+L2098,0)</f>
        <v/>
      </c>
      <c r="S2098" s="9">
        <f>VLOOKUP(OPERAC[[#This Row],[especie]],[1]!ESPECIES[#Data],9,FALSE)</f>
        <v/>
      </c>
    </row>
    <row r="2099">
      <c r="A2099" s="4" t="n">
        <v>9195</v>
      </c>
      <c r="B2099" s="5" t="n">
        <v>44553</v>
      </c>
      <c r="C2099" s="13" t="inlineStr">
        <is>
          <t>VTA</t>
        </is>
      </c>
      <c r="D2099" s="13" t="n">
        <v>40</v>
      </c>
      <c r="E2099" s="10">
        <f>IF(D2099&gt;0,VLOOKUP(OPERAC[[#This Row],[COD CART]],[1]!MatrizCortoLargoCyl[#All],3,0),"")</f>
        <v/>
      </c>
      <c r="F2099" s="13" t="inlineStr">
        <is>
          <t>ON</t>
        </is>
      </c>
      <c r="G2099" s="6" t="n">
        <v>5</v>
      </c>
      <c r="H2099" s="6" t="n">
        <v>-334.23652</v>
      </c>
      <c r="I2099" s="7">
        <f>-H2099/G2099</f>
        <v/>
      </c>
      <c r="J2099" s="11" t="n">
        <v>44606</v>
      </c>
      <c r="K2099" s="6">
        <f>+OPERAC[[#This Row],[cantidad]]</f>
        <v/>
      </c>
      <c r="L2099" s="6">
        <f>+OPERAC[[#This Row],[cantidad venta]]*58.449</f>
        <v/>
      </c>
      <c r="M2099" s="7">
        <f>IF(N2099=0,+L2099+H2099,0)</f>
        <v/>
      </c>
      <c r="N2099" s="7">
        <f>IF((+G2099-K2099)=0,0,+G2099-K2099)</f>
        <v/>
      </c>
      <c r="O2099" s="7">
        <f>IF(N2099=0,0,(L2099+H2099)/-N2099)</f>
        <v/>
      </c>
      <c r="P2099" s="7">
        <f>VLOOKUP(OPERAC[[#This Row],[especie]],[1]!ESPECIES[#All],6,0)</f>
        <v/>
      </c>
      <c r="Q2099" s="7">
        <f>IF(N2099&lt;&gt;0,P2099*N2099,0)</f>
        <v/>
      </c>
      <c r="R2099" s="8">
        <f>IF(Q2099&lt;&gt;0,Q2099+H2099+L2099,0)</f>
        <v/>
      </c>
      <c r="S2099" s="9">
        <f>VLOOKUP(OPERAC[[#This Row],[especie]],[1]!ESPECIES[#Data],9,FALSE)</f>
        <v/>
      </c>
    </row>
    <row r="2100">
      <c r="A2100" s="4" t="n">
        <v>18663</v>
      </c>
      <c r="B2100" s="5" t="n">
        <v>44057</v>
      </c>
      <c r="C2100" s="13" t="inlineStr">
        <is>
          <t>VTA</t>
        </is>
      </c>
      <c r="D2100" s="13" t="n">
        <v>41</v>
      </c>
      <c r="E2100" s="10">
        <f>IF(D2100&gt;0,VLOOKUP(OPERAC[[#This Row],[COD CART]],[1]!MatrizCortoLargoCyl[#All],3,0),"")</f>
        <v/>
      </c>
      <c r="F2100" s="13" t="inlineStr">
        <is>
          <t>TCEHY</t>
        </is>
      </c>
      <c r="G2100" s="6" t="n">
        <v>5</v>
      </c>
      <c r="H2100" s="6" t="n">
        <v>-335</v>
      </c>
      <c r="I2100" s="7">
        <f>-H2100/G2100</f>
        <v/>
      </c>
      <c r="J2100" s="5" t="n"/>
      <c r="K2100" s="6" t="n"/>
      <c r="L2100" s="6" t="n"/>
      <c r="M2100" s="7">
        <f>IF(N2100=0,+L2100+H2100,0)</f>
        <v/>
      </c>
      <c r="N2100" s="7">
        <f>IF((+G2100-K2100)=0,0,+G2100-K2100)</f>
        <v/>
      </c>
      <c r="O2100" s="7">
        <f>IF(N2100=0,0,(L2100+H2100)/-N2100)</f>
        <v/>
      </c>
      <c r="P2100" s="7">
        <f>VLOOKUP(OPERAC[[#This Row],[especie]],[1]!ESPECIES[#All],6,0)</f>
        <v/>
      </c>
      <c r="Q2100" s="7">
        <f>IF(N2100&lt;&gt;0,P2100*N2100,0)</f>
        <v/>
      </c>
      <c r="R2100" s="8">
        <f>IF(Q2100&lt;&gt;0,Q2100+H2100+L2100,0)</f>
        <v/>
      </c>
      <c r="S2100" s="9">
        <f>VLOOKUP(OPERAC[[#This Row],[especie]],[1]!ESPECIES[#Data],9,FALSE)</f>
        <v/>
      </c>
    </row>
    <row r="2101">
      <c r="A2101" s="4" t="n">
        <v>2203</v>
      </c>
      <c r="B2101" s="5" t="n">
        <v>44553</v>
      </c>
      <c r="C2101" s="13" t="inlineStr">
        <is>
          <t>VTA</t>
        </is>
      </c>
      <c r="D2101" s="13" t="n">
        <v>40</v>
      </c>
      <c r="E2101" s="10">
        <f>IF(D2101&gt;0,VLOOKUP(OPERAC[[#This Row],[COD CART]],[1]!MatrizCortoLargoCyl[#All],3,0),"")</f>
        <v/>
      </c>
      <c r="F2101" s="13" t="inlineStr">
        <is>
          <t>ON</t>
        </is>
      </c>
      <c r="G2101" s="6" t="n">
        <v>5</v>
      </c>
      <c r="H2101" s="6" t="n">
        <v>-335.56804</v>
      </c>
      <c r="I2101" s="7">
        <f>-H2101/G2101</f>
        <v/>
      </c>
      <c r="J2101" s="11" t="n">
        <v>44606</v>
      </c>
      <c r="K2101" s="6">
        <f>+OPERAC[[#This Row],[cantidad]]</f>
        <v/>
      </c>
      <c r="L2101" s="6">
        <f>+OPERAC[[#This Row],[cantidad venta]]*58.449</f>
        <v/>
      </c>
      <c r="M2101" s="7">
        <f>IF(N2101=0,+L2101+H2101,0)</f>
        <v/>
      </c>
      <c r="N2101" s="7">
        <f>IF((+G2101-K2101)=0,0,+G2101-K2101)</f>
        <v/>
      </c>
      <c r="O2101" s="7">
        <f>IF(N2101=0,0,(L2101+H2101)/-N2101)</f>
        <v/>
      </c>
      <c r="P2101" s="7">
        <f>VLOOKUP(OPERAC[[#This Row],[especie]],[1]!ESPECIES[#All],6,0)</f>
        <v/>
      </c>
      <c r="Q2101" s="7">
        <f>IF(N2101&lt;&gt;0,P2101*N2101,0)</f>
        <v/>
      </c>
      <c r="R2101" s="8">
        <f>IF(Q2101&lt;&gt;0,Q2101+H2101+L2101,0)</f>
        <v/>
      </c>
      <c r="S2101" s="9">
        <f>VLOOKUP(OPERAC[[#This Row],[especie]],[1]!ESPECIES[#Data],9,FALSE)</f>
        <v/>
      </c>
    </row>
    <row r="2102">
      <c r="A2102" s="4" t="n">
        <v>2257</v>
      </c>
      <c r="B2102" s="5" t="n">
        <v>44553</v>
      </c>
      <c r="C2102" s="13" t="inlineStr">
        <is>
          <t>VTA</t>
        </is>
      </c>
      <c r="D2102" s="13" t="n">
        <v>40</v>
      </c>
      <c r="E2102" s="10">
        <f>IF(D2102&gt;0,VLOOKUP(OPERAC[[#This Row],[COD CART]],[1]!MatrizCortoLargoCyl[#All],3,0),"")</f>
        <v/>
      </c>
      <c r="F2102" s="13" t="inlineStr">
        <is>
          <t>ON</t>
        </is>
      </c>
      <c r="G2102" s="6" t="n">
        <v>5</v>
      </c>
      <c r="H2102" s="6" t="n">
        <v>-335.56804</v>
      </c>
      <c r="I2102" s="7">
        <f>-H2102/G2102</f>
        <v/>
      </c>
      <c r="J2102" s="11" t="n">
        <v>44606</v>
      </c>
      <c r="K2102" s="6">
        <f>+OPERAC[[#This Row],[cantidad]]</f>
        <v/>
      </c>
      <c r="L2102" s="6">
        <f>+OPERAC[[#This Row],[cantidad venta]]*58.449</f>
        <v/>
      </c>
      <c r="M2102" s="7">
        <f>IF(N2102=0,+L2102+H2102,0)</f>
        <v/>
      </c>
      <c r="N2102" s="7">
        <f>IF((+G2102-K2102)=0,0,+G2102-K2102)</f>
        <v/>
      </c>
      <c r="O2102" s="7">
        <f>IF(N2102=0,0,(L2102+H2102)/-N2102)</f>
        <v/>
      </c>
      <c r="P2102" s="7">
        <f>VLOOKUP(OPERAC[[#This Row],[especie]],[1]!ESPECIES[#All],6,0)</f>
        <v/>
      </c>
      <c r="Q2102" s="7">
        <f>IF(N2102&lt;&gt;0,P2102*N2102,0)</f>
        <v/>
      </c>
      <c r="R2102" s="8">
        <f>IF(Q2102&lt;&gt;0,Q2102+H2102+L2102,0)</f>
        <v/>
      </c>
      <c r="S2102" s="9">
        <f>VLOOKUP(OPERAC[[#This Row],[especie]],[1]!ESPECIES[#Data],9,FALSE)</f>
        <v/>
      </c>
    </row>
    <row r="2103">
      <c r="A2103" s="4" t="n">
        <v>7895</v>
      </c>
      <c r="B2103" s="5" t="n">
        <v>44553</v>
      </c>
      <c r="C2103" s="13" t="inlineStr">
        <is>
          <t>VTA</t>
        </is>
      </c>
      <c r="D2103" s="13" t="n">
        <v>40</v>
      </c>
      <c r="E2103" s="10">
        <f>IF(D2103&gt;0,VLOOKUP(OPERAC[[#This Row],[COD CART]],[1]!MatrizCortoLargoCyl[#All],3,0),"")</f>
        <v/>
      </c>
      <c r="F2103" s="13" t="inlineStr">
        <is>
          <t>ON</t>
        </is>
      </c>
      <c r="G2103" s="6" t="n">
        <v>5</v>
      </c>
      <c r="H2103" s="6" t="n">
        <v>-335.56804</v>
      </c>
      <c r="I2103" s="7">
        <f>-H2103/G2103</f>
        <v/>
      </c>
      <c r="J2103" s="11" t="n">
        <v>44606</v>
      </c>
      <c r="K2103" s="6">
        <f>+OPERAC[[#This Row],[cantidad]]</f>
        <v/>
      </c>
      <c r="L2103" s="6">
        <f>+OPERAC[[#This Row],[cantidad venta]]*58.449</f>
        <v/>
      </c>
      <c r="M2103" s="7">
        <f>IF(N2103=0,+L2103+H2103,0)</f>
        <v/>
      </c>
      <c r="N2103" s="7">
        <f>IF((+G2103-K2103)=0,0,+G2103-K2103)</f>
        <v/>
      </c>
      <c r="O2103" s="7">
        <f>IF(N2103=0,0,(L2103+H2103)/-N2103)</f>
        <v/>
      </c>
      <c r="P2103" s="7">
        <f>VLOOKUP(OPERAC[[#This Row],[especie]],[1]!ESPECIES[#All],6,0)</f>
        <v/>
      </c>
      <c r="Q2103" s="7">
        <f>IF(N2103&lt;&gt;0,P2103*N2103,0)</f>
        <v/>
      </c>
      <c r="R2103" s="8">
        <f>IF(Q2103&lt;&gt;0,Q2103+H2103+L2103,0)</f>
        <v/>
      </c>
      <c r="S2103" s="9">
        <f>VLOOKUP(OPERAC[[#This Row],[especie]],[1]!ESPECIES[#Data],9,FALSE)</f>
        <v/>
      </c>
    </row>
    <row r="2104">
      <c r="A2104" s="4" t="n">
        <v>13185</v>
      </c>
      <c r="B2104" s="5" t="n">
        <v>44553</v>
      </c>
      <c r="C2104" s="13" t="inlineStr">
        <is>
          <t>VTA</t>
        </is>
      </c>
      <c r="D2104" s="13" t="n">
        <v>40</v>
      </c>
      <c r="E2104" s="10">
        <f>IF(D2104&gt;0,VLOOKUP(OPERAC[[#This Row],[COD CART]],[1]!MatrizCortoLargoCyl[#All],3,0),"")</f>
        <v/>
      </c>
      <c r="F2104" s="13" t="inlineStr">
        <is>
          <t>ON</t>
        </is>
      </c>
      <c r="G2104" s="6" t="n">
        <v>5</v>
      </c>
      <c r="H2104" s="6" t="n">
        <v>-335.56804</v>
      </c>
      <c r="I2104" s="7">
        <f>-H2104/G2104</f>
        <v/>
      </c>
      <c r="J2104" s="11" t="n">
        <v>44606</v>
      </c>
      <c r="K2104" s="6">
        <f>+OPERAC[[#This Row],[cantidad]]</f>
        <v/>
      </c>
      <c r="L2104" s="6">
        <f>+OPERAC[[#This Row],[cantidad venta]]*58.449</f>
        <v/>
      </c>
      <c r="M2104" s="7">
        <f>IF(N2104=0,+L2104+H2104,0)</f>
        <v/>
      </c>
      <c r="N2104" s="7">
        <f>IF((+G2104-K2104)=0,0,+G2104-K2104)</f>
        <v/>
      </c>
      <c r="O2104" s="7">
        <f>IF(N2104=0,0,(L2104+H2104)/-N2104)</f>
        <v/>
      </c>
      <c r="P2104" s="7">
        <f>VLOOKUP(OPERAC[[#This Row],[especie]],[1]!ESPECIES[#All],6,0)</f>
        <v/>
      </c>
      <c r="Q2104" s="7">
        <f>IF(N2104&lt;&gt;0,P2104*N2104,0)</f>
        <v/>
      </c>
      <c r="R2104" s="8">
        <f>IF(Q2104&lt;&gt;0,Q2104+H2104+L2104,0)</f>
        <v/>
      </c>
      <c r="S2104" s="9">
        <f>VLOOKUP(OPERAC[[#This Row],[especie]],[1]!ESPECIES[#Data],9,FALSE)</f>
        <v/>
      </c>
    </row>
    <row r="2105">
      <c r="A2105" s="4" t="n">
        <v>18724</v>
      </c>
      <c r="B2105" s="5" t="n">
        <v>44553</v>
      </c>
      <c r="C2105" s="13" t="inlineStr">
        <is>
          <t>VTA</t>
        </is>
      </c>
      <c r="D2105" s="13" t="n">
        <v>40</v>
      </c>
      <c r="E2105" s="10">
        <f>IF(D2105&gt;0,VLOOKUP(OPERAC[[#This Row],[COD CART]],[1]!MatrizCortoLargoCyl[#All],3,0),"")</f>
        <v/>
      </c>
      <c r="F2105" s="13" t="inlineStr">
        <is>
          <t>ON</t>
        </is>
      </c>
      <c r="G2105" s="6" t="n">
        <v>5</v>
      </c>
      <c r="H2105" s="6" t="n">
        <v>-335.56804</v>
      </c>
      <c r="I2105" s="7">
        <f>-H2105/G2105</f>
        <v/>
      </c>
      <c r="J2105" s="11" t="n">
        <v>44606</v>
      </c>
      <c r="K2105" s="6">
        <f>+OPERAC[[#This Row],[cantidad]]</f>
        <v/>
      </c>
      <c r="L2105" s="6">
        <f>+OPERAC[[#This Row],[cantidad venta]]*58.449</f>
        <v/>
      </c>
      <c r="M2105" s="7">
        <f>IF(N2105=0,+L2105+H2105,0)</f>
        <v/>
      </c>
      <c r="N2105" s="7">
        <f>IF((+G2105-K2105)=0,0,+G2105-K2105)</f>
        <v/>
      </c>
      <c r="O2105" s="7">
        <f>IF(N2105=0,0,(L2105+H2105)/-N2105)</f>
        <v/>
      </c>
      <c r="P2105" s="7">
        <f>VLOOKUP(OPERAC[[#This Row],[especie]],[1]!ESPECIES[#All],6,0)</f>
        <v/>
      </c>
      <c r="Q2105" s="7">
        <f>IF(N2105&lt;&gt;0,P2105*N2105,0)</f>
        <v/>
      </c>
      <c r="R2105" s="8">
        <f>IF(Q2105&lt;&gt;0,Q2105+H2105+L2105,0)</f>
        <v/>
      </c>
      <c r="S2105" s="9">
        <f>VLOOKUP(OPERAC[[#This Row],[especie]],[1]!ESPECIES[#Data],9,FALSE)</f>
        <v/>
      </c>
    </row>
    <row r="2106">
      <c r="A2106" s="4" t="n">
        <v>19934</v>
      </c>
      <c r="B2106" s="5" t="n">
        <v>44553</v>
      </c>
      <c r="C2106" s="13" t="inlineStr">
        <is>
          <t>VTA</t>
        </is>
      </c>
      <c r="D2106" s="13" t="n">
        <v>40</v>
      </c>
      <c r="E2106" s="10">
        <f>IF(D2106&gt;0,VLOOKUP(OPERAC[[#This Row],[COD CART]],[1]!MatrizCortoLargoCyl[#All],3,0),"")</f>
        <v/>
      </c>
      <c r="F2106" s="13" t="inlineStr">
        <is>
          <t>ON</t>
        </is>
      </c>
      <c r="G2106" s="6" t="n">
        <v>5</v>
      </c>
      <c r="H2106" s="6" t="n">
        <v>-335.56804</v>
      </c>
      <c r="I2106" s="7">
        <f>-H2106/G2106</f>
        <v/>
      </c>
      <c r="J2106" s="11" t="n">
        <v>44606</v>
      </c>
      <c r="K2106" s="6">
        <f>+OPERAC[[#This Row],[cantidad]]</f>
        <v/>
      </c>
      <c r="L2106" s="6">
        <f>+OPERAC[[#This Row],[cantidad venta]]*58.449</f>
        <v/>
      </c>
      <c r="M2106" s="7">
        <f>IF(N2106=0,+L2106+H2106,0)</f>
        <v/>
      </c>
      <c r="N2106" s="7">
        <f>IF((+G2106-K2106)=0,0,+G2106-K2106)</f>
        <v/>
      </c>
      <c r="O2106" s="7">
        <f>IF(N2106=0,0,(L2106+H2106)/-N2106)</f>
        <v/>
      </c>
      <c r="P2106" s="7">
        <f>VLOOKUP(OPERAC[[#This Row],[especie]],[1]!ESPECIES[#All],6,0)</f>
        <v/>
      </c>
      <c r="Q2106" s="7">
        <f>IF(N2106&lt;&gt;0,P2106*N2106,0)</f>
        <v/>
      </c>
      <c r="R2106" s="8">
        <f>IF(Q2106&lt;&gt;0,Q2106+H2106+L2106,0)</f>
        <v/>
      </c>
      <c r="S2106" s="9">
        <f>VLOOKUP(OPERAC[[#This Row],[especie]],[1]!ESPECIES[#Data],9,FALSE)</f>
        <v/>
      </c>
    </row>
    <row r="2107">
      <c r="A2107" s="4" t="n">
        <v>22393</v>
      </c>
      <c r="B2107" s="5" t="n">
        <v>44553</v>
      </c>
      <c r="C2107" s="13" t="inlineStr">
        <is>
          <t>VTA</t>
        </is>
      </c>
      <c r="D2107" s="13" t="n">
        <v>40</v>
      </c>
      <c r="E2107" s="10">
        <f>IF(D2107&gt;0,VLOOKUP(OPERAC[[#This Row],[COD CART]],[1]!MatrizCortoLargoCyl[#All],3,0),"")</f>
        <v/>
      </c>
      <c r="F2107" s="13" t="inlineStr">
        <is>
          <t>ON</t>
        </is>
      </c>
      <c r="G2107" s="6" t="n">
        <v>5</v>
      </c>
      <c r="H2107" s="6" t="n">
        <v>-335.56804</v>
      </c>
      <c r="I2107" s="7">
        <f>-H2107/G2107</f>
        <v/>
      </c>
      <c r="J2107" s="11" t="n"/>
      <c r="K2107" s="6" t="n"/>
      <c r="L2107" s="6" t="n"/>
      <c r="M2107" s="7">
        <f>IF(N2107=0,+L2107+H2107,0)</f>
        <v/>
      </c>
      <c r="N2107" s="7">
        <f>IF((+G2107-K2107)=0,0,+G2107-K2107)</f>
        <v/>
      </c>
      <c r="O2107" s="7">
        <f>IF(N2107=0,0,(L2107+H2107)/-N2107)</f>
        <v/>
      </c>
      <c r="P2107" s="7">
        <f>VLOOKUP(OPERAC[[#This Row],[especie]],[1]!ESPECIES[#All],6,0)</f>
        <v/>
      </c>
      <c r="Q2107" s="7">
        <f>IF(N2107&lt;&gt;0,P2107*N2107,0)</f>
        <v/>
      </c>
      <c r="R2107" s="8">
        <f>IF(Q2107&lt;&gt;0,Q2107+H2107+L2107,0)</f>
        <v/>
      </c>
      <c r="S2107" s="9">
        <f>VLOOKUP(OPERAC[[#This Row],[especie]],[1]!ESPECIES[#Data],9,FALSE)</f>
        <v/>
      </c>
    </row>
    <row r="2108">
      <c r="A2108" s="4" t="n">
        <v>11168</v>
      </c>
      <c r="B2108" s="5" t="n">
        <v>44543</v>
      </c>
      <c r="C2108" s="13" t="inlineStr">
        <is>
          <t>VTA</t>
        </is>
      </c>
      <c r="D2108" s="13" t="n">
        <v>40</v>
      </c>
      <c r="E2108" s="10">
        <f>IF(D2108&gt;0,VLOOKUP(OPERAC[[#This Row],[COD CART]],[1]!MatrizCortoLargoCyl[#All],3,0),"")</f>
        <v/>
      </c>
      <c r="F2108" s="13" t="inlineStr">
        <is>
          <t>VIST</t>
        </is>
      </c>
      <c r="G2108" s="6" t="n">
        <v>60</v>
      </c>
      <c r="H2108" s="6" t="n">
        <v>-335.964</v>
      </c>
      <c r="I2108" s="7">
        <f>-H2108/G2108</f>
        <v/>
      </c>
      <c r="J2108" s="11" t="n">
        <v>44574</v>
      </c>
      <c r="K2108" s="6">
        <f>+OPERAC[[#This Row],[cantidad]]</f>
        <v/>
      </c>
      <c r="L2108" s="6">
        <f>+OPERAC[[#This Row],[cantidad venta]]*6.125</f>
        <v/>
      </c>
      <c r="M2108" s="7">
        <f>IF(N2108=0,+L2108+H2108,0)</f>
        <v/>
      </c>
      <c r="N2108" s="7">
        <f>IF((+G2108-K2108)=0,0,+G2108-K2108)</f>
        <v/>
      </c>
      <c r="O2108" s="7">
        <f>IF(N2108=0,0,(L2108+H2108)/-N2108)</f>
        <v/>
      </c>
      <c r="P2108" s="7">
        <f>VLOOKUP(OPERAC[[#This Row],[especie]],[1]!ESPECIES[#All],6,0)</f>
        <v/>
      </c>
      <c r="Q2108" s="7">
        <f>IF(N2108&lt;&gt;0,P2108*N2108,0)</f>
        <v/>
      </c>
      <c r="R2108" s="8">
        <f>IF(Q2108&lt;&gt;0,Q2108+H2108+L2108,0)</f>
        <v/>
      </c>
      <c r="S2108" s="9">
        <f>VLOOKUP(OPERAC[[#This Row],[especie]],[1]!ESPECIES[#Data],9,FALSE)</f>
        <v/>
      </c>
    </row>
    <row r="2109">
      <c r="A2109" s="4" t="n">
        <v>12652</v>
      </c>
      <c r="B2109" s="5" t="n">
        <v>44543</v>
      </c>
      <c r="C2109" s="13" t="inlineStr">
        <is>
          <t>VTA</t>
        </is>
      </c>
      <c r="D2109" s="13" t="n">
        <v>40</v>
      </c>
      <c r="E2109" s="10">
        <f>IF(D2109&gt;0,VLOOKUP(OPERAC[[#This Row],[COD CART]],[1]!MatrizCortoLargoCyl[#All],3,0),"")</f>
        <v/>
      </c>
      <c r="F2109" s="13" t="inlineStr">
        <is>
          <t>VIST</t>
        </is>
      </c>
      <c r="G2109" s="6" t="n">
        <v>60</v>
      </c>
      <c r="H2109" s="6" t="n">
        <v>-335.964</v>
      </c>
      <c r="I2109" s="7">
        <f>-H2109/G2109</f>
        <v/>
      </c>
      <c r="J2109" s="11" t="n">
        <v>44574</v>
      </c>
      <c r="K2109" s="6">
        <f>+OPERAC[[#This Row],[cantidad]]</f>
        <v/>
      </c>
      <c r="L2109" s="6">
        <f>+OPERAC[[#This Row],[cantidad venta]]*6.125</f>
        <v/>
      </c>
      <c r="M2109" s="7">
        <f>IF(N2109=0,+L2109+H2109,0)</f>
        <v/>
      </c>
      <c r="N2109" s="7">
        <f>IF((+G2109-K2109)=0,0,+G2109-K2109)</f>
        <v/>
      </c>
      <c r="O2109" s="7">
        <f>IF(N2109=0,0,(L2109+H2109)/-N2109)</f>
        <v/>
      </c>
      <c r="P2109" s="7">
        <f>VLOOKUP(OPERAC[[#This Row],[especie]],[1]!ESPECIES[#All],6,0)</f>
        <v/>
      </c>
      <c r="Q2109" s="7">
        <f>IF(N2109&lt;&gt;0,P2109*N2109,0)</f>
        <v/>
      </c>
      <c r="R2109" s="8">
        <f>IF(Q2109&lt;&gt;0,Q2109+H2109+L2109,0)</f>
        <v/>
      </c>
      <c r="S2109" s="9">
        <f>VLOOKUP(OPERAC[[#This Row],[especie]],[1]!ESPECIES[#Data],9,FALSE)</f>
        <v/>
      </c>
    </row>
    <row r="2110">
      <c r="A2110" s="4" t="n">
        <v>18663</v>
      </c>
      <c r="B2110" s="5" t="n">
        <v>44599</v>
      </c>
      <c r="C2110" s="13" t="inlineStr">
        <is>
          <t>VTA</t>
        </is>
      </c>
      <c r="D2110" s="13" t="n">
        <v>41</v>
      </c>
      <c r="E2110" s="10">
        <f>IF(D2110&gt;0,VLOOKUP(OPERAC[[#This Row],[COD CART]],[1]!MatrizCortoLargoCyl[#All],3,0),"")</f>
        <v/>
      </c>
      <c r="F2110" s="13" t="inlineStr">
        <is>
          <t>TCNNF</t>
        </is>
      </c>
      <c r="G2110" s="6" t="n">
        <v>15</v>
      </c>
      <c r="H2110" s="6" t="n">
        <v>-337.72</v>
      </c>
      <c r="I2110" s="7">
        <f>-H2110/G2110</f>
        <v/>
      </c>
      <c r="J2110" s="11" t="n"/>
      <c r="K2110" s="6" t="n"/>
      <c r="L2110" s="6" t="n"/>
      <c r="M2110" s="7">
        <f>IF(N2110=0,+L2110+H2110,0)</f>
        <v/>
      </c>
      <c r="N2110" s="7">
        <f>IF((+G2110-K2110)=0,0,+G2110-K2110)</f>
        <v/>
      </c>
      <c r="O2110" s="7">
        <f>IF(N2110=0,0,(L2110+H2110)/-N2110)</f>
        <v/>
      </c>
      <c r="P2110" s="7">
        <f>VLOOKUP(OPERAC[[#This Row],[especie]],[1]!ESPECIES[#All],6,0)</f>
        <v/>
      </c>
      <c r="Q2110" s="7">
        <f>IF(N2110&lt;&gt;0,P2110*N2110,0)</f>
        <v/>
      </c>
      <c r="R2110" s="8">
        <f>IF(Q2110&lt;&gt;0,Q2110+H2110+L2110,0)</f>
        <v/>
      </c>
      <c r="S2110" s="9">
        <f>VLOOKUP(OPERAC[[#This Row],[especie]],[1]!ESPECIES[#Data],9,FALSE)</f>
        <v/>
      </c>
    </row>
    <row r="2111">
      <c r="A2111" s="4" t="n">
        <v>13253</v>
      </c>
      <c r="B2111" s="5" t="n">
        <v>44211</v>
      </c>
      <c r="C2111" s="13" t="inlineStr">
        <is>
          <t>VTA</t>
        </is>
      </c>
      <c r="D2111" s="13" t="n">
        <v>41</v>
      </c>
      <c r="E2111" s="10">
        <f>IF(D2111&gt;0,VLOOKUP(OPERAC[[#This Row],[COD CART]],[1]!MatrizCortoLargoCyl[#All],3,0),"")</f>
        <v/>
      </c>
      <c r="F2111" s="13" t="inlineStr">
        <is>
          <t>MORT</t>
        </is>
      </c>
      <c r="G2111" s="6" t="n">
        <v>20</v>
      </c>
      <c r="H2111" s="6" t="n">
        <v>-338.020768</v>
      </c>
      <c r="I2111" s="7">
        <f>-H2111/G2111</f>
        <v/>
      </c>
      <c r="J2111" s="11" t="n"/>
      <c r="K2111" s="6" t="n"/>
      <c r="L2111" s="6" t="n"/>
      <c r="M2111" s="7">
        <f>IF(N2111=0,+L2111+H2111,0)</f>
        <v/>
      </c>
      <c r="N2111" s="7">
        <f>IF((+G2111-K2111)=0,0,+G2111-K2111)</f>
        <v/>
      </c>
      <c r="O2111" s="7">
        <f>IF(N2111=0,0,(L2111+H2111)/-N2111)</f>
        <v/>
      </c>
      <c r="P2111" s="7">
        <f>VLOOKUP(OPERAC[[#This Row],[especie]],[1]!ESPECIES[#All],6,0)</f>
        <v/>
      </c>
      <c r="Q2111" s="7">
        <f>IF(N2111&lt;&gt;0,P2111*N2111,0)</f>
        <v/>
      </c>
      <c r="R2111" s="8">
        <f>IF(Q2111&lt;&gt;0,Q2111+H2111+L2111,0)</f>
        <v/>
      </c>
      <c r="S2111" s="9">
        <f>VLOOKUP(OPERAC[[#This Row],[especie]],[1]!ESPECIES[#Data],9,FALSE)</f>
        <v/>
      </c>
    </row>
    <row r="2112">
      <c r="A2112" s="4" t="n">
        <v>18663</v>
      </c>
      <c r="B2112" s="5" t="n">
        <v>44057</v>
      </c>
      <c r="C2112" s="13" t="inlineStr">
        <is>
          <t>VTA</t>
        </is>
      </c>
      <c r="D2112" s="13" t="n">
        <v>41</v>
      </c>
      <c r="E2112" s="10">
        <f>IF(D2112&gt;0,VLOOKUP(OPERAC[[#This Row],[COD CART]],[1]!MatrizCortoLargoCyl[#All],3,0),"")</f>
        <v/>
      </c>
      <c r="F2112" s="13" t="inlineStr">
        <is>
          <t>V</t>
        </is>
      </c>
      <c r="G2112" s="6" t="n">
        <v>2</v>
      </c>
      <c r="H2112" s="6" t="n">
        <v>-339</v>
      </c>
      <c r="I2112" s="7">
        <f>-H2112/G2112</f>
        <v/>
      </c>
      <c r="J2112" s="5" t="n"/>
      <c r="K2112" s="6" t="n"/>
      <c r="L2112" s="6" t="n"/>
      <c r="M2112" s="7">
        <f>IF(N2112=0,+L2112+H2112,0)</f>
        <v/>
      </c>
      <c r="N2112" s="7">
        <f>IF((+G2112-K2112)=0,0,+G2112-K2112)</f>
        <v/>
      </c>
      <c r="O2112" s="7">
        <f>IF(N2112=0,0,(L2112+H2112)/-N2112)</f>
        <v/>
      </c>
      <c r="P2112" s="7">
        <f>VLOOKUP(OPERAC[[#This Row],[especie]],[1]!ESPECIES[#All],6,0)</f>
        <v/>
      </c>
      <c r="Q2112" s="7">
        <f>IF(N2112&lt;&gt;0,P2112*N2112,0)</f>
        <v/>
      </c>
      <c r="R2112" s="8">
        <f>IF(Q2112&lt;&gt;0,Q2112+H2112+L2112,0)</f>
        <v/>
      </c>
      <c r="S2112" s="9">
        <f>VLOOKUP(OPERAC[[#This Row],[especie]],[1]!ESPECIES[#Data],9,FALSE)</f>
        <v/>
      </c>
    </row>
    <row r="2113">
      <c r="A2113" s="4" t="n">
        <v>13253</v>
      </c>
      <c r="B2113" s="5" t="n">
        <v>44215</v>
      </c>
      <c r="C2113" s="13" t="inlineStr">
        <is>
          <t>VTA</t>
        </is>
      </c>
      <c r="D2113" s="13" t="n">
        <v>41</v>
      </c>
      <c r="E2113" s="10">
        <f>IF(D2113&gt;0,VLOOKUP(OPERAC[[#This Row],[COD CART]],[1]!MatrizCortoLargoCyl[#All],3,0),"")</f>
        <v/>
      </c>
      <c r="F2113" s="13" t="inlineStr">
        <is>
          <t>MORT</t>
        </is>
      </c>
      <c r="G2113" s="6" t="n">
        <v>20</v>
      </c>
      <c r="H2113" s="6" t="n">
        <v>-339.02272</v>
      </c>
      <c r="I2113" s="7">
        <f>-H2113/G2113</f>
        <v/>
      </c>
      <c r="J2113" s="11" t="n"/>
      <c r="K2113" s="6" t="n"/>
      <c r="L2113" s="6" t="n"/>
      <c r="M2113" s="7">
        <f>IF(N2113=0,+L2113+H2113,0)</f>
        <v/>
      </c>
      <c r="N2113" s="7">
        <f>IF((+G2113-K2113)=0,0,+G2113-K2113)</f>
        <v/>
      </c>
      <c r="O2113" s="7">
        <f>IF(N2113=0,0,(L2113+H2113)/-N2113)</f>
        <v/>
      </c>
      <c r="P2113" s="7">
        <f>VLOOKUP(OPERAC[[#This Row],[especie]],[1]!ESPECIES[#All],6,0)</f>
        <v/>
      </c>
      <c r="Q2113" s="7">
        <f>IF(N2113&lt;&gt;0,P2113*N2113,0)</f>
        <v/>
      </c>
      <c r="R2113" s="8">
        <f>IF(Q2113&lt;&gt;0,Q2113+H2113+L2113,0)</f>
        <v/>
      </c>
      <c r="S2113" s="9">
        <f>VLOOKUP(OPERAC[[#This Row],[especie]],[1]!ESPECIES[#Data],9,FALSE)</f>
        <v/>
      </c>
    </row>
    <row r="2114">
      <c r="A2114" s="4" t="n">
        <v>2209</v>
      </c>
      <c r="B2114" s="5" t="n">
        <v>44258</v>
      </c>
      <c r="C2114" s="13" t="inlineStr">
        <is>
          <t>VTA</t>
        </is>
      </c>
      <c r="D2114" s="13" t="n">
        <v>41</v>
      </c>
      <c r="E2114" s="10">
        <f>IF(D2114&gt;0,VLOOKUP(OPERAC[[#This Row],[COD CART]],[1]!MatrizCortoLargoCyl[#All],3,0),"")</f>
        <v/>
      </c>
      <c r="F2114" s="13" t="inlineStr">
        <is>
          <t>YPF</t>
        </is>
      </c>
      <c r="G2114" s="6" t="n">
        <v>85</v>
      </c>
      <c r="H2114" s="6" t="n">
        <v>-339.26</v>
      </c>
      <c r="I2114" s="7">
        <f>-H2114/G2114</f>
        <v/>
      </c>
      <c r="J2114" s="11" t="n">
        <v>44655</v>
      </c>
      <c r="K2114" s="6" t="n">
        <v>20</v>
      </c>
      <c r="L2114" s="6">
        <f>+OPERAC[[#This Row],[cantidad venta]]*5.232</f>
        <v/>
      </c>
      <c r="M2114" s="7">
        <f>IF(N2114=0,+L2114+H2114,0)</f>
        <v/>
      </c>
      <c r="N2114" s="7">
        <f>IF((+G2114-K2114)=0,0,+G2114-K2114)</f>
        <v/>
      </c>
      <c r="O2114" s="7">
        <f>IF(N2114=0,0,(L2114+H2114)/-N2114)</f>
        <v/>
      </c>
      <c r="P2114" s="7">
        <f>VLOOKUP(OPERAC[[#This Row],[especie]],[1]!ESPECIES[#All],6,0)</f>
        <v/>
      </c>
      <c r="Q2114" s="7">
        <f>IF(N2114&lt;&gt;0,P2114*N2114,0)</f>
        <v/>
      </c>
      <c r="R2114" s="8">
        <f>IF(Q2114&lt;&gt;0,Q2114+H2114+L2114,0)</f>
        <v/>
      </c>
      <c r="S2114" s="9">
        <f>VLOOKUP(OPERAC[[#This Row],[especie]],[1]!ESPECIES[#Data],9,FALSE)</f>
        <v/>
      </c>
    </row>
    <row r="2115">
      <c r="A2115" s="4" t="n">
        <v>13253</v>
      </c>
      <c r="B2115" s="5" t="n">
        <v>44687</v>
      </c>
      <c r="C2115" s="13" t="inlineStr">
        <is>
          <t>VTA</t>
        </is>
      </c>
      <c r="D2115" s="13" t="n">
        <v>41</v>
      </c>
      <c r="E2115" s="10">
        <f>IF(D2115&gt;0,VLOOKUP(OPERAC[[#This Row],[COD CART]],[1]!MatrizCortoLargoCyl[#All],3,0),"")</f>
        <v/>
      </c>
      <c r="F2115" s="13" t="inlineStr">
        <is>
          <t>NRZ</t>
        </is>
      </c>
      <c r="G2115" s="6" t="n">
        <v>30</v>
      </c>
      <c r="H2115" s="6" t="n">
        <v>-339.31</v>
      </c>
      <c r="I2115" s="7">
        <f>-H2115/G2115</f>
        <v/>
      </c>
      <c r="J2115" s="11" t="n"/>
      <c r="K2115" s="6" t="n"/>
      <c r="L2115" s="6" t="n"/>
      <c r="M2115" s="7">
        <f>IF(N2115=0,+L2115+H2115,0)</f>
        <v/>
      </c>
      <c r="N2115" s="7">
        <f>IF((+G2115-K2115)=0,0,+G2115-K2115)</f>
        <v/>
      </c>
      <c r="O2115" s="7">
        <f>IF(N2115=0,0,(L2115+H2115)/-N2115)</f>
        <v/>
      </c>
      <c r="P2115" s="7">
        <f>VLOOKUP(OPERAC[[#This Row],[especie]],[1]!ESPECIES[#All],6,0)</f>
        <v/>
      </c>
      <c r="Q2115" s="7">
        <f>IF(N2115&lt;&gt;0,P2115*N2115,0)</f>
        <v/>
      </c>
      <c r="R2115" s="8">
        <f>IF(Q2115&lt;&gt;0,Q2115+H2115+L2115,0)</f>
        <v/>
      </c>
      <c r="S2115" s="9">
        <f>VLOOKUP(OPERAC[[#This Row],[especie]],[1]!ESPECIES[#Data],9,FALSE)</f>
        <v/>
      </c>
    </row>
    <row r="2116">
      <c r="A2116" s="4" t="n">
        <v>18663</v>
      </c>
      <c r="B2116" s="5" t="n">
        <v>44546</v>
      </c>
      <c r="C2116" s="13" t="inlineStr">
        <is>
          <t>VTA</t>
        </is>
      </c>
      <c r="D2116" s="13" t="n">
        <v>41</v>
      </c>
      <c r="E2116" s="10">
        <f>IF(D2116&gt;0,VLOOKUP(OPERAC[[#This Row],[COD CART]],[1]!MatrizCortoLargoCyl[#All],3,0),"")</f>
        <v/>
      </c>
      <c r="F2116" s="13" t="inlineStr">
        <is>
          <t>LTC</t>
        </is>
      </c>
      <c r="G2116" s="6" t="n">
        <v>10</v>
      </c>
      <c r="H2116" s="6" t="n">
        <v>-340.064</v>
      </c>
      <c r="I2116" s="7">
        <f>-H2116/G2116</f>
        <v/>
      </c>
      <c r="J2116" s="11" t="n"/>
      <c r="K2116" s="6" t="n"/>
      <c r="L2116" s="6" t="n"/>
      <c r="M2116" s="7">
        <f>IF(N2116=0,+L2116+H2116,0)</f>
        <v/>
      </c>
      <c r="N2116" s="7">
        <f>IF((+G2116-K2116)=0,0,+G2116-K2116)</f>
        <v/>
      </c>
      <c r="O2116" s="7">
        <f>IF(N2116=0,0,(L2116+H2116)/-N2116)</f>
        <v/>
      </c>
      <c r="P2116" s="7">
        <f>VLOOKUP(OPERAC[[#This Row],[especie]],[1]!ESPECIES[#All],6,0)</f>
        <v/>
      </c>
      <c r="Q2116" s="7">
        <f>IF(N2116&lt;&gt;0,P2116*N2116,0)</f>
        <v/>
      </c>
      <c r="R2116" s="8">
        <f>IF(Q2116&lt;&gt;0,Q2116+H2116+L2116,0)</f>
        <v/>
      </c>
      <c r="S2116" s="9">
        <f>VLOOKUP(OPERAC[[#This Row],[especie]],[1]!ESPECIES[#Data],9,FALSE)</f>
        <v/>
      </c>
    </row>
    <row r="2117">
      <c r="A2117" s="4" t="n">
        <v>7879</v>
      </c>
      <c r="B2117" s="5" t="n">
        <v>44725</v>
      </c>
      <c r="C2117" s="13" t="inlineStr">
        <is>
          <t>VTA</t>
        </is>
      </c>
      <c r="D2117" s="13" t="n">
        <v>40</v>
      </c>
      <c r="E2117" s="10">
        <f>IF(D2117&gt;0,VLOOKUP(OPERAC[[#This Row],[COD CART]],[1]!MatrizCortoLargoCyl[#All],3,0),"")</f>
        <v/>
      </c>
      <c r="F2117" s="13" t="inlineStr">
        <is>
          <t>AAL</t>
        </is>
      </c>
      <c r="G2117" s="6" t="n">
        <v>25</v>
      </c>
      <c r="H2117" s="6" t="n">
        <v>-340.0662</v>
      </c>
      <c r="I2117" s="7">
        <f>-H2117/G2117</f>
        <v/>
      </c>
      <c r="J2117" s="5" t="n"/>
      <c r="K2117" s="6" t="n"/>
      <c r="L2117" s="6" t="n"/>
      <c r="M2117" s="7">
        <f>IF(N2117=0,+L2117+H2117,0)</f>
        <v/>
      </c>
      <c r="N2117" s="7">
        <f>IF((+G2117-K2117)=0,0,+G2117-K2117)</f>
        <v/>
      </c>
      <c r="O2117" s="7">
        <f>IF(N2117=0,0,(L2117+H2117)/-N2117)</f>
        <v/>
      </c>
      <c r="P2117" s="7">
        <f>VLOOKUP(OPERAC[[#This Row],[especie]],[1]!ESPECIES[#All],6,0)</f>
        <v/>
      </c>
      <c r="Q2117" s="7">
        <f>IF(N2117&lt;&gt;0,P2117*N2117,0)</f>
        <v/>
      </c>
      <c r="R2117" s="8">
        <f>IF(Q2117&lt;&gt;0,Q2117+H2117+L2117,0)</f>
        <v/>
      </c>
      <c r="S2117" s="9">
        <f>VLOOKUP(OPERAC[[#This Row],[especie]],[1]!ESPECIES[#Data],9,FALSE)</f>
        <v/>
      </c>
    </row>
    <row r="2118">
      <c r="A2118" s="4" t="n">
        <v>16829</v>
      </c>
      <c r="B2118" s="5" t="n">
        <v>44651</v>
      </c>
      <c r="C2118" s="13" t="inlineStr">
        <is>
          <t>VTA</t>
        </is>
      </c>
      <c r="D2118" s="13" t="n">
        <v>42</v>
      </c>
      <c r="E2118" s="10">
        <f>IF(D2118&gt;0,VLOOKUP(OPERAC[[#This Row],[COD CART]],[1]!MatrizCortoLargoCyl[#All],3,0),"")</f>
        <v/>
      </c>
      <c r="F2118" s="13" t="inlineStr">
        <is>
          <t>AMD</t>
        </is>
      </c>
      <c r="G2118" s="6" t="n">
        <v>3</v>
      </c>
      <c r="H2118" s="6" t="n">
        <v>-340.34088</v>
      </c>
      <c r="I2118" s="7">
        <f>-H2118/G2118</f>
        <v/>
      </c>
      <c r="J2118" s="11" t="n"/>
      <c r="K2118" s="6" t="n"/>
      <c r="L2118" s="6" t="n"/>
      <c r="M2118" s="7">
        <f>IF(N2118=0,+L2118+H2118,0)</f>
        <v/>
      </c>
      <c r="N2118" s="7">
        <f>IF((+G2118-K2118)=0,0,+G2118-K2118)</f>
        <v/>
      </c>
      <c r="O2118" s="7">
        <f>IF(N2118=0,0,(L2118+H2118)/-N2118)</f>
        <v/>
      </c>
      <c r="P2118" s="7">
        <f>VLOOKUP(OPERAC[[#This Row],[especie]],[1]!ESPECIES[#All],6,0)</f>
        <v/>
      </c>
      <c r="Q2118" s="7">
        <f>IF(N2118&lt;&gt;0,P2118*N2118,0)</f>
        <v/>
      </c>
      <c r="R2118" s="8">
        <f>IF(Q2118&lt;&gt;0,Q2118+H2118+L2118,0)</f>
        <v/>
      </c>
      <c r="S2118" s="9">
        <f>VLOOKUP(OPERAC[[#This Row],[especie]],[1]!ESPECIES[#Data],9,FALSE)</f>
        <v/>
      </c>
    </row>
    <row r="2119">
      <c r="A2119" s="4" t="n">
        <v>6628</v>
      </c>
      <c r="B2119" s="5" t="n">
        <v>44411</v>
      </c>
      <c r="C2119" s="13" t="inlineStr">
        <is>
          <t>VTA</t>
        </is>
      </c>
      <c r="D2119" s="13" t="n">
        <v>40</v>
      </c>
      <c r="E2119" s="10">
        <f>IF(D2119&gt;0,VLOOKUP(OPERAC[[#This Row],[COD CART]],[1]!MatrizCortoLargoCyl[#All],3,0),"")</f>
        <v/>
      </c>
      <c r="F2119" s="13" t="inlineStr">
        <is>
          <t>EDU</t>
        </is>
      </c>
      <c r="G2119" s="6" t="n">
        <v>200</v>
      </c>
      <c r="H2119" s="6">
        <f>-415.482+30.334+44.287</f>
        <v/>
      </c>
      <c r="I2119" s="7">
        <f>-H2119/G2119</f>
        <v/>
      </c>
      <c r="J2119" s="11" t="n">
        <v>44606</v>
      </c>
      <c r="K2119" s="6" t="n">
        <v>200</v>
      </c>
      <c r="L2119" s="6" t="n">
        <v>293.993</v>
      </c>
      <c r="M2119" s="7">
        <f>IF(N2119=0,+L2119+H2119,0)</f>
        <v/>
      </c>
      <c r="N2119" s="7">
        <f>IF((+G2119-K2119)=0,0,+G2119-K2119)</f>
        <v/>
      </c>
      <c r="O2119" s="7">
        <f>IF(N2119=0,0,(L2119+H2119)/-N2119)</f>
        <v/>
      </c>
      <c r="P2119" s="7">
        <f>VLOOKUP(OPERAC[[#This Row],[especie]],[1]!ESPECIES[#All],6,0)</f>
        <v/>
      </c>
      <c r="Q2119" s="7">
        <f>IF(N2119&lt;&gt;0,P2119*N2119,0)</f>
        <v/>
      </c>
      <c r="R2119" s="8">
        <f>IF(Q2119&lt;&gt;0,Q2119+H2119+L2119,0)</f>
        <v/>
      </c>
      <c r="S2119" s="9">
        <f>VLOOKUP(OPERAC[[#This Row],[especie]],[1]!ESPECIES[#Data],9,FALSE)</f>
        <v/>
      </c>
    </row>
    <row r="2120">
      <c r="A2120" s="4" t="n">
        <v>2194</v>
      </c>
      <c r="B2120" s="5" t="n">
        <v>44651</v>
      </c>
      <c r="C2120" s="13" t="inlineStr">
        <is>
          <t>VTA</t>
        </is>
      </c>
      <c r="D2120" s="13" t="n">
        <v>42</v>
      </c>
      <c r="E2120" s="10">
        <f>IF(D2120&gt;0,VLOOKUP(OPERAC[[#This Row],[COD CART]],[1]!MatrizCortoLargoCyl[#All],3,0),"")</f>
        <v/>
      </c>
      <c r="F2120" s="13" t="inlineStr">
        <is>
          <t>AMD</t>
        </is>
      </c>
      <c r="G2120" s="6" t="n">
        <v>3</v>
      </c>
      <c r="H2120" s="6" t="n">
        <v>-341.69676</v>
      </c>
      <c r="I2120" s="7">
        <f>-H2120/G2120</f>
        <v/>
      </c>
      <c r="J2120" s="11" t="n">
        <v>44686</v>
      </c>
      <c r="K2120" s="6" t="n">
        <v>3</v>
      </c>
      <c r="L2120" s="6">
        <f>+OPERAC[[#This Row],[cantidad venta]]*95.353</f>
        <v/>
      </c>
      <c r="M2120" s="7">
        <f>IF(N2120=0,+L2120+H2120,0)</f>
        <v/>
      </c>
      <c r="N2120" s="7">
        <f>IF((+G2120-K2120)=0,0,+G2120-K2120)</f>
        <v/>
      </c>
      <c r="O2120" s="7">
        <f>IF(N2120=0,0,(L2120+H2120)/-N2120)</f>
        <v/>
      </c>
      <c r="P2120" s="7">
        <f>VLOOKUP(OPERAC[[#This Row],[especie]],[1]!ESPECIES[#All],6,0)</f>
        <v/>
      </c>
      <c r="Q2120" s="7">
        <f>IF(N2120&lt;&gt;0,P2120*N2120,0)</f>
        <v/>
      </c>
      <c r="R2120" s="8">
        <f>IF(Q2120&lt;&gt;0,Q2120+H2120+L2120,0)</f>
        <v/>
      </c>
      <c r="S2120" s="9">
        <f>VLOOKUP(OPERAC[[#This Row],[especie]],[1]!ESPECIES[#Data],9,FALSE)</f>
        <v/>
      </c>
    </row>
    <row r="2121">
      <c r="A2121" s="4" t="n">
        <v>2203</v>
      </c>
      <c r="B2121" s="5" t="n">
        <v>44651</v>
      </c>
      <c r="C2121" s="13" t="inlineStr">
        <is>
          <t>VTA</t>
        </is>
      </c>
      <c r="D2121" s="13" t="n">
        <v>42</v>
      </c>
      <c r="E2121" s="10">
        <f>IF(D2121&gt;0,VLOOKUP(OPERAC[[#This Row],[COD CART]],[1]!MatrizCortoLargoCyl[#All],3,0),"")</f>
        <v/>
      </c>
      <c r="F2121" s="13" t="inlineStr">
        <is>
          <t>AMD</t>
        </is>
      </c>
      <c r="G2121" s="6" t="n">
        <v>3</v>
      </c>
      <c r="H2121" s="6" t="n">
        <v>-341.69676</v>
      </c>
      <c r="I2121" s="7">
        <f>-H2121/G2121</f>
        <v/>
      </c>
      <c r="J2121" s="11" t="n">
        <v>44693</v>
      </c>
      <c r="K2121" s="6" t="n">
        <v>3</v>
      </c>
      <c r="L2121" s="6" t="n">
        <v>249.44</v>
      </c>
      <c r="M2121" s="7">
        <f>IF(N2121=0,+L2121+H2121,0)</f>
        <v/>
      </c>
      <c r="N2121" s="7">
        <f>IF((+G2121-K2121)=0,0,+G2121-K2121)</f>
        <v/>
      </c>
      <c r="O2121" s="7">
        <f>IF(N2121=0,0,(L2121+H2121)/-N2121)</f>
        <v/>
      </c>
      <c r="P2121" s="7">
        <f>VLOOKUP(OPERAC[[#This Row],[especie]],[1]!ESPECIES[#All],6,0)</f>
        <v/>
      </c>
      <c r="Q2121" s="7">
        <f>IF(N2121&lt;&gt;0,P2121*N2121,0)</f>
        <v/>
      </c>
      <c r="R2121" s="8">
        <f>IF(Q2121&lt;&gt;0,Q2121+H2121+L2121,0)</f>
        <v/>
      </c>
      <c r="S2121" s="9">
        <f>VLOOKUP(OPERAC[[#This Row],[especie]],[1]!ESPECIES[#Data],9,FALSE)</f>
        <v/>
      </c>
    </row>
    <row r="2122">
      <c r="A2122" s="4" t="n">
        <v>2253</v>
      </c>
      <c r="B2122" s="5" t="n">
        <v>44651</v>
      </c>
      <c r="C2122" s="13" t="inlineStr">
        <is>
          <t>VTA</t>
        </is>
      </c>
      <c r="D2122" s="13" t="n">
        <v>42</v>
      </c>
      <c r="E2122" s="10">
        <f>IF(D2122&gt;0,VLOOKUP(OPERAC[[#This Row],[COD CART]],[1]!MatrizCortoLargoCyl[#All],3,0),"")</f>
        <v/>
      </c>
      <c r="F2122" s="13" t="inlineStr">
        <is>
          <t>AMD</t>
        </is>
      </c>
      <c r="G2122" s="6" t="n">
        <v>3</v>
      </c>
      <c r="H2122" s="6" t="n">
        <v>-341.69676</v>
      </c>
      <c r="I2122" s="7">
        <f>-H2122/G2122</f>
        <v/>
      </c>
      <c r="J2122" s="11" t="n">
        <v>44693</v>
      </c>
      <c r="K2122" s="6" t="n">
        <v>3</v>
      </c>
      <c r="L2122" s="6" t="n">
        <v>249.44</v>
      </c>
      <c r="M2122" s="7">
        <f>IF(N2122=0,+L2122+H2122,0)</f>
        <v/>
      </c>
      <c r="N2122" s="7">
        <f>IF((+G2122-K2122)=0,0,+G2122-K2122)</f>
        <v/>
      </c>
      <c r="O2122" s="7">
        <f>IF(N2122=0,0,(L2122+H2122)/-N2122)</f>
        <v/>
      </c>
      <c r="P2122" s="7">
        <f>VLOOKUP(OPERAC[[#This Row],[especie]],[1]!ESPECIES[#All],6,0)</f>
        <v/>
      </c>
      <c r="Q2122" s="7">
        <f>IF(N2122&lt;&gt;0,P2122*N2122,0)</f>
        <v/>
      </c>
      <c r="R2122" s="8">
        <f>IF(Q2122&lt;&gt;0,Q2122+H2122+L2122,0)</f>
        <v/>
      </c>
      <c r="S2122" s="9">
        <f>VLOOKUP(OPERAC[[#This Row],[especie]],[1]!ESPECIES[#Data],9,FALSE)</f>
        <v/>
      </c>
    </row>
    <row r="2123">
      <c r="A2123" s="4" t="n">
        <v>7916</v>
      </c>
      <c r="B2123" s="5" t="n">
        <v>44651</v>
      </c>
      <c r="C2123" s="13" t="inlineStr">
        <is>
          <t>VTA</t>
        </is>
      </c>
      <c r="D2123" s="13" t="n">
        <v>42</v>
      </c>
      <c r="E2123" s="10">
        <f>IF(D2123&gt;0,VLOOKUP(OPERAC[[#This Row],[COD CART]],[1]!MatrizCortoLargoCyl[#All],3,0),"")</f>
        <v/>
      </c>
      <c r="F2123" s="13" t="inlineStr">
        <is>
          <t>AMD</t>
        </is>
      </c>
      <c r="G2123" s="6" t="n">
        <v>3</v>
      </c>
      <c r="H2123" s="6" t="n">
        <v>-341.69676</v>
      </c>
      <c r="I2123" s="7">
        <f>-H2123/G2123</f>
        <v/>
      </c>
      <c r="J2123" s="11" t="n">
        <v>44693</v>
      </c>
      <c r="K2123" s="6" t="n">
        <v>3</v>
      </c>
      <c r="L2123" s="6">
        <f>+OPERAC[[#This Row],[cantidad venta]]*85.265</f>
        <v/>
      </c>
      <c r="M2123" s="7">
        <f>IF(N2123=0,+L2123+H2123,0)</f>
        <v/>
      </c>
      <c r="N2123" s="7">
        <f>IF((+G2123-K2123)=0,0,+G2123-K2123)</f>
        <v/>
      </c>
      <c r="O2123" s="7">
        <f>IF(N2123=0,0,(L2123+H2123)/-N2123)</f>
        <v/>
      </c>
      <c r="P2123" s="7">
        <f>VLOOKUP(OPERAC[[#This Row],[especie]],[1]!ESPECIES[#All],6,0)</f>
        <v/>
      </c>
      <c r="Q2123" s="7">
        <f>IF(N2123&lt;&gt;0,P2123*N2123,0)</f>
        <v/>
      </c>
      <c r="R2123" s="8">
        <f>IF(Q2123&lt;&gt;0,Q2123+H2123+L2123,0)</f>
        <v/>
      </c>
      <c r="S2123" s="9">
        <f>VLOOKUP(OPERAC[[#This Row],[especie]],[1]!ESPECIES[#Data],9,FALSE)</f>
        <v/>
      </c>
    </row>
    <row r="2124">
      <c r="A2124" s="4" t="n">
        <v>7925</v>
      </c>
      <c r="B2124" s="5" t="n">
        <v>44651</v>
      </c>
      <c r="C2124" s="13" t="inlineStr">
        <is>
          <t>VTA</t>
        </is>
      </c>
      <c r="D2124" s="13" t="n">
        <v>42</v>
      </c>
      <c r="E2124" s="10">
        <f>IF(D2124&gt;0,VLOOKUP(OPERAC[[#This Row],[COD CART]],[1]!MatrizCortoLargoCyl[#All],3,0),"")</f>
        <v/>
      </c>
      <c r="F2124" s="13" t="inlineStr">
        <is>
          <t>AMD</t>
        </is>
      </c>
      <c r="G2124" s="6" t="n">
        <v>3</v>
      </c>
      <c r="H2124" s="6" t="n">
        <v>-341.69676</v>
      </c>
      <c r="I2124" s="7">
        <f>-H2124/G2124</f>
        <v/>
      </c>
      <c r="J2124" s="11" t="n">
        <v>44690</v>
      </c>
      <c r="K2124" s="6" t="n">
        <v>3</v>
      </c>
      <c r="L2124" s="6" t="n">
        <v>257.919</v>
      </c>
      <c r="M2124" s="7">
        <f>IF(N2124=0,+L2124+H2124,0)</f>
        <v/>
      </c>
      <c r="N2124" s="7">
        <f>IF((+G2124-K2124)=0,0,+G2124-K2124)</f>
        <v/>
      </c>
      <c r="O2124" s="7">
        <f>IF(N2124=0,0,(L2124+H2124)/-N2124)</f>
        <v/>
      </c>
      <c r="P2124" s="7">
        <f>VLOOKUP(OPERAC[[#This Row],[especie]],[1]!ESPECIES[#All],6,0)</f>
        <v/>
      </c>
      <c r="Q2124" s="7">
        <f>IF(N2124&lt;&gt;0,P2124*N2124,0)</f>
        <v/>
      </c>
      <c r="R2124" s="8">
        <f>IF(Q2124&lt;&gt;0,Q2124+H2124+L2124,0)</f>
        <v/>
      </c>
      <c r="S2124" s="9">
        <f>VLOOKUP(OPERAC[[#This Row],[especie]],[1]!ESPECIES[#Data],9,FALSE)</f>
        <v/>
      </c>
    </row>
    <row r="2125">
      <c r="A2125" s="4" t="n">
        <v>12022</v>
      </c>
      <c r="B2125" s="5" t="n">
        <v>44651</v>
      </c>
      <c r="C2125" s="13" t="inlineStr">
        <is>
          <t>VTA</t>
        </is>
      </c>
      <c r="D2125" s="13" t="n">
        <v>42</v>
      </c>
      <c r="E2125" s="10">
        <f>IF(D2125&gt;0,VLOOKUP(OPERAC[[#This Row],[COD CART]],[1]!MatrizCortoLargoCyl[#All],3,0),"")</f>
        <v/>
      </c>
      <c r="F2125" s="13" t="inlineStr">
        <is>
          <t>AMD</t>
        </is>
      </c>
      <c r="G2125" s="6" t="n">
        <v>3</v>
      </c>
      <c r="H2125" s="6" t="n">
        <v>-341.69676</v>
      </c>
      <c r="I2125" s="7">
        <f>-H2125/G2125</f>
        <v/>
      </c>
      <c r="J2125" s="11" t="n">
        <v>44693</v>
      </c>
      <c r="K2125" s="6">
        <f>+OPERAC[[#This Row],[cantidad]]</f>
        <v/>
      </c>
      <c r="L2125" s="6">
        <f>+OPERAC[[#This Row],[cantidad venta]]*85.26</f>
        <v/>
      </c>
      <c r="M2125" s="7">
        <f>IF(N2125=0,+L2125+H2125,0)</f>
        <v/>
      </c>
      <c r="N2125" s="7">
        <f>IF((+G2125-K2125)=0,0,+G2125-K2125)</f>
        <v/>
      </c>
      <c r="O2125" s="7">
        <f>IF(N2125=0,0,(L2125+H2125)/-N2125)</f>
        <v/>
      </c>
      <c r="P2125" s="7">
        <f>VLOOKUP(OPERAC[[#This Row],[especie]],[1]!ESPECIES[#All],6,0)</f>
        <v/>
      </c>
      <c r="Q2125" s="7">
        <f>IF(N2125&lt;&gt;0,P2125*N2125,0)</f>
        <v/>
      </c>
      <c r="R2125" s="8">
        <f>IF(Q2125&lt;&gt;0,Q2125+H2125+L2125,0)</f>
        <v/>
      </c>
      <c r="S2125" s="9">
        <f>VLOOKUP(OPERAC[[#This Row],[especie]],[1]!ESPECIES[#Data],9,FALSE)</f>
        <v/>
      </c>
    </row>
    <row r="2126">
      <c r="A2126" s="4" t="n">
        <v>12619</v>
      </c>
      <c r="B2126" s="5" t="n">
        <v>44651</v>
      </c>
      <c r="C2126" s="13" t="inlineStr">
        <is>
          <t>VTA</t>
        </is>
      </c>
      <c r="D2126" s="13" t="n">
        <v>42</v>
      </c>
      <c r="E2126" s="10">
        <f>IF(D2126&gt;0,VLOOKUP(OPERAC[[#This Row],[COD CART]],[1]!MatrizCortoLargoCyl[#All],3,0),"")</f>
        <v/>
      </c>
      <c r="F2126" s="13" t="inlineStr">
        <is>
          <t>AMD</t>
        </is>
      </c>
      <c r="G2126" s="6" t="n">
        <v>3</v>
      </c>
      <c r="H2126" s="6" t="n">
        <v>-341.69676</v>
      </c>
      <c r="I2126" s="7">
        <f>-H2126/G2126</f>
        <v/>
      </c>
      <c r="J2126" s="11" t="n">
        <v>44693</v>
      </c>
      <c r="K2126" s="6">
        <f>+OPERAC[[#This Row],[cantidad]]</f>
        <v/>
      </c>
      <c r="L2126" s="6">
        <f>+OPERAC[[#This Row],[cantidad venta]]*85.26</f>
        <v/>
      </c>
      <c r="M2126" s="7">
        <f>IF(N2126=0,+L2126+H2126,0)</f>
        <v/>
      </c>
      <c r="N2126" s="7">
        <f>IF((+G2126-K2126)=0,0,+G2126-K2126)</f>
        <v/>
      </c>
      <c r="O2126" s="7">
        <f>IF(N2126=0,0,(L2126+H2126)/-N2126)</f>
        <v/>
      </c>
      <c r="P2126" s="7">
        <f>VLOOKUP(OPERAC[[#This Row],[especie]],[1]!ESPECIES[#All],6,0)</f>
        <v/>
      </c>
      <c r="Q2126" s="7">
        <f>IF(N2126&lt;&gt;0,P2126*N2126,0)</f>
        <v/>
      </c>
      <c r="R2126" s="8">
        <f>IF(Q2126&lt;&gt;0,Q2126+H2126+L2126,0)</f>
        <v/>
      </c>
      <c r="S2126" s="9">
        <f>VLOOKUP(OPERAC[[#This Row],[especie]],[1]!ESPECIES[#Data],9,FALSE)</f>
        <v/>
      </c>
    </row>
    <row r="2127">
      <c r="A2127" s="4" t="n">
        <v>12662</v>
      </c>
      <c r="B2127" s="5" t="n">
        <v>44651</v>
      </c>
      <c r="C2127" s="13" t="inlineStr">
        <is>
          <t>VTA</t>
        </is>
      </c>
      <c r="D2127" s="13" t="n">
        <v>42</v>
      </c>
      <c r="E2127" s="10">
        <f>IF(D2127&gt;0,VLOOKUP(OPERAC[[#This Row],[COD CART]],[1]!MatrizCortoLargoCyl[#All],3,0),"")</f>
        <v/>
      </c>
      <c r="F2127" s="13" t="inlineStr">
        <is>
          <t>AMD</t>
        </is>
      </c>
      <c r="G2127" s="6" t="n">
        <v>3</v>
      </c>
      <c r="H2127" s="6" t="n">
        <v>-341.69676</v>
      </c>
      <c r="I2127" s="7">
        <f>-H2127/G2127</f>
        <v/>
      </c>
      <c r="J2127" s="11" t="n">
        <v>44693</v>
      </c>
      <c r="K2127" s="6">
        <f>+OPERAC[[#This Row],[cantidad]]</f>
        <v/>
      </c>
      <c r="L2127" s="6">
        <f>+OPERAC[[#This Row],[cantidad venta]]*85.26</f>
        <v/>
      </c>
      <c r="M2127" s="7">
        <f>IF(N2127=0,+L2127+H2127,0)</f>
        <v/>
      </c>
      <c r="N2127" s="7">
        <f>IF((+G2127-K2127)=0,0,+G2127-K2127)</f>
        <v/>
      </c>
      <c r="O2127" s="7">
        <f>IF(N2127=0,0,(L2127+H2127)/-N2127)</f>
        <v/>
      </c>
      <c r="P2127" s="7">
        <f>VLOOKUP(OPERAC[[#This Row],[especie]],[1]!ESPECIES[#All],6,0)</f>
        <v/>
      </c>
      <c r="Q2127" s="7">
        <f>IF(N2127&lt;&gt;0,P2127*N2127,0)</f>
        <v/>
      </c>
      <c r="R2127" s="8">
        <f>IF(Q2127&lt;&gt;0,Q2127+H2127+L2127,0)</f>
        <v/>
      </c>
      <c r="S2127" s="9">
        <f>VLOOKUP(OPERAC[[#This Row],[especie]],[1]!ESPECIES[#Data],9,FALSE)</f>
        <v/>
      </c>
    </row>
    <row r="2128">
      <c r="A2128" s="4" t="n">
        <v>13271</v>
      </c>
      <c r="B2128" s="5" t="n">
        <v>44651</v>
      </c>
      <c r="C2128" s="13" t="inlineStr">
        <is>
          <t>VTA</t>
        </is>
      </c>
      <c r="D2128" s="13" t="n">
        <v>42</v>
      </c>
      <c r="E2128" s="10">
        <f>IF(D2128&gt;0,VLOOKUP(OPERAC[[#This Row],[COD CART]],[1]!MatrizCortoLargoCyl[#All],3,0),"")</f>
        <v/>
      </c>
      <c r="F2128" s="13" t="inlineStr">
        <is>
          <t>AMD</t>
        </is>
      </c>
      <c r="G2128" s="6" t="n">
        <v>3</v>
      </c>
      <c r="H2128" s="6" t="n">
        <v>-341.69676</v>
      </c>
      <c r="I2128" s="7">
        <f>-H2128/G2128</f>
        <v/>
      </c>
      <c r="J2128" s="11" t="n">
        <v>44694</v>
      </c>
      <c r="K2128" s="6" t="n">
        <v>3</v>
      </c>
      <c r="L2128" s="6" t="n">
        <v>283.321</v>
      </c>
      <c r="M2128" s="7">
        <f>IF(N2128=0,+L2128+H2128,0)</f>
        <v/>
      </c>
      <c r="N2128" s="7">
        <f>IF((+G2128-K2128)=0,0,+G2128-K2128)</f>
        <v/>
      </c>
      <c r="O2128" s="7">
        <f>IF(N2128=0,0,(L2128+H2128)/-N2128)</f>
        <v/>
      </c>
      <c r="P2128" s="7">
        <f>VLOOKUP(OPERAC[[#This Row],[especie]],[1]!ESPECIES[#All],6,0)</f>
        <v/>
      </c>
      <c r="Q2128" s="7">
        <f>IF(N2128&lt;&gt;0,P2128*N2128,0)</f>
        <v/>
      </c>
      <c r="R2128" s="8">
        <f>IF(Q2128&lt;&gt;0,Q2128+H2128+L2128,0)</f>
        <v/>
      </c>
      <c r="S2128" s="9">
        <f>VLOOKUP(OPERAC[[#This Row],[especie]],[1]!ESPECIES[#Data],9,FALSE)</f>
        <v/>
      </c>
    </row>
    <row r="2129">
      <c r="A2129" s="4" t="n">
        <v>15194</v>
      </c>
      <c r="B2129" s="5" t="n">
        <v>44651</v>
      </c>
      <c r="C2129" s="13" t="inlineStr">
        <is>
          <t>VTA</t>
        </is>
      </c>
      <c r="D2129" s="13" t="n">
        <v>42</v>
      </c>
      <c r="E2129" s="10">
        <f>IF(D2129&gt;0,VLOOKUP(OPERAC[[#This Row],[COD CART]],[1]!MatrizCortoLargoCyl[#All],3,0),"")</f>
        <v/>
      </c>
      <c r="F2129" s="13" t="inlineStr">
        <is>
          <t>AMD</t>
        </is>
      </c>
      <c r="G2129" s="6" t="n">
        <v>3</v>
      </c>
      <c r="H2129" s="6" t="n">
        <v>-341.69676</v>
      </c>
      <c r="I2129" s="7">
        <f>-H2129/G2129</f>
        <v/>
      </c>
      <c r="J2129" s="11" t="n">
        <v>44693</v>
      </c>
      <c r="K2129" s="6">
        <f>+OPERAC[[#This Row],[cantidad]]</f>
        <v/>
      </c>
      <c r="L2129" s="6">
        <f>+OPERAC[[#This Row],[cantidad venta]]*85.26</f>
        <v/>
      </c>
      <c r="M2129" s="7">
        <f>IF(N2129=0,+L2129+H2129,0)</f>
        <v/>
      </c>
      <c r="N2129" s="7">
        <f>IF((+G2129-K2129)=0,0,+G2129-K2129)</f>
        <v/>
      </c>
      <c r="O2129" s="7">
        <f>IF(N2129=0,0,(L2129+H2129)/-N2129)</f>
        <v/>
      </c>
      <c r="P2129" s="7">
        <f>VLOOKUP(OPERAC[[#This Row],[especie]],[1]!ESPECIES[#All],6,0)</f>
        <v/>
      </c>
      <c r="Q2129" s="7">
        <f>IF(N2129&lt;&gt;0,P2129*N2129,0)</f>
        <v/>
      </c>
      <c r="R2129" s="8">
        <f>IF(Q2129&lt;&gt;0,Q2129+H2129+L2129,0)</f>
        <v/>
      </c>
      <c r="S2129" s="9">
        <f>VLOOKUP(OPERAC[[#This Row],[especie]],[1]!ESPECIES[#Data],9,FALSE)</f>
        <v/>
      </c>
    </row>
    <row r="2130">
      <c r="A2130" s="4" t="n">
        <v>18662</v>
      </c>
      <c r="B2130" s="5" t="n">
        <v>44651</v>
      </c>
      <c r="C2130" s="13" t="inlineStr">
        <is>
          <t>VTA</t>
        </is>
      </c>
      <c r="D2130" s="13" t="n">
        <v>42</v>
      </c>
      <c r="E2130" s="10">
        <f>IF(D2130&gt;0,VLOOKUP(OPERAC[[#This Row],[COD CART]],[1]!MatrizCortoLargoCyl[#All],3,0),"")</f>
        <v/>
      </c>
      <c r="F2130" s="13" t="inlineStr">
        <is>
          <t>AMD</t>
        </is>
      </c>
      <c r="G2130" s="6" t="n">
        <v>3</v>
      </c>
      <c r="H2130" s="6" t="n">
        <v>-341.69676</v>
      </c>
      <c r="I2130" s="7">
        <f>-H2130/G2130</f>
        <v/>
      </c>
      <c r="J2130" s="11" t="n">
        <v>44713</v>
      </c>
      <c r="K2130" s="6" t="n">
        <v>3</v>
      </c>
      <c r="L2130" s="6">
        <f>100.792*3</f>
        <v/>
      </c>
      <c r="M2130" s="7">
        <f>IF(N2130=0,+L2130+H2130,0)</f>
        <v/>
      </c>
      <c r="N2130" s="7">
        <f>IF((+G2130-K2130)=0,0,+G2130-K2130)</f>
        <v/>
      </c>
      <c r="O2130" s="7">
        <f>IF(N2130=0,0,(L2130+H2130)/-N2130)</f>
        <v/>
      </c>
      <c r="P2130" s="7">
        <f>VLOOKUP(OPERAC[[#This Row],[especie]],[1]!ESPECIES[#All],6,0)</f>
        <v/>
      </c>
      <c r="Q2130" s="7">
        <f>IF(N2130&lt;&gt;0,P2130*N2130,0)</f>
        <v/>
      </c>
      <c r="R2130" s="8">
        <f>IF(Q2130&lt;&gt;0,Q2130+H2130+L2130,0)</f>
        <v/>
      </c>
      <c r="S2130" s="9">
        <f>VLOOKUP(OPERAC[[#This Row],[especie]],[1]!ESPECIES[#Data],9,FALSE)</f>
        <v/>
      </c>
    </row>
    <row r="2131">
      <c r="A2131" s="4" t="n">
        <v>18724</v>
      </c>
      <c r="B2131" s="5" t="n">
        <v>44722</v>
      </c>
      <c r="C2131" s="13" t="inlineStr">
        <is>
          <t>VTA</t>
        </is>
      </c>
      <c r="D2131" s="13" t="n">
        <v>40</v>
      </c>
      <c r="E2131" s="10">
        <f>IF(D2131&gt;0,VLOOKUP(OPERAC[[#This Row],[COD CART]],[1]!MatrizCortoLargoCyl[#All],3,0),"")</f>
        <v/>
      </c>
      <c r="F2131" s="13" t="inlineStr">
        <is>
          <t>BIOX</t>
        </is>
      </c>
      <c r="G2131" s="6" t="n">
        <v>25</v>
      </c>
      <c r="H2131" s="6" t="n">
        <v>-342.38575</v>
      </c>
      <c r="I2131" s="7">
        <f>-H2131/G2131</f>
        <v/>
      </c>
      <c r="J2131" s="5" t="n"/>
      <c r="K2131" s="6" t="n"/>
      <c r="L2131" s="6" t="n"/>
      <c r="M2131" s="7">
        <f>IF(N2131=0,+L2131+H2131,0)</f>
        <v/>
      </c>
      <c r="N2131" s="7">
        <f>IF((+G2131-K2131)=0,0,+G2131-K2131)</f>
        <v/>
      </c>
      <c r="O2131" s="7">
        <f>IF(N2131=0,0,(L2131+H2131)/-N2131)</f>
        <v/>
      </c>
      <c r="P2131" s="7">
        <f>VLOOKUP(OPERAC[[#This Row],[especie]],[1]!ESPECIES[#All],6,0)</f>
        <v/>
      </c>
      <c r="Q2131" s="7">
        <f>IF(N2131&lt;&gt;0,P2131*N2131,0)</f>
        <v/>
      </c>
      <c r="R2131" s="8">
        <f>IF(Q2131&lt;&gt;0,Q2131+H2131+L2131,0)</f>
        <v/>
      </c>
      <c r="S2131" s="9">
        <f>VLOOKUP(OPERAC[[#This Row],[especie]],[1]!ESPECIES[#Data],9,FALSE)</f>
        <v/>
      </c>
    </row>
    <row r="2132">
      <c r="A2132" s="4" t="n">
        <v>7879</v>
      </c>
      <c r="B2132" s="5" t="n">
        <v>44725</v>
      </c>
      <c r="C2132" s="13" t="inlineStr">
        <is>
          <t>VTA</t>
        </is>
      </c>
      <c r="D2132" s="13" t="n">
        <v>40</v>
      </c>
      <c r="E2132" s="10">
        <f>IF(D2132&gt;0,VLOOKUP(OPERAC[[#This Row],[COD CART]],[1]!MatrizCortoLargoCyl[#All],3,0),"")</f>
        <v/>
      </c>
      <c r="F2132" s="13" t="inlineStr">
        <is>
          <t>BIOX</t>
        </is>
      </c>
      <c r="G2132" s="6" t="n">
        <v>25</v>
      </c>
      <c r="H2132" s="6" t="n">
        <v>-344.150625</v>
      </c>
      <c r="I2132" s="7">
        <f>-H2132/G2132</f>
        <v/>
      </c>
      <c r="J2132" s="5" t="n"/>
      <c r="K2132" s="6" t="n"/>
      <c r="L2132" s="6" t="n"/>
      <c r="M2132" s="7">
        <f>IF(N2132=0,+L2132+H2132,0)</f>
        <v/>
      </c>
      <c r="N2132" s="7">
        <f>IF((+G2132-K2132)=0,0,+G2132-K2132)</f>
        <v/>
      </c>
      <c r="O2132" s="7">
        <f>IF(N2132=0,0,(L2132+H2132)/-N2132)</f>
        <v/>
      </c>
      <c r="P2132" s="7">
        <f>VLOOKUP(OPERAC[[#This Row],[especie]],[1]!ESPECIES[#All],6,0)</f>
        <v/>
      </c>
      <c r="Q2132" s="7">
        <f>IF(N2132&lt;&gt;0,P2132*N2132,0)</f>
        <v/>
      </c>
      <c r="R2132" s="8">
        <f>IF(Q2132&lt;&gt;0,Q2132+H2132+L2132,0)</f>
        <v/>
      </c>
      <c r="S2132" s="9">
        <f>VLOOKUP(OPERAC[[#This Row],[especie]],[1]!ESPECIES[#Data],9,FALSE)</f>
        <v/>
      </c>
    </row>
    <row r="2133">
      <c r="A2133" s="4" t="n">
        <v>2209</v>
      </c>
      <c r="B2133" s="5" t="n">
        <v>44585</v>
      </c>
      <c r="C2133" s="13" t="inlineStr">
        <is>
          <t>VTA</t>
        </is>
      </c>
      <c r="D2133" s="13" t="n">
        <v>41</v>
      </c>
      <c r="E2133" s="10">
        <f>IF(D2133&gt;0,VLOOKUP(OPERAC[[#This Row],[COD CART]],[1]!MatrizCortoLargoCyl[#All],3,0),"")</f>
        <v/>
      </c>
      <c r="F2133" s="13" t="inlineStr">
        <is>
          <t>SUPV</t>
        </is>
      </c>
      <c r="G2133" s="6" t="n">
        <v>200</v>
      </c>
      <c r="H2133" s="6" t="n">
        <v>-344.9296</v>
      </c>
      <c r="I2133" s="7">
        <f>-H2133/G2133</f>
        <v/>
      </c>
      <c r="J2133" s="11" t="n"/>
      <c r="K2133" s="6" t="n"/>
      <c r="L2133" s="6" t="n"/>
      <c r="M2133" s="7">
        <f>IF(N2133=0,+L2133+H2133,0)</f>
        <v/>
      </c>
      <c r="N2133" s="7">
        <f>IF((+G2133-K2133)=0,0,+G2133-K2133)</f>
        <v/>
      </c>
      <c r="O2133" s="7">
        <f>IF(N2133=0,0,(L2133+H2133)/-N2133)</f>
        <v/>
      </c>
      <c r="P2133" s="7">
        <f>VLOOKUP(OPERAC[[#This Row],[especie]],[1]!ESPECIES[#All],6,0)</f>
        <v/>
      </c>
      <c r="Q2133" s="7">
        <f>IF(N2133&lt;&gt;0,P2133*N2133,0)</f>
        <v/>
      </c>
      <c r="R2133" s="8">
        <f>IF(Q2133&lt;&gt;0,Q2133+H2133+L2133,0)</f>
        <v/>
      </c>
      <c r="S2133" s="9">
        <f>VLOOKUP(OPERAC[[#This Row],[especie]],[1]!ESPECIES[#Data],9,FALSE)</f>
        <v/>
      </c>
    </row>
    <row r="2134">
      <c r="A2134" s="4" t="n">
        <v>18663</v>
      </c>
      <c r="B2134" s="5" t="n">
        <v>44615</v>
      </c>
      <c r="C2134" s="13" t="inlineStr">
        <is>
          <t>VTA</t>
        </is>
      </c>
      <c r="D2134" s="13" t="n">
        <v>41</v>
      </c>
      <c r="E2134" s="10">
        <f>IF(D2134&gt;0,VLOOKUP(OPERAC[[#This Row],[COD CART]],[1]!MatrizCortoLargoCyl[#All],3,0),"")</f>
        <v/>
      </c>
      <c r="F2134" s="13" t="inlineStr">
        <is>
          <t>SSYS</t>
        </is>
      </c>
      <c r="G2134" s="6" t="n">
        <v>15</v>
      </c>
      <c r="H2134" s="6" t="n">
        <v>-346.9456</v>
      </c>
      <c r="I2134" s="7">
        <f>-H2134/G2134</f>
        <v/>
      </c>
      <c r="J2134" s="11" t="n"/>
      <c r="K2134" s="6" t="n"/>
      <c r="L2134" s="6" t="n"/>
      <c r="M2134" s="7">
        <f>IF(N2134=0,+L2134+H2134,0)</f>
        <v/>
      </c>
      <c r="N2134" s="7">
        <f>IF((+G2134-K2134)=0,0,+G2134-K2134)</f>
        <v/>
      </c>
      <c r="O2134" s="7">
        <f>IF(N2134=0,0,(L2134+H2134)/-N2134)</f>
        <v/>
      </c>
      <c r="P2134" s="7">
        <f>VLOOKUP(OPERAC[[#This Row],[especie]],[1]!ESPECIES[#All],6,0)</f>
        <v/>
      </c>
      <c r="Q2134" s="7">
        <f>IF(N2134&lt;&gt;0,P2134*N2134,0)</f>
        <v/>
      </c>
      <c r="R2134" s="8">
        <f>IF(Q2134&lt;&gt;0,Q2134+H2134+L2134,0)</f>
        <v/>
      </c>
      <c r="S2134" s="9">
        <f>VLOOKUP(OPERAC[[#This Row],[especie]],[1]!ESPECIES[#Data],9,FALSE)</f>
        <v/>
      </c>
    </row>
    <row r="2135">
      <c r="A2135" s="4" t="n">
        <v>19932</v>
      </c>
      <c r="B2135" s="5" t="n">
        <v>44658</v>
      </c>
      <c r="C2135" s="13" t="inlineStr">
        <is>
          <t>VTA</t>
        </is>
      </c>
      <c r="D2135" s="13" t="n">
        <v>31</v>
      </c>
      <c r="E2135" s="10">
        <f>IF(D2135&gt;0,VLOOKUP(OPERAC[[#This Row],[COD CART]],[1]!MatrizCortoLargoCyl[#All],3,0),"")</f>
        <v/>
      </c>
      <c r="F2135" s="13" t="inlineStr">
        <is>
          <t>BRK B</t>
        </is>
      </c>
      <c r="G2135" s="6" t="n">
        <v>1</v>
      </c>
      <c r="H2135" s="6" t="n">
        <v>-347.409</v>
      </c>
      <c r="I2135" s="7">
        <f>-H2135/G2135</f>
        <v/>
      </c>
      <c r="J2135" s="11" t="n"/>
      <c r="K2135" s="6" t="n"/>
      <c r="L2135" s="6" t="n"/>
      <c r="M2135" s="7">
        <f>IF(N2135=0,+L2135+H2135,0)</f>
        <v/>
      </c>
      <c r="N2135" s="7">
        <f>IF((+G2135-K2135)=0,0,+G2135-K2135)</f>
        <v/>
      </c>
      <c r="O2135" s="7">
        <f>IF(N2135=0,0,(L2135+H2135)/-N2135)</f>
        <v/>
      </c>
      <c r="P2135" s="7">
        <f>VLOOKUP(OPERAC[[#This Row],[especie]],[1]!ESPECIES[#All],6,0)</f>
        <v/>
      </c>
      <c r="Q2135" s="7">
        <f>IF(N2135&lt;&gt;0,P2135*N2135,0)</f>
        <v/>
      </c>
      <c r="R2135" s="8">
        <f>IF(Q2135&lt;&gt;0,Q2135+H2135+L2135,0)</f>
        <v/>
      </c>
      <c r="S2135" s="9">
        <f>VLOOKUP(OPERAC[[#This Row],[especie]],[1]!ESPECIES[#Data],9,FALSE)</f>
        <v/>
      </c>
    </row>
    <row r="2136">
      <c r="A2136" s="4" t="n">
        <v>3832</v>
      </c>
      <c r="B2136" s="5" t="n">
        <v>44643</v>
      </c>
      <c r="C2136" s="13" t="inlineStr">
        <is>
          <t>VTA</t>
        </is>
      </c>
      <c r="D2136" s="13" t="n">
        <v>31</v>
      </c>
      <c r="E2136" s="10">
        <f>IF(D2136&gt;0,VLOOKUP(OPERAC[[#This Row],[COD CART]],[1]!MatrizCortoLargoCyl[#All],3,0),"")</f>
        <v/>
      </c>
      <c r="F2136" s="13" t="inlineStr">
        <is>
          <t>BRK B</t>
        </is>
      </c>
      <c r="G2136" s="6" t="n">
        <v>1</v>
      </c>
      <c r="H2136" s="6" t="n">
        <v>-348.23779</v>
      </c>
      <c r="I2136" s="7">
        <f>-H2136/G2136</f>
        <v/>
      </c>
      <c r="J2136" s="11" t="n">
        <v>44713</v>
      </c>
      <c r="K2136" s="6" t="n">
        <v>1</v>
      </c>
      <c r="L2136" s="6" t="n">
        <v>310.09</v>
      </c>
      <c r="M2136" s="7">
        <f>IF(N2136=0,+L2136+H2136,0)</f>
        <v/>
      </c>
      <c r="N2136" s="7">
        <f>IF((+G2136-K2136)=0,0,+G2136-K2136)</f>
        <v/>
      </c>
      <c r="O2136" s="7">
        <f>IF(N2136=0,0,(L2136+H2136)/-N2136)</f>
        <v/>
      </c>
      <c r="P2136" s="7">
        <f>VLOOKUP(OPERAC[[#This Row],[especie]],[1]!ESPECIES[#All],6,0)</f>
        <v/>
      </c>
      <c r="Q2136" s="7">
        <f>IF(N2136&lt;&gt;0,P2136*N2136,0)</f>
        <v/>
      </c>
      <c r="R2136" s="8">
        <f>IF(Q2136&lt;&gt;0,Q2136+H2136+L2136,0)</f>
        <v/>
      </c>
      <c r="S2136" s="9">
        <f>VLOOKUP(OPERAC[[#This Row],[especie]],[1]!ESPECIES[#Data],9,FALSE)</f>
        <v/>
      </c>
    </row>
    <row r="2137">
      <c r="A2137" s="4" t="n">
        <v>7916</v>
      </c>
      <c r="B2137" s="5" t="n">
        <v>44655</v>
      </c>
      <c r="C2137" s="13" t="inlineStr">
        <is>
          <t>VTA</t>
        </is>
      </c>
      <c r="D2137" s="13" t="n">
        <v>31</v>
      </c>
      <c r="E2137" s="10">
        <f>IF(D2137&gt;0,VLOOKUP(OPERAC[[#This Row],[COD CART]],[1]!MatrizCortoLargoCyl[#All],3,0),"")</f>
        <v/>
      </c>
      <c r="F2137" s="13" t="inlineStr">
        <is>
          <t>BRK B</t>
        </is>
      </c>
      <c r="G2137" s="6" t="n">
        <v>1</v>
      </c>
      <c r="H2137" s="6" t="n">
        <v>-348.62528</v>
      </c>
      <c r="I2137" s="7">
        <f>-H2137/G2137</f>
        <v/>
      </c>
      <c r="J2137" s="11" t="n"/>
      <c r="K2137" s="6" t="n"/>
      <c r="L2137" s="6" t="n"/>
      <c r="M2137" s="7">
        <f>IF(N2137=0,+L2137+H2137,0)</f>
        <v/>
      </c>
      <c r="N2137" s="7">
        <f>IF((+G2137-K2137)=0,0,+G2137-K2137)</f>
        <v/>
      </c>
      <c r="O2137" s="7">
        <f>IF(N2137=0,0,(L2137+H2137)/-N2137)</f>
        <v/>
      </c>
      <c r="P2137" s="7">
        <f>VLOOKUP(OPERAC[[#This Row],[especie]],[1]!ESPECIES[#All],6,0)</f>
        <v/>
      </c>
      <c r="Q2137" s="7">
        <f>IF(N2137&lt;&gt;0,P2137*N2137,0)</f>
        <v/>
      </c>
      <c r="R2137" s="8">
        <f>IF(Q2137&lt;&gt;0,Q2137+H2137+L2137,0)</f>
        <v/>
      </c>
      <c r="S2137" s="9">
        <f>VLOOKUP(OPERAC[[#This Row],[especie]],[1]!ESPECIES[#Data],9,FALSE)</f>
        <v/>
      </c>
    </row>
    <row r="2138">
      <c r="A2138" s="4" t="n">
        <v>2279</v>
      </c>
      <c r="B2138" s="5" t="n">
        <v>44708</v>
      </c>
      <c r="C2138" s="13" t="inlineStr">
        <is>
          <t>VTA</t>
        </is>
      </c>
      <c r="D2138" s="13" t="n">
        <v>32</v>
      </c>
      <c r="E2138" s="10">
        <f>IF(D2138&gt;0,VLOOKUP(OPERAC[[#This Row],[COD CART]],[1]!MatrizCortoLargoCyl[#All],3,0),"")</f>
        <v/>
      </c>
      <c r="F2138" s="13" t="inlineStr">
        <is>
          <t>ACB/CYL/2,00/15-07-22</t>
        </is>
      </c>
      <c r="G2138" s="6" t="n">
        <v>200</v>
      </c>
      <c r="H2138" s="6">
        <f>-365.064157761+15.864</f>
        <v/>
      </c>
      <c r="I2138" s="7">
        <f>-H2138/G2138</f>
        <v/>
      </c>
      <c r="J2138" s="5" t="n"/>
      <c r="K2138" s="6" t="n"/>
      <c r="L2138" s="6" t="n"/>
      <c r="M2138" s="7">
        <f>IF(N2138=0,+L2138+H2138,0)</f>
        <v/>
      </c>
      <c r="N2138" s="7">
        <f>IF((+G2138-K2138)=0,0,+G2138-K2138)</f>
        <v/>
      </c>
      <c r="O2138" s="7">
        <f>IF(N2138=0,0,(L2138+H2138)/-N2138)</f>
        <v/>
      </c>
      <c r="P2138" s="7">
        <f>VLOOKUP(OPERAC[[#This Row],[especie]],[1]!ESPECIES[#All],6,0)</f>
        <v/>
      </c>
      <c r="Q2138" s="7">
        <f>IF(N2138&lt;&gt;0,P2138*N2138,0)</f>
        <v/>
      </c>
      <c r="R2138" s="8">
        <f>IF(Q2138&lt;&gt;0,Q2138+H2138+L2138,0)</f>
        <v/>
      </c>
      <c r="S2138" s="9">
        <f>VLOOKUP(OPERAC[[#This Row],[especie]],[1]!ESPECIES[#Data],9,FALSE)</f>
        <v/>
      </c>
    </row>
    <row r="2139">
      <c r="A2139" s="4" t="n">
        <v>18662</v>
      </c>
      <c r="B2139" s="5" t="n">
        <v>43831</v>
      </c>
      <c r="C2139" s="13" t="inlineStr">
        <is>
          <t>VTA</t>
        </is>
      </c>
      <c r="D2139" s="13" t="n">
        <v>31</v>
      </c>
      <c r="E2139" s="10">
        <f>IF(D2139&gt;0,VLOOKUP(OPERAC[[#This Row],[COD CART]],[1]!MatrizCortoLargoCyl[#All],3,0),"")</f>
        <v/>
      </c>
      <c r="F2139" s="13" t="inlineStr">
        <is>
          <t>VIST</t>
        </is>
      </c>
      <c r="G2139" s="6" t="n">
        <v>50</v>
      </c>
      <c r="H2139" s="6" t="n">
        <v>-350</v>
      </c>
      <c r="I2139" s="7" t="n">
        <v>7</v>
      </c>
      <c r="J2139" s="5" t="n"/>
      <c r="K2139" s="6" t="n"/>
      <c r="L2139" s="6" t="n"/>
      <c r="M2139" s="7">
        <f>IF(N2139=0,+L2139+H2139,0)</f>
        <v/>
      </c>
      <c r="N2139" s="7">
        <f>IF((+G2139-K2139)=0,0,+G2139-K2139)</f>
        <v/>
      </c>
      <c r="O2139" s="7">
        <f>IF(N2139=0,0,(L2139+H2139)/-N2139)</f>
        <v/>
      </c>
      <c r="P2139" s="7">
        <f>VLOOKUP(OPERAC[[#This Row],[especie]],[1]!ESPECIES[#All],6,0)</f>
        <v/>
      </c>
      <c r="Q2139" s="7">
        <f>IF(N2139&lt;&gt;0,P2139*N2139,0)</f>
        <v/>
      </c>
      <c r="R2139" s="8">
        <f>IF(Q2139&lt;&gt;0,Q2139+H2139+L2139,0)</f>
        <v/>
      </c>
      <c r="S2139" s="9">
        <f>VLOOKUP(OPERAC[[#This Row],[especie]],[1]!ESPECIES[#Data],9,FALSE)</f>
        <v/>
      </c>
    </row>
    <row r="2140">
      <c r="A2140" s="4" t="n">
        <v>22431</v>
      </c>
      <c r="B2140" s="5" t="n">
        <v>44643</v>
      </c>
      <c r="C2140" s="13" t="inlineStr">
        <is>
          <t>VTA</t>
        </is>
      </c>
      <c r="D2140" s="13" t="n">
        <v>31</v>
      </c>
      <c r="E2140" s="10">
        <f>IF(D2140&gt;0,VLOOKUP(OPERAC[[#This Row],[COD CART]],[1]!MatrizCortoLargoCyl[#All],3,0),"")</f>
        <v/>
      </c>
      <c r="F2140" s="13" t="inlineStr">
        <is>
          <t>BRK B</t>
        </is>
      </c>
      <c r="G2140" s="6" t="n">
        <v>1</v>
      </c>
      <c r="H2140" s="6" t="n">
        <v>-350.6723200000001</v>
      </c>
      <c r="I2140" s="7">
        <f>-H2140/G2140</f>
        <v/>
      </c>
      <c r="J2140" s="11" t="n">
        <v>44693</v>
      </c>
      <c r="K2140" s="6" t="n">
        <v>1</v>
      </c>
      <c r="L2140" s="6" t="n">
        <v>302.846</v>
      </c>
      <c r="M2140" s="7">
        <f>IF(N2140=0,+L2140+H2140,0)</f>
        <v/>
      </c>
      <c r="N2140" s="7">
        <f>IF((+G2140-K2140)=0,0,+G2140-K2140)</f>
        <v/>
      </c>
      <c r="O2140" s="7">
        <f>IF(N2140=0,0,(L2140+H2140)/-N2140)</f>
        <v/>
      </c>
      <c r="P2140" s="7">
        <f>VLOOKUP(OPERAC[[#This Row],[especie]],[1]!ESPECIES[#All],6,0)</f>
        <v/>
      </c>
      <c r="Q2140" s="7">
        <f>IF(N2140&lt;&gt;0,P2140*N2140,0)</f>
        <v/>
      </c>
      <c r="R2140" s="8">
        <f>IF(Q2140&lt;&gt;0,Q2140+H2140+L2140,0)</f>
        <v/>
      </c>
      <c r="S2140" s="9">
        <f>VLOOKUP(OPERAC[[#This Row],[especie]],[1]!ESPECIES[#Data],9,FALSE)</f>
        <v/>
      </c>
    </row>
    <row r="2141">
      <c r="A2141" s="4" t="n">
        <v>1792</v>
      </c>
      <c r="B2141" s="5" t="n">
        <v>44523</v>
      </c>
      <c r="C2141" s="13" t="inlineStr">
        <is>
          <t>VTA</t>
        </is>
      </c>
      <c r="D2141" s="13" t="n">
        <v>40</v>
      </c>
      <c r="E2141" s="10">
        <f>IF(D2141&gt;0,VLOOKUP(OPERAC[[#This Row],[COD CART]],[1]!MatrizCortoLargoCyl[#All],3,0),"")</f>
        <v/>
      </c>
      <c r="F2141" s="13" t="inlineStr">
        <is>
          <t>EDU</t>
        </is>
      </c>
      <c r="G2141" s="6" t="n">
        <v>200</v>
      </c>
      <c r="H2141" s="6">
        <f>-355.898+0.026*OPERAC[[#This Row],[cantidad]]</f>
        <v/>
      </c>
      <c r="I2141" s="7">
        <f>-H2141/G2141</f>
        <v/>
      </c>
      <c r="J2141" s="11" t="n">
        <v>44627</v>
      </c>
      <c r="K2141" s="6" t="n">
        <v>200</v>
      </c>
      <c r="L2141" s="6" t="n">
        <v>237.05</v>
      </c>
      <c r="M2141" s="7">
        <f>IF(N2141=0,+L2141+H2141,0)</f>
        <v/>
      </c>
      <c r="N2141" s="7">
        <f>IF((+G2141-K2141)=0,0,+G2141-K2141)</f>
        <v/>
      </c>
      <c r="O2141" s="7">
        <f>IF(N2141=0,0,(L2141+H2141)/-N2141)</f>
        <v/>
      </c>
      <c r="P2141" s="7">
        <f>VLOOKUP(OPERAC[[#This Row],[especie]],[1]!ESPECIES[#All],6,0)</f>
        <v/>
      </c>
      <c r="Q2141" s="7">
        <f>IF(N2141&lt;&gt;0,P2141*N2141,0)</f>
        <v/>
      </c>
      <c r="R2141" s="8">
        <f>IF(Q2141&lt;&gt;0,Q2141+H2141+L2141,0)</f>
        <v/>
      </c>
      <c r="S2141" s="9">
        <f>VLOOKUP(OPERAC[[#This Row],[especie]],[1]!ESPECIES[#Data],9,FALSE)</f>
        <v/>
      </c>
    </row>
    <row r="2142">
      <c r="A2142" s="4" t="n">
        <v>2194</v>
      </c>
      <c r="B2142" s="5" t="n">
        <v>44523</v>
      </c>
      <c r="C2142" s="13" t="inlineStr">
        <is>
          <t>VTA</t>
        </is>
      </c>
      <c r="D2142" s="13" t="n">
        <v>40</v>
      </c>
      <c r="E2142" s="10">
        <f>IF(D2142&gt;0,VLOOKUP(OPERAC[[#This Row],[COD CART]],[1]!MatrizCortoLargoCyl[#All],3,0),"")</f>
        <v/>
      </c>
      <c r="F2142" s="13" t="inlineStr">
        <is>
          <t>EDU</t>
        </is>
      </c>
      <c r="G2142" s="6" t="n">
        <v>200</v>
      </c>
      <c r="H2142" s="6">
        <f>-355.898+0.026*OPERAC[[#This Row],[cantidad]]</f>
        <v/>
      </c>
      <c r="I2142" s="7">
        <f>-H2142/G2142</f>
        <v/>
      </c>
      <c r="J2142" s="11" t="n">
        <v>44622</v>
      </c>
      <c r="K2142" s="6" t="n">
        <v>200</v>
      </c>
      <c r="L2142" s="6">
        <f>+OPERAC[[#This Row],[cantidad venta]]*1.376</f>
        <v/>
      </c>
      <c r="M2142" s="7">
        <f>IF(N2142=0,+L2142+H2142,0)</f>
        <v/>
      </c>
      <c r="N2142" s="7">
        <f>IF((+G2142-K2142)=0,0,+G2142-K2142)</f>
        <v/>
      </c>
      <c r="O2142" s="7">
        <f>IF(N2142=0,0,(L2142+H2142)/-N2142)</f>
        <v/>
      </c>
      <c r="P2142" s="7">
        <f>VLOOKUP(OPERAC[[#This Row],[especie]],[1]!ESPECIES[#All],6,0)</f>
        <v/>
      </c>
      <c r="Q2142" s="7">
        <f>IF(N2142&lt;&gt;0,P2142*N2142,0)</f>
        <v/>
      </c>
      <c r="R2142" s="8">
        <f>IF(Q2142&lt;&gt;0,Q2142+H2142+L2142,0)</f>
        <v/>
      </c>
      <c r="S2142" s="9">
        <f>VLOOKUP(OPERAC[[#This Row],[especie]],[1]!ESPECIES[#Data],9,FALSE)</f>
        <v/>
      </c>
    </row>
    <row r="2143">
      <c r="A2143" s="4" t="n">
        <v>2203</v>
      </c>
      <c r="B2143" s="5" t="n">
        <v>44523</v>
      </c>
      <c r="C2143" s="13" t="inlineStr">
        <is>
          <t>VTA</t>
        </is>
      </c>
      <c r="D2143" s="13" t="n">
        <v>40</v>
      </c>
      <c r="E2143" s="10">
        <f>IF(D2143&gt;0,VLOOKUP(OPERAC[[#This Row],[COD CART]],[1]!MatrizCortoLargoCyl[#All],3,0),"")</f>
        <v/>
      </c>
      <c r="F2143" s="13" t="inlineStr">
        <is>
          <t>EDU</t>
        </is>
      </c>
      <c r="G2143" s="6" t="n">
        <v>200</v>
      </c>
      <c r="H2143" s="6">
        <f>-355.898+0.026*OPERAC[[#This Row],[cantidad]]</f>
        <v/>
      </c>
      <c r="I2143" s="7">
        <f>-H2143/G2143</f>
        <v/>
      </c>
      <c r="J2143" s="11" t="n">
        <v>44615</v>
      </c>
      <c r="K2143" s="6" t="n">
        <v>200</v>
      </c>
      <c r="L2143" s="6" t="n">
        <v>298.953</v>
      </c>
      <c r="M2143" s="7">
        <f>IF(N2143=0,+L2143+H2143,0)</f>
        <v/>
      </c>
      <c r="N2143" s="7">
        <f>IF((+G2143-K2143)=0,0,+G2143-K2143)</f>
        <v/>
      </c>
      <c r="O2143" s="7">
        <f>IF(N2143=0,0,(L2143+H2143)/-N2143)</f>
        <v/>
      </c>
      <c r="P2143" s="7">
        <f>VLOOKUP(OPERAC[[#This Row],[especie]],[1]!ESPECIES[#All],6,0)</f>
        <v/>
      </c>
      <c r="Q2143" s="7">
        <f>IF(N2143&lt;&gt;0,P2143*N2143,0)</f>
        <v/>
      </c>
      <c r="R2143" s="8">
        <f>IF(Q2143&lt;&gt;0,Q2143+H2143+L2143,0)</f>
        <v/>
      </c>
      <c r="S2143" s="9">
        <f>VLOOKUP(OPERAC[[#This Row],[especie]],[1]!ESPECIES[#Data],9,FALSE)</f>
        <v/>
      </c>
    </row>
    <row r="2144">
      <c r="A2144" s="4" t="n">
        <v>2279</v>
      </c>
      <c r="B2144" s="5" t="n">
        <v>44523</v>
      </c>
      <c r="C2144" s="13" t="inlineStr">
        <is>
          <t>VTA</t>
        </is>
      </c>
      <c r="D2144" s="13" t="n">
        <v>40</v>
      </c>
      <c r="E2144" s="10">
        <f>IF(D2144&gt;0,VLOOKUP(OPERAC[[#This Row],[COD CART]],[1]!MatrizCortoLargoCyl[#All],3,0),"")</f>
        <v/>
      </c>
      <c r="F2144" s="13" t="inlineStr">
        <is>
          <t>EDU</t>
        </is>
      </c>
      <c r="G2144" s="6" t="n">
        <v>200</v>
      </c>
      <c r="H2144" s="6">
        <f>-355.898+0.026*OPERAC[[#This Row],[cantidad]]</f>
        <v/>
      </c>
      <c r="I2144" s="7">
        <f>-H2144/G2144</f>
        <v/>
      </c>
      <c r="J2144" s="11" t="n">
        <v>44615</v>
      </c>
      <c r="K2144" s="6" t="n">
        <v>200</v>
      </c>
      <c r="L2144" s="6" t="n">
        <v>298.953</v>
      </c>
      <c r="M2144" s="7">
        <f>IF(N2144=0,+L2144+H2144,0)</f>
        <v/>
      </c>
      <c r="N2144" s="7">
        <f>IF((+G2144-K2144)=0,0,+G2144-K2144)</f>
        <v/>
      </c>
      <c r="O2144" s="7">
        <f>IF(N2144=0,0,(L2144+H2144)/-N2144)</f>
        <v/>
      </c>
      <c r="P2144" s="7">
        <f>VLOOKUP(OPERAC[[#This Row],[especie]],[1]!ESPECIES[#All],6,0)</f>
        <v/>
      </c>
      <c r="Q2144" s="7">
        <f>IF(N2144&lt;&gt;0,P2144*N2144,0)</f>
        <v/>
      </c>
      <c r="R2144" s="8">
        <f>IF(Q2144&lt;&gt;0,Q2144+H2144+L2144,0)</f>
        <v/>
      </c>
      <c r="S2144" s="9">
        <f>VLOOKUP(OPERAC[[#This Row],[especie]],[1]!ESPECIES[#Data],9,FALSE)</f>
        <v/>
      </c>
    </row>
    <row r="2145">
      <c r="A2145" s="4" t="n">
        <v>7879</v>
      </c>
      <c r="B2145" s="5" t="n">
        <v>44523</v>
      </c>
      <c r="C2145" s="13" t="inlineStr">
        <is>
          <t>VTA</t>
        </is>
      </c>
      <c r="D2145" s="13" t="n">
        <v>40</v>
      </c>
      <c r="E2145" s="10">
        <f>IF(D2145&gt;0,VLOOKUP(OPERAC[[#This Row],[COD CART]],[1]!MatrizCortoLargoCyl[#All],3,0),"")</f>
        <v/>
      </c>
      <c r="F2145" s="13" t="inlineStr">
        <is>
          <t>EDU</t>
        </is>
      </c>
      <c r="G2145" s="6" t="n">
        <v>200</v>
      </c>
      <c r="H2145" s="6">
        <f>-355.898+0.026*OPERAC[[#This Row],[cantidad]]</f>
        <v/>
      </c>
      <c r="I2145" s="7">
        <f>-H2145/G2145</f>
        <v/>
      </c>
      <c r="J2145" s="11" t="n">
        <v>44630</v>
      </c>
      <c r="K2145" s="6" t="n">
        <v>200</v>
      </c>
      <c r="L2145" s="6" t="n">
        <v>227.331</v>
      </c>
      <c r="M2145" s="7">
        <f>IF(N2145=0,+L2145+H2145,0)</f>
        <v/>
      </c>
      <c r="N2145" s="7">
        <f>IF((+G2145-K2145)=0,0,+G2145-K2145)</f>
        <v/>
      </c>
      <c r="O2145" s="7">
        <f>IF(N2145=0,0,(L2145+H2145)/-N2145)</f>
        <v/>
      </c>
      <c r="P2145" s="7">
        <f>VLOOKUP(OPERAC[[#This Row],[especie]],[1]!ESPECIES[#All],6,0)</f>
        <v/>
      </c>
      <c r="Q2145" s="7">
        <f>IF(N2145&lt;&gt;0,P2145*N2145,0)</f>
        <v/>
      </c>
      <c r="R2145" s="8">
        <f>IF(Q2145&lt;&gt;0,Q2145+H2145+L2145,0)</f>
        <v/>
      </c>
      <c r="S2145" s="9">
        <f>VLOOKUP(OPERAC[[#This Row],[especie]],[1]!ESPECIES[#Data],9,FALSE)</f>
        <v/>
      </c>
    </row>
    <row r="2146">
      <c r="A2146" s="4" t="n">
        <v>3823</v>
      </c>
      <c r="B2146" s="5" t="n">
        <v>44523</v>
      </c>
      <c r="C2146" s="13" t="inlineStr">
        <is>
          <t>VTA</t>
        </is>
      </c>
      <c r="D2146" s="13" t="n">
        <v>40</v>
      </c>
      <c r="E2146" s="10">
        <f>IF(D2146&gt;0,VLOOKUP(OPERAC[[#This Row],[COD CART]],[1]!MatrizCortoLargoCyl[#All],3,0),"")</f>
        <v/>
      </c>
      <c r="F2146" s="13" t="inlineStr">
        <is>
          <t>EDU</t>
        </is>
      </c>
      <c r="G2146" s="6" t="n">
        <v>200</v>
      </c>
      <c r="H2146" s="6">
        <f>-355.898+0.026*OPERAC[[#This Row],[cantidad]]</f>
        <v/>
      </c>
      <c r="I2146" s="7">
        <f>-H2146/G2146</f>
        <v/>
      </c>
      <c r="J2146" s="11" t="n">
        <v>44615</v>
      </c>
      <c r="K2146" s="6" t="n">
        <v>200</v>
      </c>
      <c r="L2146" s="6" t="n">
        <v>298.953</v>
      </c>
      <c r="M2146" s="7">
        <f>IF(N2146=0,+L2146+H2146,0)</f>
        <v/>
      </c>
      <c r="N2146" s="7">
        <f>IF((+G2146-K2146)=0,0,+G2146-K2146)</f>
        <v/>
      </c>
      <c r="O2146" s="7">
        <f>IF(N2146=0,0,(L2146+H2146)/-N2146)</f>
        <v/>
      </c>
      <c r="P2146" s="7">
        <f>VLOOKUP(OPERAC[[#This Row],[especie]],[1]!ESPECIES[#All],6,0)</f>
        <v/>
      </c>
      <c r="Q2146" s="7">
        <f>IF(N2146&lt;&gt;0,P2146*N2146,0)</f>
        <v/>
      </c>
      <c r="R2146" s="8">
        <f>IF(Q2146&lt;&gt;0,Q2146+H2146+L2146,0)</f>
        <v/>
      </c>
      <c r="S2146" s="9">
        <f>VLOOKUP(OPERAC[[#This Row],[especie]],[1]!ESPECIES[#Data],9,FALSE)</f>
        <v/>
      </c>
    </row>
    <row r="2147">
      <c r="A2147" s="4" t="n">
        <v>3853</v>
      </c>
      <c r="B2147" s="5" t="n">
        <v>44523</v>
      </c>
      <c r="C2147" s="13" t="inlineStr">
        <is>
          <t>VTA</t>
        </is>
      </c>
      <c r="D2147" s="13" t="n">
        <v>40</v>
      </c>
      <c r="E2147" s="10">
        <f>IF(D2147&gt;0,VLOOKUP(OPERAC[[#This Row],[COD CART]],[1]!MatrizCortoLargoCyl[#All],3,0),"")</f>
        <v/>
      </c>
      <c r="F2147" s="13" t="inlineStr">
        <is>
          <t>EDU</t>
        </is>
      </c>
      <c r="G2147" s="6" t="n">
        <v>200</v>
      </c>
      <c r="H2147" s="6">
        <f>-355.898+0.026*OPERAC[[#This Row],[cantidad]]</f>
        <v/>
      </c>
      <c r="I2147" s="7">
        <f>-H2147/G2147</f>
        <v/>
      </c>
      <c r="J2147" s="11" t="n">
        <v>44615</v>
      </c>
      <c r="K2147" s="6" t="n">
        <v>200</v>
      </c>
      <c r="L2147" s="6" t="n">
        <v>298.953</v>
      </c>
      <c r="M2147" s="7">
        <f>IF(N2147=0,+L2147+H2147,0)</f>
        <v/>
      </c>
      <c r="N2147" s="7">
        <f>IF((+G2147-K2147)=0,0,+G2147-K2147)</f>
        <v/>
      </c>
      <c r="O2147" s="7">
        <f>IF(N2147=0,0,(L2147+H2147)/-N2147)</f>
        <v/>
      </c>
      <c r="P2147" s="7">
        <f>VLOOKUP(OPERAC[[#This Row],[especie]],[1]!ESPECIES[#All],6,0)</f>
        <v/>
      </c>
      <c r="Q2147" s="7">
        <f>IF(N2147&lt;&gt;0,P2147*N2147,0)</f>
        <v/>
      </c>
      <c r="R2147" s="8">
        <f>IF(Q2147&lt;&gt;0,Q2147+H2147+L2147,0)</f>
        <v/>
      </c>
      <c r="S2147" s="9">
        <f>VLOOKUP(OPERAC[[#This Row],[especie]],[1]!ESPECIES[#Data],9,FALSE)</f>
        <v/>
      </c>
    </row>
    <row r="2148">
      <c r="A2148" s="4" t="n">
        <v>7867</v>
      </c>
      <c r="B2148" s="5" t="n">
        <v>44523</v>
      </c>
      <c r="C2148" s="13" t="inlineStr">
        <is>
          <t>VTA</t>
        </is>
      </c>
      <c r="D2148" s="13" t="n">
        <v>40</v>
      </c>
      <c r="E2148" s="10">
        <f>IF(D2148&gt;0,VLOOKUP(OPERAC[[#This Row],[COD CART]],[1]!MatrizCortoLargoCyl[#All],3,0),"")</f>
        <v/>
      </c>
      <c r="F2148" s="13" t="inlineStr">
        <is>
          <t>EDU</t>
        </is>
      </c>
      <c r="G2148" s="6" t="n">
        <v>200</v>
      </c>
      <c r="H2148" s="6">
        <f>-355.898+0.026*OPERAC[[#This Row],[cantidad]]</f>
        <v/>
      </c>
      <c r="I2148" s="7">
        <f>-H2148/G2148</f>
        <v/>
      </c>
      <c r="J2148" s="11" t="n">
        <v>44585</v>
      </c>
      <c r="K2148" s="6" t="n">
        <v>200</v>
      </c>
      <c r="L2148" s="6" t="n">
        <v>279.946</v>
      </c>
      <c r="M2148" s="7">
        <f>IF(N2148=0,+L2148+H2148,0)</f>
        <v/>
      </c>
      <c r="N2148" s="7">
        <f>IF((+G2148-K2148)=0,0,+G2148-K2148)</f>
        <v/>
      </c>
      <c r="O2148" s="7">
        <f>IF(N2148=0,0,(L2148+H2148)/-N2148)</f>
        <v/>
      </c>
      <c r="P2148" s="7">
        <f>VLOOKUP(OPERAC[[#This Row],[especie]],[1]!ESPECIES[#All],6,0)</f>
        <v/>
      </c>
      <c r="Q2148" s="7">
        <f>IF(N2148&lt;&gt;0,P2148*N2148,0)</f>
        <v/>
      </c>
      <c r="R2148" s="8">
        <f>IF(Q2148&lt;&gt;0,Q2148+H2148+L2148,0)</f>
        <v/>
      </c>
      <c r="S2148" s="9">
        <f>VLOOKUP(OPERAC[[#This Row],[especie]],[1]!ESPECIES[#Data],9,FALSE)</f>
        <v/>
      </c>
    </row>
    <row r="2149">
      <c r="A2149" s="4" t="n">
        <v>12688</v>
      </c>
      <c r="B2149" s="5" t="n">
        <v>44523</v>
      </c>
      <c r="C2149" s="13" t="inlineStr">
        <is>
          <t>VTA</t>
        </is>
      </c>
      <c r="D2149" s="13" t="n">
        <v>40</v>
      </c>
      <c r="E2149" s="10">
        <f>IF(D2149&gt;0,VLOOKUP(OPERAC[[#This Row],[COD CART]],[1]!MatrizCortoLargoCyl[#All],3,0),"")</f>
        <v/>
      </c>
      <c r="F2149" s="13" t="inlineStr">
        <is>
          <t>EDU</t>
        </is>
      </c>
      <c r="G2149" s="6" t="n">
        <v>200</v>
      </c>
      <c r="H2149" s="6">
        <f>-355.898+0.026*OPERAC[[#This Row],[cantidad]]</f>
        <v/>
      </c>
      <c r="I2149" s="7">
        <f>-H2149/G2149</f>
        <v/>
      </c>
      <c r="J2149" s="11" t="n">
        <v>44630</v>
      </c>
      <c r="K2149" s="6" t="n">
        <v>200</v>
      </c>
      <c r="L2149" s="6" t="n">
        <v>227.331</v>
      </c>
      <c r="M2149" s="7">
        <f>IF(N2149=0,+L2149+H2149,0)</f>
        <v/>
      </c>
      <c r="N2149" s="7">
        <f>IF((+G2149-K2149)=0,0,+G2149-K2149)</f>
        <v/>
      </c>
      <c r="O2149" s="7">
        <f>IF(N2149=0,0,(L2149+H2149)/-N2149)</f>
        <v/>
      </c>
      <c r="P2149" s="7">
        <f>VLOOKUP(OPERAC[[#This Row],[especie]],[1]!ESPECIES[#All],6,0)</f>
        <v/>
      </c>
      <c r="Q2149" s="7">
        <f>IF(N2149&lt;&gt;0,P2149*N2149,0)</f>
        <v/>
      </c>
      <c r="R2149" s="8">
        <f>IF(Q2149&lt;&gt;0,Q2149+H2149+L2149,0)</f>
        <v/>
      </c>
      <c r="S2149" s="9">
        <f>VLOOKUP(OPERAC[[#This Row],[especie]],[1]!ESPECIES[#Data],9,FALSE)</f>
        <v/>
      </c>
    </row>
    <row r="2150">
      <c r="A2150" s="4" t="n">
        <v>13238</v>
      </c>
      <c r="B2150" s="5" t="n">
        <v>44523</v>
      </c>
      <c r="C2150" s="13" t="inlineStr">
        <is>
          <t>VTA</t>
        </is>
      </c>
      <c r="D2150" s="13" t="n">
        <v>40</v>
      </c>
      <c r="E2150" s="10">
        <f>IF(D2150&gt;0,VLOOKUP(OPERAC[[#This Row],[COD CART]],[1]!MatrizCortoLargoCyl[#All],3,0),"")</f>
        <v/>
      </c>
      <c r="F2150" s="13" t="inlineStr">
        <is>
          <t>EDU</t>
        </is>
      </c>
      <c r="G2150" s="6" t="n">
        <v>200</v>
      </c>
      <c r="H2150" s="6">
        <f>-355.898+0.026*OPERAC[[#This Row],[cantidad]]</f>
        <v/>
      </c>
      <c r="I2150" s="7">
        <f>-H2150/G2150</f>
        <v/>
      </c>
      <c r="J2150" s="11" t="n">
        <v>44614</v>
      </c>
      <c r="K2150" s="6">
        <f>+OPERAC[[#This Row],[cantidad]]</f>
        <v/>
      </c>
      <c r="L2150" s="6">
        <f>1.483*OPERAC[[#This Row],[cantidad venta]]</f>
        <v/>
      </c>
      <c r="M2150" s="7">
        <f>IF(N2150=0,+L2150+H2150,0)</f>
        <v/>
      </c>
      <c r="N2150" s="7">
        <f>IF((+G2150-K2150)=0,0,+G2150-K2150)</f>
        <v/>
      </c>
      <c r="O2150" s="7">
        <f>IF(N2150=0,0,(L2150+H2150)/-N2150)</f>
        <v/>
      </c>
      <c r="P2150" s="7">
        <f>VLOOKUP(OPERAC[[#This Row],[especie]],[1]!ESPECIES[#All],6,0)</f>
        <v/>
      </c>
      <c r="Q2150" s="7">
        <f>IF(N2150&lt;&gt;0,P2150*N2150,0)</f>
        <v/>
      </c>
      <c r="R2150" s="8">
        <f>IF(Q2150&lt;&gt;0,Q2150+H2150+L2150,0)</f>
        <v/>
      </c>
      <c r="S2150" s="9">
        <f>VLOOKUP(OPERAC[[#This Row],[especie]],[1]!ESPECIES[#Data],9,FALSE)</f>
        <v/>
      </c>
    </row>
    <row r="2151">
      <c r="A2151" s="4" t="n">
        <v>13271</v>
      </c>
      <c r="B2151" s="5" t="n">
        <v>44523</v>
      </c>
      <c r="C2151" s="13" t="inlineStr">
        <is>
          <t>VTA</t>
        </is>
      </c>
      <c r="D2151" s="13" t="n">
        <v>40</v>
      </c>
      <c r="E2151" s="10">
        <f>IF(D2151&gt;0,VLOOKUP(OPERAC[[#This Row],[COD CART]],[1]!MatrizCortoLargoCyl[#All],3,0),"")</f>
        <v/>
      </c>
      <c r="F2151" s="13" t="inlineStr">
        <is>
          <t>EDU</t>
        </is>
      </c>
      <c r="G2151" s="6" t="n">
        <v>200</v>
      </c>
      <c r="H2151" s="6">
        <f>-355.898+0.026*OPERAC[[#This Row],[cantidad]]</f>
        <v/>
      </c>
      <c r="I2151" s="7">
        <f>-H2151/G2151</f>
        <v/>
      </c>
      <c r="J2151" s="11" t="n">
        <v>44614</v>
      </c>
      <c r="K2151" s="6">
        <f>+OPERAC[[#This Row],[cantidad]]</f>
        <v/>
      </c>
      <c r="L2151" s="6">
        <f>1.483*OPERAC[[#This Row],[cantidad venta]]</f>
        <v/>
      </c>
      <c r="M2151" s="7">
        <f>IF(N2151=0,+L2151+H2151,0)</f>
        <v/>
      </c>
      <c r="N2151" s="7">
        <f>IF((+G2151-K2151)=0,0,+G2151-K2151)</f>
        <v/>
      </c>
      <c r="O2151" s="7">
        <f>IF(N2151=0,0,(L2151+H2151)/-N2151)</f>
        <v/>
      </c>
      <c r="P2151" s="7">
        <f>VLOOKUP(OPERAC[[#This Row],[especie]],[1]!ESPECIES[#All],6,0)</f>
        <v/>
      </c>
      <c r="Q2151" s="7">
        <f>IF(N2151&lt;&gt;0,P2151*N2151,0)</f>
        <v/>
      </c>
      <c r="R2151" s="8">
        <f>IF(Q2151&lt;&gt;0,Q2151+H2151+L2151,0)</f>
        <v/>
      </c>
      <c r="S2151" s="9">
        <f>VLOOKUP(OPERAC[[#This Row],[especie]],[1]!ESPECIES[#Data],9,FALSE)</f>
        <v/>
      </c>
    </row>
    <row r="2152">
      <c r="A2152" s="4" t="n">
        <v>16842</v>
      </c>
      <c r="B2152" s="5" t="n">
        <v>44523</v>
      </c>
      <c r="C2152" s="13" t="inlineStr">
        <is>
          <t>VTA</t>
        </is>
      </c>
      <c r="D2152" s="13" t="n">
        <v>40</v>
      </c>
      <c r="E2152" s="10">
        <f>IF(D2152&gt;0,VLOOKUP(OPERAC[[#This Row],[COD CART]],[1]!MatrizCortoLargoCyl[#All],3,0),"")</f>
        <v/>
      </c>
      <c r="F2152" s="13" t="inlineStr">
        <is>
          <t>EDU</t>
        </is>
      </c>
      <c r="G2152" s="6" t="n">
        <v>200</v>
      </c>
      <c r="H2152" s="6">
        <f>-355.898+0.026*OPERAC[[#This Row],[cantidad]]</f>
        <v/>
      </c>
      <c r="I2152" s="7">
        <f>-H2152/G2152</f>
        <v/>
      </c>
      <c r="J2152" s="11" t="n">
        <v>44614</v>
      </c>
      <c r="K2152" s="6">
        <f>+OPERAC[[#This Row],[cantidad]]</f>
        <v/>
      </c>
      <c r="L2152" s="6">
        <f>1.483*OPERAC[[#This Row],[cantidad venta]]</f>
        <v/>
      </c>
      <c r="M2152" s="7">
        <f>IF(N2152=0,+L2152+H2152,0)</f>
        <v/>
      </c>
      <c r="N2152" s="7">
        <f>IF((+G2152-K2152)=0,0,+G2152-K2152)</f>
        <v/>
      </c>
      <c r="O2152" s="7">
        <f>IF(N2152=0,0,(L2152+H2152)/-N2152)</f>
        <v/>
      </c>
      <c r="P2152" s="7">
        <f>VLOOKUP(OPERAC[[#This Row],[especie]],[1]!ESPECIES[#All],6,0)</f>
        <v/>
      </c>
      <c r="Q2152" s="7">
        <f>IF(N2152&lt;&gt;0,P2152*N2152,0)</f>
        <v/>
      </c>
      <c r="R2152" s="8">
        <f>IF(Q2152&lt;&gt;0,Q2152+H2152+L2152,0)</f>
        <v/>
      </c>
      <c r="S2152" s="9">
        <f>VLOOKUP(OPERAC[[#This Row],[especie]],[1]!ESPECIES[#Data],9,FALSE)</f>
        <v/>
      </c>
    </row>
    <row r="2153">
      <c r="A2153" s="4" t="n">
        <v>18724</v>
      </c>
      <c r="B2153" s="5" t="n">
        <v>44523</v>
      </c>
      <c r="C2153" s="13" t="inlineStr">
        <is>
          <t>VTA</t>
        </is>
      </c>
      <c r="D2153" s="13" t="n">
        <v>40</v>
      </c>
      <c r="E2153" s="10">
        <f>IF(D2153&gt;0,VLOOKUP(OPERAC[[#This Row],[COD CART]],[1]!MatrizCortoLargoCyl[#All],3,0),"")</f>
        <v/>
      </c>
      <c r="F2153" s="13" t="inlineStr">
        <is>
          <t>EDU</t>
        </is>
      </c>
      <c r="G2153" s="6" t="n">
        <v>200</v>
      </c>
      <c r="H2153" s="6">
        <f>-355.898+0.026*OPERAC[[#This Row],[cantidad]]</f>
        <v/>
      </c>
      <c r="I2153" s="7">
        <f>-H2153/G2153</f>
        <v/>
      </c>
      <c r="J2153" s="11" t="n">
        <v>44614</v>
      </c>
      <c r="K2153" s="6">
        <f>+OPERAC[[#This Row],[cantidad]]</f>
        <v/>
      </c>
      <c r="L2153" s="6">
        <f>1.483*OPERAC[[#This Row],[cantidad venta]]</f>
        <v/>
      </c>
      <c r="M2153" s="7">
        <f>IF(N2153=0,+L2153+H2153,0)</f>
        <v/>
      </c>
      <c r="N2153" s="7">
        <f>IF((+G2153-K2153)=0,0,+G2153-K2153)</f>
        <v/>
      </c>
      <c r="O2153" s="7">
        <f>IF(N2153=0,0,(L2153+H2153)/-N2153)</f>
        <v/>
      </c>
      <c r="P2153" s="7">
        <f>VLOOKUP(OPERAC[[#This Row],[especie]],[1]!ESPECIES[#All],6,0)</f>
        <v/>
      </c>
      <c r="Q2153" s="7">
        <f>IF(N2153&lt;&gt;0,P2153*N2153,0)</f>
        <v/>
      </c>
      <c r="R2153" s="8">
        <f>IF(Q2153&lt;&gt;0,Q2153+H2153+L2153,0)</f>
        <v/>
      </c>
      <c r="S2153" s="9">
        <f>VLOOKUP(OPERAC[[#This Row],[especie]],[1]!ESPECIES[#Data],9,FALSE)</f>
        <v/>
      </c>
    </row>
    <row r="2154">
      <c r="A2154" s="4" t="n">
        <v>22433</v>
      </c>
      <c r="B2154" s="5" t="n">
        <v>44523</v>
      </c>
      <c r="C2154" s="13" t="inlineStr">
        <is>
          <t>VTA</t>
        </is>
      </c>
      <c r="D2154" s="13" t="n">
        <v>40</v>
      </c>
      <c r="E2154" s="10">
        <f>IF(D2154&gt;0,VLOOKUP(OPERAC[[#This Row],[COD CART]],[1]!MatrizCortoLargoCyl[#All],3,0),"")</f>
        <v/>
      </c>
      <c r="F2154" s="13" t="inlineStr">
        <is>
          <t>EDU</t>
        </is>
      </c>
      <c r="G2154" s="6" t="n">
        <v>200</v>
      </c>
      <c r="H2154" s="6">
        <f>-355.898+0.026*OPERAC[[#This Row],[cantidad]]</f>
        <v/>
      </c>
      <c r="I2154" s="7">
        <f>-H2154/G2154</f>
        <v/>
      </c>
      <c r="J2154" s="11" t="n">
        <v>44629</v>
      </c>
      <c r="K2154" s="6" t="n">
        <v>200</v>
      </c>
      <c r="L2154" s="6">
        <f>+OPERAC[[#This Row],[cantidad venta]]*1.27</f>
        <v/>
      </c>
      <c r="M2154" s="7">
        <f>IF(N2154=0,+L2154+H2154,0)</f>
        <v/>
      </c>
      <c r="N2154" s="7">
        <f>IF((+G2154-K2154)=0,0,+G2154-K2154)</f>
        <v/>
      </c>
      <c r="O2154" s="7">
        <f>IF(N2154=0,0,(L2154+H2154)/-N2154)</f>
        <v/>
      </c>
      <c r="P2154" s="7">
        <f>VLOOKUP(OPERAC[[#This Row],[especie]],[1]!ESPECIES[#All],6,0)</f>
        <v/>
      </c>
      <c r="Q2154" s="7">
        <f>IF(N2154&lt;&gt;0,P2154*N2154,0)</f>
        <v/>
      </c>
      <c r="R2154" s="8">
        <f>IF(Q2154&lt;&gt;0,Q2154+H2154+L2154,0)</f>
        <v/>
      </c>
      <c r="S2154" s="9">
        <f>VLOOKUP(OPERAC[[#This Row],[especie]],[1]!ESPECIES[#Data],9,FALSE)</f>
        <v/>
      </c>
    </row>
    <row r="2155">
      <c r="A2155" s="4" t="n">
        <v>18663</v>
      </c>
      <c r="B2155" s="5" t="n">
        <v>44362</v>
      </c>
      <c r="C2155" s="13" t="inlineStr">
        <is>
          <t>VTA</t>
        </is>
      </c>
      <c r="D2155" s="13" t="n">
        <v>41</v>
      </c>
      <c r="E2155" s="10">
        <f>IF(D2155&gt;0,VLOOKUP(OPERAC[[#This Row],[COD CART]],[1]!MatrizCortoLargoCyl[#All],3,0),"")</f>
        <v/>
      </c>
      <c r="F2155" s="13" t="inlineStr">
        <is>
          <t>TLRY</t>
        </is>
      </c>
      <c r="G2155" s="6" t="n">
        <v>19</v>
      </c>
      <c r="H2155" s="6" t="n">
        <v>-352.343</v>
      </c>
      <c r="I2155" s="7">
        <f>-H2155/G2155</f>
        <v/>
      </c>
      <c r="J2155" s="11" t="n"/>
      <c r="K2155" s="6" t="n"/>
      <c r="L2155" s="6" t="n"/>
      <c r="M2155" s="7">
        <f>IF(N2155=0,+L2155+H2155,0)</f>
        <v/>
      </c>
      <c r="N2155" s="7">
        <f>IF((+G2155-K2155)=0,0,+G2155-K2155)</f>
        <v/>
      </c>
      <c r="O2155" s="7">
        <f>IF(N2155=0,0,(L2155+H2155)/-N2155)</f>
        <v/>
      </c>
      <c r="P2155" s="7">
        <f>VLOOKUP(OPERAC[[#This Row],[especie]],[1]!ESPECIES[#All],6,0)</f>
        <v/>
      </c>
      <c r="Q2155" s="7">
        <f>IF(N2155&lt;&gt;0,P2155*N2155,0)</f>
        <v/>
      </c>
      <c r="R2155" s="8">
        <f>IF(Q2155&lt;&gt;0,Q2155+H2155+L2155,0)</f>
        <v/>
      </c>
      <c r="S2155" s="9">
        <f>VLOOKUP(OPERAC[[#This Row],[especie]],[1]!ESPECIES[#Data],9,FALSE)</f>
        <v/>
      </c>
    </row>
    <row r="2156">
      <c r="A2156" s="4" t="n">
        <v>18663</v>
      </c>
      <c r="B2156" s="5" t="n">
        <v>44295</v>
      </c>
      <c r="C2156" s="13" t="inlineStr">
        <is>
          <t>VTA</t>
        </is>
      </c>
      <c r="D2156" s="13" t="n">
        <v>41</v>
      </c>
      <c r="E2156" s="10">
        <f>IF(D2156&gt;0,VLOOKUP(OPERAC[[#This Row],[COD CART]],[1]!MatrizCortoLargoCyl[#All],3,0),"")</f>
        <v/>
      </c>
      <c r="F2156" s="13" t="inlineStr">
        <is>
          <t>JEPI</t>
        </is>
      </c>
      <c r="G2156" s="6" t="n">
        <v>6</v>
      </c>
      <c r="H2156" s="6" t="n">
        <v>-352.631</v>
      </c>
      <c r="I2156" s="7">
        <f>-H2156/G2156</f>
        <v/>
      </c>
      <c r="J2156" s="11" t="n"/>
      <c r="K2156" s="6" t="n"/>
      <c r="L2156" s="6" t="n"/>
      <c r="M2156" s="7">
        <f>IF(N2156=0,+L2156+H2156,0)</f>
        <v/>
      </c>
      <c r="N2156" s="7">
        <f>IF((+G2156-K2156)=0,0,+G2156-K2156)</f>
        <v/>
      </c>
      <c r="O2156" s="7">
        <f>IF(N2156=0,0,(L2156+H2156)/-N2156)</f>
        <v/>
      </c>
      <c r="P2156" s="7">
        <f>VLOOKUP(OPERAC[[#This Row],[especie]],[1]!ESPECIES[#All],6,0)</f>
        <v/>
      </c>
      <c r="Q2156" s="7">
        <f>IF(N2156&lt;&gt;0,P2156*N2156,0)</f>
        <v/>
      </c>
      <c r="R2156" s="8">
        <f>IF(Q2156&lt;&gt;0,Q2156+H2156+L2156,0)</f>
        <v/>
      </c>
      <c r="S2156" s="9">
        <f>VLOOKUP(OPERAC[[#This Row],[especie]],[1]!ESPECIES[#Data],9,FALSE)</f>
        <v/>
      </c>
    </row>
    <row r="2157">
      <c r="A2157" s="4" t="n">
        <v>12627</v>
      </c>
      <c r="B2157" s="5" t="n">
        <v>44636</v>
      </c>
      <c r="C2157" s="13" t="inlineStr">
        <is>
          <t>VTA</t>
        </is>
      </c>
      <c r="D2157" s="13" t="n">
        <v>43</v>
      </c>
      <c r="E2157" s="10">
        <f>IF(D2157&gt;0,VLOOKUP(OPERAC[[#This Row],[COD CART]],[1]!MatrizCortoLargoCyl[#All],3,0),"")</f>
        <v/>
      </c>
      <c r="F2157" s="13" t="inlineStr">
        <is>
          <t>GMBL/CYL-PUT/1,00/20-01-23</t>
        </is>
      </c>
      <c r="G2157" s="6">
        <f>1500+500</f>
        <v/>
      </c>
      <c r="H2157" s="6">
        <f>-245.082975-108.049</f>
        <v/>
      </c>
      <c r="I2157" s="7">
        <f>-H2157/G2157</f>
        <v/>
      </c>
      <c r="J2157" s="11" t="n"/>
      <c r="K2157" s="6" t="n"/>
      <c r="L2157" s="6" t="n"/>
      <c r="M2157" s="7">
        <f>IF(N2157=0,+L2157+H2157,0)</f>
        <v/>
      </c>
      <c r="N2157" s="7">
        <f>IF((+G2157-K2157)=0,0,+G2157-K2157)</f>
        <v/>
      </c>
      <c r="O2157" s="7">
        <f>IF(N2157=0,0,(L2157+H2157)/-N2157)</f>
        <v/>
      </c>
      <c r="P2157" s="7">
        <f>VLOOKUP(OPERAC[[#This Row],[especie]],[1]!ESPECIES[#All],6,0)</f>
        <v/>
      </c>
      <c r="Q2157" s="7">
        <f>IF(N2157&lt;&gt;0,P2157*N2157,0)</f>
        <v/>
      </c>
      <c r="R2157" s="8">
        <f>IF(Q2157&lt;&gt;0,Q2157+H2157+L2157,0)</f>
        <v/>
      </c>
      <c r="S2157" s="9">
        <f>VLOOKUP(OPERAC[[#This Row],[especie]],[1]!ESPECIES[#Data],9,FALSE)</f>
        <v/>
      </c>
    </row>
    <row r="2158">
      <c r="A2158" s="4" t="n">
        <v>2209</v>
      </c>
      <c r="B2158" s="5" t="n">
        <v>44258</v>
      </c>
      <c r="C2158" s="13" t="inlineStr">
        <is>
          <t>VTA</t>
        </is>
      </c>
      <c r="D2158" s="13" t="n">
        <v>41</v>
      </c>
      <c r="E2158" s="10">
        <f>IF(D2158&gt;0,VLOOKUP(OPERAC[[#This Row],[COD CART]],[1]!MatrizCortoLargoCyl[#All],3,0),"")</f>
        <v/>
      </c>
      <c r="F2158" s="13" t="inlineStr">
        <is>
          <t>SUPV</t>
        </is>
      </c>
      <c r="G2158" s="6" t="n">
        <v>185</v>
      </c>
      <c r="H2158" s="6" t="n">
        <v>-354.37</v>
      </c>
      <c r="I2158" s="7">
        <f>-H2158/G2158</f>
        <v/>
      </c>
      <c r="J2158" s="11" t="n"/>
      <c r="K2158" s="6" t="n"/>
      <c r="L2158" s="6" t="n"/>
      <c r="M2158" s="7">
        <f>IF(N2158=0,+L2158+H2158,0)</f>
        <v/>
      </c>
      <c r="N2158" s="7">
        <f>IF((+G2158-K2158)=0,0,+G2158-K2158)</f>
        <v/>
      </c>
      <c r="O2158" s="7">
        <f>IF(N2158=0,0,(L2158+H2158)/-N2158)</f>
        <v/>
      </c>
      <c r="P2158" s="7">
        <f>VLOOKUP(OPERAC[[#This Row],[especie]],[1]!ESPECIES[#All],6,0)</f>
        <v/>
      </c>
      <c r="Q2158" s="7">
        <f>IF(N2158&lt;&gt;0,P2158*N2158,0)</f>
        <v/>
      </c>
      <c r="R2158" s="8">
        <f>IF(Q2158&lt;&gt;0,Q2158+H2158+L2158,0)</f>
        <v/>
      </c>
      <c r="S2158" s="9">
        <f>VLOOKUP(OPERAC[[#This Row],[especie]],[1]!ESPECIES[#Data],9,FALSE)</f>
        <v/>
      </c>
    </row>
    <row r="2159">
      <c r="A2159" s="4" t="n">
        <v>18663</v>
      </c>
      <c r="B2159" s="5" t="n">
        <v>43831</v>
      </c>
      <c r="C2159" s="13" t="inlineStr">
        <is>
          <t>VTA</t>
        </is>
      </c>
      <c r="D2159" s="13" t="n">
        <v>41</v>
      </c>
      <c r="E2159" s="10">
        <f>IF(D2159&gt;0,VLOOKUP(OPERAC[[#This Row],[COD CART]],[1]!MatrizCortoLargoCyl[#All],3,0),"")</f>
        <v/>
      </c>
      <c r="F2159" s="13" t="inlineStr">
        <is>
          <t>ABBV</t>
        </is>
      </c>
      <c r="G2159" s="6" t="n">
        <v>4</v>
      </c>
      <c r="H2159" s="6" t="n">
        <v>-354.8</v>
      </c>
      <c r="I2159" s="7" t="n">
        <v>88.7</v>
      </c>
      <c r="J2159" s="5" t="n">
        <v>44726</v>
      </c>
      <c r="K2159" s="6" t="n">
        <v>4</v>
      </c>
      <c r="L2159" s="6" t="n">
        <v>-558.1</v>
      </c>
      <c r="M2159" s="7">
        <f>IF(N2159=0,+L2159+H2159,0)</f>
        <v/>
      </c>
      <c r="N2159" s="7">
        <f>IF((+G2159-K2159)=0,0,+G2159-K2159)</f>
        <v/>
      </c>
      <c r="O2159" s="7">
        <f>IF(N2159=0,0,(L2159+H2159)/-N2159)</f>
        <v/>
      </c>
      <c r="P2159" s="7">
        <f>VLOOKUP(OPERAC[[#This Row],[especie]],[1]!ESPECIES[#All],6,0)</f>
        <v/>
      </c>
      <c r="Q2159" s="7">
        <f>IF(N2159&lt;&gt;0,P2159*N2159,0)</f>
        <v/>
      </c>
      <c r="R2159" s="8">
        <f>IF(Q2159&lt;&gt;0,Q2159+H2159+L2159,0)</f>
        <v/>
      </c>
      <c r="S2159" s="9">
        <f>VLOOKUP(OPERAC[[#This Row],[especie]],[1]!ESPECIES[#Data],9,FALSE)</f>
        <v/>
      </c>
    </row>
    <row r="2160">
      <c r="A2160" s="4" t="n">
        <v>13253</v>
      </c>
      <c r="B2160" s="5" t="n">
        <v>44299</v>
      </c>
      <c r="C2160" s="13" t="inlineStr">
        <is>
          <t>VTA</t>
        </is>
      </c>
      <c r="D2160" s="13" t="n">
        <v>41</v>
      </c>
      <c r="E2160" s="10">
        <f>IF(D2160&gt;0,VLOOKUP(OPERAC[[#This Row],[COD CART]],[1]!MatrizCortoLargoCyl[#All],3,0),"")</f>
        <v/>
      </c>
      <c r="F2160" s="13" t="inlineStr">
        <is>
          <t>JEPI</t>
        </is>
      </c>
      <c r="G2160" s="6" t="n">
        <v>6</v>
      </c>
      <c r="H2160" s="6" t="n">
        <v>-355.38</v>
      </c>
      <c r="I2160" s="7">
        <f>-H2160/G2160</f>
        <v/>
      </c>
      <c r="J2160" s="11" t="n"/>
      <c r="K2160" s="6" t="n"/>
      <c r="L2160" s="6" t="n"/>
      <c r="M2160" s="7">
        <f>IF(N2160=0,+L2160+H2160,0)</f>
        <v/>
      </c>
      <c r="N2160" s="7">
        <f>IF((+G2160-K2160)=0,0,+G2160-K2160)</f>
        <v/>
      </c>
      <c r="O2160" s="7">
        <f>IF(N2160=0,0,(L2160+H2160)/-N2160)</f>
        <v/>
      </c>
      <c r="P2160" s="7">
        <f>VLOOKUP(OPERAC[[#This Row],[especie]],[1]!ESPECIES[#All],6,0)</f>
        <v/>
      </c>
      <c r="Q2160" s="7">
        <f>IF(N2160&lt;&gt;0,P2160*N2160,0)</f>
        <v/>
      </c>
      <c r="R2160" s="8">
        <f>IF(Q2160&lt;&gt;0,Q2160+H2160+L2160,0)</f>
        <v/>
      </c>
      <c r="S2160" s="9">
        <f>VLOOKUP(OPERAC[[#This Row],[especie]],[1]!ESPECIES[#Data],9,FALSE)</f>
        <v/>
      </c>
    </row>
    <row r="2161">
      <c r="A2161" s="4" t="n">
        <v>18663</v>
      </c>
      <c r="B2161" s="5" t="n">
        <v>44720</v>
      </c>
      <c r="C2161" s="13" t="inlineStr">
        <is>
          <t>VTA</t>
        </is>
      </c>
      <c r="D2161" s="13" t="n">
        <v>41</v>
      </c>
      <c r="E2161" s="10">
        <f>IF(D2161&gt;0,VLOOKUP(OPERAC[[#This Row],[COD CART]],[1]!MatrizCortoLargoCyl[#All],3,0),"")</f>
        <v/>
      </c>
      <c r="F2161" s="13" t="inlineStr">
        <is>
          <t>TCEHY</t>
        </is>
      </c>
      <c r="G2161" s="6" t="n">
        <v>7</v>
      </c>
      <c r="H2161" s="6" t="n">
        <v>-356.22237</v>
      </c>
      <c r="I2161" s="7">
        <f>-H2161/G2161</f>
        <v/>
      </c>
      <c r="J2161" s="5" t="n"/>
      <c r="K2161" s="6" t="n"/>
      <c r="L2161" s="6" t="n"/>
      <c r="M2161" s="7">
        <f>IF(N2161=0,+L2161+H2161,0)</f>
        <v/>
      </c>
      <c r="N2161" s="7">
        <f>IF((+G2161-K2161)=0,0,+G2161-K2161)</f>
        <v/>
      </c>
      <c r="O2161" s="7">
        <f>IF(N2161=0,0,(L2161+H2161)/-N2161)</f>
        <v/>
      </c>
      <c r="P2161" s="7">
        <f>VLOOKUP(OPERAC[[#This Row],[especie]],[1]!ESPECIES[#All],6,0)</f>
        <v/>
      </c>
      <c r="Q2161" s="7">
        <f>IF(N2161&lt;&gt;0,P2161*N2161,0)</f>
        <v/>
      </c>
      <c r="R2161" s="8">
        <f>IF(Q2161&lt;&gt;0,Q2161+H2161+L2161,0)</f>
        <v/>
      </c>
      <c r="S2161" s="9">
        <f>VLOOKUP(OPERAC[[#This Row],[especie]],[1]!ESPECIES[#Data],9,FALSE)</f>
        <v/>
      </c>
    </row>
    <row r="2162">
      <c r="A2162" s="4" t="n">
        <v>19878</v>
      </c>
      <c r="B2162" s="5" t="n">
        <v>44650</v>
      </c>
      <c r="C2162" s="13" t="inlineStr">
        <is>
          <t>VTA</t>
        </is>
      </c>
      <c r="D2162" s="13" t="n">
        <v>42</v>
      </c>
      <c r="E2162" s="10">
        <f>IF(D2162&gt;0,VLOOKUP(OPERAC[[#This Row],[COD CART]],[1]!MatrizCortoLargoCyl[#All],3,0),"")</f>
        <v/>
      </c>
      <c r="F2162" s="13" t="inlineStr">
        <is>
          <t>BRK B</t>
        </is>
      </c>
      <c r="G2162" s="6" t="n">
        <v>1</v>
      </c>
      <c r="H2162" s="6" t="n">
        <v>-357.16874</v>
      </c>
      <c r="I2162" s="7">
        <f>-H2162/G2162</f>
        <v/>
      </c>
      <c r="J2162" s="11" t="n">
        <v>44693</v>
      </c>
      <c r="K2162" s="6" t="n">
        <v>1</v>
      </c>
      <c r="L2162" s="6" t="n">
        <v>302.846</v>
      </c>
      <c r="M2162" s="7">
        <f>IF(N2162=0,+L2162+H2162,0)</f>
        <v/>
      </c>
      <c r="N2162" s="7">
        <f>IF((+G2162-K2162)=0,0,+G2162-K2162)</f>
        <v/>
      </c>
      <c r="O2162" s="7">
        <f>IF(N2162=0,0,(L2162+H2162)/-N2162)</f>
        <v/>
      </c>
      <c r="P2162" s="7">
        <f>VLOOKUP(OPERAC[[#This Row],[especie]],[1]!ESPECIES[#All],6,0)</f>
        <v/>
      </c>
      <c r="Q2162" s="7">
        <f>IF(N2162&lt;&gt;0,P2162*N2162,0)</f>
        <v/>
      </c>
      <c r="R2162" s="8">
        <f>IF(Q2162&lt;&gt;0,Q2162+H2162+L2162,0)</f>
        <v/>
      </c>
      <c r="S2162" s="9">
        <f>VLOOKUP(OPERAC[[#This Row],[especie]],[1]!ESPECIES[#Data],9,FALSE)</f>
        <v/>
      </c>
    </row>
    <row r="2163">
      <c r="A2163" s="4" t="n">
        <v>13253</v>
      </c>
      <c r="B2163" s="5" t="n">
        <v>44308</v>
      </c>
      <c r="C2163" s="13" t="inlineStr">
        <is>
          <t>VTA</t>
        </is>
      </c>
      <c r="D2163" s="13" t="n">
        <v>41</v>
      </c>
      <c r="E2163" s="10">
        <f>IF(D2163&gt;0,VLOOKUP(OPERAC[[#This Row],[COD CART]],[1]!MatrizCortoLargoCyl[#All],3,0),"")</f>
        <v/>
      </c>
      <c r="F2163" s="13" t="inlineStr">
        <is>
          <t>JEPI</t>
        </is>
      </c>
      <c r="G2163" s="6" t="n">
        <v>6</v>
      </c>
      <c r="H2163" s="6" t="n">
        <v>-358.31584</v>
      </c>
      <c r="I2163" s="7">
        <f>-H2163/G2163</f>
        <v/>
      </c>
      <c r="J2163" s="11" t="n"/>
      <c r="K2163" s="6" t="n"/>
      <c r="L2163" s="6" t="n"/>
      <c r="M2163" s="7">
        <f>IF(N2163=0,+L2163+H2163,0)</f>
        <v/>
      </c>
      <c r="N2163" s="7">
        <f>IF((+G2163-K2163)=0,0,+G2163-K2163)</f>
        <v/>
      </c>
      <c r="O2163" s="7">
        <f>IF(N2163=0,0,(L2163+H2163)/-N2163)</f>
        <v/>
      </c>
      <c r="P2163" s="7">
        <f>VLOOKUP(OPERAC[[#This Row],[especie]],[1]!ESPECIES[#All],6,0)</f>
        <v/>
      </c>
      <c r="Q2163" s="7">
        <f>IF(N2163&lt;&gt;0,P2163*N2163,0)</f>
        <v/>
      </c>
      <c r="R2163" s="8">
        <f>IF(Q2163&lt;&gt;0,Q2163+H2163+L2163,0)</f>
        <v/>
      </c>
      <c r="S2163" s="9">
        <f>VLOOKUP(OPERAC[[#This Row],[especie]],[1]!ESPECIES[#Data],9,FALSE)</f>
        <v/>
      </c>
    </row>
    <row r="2164">
      <c r="A2164" s="4" t="n">
        <v>13253</v>
      </c>
      <c r="B2164" s="5" t="n">
        <v>44239</v>
      </c>
      <c r="C2164" s="13" t="inlineStr">
        <is>
          <t>VTA</t>
        </is>
      </c>
      <c r="D2164" s="13" t="n">
        <v>41</v>
      </c>
      <c r="E2164" s="10">
        <f>IF(D2164&gt;0,VLOOKUP(OPERAC[[#This Row],[COD CART]],[1]!MatrizCortoLargoCyl[#All],3,0),"")</f>
        <v/>
      </c>
      <c r="F2164" s="13" t="inlineStr">
        <is>
          <t>HIPS</t>
        </is>
      </c>
      <c r="G2164" s="6" t="n">
        <v>25</v>
      </c>
      <c r="H2164" s="6" t="n">
        <v>-359.032</v>
      </c>
      <c r="I2164" s="7">
        <f>-H2164/G2164</f>
        <v/>
      </c>
      <c r="J2164" s="11" t="n"/>
      <c r="K2164" s="6" t="n"/>
      <c r="L2164" s="6" t="n"/>
      <c r="M2164" s="7">
        <f>IF(N2164=0,+L2164+H2164,0)</f>
        <v/>
      </c>
      <c r="N2164" s="7">
        <f>IF((+G2164-K2164)=0,0,+G2164-K2164)</f>
        <v/>
      </c>
      <c r="O2164" s="7">
        <f>IF(N2164=0,0,(L2164+H2164)/-N2164)</f>
        <v/>
      </c>
      <c r="P2164" s="7">
        <f>VLOOKUP(OPERAC[[#This Row],[especie]],[1]!ESPECIES[#All],6,0)</f>
        <v/>
      </c>
      <c r="Q2164" s="7">
        <f>IF(N2164&lt;&gt;0,P2164*N2164,0)</f>
        <v/>
      </c>
      <c r="R2164" s="8">
        <f>IF(Q2164&lt;&gt;0,Q2164+H2164+L2164,0)</f>
        <v/>
      </c>
      <c r="S2164" s="9">
        <f>VLOOKUP(OPERAC[[#This Row],[especie]],[1]!ESPECIES[#Data],9,FALSE)</f>
        <v/>
      </c>
    </row>
    <row r="2165">
      <c r="A2165" s="4" t="n">
        <v>18663</v>
      </c>
      <c r="B2165" s="5" t="n">
        <v>44610</v>
      </c>
      <c r="C2165" s="13" t="inlineStr">
        <is>
          <t>VTA</t>
        </is>
      </c>
      <c r="D2165" s="13" t="n">
        <v>41</v>
      </c>
      <c r="E2165" s="10">
        <f>IF(D2165&gt;0,VLOOKUP(OPERAC[[#This Row],[COD CART]],[1]!MatrizCortoLargoCyl[#All],3,0),"")</f>
        <v/>
      </c>
      <c r="F2165" s="13" t="inlineStr">
        <is>
          <t>TCNNF</t>
        </is>
      </c>
      <c r="G2165" s="6" t="n">
        <v>15</v>
      </c>
      <c r="H2165" s="6" t="n">
        <v>-359.0416</v>
      </c>
      <c r="I2165" s="7">
        <f>-H2165/G2165</f>
        <v/>
      </c>
      <c r="J2165" s="11" t="n"/>
      <c r="K2165" s="6" t="n"/>
      <c r="L2165" s="6" t="n"/>
      <c r="M2165" s="7">
        <f>IF(N2165=0,+L2165+H2165,0)</f>
        <v/>
      </c>
      <c r="N2165" s="7">
        <f>IF((+G2165-K2165)=0,0,+G2165-K2165)</f>
        <v/>
      </c>
      <c r="O2165" s="7">
        <f>IF(N2165=0,0,(L2165+H2165)/-N2165)</f>
        <v/>
      </c>
      <c r="P2165" s="7">
        <f>VLOOKUP(OPERAC[[#This Row],[especie]],[1]!ESPECIES[#All],6,0)</f>
        <v/>
      </c>
      <c r="Q2165" s="7">
        <f>IF(N2165&lt;&gt;0,P2165*N2165,0)</f>
        <v/>
      </c>
      <c r="R2165" s="8">
        <f>IF(Q2165&lt;&gt;0,Q2165+H2165+L2165,0)</f>
        <v/>
      </c>
      <c r="S2165" s="9">
        <f>VLOOKUP(OPERAC[[#This Row],[especie]],[1]!ESPECIES[#Data],9,FALSE)</f>
        <v/>
      </c>
    </row>
    <row r="2166">
      <c r="A2166" s="4" t="n">
        <v>2305</v>
      </c>
      <c r="B2166" s="5" t="n">
        <v>44657</v>
      </c>
      <c r="C2166" s="13" t="inlineStr">
        <is>
          <t>VTA</t>
        </is>
      </c>
      <c r="D2166" s="13" t="n">
        <v>41</v>
      </c>
      <c r="E2166" s="10">
        <f>IF(D2166&gt;0,VLOOKUP(OPERAC[[#This Row],[COD CART]],[1]!MatrizCortoLargoCyl[#All],3,0),"")</f>
        <v/>
      </c>
      <c r="F2166" s="13" t="inlineStr">
        <is>
          <t>BBAR</t>
        </is>
      </c>
      <c r="G2166" s="6" t="n">
        <v>100</v>
      </c>
      <c r="H2166" s="6" t="n">
        <v>-359.348</v>
      </c>
      <c r="I2166" s="7">
        <f>-H2166/G2166</f>
        <v/>
      </c>
      <c r="J2166" s="11" t="n"/>
      <c r="K2166" s="6" t="n"/>
      <c r="L2166" s="6" t="n"/>
      <c r="M2166" s="7">
        <f>IF(N2166=0,+L2166+H2166,0)</f>
        <v/>
      </c>
      <c r="N2166" s="7">
        <f>IF((+G2166-K2166)=0,0,+G2166-K2166)</f>
        <v/>
      </c>
      <c r="O2166" s="7">
        <f>IF(N2166=0,0,(L2166+H2166)/-N2166)</f>
        <v/>
      </c>
      <c r="P2166" s="7">
        <f>VLOOKUP(OPERAC[[#This Row],[especie]],[1]!ESPECIES[#All],6,0)</f>
        <v/>
      </c>
      <c r="Q2166" s="7">
        <f>IF(N2166&lt;&gt;0,P2166*N2166,0)</f>
        <v/>
      </c>
      <c r="R2166" s="8">
        <f>IF(Q2166&lt;&gt;0,Q2166+H2166+L2166,0)</f>
        <v/>
      </c>
      <c r="S2166" s="9">
        <f>VLOOKUP(OPERAC[[#This Row],[especie]],[1]!ESPECIES[#Data],9,FALSE)</f>
        <v/>
      </c>
    </row>
    <row r="2167">
      <c r="A2167" s="4" t="n">
        <v>1760</v>
      </c>
      <c r="B2167" s="5" t="n">
        <v>44704</v>
      </c>
      <c r="C2167" s="13" t="inlineStr">
        <is>
          <t>VTA</t>
        </is>
      </c>
      <c r="D2167" s="13" t="n">
        <v>32</v>
      </c>
      <c r="E2167" s="10">
        <f>IF(D2167&gt;0,VLOOKUP(OPERAC[[#This Row],[COD CART]],[1]!MatrizCortoLargoCyl[#All],3,0),"")</f>
        <v/>
      </c>
      <c r="F2167" s="13" t="inlineStr">
        <is>
          <t>HMY/CYL/4,00/17-06-22</t>
        </is>
      </c>
      <c r="G2167" s="6" t="n">
        <v>100</v>
      </c>
      <c r="H2167" s="6" t="n">
        <v>-359.68</v>
      </c>
      <c r="I2167" s="7">
        <f>-H2167/G2167</f>
        <v/>
      </c>
      <c r="J2167" s="5" t="n"/>
      <c r="K2167" s="6" t="n"/>
      <c r="L2167" s="6" t="n"/>
      <c r="M2167" s="7">
        <f>IF(N2167=0,+L2167+H2167,0)</f>
        <v/>
      </c>
      <c r="N2167" s="7">
        <f>IF((+G2167-K2167)=0,0,+G2167-K2167)</f>
        <v/>
      </c>
      <c r="O2167" s="7">
        <f>IF(N2167=0,0,(L2167+H2167)/-N2167)</f>
        <v/>
      </c>
      <c r="P2167" s="7">
        <f>VLOOKUP(OPERAC[[#This Row],[especie]],[1]!ESPECIES[#All],6,0)</f>
        <v/>
      </c>
      <c r="Q2167" s="7">
        <f>IF(N2167&lt;&gt;0,P2167*N2167,0)</f>
        <v/>
      </c>
      <c r="R2167" s="8">
        <f>IF(Q2167&lt;&gt;0,Q2167+H2167+L2167,0)</f>
        <v/>
      </c>
      <c r="S2167" s="9">
        <f>VLOOKUP(OPERAC[[#This Row],[especie]],[1]!ESPECIES[#Data],9,FALSE)</f>
        <v/>
      </c>
    </row>
    <row r="2168">
      <c r="A2168" s="4" t="n">
        <v>18663</v>
      </c>
      <c r="B2168" s="5" t="n">
        <v>44582</v>
      </c>
      <c r="C2168" s="13" t="inlineStr">
        <is>
          <t>VTA</t>
        </is>
      </c>
      <c r="D2168" s="13" t="n">
        <v>41</v>
      </c>
      <c r="E2168" s="10">
        <f>IF(D2168&gt;0,VLOOKUP(OPERAC[[#This Row],[COD CART]],[1]!MatrizCortoLargoCyl[#All],3,0),"")</f>
        <v/>
      </c>
      <c r="F2168" s="13" t="inlineStr">
        <is>
          <t>DDD</t>
        </is>
      </c>
      <c r="G2168" s="6" t="n">
        <v>20</v>
      </c>
      <c r="H2168" s="6" t="n">
        <v>-360.6544</v>
      </c>
      <c r="I2168" s="7">
        <f>-H2168/G2168</f>
        <v/>
      </c>
      <c r="J2168" s="11" t="n"/>
      <c r="K2168" s="6" t="n"/>
      <c r="L2168" s="6" t="n"/>
      <c r="M2168" s="7">
        <f>IF(N2168=0,+L2168+H2168,0)</f>
        <v/>
      </c>
      <c r="N2168" s="7">
        <f>IF((+G2168-K2168)=0,0,+G2168-K2168)</f>
        <v/>
      </c>
      <c r="O2168" s="7">
        <f>IF(N2168=0,0,(L2168+H2168)/-N2168)</f>
        <v/>
      </c>
      <c r="P2168" s="7">
        <f>VLOOKUP(OPERAC[[#This Row],[especie]],[1]!ESPECIES[#All],6,0)</f>
        <v/>
      </c>
      <c r="Q2168" s="7">
        <f>IF(N2168&lt;&gt;0,P2168*N2168,0)</f>
        <v/>
      </c>
      <c r="R2168" s="8">
        <f>IF(Q2168&lt;&gt;0,Q2168+H2168+L2168,0)</f>
        <v/>
      </c>
      <c r="S2168" s="9">
        <f>VLOOKUP(OPERAC[[#This Row],[especie]],[1]!ESPECIES[#Data],9,FALSE)</f>
        <v/>
      </c>
    </row>
    <row r="2169">
      <c r="A2169" s="4" t="n">
        <v>13253</v>
      </c>
      <c r="B2169" s="5" t="n">
        <v>44334</v>
      </c>
      <c r="C2169" s="13" t="inlineStr">
        <is>
          <t>VTA</t>
        </is>
      </c>
      <c r="D2169" s="13" t="n">
        <v>41</v>
      </c>
      <c r="E2169" s="10">
        <f>IF(D2169&gt;0,VLOOKUP(OPERAC[[#This Row],[COD CART]],[1]!MatrizCortoLargoCyl[#All],3,0),"")</f>
        <v/>
      </c>
      <c r="F2169" s="13" t="inlineStr">
        <is>
          <t>JEPI</t>
        </is>
      </c>
      <c r="G2169" s="6" t="n">
        <v>6</v>
      </c>
      <c r="H2169" s="6" t="n">
        <v>-361.40032</v>
      </c>
      <c r="I2169" s="7">
        <f>-H2169/G2169</f>
        <v/>
      </c>
      <c r="J2169" s="11" t="n"/>
      <c r="K2169" s="6" t="n"/>
      <c r="L2169" s="6" t="n"/>
      <c r="M2169" s="7">
        <f>IF(N2169=0,+L2169+H2169,0)</f>
        <v/>
      </c>
      <c r="N2169" s="7">
        <f>IF((+G2169-K2169)=0,0,+G2169-K2169)</f>
        <v/>
      </c>
      <c r="O2169" s="7">
        <f>IF(N2169=0,0,(L2169+H2169)/-N2169)</f>
        <v/>
      </c>
      <c r="P2169" s="7">
        <f>VLOOKUP(OPERAC[[#This Row],[especie]],[1]!ESPECIES[#All],6,0)</f>
        <v/>
      </c>
      <c r="Q2169" s="7">
        <f>IF(N2169&lt;&gt;0,P2169*N2169,0)</f>
        <v/>
      </c>
      <c r="R2169" s="8">
        <f>IF(Q2169&lt;&gt;0,Q2169+H2169+L2169,0)</f>
        <v/>
      </c>
      <c r="S2169" s="9">
        <f>VLOOKUP(OPERAC[[#This Row],[especie]],[1]!ESPECIES[#Data],9,FALSE)</f>
        <v/>
      </c>
    </row>
    <row r="2170">
      <c r="A2170" s="4" t="n">
        <v>18663</v>
      </c>
      <c r="B2170" s="5" t="n">
        <v>44334</v>
      </c>
      <c r="C2170" s="13" t="inlineStr">
        <is>
          <t>VTA</t>
        </is>
      </c>
      <c r="D2170" s="13" t="n">
        <v>41</v>
      </c>
      <c r="E2170" s="10">
        <f>IF(D2170&gt;0,VLOOKUP(OPERAC[[#This Row],[COD CART]],[1]!MatrizCortoLargoCyl[#All],3,0),"")</f>
        <v/>
      </c>
      <c r="F2170" s="13" t="inlineStr">
        <is>
          <t>JEPI</t>
        </is>
      </c>
      <c r="G2170" s="6" t="n">
        <v>6</v>
      </c>
      <c r="H2170" s="6" t="n">
        <v>-361.40032</v>
      </c>
      <c r="I2170" s="7">
        <f>-H2170/G2170</f>
        <v/>
      </c>
      <c r="J2170" s="11" t="n"/>
      <c r="K2170" s="6" t="n"/>
      <c r="L2170" s="6" t="n"/>
      <c r="M2170" s="7">
        <f>IF(N2170=0,+L2170+H2170,0)</f>
        <v/>
      </c>
      <c r="N2170" s="7">
        <f>IF((+G2170-K2170)=0,0,+G2170-K2170)</f>
        <v/>
      </c>
      <c r="O2170" s="7">
        <f>IF(N2170=0,0,(L2170+H2170)/-N2170)</f>
        <v/>
      </c>
      <c r="P2170" s="7">
        <f>VLOOKUP(OPERAC[[#This Row],[especie]],[1]!ESPECIES[#All],6,0)</f>
        <v/>
      </c>
      <c r="Q2170" s="7">
        <f>IF(N2170&lt;&gt;0,P2170*N2170,0)</f>
        <v/>
      </c>
      <c r="R2170" s="8">
        <f>IF(Q2170&lt;&gt;0,Q2170+H2170+L2170,0)</f>
        <v/>
      </c>
      <c r="S2170" s="9">
        <f>VLOOKUP(OPERAC[[#This Row],[especie]],[1]!ESPECIES[#Data],9,FALSE)</f>
        <v/>
      </c>
    </row>
    <row r="2171">
      <c r="A2171" s="4" t="n">
        <v>16824</v>
      </c>
      <c r="B2171" s="5" t="n">
        <v>44616</v>
      </c>
      <c r="C2171" s="13" t="inlineStr">
        <is>
          <t>VTA</t>
        </is>
      </c>
      <c r="D2171" s="13" t="n">
        <v>41</v>
      </c>
      <c r="E2171" s="10">
        <f>IF(D2171&gt;0,VLOOKUP(OPERAC[[#This Row],[COD CART]],[1]!MatrizCortoLargoCyl[#All],3,0),"")</f>
        <v/>
      </c>
      <c r="F2171" s="13" t="inlineStr">
        <is>
          <t>GLD</t>
        </is>
      </c>
      <c r="G2171" s="6" t="n">
        <v>2</v>
      </c>
      <c r="H2171" s="6" t="n">
        <v>-362.872</v>
      </c>
      <c r="I2171" s="7">
        <f>-H2171/G2171</f>
        <v/>
      </c>
      <c r="J2171" s="11" t="n"/>
      <c r="K2171" s="6" t="n"/>
      <c r="L2171" s="6" t="n"/>
      <c r="M2171" s="7">
        <f>IF(N2171=0,+L2171+H2171,0)</f>
        <v/>
      </c>
      <c r="N2171" s="7">
        <f>IF((+G2171-K2171)=0,0,+G2171-K2171)</f>
        <v/>
      </c>
      <c r="O2171" s="7">
        <f>IF(N2171=0,0,(L2171+H2171)/-N2171)</f>
        <v/>
      </c>
      <c r="P2171" s="7">
        <f>VLOOKUP(OPERAC[[#This Row],[especie]],[1]!ESPECIES[#All],6,0)</f>
        <v/>
      </c>
      <c r="Q2171" s="7">
        <f>IF(N2171&lt;&gt;0,P2171*N2171,0)</f>
        <v/>
      </c>
      <c r="R2171" s="8">
        <f>IF(Q2171&lt;&gt;0,Q2171+H2171+L2171,0)</f>
        <v/>
      </c>
      <c r="S2171" s="9">
        <f>VLOOKUP(OPERAC[[#This Row],[especie]],[1]!ESPECIES[#Data],9,FALSE)</f>
        <v/>
      </c>
    </row>
    <row r="2172">
      <c r="A2172" s="4" t="n">
        <v>18663</v>
      </c>
      <c r="B2172" s="5" t="n">
        <v>44363</v>
      </c>
      <c r="C2172" s="13" t="inlineStr">
        <is>
          <t>VTA</t>
        </is>
      </c>
      <c r="D2172" s="13" t="n">
        <v>41</v>
      </c>
      <c r="E2172" s="10">
        <f>IF(D2172&gt;0,VLOOKUP(OPERAC[[#This Row],[COD CART]],[1]!MatrizCortoLargoCyl[#All],3,0),"")</f>
        <v/>
      </c>
      <c r="F2172" s="13" t="inlineStr">
        <is>
          <t>TCNNF</t>
        </is>
      </c>
      <c r="G2172" s="6" t="n">
        <v>10</v>
      </c>
      <c r="H2172" s="6" t="n">
        <v>-363.9055</v>
      </c>
      <c r="I2172" s="7">
        <f>-H2172/G2172</f>
        <v/>
      </c>
      <c r="J2172" s="11" t="n"/>
      <c r="K2172" s="6" t="n"/>
      <c r="L2172" s="6" t="n"/>
      <c r="M2172" s="7">
        <f>IF(N2172=0,+L2172+H2172,0)</f>
        <v/>
      </c>
      <c r="N2172" s="7">
        <f>IF((+G2172-K2172)=0,0,+G2172-K2172)</f>
        <v/>
      </c>
      <c r="O2172" s="7">
        <f>IF(N2172=0,0,(L2172+H2172)/-N2172)</f>
        <v/>
      </c>
      <c r="P2172" s="7">
        <f>VLOOKUP(OPERAC[[#This Row],[especie]],[1]!ESPECIES[#All],6,0)</f>
        <v/>
      </c>
      <c r="Q2172" s="7">
        <f>IF(N2172&lt;&gt;0,P2172*N2172,0)</f>
        <v/>
      </c>
      <c r="R2172" s="8">
        <f>IF(Q2172&lt;&gt;0,Q2172+H2172+L2172,0)</f>
        <v/>
      </c>
      <c r="S2172" s="9">
        <f>VLOOKUP(OPERAC[[#This Row],[especie]],[1]!ESPECIES[#Data],9,FALSE)</f>
        <v/>
      </c>
    </row>
    <row r="2173">
      <c r="A2173" s="4" t="n">
        <v>12671</v>
      </c>
      <c r="B2173" s="5" t="n">
        <v>44708</v>
      </c>
      <c r="C2173" s="13" t="inlineStr">
        <is>
          <t>VTA</t>
        </is>
      </c>
      <c r="D2173" s="13" t="n">
        <v>42</v>
      </c>
      <c r="E2173" s="10">
        <f>IF(D2173&gt;0,VLOOKUP(OPERAC[[#This Row],[COD CART]],[1]!MatrizCortoLargoCyl[#All],3,0),"")</f>
        <v/>
      </c>
      <c r="F2173" s="13" t="inlineStr">
        <is>
          <t>ACB</t>
        </is>
      </c>
      <c r="G2173" s="6" t="n">
        <v>200</v>
      </c>
      <c r="H2173" s="6" t="n">
        <v>-364.340183229</v>
      </c>
      <c r="I2173" s="7">
        <f>-H2173/G2173</f>
        <v/>
      </c>
      <c r="J2173" s="5" t="n"/>
      <c r="K2173" s="6" t="n"/>
      <c r="L2173" s="6" t="n"/>
      <c r="M2173" s="7">
        <f>IF(N2173=0,+L2173+H2173,0)</f>
        <v/>
      </c>
      <c r="N2173" s="7">
        <f>IF((+G2173-K2173)=0,0,+G2173-K2173)</f>
        <v/>
      </c>
      <c r="O2173" s="7">
        <f>IF(N2173=0,0,(L2173+H2173)/-N2173)</f>
        <v/>
      </c>
      <c r="P2173" s="7">
        <f>VLOOKUP(OPERAC[[#This Row],[especie]],[1]!ESPECIES[#All],6,0)</f>
        <v/>
      </c>
      <c r="Q2173" s="7">
        <f>IF(N2173&lt;&gt;0,P2173*N2173,0)</f>
        <v/>
      </c>
      <c r="R2173" s="8">
        <f>IF(Q2173&lt;&gt;0,Q2173+H2173+L2173,0)</f>
        <v/>
      </c>
      <c r="S2173" s="9">
        <f>VLOOKUP(OPERAC[[#This Row],[especie]],[1]!ESPECIES[#Data],9,FALSE)</f>
        <v/>
      </c>
    </row>
    <row r="2174">
      <c r="A2174" s="4" t="n">
        <v>22431</v>
      </c>
      <c r="B2174" s="5" t="n">
        <v>44292</v>
      </c>
      <c r="C2174" s="13" t="inlineStr">
        <is>
          <t>VTA</t>
        </is>
      </c>
      <c r="D2174" s="13" t="n">
        <v>41</v>
      </c>
      <c r="E2174" s="10">
        <f>IF(D2174&gt;0,VLOOKUP(OPERAC[[#This Row],[COD CART]],[1]!MatrizCortoLargoCyl[#All],3,0),"")</f>
        <v/>
      </c>
      <c r="F2174" s="13" t="inlineStr">
        <is>
          <t>GBTC</t>
        </is>
      </c>
      <c r="G2174" s="6" t="n">
        <v>7</v>
      </c>
      <c r="H2174" s="6" t="n">
        <v>-364.384</v>
      </c>
      <c r="I2174" s="7">
        <f>-H2174/G2174</f>
        <v/>
      </c>
      <c r="J2174" s="11" t="n"/>
      <c r="K2174" s="6" t="n"/>
      <c r="L2174" s="6" t="n"/>
      <c r="M2174" s="7">
        <f>IF(N2174=0,+L2174+H2174,0)</f>
        <v/>
      </c>
      <c r="N2174" s="7">
        <f>IF((+G2174-K2174)=0,0,+G2174-K2174)</f>
        <v/>
      </c>
      <c r="O2174" s="7">
        <f>IF(N2174=0,0,(L2174+H2174)/-N2174)</f>
        <v/>
      </c>
      <c r="P2174" s="7">
        <f>VLOOKUP(OPERAC[[#This Row],[especie]],[1]!ESPECIES[#All],6,0)</f>
        <v/>
      </c>
      <c r="Q2174" s="7">
        <f>IF(N2174&lt;&gt;0,P2174*N2174,0)</f>
        <v/>
      </c>
      <c r="R2174" s="8">
        <f>IF(Q2174&lt;&gt;0,Q2174+H2174+L2174,0)</f>
        <v/>
      </c>
      <c r="S2174" s="9">
        <f>VLOOKUP(OPERAC[[#This Row],[especie]],[1]!ESPECIES[#Data],9,FALSE)</f>
        <v/>
      </c>
    </row>
    <row r="2175">
      <c r="A2175" s="4" t="n">
        <v>18663</v>
      </c>
      <c r="B2175" s="5" t="n">
        <v>44504</v>
      </c>
      <c r="C2175" s="13" t="inlineStr">
        <is>
          <t>VTA</t>
        </is>
      </c>
      <c r="D2175" s="13" t="n">
        <v>41</v>
      </c>
      <c r="E2175" s="10">
        <f>IF(D2175&gt;0,VLOOKUP(OPERAC[[#This Row],[COD CART]],[1]!MatrizCortoLargoCyl[#All],3,0),"")</f>
        <v/>
      </c>
      <c r="F2175" s="13" t="inlineStr">
        <is>
          <t>SSYS</t>
        </is>
      </c>
      <c r="G2175" s="6" t="n">
        <v>10</v>
      </c>
      <c r="H2175" s="6" t="n">
        <v>-364.686</v>
      </c>
      <c r="I2175" s="7">
        <f>-H2175/G2175</f>
        <v/>
      </c>
      <c r="J2175" s="11" t="n">
        <v>44592</v>
      </c>
      <c r="K2175" s="6" t="n">
        <v>10</v>
      </c>
      <c r="L2175" s="6" t="n">
        <v>231.525</v>
      </c>
      <c r="M2175" s="7">
        <f>IF(N2175=0,+L2175+H2175,0)</f>
        <v/>
      </c>
      <c r="N2175" s="7">
        <f>IF((+G2175-K2175)=0,0,+G2175-K2175)</f>
        <v/>
      </c>
      <c r="O2175" s="7">
        <f>IF(N2175=0,0,(L2175+H2175)/-N2175)</f>
        <v/>
      </c>
      <c r="P2175" s="7">
        <f>VLOOKUP(OPERAC[[#This Row],[especie]],[1]!ESPECIES[#All],6,0)</f>
        <v/>
      </c>
      <c r="Q2175" s="7">
        <f>IF(N2175&lt;&gt;0,P2175*N2175,0)</f>
        <v/>
      </c>
      <c r="R2175" s="8">
        <f>IF(Q2175&lt;&gt;0,Q2175+H2175+L2175,0)</f>
        <v/>
      </c>
      <c r="S2175" s="9">
        <f>VLOOKUP(OPERAC[[#This Row],[especie]],[1]!ESPECIES[#Data],9,FALSE)</f>
        <v/>
      </c>
    </row>
    <row r="2176">
      <c r="A2176" s="4" t="n">
        <v>6628</v>
      </c>
      <c r="B2176" s="5" t="n">
        <v>44704</v>
      </c>
      <c r="C2176" s="13" t="inlineStr">
        <is>
          <t>VTA</t>
        </is>
      </c>
      <c r="D2176" s="13" t="n">
        <v>32</v>
      </c>
      <c r="E2176" s="10">
        <f>IF(D2176&gt;0,VLOOKUP(OPERAC[[#This Row],[COD CART]],[1]!MatrizCortoLargoCyl[#All],3,0),"")</f>
        <v/>
      </c>
      <c r="F2176" s="13" t="inlineStr">
        <is>
          <t>HMY/CYL/4,00/17-06-22</t>
        </is>
      </c>
      <c r="G2176" s="6" t="n">
        <v>100</v>
      </c>
      <c r="H2176" s="6" t="n">
        <v>-364.69</v>
      </c>
      <c r="I2176" s="7">
        <f>-H2176/G2176</f>
        <v/>
      </c>
      <c r="J2176" s="5" t="n"/>
      <c r="K2176" s="6" t="n"/>
      <c r="L2176" s="6" t="n"/>
      <c r="M2176" s="7">
        <f>IF(N2176=0,+L2176+H2176,0)</f>
        <v/>
      </c>
      <c r="N2176" s="7">
        <f>IF((+G2176-K2176)=0,0,+G2176-K2176)</f>
        <v/>
      </c>
      <c r="O2176" s="7">
        <f>IF(N2176=0,0,(L2176+H2176)/-N2176)</f>
        <v/>
      </c>
      <c r="P2176" s="7">
        <f>VLOOKUP(OPERAC[[#This Row],[especie]],[1]!ESPECIES[#All],6,0)</f>
        <v/>
      </c>
      <c r="Q2176" s="7">
        <f>IF(N2176&lt;&gt;0,P2176*N2176,0)</f>
        <v/>
      </c>
      <c r="R2176" s="8">
        <f>IF(Q2176&lt;&gt;0,Q2176+H2176+L2176,0)</f>
        <v/>
      </c>
      <c r="S2176" s="9">
        <f>VLOOKUP(OPERAC[[#This Row],[especie]],[1]!ESPECIES[#Data],9,FALSE)</f>
        <v/>
      </c>
    </row>
    <row r="2177">
      <c r="A2177" s="4" t="n">
        <v>2289</v>
      </c>
      <c r="B2177" s="5" t="n">
        <v>44708</v>
      </c>
      <c r="C2177" s="13" t="inlineStr">
        <is>
          <t>VTA</t>
        </is>
      </c>
      <c r="D2177" s="13" t="n">
        <v>42</v>
      </c>
      <c r="E2177" s="10">
        <f>IF(D2177&gt;0,VLOOKUP(OPERAC[[#This Row],[COD CART]],[1]!MatrizCortoLargoCyl[#All],3,0),"")</f>
        <v/>
      </c>
      <c r="F2177" s="13" t="inlineStr">
        <is>
          <t>ACB</t>
        </is>
      </c>
      <c r="G2177" s="6" t="n">
        <v>200</v>
      </c>
      <c r="H2177" s="6" t="n">
        <v>-365.064157761</v>
      </c>
      <c r="I2177" s="7">
        <f>-H2177/G2177</f>
        <v/>
      </c>
      <c r="J2177" s="5" t="n"/>
      <c r="K2177" s="6" t="n"/>
      <c r="L2177" s="6" t="n"/>
      <c r="M2177" s="7">
        <f>IF(N2177=0,+L2177+H2177,0)</f>
        <v/>
      </c>
      <c r="N2177" s="7">
        <f>IF((+G2177-K2177)=0,0,+G2177-K2177)</f>
        <v/>
      </c>
      <c r="O2177" s="7">
        <f>IF(N2177=0,0,(L2177+H2177)/-N2177)</f>
        <v/>
      </c>
      <c r="P2177" s="7">
        <f>VLOOKUP(OPERAC[[#This Row],[especie]],[1]!ESPECIES[#All],6,0)</f>
        <v/>
      </c>
      <c r="Q2177" s="7">
        <f>IF(N2177&lt;&gt;0,P2177*N2177,0)</f>
        <v/>
      </c>
      <c r="R2177" s="8">
        <f>IF(Q2177&lt;&gt;0,Q2177+H2177+L2177,0)</f>
        <v/>
      </c>
      <c r="S2177" s="9">
        <f>VLOOKUP(OPERAC[[#This Row],[especie]],[1]!ESPECIES[#Data],9,FALSE)</f>
        <v/>
      </c>
    </row>
    <row r="2178">
      <c r="A2178" s="4" t="n">
        <v>7867</v>
      </c>
      <c r="B2178" s="5" t="n">
        <v>44708</v>
      </c>
      <c r="C2178" s="13" t="inlineStr">
        <is>
          <t>VTA</t>
        </is>
      </c>
      <c r="D2178" s="13" t="n">
        <v>42</v>
      </c>
      <c r="E2178" s="10">
        <f>IF(D2178&gt;0,VLOOKUP(OPERAC[[#This Row],[COD CART]],[1]!MatrizCortoLargoCyl[#All],3,0),"")</f>
        <v/>
      </c>
      <c r="F2178" s="13" t="inlineStr">
        <is>
          <t>ACB</t>
        </is>
      </c>
      <c r="G2178" s="6" t="n">
        <v>200</v>
      </c>
      <c r="H2178" s="6" t="n">
        <v>-365.064157761</v>
      </c>
      <c r="I2178" s="7">
        <f>-H2178/G2178</f>
        <v/>
      </c>
      <c r="J2178" s="5" t="n">
        <v>44712</v>
      </c>
      <c r="K2178" s="6" t="n">
        <v>200</v>
      </c>
      <c r="L2178" s="6" t="n">
        <v>331.161</v>
      </c>
      <c r="M2178" s="7">
        <f>IF(N2178=0,+L2178+H2178,0)</f>
        <v/>
      </c>
      <c r="N2178" s="7">
        <f>IF((+G2178-K2178)=0,0,+G2178-K2178)</f>
        <v/>
      </c>
      <c r="O2178" s="7">
        <f>IF(N2178=0,0,(L2178+H2178)/-N2178)</f>
        <v/>
      </c>
      <c r="P2178" s="7">
        <f>VLOOKUP(OPERAC[[#This Row],[especie]],[1]!ESPECIES[#All],6,0)</f>
        <v/>
      </c>
      <c r="Q2178" s="7">
        <f>IF(N2178&lt;&gt;0,P2178*N2178,0)</f>
        <v/>
      </c>
      <c r="R2178" s="8">
        <f>IF(Q2178&lt;&gt;0,Q2178+H2178+L2178,0)</f>
        <v/>
      </c>
      <c r="S2178" s="9">
        <f>VLOOKUP(OPERAC[[#This Row],[especie]],[1]!ESPECIES[#Data],9,FALSE)</f>
        <v/>
      </c>
    </row>
    <row r="2179">
      <c r="A2179" s="4" t="n">
        <v>7916</v>
      </c>
      <c r="B2179" s="5" t="n">
        <v>44708</v>
      </c>
      <c r="C2179" s="13" t="inlineStr">
        <is>
          <t>VTA</t>
        </is>
      </c>
      <c r="D2179" s="13" t="n">
        <v>42</v>
      </c>
      <c r="E2179" s="10">
        <f>IF(D2179&gt;0,VLOOKUP(OPERAC[[#This Row],[COD CART]],[1]!MatrizCortoLargoCyl[#All],3,0),"")</f>
        <v/>
      </c>
      <c r="F2179" s="13" t="inlineStr">
        <is>
          <t>ACB</t>
        </is>
      </c>
      <c r="G2179" s="6" t="n">
        <v>200</v>
      </c>
      <c r="H2179" s="6" t="n">
        <v>-365.064157761</v>
      </c>
      <c r="I2179" s="7">
        <f>-H2179/G2179</f>
        <v/>
      </c>
      <c r="J2179" s="5" t="n"/>
      <c r="K2179" s="6" t="n"/>
      <c r="L2179" s="6" t="n"/>
      <c r="M2179" s="7">
        <f>IF(N2179=0,+L2179+H2179,0)</f>
        <v/>
      </c>
      <c r="N2179" s="7">
        <f>IF((+G2179-K2179)=0,0,+G2179-K2179)</f>
        <v/>
      </c>
      <c r="O2179" s="7">
        <f>IF(N2179=0,0,(L2179+H2179)/-N2179)</f>
        <v/>
      </c>
      <c r="P2179" s="7">
        <f>VLOOKUP(OPERAC[[#This Row],[especie]],[1]!ESPECIES[#All],6,0)</f>
        <v/>
      </c>
      <c r="Q2179" s="7">
        <f>IF(N2179&lt;&gt;0,P2179*N2179,0)</f>
        <v/>
      </c>
      <c r="R2179" s="8">
        <f>IF(Q2179&lt;&gt;0,Q2179+H2179+L2179,0)</f>
        <v/>
      </c>
      <c r="S2179" s="9">
        <f>VLOOKUP(OPERAC[[#This Row],[especie]],[1]!ESPECIES[#Data],9,FALSE)</f>
        <v/>
      </c>
    </row>
    <row r="2180">
      <c r="A2180" s="4" t="n">
        <v>11168</v>
      </c>
      <c r="B2180" s="5" t="n">
        <v>44708</v>
      </c>
      <c r="C2180" s="13" t="inlineStr">
        <is>
          <t>VTA</t>
        </is>
      </c>
      <c r="D2180" s="13" t="n">
        <v>42</v>
      </c>
      <c r="E2180" s="10">
        <f>IF(D2180&gt;0,VLOOKUP(OPERAC[[#This Row],[COD CART]],[1]!MatrizCortoLargoCyl[#All],3,0),"")</f>
        <v/>
      </c>
      <c r="F2180" s="13" t="inlineStr">
        <is>
          <t>ACB</t>
        </is>
      </c>
      <c r="G2180" s="6" t="n">
        <v>200</v>
      </c>
      <c r="H2180" s="6" t="n">
        <v>-365.064157761</v>
      </c>
      <c r="I2180" s="7">
        <f>-H2180/G2180</f>
        <v/>
      </c>
      <c r="J2180" s="5" t="n">
        <v>44713</v>
      </c>
      <c r="K2180" s="6" t="n">
        <v>200</v>
      </c>
      <c r="L2180" s="6" t="n">
        <v>301.813</v>
      </c>
      <c r="M2180" s="7">
        <f>IF(N2180=0,+L2180+H2180,0)</f>
        <v/>
      </c>
      <c r="N2180" s="7">
        <f>IF((+G2180-K2180)=0,0,+G2180-K2180)</f>
        <v/>
      </c>
      <c r="O2180" s="7">
        <f>IF(N2180=0,0,(L2180+H2180)/-N2180)</f>
        <v/>
      </c>
      <c r="P2180" s="7">
        <f>VLOOKUP(OPERAC[[#This Row],[especie]],[1]!ESPECIES[#All],6,0)</f>
        <v/>
      </c>
      <c r="Q2180" s="7">
        <f>IF(N2180&lt;&gt;0,P2180*N2180,0)</f>
        <v/>
      </c>
      <c r="R2180" s="8">
        <f>IF(Q2180&lt;&gt;0,Q2180+H2180+L2180,0)</f>
        <v/>
      </c>
      <c r="S2180" s="9">
        <f>VLOOKUP(OPERAC[[#This Row],[especie]],[1]!ESPECIES[#Data],9,FALSE)</f>
        <v/>
      </c>
    </row>
    <row r="2181">
      <c r="A2181" s="4" t="n">
        <v>12022</v>
      </c>
      <c r="B2181" s="5" t="n">
        <v>44708</v>
      </c>
      <c r="C2181" s="13" t="inlineStr">
        <is>
          <t>VTA</t>
        </is>
      </c>
      <c r="D2181" s="13" t="n">
        <v>42</v>
      </c>
      <c r="E2181" s="10">
        <f>IF(D2181&gt;0,VLOOKUP(OPERAC[[#This Row],[COD CART]],[1]!MatrizCortoLargoCyl[#All],3,0),"")</f>
        <v/>
      </c>
      <c r="F2181" s="13" t="inlineStr">
        <is>
          <t>ACB</t>
        </is>
      </c>
      <c r="G2181" s="6" t="n">
        <v>200</v>
      </c>
      <c r="H2181" s="6" t="n">
        <v>-365.064157761</v>
      </c>
      <c r="I2181" s="7">
        <f>-H2181/G2181</f>
        <v/>
      </c>
      <c r="J2181" s="5" t="n"/>
      <c r="K2181" s="6" t="n"/>
      <c r="L2181" s="6" t="n"/>
      <c r="M2181" s="7">
        <f>IF(N2181=0,+L2181+H2181,0)</f>
        <v/>
      </c>
      <c r="N2181" s="7">
        <f>IF((+G2181-K2181)=0,0,+G2181-K2181)</f>
        <v/>
      </c>
      <c r="O2181" s="7">
        <f>IF(N2181=0,0,(L2181+H2181)/-N2181)</f>
        <v/>
      </c>
      <c r="P2181" s="7">
        <f>VLOOKUP(OPERAC[[#This Row],[especie]],[1]!ESPECIES[#All],6,0)</f>
        <v/>
      </c>
      <c r="Q2181" s="7">
        <f>IF(N2181&lt;&gt;0,P2181*N2181,0)</f>
        <v/>
      </c>
      <c r="R2181" s="8">
        <f>IF(Q2181&lt;&gt;0,Q2181+H2181+L2181,0)</f>
        <v/>
      </c>
      <c r="S2181" s="9">
        <f>VLOOKUP(OPERAC[[#This Row],[especie]],[1]!ESPECIES[#Data],9,FALSE)</f>
        <v/>
      </c>
    </row>
    <row r="2182">
      <c r="A2182" s="4" t="n">
        <v>12627</v>
      </c>
      <c r="B2182" s="5" t="n">
        <v>44708</v>
      </c>
      <c r="C2182" s="13" t="inlineStr">
        <is>
          <t>VTA</t>
        </is>
      </c>
      <c r="D2182" s="13" t="n">
        <v>42</v>
      </c>
      <c r="E2182" s="10">
        <f>IF(D2182&gt;0,VLOOKUP(OPERAC[[#This Row],[COD CART]],[1]!MatrizCortoLargoCyl[#All],3,0),"")</f>
        <v/>
      </c>
      <c r="F2182" s="13" t="inlineStr">
        <is>
          <t>ACB</t>
        </is>
      </c>
      <c r="G2182" s="6" t="n">
        <v>200</v>
      </c>
      <c r="H2182" s="6" t="n">
        <v>-365.064157761</v>
      </c>
      <c r="I2182" s="7">
        <f>-H2182/G2182</f>
        <v/>
      </c>
      <c r="J2182" s="5" t="n"/>
      <c r="K2182" s="6" t="n"/>
      <c r="L2182" s="6" t="n"/>
      <c r="M2182" s="7">
        <f>IF(N2182=0,+L2182+H2182,0)</f>
        <v/>
      </c>
      <c r="N2182" s="7">
        <f>IF((+G2182-K2182)=0,0,+G2182-K2182)</f>
        <v/>
      </c>
      <c r="O2182" s="7">
        <f>IF(N2182=0,0,(L2182+H2182)/-N2182)</f>
        <v/>
      </c>
      <c r="P2182" s="7">
        <f>VLOOKUP(OPERAC[[#This Row],[especie]],[1]!ESPECIES[#All],6,0)</f>
        <v/>
      </c>
      <c r="Q2182" s="7">
        <f>IF(N2182&lt;&gt;0,P2182*N2182,0)</f>
        <v/>
      </c>
      <c r="R2182" s="8">
        <f>IF(Q2182&lt;&gt;0,Q2182+H2182+L2182,0)</f>
        <v/>
      </c>
      <c r="S2182" s="9">
        <f>VLOOKUP(OPERAC[[#This Row],[especie]],[1]!ESPECIES[#Data],9,FALSE)</f>
        <v/>
      </c>
    </row>
    <row r="2183">
      <c r="A2183" s="4" t="n">
        <v>12652</v>
      </c>
      <c r="B2183" s="5" t="n">
        <v>44708</v>
      </c>
      <c r="C2183" s="13" t="inlineStr">
        <is>
          <t>VTA</t>
        </is>
      </c>
      <c r="D2183" s="13" t="n">
        <v>42</v>
      </c>
      <c r="E2183" s="10">
        <f>IF(D2183&gt;0,VLOOKUP(OPERAC[[#This Row],[COD CART]],[1]!MatrizCortoLargoCyl[#All],3,0),"")</f>
        <v/>
      </c>
      <c r="F2183" s="13" t="inlineStr">
        <is>
          <t>ACB</t>
        </is>
      </c>
      <c r="G2183" s="6" t="n">
        <v>200</v>
      </c>
      <c r="H2183" s="6" t="n">
        <v>-365.064157761</v>
      </c>
      <c r="I2183" s="7">
        <f>-H2183/G2183</f>
        <v/>
      </c>
      <c r="J2183" s="5" t="n"/>
      <c r="K2183" s="6" t="n"/>
      <c r="L2183" s="6" t="n"/>
      <c r="M2183" s="7">
        <f>IF(N2183=0,+L2183+H2183,0)</f>
        <v/>
      </c>
      <c r="N2183" s="7">
        <f>IF((+G2183-K2183)=0,0,+G2183-K2183)</f>
        <v/>
      </c>
      <c r="O2183" s="7">
        <f>IF(N2183=0,0,(L2183+H2183)/-N2183)</f>
        <v/>
      </c>
      <c r="P2183" s="7">
        <f>VLOOKUP(OPERAC[[#This Row],[especie]],[1]!ESPECIES[#All],6,0)</f>
        <v/>
      </c>
      <c r="Q2183" s="7">
        <f>IF(N2183&lt;&gt;0,P2183*N2183,0)</f>
        <v/>
      </c>
      <c r="R2183" s="8">
        <f>IF(Q2183&lt;&gt;0,Q2183+H2183+L2183,0)</f>
        <v/>
      </c>
      <c r="S2183" s="9">
        <f>VLOOKUP(OPERAC[[#This Row],[especie]],[1]!ESPECIES[#Data],9,FALSE)</f>
        <v/>
      </c>
    </row>
    <row r="2184">
      <c r="A2184" s="4" t="n">
        <v>12655</v>
      </c>
      <c r="B2184" s="5" t="n">
        <v>44708</v>
      </c>
      <c r="C2184" s="13" t="inlineStr">
        <is>
          <t>VTA</t>
        </is>
      </c>
      <c r="D2184" s="13" t="n">
        <v>42</v>
      </c>
      <c r="E2184" s="10">
        <f>IF(D2184&gt;0,VLOOKUP(OPERAC[[#This Row],[COD CART]],[1]!MatrizCortoLargoCyl[#All],3,0),"")</f>
        <v/>
      </c>
      <c r="F2184" s="13" t="inlineStr">
        <is>
          <t>ACB</t>
        </is>
      </c>
      <c r="G2184" s="6" t="n">
        <v>200</v>
      </c>
      <c r="H2184" s="6" t="n">
        <v>-365.064157761</v>
      </c>
      <c r="I2184" s="7">
        <f>-H2184/G2184</f>
        <v/>
      </c>
      <c r="J2184" s="5" t="n"/>
      <c r="K2184" s="6" t="n"/>
      <c r="L2184" s="6" t="n"/>
      <c r="M2184" s="7">
        <f>IF(N2184=0,+L2184+H2184,0)</f>
        <v/>
      </c>
      <c r="N2184" s="7">
        <f>IF((+G2184-K2184)=0,0,+G2184-K2184)</f>
        <v/>
      </c>
      <c r="O2184" s="7">
        <f>IF(N2184=0,0,(L2184+H2184)/-N2184)</f>
        <v/>
      </c>
      <c r="P2184" s="7">
        <f>VLOOKUP(OPERAC[[#This Row],[especie]],[1]!ESPECIES[#All],6,0)</f>
        <v/>
      </c>
      <c r="Q2184" s="7">
        <f>IF(N2184&lt;&gt;0,P2184*N2184,0)</f>
        <v/>
      </c>
      <c r="R2184" s="8">
        <f>IF(Q2184&lt;&gt;0,Q2184+H2184+L2184,0)</f>
        <v/>
      </c>
      <c r="S2184" s="9">
        <f>VLOOKUP(OPERAC[[#This Row],[especie]],[1]!ESPECIES[#Data],9,FALSE)</f>
        <v/>
      </c>
    </row>
    <row r="2185">
      <c r="A2185" s="4" t="n">
        <v>12662</v>
      </c>
      <c r="B2185" s="5" t="n">
        <v>44708</v>
      </c>
      <c r="C2185" s="13" t="inlineStr">
        <is>
          <t>VTA</t>
        </is>
      </c>
      <c r="D2185" s="13" t="n">
        <v>42</v>
      </c>
      <c r="E2185" s="10">
        <f>IF(D2185&gt;0,VLOOKUP(OPERAC[[#This Row],[COD CART]],[1]!MatrizCortoLargoCyl[#All],3,0),"")</f>
        <v/>
      </c>
      <c r="F2185" s="13" t="inlineStr">
        <is>
          <t>ACB</t>
        </is>
      </c>
      <c r="G2185" s="6" t="n">
        <v>200</v>
      </c>
      <c r="H2185" s="6" t="n">
        <v>-365.064157761</v>
      </c>
      <c r="I2185" s="7">
        <f>-H2185/G2185</f>
        <v/>
      </c>
      <c r="J2185" s="5" t="n"/>
      <c r="K2185" s="6" t="n"/>
      <c r="L2185" s="6" t="n"/>
      <c r="M2185" s="7">
        <f>IF(N2185=0,+L2185+H2185,0)</f>
        <v/>
      </c>
      <c r="N2185" s="7">
        <f>IF((+G2185-K2185)=0,0,+G2185-K2185)</f>
        <v/>
      </c>
      <c r="O2185" s="7">
        <f>IF(N2185=0,0,(L2185+H2185)/-N2185)</f>
        <v/>
      </c>
      <c r="P2185" s="7">
        <f>VLOOKUP(OPERAC[[#This Row],[especie]],[1]!ESPECIES[#All],6,0)</f>
        <v/>
      </c>
      <c r="Q2185" s="7">
        <f>IF(N2185&lt;&gt;0,P2185*N2185,0)</f>
        <v/>
      </c>
      <c r="R2185" s="8">
        <f>IF(Q2185&lt;&gt;0,Q2185+H2185+L2185,0)</f>
        <v/>
      </c>
      <c r="S2185" s="9">
        <f>VLOOKUP(OPERAC[[#This Row],[especie]],[1]!ESPECIES[#Data],9,FALSE)</f>
        <v/>
      </c>
    </row>
    <row r="2186">
      <c r="A2186" s="4" t="n">
        <v>12672</v>
      </c>
      <c r="B2186" s="5" t="n">
        <v>44708</v>
      </c>
      <c r="C2186" s="13" t="inlineStr">
        <is>
          <t>VTA</t>
        </is>
      </c>
      <c r="D2186" s="13" t="n">
        <v>42</v>
      </c>
      <c r="E2186" s="10">
        <f>IF(D2186&gt;0,VLOOKUP(OPERAC[[#This Row],[COD CART]],[1]!MatrizCortoLargoCyl[#All],3,0),"")</f>
        <v/>
      </c>
      <c r="F2186" s="13" t="inlineStr">
        <is>
          <t>ACB</t>
        </is>
      </c>
      <c r="G2186" s="6" t="n">
        <v>200</v>
      </c>
      <c r="H2186" s="6" t="n">
        <v>-365.064157761</v>
      </c>
      <c r="I2186" s="7">
        <f>-H2186/G2186</f>
        <v/>
      </c>
      <c r="J2186" s="5" t="n"/>
      <c r="K2186" s="6" t="n"/>
      <c r="L2186" s="6" t="n"/>
      <c r="M2186" s="7">
        <f>IF(N2186=0,+L2186+H2186,0)</f>
        <v/>
      </c>
      <c r="N2186" s="7">
        <f>IF((+G2186-K2186)=0,0,+G2186-K2186)</f>
        <v/>
      </c>
      <c r="O2186" s="7">
        <f>IF(N2186=0,0,(L2186+H2186)/-N2186)</f>
        <v/>
      </c>
      <c r="P2186" s="7">
        <f>VLOOKUP(OPERAC[[#This Row],[especie]],[1]!ESPECIES[#All],6,0)</f>
        <v/>
      </c>
      <c r="Q2186" s="7">
        <f>IF(N2186&lt;&gt;0,P2186*N2186,0)</f>
        <v/>
      </c>
      <c r="R2186" s="8">
        <f>IF(Q2186&lt;&gt;0,Q2186+H2186+L2186,0)</f>
        <v/>
      </c>
      <c r="S2186" s="9">
        <f>VLOOKUP(OPERAC[[#This Row],[especie]],[1]!ESPECIES[#Data],9,FALSE)</f>
        <v/>
      </c>
    </row>
    <row r="2187">
      <c r="A2187" s="4" t="n">
        <v>12688</v>
      </c>
      <c r="B2187" s="5" t="n">
        <v>44708</v>
      </c>
      <c r="C2187" s="13" t="inlineStr">
        <is>
          <t>VTA</t>
        </is>
      </c>
      <c r="D2187" s="13" t="n">
        <v>42</v>
      </c>
      <c r="E2187" s="10">
        <f>IF(D2187&gt;0,VLOOKUP(OPERAC[[#This Row],[COD CART]],[1]!MatrizCortoLargoCyl[#All],3,0),"")</f>
        <v/>
      </c>
      <c r="F2187" s="13" t="inlineStr">
        <is>
          <t>ACB</t>
        </is>
      </c>
      <c r="G2187" s="6" t="n">
        <v>200</v>
      </c>
      <c r="H2187" s="6" t="n">
        <v>-365.064157761</v>
      </c>
      <c r="I2187" s="7">
        <f>-H2187/G2187</f>
        <v/>
      </c>
      <c r="J2187" s="5" t="n">
        <v>44713</v>
      </c>
      <c r="K2187" s="6" t="n">
        <v>200</v>
      </c>
      <c r="L2187" s="6" t="n">
        <v>301.813</v>
      </c>
      <c r="M2187" s="7">
        <f>IF(N2187=0,+L2187+H2187,0)</f>
        <v/>
      </c>
      <c r="N2187" s="7">
        <f>IF((+G2187-K2187)=0,0,+G2187-K2187)</f>
        <v/>
      </c>
      <c r="O2187" s="7">
        <f>IF(N2187=0,0,(L2187+H2187)/-N2187)</f>
        <v/>
      </c>
      <c r="P2187" s="7">
        <f>VLOOKUP(OPERAC[[#This Row],[especie]],[1]!ESPECIES[#All],6,0)</f>
        <v/>
      </c>
      <c r="Q2187" s="7">
        <f>IF(N2187&lt;&gt;0,P2187*N2187,0)</f>
        <v/>
      </c>
      <c r="R2187" s="8">
        <f>IF(Q2187&lt;&gt;0,Q2187+H2187+L2187,0)</f>
        <v/>
      </c>
      <c r="S2187" s="9">
        <f>VLOOKUP(OPERAC[[#This Row],[especie]],[1]!ESPECIES[#Data],9,FALSE)</f>
        <v/>
      </c>
    </row>
    <row r="2188">
      <c r="A2188" s="4" t="n">
        <v>13190</v>
      </c>
      <c r="B2188" s="5" t="n">
        <v>44708</v>
      </c>
      <c r="C2188" s="13" t="inlineStr">
        <is>
          <t>VTA</t>
        </is>
      </c>
      <c r="D2188" s="13" t="n">
        <v>42</v>
      </c>
      <c r="E2188" s="10">
        <f>IF(D2188&gt;0,VLOOKUP(OPERAC[[#This Row],[COD CART]],[1]!MatrizCortoLargoCyl[#All],3,0),"")</f>
        <v/>
      </c>
      <c r="F2188" s="13" t="inlineStr">
        <is>
          <t>ACB</t>
        </is>
      </c>
      <c r="G2188" s="6" t="n">
        <v>200</v>
      </c>
      <c r="H2188" s="6" t="n">
        <v>-365.064157761</v>
      </c>
      <c r="I2188" s="7">
        <f>-H2188/G2188</f>
        <v/>
      </c>
      <c r="J2188" s="5" t="n"/>
      <c r="K2188" s="6" t="n"/>
      <c r="L2188" s="6" t="n"/>
      <c r="M2188" s="7">
        <f>IF(N2188=0,+L2188+H2188,0)</f>
        <v/>
      </c>
      <c r="N2188" s="7">
        <f>IF((+G2188-K2188)=0,0,+G2188-K2188)</f>
        <v/>
      </c>
      <c r="O2188" s="7">
        <f>IF(N2188=0,0,(L2188+H2188)/-N2188)</f>
        <v/>
      </c>
      <c r="P2188" s="7">
        <f>VLOOKUP(OPERAC[[#This Row],[especie]],[1]!ESPECIES[#All],6,0)</f>
        <v/>
      </c>
      <c r="Q2188" s="7">
        <f>IF(N2188&lt;&gt;0,P2188*N2188,0)</f>
        <v/>
      </c>
      <c r="R2188" s="8">
        <f>IF(Q2188&lt;&gt;0,Q2188+H2188+L2188,0)</f>
        <v/>
      </c>
      <c r="S2188" s="9">
        <f>VLOOKUP(OPERAC[[#This Row],[especie]],[1]!ESPECIES[#Data],9,FALSE)</f>
        <v/>
      </c>
    </row>
    <row r="2189">
      <c r="A2189" s="4" t="n">
        <v>13269</v>
      </c>
      <c r="B2189" s="5" t="n">
        <v>44708</v>
      </c>
      <c r="C2189" s="13" t="inlineStr">
        <is>
          <t>VTA</t>
        </is>
      </c>
      <c r="D2189" s="13" t="n">
        <v>42</v>
      </c>
      <c r="E2189" s="10">
        <f>IF(D2189&gt;0,VLOOKUP(OPERAC[[#This Row],[COD CART]],[1]!MatrizCortoLargoCyl[#All],3,0),"")</f>
        <v/>
      </c>
      <c r="F2189" s="13" t="inlineStr">
        <is>
          <t>ACB</t>
        </is>
      </c>
      <c r="G2189" s="6" t="n">
        <v>200</v>
      </c>
      <c r="H2189" s="6" t="n">
        <v>-365.064157761</v>
      </c>
      <c r="I2189" s="7">
        <f>-H2189/G2189</f>
        <v/>
      </c>
      <c r="J2189" s="5" t="n"/>
      <c r="K2189" s="6" t="n"/>
      <c r="L2189" s="6" t="n"/>
      <c r="M2189" s="7">
        <f>IF(N2189=0,+L2189+H2189,0)</f>
        <v/>
      </c>
      <c r="N2189" s="7">
        <f>IF((+G2189-K2189)=0,0,+G2189-K2189)</f>
        <v/>
      </c>
      <c r="O2189" s="7">
        <f>IF(N2189=0,0,(L2189+H2189)/-N2189)</f>
        <v/>
      </c>
      <c r="P2189" s="7">
        <f>VLOOKUP(OPERAC[[#This Row],[especie]],[1]!ESPECIES[#All],6,0)</f>
        <v/>
      </c>
      <c r="Q2189" s="7">
        <f>IF(N2189&lt;&gt;0,P2189*N2189,0)</f>
        <v/>
      </c>
      <c r="R2189" s="8">
        <f>IF(Q2189&lt;&gt;0,Q2189+H2189+L2189,0)</f>
        <v/>
      </c>
      <c r="S2189" s="9">
        <f>VLOOKUP(OPERAC[[#This Row],[especie]],[1]!ESPECIES[#Data],9,FALSE)</f>
        <v/>
      </c>
    </row>
    <row r="2190">
      <c r="A2190" s="4" t="n">
        <v>15195</v>
      </c>
      <c r="B2190" s="5" t="n">
        <v>44708</v>
      </c>
      <c r="C2190" s="13" t="inlineStr">
        <is>
          <t>VTA</t>
        </is>
      </c>
      <c r="D2190" s="13" t="n">
        <v>42</v>
      </c>
      <c r="E2190" s="10">
        <f>IF(D2190&gt;0,VLOOKUP(OPERAC[[#This Row],[COD CART]],[1]!MatrizCortoLargoCyl[#All],3,0),"")</f>
        <v/>
      </c>
      <c r="F2190" s="13" t="inlineStr">
        <is>
          <t>ACB</t>
        </is>
      </c>
      <c r="G2190" s="6" t="n">
        <v>200</v>
      </c>
      <c r="H2190" s="6" t="n">
        <v>-365.064157761</v>
      </c>
      <c r="I2190" s="7">
        <f>-H2190/G2190</f>
        <v/>
      </c>
      <c r="J2190" s="5" t="n"/>
      <c r="K2190" s="6" t="n"/>
      <c r="L2190" s="6" t="n"/>
      <c r="M2190" s="7">
        <f>IF(N2190=0,+L2190+H2190,0)</f>
        <v/>
      </c>
      <c r="N2190" s="7">
        <f>IF((+G2190-K2190)=0,0,+G2190-K2190)</f>
        <v/>
      </c>
      <c r="O2190" s="7">
        <f>IF(N2190=0,0,(L2190+H2190)/-N2190)</f>
        <v/>
      </c>
      <c r="P2190" s="7">
        <f>VLOOKUP(OPERAC[[#This Row],[especie]],[1]!ESPECIES[#All],6,0)</f>
        <v/>
      </c>
      <c r="Q2190" s="7">
        <f>IF(N2190&lt;&gt;0,P2190*N2190,0)</f>
        <v/>
      </c>
      <c r="R2190" s="8">
        <f>IF(Q2190&lt;&gt;0,Q2190+H2190+L2190,0)</f>
        <v/>
      </c>
      <c r="S2190" s="9">
        <f>VLOOKUP(OPERAC[[#This Row],[especie]],[1]!ESPECIES[#Data],9,FALSE)</f>
        <v/>
      </c>
    </row>
    <row r="2191">
      <c r="A2191" s="4" t="n">
        <v>16786</v>
      </c>
      <c r="B2191" s="5" t="n">
        <v>44708</v>
      </c>
      <c r="C2191" s="13" t="inlineStr">
        <is>
          <t>VTA</t>
        </is>
      </c>
      <c r="D2191" s="13" t="n">
        <v>42</v>
      </c>
      <c r="E2191" s="10">
        <f>IF(D2191&gt;0,VLOOKUP(OPERAC[[#This Row],[COD CART]],[1]!MatrizCortoLargoCyl[#All],3,0),"")</f>
        <v/>
      </c>
      <c r="F2191" s="13" t="inlineStr">
        <is>
          <t>ACB</t>
        </is>
      </c>
      <c r="G2191" s="6" t="n">
        <v>200</v>
      </c>
      <c r="H2191" s="6" t="n">
        <v>-365.064157761</v>
      </c>
      <c r="I2191" s="7">
        <f>-H2191/G2191</f>
        <v/>
      </c>
      <c r="J2191" s="5" t="n"/>
      <c r="K2191" s="6" t="n"/>
      <c r="L2191" s="6" t="n"/>
      <c r="M2191" s="7">
        <f>IF(N2191=0,+L2191+H2191,0)</f>
        <v/>
      </c>
      <c r="N2191" s="7">
        <f>IF((+G2191-K2191)=0,0,+G2191-K2191)</f>
        <v/>
      </c>
      <c r="O2191" s="7">
        <f>IF(N2191=0,0,(L2191+H2191)/-N2191)</f>
        <v/>
      </c>
      <c r="P2191" s="7">
        <f>VLOOKUP(OPERAC[[#This Row],[especie]],[1]!ESPECIES[#All],6,0)</f>
        <v/>
      </c>
      <c r="Q2191" s="7">
        <f>IF(N2191&lt;&gt;0,P2191*N2191,0)</f>
        <v/>
      </c>
      <c r="R2191" s="8">
        <f>IF(Q2191&lt;&gt;0,Q2191+H2191+L2191,0)</f>
        <v/>
      </c>
      <c r="S2191" s="9">
        <f>VLOOKUP(OPERAC[[#This Row],[especie]],[1]!ESPECIES[#Data],9,FALSE)</f>
        <v/>
      </c>
    </row>
    <row r="2192">
      <c r="A2192" s="4" t="n">
        <v>18663</v>
      </c>
      <c r="B2192" s="5" t="n">
        <v>44713</v>
      </c>
      <c r="C2192" s="13" t="inlineStr">
        <is>
          <t>VTA</t>
        </is>
      </c>
      <c r="D2192" s="13" t="n">
        <v>41</v>
      </c>
      <c r="E2192" s="10">
        <f>IF(D2192&gt;0,VLOOKUP(OPERAC[[#This Row],[COD CART]],[1]!MatrizCortoLargoCyl[#All],3,0),"")</f>
        <v/>
      </c>
      <c r="F2192" s="13" t="inlineStr">
        <is>
          <t>MPW</t>
        </is>
      </c>
      <c r="G2192" s="6" t="n">
        <v>20</v>
      </c>
      <c r="H2192" s="6" t="n">
        <v>-365.58125</v>
      </c>
      <c r="I2192" s="7">
        <f>-H2192/G2192</f>
        <v/>
      </c>
      <c r="J2192" s="5" t="n"/>
      <c r="K2192" s="6" t="n"/>
      <c r="L2192" s="6" t="n"/>
      <c r="M2192" s="7">
        <f>IF(N2192=0,+L2192+H2192,0)</f>
        <v/>
      </c>
      <c r="N2192" s="7">
        <f>IF((+G2192-K2192)=0,0,+G2192-K2192)</f>
        <v/>
      </c>
      <c r="O2192" s="7">
        <f>IF(N2192=0,0,(L2192+H2192)/-N2192)</f>
        <v/>
      </c>
      <c r="P2192" s="7">
        <f>VLOOKUP(OPERAC[[#This Row],[especie]],[1]!ESPECIES[#All],6,0)</f>
        <v/>
      </c>
      <c r="Q2192" s="7">
        <f>IF(N2192&lt;&gt;0,P2192*N2192,0)</f>
        <v/>
      </c>
      <c r="R2192" s="8">
        <f>IF(Q2192&lt;&gt;0,Q2192+H2192+L2192,0)</f>
        <v/>
      </c>
      <c r="S2192" s="9">
        <f>VLOOKUP(OPERAC[[#This Row],[especie]],[1]!ESPECIES[#Data],9,FALSE)</f>
        <v/>
      </c>
    </row>
    <row r="2193">
      <c r="A2193" s="4" t="n">
        <v>2306</v>
      </c>
      <c r="B2193" s="5" t="n">
        <v>44671</v>
      </c>
      <c r="C2193" s="13" t="inlineStr">
        <is>
          <t>VTA</t>
        </is>
      </c>
      <c r="D2193" s="13" t="n">
        <v>42</v>
      </c>
      <c r="E2193" s="10">
        <f>IF(D2193&gt;0,VLOOKUP(OPERAC[[#This Row],[COD CART]],[1]!MatrizCortoLargoCyl[#All],3,0),"")</f>
        <v/>
      </c>
      <c r="F2193" s="13" t="inlineStr">
        <is>
          <t>TLT</t>
        </is>
      </c>
      <c r="G2193" s="6" t="n">
        <v>3</v>
      </c>
      <c r="H2193" s="6" t="n">
        <v>-367.689015</v>
      </c>
      <c r="I2193" s="7">
        <f>-H2193/G2193</f>
        <v/>
      </c>
      <c r="J2193" s="11" t="n"/>
      <c r="K2193" s="6" t="n"/>
      <c r="L2193" s="6" t="n"/>
      <c r="M2193" s="7">
        <f>IF(N2193=0,+L2193+H2193,0)</f>
        <v/>
      </c>
      <c r="N2193" s="7">
        <f>IF((+G2193-K2193)=0,0,+G2193-K2193)</f>
        <v/>
      </c>
      <c r="O2193" s="7">
        <f>IF(N2193=0,0,(L2193+H2193)/-N2193)</f>
        <v/>
      </c>
      <c r="P2193" s="7">
        <f>VLOOKUP(OPERAC[[#This Row],[especie]],[1]!ESPECIES[#All],6,0)</f>
        <v/>
      </c>
      <c r="Q2193" s="7">
        <f>IF(N2193&lt;&gt;0,P2193*N2193,0)</f>
        <v/>
      </c>
      <c r="R2193" s="8">
        <f>IF(Q2193&lt;&gt;0,Q2193+H2193+L2193,0)</f>
        <v/>
      </c>
      <c r="S2193" s="9">
        <f>VLOOKUP(OPERAC[[#This Row],[especie]],[1]!ESPECIES[#Data],9,FALSE)</f>
        <v/>
      </c>
    </row>
    <row r="2194">
      <c r="A2194" s="4" t="n">
        <v>8066</v>
      </c>
      <c r="B2194" s="5" t="n">
        <v>44671</v>
      </c>
      <c r="C2194" s="13" t="inlineStr">
        <is>
          <t>VTA</t>
        </is>
      </c>
      <c r="D2194" s="13" t="n">
        <v>42</v>
      </c>
      <c r="E2194" s="10">
        <f>IF(D2194&gt;0,VLOOKUP(OPERAC[[#This Row],[COD CART]],[1]!MatrizCortoLargoCyl[#All],3,0),"")</f>
        <v/>
      </c>
      <c r="F2194" s="13" t="inlineStr">
        <is>
          <t>TLT</t>
        </is>
      </c>
      <c r="G2194" s="6" t="n">
        <v>3</v>
      </c>
      <c r="H2194" s="6" t="n">
        <v>-367.689015</v>
      </c>
      <c r="I2194" s="7">
        <f>-H2194/G2194</f>
        <v/>
      </c>
      <c r="J2194" s="11" t="n"/>
      <c r="K2194" s="6" t="n"/>
      <c r="L2194" s="6" t="n"/>
      <c r="M2194" s="7">
        <f>IF(N2194=0,+L2194+H2194,0)</f>
        <v/>
      </c>
      <c r="N2194" s="7">
        <f>IF((+G2194-K2194)=0,0,+G2194-K2194)</f>
        <v/>
      </c>
      <c r="O2194" s="7">
        <f>IF(N2194=0,0,(L2194+H2194)/-N2194)</f>
        <v/>
      </c>
      <c r="P2194" s="7">
        <f>VLOOKUP(OPERAC[[#This Row],[especie]],[1]!ESPECIES[#All],6,0)</f>
        <v/>
      </c>
      <c r="Q2194" s="7">
        <f>IF(N2194&lt;&gt;0,P2194*N2194,0)</f>
        <v/>
      </c>
      <c r="R2194" s="8">
        <f>IF(Q2194&lt;&gt;0,Q2194+H2194+L2194,0)</f>
        <v/>
      </c>
      <c r="S2194" s="9">
        <f>VLOOKUP(OPERAC[[#This Row],[especie]],[1]!ESPECIES[#Data],9,FALSE)</f>
        <v/>
      </c>
    </row>
    <row r="2195">
      <c r="A2195" s="4" t="n">
        <v>13230</v>
      </c>
      <c r="B2195" s="5" t="n">
        <v>44671</v>
      </c>
      <c r="C2195" s="13" t="inlineStr">
        <is>
          <t>VTA</t>
        </is>
      </c>
      <c r="D2195" s="13" t="n">
        <v>42</v>
      </c>
      <c r="E2195" s="10">
        <f>IF(D2195&gt;0,VLOOKUP(OPERAC[[#This Row],[COD CART]],[1]!MatrizCortoLargoCyl[#All],3,0),"")</f>
        <v/>
      </c>
      <c r="F2195" s="13" t="inlineStr">
        <is>
          <t>TLT</t>
        </is>
      </c>
      <c r="G2195" s="6" t="n">
        <v>3</v>
      </c>
      <c r="H2195" s="6" t="n">
        <v>-367.689015</v>
      </c>
      <c r="I2195" s="7">
        <f>-H2195/G2195</f>
        <v/>
      </c>
      <c r="J2195" s="11" t="n">
        <v>44708</v>
      </c>
      <c r="K2195" s="6" t="n">
        <v>3</v>
      </c>
      <c r="L2195" s="6" t="n">
        <v>355.18</v>
      </c>
      <c r="M2195" s="7">
        <f>IF(N2195=0,+L2195+H2195,0)</f>
        <v/>
      </c>
      <c r="N2195" s="7">
        <f>IF((+G2195-K2195)=0,0,+G2195-K2195)</f>
        <v/>
      </c>
      <c r="O2195" s="7">
        <f>IF(N2195=0,0,(L2195+H2195)/-N2195)</f>
        <v/>
      </c>
      <c r="P2195" s="7">
        <f>VLOOKUP(OPERAC[[#This Row],[especie]],[1]!ESPECIES[#All],6,0)</f>
        <v/>
      </c>
      <c r="Q2195" s="7">
        <f>IF(N2195&lt;&gt;0,P2195*N2195,0)</f>
        <v/>
      </c>
      <c r="R2195" s="8">
        <f>IF(Q2195&lt;&gt;0,Q2195+H2195+L2195,0)</f>
        <v/>
      </c>
      <c r="S2195" s="9">
        <f>VLOOKUP(OPERAC[[#This Row],[especie]],[1]!ESPECIES[#Data],9,FALSE)</f>
        <v/>
      </c>
    </row>
    <row r="2196">
      <c r="A2196" s="4" t="n">
        <v>20234</v>
      </c>
      <c r="B2196" s="5" t="n">
        <v>44671</v>
      </c>
      <c r="C2196" s="13" t="inlineStr">
        <is>
          <t>VTA</t>
        </is>
      </c>
      <c r="D2196" s="13" t="n">
        <v>42</v>
      </c>
      <c r="E2196" s="10">
        <f>IF(D2196&gt;0,VLOOKUP(OPERAC[[#This Row],[COD CART]],[1]!MatrizCortoLargoCyl[#All],3,0),"")</f>
        <v/>
      </c>
      <c r="F2196" s="13" t="inlineStr">
        <is>
          <t>TLT</t>
        </is>
      </c>
      <c r="G2196" s="6" t="n">
        <v>3</v>
      </c>
      <c r="H2196" s="6" t="n">
        <v>-367.689015</v>
      </c>
      <c r="I2196" s="7">
        <f>-H2196/G2196</f>
        <v/>
      </c>
      <c r="J2196" s="11" t="n"/>
      <c r="K2196" s="6" t="n"/>
      <c r="L2196" s="6" t="n"/>
      <c r="M2196" s="7">
        <f>IF(N2196=0,+L2196+H2196,0)</f>
        <v/>
      </c>
      <c r="N2196" s="7">
        <f>IF((+G2196-K2196)=0,0,+G2196-K2196)</f>
        <v/>
      </c>
      <c r="O2196" s="7">
        <f>IF(N2196=0,0,(L2196+H2196)/-N2196)</f>
        <v/>
      </c>
      <c r="P2196" s="7">
        <f>VLOOKUP(OPERAC[[#This Row],[especie]],[1]!ESPECIES[#All],6,0)</f>
        <v/>
      </c>
      <c r="Q2196" s="7">
        <f>IF(N2196&lt;&gt;0,P2196*N2196,0)</f>
        <v/>
      </c>
      <c r="R2196" s="8">
        <f>IF(Q2196&lt;&gt;0,Q2196+H2196+L2196,0)</f>
        <v/>
      </c>
      <c r="S2196" s="9">
        <f>VLOOKUP(OPERAC[[#This Row],[especie]],[1]!ESPECIES[#Data],9,FALSE)</f>
        <v/>
      </c>
    </row>
    <row r="2197">
      <c r="A2197" s="4" t="n">
        <v>7867</v>
      </c>
      <c r="B2197" s="5" t="n">
        <v>44671</v>
      </c>
      <c r="C2197" s="13" t="inlineStr">
        <is>
          <t>VTA</t>
        </is>
      </c>
      <c r="D2197" s="13" t="n">
        <v>42</v>
      </c>
      <c r="E2197" s="10">
        <f>IF(D2197&gt;0,VLOOKUP(OPERAC[[#This Row],[COD CART]],[1]!MatrizCortoLargoCyl[#All],3,0),"")</f>
        <v/>
      </c>
      <c r="F2197" s="13" t="inlineStr">
        <is>
          <t>TLT</t>
        </is>
      </c>
      <c r="G2197" s="6" t="n">
        <v>3</v>
      </c>
      <c r="H2197" s="6" t="n">
        <v>-367.689015</v>
      </c>
      <c r="I2197" s="7">
        <f>-H2197/G2197</f>
        <v/>
      </c>
      <c r="J2197" s="11" t="n">
        <v>44704</v>
      </c>
      <c r="K2197" s="6" t="n">
        <v>3</v>
      </c>
      <c r="L2197" s="6" t="n">
        <v>349.742</v>
      </c>
      <c r="M2197" s="7">
        <f>IF(N2197=0,+L2197+H2197,0)</f>
        <v/>
      </c>
      <c r="N2197" s="7">
        <f>IF((+G2197-K2197)=0,0,+G2197-K2197)</f>
        <v/>
      </c>
      <c r="O2197" s="7">
        <f>IF(N2197=0,0,(L2197+H2197)/-N2197)</f>
        <v/>
      </c>
      <c r="P2197" s="7">
        <f>VLOOKUP(OPERAC[[#This Row],[especie]],[1]!ESPECIES[#All],6,0)</f>
        <v/>
      </c>
      <c r="Q2197" s="7">
        <f>IF(N2197&lt;&gt;0,P2197*N2197,0)</f>
        <v/>
      </c>
      <c r="R2197" s="8">
        <f>IF(Q2197&lt;&gt;0,Q2197+H2197+L2197,0)</f>
        <v/>
      </c>
      <c r="S2197" s="9">
        <f>VLOOKUP(OPERAC[[#This Row],[especie]],[1]!ESPECIES[#Data],9,FALSE)</f>
        <v/>
      </c>
    </row>
    <row r="2198">
      <c r="A2198" s="4" t="n">
        <v>13185</v>
      </c>
      <c r="B2198" s="5" t="n">
        <v>44671</v>
      </c>
      <c r="C2198" s="13" t="inlineStr">
        <is>
          <t>VTA</t>
        </is>
      </c>
      <c r="D2198" s="13" t="n">
        <v>42</v>
      </c>
      <c r="E2198" s="10">
        <f>IF(D2198&gt;0,VLOOKUP(OPERAC[[#This Row],[COD CART]],[1]!MatrizCortoLargoCyl[#All],3,0),"")</f>
        <v/>
      </c>
      <c r="F2198" s="13" t="inlineStr">
        <is>
          <t>TLT</t>
        </is>
      </c>
      <c r="G2198" s="6" t="n">
        <v>3</v>
      </c>
      <c r="H2198" s="6" t="n">
        <v>-367.689015</v>
      </c>
      <c r="I2198" s="7">
        <f>-H2198/G2198</f>
        <v/>
      </c>
      <c r="J2198" s="11" t="n">
        <v>44704</v>
      </c>
      <c r="K2198" s="6" t="n">
        <v>3</v>
      </c>
      <c r="L2198" s="6">
        <f>+OPERAC[[#This Row],[cantidad venta]]*115.779</f>
        <v/>
      </c>
      <c r="M2198" s="7">
        <f>IF(N2198=0,+L2198+H2198,0)</f>
        <v/>
      </c>
      <c r="N2198" s="7">
        <f>IF((+G2198-K2198)=0,0,+G2198-K2198)</f>
        <v/>
      </c>
      <c r="O2198" s="7">
        <f>IF(N2198=0,0,(L2198+H2198)/-N2198)</f>
        <v/>
      </c>
      <c r="P2198" s="7">
        <f>VLOOKUP(OPERAC[[#This Row],[especie]],[1]!ESPECIES[#All],6,0)</f>
        <v/>
      </c>
      <c r="Q2198" s="7">
        <f>IF(N2198&lt;&gt;0,P2198*N2198,0)</f>
        <v/>
      </c>
      <c r="R2198" s="8">
        <f>IF(Q2198&lt;&gt;0,Q2198+H2198+L2198,0)</f>
        <v/>
      </c>
      <c r="S2198" s="9">
        <f>VLOOKUP(OPERAC[[#This Row],[especie]],[1]!ESPECIES[#Data],9,FALSE)</f>
        <v/>
      </c>
    </row>
    <row r="2199">
      <c r="A2199" s="4" t="n">
        <v>7493</v>
      </c>
      <c r="B2199" s="5" t="n">
        <v>44671</v>
      </c>
      <c r="C2199" s="13" t="inlineStr">
        <is>
          <t>VTA</t>
        </is>
      </c>
      <c r="D2199" s="13" t="n">
        <v>42</v>
      </c>
      <c r="E2199" s="10">
        <f>IF(D2199&gt;0,VLOOKUP(OPERAC[[#This Row],[COD CART]],[1]!MatrizCortoLargoCyl[#All],3,0),"")</f>
        <v/>
      </c>
      <c r="F2199" s="13" t="inlineStr">
        <is>
          <t>TLT</t>
        </is>
      </c>
      <c r="G2199" s="6" t="n">
        <v>3</v>
      </c>
      <c r="H2199" s="6" t="n">
        <v>-367.689015</v>
      </c>
      <c r="I2199" s="7">
        <f>-H2199/G2199</f>
        <v/>
      </c>
      <c r="J2199" s="11" t="n">
        <v>44704</v>
      </c>
      <c r="K2199" s="6" t="n">
        <v>3</v>
      </c>
      <c r="L2199" s="6" t="n">
        <v>349.742</v>
      </c>
      <c r="M2199" s="7">
        <f>IF(N2199=0,+L2199+H2199,0)</f>
        <v/>
      </c>
      <c r="N2199" s="7">
        <f>IF((+G2199-K2199)=0,0,+G2199-K2199)</f>
        <v/>
      </c>
      <c r="O2199" s="7">
        <f>IF(N2199=0,0,(L2199+H2199)/-N2199)</f>
        <v/>
      </c>
      <c r="P2199" s="7">
        <f>VLOOKUP(OPERAC[[#This Row],[especie]],[1]!ESPECIES[#All],6,0)</f>
        <v/>
      </c>
      <c r="Q2199" s="7">
        <f>IF(N2199&lt;&gt;0,P2199*N2199,0)</f>
        <v/>
      </c>
      <c r="R2199" s="8">
        <f>IF(Q2199&lt;&gt;0,Q2199+H2199+L2199,0)</f>
        <v/>
      </c>
      <c r="S2199" s="9">
        <f>VLOOKUP(OPERAC[[#This Row],[especie]],[1]!ESPECIES[#Data],9,FALSE)</f>
        <v/>
      </c>
    </row>
    <row r="2200">
      <c r="A2200" s="4" t="n">
        <v>1779</v>
      </c>
      <c r="B2200" s="5" t="n">
        <v>44531</v>
      </c>
      <c r="C2200" s="13" t="inlineStr">
        <is>
          <t>VTA</t>
        </is>
      </c>
      <c r="D2200" s="13" t="n">
        <v>41</v>
      </c>
      <c r="E2200" s="10">
        <f>IF(D2200&gt;0,VLOOKUP(OPERAC[[#This Row],[COD CART]],[1]!MatrizCortoLargoCyl[#All],3,0),"")</f>
        <v/>
      </c>
      <c r="F2200" s="13" t="inlineStr">
        <is>
          <t>JEPI</t>
        </is>
      </c>
      <c r="G2200" s="6" t="n">
        <v>6</v>
      </c>
      <c r="H2200" s="6" t="n">
        <v>-367.69</v>
      </c>
      <c r="I2200" s="7">
        <f>-H2200/G2200</f>
        <v/>
      </c>
      <c r="J2200" s="11" t="n">
        <v>44629</v>
      </c>
      <c r="K2200" s="6" t="n">
        <v>6</v>
      </c>
      <c r="L2200" s="6" t="n">
        <v>349.394</v>
      </c>
      <c r="M2200" s="7">
        <f>IF(N2200=0,+L2200+H2200,0)</f>
        <v/>
      </c>
      <c r="N2200" s="7">
        <f>IF((+G2200-K2200)=0,0,+G2200-K2200)</f>
        <v/>
      </c>
      <c r="O2200" s="7">
        <f>IF(N2200=0,0,(L2200+H2200)/-N2200)</f>
        <v/>
      </c>
      <c r="P2200" s="7">
        <f>VLOOKUP(OPERAC[[#This Row],[especie]],[1]!ESPECIES[#All],6,0)</f>
        <v/>
      </c>
      <c r="Q2200" s="7">
        <f>IF(N2200&lt;&gt;0,P2200*N2200,0)</f>
        <v/>
      </c>
      <c r="R2200" s="8">
        <f>IF(Q2200&lt;&gt;0,Q2200+H2200+L2200,0)</f>
        <v/>
      </c>
      <c r="S2200" s="9">
        <f>VLOOKUP(OPERAC[[#This Row],[especie]],[1]!ESPECIES[#Data],9,FALSE)</f>
        <v/>
      </c>
    </row>
    <row r="2201">
      <c r="A2201" s="4" t="n">
        <v>18726</v>
      </c>
      <c r="B2201" s="5" t="n">
        <v>44572</v>
      </c>
      <c r="C2201" s="13" t="inlineStr">
        <is>
          <t>VTA</t>
        </is>
      </c>
      <c r="D2201" s="13" t="n">
        <v>40</v>
      </c>
      <c r="E2201" s="10">
        <f>IF(D2201&gt;0,VLOOKUP(OPERAC[[#This Row],[COD CART]],[1]!MatrizCortoLargoCyl[#All],3,0),"")</f>
        <v/>
      </c>
      <c r="F2201" s="13" t="inlineStr">
        <is>
          <t>ROKU</t>
        </is>
      </c>
      <c r="G2201" s="6" t="n">
        <v>2</v>
      </c>
      <c r="H2201" s="6" t="n">
        <v>-368.779</v>
      </c>
      <c r="I2201" s="7">
        <f>-H2201/G2201</f>
        <v/>
      </c>
      <c r="J2201" s="11" t="n">
        <v>44606</v>
      </c>
      <c r="K2201" s="6">
        <f>+OPERAC[[#This Row],[cantidad]]</f>
        <v/>
      </c>
      <c r="L2201" s="6">
        <f>+OPERAC[[#This Row],[cantidad venta]]*160.574</f>
        <v/>
      </c>
      <c r="M2201" s="7">
        <f>IF(N2201=0,+L2201+H2201,0)</f>
        <v/>
      </c>
      <c r="N2201" s="7">
        <f>IF((+G2201-K2201)=0,0,+G2201-K2201)</f>
        <v/>
      </c>
      <c r="O2201" s="7">
        <f>IF(N2201=0,0,(L2201+H2201)/-N2201)</f>
        <v/>
      </c>
      <c r="P2201" s="7">
        <f>VLOOKUP(OPERAC[[#This Row],[especie]],[1]!ESPECIES[#All],6,0)</f>
        <v/>
      </c>
      <c r="Q2201" s="7">
        <f>IF(N2201&lt;&gt;0,P2201*N2201,0)</f>
        <v/>
      </c>
      <c r="R2201" s="8">
        <f>IF(Q2201&lt;&gt;0,Q2201+H2201+L2201,0)</f>
        <v/>
      </c>
      <c r="S2201" s="9">
        <f>VLOOKUP(OPERAC[[#This Row],[especie]],[1]!ESPECIES[#Data],9,FALSE)</f>
        <v/>
      </c>
    </row>
    <row r="2202">
      <c r="A2202" s="4" t="n">
        <v>7916</v>
      </c>
      <c r="B2202" s="5" t="n">
        <v>44655</v>
      </c>
      <c r="C2202" s="13" t="inlineStr">
        <is>
          <t>VTA</t>
        </is>
      </c>
      <c r="D2202" s="13" t="n">
        <v>31</v>
      </c>
      <c r="E2202" s="10">
        <f>IF(D2202&gt;0,VLOOKUP(OPERAC[[#This Row],[COD CART]],[1]!MatrizCortoLargoCyl[#All],3,0),"")</f>
        <v/>
      </c>
      <c r="F2202" s="13" t="inlineStr">
        <is>
          <t>BBAR</t>
        </is>
      </c>
      <c r="G2202" s="6" t="n">
        <v>100</v>
      </c>
      <c r="H2202" s="6" t="n">
        <v>-369.0248</v>
      </c>
      <c r="I2202" s="7">
        <f>-H2202/G2202</f>
        <v/>
      </c>
      <c r="J2202" s="11" t="n"/>
      <c r="K2202" s="6" t="n"/>
      <c r="L2202" s="6" t="n"/>
      <c r="M2202" s="7">
        <f>IF(N2202=0,+L2202+H2202,0)</f>
        <v/>
      </c>
      <c r="N2202" s="7">
        <f>IF((+G2202-K2202)=0,0,+G2202-K2202)</f>
        <v/>
      </c>
      <c r="O2202" s="7">
        <f>IF(N2202=0,0,(L2202+H2202)/-N2202)</f>
        <v/>
      </c>
      <c r="P2202" s="7">
        <f>VLOOKUP(OPERAC[[#This Row],[especie]],[1]!ESPECIES[#All],6,0)</f>
        <v/>
      </c>
      <c r="Q2202" s="7">
        <f>IF(N2202&lt;&gt;0,P2202*N2202,0)</f>
        <v/>
      </c>
      <c r="R2202" s="8">
        <f>IF(Q2202&lt;&gt;0,Q2202+H2202+L2202,0)</f>
        <v/>
      </c>
      <c r="S2202" s="9">
        <f>VLOOKUP(OPERAC[[#This Row],[especie]],[1]!ESPECIES[#Data],9,FALSE)</f>
        <v/>
      </c>
    </row>
    <row r="2203">
      <c r="A2203" s="4" t="n">
        <v>12671</v>
      </c>
      <c r="B2203" s="5" t="n">
        <v>44662</v>
      </c>
      <c r="C2203" s="13" t="inlineStr">
        <is>
          <t>VTA</t>
        </is>
      </c>
      <c r="D2203" s="13" t="n">
        <v>42</v>
      </c>
      <c r="E2203" s="10">
        <f>IF(D2203&gt;0,VLOOKUP(OPERAC[[#This Row],[COD CART]],[1]!MatrizCortoLargoCyl[#All],3,0),"")</f>
        <v/>
      </c>
      <c r="F2203" s="13" t="inlineStr">
        <is>
          <t>HYDR</t>
        </is>
      </c>
      <c r="G2203" s="6" t="n">
        <v>20</v>
      </c>
      <c r="H2203" s="6" t="n">
        <v>-370.67016</v>
      </c>
      <c r="I2203" s="7">
        <f>-H2203/G2203</f>
        <v/>
      </c>
      <c r="J2203" s="11" t="n">
        <v>44693</v>
      </c>
      <c r="K2203" s="6">
        <f>+OPERAC[[#This Row],[cantidad]]</f>
        <v/>
      </c>
      <c r="L2203" s="6">
        <f>+OPERAC[[#This Row],[cantidad venta]]*12.027</f>
        <v/>
      </c>
      <c r="M2203" s="7">
        <f>IF(N2203=0,+L2203+H2203,0)</f>
        <v/>
      </c>
      <c r="N2203" s="7">
        <f>IF((+G2203-K2203)=0,0,+G2203-K2203)</f>
        <v/>
      </c>
      <c r="O2203" s="7">
        <f>IF(N2203=0,0,(L2203+H2203)/-N2203)</f>
        <v/>
      </c>
      <c r="P2203" s="7">
        <f>VLOOKUP(OPERAC[[#This Row],[especie]],[1]!ESPECIES[#All],6,0)</f>
        <v/>
      </c>
      <c r="Q2203" s="7">
        <f>IF(N2203&lt;&gt;0,P2203*N2203,0)</f>
        <v/>
      </c>
      <c r="R2203" s="8">
        <f>IF(Q2203&lt;&gt;0,Q2203+H2203+L2203,0)</f>
        <v/>
      </c>
      <c r="S2203" s="9">
        <f>VLOOKUP(OPERAC[[#This Row],[especie]],[1]!ESPECIES[#Data],9,FALSE)</f>
        <v/>
      </c>
    </row>
    <row r="2204">
      <c r="A2204" s="4" t="n">
        <v>22407</v>
      </c>
      <c r="B2204" s="5" t="n">
        <v>44655</v>
      </c>
      <c r="C2204" s="13" t="inlineStr">
        <is>
          <t>VTA</t>
        </is>
      </c>
      <c r="D2204" s="13" t="n">
        <v>31</v>
      </c>
      <c r="E2204" s="10">
        <f>IF(D2204&gt;0,VLOOKUP(OPERAC[[#This Row],[COD CART]],[1]!MatrizCortoLargoCyl[#All],3,0),"")</f>
        <v/>
      </c>
      <c r="F2204" s="13" t="inlineStr">
        <is>
          <t>PAM</t>
        </is>
      </c>
      <c r="G2204" s="6" t="n">
        <v>15</v>
      </c>
      <c r="H2204" s="6" t="n">
        <v>-370.8352</v>
      </c>
      <c r="I2204" s="7">
        <f>-H2204/G2204</f>
        <v/>
      </c>
      <c r="J2204" s="11" t="n"/>
      <c r="K2204" s="6" t="n"/>
      <c r="L2204" s="6" t="n"/>
      <c r="M2204" s="7">
        <f>IF(N2204=0,+L2204+H2204,0)</f>
        <v/>
      </c>
      <c r="N2204" s="7">
        <f>IF((+G2204-K2204)=0,0,+G2204-K2204)</f>
        <v/>
      </c>
      <c r="O2204" s="7">
        <f>IF(N2204=0,0,(L2204+H2204)/-N2204)</f>
        <v/>
      </c>
      <c r="P2204" s="7">
        <f>VLOOKUP(OPERAC[[#This Row],[especie]],[1]!ESPECIES[#All],6,0)</f>
        <v/>
      </c>
      <c r="Q2204" s="7">
        <f>IF(N2204&lt;&gt;0,P2204*N2204,0)</f>
        <v/>
      </c>
      <c r="R2204" s="8">
        <f>IF(Q2204&lt;&gt;0,Q2204+H2204+L2204,0)</f>
        <v/>
      </c>
      <c r="S2204" s="9">
        <f>VLOOKUP(OPERAC[[#This Row],[especie]],[1]!ESPECIES[#Data],9,FALSE)</f>
        <v/>
      </c>
    </row>
    <row r="2205">
      <c r="A2205" s="4" t="n">
        <v>1760</v>
      </c>
      <c r="B2205" s="5" t="n">
        <v>44662</v>
      </c>
      <c r="C2205" s="13" t="inlineStr">
        <is>
          <t>VTA</t>
        </is>
      </c>
      <c r="D2205" s="13" t="n">
        <v>42</v>
      </c>
      <c r="E2205" s="10">
        <f>IF(D2205&gt;0,VLOOKUP(OPERAC[[#This Row],[COD CART]],[1]!MatrizCortoLargoCyl[#All],3,0),"")</f>
        <v/>
      </c>
      <c r="F2205" s="13" t="inlineStr">
        <is>
          <t>HYDR</t>
        </is>
      </c>
      <c r="G2205" s="6" t="n">
        <v>20</v>
      </c>
      <c r="H2205" s="6" t="n">
        <v>-371.4068800000001</v>
      </c>
      <c r="I2205" s="7">
        <f>-H2205/G2205</f>
        <v/>
      </c>
      <c r="J2205" s="11" t="n">
        <v>44693</v>
      </c>
      <c r="K2205" s="6">
        <f>+OPERAC[[#This Row],[cantidad]]</f>
        <v/>
      </c>
      <c r="L2205" s="6">
        <f>+OPERAC[[#This Row],[cantidad venta]]*11.63</f>
        <v/>
      </c>
      <c r="M2205" s="7">
        <f>IF(N2205=0,+L2205+H2205,0)</f>
        <v/>
      </c>
      <c r="N2205" s="7">
        <f>IF((+G2205-K2205)=0,0,+G2205-K2205)</f>
        <v/>
      </c>
      <c r="O2205" s="7">
        <f>IF(N2205=0,0,(L2205+H2205)/-N2205)</f>
        <v/>
      </c>
      <c r="P2205" s="7">
        <f>VLOOKUP(OPERAC[[#This Row],[especie]],[1]!ESPECIES[#All],6,0)</f>
        <v/>
      </c>
      <c r="Q2205" s="7">
        <f>IF(N2205&lt;&gt;0,P2205*N2205,0)</f>
        <v/>
      </c>
      <c r="R2205" s="8">
        <f>IF(Q2205&lt;&gt;0,Q2205+H2205+L2205,0)</f>
        <v/>
      </c>
      <c r="S2205" s="9">
        <f>VLOOKUP(OPERAC[[#This Row],[especie]],[1]!ESPECIES[#Data],9,FALSE)</f>
        <v/>
      </c>
    </row>
    <row r="2206">
      <c r="A2206" s="4" t="n">
        <v>2253</v>
      </c>
      <c r="B2206" s="5" t="n">
        <v>44662</v>
      </c>
      <c r="C2206" s="13" t="inlineStr">
        <is>
          <t>VTA</t>
        </is>
      </c>
      <c r="D2206" s="13" t="n">
        <v>42</v>
      </c>
      <c r="E2206" s="10">
        <f>IF(D2206&gt;0,VLOOKUP(OPERAC[[#This Row],[COD CART]],[1]!MatrizCortoLargoCyl[#All],3,0),"")</f>
        <v/>
      </c>
      <c r="F2206" s="13" t="inlineStr">
        <is>
          <t>HYDR</t>
        </is>
      </c>
      <c r="G2206" s="6" t="n">
        <v>20</v>
      </c>
      <c r="H2206" s="6" t="n">
        <v>-371.4068800000001</v>
      </c>
      <c r="I2206" s="7">
        <f>-H2206/G2206</f>
        <v/>
      </c>
      <c r="J2206" s="11" t="n">
        <v>44693</v>
      </c>
      <c r="K2206" s="6">
        <f>+OPERAC[[#This Row],[cantidad]]</f>
        <v/>
      </c>
      <c r="L2206" s="6">
        <f>+OPERAC[[#This Row],[cantidad venta]]*11.63</f>
        <v/>
      </c>
      <c r="M2206" s="7">
        <f>IF(N2206=0,+L2206+H2206,0)</f>
        <v/>
      </c>
      <c r="N2206" s="7">
        <f>IF((+G2206-K2206)=0,0,+G2206-K2206)</f>
        <v/>
      </c>
      <c r="O2206" s="7">
        <f>IF(N2206=0,0,(L2206+H2206)/-N2206)</f>
        <v/>
      </c>
      <c r="P2206" s="7">
        <f>VLOOKUP(OPERAC[[#This Row],[especie]],[1]!ESPECIES[#All],6,0)</f>
        <v/>
      </c>
      <c r="Q2206" s="7">
        <f>IF(N2206&lt;&gt;0,P2206*N2206,0)</f>
        <v/>
      </c>
      <c r="R2206" s="8">
        <f>IF(Q2206&lt;&gt;0,Q2206+H2206+L2206,0)</f>
        <v/>
      </c>
      <c r="S2206" s="9">
        <f>VLOOKUP(OPERAC[[#This Row],[especie]],[1]!ESPECIES[#Data],9,FALSE)</f>
        <v/>
      </c>
    </row>
    <row r="2207">
      <c r="A2207" s="4" t="n">
        <v>11168</v>
      </c>
      <c r="B2207" s="5" t="n">
        <v>44662</v>
      </c>
      <c r="C2207" s="13" t="inlineStr">
        <is>
          <t>VTA</t>
        </is>
      </c>
      <c r="D2207" s="13" t="n">
        <v>42</v>
      </c>
      <c r="E2207" s="10">
        <f>IF(D2207&gt;0,VLOOKUP(OPERAC[[#This Row],[COD CART]],[1]!MatrizCortoLargoCyl[#All],3,0),"")</f>
        <v/>
      </c>
      <c r="F2207" s="13" t="inlineStr">
        <is>
          <t>HYDR</t>
        </is>
      </c>
      <c r="G2207" s="6" t="n">
        <v>20</v>
      </c>
      <c r="H2207" s="6" t="n">
        <v>-371.4068800000001</v>
      </c>
      <c r="I2207" s="7">
        <f>-H2207/G2207</f>
        <v/>
      </c>
      <c r="J2207" s="11" t="n">
        <v>44693</v>
      </c>
      <c r="K2207" s="6">
        <f>+OPERAC[[#This Row],[cantidad]]</f>
        <v/>
      </c>
      <c r="L2207" s="6">
        <f>+OPERAC[[#This Row],[cantidad venta]]*12.027</f>
        <v/>
      </c>
      <c r="M2207" s="7">
        <f>IF(N2207=0,+L2207+H2207,0)</f>
        <v/>
      </c>
      <c r="N2207" s="7">
        <f>IF((+G2207-K2207)=0,0,+G2207-K2207)</f>
        <v/>
      </c>
      <c r="O2207" s="7">
        <f>IF(N2207=0,0,(L2207+H2207)/-N2207)</f>
        <v/>
      </c>
      <c r="P2207" s="7">
        <f>VLOOKUP(OPERAC[[#This Row],[especie]],[1]!ESPECIES[#All],6,0)</f>
        <v/>
      </c>
      <c r="Q2207" s="7">
        <f>IF(N2207&lt;&gt;0,P2207*N2207,0)</f>
        <v/>
      </c>
      <c r="R2207" s="8">
        <f>IF(Q2207&lt;&gt;0,Q2207+H2207+L2207,0)</f>
        <v/>
      </c>
      <c r="S2207" s="9">
        <f>VLOOKUP(OPERAC[[#This Row],[especie]],[1]!ESPECIES[#Data],9,FALSE)</f>
        <v/>
      </c>
    </row>
    <row r="2208">
      <c r="A2208" s="4" t="n">
        <v>13190</v>
      </c>
      <c r="B2208" s="5" t="n">
        <v>44662</v>
      </c>
      <c r="C2208" s="13" t="inlineStr">
        <is>
          <t>VTA</t>
        </is>
      </c>
      <c r="D2208" s="13" t="n">
        <v>42</v>
      </c>
      <c r="E2208" s="10">
        <f>IF(D2208&gt;0,VLOOKUP(OPERAC[[#This Row],[COD CART]],[1]!MatrizCortoLargoCyl[#All],3,0),"")</f>
        <v/>
      </c>
      <c r="F2208" s="13" t="inlineStr">
        <is>
          <t>HYDR</t>
        </is>
      </c>
      <c r="G2208" s="6" t="n">
        <v>20</v>
      </c>
      <c r="H2208" s="6" t="n">
        <v>-371.4068800000001</v>
      </c>
      <c r="I2208" s="7">
        <f>-H2208/G2208</f>
        <v/>
      </c>
      <c r="J2208" s="11" t="n">
        <v>44693</v>
      </c>
      <c r="K2208" s="6">
        <f>+OPERAC[[#This Row],[cantidad]]</f>
        <v/>
      </c>
      <c r="L2208" s="6">
        <f>+OPERAC[[#This Row],[cantidad venta]]*12.027</f>
        <v/>
      </c>
      <c r="M2208" s="7">
        <f>IF(N2208=0,+L2208+H2208,0)</f>
        <v/>
      </c>
      <c r="N2208" s="7">
        <f>IF((+G2208-K2208)=0,0,+G2208-K2208)</f>
        <v/>
      </c>
      <c r="O2208" s="7">
        <f>IF(N2208=0,0,(L2208+H2208)/-N2208)</f>
        <v/>
      </c>
      <c r="P2208" s="7">
        <f>VLOOKUP(OPERAC[[#This Row],[especie]],[1]!ESPECIES[#All],6,0)</f>
        <v/>
      </c>
      <c r="Q2208" s="7">
        <f>IF(N2208&lt;&gt;0,P2208*N2208,0)</f>
        <v/>
      </c>
      <c r="R2208" s="8">
        <f>IF(Q2208&lt;&gt;0,Q2208+H2208+L2208,0)</f>
        <v/>
      </c>
      <c r="S2208" s="9">
        <f>VLOOKUP(OPERAC[[#This Row],[especie]],[1]!ESPECIES[#Data],9,FALSE)</f>
        <v/>
      </c>
    </row>
    <row r="2209">
      <c r="A2209" s="4" t="n">
        <v>19934</v>
      </c>
      <c r="B2209" s="5" t="n">
        <v>44662</v>
      </c>
      <c r="C2209" s="13" t="inlineStr">
        <is>
          <t>VTA</t>
        </is>
      </c>
      <c r="D2209" s="13" t="n">
        <v>42</v>
      </c>
      <c r="E2209" s="10">
        <f>IF(D2209&gt;0,VLOOKUP(OPERAC[[#This Row],[COD CART]],[1]!MatrizCortoLargoCyl[#All],3,0),"")</f>
        <v/>
      </c>
      <c r="F2209" s="13" t="inlineStr">
        <is>
          <t>HYDR</t>
        </is>
      </c>
      <c r="G2209" s="6" t="n">
        <v>20</v>
      </c>
      <c r="H2209" s="6" t="n">
        <v>-371.4068800000001</v>
      </c>
      <c r="I2209" s="7">
        <f>-H2209/G2209</f>
        <v/>
      </c>
      <c r="J2209" s="11" t="n">
        <v>44693</v>
      </c>
      <c r="K2209" s="6">
        <f>+OPERAC[[#This Row],[cantidad]]</f>
        <v/>
      </c>
      <c r="L2209" s="6">
        <f>+OPERAC[[#This Row],[cantidad venta]]*11.986</f>
        <v/>
      </c>
      <c r="M2209" s="7">
        <f>IF(N2209=0,+L2209+H2209,0)</f>
        <v/>
      </c>
      <c r="N2209" s="7">
        <f>IF((+G2209-K2209)=0,0,+G2209-K2209)</f>
        <v/>
      </c>
      <c r="O2209" s="7">
        <f>IF(N2209=0,0,(L2209+H2209)/-N2209)</f>
        <v/>
      </c>
      <c r="P2209" s="7">
        <f>VLOOKUP(OPERAC[[#This Row],[especie]],[1]!ESPECIES[#All],6,0)</f>
        <v/>
      </c>
      <c r="Q2209" s="7">
        <f>IF(N2209&lt;&gt;0,P2209*N2209,0)</f>
        <v/>
      </c>
      <c r="R2209" s="8">
        <f>IF(Q2209&lt;&gt;0,Q2209+H2209+L2209,0)</f>
        <v/>
      </c>
      <c r="S2209" s="9">
        <f>VLOOKUP(OPERAC[[#This Row],[especie]],[1]!ESPECIES[#Data],9,FALSE)</f>
        <v/>
      </c>
    </row>
    <row r="2210">
      <c r="A2210" s="4" t="n">
        <v>20234</v>
      </c>
      <c r="B2210" s="5" t="n">
        <v>44662</v>
      </c>
      <c r="C2210" s="13" t="inlineStr">
        <is>
          <t>VTA</t>
        </is>
      </c>
      <c r="D2210" s="13" t="n">
        <v>42</v>
      </c>
      <c r="E2210" s="10">
        <f>IF(D2210&gt;0,VLOOKUP(OPERAC[[#This Row],[COD CART]],[1]!MatrizCortoLargoCyl[#All],3,0),"")</f>
        <v/>
      </c>
      <c r="F2210" s="13" t="inlineStr">
        <is>
          <t>HYDR</t>
        </is>
      </c>
      <c r="G2210" s="6" t="n">
        <v>20</v>
      </c>
      <c r="H2210" s="6" t="n">
        <v>-371.4068800000001</v>
      </c>
      <c r="I2210" s="7">
        <f>-H2210/G2210</f>
        <v/>
      </c>
      <c r="J2210" s="11" t="n">
        <v>44693</v>
      </c>
      <c r="K2210" s="6">
        <f>+OPERAC[[#This Row],[cantidad]]</f>
        <v/>
      </c>
      <c r="L2210" s="6">
        <f>+OPERAC[[#This Row],[cantidad venta]]*11.986</f>
        <v/>
      </c>
      <c r="M2210" s="7">
        <f>IF(N2210=0,+L2210+H2210,0)</f>
        <v/>
      </c>
      <c r="N2210" s="7">
        <f>IF((+G2210-K2210)=0,0,+G2210-K2210)</f>
        <v/>
      </c>
      <c r="O2210" s="7">
        <f>IF(N2210=0,0,(L2210+H2210)/-N2210)</f>
        <v/>
      </c>
      <c r="P2210" s="7">
        <f>VLOOKUP(OPERAC[[#This Row],[especie]],[1]!ESPECIES[#All],6,0)</f>
        <v/>
      </c>
      <c r="Q2210" s="7">
        <f>IF(N2210&lt;&gt;0,P2210*N2210,0)</f>
        <v/>
      </c>
      <c r="R2210" s="8">
        <f>IF(Q2210&lt;&gt;0,Q2210+H2210+L2210,0)</f>
        <v/>
      </c>
      <c r="S2210" s="9">
        <f>VLOOKUP(OPERAC[[#This Row],[especie]],[1]!ESPECIES[#Data],9,FALSE)</f>
        <v/>
      </c>
    </row>
    <row r="2211">
      <c r="A2211" s="4" t="n">
        <v>13253</v>
      </c>
      <c r="B2211" s="5" t="n">
        <v>44536</v>
      </c>
      <c r="C2211" s="13" t="inlineStr">
        <is>
          <t>VTA</t>
        </is>
      </c>
      <c r="D2211" s="13" t="n">
        <v>41</v>
      </c>
      <c r="E2211" s="10">
        <f>IF(D2211&gt;0,VLOOKUP(OPERAC[[#This Row],[COD CART]],[1]!MatrizCortoLargoCyl[#All],3,0),"")</f>
        <v/>
      </c>
      <c r="F2211" s="13" t="inlineStr">
        <is>
          <t>SSYS</t>
        </is>
      </c>
      <c r="G2211" s="6" t="n">
        <v>15</v>
      </c>
      <c r="H2211" s="6" t="n">
        <v>-371.8936</v>
      </c>
      <c r="I2211" s="7">
        <f>-H2211/G2211</f>
        <v/>
      </c>
      <c r="J2211" s="11" t="n"/>
      <c r="K2211" s="6" t="n"/>
      <c r="L2211" s="6" t="n"/>
      <c r="M2211" s="7">
        <f>IF(N2211=0,+L2211+H2211,0)</f>
        <v/>
      </c>
      <c r="N2211" s="7">
        <f>IF((+G2211-K2211)=0,0,+G2211-K2211)</f>
        <v/>
      </c>
      <c r="O2211" s="7">
        <f>IF(N2211=0,0,(L2211+H2211)/-N2211)</f>
        <v/>
      </c>
      <c r="P2211" s="7">
        <f>VLOOKUP(OPERAC[[#This Row],[especie]],[1]!ESPECIES[#All],6,0)</f>
        <v/>
      </c>
      <c r="Q2211" s="7">
        <f>IF(N2211&lt;&gt;0,P2211*N2211,0)</f>
        <v/>
      </c>
      <c r="R2211" s="8">
        <f>IF(Q2211&lt;&gt;0,Q2211+H2211+L2211,0)</f>
        <v/>
      </c>
      <c r="S2211" s="9">
        <f>VLOOKUP(OPERAC[[#This Row],[especie]],[1]!ESPECIES[#Data],9,FALSE)</f>
        <v/>
      </c>
    </row>
    <row r="2212">
      <c r="A2212" s="4" t="n">
        <v>18663</v>
      </c>
      <c r="B2212" s="5" t="n">
        <v>44656</v>
      </c>
      <c r="C2212" s="13" t="inlineStr">
        <is>
          <t>VTA</t>
        </is>
      </c>
      <c r="D2212" s="13" t="n">
        <v>41</v>
      </c>
      <c r="E2212" s="10">
        <f>IF(D2212&gt;0,VLOOKUP(OPERAC[[#This Row],[COD CART]],[1]!MatrizCortoLargoCyl[#All],3,0),"")</f>
        <v/>
      </c>
      <c r="F2212" s="13" t="inlineStr">
        <is>
          <t>SSYS</t>
        </is>
      </c>
      <c r="G2212" s="6" t="n">
        <v>15</v>
      </c>
      <c r="H2212" s="6" t="n">
        <v>-372.045</v>
      </c>
      <c r="I2212" s="7">
        <f>-H2212/G2212</f>
        <v/>
      </c>
      <c r="J2212" s="11" t="n"/>
      <c r="K2212" s="6" t="n"/>
      <c r="L2212" s="6" t="n"/>
      <c r="M2212" s="7">
        <f>IF(N2212=0,+L2212+H2212,0)</f>
        <v/>
      </c>
      <c r="N2212" s="7">
        <f>IF((+G2212-K2212)=0,0,+G2212-K2212)</f>
        <v/>
      </c>
      <c r="O2212" s="7">
        <f>IF(N2212=0,0,(L2212+H2212)/-N2212)</f>
        <v/>
      </c>
      <c r="P2212" s="7">
        <f>VLOOKUP(OPERAC[[#This Row],[especie]],[1]!ESPECIES[#All],6,0)</f>
        <v/>
      </c>
      <c r="Q2212" s="7">
        <f>IF(N2212&lt;&gt;0,P2212*N2212,0)</f>
        <v/>
      </c>
      <c r="R2212" s="8">
        <f>IF(Q2212&lt;&gt;0,Q2212+H2212+L2212,0)</f>
        <v/>
      </c>
      <c r="S2212" s="9">
        <f>VLOOKUP(OPERAC[[#This Row],[especie]],[1]!ESPECIES[#Data],9,FALSE)</f>
        <v/>
      </c>
    </row>
    <row r="2213">
      <c r="A2213" s="4" t="n">
        <v>18662</v>
      </c>
      <c r="B2213" s="5" t="n">
        <v>44494</v>
      </c>
      <c r="C2213" s="13" t="inlineStr">
        <is>
          <t>VTA</t>
        </is>
      </c>
      <c r="D2213" s="13" t="n">
        <v>40</v>
      </c>
      <c r="E2213" s="10">
        <f>IF(D2213&gt;0,VLOOKUP(OPERAC[[#This Row],[COD CART]],[1]!MatrizCortoLargoCyl[#All],3,0),"")</f>
        <v/>
      </c>
      <c r="F2213" s="13" t="inlineStr">
        <is>
          <t>YPF</t>
        </is>
      </c>
      <c r="G2213" s="6" t="n">
        <v>80</v>
      </c>
      <c r="H2213" s="6" t="n">
        <v>-372.2176</v>
      </c>
      <c r="I2213" s="7">
        <f>-H2213/G2213</f>
        <v/>
      </c>
      <c r="J2213" s="11" t="n">
        <v>44606</v>
      </c>
      <c r="K2213" s="6">
        <f>+OPERAC[[#This Row],[cantidad]]</f>
        <v/>
      </c>
      <c r="L2213" s="6">
        <f>+OPERAC[[#This Row],[cantidad venta]]*4.161</f>
        <v/>
      </c>
      <c r="M2213" s="7">
        <f>IF(N2213=0,+L2213+H2213,0)</f>
        <v/>
      </c>
      <c r="N2213" s="7">
        <f>IF((+G2213-K2213)=0,0,+G2213-K2213)</f>
        <v/>
      </c>
      <c r="O2213" s="7">
        <f>IF(N2213=0,0,(L2213+H2213)/-N2213)</f>
        <v/>
      </c>
      <c r="P2213" s="7">
        <f>VLOOKUP(OPERAC[[#This Row],[especie]],[1]!ESPECIES[#All],6,0)</f>
        <v/>
      </c>
      <c r="Q2213" s="7">
        <f>IF(N2213&lt;&gt;0,P2213*N2213,0)</f>
        <v/>
      </c>
      <c r="R2213" s="8">
        <f>IF(Q2213&lt;&gt;0,Q2213+H2213+L2213,0)</f>
        <v/>
      </c>
      <c r="S2213" s="9">
        <f>VLOOKUP(OPERAC[[#This Row],[especie]],[1]!ESPECIES[#Data],9,FALSE)</f>
        <v/>
      </c>
    </row>
    <row r="2214">
      <c r="A2214" s="4" t="n">
        <v>18690</v>
      </c>
      <c r="B2214" s="5" t="n">
        <v>44494</v>
      </c>
      <c r="C2214" s="13" t="inlineStr">
        <is>
          <t>VTA</t>
        </is>
      </c>
      <c r="D2214" s="13" t="n">
        <v>40</v>
      </c>
      <c r="E2214" s="10">
        <f>IF(D2214&gt;0,VLOOKUP(OPERAC[[#This Row],[COD CART]],[1]!MatrizCortoLargoCyl[#All],3,0),"")</f>
        <v/>
      </c>
      <c r="F2214" s="13" t="inlineStr">
        <is>
          <t>YPF</t>
        </is>
      </c>
      <c r="G2214" s="6" t="n">
        <v>80</v>
      </c>
      <c r="H2214" s="6" t="n">
        <v>-372.2176</v>
      </c>
      <c r="I2214" s="7">
        <f>-H2214/G2214</f>
        <v/>
      </c>
      <c r="J2214" s="11" t="n">
        <v>44606</v>
      </c>
      <c r="K2214" s="6">
        <f>+OPERAC[[#This Row],[cantidad]]</f>
        <v/>
      </c>
      <c r="L2214" s="6">
        <f>+OPERAC[[#This Row],[cantidad venta]]*4.161</f>
        <v/>
      </c>
      <c r="M2214" s="7">
        <f>IF(N2214=0,+L2214+H2214,0)</f>
        <v/>
      </c>
      <c r="N2214" s="7">
        <f>IF((+G2214-K2214)=0,0,+G2214-K2214)</f>
        <v/>
      </c>
      <c r="O2214" s="7">
        <f>IF(N2214=0,0,(L2214+H2214)/-N2214)</f>
        <v/>
      </c>
      <c r="P2214" s="7">
        <f>VLOOKUP(OPERAC[[#This Row],[especie]],[1]!ESPECIES[#All],6,0)</f>
        <v/>
      </c>
      <c r="Q2214" s="7">
        <f>IF(N2214&lt;&gt;0,P2214*N2214,0)</f>
        <v/>
      </c>
      <c r="R2214" s="8">
        <f>IF(Q2214&lt;&gt;0,Q2214+H2214+L2214,0)</f>
        <v/>
      </c>
      <c r="S2214" s="9">
        <f>VLOOKUP(OPERAC[[#This Row],[especie]],[1]!ESPECIES[#Data],9,FALSE)</f>
        <v/>
      </c>
    </row>
    <row r="2215">
      <c r="A2215" s="4" t="n">
        <v>18697</v>
      </c>
      <c r="B2215" s="5" t="n">
        <v>44494</v>
      </c>
      <c r="C2215" s="13" t="inlineStr">
        <is>
          <t>VTA</t>
        </is>
      </c>
      <c r="D2215" s="13" t="n">
        <v>40</v>
      </c>
      <c r="E2215" s="10">
        <f>IF(D2215&gt;0,VLOOKUP(OPERAC[[#This Row],[COD CART]],[1]!MatrizCortoLargoCyl[#All],3,0),"")</f>
        <v/>
      </c>
      <c r="F2215" s="13" t="inlineStr">
        <is>
          <t>YPF</t>
        </is>
      </c>
      <c r="G2215" s="6" t="n">
        <v>80</v>
      </c>
      <c r="H2215" s="6" t="n">
        <v>-372.2176</v>
      </c>
      <c r="I2215" s="7">
        <f>-H2215/G2215</f>
        <v/>
      </c>
      <c r="J2215" s="11" t="n">
        <v>44606</v>
      </c>
      <c r="K2215" s="6">
        <f>+OPERAC[[#This Row],[cantidad]]</f>
        <v/>
      </c>
      <c r="L2215" s="6">
        <f>+OPERAC[[#This Row],[cantidad venta]]*4.161</f>
        <v/>
      </c>
      <c r="M2215" s="7">
        <f>IF(N2215=0,+L2215+H2215,0)</f>
        <v/>
      </c>
      <c r="N2215" s="7">
        <f>IF((+G2215-K2215)=0,0,+G2215-K2215)</f>
        <v/>
      </c>
      <c r="O2215" s="7">
        <f>IF(N2215=0,0,(L2215+H2215)/-N2215)</f>
        <v/>
      </c>
      <c r="P2215" s="7">
        <f>VLOOKUP(OPERAC[[#This Row],[especie]],[1]!ESPECIES[#All],6,0)</f>
        <v/>
      </c>
      <c r="Q2215" s="7">
        <f>IF(N2215&lt;&gt;0,P2215*N2215,0)</f>
        <v/>
      </c>
      <c r="R2215" s="8">
        <f>IF(Q2215&lt;&gt;0,Q2215+H2215+L2215,0)</f>
        <v/>
      </c>
      <c r="S2215" s="9">
        <f>VLOOKUP(OPERAC[[#This Row],[especie]],[1]!ESPECIES[#Data],9,FALSE)</f>
        <v/>
      </c>
    </row>
    <row r="2216">
      <c r="A2216" s="4" t="n">
        <v>18703</v>
      </c>
      <c r="B2216" s="5" t="n">
        <v>44494</v>
      </c>
      <c r="C2216" s="13" t="inlineStr">
        <is>
          <t>VTA</t>
        </is>
      </c>
      <c r="D2216" s="13" t="n">
        <v>40</v>
      </c>
      <c r="E2216" s="10">
        <f>IF(D2216&gt;0,VLOOKUP(OPERAC[[#This Row],[COD CART]],[1]!MatrizCortoLargoCyl[#All],3,0),"")</f>
        <v/>
      </c>
      <c r="F2216" s="13" t="inlineStr">
        <is>
          <t>YPF</t>
        </is>
      </c>
      <c r="G2216" s="6" t="n">
        <v>80</v>
      </c>
      <c r="H2216" s="6" t="n">
        <v>-372.2176</v>
      </c>
      <c r="I2216" s="7">
        <f>-H2216/G2216</f>
        <v/>
      </c>
      <c r="J2216" s="11" t="n">
        <v>44606</v>
      </c>
      <c r="K2216" s="6">
        <f>+OPERAC[[#This Row],[cantidad]]</f>
        <v/>
      </c>
      <c r="L2216" s="6">
        <f>+OPERAC[[#This Row],[cantidad venta]]*4.161</f>
        <v/>
      </c>
      <c r="M2216" s="7">
        <f>IF(N2216=0,+L2216+H2216,0)</f>
        <v/>
      </c>
      <c r="N2216" s="7">
        <f>IF((+G2216-K2216)=0,0,+G2216-K2216)</f>
        <v/>
      </c>
      <c r="O2216" s="7">
        <f>IF(N2216=0,0,(L2216+H2216)/-N2216)</f>
        <v/>
      </c>
      <c r="P2216" s="7">
        <f>VLOOKUP(OPERAC[[#This Row],[especie]],[1]!ESPECIES[#All],6,0)</f>
        <v/>
      </c>
      <c r="Q2216" s="7">
        <f>IF(N2216&lt;&gt;0,P2216*N2216,0)</f>
        <v/>
      </c>
      <c r="R2216" s="8">
        <f>IF(Q2216&lt;&gt;0,Q2216+H2216+L2216,0)</f>
        <v/>
      </c>
      <c r="S2216" s="9">
        <f>VLOOKUP(OPERAC[[#This Row],[especie]],[1]!ESPECIES[#Data],9,FALSE)</f>
        <v/>
      </c>
    </row>
    <row r="2217">
      <c r="A2217" s="4" t="n">
        <v>2194</v>
      </c>
      <c r="B2217" s="5" t="n">
        <v>44664</v>
      </c>
      <c r="C2217" s="13" t="inlineStr">
        <is>
          <t>VTA</t>
        </is>
      </c>
      <c r="D2217" s="13" t="n">
        <v>42</v>
      </c>
      <c r="E2217" s="10">
        <f>IF(D2217&gt;0,VLOOKUP(OPERAC[[#This Row],[COD CART]],[1]!MatrizCortoLargoCyl[#All],3,0),"")</f>
        <v/>
      </c>
      <c r="F2217" s="13" t="inlineStr">
        <is>
          <t>PSQ</t>
        </is>
      </c>
      <c r="G2217" s="6" t="n">
        <v>30</v>
      </c>
      <c r="H2217" s="6" t="n">
        <v>-372.97716543</v>
      </c>
      <c r="I2217" s="7">
        <f>-H2217/G2217</f>
        <v/>
      </c>
      <c r="J2217" s="11" t="n">
        <v>44680</v>
      </c>
      <c r="K2217" s="6">
        <f>+OPERAC[[#This Row],[cantidad]]</f>
        <v/>
      </c>
      <c r="L2217" s="6">
        <f>12.848*OPERAC[[#This Row],[cantidad venta]]</f>
        <v/>
      </c>
      <c r="M2217" s="7">
        <f>IF(N2217=0,+L2217+H2217,0)</f>
        <v/>
      </c>
      <c r="N2217" s="7">
        <f>IF((+G2217-K2217)=0,0,+G2217-K2217)</f>
        <v/>
      </c>
      <c r="O2217" s="7">
        <f>IF(N2217=0,0,(L2217+H2217)/-N2217)</f>
        <v/>
      </c>
      <c r="P2217" s="7">
        <f>VLOOKUP(OPERAC[[#This Row],[especie]],[1]!ESPECIES[#All],6,0)</f>
        <v/>
      </c>
      <c r="Q2217" s="7">
        <f>IF(N2217&lt;&gt;0,P2217*N2217,0)</f>
        <v/>
      </c>
      <c r="R2217" s="8">
        <f>IF(Q2217&lt;&gt;0,Q2217+H2217+L2217,0)</f>
        <v/>
      </c>
      <c r="S2217" s="9">
        <f>VLOOKUP(OPERAC[[#This Row],[especie]],[1]!ESPECIES[#Data],9,FALSE)</f>
        <v/>
      </c>
    </row>
    <row r="2218">
      <c r="A2218" s="4" t="n">
        <v>2203</v>
      </c>
      <c r="B2218" s="5" t="n">
        <v>44664</v>
      </c>
      <c r="C2218" s="13" t="inlineStr">
        <is>
          <t>VTA</t>
        </is>
      </c>
      <c r="D2218" s="13" t="n">
        <v>42</v>
      </c>
      <c r="E2218" s="10">
        <f>IF(D2218&gt;0,VLOOKUP(OPERAC[[#This Row],[COD CART]],[1]!MatrizCortoLargoCyl[#All],3,0),"")</f>
        <v/>
      </c>
      <c r="F2218" s="13" t="inlineStr">
        <is>
          <t>PSQ</t>
        </is>
      </c>
      <c r="G2218" s="6" t="n">
        <v>30</v>
      </c>
      <c r="H2218" s="6" t="n">
        <v>-372.97716543</v>
      </c>
      <c r="I2218" s="7">
        <f>-H2218/G2218</f>
        <v/>
      </c>
      <c r="J2218" s="11" t="n">
        <v>44680</v>
      </c>
      <c r="K2218" s="6">
        <f>+OPERAC[[#This Row],[cantidad]]</f>
        <v/>
      </c>
      <c r="L2218" s="6">
        <f>12.848*OPERAC[[#This Row],[cantidad venta]]</f>
        <v/>
      </c>
      <c r="M2218" s="7">
        <f>IF(N2218=0,+L2218+H2218,0)</f>
        <v/>
      </c>
      <c r="N2218" s="7">
        <f>IF((+G2218-K2218)=0,0,+G2218-K2218)</f>
        <v/>
      </c>
      <c r="O2218" s="7">
        <f>IF(N2218=0,0,(L2218+H2218)/-N2218)</f>
        <v/>
      </c>
      <c r="P2218" s="7">
        <f>VLOOKUP(OPERAC[[#This Row],[especie]],[1]!ESPECIES[#All],6,0)</f>
        <v/>
      </c>
      <c r="Q2218" s="7">
        <f>IF(N2218&lt;&gt;0,P2218*N2218,0)</f>
        <v/>
      </c>
      <c r="R2218" s="8">
        <f>IF(Q2218&lt;&gt;0,Q2218+H2218+L2218,0)</f>
        <v/>
      </c>
      <c r="S2218" s="9">
        <f>VLOOKUP(OPERAC[[#This Row],[especie]],[1]!ESPECIES[#Data],9,FALSE)</f>
        <v/>
      </c>
    </row>
    <row r="2219">
      <c r="A2219" s="4" t="n">
        <v>1807</v>
      </c>
      <c r="B2219" s="5" t="n">
        <v>44664</v>
      </c>
      <c r="C2219" s="13" t="inlineStr">
        <is>
          <t>VTA</t>
        </is>
      </c>
      <c r="D2219" s="13" t="n">
        <v>42</v>
      </c>
      <c r="E2219" s="10">
        <f>IF(D2219&gt;0,VLOOKUP(OPERAC[[#This Row],[COD CART]],[1]!MatrizCortoLargoCyl[#All],3,0),"")</f>
        <v/>
      </c>
      <c r="F2219" s="13" t="inlineStr">
        <is>
          <t>PSQ</t>
        </is>
      </c>
      <c r="G2219" s="6" t="n">
        <v>30</v>
      </c>
      <c r="H2219" s="6" t="n">
        <v>-372.97716543</v>
      </c>
      <c r="I2219" s="7">
        <f>-H2219/G2219</f>
        <v/>
      </c>
      <c r="J2219" s="11" t="n">
        <v>44680</v>
      </c>
      <c r="K2219" s="6">
        <f>+OPERAC[[#This Row],[cantidad]]</f>
        <v/>
      </c>
      <c r="L2219" s="6">
        <f>12.848*OPERAC[[#This Row],[cantidad venta]]</f>
        <v/>
      </c>
      <c r="M2219" s="7">
        <f>IF(N2219=0,+L2219+H2219,0)</f>
        <v/>
      </c>
      <c r="N2219" s="7">
        <f>IF((+G2219-K2219)=0,0,+G2219-K2219)</f>
        <v/>
      </c>
      <c r="O2219" s="7">
        <f>IF(N2219=0,0,(L2219+H2219)/-N2219)</f>
        <v/>
      </c>
      <c r="P2219" s="7">
        <f>VLOOKUP(OPERAC[[#This Row],[especie]],[1]!ESPECIES[#All],6,0)</f>
        <v/>
      </c>
      <c r="Q2219" s="7">
        <f>IF(N2219&lt;&gt;0,P2219*N2219,0)</f>
        <v/>
      </c>
      <c r="R2219" s="8">
        <f>IF(Q2219&lt;&gt;0,Q2219+H2219+L2219,0)</f>
        <v/>
      </c>
      <c r="S2219" s="9">
        <f>VLOOKUP(OPERAC[[#This Row],[especie]],[1]!ESPECIES[#Data],9,FALSE)</f>
        <v/>
      </c>
    </row>
    <row r="2220">
      <c r="A2220" s="4" t="n">
        <v>2217</v>
      </c>
      <c r="B2220" s="5" t="n">
        <v>44664</v>
      </c>
      <c r="C2220" s="13" t="inlineStr">
        <is>
          <t>VTA</t>
        </is>
      </c>
      <c r="D2220" s="13" t="n">
        <v>42</v>
      </c>
      <c r="E2220" s="10">
        <f>IF(D2220&gt;0,VLOOKUP(OPERAC[[#This Row],[COD CART]],[1]!MatrizCortoLargoCyl[#All],3,0),"")</f>
        <v/>
      </c>
      <c r="F2220" s="13" t="inlineStr">
        <is>
          <t>PSQ</t>
        </is>
      </c>
      <c r="G2220" s="6" t="n">
        <v>30</v>
      </c>
      <c r="H2220" s="6" t="n">
        <v>-372.97716543</v>
      </c>
      <c r="I2220" s="7">
        <f>-H2220/G2220</f>
        <v/>
      </c>
      <c r="J2220" s="11" t="n">
        <v>44680</v>
      </c>
      <c r="K2220" s="6">
        <f>+OPERAC[[#This Row],[cantidad]]</f>
        <v/>
      </c>
      <c r="L2220" s="6">
        <f>12.848*OPERAC[[#This Row],[cantidad venta]]</f>
        <v/>
      </c>
      <c r="M2220" s="7">
        <f>IF(N2220=0,+L2220+H2220,0)</f>
        <v/>
      </c>
      <c r="N2220" s="7">
        <f>IF((+G2220-K2220)=0,0,+G2220-K2220)</f>
        <v/>
      </c>
      <c r="O2220" s="7">
        <f>IF(N2220=0,0,(L2220+H2220)/-N2220)</f>
        <v/>
      </c>
      <c r="P2220" s="7">
        <f>VLOOKUP(OPERAC[[#This Row],[especie]],[1]!ESPECIES[#All],6,0)</f>
        <v/>
      </c>
      <c r="Q2220" s="7">
        <f>IF(N2220&lt;&gt;0,P2220*N2220,0)</f>
        <v/>
      </c>
      <c r="R2220" s="8">
        <f>IF(Q2220&lt;&gt;0,Q2220+H2220+L2220,0)</f>
        <v/>
      </c>
      <c r="S2220" s="9">
        <f>VLOOKUP(OPERAC[[#This Row],[especie]],[1]!ESPECIES[#Data],9,FALSE)</f>
        <v/>
      </c>
    </row>
    <row r="2221">
      <c r="A2221" s="4" t="n">
        <v>1807</v>
      </c>
      <c r="B2221" s="5" t="n">
        <v>44585</v>
      </c>
      <c r="C2221" s="13" t="inlineStr">
        <is>
          <t>VTA</t>
        </is>
      </c>
      <c r="D2221" s="13" t="n">
        <v>40</v>
      </c>
      <c r="E2221" s="10">
        <f>IF(D2221&gt;0,VLOOKUP(OPERAC[[#This Row],[COD CART]],[1]!MatrizCortoLargoCyl[#All],3,0),"")</f>
        <v/>
      </c>
      <c r="F2221" s="13" t="inlineStr">
        <is>
          <t>NFLX</t>
        </is>
      </c>
      <c r="G2221" s="6" t="n">
        <v>1</v>
      </c>
      <c r="H2221" s="6" t="n">
        <v>-373.97</v>
      </c>
      <c r="I2221" s="7">
        <f>-H2221/G2221</f>
        <v/>
      </c>
      <c r="J2221" s="11" t="n">
        <v>44593</v>
      </c>
      <c r="K2221" s="6">
        <f>+OPERAC[[#This Row],[cantidad]]</f>
        <v/>
      </c>
      <c r="L2221" s="6">
        <f>+OPERAC[[#This Row],[cantidad venta]]*448.602</f>
        <v/>
      </c>
      <c r="M2221" s="7">
        <f>IF(N2221=0,+L2221+H2221,0)</f>
        <v/>
      </c>
      <c r="N2221" s="7">
        <f>IF((+G2221-K2221)=0,0,+G2221-K2221)</f>
        <v/>
      </c>
      <c r="O2221" s="7">
        <f>IF(N2221=0,0,(L2221+H2221)/-N2221)</f>
        <v/>
      </c>
      <c r="P2221" s="7">
        <f>VLOOKUP(OPERAC[[#This Row],[especie]],[1]!ESPECIES[#All],6,0)</f>
        <v/>
      </c>
      <c r="Q2221" s="7">
        <f>IF(N2221&lt;&gt;0,P2221*N2221,0)</f>
        <v/>
      </c>
      <c r="R2221" s="8">
        <f>IF(Q2221&lt;&gt;0,Q2221+H2221+L2221,0)</f>
        <v/>
      </c>
      <c r="S2221" s="9">
        <f>VLOOKUP(OPERAC[[#This Row],[especie]],[1]!ESPECIES[#Data],9,FALSE)</f>
        <v/>
      </c>
    </row>
    <row r="2222">
      <c r="A2222" s="4" t="n">
        <v>18663</v>
      </c>
      <c r="B2222" s="5" t="n">
        <v>44686</v>
      </c>
      <c r="C2222" s="13" t="inlineStr">
        <is>
          <t>VTA</t>
        </is>
      </c>
      <c r="D2222" s="13" t="n">
        <v>41</v>
      </c>
      <c r="E2222" s="10">
        <f>IF(D2222&gt;0,VLOOKUP(OPERAC[[#This Row],[COD CART]],[1]!MatrizCortoLargoCyl[#All],3,0),"")</f>
        <v/>
      </c>
      <c r="F2222" s="13" t="inlineStr">
        <is>
          <t>SFM</t>
        </is>
      </c>
      <c r="G2222" s="6" t="n">
        <v>15</v>
      </c>
      <c r="H2222" s="6" t="n">
        <v>-375.616</v>
      </c>
      <c r="I2222" s="7">
        <f>-H2222/G2222</f>
        <v/>
      </c>
      <c r="J2222" s="11" t="n">
        <v>44714</v>
      </c>
      <c r="K2222" s="6" t="n">
        <v>15</v>
      </c>
      <c r="L2222" s="6" t="n">
        <v>406.361</v>
      </c>
      <c r="M2222" s="7">
        <f>IF(N2222=0,+L2222+H2222,0)</f>
        <v/>
      </c>
      <c r="N2222" s="7">
        <f>IF((+G2222-K2222)=0,0,+G2222-K2222)</f>
        <v/>
      </c>
      <c r="O2222" s="7">
        <f>IF(N2222=0,0,(L2222+H2222)/-N2222)</f>
        <v/>
      </c>
      <c r="P2222" s="7">
        <f>VLOOKUP(OPERAC[[#This Row],[especie]],[1]!ESPECIES[#All],6,0)</f>
        <v/>
      </c>
      <c r="Q2222" s="7">
        <f>IF(N2222&lt;&gt;0,P2222*N2222,0)</f>
        <v/>
      </c>
      <c r="R2222" s="8">
        <f>IF(Q2222&lt;&gt;0,Q2222+H2222+L2222,0)</f>
        <v/>
      </c>
      <c r="S2222" s="9">
        <f>VLOOKUP(OPERAC[[#This Row],[especie]],[1]!ESPECIES[#Data],9,FALSE)</f>
        <v/>
      </c>
    </row>
    <row r="2223">
      <c r="A2223" s="4" t="n">
        <v>18663</v>
      </c>
      <c r="B2223" s="5" t="n">
        <v>44676</v>
      </c>
      <c r="C2223" s="13" t="inlineStr">
        <is>
          <t>VTA</t>
        </is>
      </c>
      <c r="D2223" s="13" t="n">
        <v>41</v>
      </c>
      <c r="E2223" s="10">
        <f>IF(D2223&gt;0,VLOOKUP(OPERAC[[#This Row],[COD CART]],[1]!MatrizCortoLargoCyl[#All],3,0),"")</f>
        <v/>
      </c>
      <c r="F2223" s="13" t="inlineStr">
        <is>
          <t>MPW</t>
        </is>
      </c>
      <c r="G2223" s="6" t="n">
        <v>20</v>
      </c>
      <c r="H2223" s="6" t="n">
        <v>-375.66</v>
      </c>
      <c r="I2223" s="7">
        <f>-H2223/G2223</f>
        <v/>
      </c>
      <c r="J2223" s="11" t="n"/>
      <c r="K2223" s="6" t="n"/>
      <c r="L2223" s="6" t="n"/>
      <c r="M2223" s="7">
        <f>IF(N2223=0,+L2223+H2223,0)</f>
        <v/>
      </c>
      <c r="N2223" s="7">
        <f>IF((+G2223-K2223)=0,0,+G2223-K2223)</f>
        <v/>
      </c>
      <c r="O2223" s="7">
        <f>IF(N2223=0,0,(L2223+H2223)/-N2223)</f>
        <v/>
      </c>
      <c r="P2223" s="7">
        <f>VLOOKUP(OPERAC[[#This Row],[especie]],[1]!ESPECIES[#All],6,0)</f>
        <v/>
      </c>
      <c r="Q2223" s="7">
        <f>IF(N2223&lt;&gt;0,P2223*N2223,0)</f>
        <v/>
      </c>
      <c r="R2223" s="8">
        <f>IF(Q2223&lt;&gt;0,Q2223+H2223+L2223,0)</f>
        <v/>
      </c>
      <c r="S2223" s="9">
        <f>VLOOKUP(OPERAC[[#This Row],[especie]],[1]!ESPECIES[#Data],9,FALSE)</f>
        <v/>
      </c>
    </row>
    <row r="2224">
      <c r="A2224" s="4" t="n">
        <v>13253</v>
      </c>
      <c r="B2224" s="5" t="n">
        <v>44565</v>
      </c>
      <c r="C2224" s="13" t="inlineStr">
        <is>
          <t>VTA</t>
        </is>
      </c>
      <c r="D2224" s="13" t="n">
        <v>41</v>
      </c>
      <c r="E2224" s="10">
        <f>IF(D2224&gt;0,VLOOKUP(OPERAC[[#This Row],[COD CART]],[1]!MatrizCortoLargoCyl[#All],3,0),"")</f>
        <v/>
      </c>
      <c r="F2224" s="13" t="inlineStr">
        <is>
          <t>HIMX</t>
        </is>
      </c>
      <c r="G2224" s="6" t="n">
        <v>30</v>
      </c>
      <c r="H2224" s="6" t="n">
        <v>-376.2784</v>
      </c>
      <c r="I2224" s="7">
        <f>-H2224/G2224</f>
        <v/>
      </c>
      <c r="J2224" s="11" t="n"/>
      <c r="K2224" s="6" t="n"/>
      <c r="L2224" s="6" t="n"/>
      <c r="M2224" s="7">
        <f>IF(N2224=0,+L2224+H2224,0)</f>
        <v/>
      </c>
      <c r="N2224" s="7">
        <f>IF((+G2224-K2224)=0,0,+G2224-K2224)</f>
        <v/>
      </c>
      <c r="O2224" s="7">
        <f>IF(N2224=0,0,(L2224+H2224)/-N2224)</f>
        <v/>
      </c>
      <c r="P2224" s="7">
        <f>VLOOKUP(OPERAC[[#This Row],[especie]],[1]!ESPECIES[#All],6,0)</f>
        <v/>
      </c>
      <c r="Q2224" s="7">
        <f>IF(N2224&lt;&gt;0,P2224*N2224,0)</f>
        <v/>
      </c>
      <c r="R2224" s="8">
        <f>IF(Q2224&lt;&gt;0,Q2224+H2224+L2224,0)</f>
        <v/>
      </c>
      <c r="S2224" s="9">
        <f>VLOOKUP(OPERAC[[#This Row],[especie]],[1]!ESPECIES[#Data],9,FALSE)</f>
        <v/>
      </c>
    </row>
    <row r="2225">
      <c r="A2225" s="4" t="n">
        <v>13253</v>
      </c>
      <c r="B2225" s="5" t="n">
        <v>44552</v>
      </c>
      <c r="C2225" s="13" t="inlineStr">
        <is>
          <t>VTA</t>
        </is>
      </c>
      <c r="D2225" s="13" t="n">
        <v>41</v>
      </c>
      <c r="E2225" s="10">
        <f>IF(D2225&gt;0,VLOOKUP(OPERAC[[#This Row],[COD CART]],[1]!MatrizCortoLargoCyl[#All],3,0),"")</f>
        <v/>
      </c>
      <c r="F2225" s="13" t="inlineStr">
        <is>
          <t>HIMX</t>
        </is>
      </c>
      <c r="G2225" s="6" t="n">
        <v>30</v>
      </c>
      <c r="H2225" s="6" t="n">
        <v>-376.8832</v>
      </c>
      <c r="I2225" s="7">
        <f>-H2225/G2225</f>
        <v/>
      </c>
      <c r="J2225" s="11" t="n">
        <v>44560</v>
      </c>
      <c r="K2225" s="6" t="n">
        <v>20</v>
      </c>
      <c r="L2225" s="6" t="n">
        <v>301.758</v>
      </c>
      <c r="M2225" s="7">
        <f>IF(N2225=0,+L2225+H2225,0)</f>
        <v/>
      </c>
      <c r="N2225" s="7">
        <f>IF((+G2225-K2225)=0,0,+G2225-K2225)</f>
        <v/>
      </c>
      <c r="O2225" s="7">
        <f>IF(N2225=0,0,(L2225+H2225)/-N2225)</f>
        <v/>
      </c>
      <c r="P2225" s="7">
        <f>VLOOKUP(OPERAC[[#This Row],[especie]],[1]!ESPECIES[#All],6,0)</f>
        <v/>
      </c>
      <c r="Q2225" s="7">
        <f>IF(N2225&lt;&gt;0,P2225*N2225,0)</f>
        <v/>
      </c>
      <c r="R2225" s="8">
        <f>IF(Q2225&lt;&gt;0,Q2225+H2225+L2225,0)</f>
        <v/>
      </c>
      <c r="S2225" s="9">
        <f>VLOOKUP(OPERAC[[#This Row],[especie]],[1]!ESPECIES[#Data],9,FALSE)</f>
        <v/>
      </c>
    </row>
    <row r="2226">
      <c r="A2226" s="4" t="n">
        <v>18663</v>
      </c>
      <c r="B2226" s="5" t="n">
        <v>44116</v>
      </c>
      <c r="C2226" s="13" t="inlineStr">
        <is>
          <t>VTA</t>
        </is>
      </c>
      <c r="D2226" s="13" t="n">
        <v>41</v>
      </c>
      <c r="E2226" s="10">
        <f>IF(D2226&gt;0,VLOOKUP(OPERAC[[#This Row],[COD CART]],[1]!MatrizCortoLargoCyl[#All],3,0),"")</f>
        <v/>
      </c>
      <c r="F2226" s="13" t="inlineStr">
        <is>
          <t>HEOFF</t>
        </is>
      </c>
      <c r="G2226" s="6" t="n">
        <v>250</v>
      </c>
      <c r="H2226" s="6" t="n">
        <v>-376.997</v>
      </c>
      <c r="I2226" s="7">
        <f>-H2226/G2226</f>
        <v/>
      </c>
      <c r="J2226" s="11" t="n"/>
      <c r="K2226" s="6" t="n"/>
      <c r="L2226" s="6" t="n"/>
      <c r="M2226" s="7">
        <f>IF(N2226=0,+L2226+H2226,0)</f>
        <v/>
      </c>
      <c r="N2226" s="7">
        <f>IF((+G2226-K2226)=0,0,+G2226-K2226)</f>
        <v/>
      </c>
      <c r="O2226" s="7">
        <f>IF(N2226=0,0,(L2226+H2226)/-N2226)</f>
        <v/>
      </c>
      <c r="P2226" s="7">
        <f>VLOOKUP(OPERAC[[#This Row],[especie]],[1]!ESPECIES[#All],6,0)</f>
        <v/>
      </c>
      <c r="Q2226" s="7">
        <f>IF(N2226&lt;&gt;0,P2226*N2226,0)</f>
        <v/>
      </c>
      <c r="R2226" s="8">
        <f>IF(Q2226&lt;&gt;0,Q2226+H2226+L2226,0)</f>
        <v/>
      </c>
      <c r="S2226" s="9">
        <f>VLOOKUP(OPERAC[[#This Row],[especie]],[1]!ESPECIES[#Data],9,FALSE)</f>
        <v/>
      </c>
    </row>
    <row r="2227">
      <c r="A2227" s="4" t="n">
        <v>1760</v>
      </c>
      <c r="B2227" s="5" t="n">
        <v>44489</v>
      </c>
      <c r="C2227" s="13" t="inlineStr">
        <is>
          <t>VTA</t>
        </is>
      </c>
      <c r="D2227" s="13" t="n">
        <v>43</v>
      </c>
      <c r="E2227" s="10">
        <f>IF(D2227&gt;0,VLOOKUP(OPERAC[[#This Row],[COD CART]],[1]!MatrizCortoLargoCyl[#All],3,0),"")</f>
        <v/>
      </c>
      <c r="F2227" s="13" t="inlineStr">
        <is>
          <t>SESN/CYL-PUT/1,00/19-01-24</t>
        </is>
      </c>
      <c r="G2227" s="6" t="n">
        <v>2000</v>
      </c>
      <c r="H2227" s="6">
        <f>-0.1885*OPERAC[[#This Row],[cantidad]]</f>
        <v/>
      </c>
      <c r="I2227" s="7">
        <f>-H2227/G2227</f>
        <v/>
      </c>
      <c r="J2227" s="11" t="n">
        <v>44582</v>
      </c>
      <c r="K2227" s="6" t="n">
        <v>2000</v>
      </c>
      <c r="L2227" s="6" t="n">
        <v>-918.54</v>
      </c>
      <c r="M2227" s="7">
        <f>IF(N2227=0,+L2227+H2227,0)</f>
        <v/>
      </c>
      <c r="N2227" s="7">
        <f>IF((+G2227-K2227)=0,0,+G2227-K2227)</f>
        <v/>
      </c>
      <c r="O2227" s="7">
        <f>IF(N2227=0,0,(L2227+H2227)/-N2227)</f>
        <v/>
      </c>
      <c r="P2227" s="7">
        <f>VLOOKUP(OPERAC[[#This Row],[especie]],[1]!ESPECIES[#All],6,0)</f>
        <v/>
      </c>
      <c r="Q2227" s="7">
        <f>IF(N2227&lt;&gt;0,P2227*N2227,0)</f>
        <v/>
      </c>
      <c r="R2227" s="8">
        <f>IF(Q2227&lt;&gt;0,Q2227+H2227+L2227,0)</f>
        <v/>
      </c>
      <c r="S2227" s="9">
        <f>VLOOKUP(OPERAC[[#This Row],[especie]],[1]!ESPECIES[#Data],9,FALSE)</f>
        <v/>
      </c>
    </row>
    <row r="2228">
      <c r="A2228" s="4" t="n">
        <v>2255</v>
      </c>
      <c r="B2228" s="5" t="n">
        <v>44489</v>
      </c>
      <c r="C2228" s="13" t="inlineStr">
        <is>
          <t>VTA</t>
        </is>
      </c>
      <c r="D2228" s="13" t="n">
        <v>43</v>
      </c>
      <c r="E2228" s="10">
        <f>IF(D2228&gt;0,VLOOKUP(OPERAC[[#This Row],[COD CART]],[1]!MatrizCortoLargoCyl[#All],3,0),"")</f>
        <v/>
      </c>
      <c r="F2228" s="13" t="inlineStr">
        <is>
          <t>SESN/CYL-PUT/1,00/19-01-24</t>
        </is>
      </c>
      <c r="G2228" s="6" t="n">
        <v>2000</v>
      </c>
      <c r="H2228" s="6">
        <f>-0.1885*OPERAC[[#This Row],[cantidad]]</f>
        <v/>
      </c>
      <c r="I2228" s="7">
        <f>-H2228/G2228</f>
        <v/>
      </c>
      <c r="J2228" s="11" t="n">
        <v>44616</v>
      </c>
      <c r="K2228" s="6" t="n">
        <v>2000</v>
      </c>
      <c r="L2228" s="6" t="n">
        <v>650.2380000000001</v>
      </c>
      <c r="M2228" s="7">
        <f>IF(N2228=0,+L2228+H2228,0)</f>
        <v/>
      </c>
      <c r="N2228" s="7">
        <f>IF((+G2228-K2228)=0,0,+G2228-K2228)</f>
        <v/>
      </c>
      <c r="O2228" s="7">
        <f>IF(N2228=0,0,(L2228+H2228)/-N2228)</f>
        <v/>
      </c>
      <c r="P2228" s="7">
        <f>VLOOKUP(OPERAC[[#This Row],[especie]],[1]!ESPECIES[#All],6,0)</f>
        <v/>
      </c>
      <c r="Q2228" s="7">
        <f>IF(N2228&lt;&gt;0,P2228*N2228,0)</f>
        <v/>
      </c>
      <c r="R2228" s="8">
        <f>IF(Q2228&lt;&gt;0,Q2228+H2228+L2228,0)</f>
        <v/>
      </c>
      <c r="S2228" s="9">
        <f>VLOOKUP(OPERAC[[#This Row],[especie]],[1]!ESPECIES[#Data],9,FALSE)</f>
        <v/>
      </c>
    </row>
    <row r="2229">
      <c r="A2229" s="4" t="n">
        <v>2279</v>
      </c>
      <c r="B2229" s="5" t="n">
        <v>44489</v>
      </c>
      <c r="C2229" s="13" t="inlineStr">
        <is>
          <t>VTA</t>
        </is>
      </c>
      <c r="D2229" s="13" t="n">
        <v>43</v>
      </c>
      <c r="E2229" s="10">
        <f>IF(D2229&gt;0,VLOOKUP(OPERAC[[#This Row],[COD CART]],[1]!MatrizCortoLargoCyl[#All],3,0),"")</f>
        <v/>
      </c>
      <c r="F2229" s="13" t="inlineStr">
        <is>
          <t>SESN/CYL-PUT/1,00/19-01-24</t>
        </is>
      </c>
      <c r="G2229" s="6" t="n">
        <v>2000</v>
      </c>
      <c r="H2229" s="6">
        <f>-0.1885*OPERAC[[#This Row],[cantidad]]</f>
        <v/>
      </c>
      <c r="I2229" s="7">
        <f>-H2229/G2229</f>
        <v/>
      </c>
      <c r="J2229" s="11" t="n"/>
      <c r="K2229" s="6" t="n"/>
      <c r="L2229" s="6" t="n"/>
      <c r="M2229" s="7">
        <f>IF(N2229=0,+L2229+H2229,0)</f>
        <v/>
      </c>
      <c r="N2229" s="7">
        <f>IF((+G2229-K2229)=0,0,+G2229-K2229)</f>
        <v/>
      </c>
      <c r="O2229" s="7">
        <f>IF(N2229=0,0,(L2229+H2229)/-N2229)</f>
        <v/>
      </c>
      <c r="P2229" s="7">
        <f>VLOOKUP(OPERAC[[#This Row],[especie]],[1]!ESPECIES[#All],6,0)</f>
        <v/>
      </c>
      <c r="Q2229" s="7">
        <f>IF(N2229&lt;&gt;0,P2229*N2229,0)</f>
        <v/>
      </c>
      <c r="R2229" s="8">
        <f>IF(Q2229&lt;&gt;0,Q2229+H2229+L2229,0)</f>
        <v/>
      </c>
      <c r="S2229" s="9">
        <f>VLOOKUP(OPERAC[[#This Row],[especie]],[1]!ESPECIES[#Data],9,FALSE)</f>
        <v/>
      </c>
    </row>
    <row r="2230">
      <c r="A2230" s="4" t="n">
        <v>4543</v>
      </c>
      <c r="B2230" s="5" t="n">
        <v>44489</v>
      </c>
      <c r="C2230" s="13" t="inlineStr">
        <is>
          <t>VTA</t>
        </is>
      </c>
      <c r="D2230" s="13" t="n">
        <v>43</v>
      </c>
      <c r="E2230" s="10">
        <f>IF(D2230&gt;0,VLOOKUP(OPERAC[[#This Row],[COD CART]],[1]!MatrizCortoLargoCyl[#All],3,0),"")</f>
        <v/>
      </c>
      <c r="F2230" s="13" t="inlineStr">
        <is>
          <t>SESN/CYL-PUT/1,00/19-01-24</t>
        </is>
      </c>
      <c r="G2230" s="6" t="n">
        <v>2000</v>
      </c>
      <c r="H2230" s="6">
        <f>-0.1885*OPERAC[[#This Row],[cantidad]]</f>
        <v/>
      </c>
      <c r="I2230" s="7">
        <f>-H2230/G2230</f>
        <v/>
      </c>
      <c r="J2230" s="11" t="n">
        <v>44615</v>
      </c>
      <c r="K2230" s="6" t="n">
        <v>2000</v>
      </c>
      <c r="L2230" s="6">
        <f>1218.736-510.8</f>
        <v/>
      </c>
      <c r="M2230" s="7">
        <f>IF(N2230=0,+L2230+H2230,0)</f>
        <v/>
      </c>
      <c r="N2230" s="7">
        <f>IF((+G2230-K2230)=0,0,+G2230-K2230)</f>
        <v/>
      </c>
      <c r="O2230" s="7">
        <f>IF(N2230=0,0,(L2230+H2230)/-N2230)</f>
        <v/>
      </c>
      <c r="P2230" s="7">
        <f>VLOOKUP(OPERAC[[#This Row],[especie]],[1]!ESPECIES[#All],6,0)</f>
        <v/>
      </c>
      <c r="Q2230" s="7">
        <f>IF(N2230&lt;&gt;0,P2230*N2230,0)</f>
        <v/>
      </c>
      <c r="R2230" s="8">
        <f>IF(Q2230&lt;&gt;0,Q2230+H2230+L2230,0)</f>
        <v/>
      </c>
      <c r="S2230" s="9">
        <f>VLOOKUP(OPERAC[[#This Row],[especie]],[1]!ESPECIES[#Data],9,FALSE)</f>
        <v/>
      </c>
    </row>
    <row r="2231">
      <c r="A2231" s="4" t="n">
        <v>6579</v>
      </c>
      <c r="B2231" s="5" t="n">
        <v>44489</v>
      </c>
      <c r="C2231" s="13" t="inlineStr">
        <is>
          <t>VTA</t>
        </is>
      </c>
      <c r="D2231" s="13" t="n">
        <v>43</v>
      </c>
      <c r="E2231" s="10">
        <f>IF(D2231&gt;0,VLOOKUP(OPERAC[[#This Row],[COD CART]],[1]!MatrizCortoLargoCyl[#All],3,0),"")</f>
        <v/>
      </c>
      <c r="F2231" s="13" t="inlineStr">
        <is>
          <t>SESN/CYL-PUT/1,00/19-01-24</t>
        </is>
      </c>
      <c r="G2231" s="6" t="n">
        <v>2000</v>
      </c>
      <c r="H2231" s="6">
        <f>-0.1885*OPERAC[[#This Row],[cantidad]]</f>
        <v/>
      </c>
      <c r="I2231" s="7">
        <f>-H2231/G2231</f>
        <v/>
      </c>
      <c r="J2231" s="11" t="n">
        <v>44616</v>
      </c>
      <c r="K2231" s="6" t="n">
        <v>2000</v>
      </c>
      <c r="L2231" s="6" t="n">
        <v>643.54</v>
      </c>
      <c r="M2231" s="7">
        <f>IF(N2231=0,+L2231+H2231,0)</f>
        <v/>
      </c>
      <c r="N2231" s="7">
        <f>IF((+G2231-K2231)=0,0,+G2231-K2231)</f>
        <v/>
      </c>
      <c r="O2231" s="7">
        <f>IF(N2231=0,0,(L2231+H2231)/-N2231)</f>
        <v/>
      </c>
      <c r="P2231" s="7">
        <f>VLOOKUP(OPERAC[[#This Row],[especie]],[1]!ESPECIES[#All],6,0)</f>
        <v/>
      </c>
      <c r="Q2231" s="7">
        <f>IF(N2231&lt;&gt;0,P2231*N2231,0)</f>
        <v/>
      </c>
      <c r="R2231" s="8">
        <f>IF(Q2231&lt;&gt;0,Q2231+H2231+L2231,0)</f>
        <v/>
      </c>
      <c r="S2231" s="9">
        <f>VLOOKUP(OPERAC[[#This Row],[especie]],[1]!ESPECIES[#Data],9,FALSE)</f>
        <v/>
      </c>
    </row>
    <row r="2232">
      <c r="A2232" s="4" t="n">
        <v>7879</v>
      </c>
      <c r="B2232" s="5" t="n">
        <v>44489</v>
      </c>
      <c r="C2232" s="13" t="inlineStr">
        <is>
          <t>VTA</t>
        </is>
      </c>
      <c r="D2232" s="13" t="n">
        <v>43</v>
      </c>
      <c r="E2232" s="10">
        <f>IF(D2232&gt;0,VLOOKUP(OPERAC[[#This Row],[COD CART]],[1]!MatrizCortoLargoCyl[#All],3,0),"")</f>
        <v/>
      </c>
      <c r="F2232" s="13" t="inlineStr">
        <is>
          <t>SESN/CYL-PUT/1,00/19-01-24</t>
        </is>
      </c>
      <c r="G2232" s="6" t="n">
        <v>2000</v>
      </c>
      <c r="H2232" s="6">
        <f>-0.1885*OPERAC[[#This Row],[cantidad]]</f>
        <v/>
      </c>
      <c r="I2232" s="7">
        <f>-H2232/G2232</f>
        <v/>
      </c>
      <c r="J2232" s="11" t="n"/>
      <c r="K2232" s="6" t="n"/>
      <c r="L2232" s="6" t="n"/>
      <c r="M2232" s="7">
        <f>IF(N2232=0,+L2232+H2232,0)</f>
        <v/>
      </c>
      <c r="N2232" s="7">
        <f>IF((+G2232-K2232)=0,0,+G2232-K2232)</f>
        <v/>
      </c>
      <c r="O2232" s="7">
        <f>IF(N2232=0,0,(L2232+H2232)/-N2232)</f>
        <v/>
      </c>
      <c r="P2232" s="7">
        <f>VLOOKUP(OPERAC[[#This Row],[especie]],[1]!ESPECIES[#All],6,0)</f>
        <v/>
      </c>
      <c r="Q2232" s="7">
        <f>IF(N2232&lt;&gt;0,P2232*N2232,0)</f>
        <v/>
      </c>
      <c r="R2232" s="8">
        <f>IF(Q2232&lt;&gt;0,Q2232+H2232+L2232,0)</f>
        <v/>
      </c>
      <c r="S2232" s="9">
        <f>VLOOKUP(OPERAC[[#This Row],[especie]],[1]!ESPECIES[#Data],9,FALSE)</f>
        <v/>
      </c>
    </row>
    <row r="2233">
      <c r="A2233" s="4" t="n">
        <v>7895</v>
      </c>
      <c r="B2233" s="5" t="n">
        <v>44489</v>
      </c>
      <c r="C2233" s="13" t="inlineStr">
        <is>
          <t>VTA</t>
        </is>
      </c>
      <c r="D2233" s="13" t="n">
        <v>43</v>
      </c>
      <c r="E2233" s="10">
        <f>IF(D2233&gt;0,VLOOKUP(OPERAC[[#This Row],[COD CART]],[1]!MatrizCortoLargoCyl[#All],3,0),"")</f>
        <v/>
      </c>
      <c r="F2233" s="13" t="inlineStr">
        <is>
          <t>SESN/CYL-PUT/1,00/19-01-24</t>
        </is>
      </c>
      <c r="G2233" s="6" t="n">
        <v>2000</v>
      </c>
      <c r="H2233" s="6">
        <f>-0.1885*OPERAC[[#This Row],[cantidad]]</f>
        <v/>
      </c>
      <c r="I2233" s="7">
        <f>-H2233/G2233</f>
        <v/>
      </c>
      <c r="J2233" s="11" t="n"/>
      <c r="K2233" s="6" t="n"/>
      <c r="L2233" s="6" t="n"/>
      <c r="M2233" s="7">
        <f>IF(N2233=0,+L2233+H2233,0)</f>
        <v/>
      </c>
      <c r="N2233" s="7">
        <f>IF((+G2233-K2233)=0,0,+G2233-K2233)</f>
        <v/>
      </c>
      <c r="O2233" s="7">
        <f>IF(N2233=0,0,(L2233+H2233)/-N2233)</f>
        <v/>
      </c>
      <c r="P2233" s="7">
        <f>VLOOKUP(OPERAC[[#This Row],[especie]],[1]!ESPECIES[#All],6,0)</f>
        <v/>
      </c>
      <c r="Q2233" s="7">
        <f>IF(N2233&lt;&gt;0,P2233*N2233,0)</f>
        <v/>
      </c>
      <c r="R2233" s="8">
        <f>IF(Q2233&lt;&gt;0,Q2233+H2233+L2233,0)</f>
        <v/>
      </c>
      <c r="S2233" s="9">
        <f>VLOOKUP(OPERAC[[#This Row],[especie]],[1]!ESPECIES[#Data],9,FALSE)</f>
        <v/>
      </c>
    </row>
    <row r="2234">
      <c r="A2234" s="4" t="n">
        <v>18677</v>
      </c>
      <c r="B2234" s="5" t="n">
        <v>44489</v>
      </c>
      <c r="C2234" s="13" t="inlineStr">
        <is>
          <t>VTA</t>
        </is>
      </c>
      <c r="D2234" s="13" t="n">
        <v>43</v>
      </c>
      <c r="E2234" s="10">
        <f>IF(D2234&gt;0,VLOOKUP(OPERAC[[#This Row],[COD CART]],[1]!MatrizCortoLargoCyl[#All],3,0),"")</f>
        <v/>
      </c>
      <c r="F2234" s="13" t="inlineStr">
        <is>
          <t>SESN/CYL-PUT/1,00/19-01-24</t>
        </is>
      </c>
      <c r="G2234" s="6" t="n">
        <v>2000</v>
      </c>
      <c r="H2234" s="6">
        <f>-0.1885*OPERAC[[#This Row],[cantidad]]</f>
        <v/>
      </c>
      <c r="I2234" s="7">
        <f>-H2234/G2234</f>
        <v/>
      </c>
      <c r="J2234" s="11" t="n">
        <v>44615</v>
      </c>
      <c r="K2234" s="6" t="n">
        <v>2000</v>
      </c>
      <c r="L2234" s="6">
        <f>1218.736-510.8</f>
        <v/>
      </c>
      <c r="M2234" s="7">
        <f>IF(N2234=0,+L2234+H2234,0)</f>
        <v/>
      </c>
      <c r="N2234" s="7">
        <f>IF((+G2234-K2234)=0,0,+G2234-K2234)</f>
        <v/>
      </c>
      <c r="O2234" s="7">
        <f>IF(N2234=0,0,(L2234+H2234)/-N2234)</f>
        <v/>
      </c>
      <c r="P2234" s="7">
        <f>VLOOKUP(OPERAC[[#This Row],[especie]],[1]!ESPECIES[#All],6,0)</f>
        <v/>
      </c>
      <c r="Q2234" s="7">
        <f>IF(N2234&lt;&gt;0,P2234*N2234,0)</f>
        <v/>
      </c>
      <c r="R2234" s="8">
        <f>IF(Q2234&lt;&gt;0,Q2234+H2234+L2234,0)</f>
        <v/>
      </c>
      <c r="S2234" s="9">
        <f>VLOOKUP(OPERAC[[#This Row],[especie]],[1]!ESPECIES[#Data],9,FALSE)</f>
        <v/>
      </c>
    </row>
    <row r="2235">
      <c r="A2235" s="4" t="n">
        <v>18705</v>
      </c>
      <c r="B2235" s="5" t="n">
        <v>44489</v>
      </c>
      <c r="C2235" s="13" t="inlineStr">
        <is>
          <t>VTA</t>
        </is>
      </c>
      <c r="D2235" s="13" t="n">
        <v>43</v>
      </c>
      <c r="E2235" s="10">
        <f>IF(D2235&gt;0,VLOOKUP(OPERAC[[#This Row],[COD CART]],[1]!MatrizCortoLargoCyl[#All],3,0),"")</f>
        <v/>
      </c>
      <c r="F2235" s="13" t="inlineStr">
        <is>
          <t>SESN/CYL-PUT/1,00/19-01-24</t>
        </is>
      </c>
      <c r="G2235" s="6" t="n">
        <v>2000</v>
      </c>
      <c r="H2235" s="6">
        <f>-0.1885*OPERAC[[#This Row],[cantidad]]</f>
        <v/>
      </c>
      <c r="I2235" s="7">
        <f>-H2235/G2235</f>
        <v/>
      </c>
      <c r="J2235" s="11" t="n"/>
      <c r="K2235" s="6" t="n"/>
      <c r="L2235" s="6" t="n"/>
      <c r="M2235" s="7">
        <f>IF(N2235=0,+L2235+H2235,0)</f>
        <v/>
      </c>
      <c r="N2235" s="7">
        <f>IF((+G2235-K2235)=0,0,+G2235-K2235)</f>
        <v/>
      </c>
      <c r="O2235" s="7">
        <f>IF(N2235=0,0,(L2235+H2235)/-N2235)</f>
        <v/>
      </c>
      <c r="P2235" s="7">
        <f>VLOOKUP(OPERAC[[#This Row],[especie]],[1]!ESPECIES[#All],6,0)</f>
        <v/>
      </c>
      <c r="Q2235" s="7">
        <f>IF(N2235&lt;&gt;0,P2235*N2235,0)</f>
        <v/>
      </c>
      <c r="R2235" s="8">
        <f>IF(Q2235&lt;&gt;0,Q2235+H2235+L2235,0)</f>
        <v/>
      </c>
      <c r="S2235" s="9">
        <f>VLOOKUP(OPERAC[[#This Row],[especie]],[1]!ESPECIES[#Data],9,FALSE)</f>
        <v/>
      </c>
    </row>
    <row r="2236">
      <c r="A2236" s="4" t="n">
        <v>20317</v>
      </c>
      <c r="B2236" s="5" t="n">
        <v>44489</v>
      </c>
      <c r="C2236" s="13" t="inlineStr">
        <is>
          <t>VTA</t>
        </is>
      </c>
      <c r="D2236" s="13" t="n">
        <v>43</v>
      </c>
      <c r="E2236" s="10">
        <f>IF(D2236&gt;0,VLOOKUP(OPERAC[[#This Row],[COD CART]],[1]!MatrizCortoLargoCyl[#All],3,0),"")</f>
        <v/>
      </c>
      <c r="F2236" s="13" t="inlineStr">
        <is>
          <t>SESN/CYL-PUT/1,00/19-01-24</t>
        </is>
      </c>
      <c r="G2236" s="6" t="n">
        <v>2000</v>
      </c>
      <c r="H2236" s="6">
        <f>-0.1885*OPERAC[[#This Row],[cantidad]]</f>
        <v/>
      </c>
      <c r="I2236" s="7">
        <f>-H2236/G2236</f>
        <v/>
      </c>
      <c r="J2236" s="11" t="n"/>
      <c r="K2236" s="6" t="n"/>
      <c r="L2236" s="6" t="n"/>
      <c r="M2236" s="7">
        <f>IF(N2236=0,+L2236+H2236,0)</f>
        <v/>
      </c>
      <c r="N2236" s="7">
        <f>IF((+G2236-K2236)=0,0,+G2236-K2236)</f>
        <v/>
      </c>
      <c r="O2236" s="7">
        <f>IF(N2236=0,0,(L2236+H2236)/-N2236)</f>
        <v/>
      </c>
      <c r="P2236" s="7">
        <f>VLOOKUP(OPERAC[[#This Row],[especie]],[1]!ESPECIES[#All],6,0)</f>
        <v/>
      </c>
      <c r="Q2236" s="7">
        <f>IF(N2236&lt;&gt;0,P2236*N2236,0)</f>
        <v/>
      </c>
      <c r="R2236" s="8">
        <f>IF(Q2236&lt;&gt;0,Q2236+H2236+L2236,0)</f>
        <v/>
      </c>
      <c r="S2236" s="9">
        <f>VLOOKUP(OPERAC[[#This Row],[especie]],[1]!ESPECIES[#Data],9,FALSE)</f>
        <v/>
      </c>
    </row>
    <row r="2237">
      <c r="A2237" s="4" t="n">
        <v>13240</v>
      </c>
      <c r="B2237" s="5" t="n">
        <v>44538</v>
      </c>
      <c r="C2237" s="13" t="inlineStr">
        <is>
          <t>VTA</t>
        </is>
      </c>
      <c r="D2237" s="13" t="n">
        <v>43</v>
      </c>
      <c r="E2237" s="10">
        <f>IF(D2237&gt;0,VLOOKUP(OPERAC[[#This Row],[COD CART]],[1]!MatrizCortoLargoCyl[#All],3,0),"")</f>
        <v/>
      </c>
      <c r="F2237" s="13" t="inlineStr">
        <is>
          <t>HEXO/CYL-PUT/1,00/20-01-23</t>
        </is>
      </c>
      <c r="G2237" s="6" t="n">
        <v>2000</v>
      </c>
      <c r="H2237" s="6">
        <f>-0.1886*OPERAC[[#This Row],[cantidad]]</f>
        <v/>
      </c>
      <c r="I2237" s="7">
        <f>-H2237/G2237</f>
        <v/>
      </c>
      <c r="J2237" s="11" t="n">
        <v>44614</v>
      </c>
      <c r="K2237" s="6" t="n">
        <v>2000</v>
      </c>
      <c r="L2237" s="6">
        <f>0.3306*OPERAC[[#This Row],[cantidad venta]]</f>
        <v/>
      </c>
      <c r="M2237" s="7">
        <f>IF(N2237=0,+L2237+H2237,0)</f>
        <v/>
      </c>
      <c r="N2237" s="7">
        <f>IF((+G2237-K2237)=0,0,+G2237-K2237)</f>
        <v/>
      </c>
      <c r="O2237" s="7">
        <f>IF(N2237=0,0,(L2237+H2237)/-N2237)</f>
        <v/>
      </c>
      <c r="P2237" s="7">
        <f>VLOOKUP(OPERAC[[#This Row],[especie]],[1]!ESPECIES[#All],6,0)</f>
        <v/>
      </c>
      <c r="Q2237" s="7">
        <f>IF(N2237&lt;&gt;0,P2237*N2237,0)</f>
        <v/>
      </c>
      <c r="R2237" s="8">
        <f>IF(Q2237&lt;&gt;0,Q2237+H2237+L2237,0)</f>
        <v/>
      </c>
      <c r="S2237" s="9">
        <f>VLOOKUP(OPERAC[[#This Row],[especie]],[1]!ESPECIES[#Data],9,FALSE)</f>
        <v/>
      </c>
    </row>
    <row r="2238">
      <c r="A2238" s="4" t="n">
        <v>13246</v>
      </c>
      <c r="B2238" s="5" t="n">
        <v>44538</v>
      </c>
      <c r="C2238" s="13" t="inlineStr">
        <is>
          <t>VTA</t>
        </is>
      </c>
      <c r="D2238" s="13" t="n">
        <v>43</v>
      </c>
      <c r="E2238" s="10">
        <f>IF(D2238&gt;0,VLOOKUP(OPERAC[[#This Row],[COD CART]],[1]!MatrizCortoLargoCyl[#All],3,0),"")</f>
        <v/>
      </c>
      <c r="F2238" s="13" t="inlineStr">
        <is>
          <t>HEXO/CYL-PUT/1,00/20-01-23</t>
        </is>
      </c>
      <c r="G2238" s="6" t="n">
        <v>2000</v>
      </c>
      <c r="H2238" s="6">
        <f>-0.1886*OPERAC[[#This Row],[cantidad]]</f>
        <v/>
      </c>
      <c r="I2238" s="7">
        <f>-H2238/G2238</f>
        <v/>
      </c>
      <c r="J2238" s="11" t="n"/>
      <c r="K2238" s="6" t="n"/>
      <c r="L2238" s="6" t="n"/>
      <c r="M2238" s="7">
        <f>IF(N2238=0,+L2238+H2238,0)</f>
        <v/>
      </c>
      <c r="N2238" s="7">
        <f>IF((+G2238-K2238)=0,0,+G2238-K2238)</f>
        <v/>
      </c>
      <c r="O2238" s="7">
        <f>IF(N2238=0,0,(L2238+H2238)/-N2238)</f>
        <v/>
      </c>
      <c r="P2238" s="7">
        <f>VLOOKUP(OPERAC[[#This Row],[especie]],[1]!ESPECIES[#All],6,0)</f>
        <v/>
      </c>
      <c r="Q2238" s="7">
        <f>IF(N2238&lt;&gt;0,P2238*N2238,0)</f>
        <v/>
      </c>
      <c r="R2238" s="8">
        <f>IF(Q2238&lt;&gt;0,Q2238+H2238+L2238,0)</f>
        <v/>
      </c>
      <c r="S2238" s="9">
        <f>VLOOKUP(OPERAC[[#This Row],[especie]],[1]!ESPECIES[#Data],9,FALSE)</f>
        <v/>
      </c>
    </row>
    <row r="2239">
      <c r="A2239" s="4" t="n">
        <v>18724</v>
      </c>
      <c r="B2239" s="5" t="n">
        <v>44538</v>
      </c>
      <c r="C2239" s="13" t="inlineStr">
        <is>
          <t>VTA</t>
        </is>
      </c>
      <c r="D2239" s="13" t="n">
        <v>43</v>
      </c>
      <c r="E2239" s="10">
        <f>IF(D2239&gt;0,VLOOKUP(OPERAC[[#This Row],[COD CART]],[1]!MatrizCortoLargoCyl[#All],3,0),"")</f>
        <v/>
      </c>
      <c r="F2239" s="13" t="inlineStr">
        <is>
          <t>HEXO/CYL-PUT/1,00/20-01-23</t>
        </is>
      </c>
      <c r="G2239" s="6" t="n">
        <v>2000</v>
      </c>
      <c r="H2239" s="6">
        <f>-0.1886*OPERAC[[#This Row],[cantidad]]</f>
        <v/>
      </c>
      <c r="I2239" s="7">
        <f>-H2239/G2239</f>
        <v/>
      </c>
      <c r="J2239" s="11" t="n">
        <v>44614</v>
      </c>
      <c r="K2239" s="6" t="n">
        <v>2000</v>
      </c>
      <c r="L2239" s="6" t="n">
        <v>661.346</v>
      </c>
      <c r="M2239" s="7">
        <f>IF(N2239=0,+L2239+H2239,0)</f>
        <v/>
      </c>
      <c r="N2239" s="7">
        <f>IF((+G2239-K2239)=0,0,+G2239-K2239)</f>
        <v/>
      </c>
      <c r="O2239" s="7">
        <f>IF(N2239=0,0,(L2239+H2239)/-N2239)</f>
        <v/>
      </c>
      <c r="P2239" s="7">
        <f>VLOOKUP(OPERAC[[#This Row],[especie]],[1]!ESPECIES[#All],6,0)</f>
        <v/>
      </c>
      <c r="Q2239" s="7">
        <f>IF(N2239&lt;&gt;0,P2239*N2239,0)</f>
        <v/>
      </c>
      <c r="R2239" s="8">
        <f>IF(Q2239&lt;&gt;0,Q2239+H2239+L2239,0)</f>
        <v/>
      </c>
      <c r="S2239" s="9">
        <f>VLOOKUP(OPERAC[[#This Row],[especie]],[1]!ESPECIES[#Data],9,FALSE)</f>
        <v/>
      </c>
    </row>
    <row r="2240">
      <c r="A2240" s="4" t="n">
        <v>2255</v>
      </c>
      <c r="B2240" s="5" t="n">
        <v>44552</v>
      </c>
      <c r="C2240" s="13" t="inlineStr">
        <is>
          <t>VTA</t>
        </is>
      </c>
      <c r="D2240" s="13" t="n">
        <v>32</v>
      </c>
      <c r="E2240" s="10">
        <f>IF(D2240&gt;0,VLOOKUP(OPERAC[[#This Row],[COD CART]],[1]!MatrizCortoLargoCyl[#All],3,0),"")</f>
        <v/>
      </c>
      <c r="F2240" s="13" t="inlineStr">
        <is>
          <t>HMY/CYL/4,00/21-01-22</t>
        </is>
      </c>
      <c r="G2240" s="6" t="n">
        <v>100</v>
      </c>
      <c r="H2240" s="6">
        <f>-3.8*OPERAC[[#This Row],[cantidad]]</f>
        <v/>
      </c>
      <c r="I2240" s="7">
        <f>-H2240/G2240</f>
        <v/>
      </c>
      <c r="J2240" s="11" t="n">
        <v>44580</v>
      </c>
      <c r="K2240" s="6" t="n">
        <v>100</v>
      </c>
      <c r="L2240" s="6" t="n">
        <v>393.93</v>
      </c>
      <c r="M2240" s="7">
        <f>IF(N2240=0,+L2240+H2240,0)</f>
        <v/>
      </c>
      <c r="N2240" s="7">
        <f>IF((+G2240-K2240)=0,0,+G2240-K2240)</f>
        <v/>
      </c>
      <c r="O2240" s="7">
        <f>IF(N2240=0,0,(L2240+H2240)/-N2240)</f>
        <v/>
      </c>
      <c r="P2240" s="7">
        <f>VLOOKUP(OPERAC[[#This Row],[especie]],[1]!ESPECIES[#All],6,0)</f>
        <v/>
      </c>
      <c r="Q2240" s="7">
        <f>IF(N2240&lt;&gt;0,P2240*N2240,0)</f>
        <v/>
      </c>
      <c r="R2240" s="8">
        <f>IF(Q2240&lt;&gt;0,Q2240+H2240+L2240,0)</f>
        <v/>
      </c>
      <c r="S2240" s="9">
        <f>VLOOKUP(OPERAC[[#This Row],[especie]],[1]!ESPECIES[#Data],9,FALSE)</f>
        <v/>
      </c>
    </row>
    <row r="2241">
      <c r="A2241" s="4" t="n">
        <v>6628</v>
      </c>
      <c r="B2241" s="5" t="n">
        <v>44552</v>
      </c>
      <c r="C2241" s="13" t="inlineStr">
        <is>
          <t>VTA</t>
        </is>
      </c>
      <c r="D2241" s="13" t="n">
        <v>32</v>
      </c>
      <c r="E2241" s="10">
        <f>IF(D2241&gt;0,VLOOKUP(OPERAC[[#This Row],[COD CART]],[1]!MatrizCortoLargoCyl[#All],3,0),"")</f>
        <v/>
      </c>
      <c r="F2241" s="13" t="inlineStr">
        <is>
          <t>HMY/CYL/4,00/21-01-22</t>
        </is>
      </c>
      <c r="G2241" s="6" t="n">
        <v>100</v>
      </c>
      <c r="H2241" s="6">
        <f>-3.8*OPERAC[[#This Row],[cantidad]]</f>
        <v/>
      </c>
      <c r="I2241" s="7">
        <f>-H2241/G2241</f>
        <v/>
      </c>
      <c r="J2241" s="11" t="n">
        <v>44580</v>
      </c>
      <c r="K2241" s="6" t="n">
        <v>100</v>
      </c>
      <c r="L2241" s="6" t="n">
        <v>393.93</v>
      </c>
      <c r="M2241" s="7">
        <f>IF(N2241=0,+L2241+H2241,0)</f>
        <v/>
      </c>
      <c r="N2241" s="7">
        <f>IF((+G2241-K2241)=0,0,+G2241-K2241)</f>
        <v/>
      </c>
      <c r="O2241" s="7">
        <f>IF(N2241=0,0,(L2241+H2241)/-N2241)</f>
        <v/>
      </c>
      <c r="P2241" s="7">
        <f>VLOOKUP(OPERAC[[#This Row],[especie]],[1]!ESPECIES[#All],6,0)</f>
        <v/>
      </c>
      <c r="Q2241" s="7">
        <f>IF(N2241&lt;&gt;0,P2241*N2241,0)</f>
        <v/>
      </c>
      <c r="R2241" s="8">
        <f>IF(Q2241&lt;&gt;0,Q2241+H2241+L2241,0)</f>
        <v/>
      </c>
      <c r="S2241" s="9">
        <f>VLOOKUP(OPERAC[[#This Row],[especie]],[1]!ESPECIES[#Data],9,FALSE)</f>
        <v/>
      </c>
    </row>
    <row r="2242">
      <c r="A2242" s="4" t="n">
        <v>12671</v>
      </c>
      <c r="B2242" s="5" t="n">
        <v>44552</v>
      </c>
      <c r="C2242" s="13" t="inlineStr">
        <is>
          <t>VTA</t>
        </is>
      </c>
      <c r="D2242" s="13" t="n">
        <v>32</v>
      </c>
      <c r="E2242" s="10">
        <f>IF(D2242&gt;0,VLOOKUP(OPERAC[[#This Row],[COD CART]],[1]!MatrizCortoLargoCyl[#All],3,0),"")</f>
        <v/>
      </c>
      <c r="F2242" s="13" t="inlineStr">
        <is>
          <t>HMY/CYL/4,00/21-01-22</t>
        </is>
      </c>
      <c r="G2242" s="6" t="n">
        <v>100</v>
      </c>
      <c r="H2242" s="6">
        <f>-3.8*OPERAC[[#This Row],[cantidad]]</f>
        <v/>
      </c>
      <c r="I2242" s="7">
        <f>-H2242/G2242</f>
        <v/>
      </c>
      <c r="J2242" s="11" t="n">
        <v>44580</v>
      </c>
      <c r="K2242" s="6" t="n">
        <v>100</v>
      </c>
      <c r="L2242" s="6" t="n">
        <v>393.93</v>
      </c>
      <c r="M2242" s="7">
        <f>IF(N2242=0,+L2242+H2242,0)</f>
        <v/>
      </c>
      <c r="N2242" s="7">
        <f>IF((+G2242-K2242)=0,0,+G2242-K2242)</f>
        <v/>
      </c>
      <c r="O2242" s="7">
        <f>IF(N2242=0,0,(L2242+H2242)/-N2242)</f>
        <v/>
      </c>
      <c r="P2242" s="7">
        <f>VLOOKUP(OPERAC[[#This Row],[especie]],[1]!ESPECIES[#All],6,0)</f>
        <v/>
      </c>
      <c r="Q2242" s="7">
        <f>IF(N2242&lt;&gt;0,P2242*N2242,0)</f>
        <v/>
      </c>
      <c r="R2242" s="8">
        <f>IF(Q2242&lt;&gt;0,Q2242+H2242+L2242,0)</f>
        <v/>
      </c>
      <c r="S2242" s="9">
        <f>VLOOKUP(OPERAC[[#This Row],[especie]],[1]!ESPECIES[#Data],9,FALSE)</f>
        <v/>
      </c>
    </row>
    <row r="2243">
      <c r="A2243" s="4" t="n">
        <v>12686</v>
      </c>
      <c r="B2243" s="5" t="n">
        <v>44552</v>
      </c>
      <c r="C2243" s="13" t="inlineStr">
        <is>
          <t>VTA</t>
        </is>
      </c>
      <c r="D2243" s="13" t="n">
        <v>32</v>
      </c>
      <c r="E2243" s="10">
        <f>IF(D2243&gt;0,VLOOKUP(OPERAC[[#This Row],[COD CART]],[1]!MatrizCortoLargoCyl[#All],3,0),"")</f>
        <v/>
      </c>
      <c r="F2243" s="13" t="inlineStr">
        <is>
          <t>HMY/CYL/4,00/21-01-22</t>
        </is>
      </c>
      <c r="G2243" s="6" t="n">
        <v>100</v>
      </c>
      <c r="H2243" s="6">
        <f>-3.8*OPERAC[[#This Row],[cantidad]]</f>
        <v/>
      </c>
      <c r="I2243" s="7">
        <f>-H2243/G2243</f>
        <v/>
      </c>
      <c r="J2243" s="11" t="n">
        <v>44580</v>
      </c>
      <c r="K2243" s="6" t="n">
        <v>100</v>
      </c>
      <c r="L2243" s="6" t="n">
        <v>393.93</v>
      </c>
      <c r="M2243" s="7">
        <f>IF(N2243=0,+L2243+H2243,0)</f>
        <v/>
      </c>
      <c r="N2243" s="7">
        <f>IF((+G2243-K2243)=0,0,+G2243-K2243)</f>
        <v/>
      </c>
      <c r="O2243" s="7">
        <f>IF(N2243=0,0,(L2243+H2243)/-N2243)</f>
        <v/>
      </c>
      <c r="P2243" s="7">
        <f>VLOOKUP(OPERAC[[#This Row],[especie]],[1]!ESPECIES[#All],6,0)</f>
        <v/>
      </c>
      <c r="Q2243" s="7">
        <f>IF(N2243&lt;&gt;0,P2243*N2243,0)</f>
        <v/>
      </c>
      <c r="R2243" s="8">
        <f>IF(Q2243&lt;&gt;0,Q2243+H2243+L2243,0)</f>
        <v/>
      </c>
      <c r="S2243" s="9">
        <f>VLOOKUP(OPERAC[[#This Row],[especie]],[1]!ESPECIES[#Data],9,FALSE)</f>
        <v/>
      </c>
    </row>
    <row r="2244">
      <c r="A2244" s="4" t="n">
        <v>13190</v>
      </c>
      <c r="B2244" s="5" t="n">
        <v>44552</v>
      </c>
      <c r="C2244" s="13" t="inlineStr">
        <is>
          <t>VTA</t>
        </is>
      </c>
      <c r="D2244" s="13" t="n">
        <v>32</v>
      </c>
      <c r="E2244" s="10">
        <f>IF(D2244&gt;0,VLOOKUP(OPERAC[[#This Row],[COD CART]],[1]!MatrizCortoLargoCyl[#All],3,0),"")</f>
        <v/>
      </c>
      <c r="F2244" s="13" t="inlineStr">
        <is>
          <t>HMY/CYL/4,00/21-01-22</t>
        </is>
      </c>
      <c r="G2244" s="6" t="n">
        <v>100</v>
      </c>
      <c r="H2244" s="6">
        <f>-3.8*OPERAC[[#This Row],[cantidad]]</f>
        <v/>
      </c>
      <c r="I2244" s="7">
        <f>-H2244/G2244</f>
        <v/>
      </c>
      <c r="J2244" s="11" t="n">
        <v>44580</v>
      </c>
      <c r="K2244" s="6" t="n">
        <v>100</v>
      </c>
      <c r="L2244" s="6" t="n">
        <v>393.93</v>
      </c>
      <c r="M2244" s="7">
        <f>IF(N2244=0,+L2244+H2244,0)</f>
        <v/>
      </c>
      <c r="N2244" s="7">
        <f>IF((+G2244-K2244)=0,0,+G2244-K2244)</f>
        <v/>
      </c>
      <c r="O2244" s="7">
        <f>IF(N2244=0,0,(L2244+H2244)/-N2244)</f>
        <v/>
      </c>
      <c r="P2244" s="7">
        <f>VLOOKUP(OPERAC[[#This Row],[especie]],[1]!ESPECIES[#All],6,0)</f>
        <v/>
      </c>
      <c r="Q2244" s="7">
        <f>IF(N2244&lt;&gt;0,P2244*N2244,0)</f>
        <v/>
      </c>
      <c r="R2244" s="8">
        <f>IF(Q2244&lt;&gt;0,Q2244+H2244+L2244,0)</f>
        <v/>
      </c>
      <c r="S2244" s="9">
        <f>VLOOKUP(OPERAC[[#This Row],[especie]],[1]!ESPECIES[#Data],9,FALSE)</f>
        <v/>
      </c>
    </row>
    <row r="2245">
      <c r="A2245" s="4" t="n">
        <v>19920</v>
      </c>
      <c r="B2245" s="5" t="n">
        <v>44552</v>
      </c>
      <c r="C2245" s="13" t="inlineStr">
        <is>
          <t>VTA</t>
        </is>
      </c>
      <c r="D2245" s="13" t="n">
        <v>32</v>
      </c>
      <c r="E2245" s="10">
        <f>IF(D2245&gt;0,VLOOKUP(OPERAC[[#This Row],[COD CART]],[1]!MatrizCortoLargoCyl[#All],3,0),"")</f>
        <v/>
      </c>
      <c r="F2245" s="13" t="inlineStr">
        <is>
          <t>HMY/CYL/4,00/21-01-22</t>
        </is>
      </c>
      <c r="G2245" s="6" t="n">
        <v>100</v>
      </c>
      <c r="H2245" s="6">
        <f>-3.8*OPERAC[[#This Row],[cantidad]]</f>
        <v/>
      </c>
      <c r="I2245" s="7">
        <f>-H2245/G2245</f>
        <v/>
      </c>
      <c r="J2245" s="11" t="n">
        <v>44580</v>
      </c>
      <c r="K2245" s="6" t="n">
        <v>100</v>
      </c>
      <c r="L2245" s="6" t="n">
        <v>393.93</v>
      </c>
      <c r="M2245" s="7">
        <f>IF(N2245=0,+L2245+H2245,0)</f>
        <v/>
      </c>
      <c r="N2245" s="7">
        <f>IF((+G2245-K2245)=0,0,+G2245-K2245)</f>
        <v/>
      </c>
      <c r="O2245" s="7">
        <f>IF(N2245=0,0,(L2245+H2245)/-N2245)</f>
        <v/>
      </c>
      <c r="P2245" s="7">
        <f>VLOOKUP(OPERAC[[#This Row],[especie]],[1]!ESPECIES[#All],6,0)</f>
        <v/>
      </c>
      <c r="Q2245" s="7">
        <f>IF(N2245&lt;&gt;0,P2245*N2245,0)</f>
        <v/>
      </c>
      <c r="R2245" s="8">
        <f>IF(Q2245&lt;&gt;0,Q2245+H2245+L2245,0)</f>
        <v/>
      </c>
      <c r="S2245" s="9">
        <f>VLOOKUP(OPERAC[[#This Row],[especie]],[1]!ESPECIES[#Data],9,FALSE)</f>
        <v/>
      </c>
    </row>
    <row r="2246">
      <c r="A2246" s="4" t="n">
        <v>19931</v>
      </c>
      <c r="B2246" s="5" t="n">
        <v>44552</v>
      </c>
      <c r="C2246" s="13" t="inlineStr">
        <is>
          <t>VTA</t>
        </is>
      </c>
      <c r="D2246" s="13" t="n">
        <v>32</v>
      </c>
      <c r="E2246" s="10">
        <f>IF(D2246&gt;0,VLOOKUP(OPERAC[[#This Row],[COD CART]],[1]!MatrizCortoLargoCyl[#All],3,0),"")</f>
        <v/>
      </c>
      <c r="F2246" s="13" t="inlineStr">
        <is>
          <t>HMY/CYL/4,00/21-01-22</t>
        </is>
      </c>
      <c r="G2246" s="6" t="n">
        <v>100</v>
      </c>
      <c r="H2246" s="6">
        <f>-3.8*OPERAC[[#This Row],[cantidad]]</f>
        <v/>
      </c>
      <c r="I2246" s="7">
        <f>-H2246/G2246</f>
        <v/>
      </c>
      <c r="J2246" s="11" t="n">
        <v>44580</v>
      </c>
      <c r="K2246" s="6" t="n">
        <v>100</v>
      </c>
      <c r="L2246" s="6" t="n">
        <v>393.93</v>
      </c>
      <c r="M2246" s="7">
        <f>IF(N2246=0,+L2246+H2246,0)</f>
        <v/>
      </c>
      <c r="N2246" s="7">
        <f>IF((+G2246-K2246)=0,0,+G2246-K2246)</f>
        <v/>
      </c>
      <c r="O2246" s="7">
        <f>IF(N2246=0,0,(L2246+H2246)/-N2246)</f>
        <v/>
      </c>
      <c r="P2246" s="7">
        <f>VLOOKUP(OPERAC[[#This Row],[especie]],[1]!ESPECIES[#All],6,0)</f>
        <v/>
      </c>
      <c r="Q2246" s="7">
        <f>IF(N2246&lt;&gt;0,P2246*N2246,0)</f>
        <v/>
      </c>
      <c r="R2246" s="8">
        <f>IF(Q2246&lt;&gt;0,Q2246+H2246+L2246,0)</f>
        <v/>
      </c>
      <c r="S2246" s="9">
        <f>VLOOKUP(OPERAC[[#This Row],[especie]],[1]!ESPECIES[#Data],9,FALSE)</f>
        <v/>
      </c>
    </row>
    <row r="2247">
      <c r="A2247" s="4" t="n">
        <v>22407</v>
      </c>
      <c r="B2247" s="5" t="n">
        <v>44552</v>
      </c>
      <c r="C2247" s="13" t="inlineStr">
        <is>
          <t>VTA</t>
        </is>
      </c>
      <c r="D2247" s="13" t="n">
        <v>32</v>
      </c>
      <c r="E2247" s="10">
        <f>IF(D2247&gt;0,VLOOKUP(OPERAC[[#This Row],[COD CART]],[1]!MatrizCortoLargoCyl[#All],3,0),"")</f>
        <v/>
      </c>
      <c r="F2247" s="13" t="inlineStr">
        <is>
          <t>HMY/CYL/4,00/21-01-22</t>
        </is>
      </c>
      <c r="G2247" s="6" t="n">
        <v>100</v>
      </c>
      <c r="H2247" s="6">
        <f>-3.8*OPERAC[[#This Row],[cantidad]]</f>
        <v/>
      </c>
      <c r="I2247" s="7">
        <f>-H2247/G2247</f>
        <v/>
      </c>
      <c r="J2247" s="11" t="n">
        <v>44580</v>
      </c>
      <c r="K2247" s="6" t="n">
        <v>100</v>
      </c>
      <c r="L2247" s="6" t="n">
        <v>393.93</v>
      </c>
      <c r="M2247" s="7">
        <f>IF(N2247=0,+L2247+H2247,0)</f>
        <v/>
      </c>
      <c r="N2247" s="7">
        <f>IF((+G2247-K2247)=0,0,+G2247-K2247)</f>
        <v/>
      </c>
      <c r="O2247" s="7">
        <f>IF(N2247=0,0,(L2247+H2247)/-N2247)</f>
        <v/>
      </c>
      <c r="P2247" s="7">
        <f>VLOOKUP(OPERAC[[#This Row],[especie]],[1]!ESPECIES[#All],6,0)</f>
        <v/>
      </c>
      <c r="Q2247" s="7">
        <f>IF(N2247&lt;&gt;0,P2247*N2247,0)</f>
        <v/>
      </c>
      <c r="R2247" s="8">
        <f>IF(Q2247&lt;&gt;0,Q2247+H2247+L2247,0)</f>
        <v/>
      </c>
      <c r="S2247" s="9">
        <f>VLOOKUP(OPERAC[[#This Row],[especie]],[1]!ESPECIES[#Data],9,FALSE)</f>
        <v/>
      </c>
    </row>
    <row r="2248">
      <c r="A2248" s="4" t="n">
        <v>22439</v>
      </c>
      <c r="B2248" s="5" t="n">
        <v>44552</v>
      </c>
      <c r="C2248" s="13" t="inlineStr">
        <is>
          <t>VTA</t>
        </is>
      </c>
      <c r="D2248" s="13" t="n">
        <v>32</v>
      </c>
      <c r="E2248" s="10">
        <f>IF(D2248&gt;0,VLOOKUP(OPERAC[[#This Row],[COD CART]],[1]!MatrizCortoLargoCyl[#All],3,0),"")</f>
        <v/>
      </c>
      <c r="F2248" s="13" t="inlineStr">
        <is>
          <t>HMY/CYL/4,00/21-01-22</t>
        </is>
      </c>
      <c r="G2248" s="6" t="n">
        <v>100</v>
      </c>
      <c r="H2248" s="6">
        <f>-3.8*OPERAC[[#This Row],[cantidad]]</f>
        <v/>
      </c>
      <c r="I2248" s="7">
        <f>-H2248/G2248</f>
        <v/>
      </c>
      <c r="J2248" s="11" t="n">
        <v>44580</v>
      </c>
      <c r="K2248" s="6" t="n">
        <v>100</v>
      </c>
      <c r="L2248" s="6" t="n">
        <v>393.93</v>
      </c>
      <c r="M2248" s="7">
        <f>IF(N2248=0,+L2248+H2248,0)</f>
        <v/>
      </c>
      <c r="N2248" s="7">
        <f>IF((+G2248-K2248)=0,0,+G2248-K2248)</f>
        <v/>
      </c>
      <c r="O2248" s="7">
        <f>IF(N2248=0,0,(L2248+H2248)/-N2248)</f>
        <v/>
      </c>
      <c r="P2248" s="7">
        <f>VLOOKUP(OPERAC[[#This Row],[especie]],[1]!ESPECIES[#All],6,0)</f>
        <v/>
      </c>
      <c r="Q2248" s="7">
        <f>IF(N2248&lt;&gt;0,P2248*N2248,0)</f>
        <v/>
      </c>
      <c r="R2248" s="8">
        <f>IF(Q2248&lt;&gt;0,Q2248+H2248+L2248,0)</f>
        <v/>
      </c>
      <c r="S2248" s="9">
        <f>VLOOKUP(OPERAC[[#This Row],[especie]],[1]!ESPECIES[#Data],9,FALSE)</f>
        <v/>
      </c>
    </row>
    <row r="2249">
      <c r="A2249" s="4" t="n">
        <v>26138</v>
      </c>
      <c r="B2249" s="5" t="n">
        <v>44552</v>
      </c>
      <c r="C2249" s="13" t="inlineStr">
        <is>
          <t>VTA</t>
        </is>
      </c>
      <c r="D2249" s="13" t="n">
        <v>32</v>
      </c>
      <c r="E2249" s="10">
        <f>IF(D2249&gt;0,VLOOKUP(OPERAC[[#This Row],[COD CART]],[1]!MatrizCortoLargoCyl[#All],3,0),"")</f>
        <v/>
      </c>
      <c r="F2249" s="13" t="inlineStr">
        <is>
          <t>HMY/CYL/4,00/21-01-22</t>
        </is>
      </c>
      <c r="G2249" s="6" t="n">
        <v>100</v>
      </c>
      <c r="H2249" s="6">
        <f>-3.8*OPERAC[[#This Row],[cantidad]]</f>
        <v/>
      </c>
      <c r="I2249" s="7">
        <f>-H2249/G2249</f>
        <v/>
      </c>
      <c r="J2249" s="11" t="n">
        <v>44580</v>
      </c>
      <c r="K2249" s="6" t="n">
        <v>100</v>
      </c>
      <c r="L2249" s="6" t="n">
        <v>393.93</v>
      </c>
      <c r="M2249" s="7">
        <f>IF(N2249=0,+L2249+H2249,0)</f>
        <v/>
      </c>
      <c r="N2249" s="7">
        <f>IF((+G2249-K2249)=0,0,+G2249-K2249)</f>
        <v/>
      </c>
      <c r="O2249" s="7">
        <f>IF(N2249=0,0,(L2249+H2249)/-N2249)</f>
        <v/>
      </c>
      <c r="P2249" s="7">
        <f>VLOOKUP(OPERAC[[#This Row],[especie]],[1]!ESPECIES[#All],6,0)</f>
        <v/>
      </c>
      <c r="Q2249" s="7">
        <f>IF(N2249&lt;&gt;0,P2249*N2249,0)</f>
        <v/>
      </c>
      <c r="R2249" s="8">
        <f>IF(Q2249&lt;&gt;0,Q2249+H2249+L2249,0)</f>
        <v/>
      </c>
      <c r="S2249" s="9">
        <f>VLOOKUP(OPERAC[[#This Row],[especie]],[1]!ESPECIES[#Data],9,FALSE)</f>
        <v/>
      </c>
    </row>
    <row r="2250">
      <c r="A2250" s="4" t="n">
        <v>7867</v>
      </c>
      <c r="B2250" s="5" t="n">
        <v>44552</v>
      </c>
      <c r="C2250" s="13" t="inlineStr">
        <is>
          <t>VTA</t>
        </is>
      </c>
      <c r="D2250" s="13" t="n">
        <v>32</v>
      </c>
      <c r="E2250" s="10">
        <f>IF(D2250&gt;0,VLOOKUP(OPERAC[[#This Row],[COD CART]],[1]!MatrizCortoLargoCyl[#All],3,0),"")</f>
        <v/>
      </c>
      <c r="F2250" s="13" t="inlineStr">
        <is>
          <t>HMY/CYL/4,00/21-01-22</t>
        </is>
      </c>
      <c r="G2250" s="6" t="n">
        <v>100</v>
      </c>
      <c r="H2250" s="6">
        <f>-3.8*OPERAC[[#This Row],[cantidad]]</f>
        <v/>
      </c>
      <c r="I2250" s="7">
        <f>-H2250/G2250</f>
        <v/>
      </c>
      <c r="J2250" s="11" t="n">
        <v>44580</v>
      </c>
      <c r="K2250" s="6" t="n">
        <v>100</v>
      </c>
      <c r="L2250" s="6" t="n">
        <v>393.93</v>
      </c>
      <c r="M2250" s="7">
        <f>IF(N2250=0,+L2250+H2250,0)</f>
        <v/>
      </c>
      <c r="N2250" s="7">
        <f>IF((+G2250-K2250)=0,0,+G2250-K2250)</f>
        <v/>
      </c>
      <c r="O2250" s="7">
        <f>IF(N2250=0,0,(L2250+H2250)/-N2250)</f>
        <v/>
      </c>
      <c r="P2250" s="7">
        <f>VLOOKUP(OPERAC[[#This Row],[especie]],[1]!ESPECIES[#All],6,0)</f>
        <v/>
      </c>
      <c r="Q2250" s="7">
        <f>IF(N2250&lt;&gt;0,P2250*N2250,0)</f>
        <v/>
      </c>
      <c r="R2250" s="8">
        <f>IF(Q2250&lt;&gt;0,Q2250+H2250+L2250,0)</f>
        <v/>
      </c>
      <c r="S2250" s="9">
        <f>VLOOKUP(OPERAC[[#This Row],[especie]],[1]!ESPECIES[#Data],9,FALSE)</f>
        <v/>
      </c>
    </row>
    <row r="2251">
      <c r="A2251" s="4" t="n">
        <v>2218</v>
      </c>
      <c r="B2251" s="5" t="n">
        <v>44616</v>
      </c>
      <c r="C2251" s="13" t="inlineStr">
        <is>
          <t>VTA</t>
        </is>
      </c>
      <c r="D2251" s="13" t="n">
        <v>32</v>
      </c>
      <c r="E2251" s="10">
        <f>IF(D2251&gt;0,VLOOKUP(OPERAC[[#This Row],[COD CART]],[1]!MatrizCortoLargoCyl[#All],3,0),"")</f>
        <v/>
      </c>
      <c r="F2251" s="13" t="inlineStr">
        <is>
          <t>HMY/CYL/4,00/18-03-22</t>
        </is>
      </c>
      <c r="G2251" s="6" t="n">
        <v>100</v>
      </c>
      <c r="H2251" s="6" t="n">
        <v>-381.941</v>
      </c>
      <c r="I2251" s="7">
        <f>-H2251/G2251</f>
        <v/>
      </c>
      <c r="J2251" s="11" t="n">
        <v>44622</v>
      </c>
      <c r="K2251" s="6" t="n">
        <v>100</v>
      </c>
      <c r="L2251" s="6" t="n">
        <v>393.95</v>
      </c>
      <c r="M2251" s="7">
        <f>IF(N2251=0,+L2251+H2251,0)</f>
        <v/>
      </c>
      <c r="N2251" s="7">
        <f>IF((+G2251-K2251)=0,0,+G2251-K2251)</f>
        <v/>
      </c>
      <c r="O2251" s="7">
        <f>IF(N2251=0,0,(L2251+H2251)/-N2251)</f>
        <v/>
      </c>
      <c r="P2251" s="7">
        <f>VLOOKUP(OPERAC[[#This Row],[especie]],[1]!ESPECIES[#All],6,0)</f>
        <v/>
      </c>
      <c r="Q2251" s="7">
        <f>IF(N2251&lt;&gt;0,P2251*N2251,0)</f>
        <v/>
      </c>
      <c r="R2251" s="8">
        <f>IF(Q2251&lt;&gt;0,Q2251+H2251+L2251,0)</f>
        <v/>
      </c>
      <c r="S2251" s="9">
        <f>VLOOKUP(OPERAC[[#This Row],[especie]],[1]!ESPECIES[#Data],9,FALSE)</f>
        <v/>
      </c>
    </row>
    <row r="2252">
      <c r="A2252" s="4" t="n">
        <v>13253</v>
      </c>
      <c r="B2252" s="5" t="n">
        <v>44238</v>
      </c>
      <c r="C2252" s="13" t="inlineStr">
        <is>
          <t>VTA</t>
        </is>
      </c>
      <c r="D2252" s="13" t="n">
        <v>41</v>
      </c>
      <c r="E2252" s="10">
        <f>IF(D2252&gt;0,VLOOKUP(OPERAC[[#This Row],[COD CART]],[1]!MatrizCortoLargoCyl[#All],3,0),"")</f>
        <v/>
      </c>
      <c r="F2252" s="13" t="inlineStr">
        <is>
          <t>HEOFF</t>
        </is>
      </c>
      <c r="G2252" s="6" t="n">
        <v>150</v>
      </c>
      <c r="H2252" s="6" t="n">
        <v>-382.024</v>
      </c>
      <c r="I2252" s="7">
        <f>-H2252/G2252</f>
        <v/>
      </c>
      <c r="J2252" s="11" t="n"/>
      <c r="K2252" s="6" t="n"/>
      <c r="L2252" s="6" t="n"/>
      <c r="M2252" s="7">
        <f>IF(N2252=0,+L2252+H2252,0)</f>
        <v/>
      </c>
      <c r="N2252" s="7">
        <f>IF((+G2252-K2252)=0,0,+G2252-K2252)</f>
        <v/>
      </c>
      <c r="O2252" s="7">
        <f>IF(N2252=0,0,(L2252+H2252)/-N2252)</f>
        <v/>
      </c>
      <c r="P2252" s="7">
        <f>VLOOKUP(OPERAC[[#This Row],[especie]],[1]!ESPECIES[#All],6,0)</f>
        <v/>
      </c>
      <c r="Q2252" s="7">
        <f>IF(N2252&lt;&gt;0,P2252*N2252,0)</f>
        <v/>
      </c>
      <c r="R2252" s="8">
        <f>IF(Q2252&lt;&gt;0,Q2252+H2252+L2252,0)</f>
        <v/>
      </c>
      <c r="S2252" s="9">
        <f>VLOOKUP(OPERAC[[#This Row],[especie]],[1]!ESPECIES[#Data],9,FALSE)</f>
        <v/>
      </c>
    </row>
    <row r="2253">
      <c r="A2253" s="4" t="n">
        <v>21070</v>
      </c>
      <c r="B2253" s="5" t="n">
        <v>44533</v>
      </c>
      <c r="C2253" s="13" t="inlineStr">
        <is>
          <t>VTA</t>
        </is>
      </c>
      <c r="D2253" s="13" t="n">
        <v>32</v>
      </c>
      <c r="E2253" s="10">
        <f>IF(D2253&gt;0,VLOOKUP(OPERAC[[#This Row],[COD CART]],[1]!MatrizCortoLargoCyl[#All],3,0),"")</f>
        <v/>
      </c>
      <c r="F2253" s="13" t="inlineStr">
        <is>
          <t>GMBL/CYL/5,00/21-01-22</t>
        </is>
      </c>
      <c r="G2253" s="6" t="n">
        <v>100</v>
      </c>
      <c r="H2253" s="6" t="n">
        <v>-382.815</v>
      </c>
      <c r="I2253" s="7">
        <f>-H2253/G2253</f>
        <v/>
      </c>
      <c r="J2253" s="11" t="n">
        <v>44581</v>
      </c>
      <c r="K2253" s="6" t="n">
        <v>100</v>
      </c>
      <c r="L2253" s="6" t="n">
        <v>293.316</v>
      </c>
      <c r="M2253" s="7">
        <f>IF(N2253=0,+L2253+H2253,0)</f>
        <v/>
      </c>
      <c r="N2253" s="7">
        <f>IF((+G2253-K2253)=0,0,+G2253-K2253)</f>
        <v/>
      </c>
      <c r="O2253" s="7">
        <f>IF(N2253=0,0,(L2253+H2253)/-N2253)</f>
        <v/>
      </c>
      <c r="P2253" s="7">
        <f>VLOOKUP(OPERAC[[#This Row],[especie]],[1]!ESPECIES[#All],6,0)</f>
        <v/>
      </c>
      <c r="Q2253" s="7">
        <f>IF(N2253&lt;&gt;0,P2253*N2253,0)</f>
        <v/>
      </c>
      <c r="R2253" s="8">
        <f>IF(Q2253&lt;&gt;0,Q2253+H2253+L2253,0)</f>
        <v/>
      </c>
      <c r="S2253" s="9">
        <f>VLOOKUP(OPERAC[[#This Row],[especie]],[1]!ESPECIES[#Data],9,FALSE)</f>
        <v/>
      </c>
    </row>
    <row r="2254">
      <c r="A2254" s="4" t="n">
        <v>20312</v>
      </c>
      <c r="B2254" s="5" t="n">
        <v>44533</v>
      </c>
      <c r="C2254" s="13" t="inlineStr">
        <is>
          <t>VTA</t>
        </is>
      </c>
      <c r="D2254" s="13" t="n">
        <v>32</v>
      </c>
      <c r="E2254" s="10">
        <f>IF(D2254&gt;0,VLOOKUP(OPERAC[[#This Row],[COD CART]],[1]!MatrizCortoLargoCyl[#All],3,0),"")</f>
        <v/>
      </c>
      <c r="F2254" s="13" t="inlineStr">
        <is>
          <t>GMBL/CYL/5,00/21-01-22</t>
        </is>
      </c>
      <c r="G2254" s="6" t="n">
        <v>100</v>
      </c>
      <c r="H2254" s="6">
        <f>-3.83*OPERAC[[#This Row],[cantidad]]</f>
        <v/>
      </c>
      <c r="I2254" s="7">
        <f>-H2254/G2254</f>
        <v/>
      </c>
      <c r="J2254" s="11" t="n">
        <v>44581</v>
      </c>
      <c r="K2254" s="6" t="n">
        <v>100</v>
      </c>
      <c r="L2254" s="6" t="n">
        <v>293.316</v>
      </c>
      <c r="M2254" s="7">
        <f>IF(N2254=0,+L2254+H2254,0)</f>
        <v/>
      </c>
      <c r="N2254" s="7">
        <f>IF((+G2254-K2254)=0,0,+G2254-K2254)</f>
        <v/>
      </c>
      <c r="O2254" s="7">
        <f>IF(N2254=0,0,(L2254+H2254)/-N2254)</f>
        <v/>
      </c>
      <c r="P2254" s="7">
        <f>VLOOKUP(OPERAC[[#This Row],[especie]],[1]!ESPECIES[#All],6,0)</f>
        <v/>
      </c>
      <c r="Q2254" s="7">
        <f>IF(N2254&lt;&gt;0,P2254*N2254,0)</f>
        <v/>
      </c>
      <c r="R2254" s="8">
        <f>IF(Q2254&lt;&gt;0,Q2254+H2254+L2254,0)</f>
        <v/>
      </c>
      <c r="S2254" s="9">
        <f>VLOOKUP(OPERAC[[#This Row],[especie]],[1]!ESPECIES[#Data],9,FALSE)</f>
        <v/>
      </c>
    </row>
    <row r="2255">
      <c r="A2255" s="4" t="n">
        <v>1807</v>
      </c>
      <c r="B2255" s="5" t="n">
        <v>44616</v>
      </c>
      <c r="C2255" s="13" t="inlineStr">
        <is>
          <t>VTA</t>
        </is>
      </c>
      <c r="D2255" s="13" t="n">
        <v>32</v>
      </c>
      <c r="E2255" s="10">
        <f>IF(D2255&gt;0,VLOOKUP(OPERAC[[#This Row],[COD CART]],[1]!MatrizCortoLargoCyl[#All],3,0),"")</f>
        <v/>
      </c>
      <c r="F2255" s="13" t="inlineStr">
        <is>
          <t>HMY/CYL/4,00/18-03-22</t>
        </is>
      </c>
      <c r="G2255" s="6" t="n">
        <v>100</v>
      </c>
      <c r="H2255" s="6" t="n">
        <v>-383.705</v>
      </c>
      <c r="I2255" s="7">
        <f>-H2255/G2255</f>
        <v/>
      </c>
      <c r="J2255" s="11" t="n">
        <v>44622</v>
      </c>
      <c r="K2255" s="6" t="n">
        <v>100</v>
      </c>
      <c r="L2255" s="6" t="n">
        <v>393.95</v>
      </c>
      <c r="M2255" s="7">
        <f>IF(N2255=0,+L2255+H2255,0)</f>
        <v/>
      </c>
      <c r="N2255" s="7">
        <f>IF((+G2255-K2255)=0,0,+G2255-K2255)</f>
        <v/>
      </c>
      <c r="O2255" s="7">
        <f>IF(N2255=0,0,(L2255+H2255)/-N2255)</f>
        <v/>
      </c>
      <c r="P2255" s="7">
        <f>VLOOKUP(OPERAC[[#This Row],[especie]],[1]!ESPECIES[#All],6,0)</f>
        <v/>
      </c>
      <c r="Q2255" s="7">
        <f>IF(N2255&lt;&gt;0,P2255*N2255,0)</f>
        <v/>
      </c>
      <c r="R2255" s="8">
        <f>IF(Q2255&lt;&gt;0,Q2255+H2255+L2255,0)</f>
        <v/>
      </c>
      <c r="S2255" s="9">
        <f>VLOOKUP(OPERAC[[#This Row],[especie]],[1]!ESPECIES[#Data],9,FALSE)</f>
        <v/>
      </c>
    </row>
    <row r="2256">
      <c r="A2256" s="4" t="n">
        <v>3820</v>
      </c>
      <c r="B2256" s="5" t="n">
        <v>44616</v>
      </c>
      <c r="C2256" s="13" t="inlineStr">
        <is>
          <t>VTA</t>
        </is>
      </c>
      <c r="D2256" s="13" t="n">
        <v>32</v>
      </c>
      <c r="E2256" s="10">
        <f>IF(D2256&gt;0,VLOOKUP(OPERAC[[#This Row],[COD CART]],[1]!MatrizCortoLargoCyl[#All],3,0),"")</f>
        <v/>
      </c>
      <c r="F2256" s="13" t="inlineStr">
        <is>
          <t>HMY/CYL/4,00/18-03-22</t>
        </is>
      </c>
      <c r="G2256" s="6" t="n">
        <v>100</v>
      </c>
      <c r="H2256" s="6" t="n">
        <v>-383.705</v>
      </c>
      <c r="I2256" s="7">
        <f>-H2256/G2256</f>
        <v/>
      </c>
      <c r="J2256" s="11" t="n">
        <v>44622</v>
      </c>
      <c r="K2256" s="6" t="n">
        <v>100</v>
      </c>
      <c r="L2256" s="6" t="n">
        <v>393.95</v>
      </c>
      <c r="M2256" s="7">
        <f>IF(N2256=0,+L2256+H2256,0)</f>
        <v/>
      </c>
      <c r="N2256" s="7">
        <f>IF((+G2256-K2256)=0,0,+G2256-K2256)</f>
        <v/>
      </c>
      <c r="O2256" s="7">
        <f>IF(N2256=0,0,(L2256+H2256)/-N2256)</f>
        <v/>
      </c>
      <c r="P2256" s="7">
        <f>VLOOKUP(OPERAC[[#This Row],[especie]],[1]!ESPECIES[#All],6,0)</f>
        <v/>
      </c>
      <c r="Q2256" s="7">
        <f>IF(N2256&lt;&gt;0,P2256*N2256,0)</f>
        <v/>
      </c>
      <c r="R2256" s="8">
        <f>IF(Q2256&lt;&gt;0,Q2256+H2256+L2256,0)</f>
        <v/>
      </c>
      <c r="S2256" s="9">
        <f>VLOOKUP(OPERAC[[#This Row],[especie]],[1]!ESPECIES[#Data],9,FALSE)</f>
        <v/>
      </c>
    </row>
    <row r="2257">
      <c r="A2257" s="4" t="n">
        <v>3867</v>
      </c>
      <c r="B2257" s="5" t="n">
        <v>44616</v>
      </c>
      <c r="C2257" s="13" t="inlineStr">
        <is>
          <t>VTA</t>
        </is>
      </c>
      <c r="D2257" s="13" t="n">
        <v>32</v>
      </c>
      <c r="E2257" s="10">
        <f>IF(D2257&gt;0,VLOOKUP(OPERAC[[#This Row],[COD CART]],[1]!MatrizCortoLargoCyl[#All],3,0),"")</f>
        <v/>
      </c>
      <c r="F2257" s="13" t="inlineStr">
        <is>
          <t>HMY/CYL/4,00/18-03-22</t>
        </is>
      </c>
      <c r="G2257" s="6" t="n">
        <v>100</v>
      </c>
      <c r="H2257" s="6" t="n">
        <v>-383.705</v>
      </c>
      <c r="I2257" s="7">
        <f>-H2257/G2257</f>
        <v/>
      </c>
      <c r="J2257" s="11" t="n">
        <v>44622</v>
      </c>
      <c r="K2257" s="6" t="n">
        <v>100</v>
      </c>
      <c r="L2257" s="6" t="n">
        <v>393.95</v>
      </c>
      <c r="M2257" s="7">
        <f>IF(N2257=0,+L2257+H2257,0)</f>
        <v/>
      </c>
      <c r="N2257" s="7">
        <f>IF((+G2257-K2257)=0,0,+G2257-K2257)</f>
        <v/>
      </c>
      <c r="O2257" s="7">
        <f>IF(N2257=0,0,(L2257+H2257)/-N2257)</f>
        <v/>
      </c>
      <c r="P2257" s="7">
        <f>VLOOKUP(OPERAC[[#This Row],[especie]],[1]!ESPECIES[#All],6,0)</f>
        <v/>
      </c>
      <c r="Q2257" s="7">
        <f>IF(N2257&lt;&gt;0,P2257*N2257,0)</f>
        <v/>
      </c>
      <c r="R2257" s="8">
        <f>IF(Q2257&lt;&gt;0,Q2257+H2257+L2257,0)</f>
        <v/>
      </c>
      <c r="S2257" s="9">
        <f>VLOOKUP(OPERAC[[#This Row],[especie]],[1]!ESPECIES[#Data],9,FALSE)</f>
        <v/>
      </c>
    </row>
    <row r="2258">
      <c r="A2258" s="4" t="n">
        <v>7867</v>
      </c>
      <c r="B2258" s="5" t="n">
        <v>44616</v>
      </c>
      <c r="C2258" s="13" t="inlineStr">
        <is>
          <t>VTA</t>
        </is>
      </c>
      <c r="D2258" s="13" t="n">
        <v>32</v>
      </c>
      <c r="E2258" s="10">
        <f>IF(D2258&gt;0,VLOOKUP(OPERAC[[#This Row],[COD CART]],[1]!MatrizCortoLargoCyl[#All],3,0),"")</f>
        <v/>
      </c>
      <c r="F2258" s="13" t="inlineStr">
        <is>
          <t>HMY/CYL/4,00/18-03-22</t>
        </is>
      </c>
      <c r="G2258" s="6" t="n">
        <v>100</v>
      </c>
      <c r="H2258" s="6" t="n">
        <v>-383.705</v>
      </c>
      <c r="I2258" s="7">
        <f>-H2258/G2258</f>
        <v/>
      </c>
      <c r="J2258" s="11" t="n">
        <v>44622</v>
      </c>
      <c r="K2258" s="6" t="n">
        <v>100</v>
      </c>
      <c r="L2258" s="6" t="n">
        <v>393.95</v>
      </c>
      <c r="M2258" s="7">
        <f>IF(N2258=0,+L2258+H2258,0)</f>
        <v/>
      </c>
      <c r="N2258" s="7">
        <f>IF((+G2258-K2258)=0,0,+G2258-K2258)</f>
        <v/>
      </c>
      <c r="O2258" s="7">
        <f>IF(N2258=0,0,(L2258+H2258)/-N2258)</f>
        <v/>
      </c>
      <c r="P2258" s="7">
        <f>VLOOKUP(OPERAC[[#This Row],[especie]],[1]!ESPECIES[#All],6,0)</f>
        <v/>
      </c>
      <c r="Q2258" s="7">
        <f>IF(N2258&lt;&gt;0,P2258*N2258,0)</f>
        <v/>
      </c>
      <c r="R2258" s="8">
        <f>IF(Q2258&lt;&gt;0,Q2258+H2258+L2258,0)</f>
        <v/>
      </c>
      <c r="S2258" s="9">
        <f>VLOOKUP(OPERAC[[#This Row],[especie]],[1]!ESPECIES[#Data],9,FALSE)</f>
        <v/>
      </c>
    </row>
    <row r="2259">
      <c r="A2259" s="4" t="n">
        <v>7895</v>
      </c>
      <c r="B2259" s="5" t="n">
        <v>44616</v>
      </c>
      <c r="C2259" s="13" t="inlineStr">
        <is>
          <t>VTA</t>
        </is>
      </c>
      <c r="D2259" s="13" t="n">
        <v>32</v>
      </c>
      <c r="E2259" s="10">
        <f>IF(D2259&gt;0,VLOOKUP(OPERAC[[#This Row],[COD CART]],[1]!MatrizCortoLargoCyl[#All],3,0),"")</f>
        <v/>
      </c>
      <c r="F2259" s="13" t="inlineStr">
        <is>
          <t>HMY/CYL/4,00/18-03-22</t>
        </is>
      </c>
      <c r="G2259" s="6" t="n">
        <v>100</v>
      </c>
      <c r="H2259" s="6" t="n">
        <v>-383.705</v>
      </c>
      <c r="I2259" s="7">
        <f>-H2259/G2259</f>
        <v/>
      </c>
      <c r="J2259" s="11" t="n">
        <v>44622</v>
      </c>
      <c r="K2259" s="6" t="n">
        <v>100</v>
      </c>
      <c r="L2259" s="6" t="n">
        <v>393.95</v>
      </c>
      <c r="M2259" s="7">
        <f>IF(N2259=0,+L2259+H2259,0)</f>
        <v/>
      </c>
      <c r="N2259" s="7">
        <f>IF((+G2259-K2259)=0,0,+G2259-K2259)</f>
        <v/>
      </c>
      <c r="O2259" s="7">
        <f>IF(N2259=0,0,(L2259+H2259)/-N2259)</f>
        <v/>
      </c>
      <c r="P2259" s="7">
        <f>VLOOKUP(OPERAC[[#This Row],[especie]],[1]!ESPECIES[#All],6,0)</f>
        <v/>
      </c>
      <c r="Q2259" s="7">
        <f>IF(N2259&lt;&gt;0,P2259*N2259,0)</f>
        <v/>
      </c>
      <c r="R2259" s="8">
        <f>IF(Q2259&lt;&gt;0,Q2259+H2259+L2259,0)</f>
        <v/>
      </c>
      <c r="S2259" s="9">
        <f>VLOOKUP(OPERAC[[#This Row],[especie]],[1]!ESPECIES[#Data],9,FALSE)</f>
        <v/>
      </c>
    </row>
    <row r="2260">
      <c r="A2260" s="4" t="n">
        <v>9195</v>
      </c>
      <c r="B2260" s="5" t="n">
        <v>44582</v>
      </c>
      <c r="C2260" s="13" t="inlineStr">
        <is>
          <t>VTA</t>
        </is>
      </c>
      <c r="D2260" s="13" t="n">
        <v>40</v>
      </c>
      <c r="E2260" s="10">
        <f>IF(D2260&gt;0,VLOOKUP(OPERAC[[#This Row],[COD CART]],[1]!MatrizCortoLargoCyl[#All],3,0),"")</f>
        <v/>
      </c>
      <c r="F2260" s="13" t="inlineStr">
        <is>
          <t>NFLX</t>
        </is>
      </c>
      <c r="G2260" s="6" t="n">
        <v>1</v>
      </c>
      <c r="H2260" s="6" t="n">
        <v>-384.50958</v>
      </c>
      <c r="I2260" s="7">
        <f>-H2260/G2260</f>
        <v/>
      </c>
      <c r="J2260" s="11" t="n">
        <v>44593</v>
      </c>
      <c r="K2260" s="6">
        <f>+OPERAC[[#This Row],[cantidad]]</f>
        <v/>
      </c>
      <c r="L2260" s="6">
        <f>+OPERAC[[#This Row],[cantidad venta]]*448.602</f>
        <v/>
      </c>
      <c r="M2260" s="7">
        <f>IF(N2260=0,+L2260+H2260,0)</f>
        <v/>
      </c>
      <c r="N2260" s="7">
        <f>IF((+G2260-K2260)=0,0,+G2260-K2260)</f>
        <v/>
      </c>
      <c r="O2260" s="7">
        <f>IF(N2260=0,0,(L2260+H2260)/-N2260)</f>
        <v/>
      </c>
      <c r="P2260" s="7">
        <f>VLOOKUP(OPERAC[[#This Row],[especie]],[1]!ESPECIES[#All],6,0)</f>
        <v/>
      </c>
      <c r="Q2260" s="7">
        <f>IF(N2260&lt;&gt;0,P2260*N2260,0)</f>
        <v/>
      </c>
      <c r="R2260" s="8">
        <f>IF(Q2260&lt;&gt;0,Q2260+H2260+L2260,0)</f>
        <v/>
      </c>
      <c r="S2260" s="9">
        <f>VLOOKUP(OPERAC[[#This Row],[especie]],[1]!ESPECIES[#Data],9,FALSE)</f>
        <v/>
      </c>
    </row>
    <row r="2261">
      <c r="A2261" s="4" t="n">
        <v>16818</v>
      </c>
      <c r="B2261" s="5" t="n">
        <v>44582</v>
      </c>
      <c r="C2261" s="13" t="inlineStr">
        <is>
          <t>VTA</t>
        </is>
      </c>
      <c r="D2261" s="13" t="n">
        <v>40</v>
      </c>
      <c r="E2261" s="10">
        <f>IF(D2261&gt;0,VLOOKUP(OPERAC[[#This Row],[COD CART]],[1]!MatrizCortoLargoCyl[#All],3,0),"")</f>
        <v/>
      </c>
      <c r="F2261" s="13" t="inlineStr">
        <is>
          <t>NFLX</t>
        </is>
      </c>
      <c r="G2261" s="6" t="n">
        <v>1</v>
      </c>
      <c r="H2261" s="6" t="n">
        <v>-384.50958</v>
      </c>
      <c r="I2261" s="7">
        <f>-H2261/G2261</f>
        <v/>
      </c>
      <c r="J2261" s="11" t="n">
        <v>44593</v>
      </c>
      <c r="K2261" s="6">
        <f>+OPERAC[[#This Row],[cantidad]]</f>
        <v/>
      </c>
      <c r="L2261" s="6">
        <f>+OPERAC[[#This Row],[cantidad venta]]*448.602</f>
        <v/>
      </c>
      <c r="M2261" s="7">
        <f>IF(N2261=0,+L2261+H2261,0)</f>
        <v/>
      </c>
      <c r="N2261" s="7">
        <f>IF((+G2261-K2261)=0,0,+G2261-K2261)</f>
        <v/>
      </c>
      <c r="O2261" s="7">
        <f>IF(N2261=0,0,(L2261+H2261)/-N2261)</f>
        <v/>
      </c>
      <c r="P2261" s="7">
        <f>VLOOKUP(OPERAC[[#This Row],[especie]],[1]!ESPECIES[#All],6,0)</f>
        <v/>
      </c>
      <c r="Q2261" s="7">
        <f>IF(N2261&lt;&gt;0,P2261*N2261,0)</f>
        <v/>
      </c>
      <c r="R2261" s="8">
        <f>IF(Q2261&lt;&gt;0,Q2261+H2261+L2261,0)</f>
        <v/>
      </c>
      <c r="S2261" s="9">
        <f>VLOOKUP(OPERAC[[#This Row],[especie]],[1]!ESPECIES[#Data],9,FALSE)</f>
        <v/>
      </c>
    </row>
    <row r="2262">
      <c r="A2262" s="4" t="n">
        <v>2253</v>
      </c>
      <c r="B2262" s="5" t="n">
        <v>44677</v>
      </c>
      <c r="C2262" s="13" t="inlineStr">
        <is>
          <t>VTA</t>
        </is>
      </c>
      <c r="D2262" s="13" t="n">
        <v>32</v>
      </c>
      <c r="E2262" s="10">
        <f>IF(D2262&gt;0,VLOOKUP(OPERAC[[#This Row],[COD CART]],[1]!MatrizCortoLargoCyl[#All],3,0),"")</f>
        <v/>
      </c>
      <c r="F2262" s="13" t="inlineStr">
        <is>
          <t>HMY</t>
        </is>
      </c>
      <c r="G2262" s="6" t="n">
        <v>100</v>
      </c>
      <c r="H2262" s="6">
        <f>-3.849*OPERAC[[#This Row],[cantidad]]</f>
        <v/>
      </c>
      <c r="I2262" s="7">
        <f>-H2262/G2262</f>
        <v/>
      </c>
      <c r="J2262" s="11" t="n">
        <v>44704</v>
      </c>
      <c r="K2262" s="6" t="n">
        <v>100</v>
      </c>
      <c r="L2262" s="6">
        <f>+OPERAC[[#This Row],[cantidad venta]]*3.669</f>
        <v/>
      </c>
      <c r="M2262" s="7">
        <f>IF(N2262=0,+L2262+H2262,0)</f>
        <v/>
      </c>
      <c r="N2262" s="7">
        <f>IF((+G2262-K2262)=0,0,+G2262-K2262)</f>
        <v/>
      </c>
      <c r="O2262" s="7">
        <f>IF(N2262=0,0,(L2262+H2262)/-N2262)</f>
        <v/>
      </c>
      <c r="P2262" s="7">
        <f>VLOOKUP(OPERAC[[#This Row],[especie]],[1]!ESPECIES[#All],6,0)</f>
        <v/>
      </c>
      <c r="Q2262" s="7">
        <f>IF(N2262&lt;&gt;0,P2262*N2262,0)</f>
        <v/>
      </c>
      <c r="R2262" s="8">
        <f>IF(Q2262&lt;&gt;0,Q2262+H2262+L2262,0)</f>
        <v/>
      </c>
      <c r="S2262" s="9">
        <f>VLOOKUP(OPERAC[[#This Row],[especie]],[1]!ESPECIES[#Data],9,FALSE)</f>
        <v/>
      </c>
    </row>
    <row r="2263">
      <c r="A2263" s="4" t="n">
        <v>16818</v>
      </c>
      <c r="B2263" s="5" t="n">
        <v>44581</v>
      </c>
      <c r="C2263" s="13" t="inlineStr">
        <is>
          <t>VTA</t>
        </is>
      </c>
      <c r="D2263" s="13" t="n">
        <v>32</v>
      </c>
      <c r="E2263" s="10">
        <f>IF(D2263&gt;0,VLOOKUP(OPERAC[[#This Row],[COD CART]],[1]!MatrizCortoLargoCyl[#All],3,0),"")</f>
        <v/>
      </c>
      <c r="F2263" s="13" t="inlineStr">
        <is>
          <t>HMY/CYL/4,00/18-02-22</t>
        </is>
      </c>
      <c r="G2263" s="6" t="n">
        <v>100</v>
      </c>
      <c r="H2263" s="6" t="n">
        <v>-385.657448</v>
      </c>
      <c r="I2263" s="7">
        <f>-H2263/G2263</f>
        <v/>
      </c>
      <c r="J2263" s="11" t="n">
        <v>44610</v>
      </c>
      <c r="K2263" s="6">
        <f>+OPERAC[[#This Row],[cantidad]]</f>
        <v/>
      </c>
      <c r="L2263" s="6">
        <f>+OPERAC[[#This Row],[cantidad venta]]*3.8323</f>
        <v/>
      </c>
      <c r="M2263" s="7">
        <f>IF(N2263=0,+L2263+H2263,0)</f>
        <v/>
      </c>
      <c r="N2263" s="7">
        <f>IF((+G2263-K2263)=0,0,+G2263-K2263)</f>
        <v/>
      </c>
      <c r="O2263" s="7">
        <f>IF(N2263=0,0,(L2263+H2263)/-N2263)</f>
        <v/>
      </c>
      <c r="P2263" s="7">
        <f>VLOOKUP(OPERAC[[#This Row],[especie]],[1]!ESPECIES[#All],6,0)</f>
        <v/>
      </c>
      <c r="Q2263" s="7">
        <f>IF(N2263&lt;&gt;0,P2263*N2263,0)</f>
        <v/>
      </c>
      <c r="R2263" s="8">
        <f>IF(Q2263&lt;&gt;0,Q2263+H2263+L2263,0)</f>
        <v/>
      </c>
      <c r="S2263" s="9">
        <f>VLOOKUP(OPERAC[[#This Row],[especie]],[1]!ESPECIES[#Data],9,FALSE)</f>
        <v/>
      </c>
    </row>
    <row r="2264">
      <c r="A2264" s="4" t="n">
        <v>16829</v>
      </c>
      <c r="B2264" s="5" t="n">
        <v>44581</v>
      </c>
      <c r="C2264" s="13" t="inlineStr">
        <is>
          <t>VTA</t>
        </is>
      </c>
      <c r="D2264" s="13" t="n">
        <v>32</v>
      </c>
      <c r="E2264" s="10">
        <f>IF(D2264&gt;0,VLOOKUP(OPERAC[[#This Row],[COD CART]],[1]!MatrizCortoLargoCyl[#All],3,0),"")</f>
        <v/>
      </c>
      <c r="F2264" s="13" t="inlineStr">
        <is>
          <t>HMY/CYL/4,00/18-02-22</t>
        </is>
      </c>
      <c r="G2264" s="6" t="n">
        <v>100</v>
      </c>
      <c r="H2264" s="6" t="n">
        <v>-385.657448</v>
      </c>
      <c r="I2264" s="7">
        <f>-H2264/G2264</f>
        <v/>
      </c>
      <c r="J2264" s="11" t="n">
        <v>44610</v>
      </c>
      <c r="K2264" s="6">
        <f>+OPERAC[[#This Row],[cantidad]]</f>
        <v/>
      </c>
      <c r="L2264" s="6">
        <f>+OPERAC[[#This Row],[cantidad venta]]*3.8323</f>
        <v/>
      </c>
      <c r="M2264" s="7">
        <f>IF(N2264=0,+L2264+H2264,0)</f>
        <v/>
      </c>
      <c r="N2264" s="7">
        <f>IF((+G2264-K2264)=0,0,+G2264-K2264)</f>
        <v/>
      </c>
      <c r="O2264" s="7">
        <f>IF(N2264=0,0,(L2264+H2264)/-N2264)</f>
        <v/>
      </c>
      <c r="P2264" s="7">
        <f>VLOOKUP(OPERAC[[#This Row],[especie]],[1]!ESPECIES[#All],6,0)</f>
        <v/>
      </c>
      <c r="Q2264" s="7">
        <f>IF(N2264&lt;&gt;0,P2264*N2264,0)</f>
        <v/>
      </c>
      <c r="R2264" s="8">
        <f>IF(Q2264&lt;&gt;0,Q2264+H2264+L2264,0)</f>
        <v/>
      </c>
      <c r="S2264" s="9">
        <f>VLOOKUP(OPERAC[[#This Row],[especie]],[1]!ESPECIES[#Data],9,FALSE)</f>
        <v/>
      </c>
    </row>
    <row r="2265">
      <c r="A2265" s="4" t="n">
        <v>2279</v>
      </c>
      <c r="B2265" s="5" t="n">
        <v>44459</v>
      </c>
      <c r="C2265" s="13" t="inlineStr">
        <is>
          <t>VTA</t>
        </is>
      </c>
      <c r="D2265" s="13" t="n">
        <v>43</v>
      </c>
      <c r="E2265" s="10">
        <f>IF(D2265&gt;0,VLOOKUP(OPERAC[[#This Row],[COD CART]],[1]!MatrizCortoLargoCyl[#All],3,0),"")</f>
        <v/>
      </c>
      <c r="F2265" s="13" t="inlineStr">
        <is>
          <t>SOLO/CYL-PUT/3,00/17-06-22</t>
        </is>
      </c>
      <c r="G2265" s="6" t="n">
        <v>200</v>
      </c>
      <c r="H2265" s="6">
        <f>-461.31+0.137*OPERAC[[#This Row],[cantidad]]-208.446+28.96+227.356</f>
        <v/>
      </c>
      <c r="I2265" s="7">
        <f>-H2265/G2265</f>
        <v/>
      </c>
      <c r="J2265" s="11" t="n">
        <v>44719</v>
      </c>
      <c r="K2265" s="6" t="n">
        <v>200</v>
      </c>
      <c r="L2265" s="6" t="n">
        <v>6.276</v>
      </c>
      <c r="M2265" s="7">
        <f>IF(N2265=0,+L2265+H2265,0)</f>
        <v/>
      </c>
      <c r="N2265" s="7">
        <f>IF((+G2265-K2265)=0,0,+G2265-K2265)</f>
        <v/>
      </c>
      <c r="O2265" s="7">
        <f>IF(N2265=0,0,(L2265+H2265)/-N2265)</f>
        <v/>
      </c>
      <c r="P2265" s="7">
        <f>VLOOKUP(OPERAC[[#This Row],[especie]],[1]!ESPECIES[#All],6,0)</f>
        <v/>
      </c>
      <c r="Q2265" s="7">
        <f>IF(N2265&lt;&gt;0,P2265*N2265,0)</f>
        <v/>
      </c>
      <c r="R2265" s="8">
        <f>IF(Q2265&lt;&gt;0,Q2265+H2265+L2265,0)</f>
        <v/>
      </c>
      <c r="S2265" s="9">
        <f>VLOOKUP(OPERAC[[#This Row],[especie]],[1]!ESPECIES[#Data],9,FALSE)</f>
        <v/>
      </c>
    </row>
    <row r="2266">
      <c r="A2266" s="4" t="n">
        <v>1817</v>
      </c>
      <c r="B2266" s="5" t="n">
        <v>44697</v>
      </c>
      <c r="C2266" s="13" t="inlineStr">
        <is>
          <t>VTA</t>
        </is>
      </c>
      <c r="D2266" s="13" t="n">
        <v>41</v>
      </c>
      <c r="E2266" s="10">
        <f>IF(D2266&gt;0,VLOOKUP(OPERAC[[#This Row],[COD CART]],[1]!MatrizCortoLargoCyl[#All],3,0),"")</f>
        <v/>
      </c>
      <c r="F2266" s="13" t="inlineStr">
        <is>
          <t>SPWR</t>
        </is>
      </c>
      <c r="G2266" s="6" t="n">
        <v>25</v>
      </c>
      <c r="H2266" s="6" t="n">
        <v>-386.76</v>
      </c>
      <c r="I2266" s="7">
        <f>-H2266/G2266</f>
        <v/>
      </c>
      <c r="J2266" s="11" t="n"/>
      <c r="K2266" s="6" t="n"/>
      <c r="L2266" s="6" t="n"/>
      <c r="M2266" s="7">
        <f>IF(N2266=0,+L2266+H2266,0)</f>
        <v/>
      </c>
      <c r="N2266" s="7">
        <f>IF((+G2266-K2266)=0,0,+G2266-K2266)</f>
        <v/>
      </c>
      <c r="O2266" s="7">
        <f>IF(N2266=0,0,(L2266+H2266)/-N2266)</f>
        <v/>
      </c>
      <c r="P2266" s="7">
        <f>VLOOKUP(OPERAC[[#This Row],[especie]],[1]!ESPECIES[#All],6,0)</f>
        <v/>
      </c>
      <c r="Q2266" s="7">
        <f>IF(N2266&lt;&gt;0,P2266*N2266,0)</f>
        <v/>
      </c>
      <c r="R2266" s="8">
        <f>IF(Q2266&lt;&gt;0,Q2266+H2266+L2266,0)</f>
        <v/>
      </c>
      <c r="S2266" s="9">
        <f>VLOOKUP(OPERAC[[#This Row],[especie]],[1]!ESPECIES[#Data],9,FALSE)</f>
        <v/>
      </c>
    </row>
    <row r="2267">
      <c r="A2267" s="4" t="n">
        <v>1800</v>
      </c>
      <c r="B2267" s="5" t="n">
        <v>44581</v>
      </c>
      <c r="C2267" s="13" t="inlineStr">
        <is>
          <t>VTA</t>
        </is>
      </c>
      <c r="D2267" s="13" t="n">
        <v>32</v>
      </c>
      <c r="E2267" s="10">
        <f>IF(D2267&gt;0,VLOOKUP(OPERAC[[#This Row],[COD CART]],[1]!MatrizCortoLargoCyl[#All],3,0),"")</f>
        <v/>
      </c>
      <c r="F2267" s="13" t="inlineStr">
        <is>
          <t>HMY/CYL/4,00/18-02-22</t>
        </is>
      </c>
      <c r="G2267" s="6" t="n">
        <v>100</v>
      </c>
      <c r="H2267" s="6" t="n">
        <v>-387.467996</v>
      </c>
      <c r="I2267" s="7">
        <f>-H2267/G2267</f>
        <v/>
      </c>
      <c r="J2267" s="11" t="n">
        <v>44610</v>
      </c>
      <c r="K2267" s="6">
        <f>+OPERAC[[#This Row],[cantidad]]</f>
        <v/>
      </c>
      <c r="L2267" s="6">
        <f>+OPERAC[[#This Row],[cantidad venta]]*3.8323</f>
        <v/>
      </c>
      <c r="M2267" s="7">
        <f>IF(N2267=0,+L2267+H2267,0)</f>
        <v/>
      </c>
      <c r="N2267" s="7">
        <f>IF((+G2267-K2267)=0,0,+G2267-K2267)</f>
        <v/>
      </c>
      <c r="O2267" s="7">
        <f>IF(N2267=0,0,(L2267+H2267)/-N2267)</f>
        <v/>
      </c>
      <c r="P2267" s="7">
        <f>VLOOKUP(OPERAC[[#This Row],[especie]],[1]!ESPECIES[#All],6,0)</f>
        <v/>
      </c>
      <c r="Q2267" s="7">
        <f>IF(N2267&lt;&gt;0,P2267*N2267,0)</f>
        <v/>
      </c>
      <c r="R2267" s="8">
        <f>IF(Q2267&lt;&gt;0,Q2267+H2267+L2267,0)</f>
        <v/>
      </c>
      <c r="S2267" s="9">
        <f>VLOOKUP(OPERAC[[#This Row],[especie]],[1]!ESPECIES[#Data],9,FALSE)</f>
        <v/>
      </c>
    </row>
    <row r="2268">
      <c r="A2268" s="4" t="n">
        <v>2217</v>
      </c>
      <c r="B2268" s="5" t="n">
        <v>44581</v>
      </c>
      <c r="C2268" s="13" t="inlineStr">
        <is>
          <t>VTA</t>
        </is>
      </c>
      <c r="D2268" s="13" t="n">
        <v>32</v>
      </c>
      <c r="E2268" s="10">
        <f>IF(D2268&gt;0,VLOOKUP(OPERAC[[#This Row],[COD CART]],[1]!MatrizCortoLargoCyl[#All],3,0),"")</f>
        <v/>
      </c>
      <c r="F2268" s="13" t="inlineStr">
        <is>
          <t>HMY/CYL/4,00/18-02-22</t>
        </is>
      </c>
      <c r="G2268" s="6" t="n">
        <v>100</v>
      </c>
      <c r="H2268" s="6" t="n">
        <v>-387.467996</v>
      </c>
      <c r="I2268" s="7">
        <f>-H2268/G2268</f>
        <v/>
      </c>
      <c r="J2268" s="11" t="n">
        <v>44610</v>
      </c>
      <c r="K2268" s="6">
        <f>+OPERAC[[#This Row],[cantidad]]</f>
        <v/>
      </c>
      <c r="L2268" s="6">
        <f>+OPERAC[[#This Row],[cantidad venta]]*3.8323</f>
        <v/>
      </c>
      <c r="M2268" s="7">
        <f>IF(N2268=0,+L2268+H2268,0)</f>
        <v/>
      </c>
      <c r="N2268" s="7">
        <f>IF((+G2268-K2268)=0,0,+G2268-K2268)</f>
        <v/>
      </c>
      <c r="O2268" s="7">
        <f>IF(N2268=0,0,(L2268+H2268)/-N2268)</f>
        <v/>
      </c>
      <c r="P2268" s="7">
        <f>VLOOKUP(OPERAC[[#This Row],[especie]],[1]!ESPECIES[#All],6,0)</f>
        <v/>
      </c>
      <c r="Q2268" s="7">
        <f>IF(N2268&lt;&gt;0,P2268*N2268,0)</f>
        <v/>
      </c>
      <c r="R2268" s="8">
        <f>IF(Q2268&lt;&gt;0,Q2268+H2268+L2268,0)</f>
        <v/>
      </c>
      <c r="S2268" s="9">
        <f>VLOOKUP(OPERAC[[#This Row],[especie]],[1]!ESPECIES[#Data],9,FALSE)</f>
        <v/>
      </c>
    </row>
    <row r="2269">
      <c r="A2269" s="4" t="n">
        <v>4561</v>
      </c>
      <c r="B2269" s="5" t="n">
        <v>44581</v>
      </c>
      <c r="C2269" s="13" t="inlineStr">
        <is>
          <t>VTA</t>
        </is>
      </c>
      <c r="D2269" s="13" t="n">
        <v>32</v>
      </c>
      <c r="E2269" s="10">
        <f>IF(D2269&gt;0,VLOOKUP(OPERAC[[#This Row],[COD CART]],[1]!MatrizCortoLargoCyl[#All],3,0),"")</f>
        <v/>
      </c>
      <c r="F2269" s="13" t="inlineStr">
        <is>
          <t>HMY/CYL/4,00/18-02-22</t>
        </is>
      </c>
      <c r="G2269" s="6" t="n">
        <v>100</v>
      </c>
      <c r="H2269" s="6" t="n">
        <v>-387.467996</v>
      </c>
      <c r="I2269" s="7">
        <f>-H2269/G2269</f>
        <v/>
      </c>
      <c r="J2269" s="11" t="n">
        <v>44610</v>
      </c>
      <c r="K2269" s="6">
        <f>+OPERAC[[#This Row],[cantidad]]</f>
        <v/>
      </c>
      <c r="L2269" s="6">
        <f>+OPERAC[[#This Row],[cantidad venta]]*3.8323</f>
        <v/>
      </c>
      <c r="M2269" s="7">
        <f>IF(N2269=0,+L2269+H2269,0)</f>
        <v/>
      </c>
      <c r="N2269" s="7">
        <f>IF((+G2269-K2269)=0,0,+G2269-K2269)</f>
        <v/>
      </c>
      <c r="O2269" s="7">
        <f>IF(N2269=0,0,(L2269+H2269)/-N2269)</f>
        <v/>
      </c>
      <c r="P2269" s="7">
        <f>VLOOKUP(OPERAC[[#This Row],[especie]],[1]!ESPECIES[#All],6,0)</f>
        <v/>
      </c>
      <c r="Q2269" s="7">
        <f>IF(N2269&lt;&gt;0,P2269*N2269,0)</f>
        <v/>
      </c>
      <c r="R2269" s="8">
        <f>IF(Q2269&lt;&gt;0,Q2269+H2269+L2269,0)</f>
        <v/>
      </c>
      <c r="S2269" s="9">
        <f>VLOOKUP(OPERAC[[#This Row],[especie]],[1]!ESPECIES[#Data],9,FALSE)</f>
        <v/>
      </c>
    </row>
    <row r="2270">
      <c r="A2270" s="4" t="n">
        <v>5212</v>
      </c>
      <c r="B2270" s="5" t="n">
        <v>44581</v>
      </c>
      <c r="C2270" s="13" t="inlineStr">
        <is>
          <t>VTA</t>
        </is>
      </c>
      <c r="D2270" s="13" t="n">
        <v>32</v>
      </c>
      <c r="E2270" s="10">
        <f>IF(D2270&gt;0,VLOOKUP(OPERAC[[#This Row],[COD CART]],[1]!MatrizCortoLargoCyl[#All],3,0),"")</f>
        <v/>
      </c>
      <c r="F2270" s="13" t="inlineStr">
        <is>
          <t>HMY/CYL/4,00/18-02-22</t>
        </is>
      </c>
      <c r="G2270" s="6" t="n">
        <v>100</v>
      </c>
      <c r="H2270" s="6" t="n">
        <v>-387.467996</v>
      </c>
      <c r="I2270" s="7">
        <f>-H2270/G2270</f>
        <v/>
      </c>
      <c r="J2270" s="11" t="n">
        <v>44610</v>
      </c>
      <c r="K2270" s="6">
        <f>+OPERAC[[#This Row],[cantidad]]</f>
        <v/>
      </c>
      <c r="L2270" s="6">
        <f>+OPERAC[[#This Row],[cantidad venta]]*3.8323</f>
        <v/>
      </c>
      <c r="M2270" s="7">
        <f>IF(N2270=0,+L2270+H2270,0)</f>
        <v/>
      </c>
      <c r="N2270" s="7">
        <f>IF((+G2270-K2270)=0,0,+G2270-K2270)</f>
        <v/>
      </c>
      <c r="O2270" s="7">
        <f>IF(N2270=0,0,(L2270+H2270)/-N2270)</f>
        <v/>
      </c>
      <c r="P2270" s="7">
        <f>VLOOKUP(OPERAC[[#This Row],[especie]],[1]!ESPECIES[#All],6,0)</f>
        <v/>
      </c>
      <c r="Q2270" s="7">
        <f>IF(N2270&lt;&gt;0,P2270*N2270,0)</f>
        <v/>
      </c>
      <c r="R2270" s="8">
        <f>IF(Q2270&lt;&gt;0,Q2270+H2270+L2270,0)</f>
        <v/>
      </c>
      <c r="S2270" s="9">
        <f>VLOOKUP(OPERAC[[#This Row],[especie]],[1]!ESPECIES[#Data],9,FALSE)</f>
        <v/>
      </c>
    </row>
    <row r="2271">
      <c r="A2271" s="4" t="n">
        <v>8066</v>
      </c>
      <c r="B2271" s="5" t="n">
        <v>44581</v>
      </c>
      <c r="C2271" s="13" t="inlineStr">
        <is>
          <t>VTA</t>
        </is>
      </c>
      <c r="D2271" s="13" t="n">
        <v>32</v>
      </c>
      <c r="E2271" s="10">
        <f>IF(D2271&gt;0,VLOOKUP(OPERAC[[#This Row],[COD CART]],[1]!MatrizCortoLargoCyl[#All],3,0),"")</f>
        <v/>
      </c>
      <c r="F2271" s="13" t="inlineStr">
        <is>
          <t>HMY/CYL/4,00/18-02-22</t>
        </is>
      </c>
      <c r="G2271" s="6" t="n">
        <v>100</v>
      </c>
      <c r="H2271" s="6" t="n">
        <v>-387.467996</v>
      </c>
      <c r="I2271" s="7">
        <f>-H2271/G2271</f>
        <v/>
      </c>
      <c r="J2271" s="11" t="n">
        <v>44610</v>
      </c>
      <c r="K2271" s="6">
        <f>+OPERAC[[#This Row],[cantidad]]</f>
        <v/>
      </c>
      <c r="L2271" s="6">
        <f>+OPERAC[[#This Row],[cantidad venta]]*3.8323</f>
        <v/>
      </c>
      <c r="M2271" s="7">
        <f>IF(N2271=0,+L2271+H2271,0)</f>
        <v/>
      </c>
      <c r="N2271" s="7">
        <f>IF((+G2271-K2271)=0,0,+G2271-K2271)</f>
        <v/>
      </c>
      <c r="O2271" s="7">
        <f>IF(N2271=0,0,(L2271+H2271)/-N2271)</f>
        <v/>
      </c>
      <c r="P2271" s="7">
        <f>VLOOKUP(OPERAC[[#This Row],[especie]],[1]!ESPECIES[#All],6,0)</f>
        <v/>
      </c>
      <c r="Q2271" s="7">
        <f>IF(N2271&lt;&gt;0,P2271*N2271,0)</f>
        <v/>
      </c>
      <c r="R2271" s="8">
        <f>IF(Q2271&lt;&gt;0,Q2271+H2271+L2271,0)</f>
        <v/>
      </c>
      <c r="S2271" s="9">
        <f>VLOOKUP(OPERAC[[#This Row],[especie]],[1]!ESPECIES[#Data],9,FALSE)</f>
        <v/>
      </c>
    </row>
    <row r="2272">
      <c r="A2272" s="4" t="n">
        <v>11164</v>
      </c>
      <c r="B2272" s="5" t="n">
        <v>44581</v>
      </c>
      <c r="C2272" s="13" t="inlineStr">
        <is>
          <t>VTA</t>
        </is>
      </c>
      <c r="D2272" s="13" t="n">
        <v>32</v>
      </c>
      <c r="E2272" s="10">
        <f>IF(D2272&gt;0,VLOOKUP(OPERAC[[#This Row],[COD CART]],[1]!MatrizCortoLargoCyl[#All],3,0),"")</f>
        <v/>
      </c>
      <c r="F2272" s="13" t="inlineStr">
        <is>
          <t>HMY/CYL/4,00/18-02-22</t>
        </is>
      </c>
      <c r="G2272" s="6" t="n">
        <v>100</v>
      </c>
      <c r="H2272" s="6" t="n">
        <v>-387.467996</v>
      </c>
      <c r="I2272" s="7">
        <f>-H2272/G2272</f>
        <v/>
      </c>
      <c r="J2272" s="11" t="n">
        <v>44610</v>
      </c>
      <c r="K2272" s="6">
        <f>+OPERAC[[#This Row],[cantidad]]</f>
        <v/>
      </c>
      <c r="L2272" s="6">
        <f>+OPERAC[[#This Row],[cantidad venta]]*3.8323</f>
        <v/>
      </c>
      <c r="M2272" s="7">
        <f>IF(N2272=0,+L2272+H2272,0)</f>
        <v/>
      </c>
      <c r="N2272" s="7">
        <f>IF((+G2272-K2272)=0,0,+G2272-K2272)</f>
        <v/>
      </c>
      <c r="O2272" s="7">
        <f>IF(N2272=0,0,(L2272+H2272)/-N2272)</f>
        <v/>
      </c>
      <c r="P2272" s="7">
        <f>VLOOKUP(OPERAC[[#This Row],[especie]],[1]!ESPECIES[#All],6,0)</f>
        <v/>
      </c>
      <c r="Q2272" s="7">
        <f>IF(N2272&lt;&gt;0,P2272*N2272,0)</f>
        <v/>
      </c>
      <c r="R2272" s="8">
        <f>IF(Q2272&lt;&gt;0,Q2272+H2272+L2272,0)</f>
        <v/>
      </c>
      <c r="S2272" s="9">
        <f>VLOOKUP(OPERAC[[#This Row],[especie]],[1]!ESPECIES[#Data],9,FALSE)</f>
        <v/>
      </c>
    </row>
    <row r="2273">
      <c r="A2273" s="4" t="n">
        <v>12022</v>
      </c>
      <c r="B2273" s="5" t="n">
        <v>44581</v>
      </c>
      <c r="C2273" s="13" t="inlineStr">
        <is>
          <t>VTA</t>
        </is>
      </c>
      <c r="D2273" s="13" t="n">
        <v>32</v>
      </c>
      <c r="E2273" s="10">
        <f>IF(D2273&gt;0,VLOOKUP(OPERAC[[#This Row],[COD CART]],[1]!MatrizCortoLargoCyl[#All],3,0),"")</f>
        <v/>
      </c>
      <c r="F2273" s="13" t="inlineStr">
        <is>
          <t>HMY/CYL/4,00/18-02-22</t>
        </is>
      </c>
      <c r="G2273" s="6" t="n">
        <v>100</v>
      </c>
      <c r="H2273" s="6" t="n">
        <v>-387.467996</v>
      </c>
      <c r="I2273" s="7">
        <f>-H2273/G2273</f>
        <v/>
      </c>
      <c r="J2273" s="11" t="n">
        <v>44610</v>
      </c>
      <c r="K2273" s="6">
        <f>+OPERAC[[#This Row],[cantidad]]</f>
        <v/>
      </c>
      <c r="L2273" s="6">
        <f>+OPERAC[[#This Row],[cantidad venta]]*3.8323</f>
        <v/>
      </c>
      <c r="M2273" s="7">
        <f>IF(N2273=0,+L2273+H2273,0)</f>
        <v/>
      </c>
      <c r="N2273" s="7">
        <f>IF((+G2273-K2273)=0,0,+G2273-K2273)</f>
        <v/>
      </c>
      <c r="O2273" s="7">
        <f>IF(N2273=0,0,(L2273+H2273)/-N2273)</f>
        <v/>
      </c>
      <c r="P2273" s="7">
        <f>VLOOKUP(OPERAC[[#This Row],[especie]],[1]!ESPECIES[#All],6,0)</f>
        <v/>
      </c>
      <c r="Q2273" s="7">
        <f>IF(N2273&lt;&gt;0,P2273*N2273,0)</f>
        <v/>
      </c>
      <c r="R2273" s="8">
        <f>IF(Q2273&lt;&gt;0,Q2273+H2273+L2273,0)</f>
        <v/>
      </c>
      <c r="S2273" s="9">
        <f>VLOOKUP(OPERAC[[#This Row],[especie]],[1]!ESPECIES[#Data],9,FALSE)</f>
        <v/>
      </c>
    </row>
    <row r="2274">
      <c r="A2274" s="4" t="n">
        <v>12686</v>
      </c>
      <c r="B2274" s="5" t="n">
        <v>44581</v>
      </c>
      <c r="C2274" s="13" t="inlineStr">
        <is>
          <t>VTA</t>
        </is>
      </c>
      <c r="D2274" s="13" t="n">
        <v>32</v>
      </c>
      <c r="E2274" s="10">
        <f>IF(D2274&gt;0,VLOOKUP(OPERAC[[#This Row],[COD CART]],[1]!MatrizCortoLargoCyl[#All],3,0),"")</f>
        <v/>
      </c>
      <c r="F2274" s="13" t="inlineStr">
        <is>
          <t>HMY/CYL/4,00/18-02-22</t>
        </is>
      </c>
      <c r="G2274" s="6" t="n">
        <v>100</v>
      </c>
      <c r="H2274" s="6" t="n">
        <v>-387.467996</v>
      </c>
      <c r="I2274" s="7">
        <f>-H2274/G2274</f>
        <v/>
      </c>
      <c r="J2274" s="11" t="n">
        <v>44610</v>
      </c>
      <c r="K2274" s="6">
        <f>+OPERAC[[#This Row],[cantidad]]</f>
        <v/>
      </c>
      <c r="L2274" s="6">
        <f>+OPERAC[[#This Row],[cantidad venta]]*3.8323</f>
        <v/>
      </c>
      <c r="M2274" s="7">
        <f>IF(N2274=0,+L2274+H2274,0)</f>
        <v/>
      </c>
      <c r="N2274" s="7">
        <f>IF((+G2274-K2274)=0,0,+G2274-K2274)</f>
        <v/>
      </c>
      <c r="O2274" s="7">
        <f>IF(N2274=0,0,(L2274+H2274)/-N2274)</f>
        <v/>
      </c>
      <c r="P2274" s="7">
        <f>VLOOKUP(OPERAC[[#This Row],[especie]],[1]!ESPECIES[#All],6,0)</f>
        <v/>
      </c>
      <c r="Q2274" s="7">
        <f>IF(N2274&lt;&gt;0,P2274*N2274,0)</f>
        <v/>
      </c>
      <c r="R2274" s="8">
        <f>IF(Q2274&lt;&gt;0,Q2274+H2274+L2274,0)</f>
        <v/>
      </c>
      <c r="S2274" s="9">
        <f>VLOOKUP(OPERAC[[#This Row],[especie]],[1]!ESPECIES[#Data],9,FALSE)</f>
        <v/>
      </c>
    </row>
    <row r="2275">
      <c r="A2275" s="4" t="n">
        <v>13238</v>
      </c>
      <c r="B2275" s="5" t="n">
        <v>44581</v>
      </c>
      <c r="C2275" s="13" t="inlineStr">
        <is>
          <t>VTA</t>
        </is>
      </c>
      <c r="D2275" s="13" t="n">
        <v>32</v>
      </c>
      <c r="E2275" s="10">
        <f>IF(D2275&gt;0,VLOOKUP(OPERAC[[#This Row],[COD CART]],[1]!MatrizCortoLargoCyl[#All],3,0),"")</f>
        <v/>
      </c>
      <c r="F2275" s="13" t="inlineStr">
        <is>
          <t>HMY/CYL/4,00/18-02-22</t>
        </is>
      </c>
      <c r="G2275" s="6" t="n">
        <v>100</v>
      </c>
      <c r="H2275" s="6" t="n">
        <v>-387.467996</v>
      </c>
      <c r="I2275" s="7">
        <f>-H2275/G2275</f>
        <v/>
      </c>
      <c r="J2275" s="11" t="n">
        <v>44610</v>
      </c>
      <c r="K2275" s="6">
        <f>+OPERAC[[#This Row],[cantidad]]</f>
        <v/>
      </c>
      <c r="L2275" s="6">
        <f>+OPERAC[[#This Row],[cantidad venta]]*3.8323</f>
        <v/>
      </c>
      <c r="M2275" s="7">
        <f>IF(N2275=0,+L2275+H2275,0)</f>
        <v/>
      </c>
      <c r="N2275" s="7">
        <f>IF((+G2275-K2275)=0,0,+G2275-K2275)</f>
        <v/>
      </c>
      <c r="O2275" s="7">
        <f>IF(N2275=0,0,(L2275+H2275)/-N2275)</f>
        <v/>
      </c>
      <c r="P2275" s="7">
        <f>VLOOKUP(OPERAC[[#This Row],[especie]],[1]!ESPECIES[#All],6,0)</f>
        <v/>
      </c>
      <c r="Q2275" s="7">
        <f>IF(N2275&lt;&gt;0,P2275*N2275,0)</f>
        <v/>
      </c>
      <c r="R2275" s="8">
        <f>IF(Q2275&lt;&gt;0,Q2275+H2275+L2275,0)</f>
        <v/>
      </c>
      <c r="S2275" s="9">
        <f>VLOOKUP(OPERAC[[#This Row],[especie]],[1]!ESPECIES[#Data],9,FALSE)</f>
        <v/>
      </c>
    </row>
    <row r="2276">
      <c r="A2276" s="4" t="n">
        <v>16832</v>
      </c>
      <c r="B2276" s="5" t="n">
        <v>44581</v>
      </c>
      <c r="C2276" s="13" t="inlineStr">
        <is>
          <t>VTA</t>
        </is>
      </c>
      <c r="D2276" s="13" t="n">
        <v>32</v>
      </c>
      <c r="E2276" s="10">
        <f>IF(D2276&gt;0,VLOOKUP(OPERAC[[#This Row],[COD CART]],[1]!MatrizCortoLargoCyl[#All],3,0),"")</f>
        <v/>
      </c>
      <c r="F2276" s="13" t="inlineStr">
        <is>
          <t>HMY/CYL/4,00/18-02-22</t>
        </is>
      </c>
      <c r="G2276" s="6" t="n">
        <v>100</v>
      </c>
      <c r="H2276" s="6" t="n">
        <v>-387.467996</v>
      </c>
      <c r="I2276" s="7">
        <f>-H2276/G2276</f>
        <v/>
      </c>
      <c r="J2276" s="11" t="n">
        <v>44610</v>
      </c>
      <c r="K2276" s="6">
        <f>+OPERAC[[#This Row],[cantidad]]</f>
        <v/>
      </c>
      <c r="L2276" s="6">
        <f>+OPERAC[[#This Row],[cantidad venta]]*3.8323</f>
        <v/>
      </c>
      <c r="M2276" s="7">
        <f>IF(N2276=0,+L2276+H2276,0)</f>
        <v/>
      </c>
      <c r="N2276" s="7">
        <f>IF((+G2276-K2276)=0,0,+G2276-K2276)</f>
        <v/>
      </c>
      <c r="O2276" s="7">
        <f>IF(N2276=0,0,(L2276+H2276)/-N2276)</f>
        <v/>
      </c>
      <c r="P2276" s="7">
        <f>VLOOKUP(OPERAC[[#This Row],[especie]],[1]!ESPECIES[#All],6,0)</f>
        <v/>
      </c>
      <c r="Q2276" s="7">
        <f>IF(N2276&lt;&gt;0,P2276*N2276,0)</f>
        <v/>
      </c>
      <c r="R2276" s="8">
        <f>IF(Q2276&lt;&gt;0,Q2276+H2276+L2276,0)</f>
        <v/>
      </c>
      <c r="S2276" s="9">
        <f>VLOOKUP(OPERAC[[#This Row],[especie]],[1]!ESPECIES[#Data],9,FALSE)</f>
        <v/>
      </c>
    </row>
    <row r="2277">
      <c r="A2277" s="4" t="n">
        <v>17042</v>
      </c>
      <c r="B2277" s="5" t="n">
        <v>44581</v>
      </c>
      <c r="C2277" s="13" t="inlineStr">
        <is>
          <t>VTA</t>
        </is>
      </c>
      <c r="D2277" s="13" t="n">
        <v>32</v>
      </c>
      <c r="E2277" s="10">
        <f>IF(D2277&gt;0,VLOOKUP(OPERAC[[#This Row],[COD CART]],[1]!MatrizCortoLargoCyl[#All],3,0),"")</f>
        <v/>
      </c>
      <c r="F2277" s="13" t="inlineStr">
        <is>
          <t>HMY/CYL/4,00/18-02-22</t>
        </is>
      </c>
      <c r="G2277" s="6" t="n">
        <v>100</v>
      </c>
      <c r="H2277" s="6" t="n">
        <v>-387.467996</v>
      </c>
      <c r="I2277" s="7">
        <f>-H2277/G2277</f>
        <v/>
      </c>
      <c r="J2277" s="11" t="n">
        <v>44610</v>
      </c>
      <c r="K2277" s="6">
        <f>+OPERAC[[#This Row],[cantidad]]</f>
        <v/>
      </c>
      <c r="L2277" s="6">
        <f>+OPERAC[[#This Row],[cantidad venta]]*3.8323</f>
        <v/>
      </c>
      <c r="M2277" s="7">
        <f>IF(N2277=0,+L2277+H2277,0)</f>
        <v/>
      </c>
      <c r="N2277" s="7">
        <f>IF((+G2277-K2277)=0,0,+G2277-K2277)</f>
        <v/>
      </c>
      <c r="O2277" s="7">
        <f>IF(N2277=0,0,(L2277+H2277)/-N2277)</f>
        <v/>
      </c>
      <c r="P2277" s="7">
        <f>VLOOKUP(OPERAC[[#This Row],[especie]],[1]!ESPECIES[#All],6,0)</f>
        <v/>
      </c>
      <c r="Q2277" s="7">
        <f>IF(N2277&lt;&gt;0,P2277*N2277,0)</f>
        <v/>
      </c>
      <c r="R2277" s="8">
        <f>IF(Q2277&lt;&gt;0,Q2277+H2277+L2277,0)</f>
        <v/>
      </c>
      <c r="S2277" s="9">
        <f>VLOOKUP(OPERAC[[#This Row],[especie]],[1]!ESPECIES[#Data],9,FALSE)</f>
        <v/>
      </c>
    </row>
    <row r="2278">
      <c r="A2278" s="4" t="n">
        <v>19920</v>
      </c>
      <c r="B2278" s="5" t="n">
        <v>44637</v>
      </c>
      <c r="C2278" s="13" t="inlineStr">
        <is>
          <t>VTA</t>
        </is>
      </c>
      <c r="D2278" s="13" t="n">
        <v>31</v>
      </c>
      <c r="E2278" s="10">
        <f>IF(D2278&gt;0,VLOOKUP(OPERAC[[#This Row],[COD CART]],[1]!MatrizCortoLargoCyl[#All],3,0),"")</f>
        <v/>
      </c>
      <c r="F2278" s="13" t="inlineStr">
        <is>
          <t>CEPU</t>
        </is>
      </c>
      <c r="G2278" s="6" t="n">
        <v>100</v>
      </c>
      <c r="H2278" s="6" t="n">
        <v>-389.8864</v>
      </c>
      <c r="I2278" s="7">
        <f>-H2278/G2278</f>
        <v/>
      </c>
      <c r="J2278" s="11" t="n"/>
      <c r="K2278" s="6" t="n"/>
      <c r="L2278" s="6" t="n"/>
      <c r="M2278" s="7">
        <f>IF(N2278=0,+L2278+H2278,0)</f>
        <v/>
      </c>
      <c r="N2278" s="7">
        <f>IF((+G2278-K2278)=0,0,+G2278-K2278)</f>
        <v/>
      </c>
      <c r="O2278" s="7">
        <f>IF(N2278=0,0,(L2278+H2278)/-N2278)</f>
        <v/>
      </c>
      <c r="P2278" s="7">
        <f>VLOOKUP(OPERAC[[#This Row],[especie]],[1]!ESPECIES[#All],6,0)</f>
        <v/>
      </c>
      <c r="Q2278" s="7">
        <f>IF(N2278&lt;&gt;0,P2278*N2278,0)</f>
        <v/>
      </c>
      <c r="R2278" s="8">
        <f>IF(Q2278&lt;&gt;0,Q2278+H2278+L2278,0)</f>
        <v/>
      </c>
      <c r="S2278" s="9">
        <f>VLOOKUP(OPERAC[[#This Row],[especie]],[1]!ESPECIES[#Data],9,FALSE)</f>
        <v/>
      </c>
    </row>
    <row r="2279">
      <c r="A2279" s="4" t="n">
        <v>9195</v>
      </c>
      <c r="B2279" s="5" t="n">
        <v>44601</v>
      </c>
      <c r="C2279" s="13" t="inlineStr">
        <is>
          <t>VTA</t>
        </is>
      </c>
      <c r="D2279" s="13" t="n">
        <v>43</v>
      </c>
      <c r="E2279" s="10">
        <f>IF(D2279&gt;0,VLOOKUP(OPERAC[[#This Row],[COD CART]],[1]!MatrizCortoLargoCyl[#All],3,0),"")</f>
        <v/>
      </c>
      <c r="F2279" s="13" t="inlineStr">
        <is>
          <t>GMBL/CYL-PUT/2,50/20-01-23</t>
        </is>
      </c>
      <c r="G2279" s="6" t="n">
        <v>300</v>
      </c>
      <c r="H2279" s="6">
        <f>-1.3*OPERAC[[#This Row],[cantidad]]</f>
        <v/>
      </c>
      <c r="I2279" s="7">
        <f>-H2279/G2279</f>
        <v/>
      </c>
      <c r="J2279" s="11" t="n">
        <v>44636</v>
      </c>
      <c r="K2279" s="6" t="n">
        <v>300</v>
      </c>
      <c r="L2279" s="6">
        <f>-1.36*OPERAC[[#This Row],[cantidad venta]]</f>
        <v/>
      </c>
      <c r="M2279" s="7">
        <f>IF(N2279=0,+L2279+H2279,0)</f>
        <v/>
      </c>
      <c r="N2279" s="7">
        <f>IF((+G2279-K2279)=0,0,+G2279-K2279)</f>
        <v/>
      </c>
      <c r="O2279" s="7">
        <f>IF(N2279=0,0,(L2279+H2279)/-N2279)</f>
        <v/>
      </c>
      <c r="P2279" s="7">
        <f>VLOOKUP(OPERAC[[#This Row],[especie]],[1]!ESPECIES[#All],6,0)</f>
        <v/>
      </c>
      <c r="Q2279" s="7">
        <f>IF(N2279&lt;&gt;0,P2279*N2279,0)</f>
        <v/>
      </c>
      <c r="R2279" s="8">
        <f>IF(Q2279&lt;&gt;0,Q2279+H2279+L2279,0)</f>
        <v/>
      </c>
      <c r="S2279" s="9">
        <f>VLOOKUP(OPERAC[[#This Row],[especie]],[1]!ESPECIES[#Data],9,FALSE)</f>
        <v/>
      </c>
    </row>
    <row r="2280">
      <c r="A2280" s="4" t="n">
        <v>22439</v>
      </c>
      <c r="B2280" s="5" t="n">
        <v>44601</v>
      </c>
      <c r="C2280" s="13" t="inlineStr">
        <is>
          <t>VTA</t>
        </is>
      </c>
      <c r="D2280" s="13" t="n">
        <v>43</v>
      </c>
      <c r="E2280" s="10">
        <f>IF(D2280&gt;0,VLOOKUP(OPERAC[[#This Row],[COD CART]],[1]!MatrizCortoLargoCyl[#All],3,0),"")</f>
        <v/>
      </c>
      <c r="F2280" s="13" t="inlineStr">
        <is>
          <t>GMBL/CYL-PUT/2,50/20-01-23</t>
        </is>
      </c>
      <c r="G2280" s="6" t="n">
        <v>300</v>
      </c>
      <c r="H2280" s="6">
        <f>-1.3*OPERAC[[#This Row],[cantidad]]</f>
        <v/>
      </c>
      <c r="I2280" s="7">
        <f>-H2280/G2280</f>
        <v/>
      </c>
      <c r="J2280" s="11" t="n">
        <v>44708</v>
      </c>
      <c r="K2280" s="6" t="n">
        <v>300</v>
      </c>
      <c r="L2280" s="6" t="n">
        <v>-554.96</v>
      </c>
      <c r="M2280" s="7">
        <f>IF(N2280=0,+L2280+H2280,0)</f>
        <v/>
      </c>
      <c r="N2280" s="7">
        <f>IF((+G2280-K2280)=0,0,+G2280-K2280)</f>
        <v/>
      </c>
      <c r="O2280" s="7">
        <f>IF(N2280=0,0,(L2280+H2280)/-N2280)</f>
        <v/>
      </c>
      <c r="P2280" s="7">
        <f>VLOOKUP(OPERAC[[#This Row],[especie]],[1]!ESPECIES[#All],6,0)</f>
        <v/>
      </c>
      <c r="Q2280" s="7">
        <f>IF(N2280&lt;&gt;0,P2280*N2280,0)</f>
        <v/>
      </c>
      <c r="R2280" s="8">
        <f>IF(Q2280&lt;&gt;0,Q2280+H2280+L2280,0)</f>
        <v/>
      </c>
      <c r="S2280" s="9">
        <f>VLOOKUP(OPERAC[[#This Row],[especie]],[1]!ESPECIES[#Data],9,FALSE)</f>
        <v/>
      </c>
    </row>
    <row r="2281">
      <c r="A2281" s="4" t="n">
        <v>18663</v>
      </c>
      <c r="B2281" s="5" t="n">
        <v>44377</v>
      </c>
      <c r="C2281" s="13" t="inlineStr">
        <is>
          <t>VTA</t>
        </is>
      </c>
      <c r="D2281" s="13" t="n">
        <v>41</v>
      </c>
      <c r="E2281" s="10">
        <f>IF(D2281&gt;0,VLOOKUP(OPERAC[[#This Row],[COD CART]],[1]!MatrizCortoLargoCyl[#All],3,0),"")</f>
        <v/>
      </c>
      <c r="F2281" s="13" t="inlineStr">
        <is>
          <t>SOLO</t>
        </is>
      </c>
      <c r="G2281" s="6" t="n">
        <v>100</v>
      </c>
      <c r="H2281" s="6">
        <f>-414.78+24.752</f>
        <v/>
      </c>
      <c r="I2281" s="7">
        <f>-H2281/G2281</f>
        <v/>
      </c>
      <c r="J2281" s="11" t="n"/>
      <c r="K2281" s="6" t="n"/>
      <c r="L2281" s="6" t="n"/>
      <c r="M2281" s="7">
        <f>IF(N2281=0,+L2281+H2281,0)</f>
        <v/>
      </c>
      <c r="N2281" s="7">
        <f>IF((+G2281-K2281)=0,0,+G2281-K2281)</f>
        <v/>
      </c>
      <c r="O2281" s="7">
        <f>IF(N2281=0,0,(L2281+H2281)/-N2281)</f>
        <v/>
      </c>
      <c r="P2281" s="7">
        <f>VLOOKUP(OPERAC[[#This Row],[especie]],[1]!ESPECIES[#All],6,0)</f>
        <v/>
      </c>
      <c r="Q2281" s="7">
        <f>IF(N2281&lt;&gt;0,P2281*N2281,0)</f>
        <v/>
      </c>
      <c r="R2281" s="8">
        <f>IF(Q2281&lt;&gt;0,Q2281+H2281+L2281,0)</f>
        <v/>
      </c>
      <c r="S2281" s="9">
        <f>VLOOKUP(OPERAC[[#This Row],[especie]],[1]!ESPECIES[#Data],9,FALSE)</f>
        <v/>
      </c>
    </row>
    <row r="2282">
      <c r="A2282" s="4" t="n">
        <v>2194</v>
      </c>
      <c r="B2282" s="5" t="n">
        <v>44312</v>
      </c>
      <c r="C2282" s="13" t="inlineStr">
        <is>
          <t>VTA</t>
        </is>
      </c>
      <c r="D2282" s="13" t="n">
        <v>41</v>
      </c>
      <c r="E2282" s="10">
        <f>IF(D2282&gt;0,VLOOKUP(OPERAC[[#This Row],[COD CART]],[1]!MatrizCortoLargoCyl[#All],3,0),"")</f>
        <v/>
      </c>
      <c r="F2282" s="13" t="inlineStr">
        <is>
          <t>SPGI</t>
        </is>
      </c>
      <c r="G2282" s="6" t="n">
        <v>1</v>
      </c>
      <c r="H2282" s="6" t="n">
        <v>-390.088</v>
      </c>
      <c r="I2282" s="7">
        <f>-H2282/G2282</f>
        <v/>
      </c>
      <c r="J2282" s="11" t="n"/>
      <c r="K2282" s="6" t="n"/>
      <c r="L2282" s="6" t="n"/>
      <c r="M2282" s="7">
        <f>IF(N2282=0,+L2282+H2282,0)</f>
        <v/>
      </c>
      <c r="N2282" s="7">
        <f>IF((+G2282-K2282)=0,0,+G2282-K2282)</f>
        <v/>
      </c>
      <c r="O2282" s="7">
        <f>IF(N2282=0,0,(L2282+H2282)/-N2282)</f>
        <v/>
      </c>
      <c r="P2282" s="7">
        <f>VLOOKUP(OPERAC[[#This Row],[especie]],[1]!ESPECIES[#All],6,0)</f>
        <v/>
      </c>
      <c r="Q2282" s="7">
        <f>IF(N2282&lt;&gt;0,P2282*N2282,0)</f>
        <v/>
      </c>
      <c r="R2282" s="8">
        <f>IF(Q2282&lt;&gt;0,Q2282+H2282+L2282,0)</f>
        <v/>
      </c>
      <c r="S2282" s="9">
        <f>VLOOKUP(OPERAC[[#This Row],[especie]],[1]!ESPECIES[#Data],9,FALSE)</f>
        <v/>
      </c>
    </row>
    <row r="2283">
      <c r="A2283" s="4" t="n">
        <v>2211</v>
      </c>
      <c r="B2283" s="5" t="n">
        <v>44582</v>
      </c>
      <c r="C2283" s="13" t="inlineStr">
        <is>
          <t>VTA</t>
        </is>
      </c>
      <c r="D2283" s="13" t="n">
        <v>40</v>
      </c>
      <c r="E2283" s="10">
        <f>IF(D2283&gt;0,VLOOKUP(OPERAC[[#This Row],[COD CART]],[1]!MatrizCortoLargoCyl[#All],3,0),"")</f>
        <v/>
      </c>
      <c r="F2283" s="13" t="inlineStr">
        <is>
          <t>NFLX</t>
        </is>
      </c>
      <c r="G2283" s="6" t="n">
        <v>1</v>
      </c>
      <c r="H2283" s="6" t="n">
        <v>-390.6371</v>
      </c>
      <c r="I2283" s="7">
        <f>-H2283/G2283</f>
        <v/>
      </c>
      <c r="J2283" s="11" t="n">
        <v>44593</v>
      </c>
      <c r="K2283" s="6">
        <f>+OPERAC[[#This Row],[cantidad]]</f>
        <v/>
      </c>
      <c r="L2283" s="6">
        <f>+OPERAC[[#This Row],[cantidad venta]]*448.602</f>
        <v/>
      </c>
      <c r="M2283" s="7">
        <f>IF(N2283=0,+L2283+H2283,0)</f>
        <v/>
      </c>
      <c r="N2283" s="7">
        <f>IF((+G2283-K2283)=0,0,+G2283-K2283)</f>
        <v/>
      </c>
      <c r="O2283" s="7">
        <f>IF(N2283=0,0,(L2283+H2283)/-N2283)</f>
        <v/>
      </c>
      <c r="P2283" s="7">
        <f>VLOOKUP(OPERAC[[#This Row],[especie]],[1]!ESPECIES[#All],6,0)</f>
        <v/>
      </c>
      <c r="Q2283" s="7">
        <f>IF(N2283&lt;&gt;0,P2283*N2283,0)</f>
        <v/>
      </c>
      <c r="R2283" s="8">
        <f>IF(Q2283&lt;&gt;0,Q2283+H2283+L2283,0)</f>
        <v/>
      </c>
      <c r="S2283" s="9">
        <f>VLOOKUP(OPERAC[[#This Row],[especie]],[1]!ESPECIES[#Data],9,FALSE)</f>
        <v/>
      </c>
    </row>
    <row r="2284">
      <c r="A2284" s="4" t="n">
        <v>2279</v>
      </c>
      <c r="B2284" s="5" t="n">
        <v>44582</v>
      </c>
      <c r="C2284" s="13" t="inlineStr">
        <is>
          <t>VTA</t>
        </is>
      </c>
      <c r="D2284" s="13" t="n">
        <v>40</v>
      </c>
      <c r="E2284" s="10">
        <f>IF(D2284&gt;0,VLOOKUP(OPERAC[[#This Row],[COD CART]],[1]!MatrizCortoLargoCyl[#All],3,0),"")</f>
        <v/>
      </c>
      <c r="F2284" s="13" t="inlineStr">
        <is>
          <t>NFLX</t>
        </is>
      </c>
      <c r="G2284" s="6" t="n">
        <v>1</v>
      </c>
      <c r="H2284" s="6" t="n">
        <v>-390.6371</v>
      </c>
      <c r="I2284" s="7">
        <f>-H2284/G2284</f>
        <v/>
      </c>
      <c r="J2284" s="11" t="n">
        <v>44593</v>
      </c>
      <c r="K2284" s="6">
        <f>+OPERAC[[#This Row],[cantidad]]</f>
        <v/>
      </c>
      <c r="L2284" s="6">
        <f>+OPERAC[[#This Row],[cantidad venta]]*448.602</f>
        <v/>
      </c>
      <c r="M2284" s="7">
        <f>IF(N2284=0,+L2284+H2284,0)</f>
        <v/>
      </c>
      <c r="N2284" s="7">
        <f>IF((+G2284-K2284)=0,0,+G2284-K2284)</f>
        <v/>
      </c>
      <c r="O2284" s="7">
        <f>IF(N2284=0,0,(L2284+H2284)/-N2284)</f>
        <v/>
      </c>
      <c r="P2284" s="7">
        <f>VLOOKUP(OPERAC[[#This Row],[especie]],[1]!ESPECIES[#All],6,0)</f>
        <v/>
      </c>
      <c r="Q2284" s="7">
        <f>IF(N2284&lt;&gt;0,P2284*N2284,0)</f>
        <v/>
      </c>
      <c r="R2284" s="8">
        <f>IF(Q2284&lt;&gt;0,Q2284+H2284+L2284,0)</f>
        <v/>
      </c>
      <c r="S2284" s="9">
        <f>VLOOKUP(OPERAC[[#This Row],[especie]],[1]!ESPECIES[#Data],9,FALSE)</f>
        <v/>
      </c>
    </row>
    <row r="2285">
      <c r="A2285" s="4" t="n">
        <v>2289</v>
      </c>
      <c r="B2285" s="5" t="n">
        <v>44582</v>
      </c>
      <c r="C2285" s="13" t="inlineStr">
        <is>
          <t>VTA</t>
        </is>
      </c>
      <c r="D2285" s="13" t="n">
        <v>40</v>
      </c>
      <c r="E2285" s="10">
        <f>IF(D2285&gt;0,VLOOKUP(OPERAC[[#This Row],[COD CART]],[1]!MatrizCortoLargoCyl[#All],3,0),"")</f>
        <v/>
      </c>
      <c r="F2285" s="13" t="inlineStr">
        <is>
          <t>NFLX</t>
        </is>
      </c>
      <c r="G2285" s="6" t="n">
        <v>1</v>
      </c>
      <c r="H2285" s="6" t="n">
        <v>-390.6371</v>
      </c>
      <c r="I2285" s="7">
        <f>-H2285/G2285</f>
        <v/>
      </c>
      <c r="J2285" s="11" t="n">
        <v>44593</v>
      </c>
      <c r="K2285" s="6">
        <f>+OPERAC[[#This Row],[cantidad]]</f>
        <v/>
      </c>
      <c r="L2285" s="6">
        <f>+OPERAC[[#This Row],[cantidad venta]]*448.602</f>
        <v/>
      </c>
      <c r="M2285" s="7">
        <f>IF(N2285=0,+L2285+H2285,0)</f>
        <v/>
      </c>
      <c r="N2285" s="7">
        <f>IF((+G2285-K2285)=0,0,+G2285-K2285)</f>
        <v/>
      </c>
      <c r="O2285" s="7">
        <f>IF(N2285=0,0,(L2285+H2285)/-N2285)</f>
        <v/>
      </c>
      <c r="P2285" s="7">
        <f>VLOOKUP(OPERAC[[#This Row],[especie]],[1]!ESPECIES[#All],6,0)</f>
        <v/>
      </c>
      <c r="Q2285" s="7">
        <f>IF(N2285&lt;&gt;0,P2285*N2285,0)</f>
        <v/>
      </c>
      <c r="R2285" s="8">
        <f>IF(Q2285&lt;&gt;0,Q2285+H2285+L2285,0)</f>
        <v/>
      </c>
      <c r="S2285" s="9">
        <f>VLOOKUP(OPERAC[[#This Row],[especie]],[1]!ESPECIES[#Data],9,FALSE)</f>
        <v/>
      </c>
    </row>
    <row r="2286">
      <c r="A2286" s="4" t="n">
        <v>13271</v>
      </c>
      <c r="B2286" s="5" t="n">
        <v>44582</v>
      </c>
      <c r="C2286" s="13" t="inlineStr">
        <is>
          <t>VTA</t>
        </is>
      </c>
      <c r="D2286" s="13" t="n">
        <v>40</v>
      </c>
      <c r="E2286" s="10">
        <f>IF(D2286&gt;0,VLOOKUP(OPERAC[[#This Row],[COD CART]],[1]!MatrizCortoLargoCyl[#All],3,0),"")</f>
        <v/>
      </c>
      <c r="F2286" s="13" t="inlineStr">
        <is>
          <t>NFLX</t>
        </is>
      </c>
      <c r="G2286" s="6" t="n">
        <v>1</v>
      </c>
      <c r="H2286" s="6" t="n">
        <v>-390.6371</v>
      </c>
      <c r="I2286" s="7">
        <f>-H2286/G2286</f>
        <v/>
      </c>
      <c r="J2286" s="11" t="n">
        <v>44593</v>
      </c>
      <c r="K2286" s="6">
        <f>+OPERAC[[#This Row],[cantidad]]</f>
        <v/>
      </c>
      <c r="L2286" s="6">
        <f>+OPERAC[[#This Row],[cantidad venta]]*448.602</f>
        <v/>
      </c>
      <c r="M2286" s="7">
        <f>IF(N2286=0,+L2286+H2286,0)</f>
        <v/>
      </c>
      <c r="N2286" s="7">
        <f>IF((+G2286-K2286)=0,0,+G2286-K2286)</f>
        <v/>
      </c>
      <c r="O2286" s="7">
        <f>IF(N2286=0,0,(L2286+H2286)/-N2286)</f>
        <v/>
      </c>
      <c r="P2286" s="7">
        <f>VLOOKUP(OPERAC[[#This Row],[especie]],[1]!ESPECIES[#All],6,0)</f>
        <v/>
      </c>
      <c r="Q2286" s="7">
        <f>IF(N2286&lt;&gt;0,P2286*N2286,0)</f>
        <v/>
      </c>
      <c r="R2286" s="8">
        <f>IF(Q2286&lt;&gt;0,Q2286+H2286+L2286,0)</f>
        <v/>
      </c>
      <c r="S2286" s="9">
        <f>VLOOKUP(OPERAC[[#This Row],[especie]],[1]!ESPECIES[#Data],9,FALSE)</f>
        <v/>
      </c>
    </row>
    <row r="2287">
      <c r="A2287" s="4" t="n">
        <v>18663</v>
      </c>
      <c r="B2287" s="5" t="n">
        <v>44350</v>
      </c>
      <c r="C2287" s="13" t="inlineStr">
        <is>
          <t>VTA</t>
        </is>
      </c>
      <c r="D2287" s="13" t="n">
        <v>41</v>
      </c>
      <c r="E2287" s="10">
        <f>IF(D2287&gt;0,VLOOKUP(OPERAC[[#This Row],[COD CART]],[1]!MatrizCortoLargoCyl[#All],3,0),"")</f>
        <v/>
      </c>
      <c r="F2287" s="13" t="inlineStr">
        <is>
          <t>TLRY</t>
        </is>
      </c>
      <c r="G2287" s="6" t="n">
        <v>20</v>
      </c>
      <c r="H2287" s="6" t="n">
        <v>-393</v>
      </c>
      <c r="I2287" s="7">
        <f>-H2287/G2287</f>
        <v/>
      </c>
      <c r="J2287" s="11" t="n"/>
      <c r="K2287" s="6" t="n"/>
      <c r="L2287" s="6" t="n"/>
      <c r="M2287" s="7">
        <f>IF(N2287=0,+L2287+H2287,0)</f>
        <v/>
      </c>
      <c r="N2287" s="7">
        <f>IF((+G2287-K2287)=0,0,+G2287-K2287)</f>
        <v/>
      </c>
      <c r="O2287" s="7">
        <f>IF(N2287=0,0,(L2287+H2287)/-N2287)</f>
        <v/>
      </c>
      <c r="P2287" s="7">
        <f>VLOOKUP(OPERAC[[#This Row],[especie]],[1]!ESPECIES[#All],6,0)</f>
        <v/>
      </c>
      <c r="Q2287" s="7">
        <f>IF(N2287&lt;&gt;0,P2287*N2287,0)</f>
        <v/>
      </c>
      <c r="R2287" s="8">
        <f>IF(Q2287&lt;&gt;0,Q2287+H2287+L2287,0)</f>
        <v/>
      </c>
      <c r="S2287" s="9">
        <f>VLOOKUP(OPERAC[[#This Row],[especie]],[1]!ESPECIES[#Data],9,FALSE)</f>
        <v/>
      </c>
    </row>
    <row r="2288">
      <c r="A2288" s="4" t="n">
        <v>18661</v>
      </c>
      <c r="B2288" s="5" t="n">
        <v>44470</v>
      </c>
      <c r="C2288" s="13" t="inlineStr">
        <is>
          <t>VTA</t>
        </is>
      </c>
      <c r="D2288" s="13" t="n">
        <v>41</v>
      </c>
      <c r="E2288" s="10">
        <f>IF(D2288&gt;0,VLOOKUP(OPERAC[[#This Row],[COD CART]],[1]!MatrizCortoLargoCyl[#All],3,0),"")</f>
        <v/>
      </c>
      <c r="F2288" s="13" t="inlineStr">
        <is>
          <t>GPRK</t>
        </is>
      </c>
      <c r="G2288" s="6" t="n">
        <v>30</v>
      </c>
      <c r="H2288" s="6" t="n">
        <v>-394.12</v>
      </c>
      <c r="I2288" s="7">
        <f>-H2288/G2288</f>
        <v/>
      </c>
      <c r="J2288" s="11" t="n"/>
      <c r="K2288" s="6" t="n"/>
      <c r="L2288" s="6" t="n"/>
      <c r="M2288" s="7">
        <f>IF(N2288=0,+L2288+H2288,0)</f>
        <v/>
      </c>
      <c r="N2288" s="7">
        <f>IF((+G2288-K2288)=0,0,+G2288-K2288)</f>
        <v/>
      </c>
      <c r="O2288" s="7">
        <f>IF(N2288=0,0,(L2288+H2288)/-N2288)</f>
        <v/>
      </c>
      <c r="P2288" s="7">
        <f>VLOOKUP(OPERAC[[#This Row],[especie]],[1]!ESPECIES[#All],6,0)</f>
        <v/>
      </c>
      <c r="Q2288" s="7">
        <f>IF(N2288&lt;&gt;0,P2288*N2288,0)</f>
        <v/>
      </c>
      <c r="R2288" s="8">
        <f>IF(Q2288&lt;&gt;0,Q2288+H2288+L2288,0)</f>
        <v/>
      </c>
      <c r="S2288" s="9">
        <f>VLOOKUP(OPERAC[[#This Row],[especie]],[1]!ESPECIES[#Data],9,FALSE)</f>
        <v/>
      </c>
    </row>
    <row r="2289">
      <c r="A2289" s="4" t="n">
        <v>12671</v>
      </c>
      <c r="B2289" s="5" t="n">
        <v>44664</v>
      </c>
      <c r="C2289" s="13" t="inlineStr">
        <is>
          <t>VTA</t>
        </is>
      </c>
      <c r="D2289" s="13" t="n">
        <v>42</v>
      </c>
      <c r="E2289" s="10">
        <f>IF(D2289&gt;0,VLOOKUP(OPERAC[[#This Row],[COD CART]],[1]!MatrizCortoLargoCyl[#All],3,0),"")</f>
        <v/>
      </c>
      <c r="F2289" s="13" t="inlineStr">
        <is>
          <t>AMD</t>
        </is>
      </c>
      <c r="G2289" s="6" t="n">
        <v>4</v>
      </c>
      <c r="H2289" s="6" t="n">
        <v>-394.29911268</v>
      </c>
      <c r="I2289" s="7">
        <f>-H2289/G2289</f>
        <v/>
      </c>
      <c r="J2289" s="11" t="n">
        <v>44693</v>
      </c>
      <c r="K2289" s="6">
        <f>+OPERAC[[#This Row],[cantidad]]</f>
        <v/>
      </c>
      <c r="L2289" s="6">
        <f>+OPERAC[[#This Row],[cantidad venta]]*85.26</f>
        <v/>
      </c>
      <c r="M2289" s="7">
        <f>IF(N2289=0,+L2289+H2289,0)</f>
        <v/>
      </c>
      <c r="N2289" s="7">
        <f>IF((+G2289-K2289)=0,0,+G2289-K2289)</f>
        <v/>
      </c>
      <c r="O2289" s="7">
        <f>IF(N2289=0,0,(L2289+H2289)/-N2289)</f>
        <v/>
      </c>
      <c r="P2289" s="7">
        <f>VLOOKUP(OPERAC[[#This Row],[especie]],[1]!ESPECIES[#All],6,0)</f>
        <v/>
      </c>
      <c r="Q2289" s="7">
        <f>IF(N2289&lt;&gt;0,P2289*N2289,0)</f>
        <v/>
      </c>
      <c r="R2289" s="8">
        <f>IF(Q2289&lt;&gt;0,Q2289+H2289+L2289,0)</f>
        <v/>
      </c>
      <c r="S2289" s="9">
        <f>VLOOKUP(OPERAC[[#This Row],[especie]],[1]!ESPECIES[#Data],9,FALSE)</f>
        <v/>
      </c>
    </row>
    <row r="2290">
      <c r="A2290" s="4" t="n">
        <v>12652</v>
      </c>
      <c r="B2290" s="5" t="n">
        <v>44664</v>
      </c>
      <c r="C2290" s="13" t="inlineStr">
        <is>
          <t>VTA</t>
        </is>
      </c>
      <c r="D2290" s="13" t="n">
        <v>42</v>
      </c>
      <c r="E2290" s="10">
        <f>IF(D2290&gt;0,VLOOKUP(OPERAC[[#This Row],[COD CART]],[1]!MatrizCortoLargoCyl[#All],3,0),"")</f>
        <v/>
      </c>
      <c r="F2290" s="13" t="inlineStr">
        <is>
          <t>AMD</t>
        </is>
      </c>
      <c r="G2290" s="6" t="n">
        <v>4</v>
      </c>
      <c r="H2290" s="6" t="n">
        <v>-395.08261812</v>
      </c>
      <c r="I2290" s="7">
        <f>-H2290/G2290</f>
        <v/>
      </c>
      <c r="J2290" s="11" t="n">
        <v>44693</v>
      </c>
      <c r="K2290" s="6">
        <f>+OPERAC[[#This Row],[cantidad]]</f>
        <v/>
      </c>
      <c r="L2290" s="6">
        <f>+OPERAC[[#This Row],[cantidad venta]]*85.26</f>
        <v/>
      </c>
      <c r="M2290" s="7">
        <f>IF(N2290=0,+L2290+H2290,0)</f>
        <v/>
      </c>
      <c r="N2290" s="7">
        <f>IF((+G2290-K2290)=0,0,+G2290-K2290)</f>
        <v/>
      </c>
      <c r="O2290" s="7">
        <f>IF(N2290=0,0,(L2290+H2290)/-N2290)</f>
        <v/>
      </c>
      <c r="P2290" s="7">
        <f>VLOOKUP(OPERAC[[#This Row],[especie]],[1]!ESPECIES[#All],6,0)</f>
        <v/>
      </c>
      <c r="Q2290" s="7">
        <f>IF(N2290&lt;&gt;0,P2290*N2290,0)</f>
        <v/>
      </c>
      <c r="R2290" s="8">
        <f>IF(Q2290&lt;&gt;0,Q2290+H2290+L2290,0)</f>
        <v/>
      </c>
      <c r="S2290" s="9">
        <f>VLOOKUP(OPERAC[[#This Row],[especie]],[1]!ESPECIES[#Data],9,FALSE)</f>
        <v/>
      </c>
    </row>
    <row r="2291">
      <c r="A2291" s="4" t="n">
        <v>12672</v>
      </c>
      <c r="B2291" s="5" t="n">
        <v>44664</v>
      </c>
      <c r="C2291" s="13" t="inlineStr">
        <is>
          <t>VTA</t>
        </is>
      </c>
      <c r="D2291" s="13" t="n">
        <v>42</v>
      </c>
      <c r="E2291" s="10">
        <f>IF(D2291&gt;0,VLOOKUP(OPERAC[[#This Row],[COD CART]],[1]!MatrizCortoLargoCyl[#All],3,0),"")</f>
        <v/>
      </c>
      <c r="F2291" s="13" t="inlineStr">
        <is>
          <t>AMD</t>
        </is>
      </c>
      <c r="G2291" s="6" t="n">
        <v>4</v>
      </c>
      <c r="H2291" s="6" t="n">
        <v>-395.08261812</v>
      </c>
      <c r="I2291" s="7">
        <f>-H2291/G2291</f>
        <v/>
      </c>
      <c r="J2291" s="11" t="n">
        <v>44693</v>
      </c>
      <c r="K2291" s="6">
        <f>+OPERAC[[#This Row],[cantidad]]</f>
        <v/>
      </c>
      <c r="L2291" s="6">
        <f>+OPERAC[[#This Row],[cantidad venta]]*85.26</f>
        <v/>
      </c>
      <c r="M2291" s="7">
        <f>IF(N2291=0,+L2291+H2291,0)</f>
        <v/>
      </c>
      <c r="N2291" s="7">
        <f>IF((+G2291-K2291)=0,0,+G2291-K2291)</f>
        <v/>
      </c>
      <c r="O2291" s="7">
        <f>IF(N2291=0,0,(L2291+H2291)/-N2291)</f>
        <v/>
      </c>
      <c r="P2291" s="7">
        <f>VLOOKUP(OPERAC[[#This Row],[especie]],[1]!ESPECIES[#All],6,0)</f>
        <v/>
      </c>
      <c r="Q2291" s="7">
        <f>IF(N2291&lt;&gt;0,P2291*N2291,0)</f>
        <v/>
      </c>
      <c r="R2291" s="8">
        <f>IF(Q2291&lt;&gt;0,Q2291+H2291+L2291,0)</f>
        <v/>
      </c>
      <c r="S2291" s="9">
        <f>VLOOKUP(OPERAC[[#This Row],[especie]],[1]!ESPECIES[#Data],9,FALSE)</f>
        <v/>
      </c>
    </row>
    <row r="2292">
      <c r="A2292" s="4" t="n">
        <v>13188</v>
      </c>
      <c r="B2292" s="5" t="n">
        <v>44582</v>
      </c>
      <c r="C2292" s="13" t="inlineStr">
        <is>
          <t>VTA</t>
        </is>
      </c>
      <c r="D2292" s="13" t="n">
        <v>40</v>
      </c>
      <c r="E2292" s="10">
        <f>IF(D2292&gt;0,VLOOKUP(OPERAC[[#This Row],[COD CART]],[1]!MatrizCortoLargoCyl[#All],3,0),"")</f>
        <v/>
      </c>
      <c r="F2292" s="13" t="inlineStr">
        <is>
          <t>NFLX</t>
        </is>
      </c>
      <c r="G2292" s="6" t="n">
        <v>1</v>
      </c>
      <c r="H2292" s="6" t="n">
        <v>-395.893</v>
      </c>
      <c r="I2292" s="7">
        <f>-H2292/G2292</f>
        <v/>
      </c>
      <c r="J2292" s="11" t="n">
        <v>44593</v>
      </c>
      <c r="K2292" s="6">
        <f>+OPERAC[[#This Row],[cantidad]]</f>
        <v/>
      </c>
      <c r="L2292" s="6">
        <f>+OPERAC[[#This Row],[cantidad venta]]*448.602</f>
        <v/>
      </c>
      <c r="M2292" s="7">
        <f>IF(N2292=0,+L2292+H2292,0)</f>
        <v/>
      </c>
      <c r="N2292" s="7">
        <f>IF((+G2292-K2292)=0,0,+G2292-K2292)</f>
        <v/>
      </c>
      <c r="O2292" s="7">
        <f>IF(N2292=0,0,(L2292+H2292)/-N2292)</f>
        <v/>
      </c>
      <c r="P2292" s="7">
        <f>VLOOKUP(OPERAC[[#This Row],[especie]],[1]!ESPECIES[#All],6,0)</f>
        <v/>
      </c>
      <c r="Q2292" s="7">
        <f>IF(N2292&lt;&gt;0,P2292*N2292,0)</f>
        <v/>
      </c>
      <c r="R2292" s="8">
        <f>IF(Q2292&lt;&gt;0,Q2292+H2292+L2292,0)</f>
        <v/>
      </c>
      <c r="S2292" s="9">
        <f>VLOOKUP(OPERAC[[#This Row],[especie]],[1]!ESPECIES[#Data],9,FALSE)</f>
        <v/>
      </c>
    </row>
    <row r="2293">
      <c r="A2293" s="4" t="n">
        <v>1807</v>
      </c>
      <c r="B2293" s="5" t="n">
        <v>44628</v>
      </c>
      <c r="C2293" s="13" t="inlineStr">
        <is>
          <t>VTA</t>
        </is>
      </c>
      <c r="D2293" s="13" t="n">
        <v>42</v>
      </c>
      <c r="E2293" s="10">
        <f>IF(D2293&gt;0,VLOOKUP(OPERAC[[#This Row],[COD CART]],[1]!MatrizCortoLargoCyl[#All],3,0),"")</f>
        <v/>
      </c>
      <c r="F2293" s="13" t="inlineStr">
        <is>
          <t>FB</t>
        </is>
      </c>
      <c r="G2293" s="6" t="n">
        <v>2</v>
      </c>
      <c r="H2293" s="6" t="n">
        <v>-396.3376</v>
      </c>
      <c r="I2293" s="7">
        <f>-H2293/G2293</f>
        <v/>
      </c>
      <c r="J2293" s="11" t="n">
        <v>44671</v>
      </c>
      <c r="K2293" s="6">
        <f>+OPERAC[[#This Row],[cantidad]]</f>
        <v/>
      </c>
      <c r="L2293" s="6">
        <f>+OPERAC[[#This Row],[cantidad venta]]*213.173</f>
        <v/>
      </c>
      <c r="M2293" s="7">
        <f>IF(N2293=0,+L2293+H2293,0)</f>
        <v/>
      </c>
      <c r="N2293" s="7">
        <f>IF((+G2293-K2293)=0,0,+G2293-K2293)</f>
        <v/>
      </c>
      <c r="O2293" s="7">
        <f>IF(N2293=0,0,(L2293+H2293)/-N2293)</f>
        <v/>
      </c>
      <c r="P2293" s="7">
        <f>VLOOKUP(OPERAC[[#This Row],[especie]],[1]!ESPECIES[#All],6,0)</f>
        <v/>
      </c>
      <c r="Q2293" s="7">
        <f>IF(N2293&lt;&gt;0,P2293*N2293,0)</f>
        <v/>
      </c>
      <c r="R2293" s="8">
        <f>IF(Q2293&lt;&gt;0,Q2293+H2293+L2293,0)</f>
        <v/>
      </c>
      <c r="S2293" s="9">
        <f>VLOOKUP(OPERAC[[#This Row],[especie]],[1]!ESPECIES[#Data],9,FALSE)</f>
        <v/>
      </c>
    </row>
    <row r="2294">
      <c r="A2294" s="4" t="n">
        <v>18663</v>
      </c>
      <c r="B2294" s="5" t="n">
        <v>44452</v>
      </c>
      <c r="C2294" s="13" t="inlineStr">
        <is>
          <t>VTA</t>
        </is>
      </c>
      <c r="D2294" s="13" t="n">
        <v>41</v>
      </c>
      <c r="E2294" s="10">
        <f>IF(D2294&gt;0,VLOOKUP(OPERAC[[#This Row],[COD CART]],[1]!MatrizCortoLargoCyl[#All],3,0),"")</f>
        <v/>
      </c>
      <c r="F2294" s="13" t="inlineStr">
        <is>
          <t>BEP</t>
        </is>
      </c>
      <c r="G2294" s="6" t="n">
        <v>10</v>
      </c>
      <c r="H2294" s="6" t="n">
        <v>-397.144</v>
      </c>
      <c r="I2294" s="7">
        <f>-H2294/G2294</f>
        <v/>
      </c>
      <c r="J2294" s="11" t="n"/>
      <c r="K2294" s="6" t="n"/>
      <c r="L2294" s="6" t="n"/>
      <c r="M2294" s="7">
        <f>IF(N2294=0,+L2294+H2294,0)</f>
        <v/>
      </c>
      <c r="N2294" s="7">
        <f>IF((+G2294-K2294)=0,0,+G2294-K2294)</f>
        <v/>
      </c>
      <c r="O2294" s="7">
        <f>IF(N2294=0,0,(L2294+H2294)/-N2294)</f>
        <v/>
      </c>
      <c r="P2294" s="7">
        <f>VLOOKUP(OPERAC[[#This Row],[especie]],[1]!ESPECIES[#All],6,0)</f>
        <v/>
      </c>
      <c r="Q2294" s="7">
        <f>IF(N2294&lt;&gt;0,P2294*N2294,0)</f>
        <v/>
      </c>
      <c r="R2294" s="8">
        <f>IF(Q2294&lt;&gt;0,Q2294+H2294+L2294,0)</f>
        <v/>
      </c>
      <c r="S2294" s="9">
        <f>VLOOKUP(OPERAC[[#This Row],[especie]],[1]!ESPECIES[#Data],9,FALSE)</f>
        <v/>
      </c>
    </row>
    <row r="2295">
      <c r="A2295" s="4" t="n">
        <v>1807</v>
      </c>
      <c r="B2295" s="5" t="n">
        <v>44680</v>
      </c>
      <c r="C2295" s="13" t="inlineStr">
        <is>
          <t>VTA</t>
        </is>
      </c>
      <c r="D2295" s="13" t="n">
        <v>42</v>
      </c>
      <c r="E2295" s="10">
        <f>IF(D2295&gt;0,VLOOKUP(OPERAC[[#This Row],[COD CART]],[1]!MatrizCortoLargoCyl[#All],3,0),"")</f>
        <v/>
      </c>
      <c r="F2295" s="14" t="inlineStr">
        <is>
          <t>XLP</t>
        </is>
      </c>
      <c r="G2295" s="6" t="n">
        <v>5</v>
      </c>
      <c r="H2295" s="6" t="n">
        <v>-397.1725125</v>
      </c>
      <c r="I2295" s="7">
        <f>-H2295/G2295</f>
        <v/>
      </c>
      <c r="J2295" s="11" t="n">
        <v>44704</v>
      </c>
      <c r="K2295" s="6" t="n">
        <v>5</v>
      </c>
      <c r="L2295" s="6">
        <f>71.162*OPERAC[[#This Row],[cantidad venta]]</f>
        <v/>
      </c>
      <c r="M2295" s="7">
        <f>IF(N2295=0,+L2295+H2295,0)</f>
        <v/>
      </c>
      <c r="N2295" s="7">
        <f>IF((+G2295-K2295)=0,0,+G2295-K2295)</f>
        <v/>
      </c>
      <c r="O2295" s="7">
        <f>IF(N2295=0,0,(L2295+H2295)/-N2295)</f>
        <v/>
      </c>
      <c r="P2295" s="7">
        <f>VLOOKUP(OPERAC[[#This Row],[especie]],[1]!ESPECIES[#All],6,0)</f>
        <v/>
      </c>
      <c r="Q2295" s="7">
        <f>IF(N2295&lt;&gt;0,P2295*N2295,0)</f>
        <v/>
      </c>
      <c r="R2295" s="8">
        <f>IF(Q2295&lt;&gt;0,Q2295+H2295+L2295,0)</f>
        <v/>
      </c>
      <c r="S2295" s="9">
        <f>VLOOKUP(OPERAC[[#This Row],[especie]],[1]!ESPECIES[#Data],9,FALSE)</f>
        <v/>
      </c>
    </row>
    <row r="2296">
      <c r="A2296" s="4" t="n">
        <v>2194</v>
      </c>
      <c r="B2296" s="5" t="n">
        <v>44680</v>
      </c>
      <c r="C2296" s="13" t="inlineStr">
        <is>
          <t>VTA</t>
        </is>
      </c>
      <c r="D2296" s="13" t="n">
        <v>42</v>
      </c>
      <c r="E2296" s="10">
        <f>IF(D2296&gt;0,VLOOKUP(OPERAC[[#This Row],[COD CART]],[1]!MatrizCortoLargoCyl[#All],3,0),"")</f>
        <v/>
      </c>
      <c r="F2296" s="14" t="inlineStr">
        <is>
          <t>XLP</t>
        </is>
      </c>
      <c r="G2296" s="6" t="n">
        <v>5</v>
      </c>
      <c r="H2296" s="6" t="n">
        <v>-397.1725125</v>
      </c>
      <c r="I2296" s="7">
        <f>-H2296/G2296</f>
        <v/>
      </c>
      <c r="J2296" s="11" t="n">
        <v>44686</v>
      </c>
      <c r="K2296" s="6" t="n">
        <v>5</v>
      </c>
      <c r="L2296" s="6" t="n">
        <v>384.99</v>
      </c>
      <c r="M2296" s="7">
        <f>IF(N2296=0,+L2296+H2296,0)</f>
        <v/>
      </c>
      <c r="N2296" s="7">
        <f>IF((+G2296-K2296)=0,0,+G2296-K2296)</f>
        <v/>
      </c>
      <c r="O2296" s="7">
        <f>IF(N2296=0,0,(L2296+H2296)/-N2296)</f>
        <v/>
      </c>
      <c r="P2296" s="7">
        <f>VLOOKUP(OPERAC[[#This Row],[especie]],[1]!ESPECIES[#All],6,0)</f>
        <v/>
      </c>
      <c r="Q2296" s="7">
        <f>IF(N2296&lt;&gt;0,P2296*N2296,0)</f>
        <v/>
      </c>
      <c r="R2296" s="8">
        <f>IF(Q2296&lt;&gt;0,Q2296+H2296+L2296,0)</f>
        <v/>
      </c>
      <c r="S2296" s="9">
        <f>VLOOKUP(OPERAC[[#This Row],[especie]],[1]!ESPECIES[#Data],9,FALSE)</f>
        <v/>
      </c>
    </row>
    <row r="2297">
      <c r="A2297" s="4" t="n">
        <v>2203</v>
      </c>
      <c r="B2297" s="5" t="n">
        <v>44680</v>
      </c>
      <c r="C2297" s="13" t="inlineStr">
        <is>
          <t>VTA</t>
        </is>
      </c>
      <c r="D2297" s="13" t="n">
        <v>42</v>
      </c>
      <c r="E2297" s="10">
        <f>IF(D2297&gt;0,VLOOKUP(OPERAC[[#This Row],[COD CART]],[1]!MatrizCortoLargoCyl[#All],3,0),"")</f>
        <v/>
      </c>
      <c r="F2297" s="14" t="inlineStr">
        <is>
          <t>XLP</t>
        </is>
      </c>
      <c r="G2297" s="6" t="n">
        <v>5</v>
      </c>
      <c r="H2297" s="6" t="n">
        <v>-397.1725125</v>
      </c>
      <c r="I2297" s="7">
        <f>-H2297/G2297</f>
        <v/>
      </c>
      <c r="J2297" s="11" t="n">
        <v>44693</v>
      </c>
      <c r="K2297" s="6">
        <f>+OPERAC[[#This Row],[cantidad]]</f>
        <v/>
      </c>
      <c r="L2297" s="6">
        <f>+OPERAC[[#This Row],[cantidad venta]]*75.624</f>
        <v/>
      </c>
      <c r="M2297" s="7">
        <f>IF(N2297=0,+L2297+H2297,0)</f>
        <v/>
      </c>
      <c r="N2297" s="7">
        <f>IF((+G2297-K2297)=0,0,+G2297-K2297)</f>
        <v/>
      </c>
      <c r="O2297" s="7">
        <f>IF(N2297=0,0,(L2297+H2297)/-N2297)</f>
        <v/>
      </c>
      <c r="P2297" s="7">
        <f>VLOOKUP(OPERAC[[#This Row],[especie]],[1]!ESPECIES[#All],6,0)</f>
        <v/>
      </c>
      <c r="Q2297" s="7">
        <f>IF(N2297&lt;&gt;0,P2297*N2297,0)</f>
        <v/>
      </c>
      <c r="R2297" s="8">
        <f>IF(Q2297&lt;&gt;0,Q2297+H2297+L2297,0)</f>
        <v/>
      </c>
      <c r="S2297" s="9">
        <f>VLOOKUP(OPERAC[[#This Row],[especie]],[1]!ESPECIES[#Data],9,FALSE)</f>
        <v/>
      </c>
    </row>
    <row r="2298">
      <c r="A2298" s="4" t="n">
        <v>2217</v>
      </c>
      <c r="B2298" s="5" t="n">
        <v>44680</v>
      </c>
      <c r="C2298" s="13" t="inlineStr">
        <is>
          <t>VTA</t>
        </is>
      </c>
      <c r="D2298" s="13" t="n">
        <v>42</v>
      </c>
      <c r="E2298" s="10">
        <f>IF(D2298&gt;0,VLOOKUP(OPERAC[[#This Row],[COD CART]],[1]!MatrizCortoLargoCyl[#All],3,0),"")</f>
        <v/>
      </c>
      <c r="F2298" s="14" t="inlineStr">
        <is>
          <t>XLP</t>
        </is>
      </c>
      <c r="G2298" s="6" t="n">
        <v>5</v>
      </c>
      <c r="H2298" s="6" t="n">
        <v>-397.1725125</v>
      </c>
      <c r="I2298" s="7">
        <f>-H2298/G2298</f>
        <v/>
      </c>
      <c r="J2298" s="11" t="n">
        <v>44693</v>
      </c>
      <c r="K2298" s="6">
        <f>+OPERAC[[#This Row],[cantidad]]</f>
        <v/>
      </c>
      <c r="L2298" s="6">
        <f>+OPERAC[[#This Row],[cantidad venta]]*75.624</f>
        <v/>
      </c>
      <c r="M2298" s="7">
        <f>IF(N2298=0,+L2298+H2298,0)</f>
        <v/>
      </c>
      <c r="N2298" s="7">
        <f>IF((+G2298-K2298)=0,0,+G2298-K2298)</f>
        <v/>
      </c>
      <c r="O2298" s="7">
        <f>IF(N2298=0,0,(L2298+H2298)/-N2298)</f>
        <v/>
      </c>
      <c r="P2298" s="7">
        <f>VLOOKUP(OPERAC[[#This Row],[especie]],[1]!ESPECIES[#All],6,0)</f>
        <v/>
      </c>
      <c r="Q2298" s="7">
        <f>IF(N2298&lt;&gt;0,P2298*N2298,0)</f>
        <v/>
      </c>
      <c r="R2298" s="8">
        <f>IF(Q2298&lt;&gt;0,Q2298+H2298+L2298,0)</f>
        <v/>
      </c>
      <c r="S2298" s="9">
        <f>VLOOKUP(OPERAC[[#This Row],[especie]],[1]!ESPECIES[#Data],9,FALSE)</f>
        <v/>
      </c>
    </row>
    <row r="2299">
      <c r="A2299" s="4" t="n">
        <v>2218</v>
      </c>
      <c r="B2299" s="5" t="n">
        <v>44523</v>
      </c>
      <c r="C2299" s="13" t="inlineStr">
        <is>
          <t>VTA</t>
        </is>
      </c>
      <c r="D2299" s="13" t="n">
        <v>32</v>
      </c>
      <c r="E2299" s="10">
        <f>IF(D2299&gt;0,VLOOKUP(OPERAC[[#This Row],[COD CART]],[1]!MatrizCortoLargoCyl[#All],3,0),"")</f>
        <v/>
      </c>
      <c r="F2299" s="13" t="inlineStr">
        <is>
          <t>GMBL</t>
        </is>
      </c>
      <c r="G2299" s="6" t="n">
        <v>100</v>
      </c>
      <c r="H2299" s="6">
        <f>-407.469+9.067</f>
        <v/>
      </c>
      <c r="I2299" s="7">
        <f>-H2299/G2299</f>
        <v/>
      </c>
      <c r="J2299" s="11" t="n"/>
      <c r="K2299" s="6" t="n"/>
      <c r="L2299" s="6" t="n"/>
      <c r="M2299" s="7">
        <f>IF(N2299=0,+L2299+H2299,0)</f>
        <v/>
      </c>
      <c r="N2299" s="7">
        <f>IF((+G2299-K2299)=0,0,+G2299-K2299)</f>
        <v/>
      </c>
      <c r="O2299" s="7">
        <f>IF(N2299=0,0,(L2299+H2299)/-N2299)</f>
        <v/>
      </c>
      <c r="P2299" s="7">
        <f>VLOOKUP(OPERAC[[#This Row],[especie]],[1]!ESPECIES[#All],6,0)</f>
        <v/>
      </c>
      <c r="Q2299" s="7">
        <f>IF(N2299&lt;&gt;0,P2299*N2299,0)</f>
        <v/>
      </c>
      <c r="R2299" s="8">
        <f>IF(Q2299&lt;&gt;0,Q2299+H2299+L2299,0)</f>
        <v/>
      </c>
      <c r="S2299" s="9">
        <f>VLOOKUP(OPERAC[[#This Row],[especie]],[1]!ESPECIES[#Data],9,FALSE)</f>
        <v/>
      </c>
    </row>
    <row r="2300">
      <c r="A2300" s="4" t="n">
        <v>3832</v>
      </c>
      <c r="B2300" s="5" t="n">
        <v>44594</v>
      </c>
      <c r="C2300" s="13" t="inlineStr">
        <is>
          <t>VTA</t>
        </is>
      </c>
      <c r="D2300" s="13" t="n">
        <v>40</v>
      </c>
      <c r="E2300" s="10">
        <f>IF(D2300&gt;0,VLOOKUP(OPERAC[[#This Row],[COD CART]],[1]!MatrizCortoLargoCyl[#All],3,0),"")</f>
        <v/>
      </c>
      <c r="F2300" s="13" t="inlineStr">
        <is>
          <t>EDU</t>
        </is>
      </c>
      <c r="G2300" s="6" t="n">
        <v>200</v>
      </c>
      <c r="H2300" s="6" t="n">
        <v>-400.4</v>
      </c>
      <c r="I2300" s="7">
        <f>-H2300/G2300</f>
        <v/>
      </c>
      <c r="J2300" s="11" t="n">
        <v>44606</v>
      </c>
      <c r="K2300" s="6" t="n">
        <v>200</v>
      </c>
      <c r="L2300" s="6" t="n">
        <v>296.675</v>
      </c>
      <c r="M2300" s="7">
        <f>IF(N2300=0,+L2300+H2300,0)</f>
        <v/>
      </c>
      <c r="N2300" s="7">
        <f>IF((+G2300-K2300)=0,0,+G2300-K2300)</f>
        <v/>
      </c>
      <c r="O2300" s="7">
        <f>IF(N2300=0,0,(L2300+H2300)/-N2300)</f>
        <v/>
      </c>
      <c r="P2300" s="7">
        <f>VLOOKUP(OPERAC[[#This Row],[especie]],[1]!ESPECIES[#All],6,0)</f>
        <v/>
      </c>
      <c r="Q2300" s="7">
        <f>IF(N2300&lt;&gt;0,P2300*N2300,0)</f>
        <v/>
      </c>
      <c r="R2300" s="8">
        <f>IF(Q2300&lt;&gt;0,Q2300+H2300+L2300,0)</f>
        <v/>
      </c>
      <c r="S2300" s="9">
        <f>VLOOKUP(OPERAC[[#This Row],[especie]],[1]!ESPECIES[#Data],9,FALSE)</f>
        <v/>
      </c>
    </row>
    <row r="2301">
      <c r="A2301" s="4" t="n">
        <v>7879</v>
      </c>
      <c r="B2301" s="5" t="n">
        <v>44628</v>
      </c>
      <c r="C2301" s="13" t="inlineStr">
        <is>
          <t>VTA</t>
        </is>
      </c>
      <c r="D2301" s="13" t="n">
        <v>41</v>
      </c>
      <c r="E2301" s="10">
        <f>IF(D2301&gt;0,VLOOKUP(OPERAC[[#This Row],[COD CART]],[1]!MatrizCortoLargoCyl[#All],3,0),"")</f>
        <v/>
      </c>
      <c r="F2301" s="13" t="inlineStr">
        <is>
          <t>ETHE</t>
        </is>
      </c>
      <c r="G2301" s="6" t="n">
        <v>20</v>
      </c>
      <c r="H2301" s="6" t="n">
        <v>-401.378</v>
      </c>
      <c r="I2301" s="7">
        <f>-H2301/G2301</f>
        <v/>
      </c>
      <c r="J2301" s="11" t="n"/>
      <c r="K2301" s="6" t="n"/>
      <c r="L2301" s="6" t="n"/>
      <c r="M2301" s="7">
        <f>IF(N2301=0,+L2301+H2301,0)</f>
        <v/>
      </c>
      <c r="N2301" s="7">
        <f>IF((+G2301-K2301)=0,0,+G2301-K2301)</f>
        <v/>
      </c>
      <c r="O2301" s="7" t="n">
        <v>31.09</v>
      </c>
      <c r="P2301" s="7">
        <f>VLOOKUP(OPERAC[[#This Row],[especie]],[1]!ESPECIES[#All],6,0)</f>
        <v/>
      </c>
      <c r="Q2301" s="7">
        <f>IF(N2301&lt;&gt;0,P2301*N2301,0)</f>
        <v/>
      </c>
      <c r="R2301" s="8">
        <f>IF(Q2301&lt;&gt;0,Q2301+H2301+L2301,0)</f>
        <v/>
      </c>
      <c r="S2301" s="9">
        <f>VLOOKUP(OPERAC[[#This Row],[especie]],[1]!ESPECIES[#Data],9,FALSE)</f>
        <v/>
      </c>
    </row>
    <row r="2302">
      <c r="A2302" s="4" t="n">
        <v>2211</v>
      </c>
      <c r="B2302" s="5" t="n">
        <v>44705</v>
      </c>
      <c r="C2302" s="13" t="inlineStr">
        <is>
          <t>VTA</t>
        </is>
      </c>
      <c r="D2302" s="13" t="n">
        <v>41</v>
      </c>
      <c r="E2302" s="10">
        <f>IF(D2302&gt;0,VLOOKUP(OPERAC[[#This Row],[COD CART]],[1]!MatrizCortoLargoCyl[#All],3,0),"")</f>
        <v/>
      </c>
      <c r="F2302" s="13" t="inlineStr">
        <is>
          <t>FDX/P/190.00/17-06-22</t>
        </is>
      </c>
      <c r="G2302" s="6" t="n">
        <v>100</v>
      </c>
      <c r="H2302" s="6" t="n">
        <v>-401.383</v>
      </c>
      <c r="I2302" s="7">
        <f>-H2302/G2302</f>
        <v/>
      </c>
      <c r="J2302" s="5" t="n">
        <v>44726</v>
      </c>
      <c r="K2302" s="6" t="n">
        <v>100</v>
      </c>
      <c r="L2302" s="6" t="n">
        <v>11.898</v>
      </c>
      <c r="M2302" s="7">
        <f>IF(N2302=0,+L2302+H2302,0)</f>
        <v/>
      </c>
      <c r="N2302" s="7">
        <f>IF((+G2302-K2302)=0,0,+G2302-K2302)</f>
        <v/>
      </c>
      <c r="O2302" s="7">
        <f>IF(N2302=0,0,(L2302+H2302)/-N2302)</f>
        <v/>
      </c>
      <c r="P2302" s="7">
        <f>VLOOKUP(OPERAC[[#This Row],[especie]],[1]!ESPECIES[#All],6,0)</f>
        <v/>
      </c>
      <c r="Q2302" s="7">
        <f>IF(N2302&lt;&gt;0,P2302*N2302,0)</f>
        <v/>
      </c>
      <c r="R2302" s="8">
        <f>IF(Q2302&lt;&gt;0,Q2302+H2302+L2302,0)</f>
        <v/>
      </c>
      <c r="S2302" s="9">
        <f>VLOOKUP(OPERAC[[#This Row],[especie]],[1]!ESPECIES[#Data],9,FALSE)</f>
        <v/>
      </c>
    </row>
    <row r="2303">
      <c r="A2303" s="4" t="n">
        <v>19932</v>
      </c>
      <c r="B2303" s="5" t="n">
        <v>44523</v>
      </c>
      <c r="C2303" s="13" t="inlineStr">
        <is>
          <t>VTA</t>
        </is>
      </c>
      <c r="D2303" s="13" t="n">
        <v>32</v>
      </c>
      <c r="E2303" s="10">
        <f>IF(D2303&gt;0,VLOOKUP(OPERAC[[#This Row],[COD CART]],[1]!MatrizCortoLargoCyl[#All],3,0),"")</f>
        <v/>
      </c>
      <c r="F2303" s="13" t="inlineStr">
        <is>
          <t>GMBL</t>
        </is>
      </c>
      <c r="G2303" s="6" t="n">
        <v>100</v>
      </c>
      <c r="H2303" s="6">
        <f>-411.931+9.67</f>
        <v/>
      </c>
      <c r="I2303" s="7">
        <f>-H2303/G2303</f>
        <v/>
      </c>
      <c r="J2303" s="11" t="n">
        <v>44705</v>
      </c>
      <c r="K2303" s="6" t="n">
        <v>100</v>
      </c>
      <c r="L2303" s="6" t="n">
        <v>38.222</v>
      </c>
      <c r="M2303" s="7">
        <f>IF(N2303=0,+L2303+H2303,0)</f>
        <v/>
      </c>
      <c r="N2303" s="7">
        <f>IF((+G2303-K2303)=0,0,+G2303-K2303)</f>
        <v/>
      </c>
      <c r="O2303" s="7">
        <f>IF(N2303=0,0,(L2303+H2303)/-N2303)</f>
        <v/>
      </c>
      <c r="P2303" s="7">
        <f>VLOOKUP(OPERAC[[#This Row],[especie]],[1]!ESPECIES[#All],6,0)</f>
        <v/>
      </c>
      <c r="Q2303" s="7">
        <f>IF(N2303&lt;&gt;0,P2303*N2303,0)</f>
        <v/>
      </c>
      <c r="R2303" s="8">
        <f>IF(Q2303&lt;&gt;0,Q2303+H2303+L2303,0)</f>
        <v/>
      </c>
      <c r="S2303" s="9">
        <f>VLOOKUP(OPERAC[[#This Row],[especie]],[1]!ESPECIES[#Data],9,FALSE)</f>
        <v/>
      </c>
    </row>
    <row r="2304">
      <c r="A2304" s="4" t="n">
        <v>1800</v>
      </c>
      <c r="B2304" s="5" t="n">
        <v>44523</v>
      </c>
      <c r="C2304" s="13" t="inlineStr">
        <is>
          <t>VTA</t>
        </is>
      </c>
      <c r="D2304" s="13" t="n">
        <v>32</v>
      </c>
      <c r="E2304" s="10">
        <f>IF(D2304&gt;0,VLOOKUP(OPERAC[[#This Row],[COD CART]],[1]!MatrizCortoLargoCyl[#All],3,0),"")</f>
        <v/>
      </c>
      <c r="F2304" s="13" t="inlineStr">
        <is>
          <t>GMBL/CYL/5,00/18-03-22</t>
        </is>
      </c>
      <c r="G2304" s="6" t="n">
        <v>100</v>
      </c>
      <c r="H2304" s="6">
        <f>-411.931+9.067</f>
        <v/>
      </c>
      <c r="I2304" s="7">
        <f>-H2304/G2304</f>
        <v/>
      </c>
      <c r="J2304" s="11" t="n">
        <v>44622</v>
      </c>
      <c r="K2304" s="6" t="n">
        <v>100</v>
      </c>
      <c r="L2304" s="6" t="n">
        <v>81.496</v>
      </c>
      <c r="M2304" s="7">
        <f>IF(N2304=0,+L2304+H2304,0)</f>
        <v/>
      </c>
      <c r="N2304" s="7">
        <f>IF((+G2304-K2304)=0,0,+G2304-K2304)</f>
        <v/>
      </c>
      <c r="O2304" s="7">
        <f>IF(N2304=0,0,(L2304+H2304)/-N2304)</f>
        <v/>
      </c>
      <c r="P2304" s="7">
        <f>VLOOKUP(OPERAC[[#This Row],[especie]],[1]!ESPECIES[#All],6,0)</f>
        <v/>
      </c>
      <c r="Q2304" s="7">
        <f>IF(N2304&lt;&gt;0,P2304*N2304,0)</f>
        <v/>
      </c>
      <c r="R2304" s="8">
        <f>IF(Q2304&lt;&gt;0,Q2304+H2304+L2304,0)</f>
        <v/>
      </c>
      <c r="S2304" s="9">
        <f>VLOOKUP(OPERAC[[#This Row],[especie]],[1]!ESPECIES[#Data],9,FALSE)</f>
        <v/>
      </c>
    </row>
    <row r="2305">
      <c r="A2305" s="4" t="n">
        <v>2194</v>
      </c>
      <c r="B2305" s="5" t="n">
        <v>44523</v>
      </c>
      <c r="C2305" s="13" t="inlineStr">
        <is>
          <t>VTA</t>
        </is>
      </c>
      <c r="D2305" s="13" t="n">
        <v>40</v>
      </c>
      <c r="E2305" s="10">
        <f>IF(D2305&gt;0,VLOOKUP(OPERAC[[#This Row],[COD CART]],[1]!MatrizCortoLargoCyl[#All],3,0),"")</f>
        <v/>
      </c>
      <c r="F2305" s="13" t="inlineStr">
        <is>
          <t>GMBL</t>
        </is>
      </c>
      <c r="G2305" s="6" t="n">
        <v>100</v>
      </c>
      <c r="H2305" s="6">
        <f>-411.931+9.067</f>
        <v/>
      </c>
      <c r="I2305" s="7">
        <f>-H2305/G2305</f>
        <v/>
      </c>
      <c r="J2305" s="11" t="n">
        <v>44636</v>
      </c>
      <c r="K2305" s="6" t="n">
        <v>100</v>
      </c>
      <c r="L2305" s="6" t="n">
        <v>73.196</v>
      </c>
      <c r="M2305" s="7">
        <f>IF(N2305=0,+L2305+H2305,0)</f>
        <v/>
      </c>
      <c r="N2305" s="7">
        <f>IF((+G2305-K2305)=0,0,+G2305-K2305)</f>
        <v/>
      </c>
      <c r="O2305" s="7">
        <f>IF(N2305=0,0,(L2305+H2305)/-N2305)</f>
        <v/>
      </c>
      <c r="P2305" s="7">
        <f>VLOOKUP(OPERAC[[#This Row],[especie]],[1]!ESPECIES[#All],6,0)</f>
        <v/>
      </c>
      <c r="Q2305" s="7">
        <f>IF(N2305&lt;&gt;0,P2305*N2305,0)</f>
        <v/>
      </c>
      <c r="R2305" s="8">
        <f>IF(Q2305&lt;&gt;0,Q2305+H2305+L2305,0)</f>
        <v/>
      </c>
      <c r="S2305" s="9">
        <f>VLOOKUP(OPERAC[[#This Row],[especie]],[1]!ESPECIES[#Data],9,FALSE)</f>
        <v/>
      </c>
    </row>
    <row r="2306">
      <c r="A2306" s="4" t="n">
        <v>2203</v>
      </c>
      <c r="B2306" s="5" t="n">
        <v>44523</v>
      </c>
      <c r="C2306" s="13" t="inlineStr">
        <is>
          <t>VTA</t>
        </is>
      </c>
      <c r="D2306" s="13" t="n">
        <v>40</v>
      </c>
      <c r="E2306" s="10">
        <f>IF(D2306&gt;0,VLOOKUP(OPERAC[[#This Row],[COD CART]],[1]!MatrizCortoLargoCyl[#All],3,0),"")</f>
        <v/>
      </c>
      <c r="F2306" s="13" t="inlineStr">
        <is>
          <t>GMBL</t>
        </is>
      </c>
      <c r="G2306" s="6" t="n">
        <v>100</v>
      </c>
      <c r="H2306" s="6">
        <f>-411.931+9.067</f>
        <v/>
      </c>
      <c r="I2306" s="7">
        <f>-H2306/G2306</f>
        <v/>
      </c>
      <c r="J2306" s="11" t="n">
        <v>44636</v>
      </c>
      <c r="K2306" s="6" t="n">
        <v>100</v>
      </c>
      <c r="L2306" s="6" t="n">
        <v>73.2</v>
      </c>
      <c r="M2306" s="7">
        <f>IF(N2306=0,+L2306+H2306,0)</f>
        <v/>
      </c>
      <c r="N2306" s="7">
        <f>IF((+G2306-K2306)=0,0,+G2306-K2306)</f>
        <v/>
      </c>
      <c r="O2306" s="7">
        <f>IF(N2306=0,0,(L2306+H2306)/-N2306)</f>
        <v/>
      </c>
      <c r="P2306" s="7">
        <f>VLOOKUP(OPERAC[[#This Row],[especie]],[1]!ESPECIES[#All],6,0)</f>
        <v/>
      </c>
      <c r="Q2306" s="7">
        <f>IF(N2306&lt;&gt;0,P2306*N2306,0)</f>
        <v/>
      </c>
      <c r="R2306" s="8">
        <f>IF(Q2306&lt;&gt;0,Q2306+H2306+L2306,0)</f>
        <v/>
      </c>
      <c r="S2306" s="9">
        <f>VLOOKUP(OPERAC[[#This Row],[especie]],[1]!ESPECIES[#Data],9,FALSE)</f>
        <v/>
      </c>
    </row>
    <row r="2307">
      <c r="A2307" s="4" t="n">
        <v>2211</v>
      </c>
      <c r="B2307" s="5" t="n">
        <v>44523</v>
      </c>
      <c r="C2307" s="13" t="inlineStr">
        <is>
          <t>VTA</t>
        </is>
      </c>
      <c r="D2307" s="13" t="n">
        <v>32</v>
      </c>
      <c r="E2307" s="10">
        <f>IF(D2307&gt;0,VLOOKUP(OPERAC[[#This Row],[COD CART]],[1]!MatrizCortoLargoCyl[#All],3,0),"")</f>
        <v/>
      </c>
      <c r="F2307" s="13" t="inlineStr">
        <is>
          <t>GMBL</t>
        </is>
      </c>
      <c r="G2307" s="6" t="n">
        <v>100</v>
      </c>
      <c r="H2307" s="6">
        <f>-411.931+9.067</f>
        <v/>
      </c>
      <c r="I2307" s="7">
        <f>-H2307/G2307</f>
        <v/>
      </c>
      <c r="J2307" s="11" t="n"/>
      <c r="K2307" s="6" t="n"/>
      <c r="L2307" s="6" t="n"/>
      <c r="M2307" s="7">
        <f>IF(N2307=0,+L2307+H2307,0)</f>
        <v/>
      </c>
      <c r="N2307" s="7">
        <f>IF((+G2307-K2307)=0,0,+G2307-K2307)</f>
        <v/>
      </c>
      <c r="O2307" s="7">
        <f>IF(N2307=0,0,(L2307+H2307)/-N2307)</f>
        <v/>
      </c>
      <c r="P2307" s="7">
        <f>VLOOKUP(OPERAC[[#This Row],[especie]],[1]!ESPECIES[#All],6,0)</f>
        <v/>
      </c>
      <c r="Q2307" s="7">
        <f>IF(N2307&lt;&gt;0,P2307*N2307,0)</f>
        <v/>
      </c>
      <c r="R2307" s="8">
        <f>IF(Q2307&lt;&gt;0,Q2307+H2307+L2307,0)</f>
        <v/>
      </c>
      <c r="S2307" s="9">
        <f>VLOOKUP(OPERAC[[#This Row],[especie]],[1]!ESPECIES[#Data],9,FALSE)</f>
        <v/>
      </c>
    </row>
    <row r="2308">
      <c r="A2308" s="4" t="n">
        <v>2217</v>
      </c>
      <c r="B2308" s="5" t="n">
        <v>44523</v>
      </c>
      <c r="C2308" s="13" t="inlineStr">
        <is>
          <t>VTA</t>
        </is>
      </c>
      <c r="D2308" s="13" t="n">
        <v>32</v>
      </c>
      <c r="E2308" s="10">
        <f>IF(D2308&gt;0,VLOOKUP(OPERAC[[#This Row],[COD CART]],[1]!MatrizCortoLargoCyl[#All],3,0),"")</f>
        <v/>
      </c>
      <c r="F2308" s="13" t="inlineStr">
        <is>
          <t>GMBL</t>
        </is>
      </c>
      <c r="G2308" s="6" t="n">
        <v>100</v>
      </c>
      <c r="H2308" s="6">
        <f>-411.931+9.067</f>
        <v/>
      </c>
      <c r="I2308" s="7">
        <f>-H2308/G2308</f>
        <v/>
      </c>
      <c r="J2308" s="11" t="n">
        <v>44642</v>
      </c>
      <c r="K2308" s="6" t="n">
        <v>100</v>
      </c>
      <c r="L2308" s="6" t="n">
        <v>79.789</v>
      </c>
      <c r="M2308" s="7">
        <f>IF(N2308=0,+L2308+H2308,0)</f>
        <v/>
      </c>
      <c r="N2308" s="7">
        <f>IF((+G2308-K2308)=0,0,+G2308-K2308)</f>
        <v/>
      </c>
      <c r="O2308" s="7">
        <f>IF(N2308=0,0,(L2308+H2308)/-N2308)</f>
        <v/>
      </c>
      <c r="P2308" s="7">
        <f>VLOOKUP(OPERAC[[#This Row],[especie]],[1]!ESPECIES[#All],6,0)</f>
        <v/>
      </c>
      <c r="Q2308" s="7">
        <f>IF(N2308&lt;&gt;0,P2308*N2308,0)</f>
        <v/>
      </c>
      <c r="R2308" s="8">
        <f>IF(Q2308&lt;&gt;0,Q2308+H2308+L2308,0)</f>
        <v/>
      </c>
      <c r="S2308" s="9">
        <f>VLOOKUP(OPERAC[[#This Row],[especie]],[1]!ESPECIES[#Data],9,FALSE)</f>
        <v/>
      </c>
    </row>
    <row r="2309">
      <c r="A2309" s="4" t="n">
        <v>2257</v>
      </c>
      <c r="B2309" s="5" t="n">
        <v>44523</v>
      </c>
      <c r="C2309" s="13" t="inlineStr">
        <is>
          <t>VTA</t>
        </is>
      </c>
      <c r="D2309" s="13" t="n">
        <v>40</v>
      </c>
      <c r="E2309" s="10">
        <f>IF(D2309&gt;0,VLOOKUP(OPERAC[[#This Row],[COD CART]],[1]!MatrizCortoLargoCyl[#All],3,0),"")</f>
        <v/>
      </c>
      <c r="F2309" s="13" t="inlineStr">
        <is>
          <t>GMBL</t>
        </is>
      </c>
      <c r="G2309" s="6" t="n">
        <v>100</v>
      </c>
      <c r="H2309" s="6">
        <f>-411.931+9.067</f>
        <v/>
      </c>
      <c r="I2309" s="7">
        <f>-H2309/G2309</f>
        <v/>
      </c>
      <c r="J2309" s="11" t="n">
        <v>44636</v>
      </c>
      <c r="K2309" s="6" t="n">
        <v>100</v>
      </c>
      <c r="L2309" s="6" t="n">
        <v>73.2</v>
      </c>
      <c r="M2309" s="7">
        <f>IF(N2309=0,+L2309+H2309,0)</f>
        <v/>
      </c>
      <c r="N2309" s="7">
        <f>IF((+G2309-K2309)=0,0,+G2309-K2309)</f>
        <v/>
      </c>
      <c r="O2309" s="7">
        <f>IF(N2309=0,0,(L2309+H2309)/-N2309)</f>
        <v/>
      </c>
      <c r="P2309" s="7">
        <f>VLOOKUP(OPERAC[[#This Row],[especie]],[1]!ESPECIES[#All],6,0)</f>
        <v/>
      </c>
      <c r="Q2309" s="7">
        <f>IF(N2309&lt;&gt;0,P2309*N2309,0)</f>
        <v/>
      </c>
      <c r="R2309" s="8">
        <f>IF(Q2309&lt;&gt;0,Q2309+H2309+L2309,0)</f>
        <v/>
      </c>
      <c r="S2309" s="9">
        <f>VLOOKUP(OPERAC[[#This Row],[especie]],[1]!ESPECIES[#Data],9,FALSE)</f>
        <v/>
      </c>
    </row>
    <row r="2310">
      <c r="A2310" s="4" t="n">
        <v>3823</v>
      </c>
      <c r="B2310" s="5" t="n">
        <v>44523</v>
      </c>
      <c r="C2310" s="13" t="inlineStr">
        <is>
          <t>VTA</t>
        </is>
      </c>
      <c r="D2310" s="13" t="n">
        <v>32</v>
      </c>
      <c r="E2310" s="10">
        <f>IF(D2310&gt;0,VLOOKUP(OPERAC[[#This Row],[COD CART]],[1]!MatrizCortoLargoCyl[#All],3,0),"")</f>
        <v/>
      </c>
      <c r="F2310" s="13" t="inlineStr">
        <is>
          <t>GMBL</t>
        </is>
      </c>
      <c r="G2310" s="6" t="n">
        <v>100</v>
      </c>
      <c r="H2310" s="6">
        <f>-411.931+9.067</f>
        <v/>
      </c>
      <c r="I2310" s="7">
        <f>-H2310/G2310</f>
        <v/>
      </c>
      <c r="J2310" s="11" t="n">
        <v>44691</v>
      </c>
      <c r="K2310" s="6" t="n">
        <v>100</v>
      </c>
      <c r="L2310" s="6" t="n">
        <v>36.678</v>
      </c>
      <c r="M2310" s="7">
        <f>IF(N2310=0,+L2310+H2310,0)</f>
        <v/>
      </c>
      <c r="N2310" s="7">
        <f>IF((+G2310-K2310)=0,0,+G2310-K2310)</f>
        <v/>
      </c>
      <c r="O2310" s="7">
        <f>IF(N2310=0,0,(L2310+H2310)/-N2310)</f>
        <v/>
      </c>
      <c r="P2310" s="7">
        <f>VLOOKUP(OPERAC[[#This Row],[especie]],[1]!ESPECIES[#All],6,0)</f>
        <v/>
      </c>
      <c r="Q2310" s="7">
        <f>IF(N2310&lt;&gt;0,P2310*N2310,0)</f>
        <v/>
      </c>
      <c r="R2310" s="8">
        <f>IF(Q2310&lt;&gt;0,Q2310+H2310+L2310,0)</f>
        <v/>
      </c>
      <c r="S2310" s="9">
        <f>VLOOKUP(OPERAC[[#This Row],[especie]],[1]!ESPECIES[#Data],9,FALSE)</f>
        <v/>
      </c>
    </row>
    <row r="2311">
      <c r="A2311" s="4" t="n">
        <v>3853</v>
      </c>
      <c r="B2311" s="5" t="n">
        <v>44523</v>
      </c>
      <c r="C2311" s="13" t="inlineStr">
        <is>
          <t>VTA</t>
        </is>
      </c>
      <c r="D2311" s="13" t="n">
        <v>40</v>
      </c>
      <c r="E2311" s="10">
        <f>IF(D2311&gt;0,VLOOKUP(OPERAC[[#This Row],[COD CART]],[1]!MatrizCortoLargoCyl[#All],3,0),"")</f>
        <v/>
      </c>
      <c r="F2311" s="13" t="inlineStr">
        <is>
          <t>GMBL</t>
        </is>
      </c>
      <c r="G2311" s="6" t="n">
        <v>100</v>
      </c>
      <c r="H2311" s="6">
        <f>-411.931+9.067</f>
        <v/>
      </c>
      <c r="I2311" s="7">
        <f>-H2311/G2311</f>
        <v/>
      </c>
      <c r="J2311" s="11" t="n">
        <v>44622</v>
      </c>
      <c r="K2311" s="6" t="n">
        <v>100</v>
      </c>
      <c r="L2311" s="6" t="n">
        <v>81.496</v>
      </c>
      <c r="M2311" s="7">
        <f>IF(N2311=0,+L2311+H2311,0)</f>
        <v/>
      </c>
      <c r="N2311" s="7">
        <f>IF((+G2311-K2311)=0,0,+G2311-K2311)</f>
        <v/>
      </c>
      <c r="O2311" s="7">
        <f>IF(N2311=0,0,(L2311+H2311)/-N2311)</f>
        <v/>
      </c>
      <c r="P2311" s="7">
        <f>VLOOKUP(OPERAC[[#This Row],[especie]],[1]!ESPECIES[#All],6,0)</f>
        <v/>
      </c>
      <c r="Q2311" s="7">
        <f>IF(N2311&lt;&gt;0,P2311*N2311,0)</f>
        <v/>
      </c>
      <c r="R2311" s="8">
        <f>IF(Q2311&lt;&gt;0,Q2311+H2311+L2311,0)</f>
        <v/>
      </c>
      <c r="S2311" s="9">
        <f>VLOOKUP(OPERAC[[#This Row],[especie]],[1]!ESPECIES[#Data],9,FALSE)</f>
        <v/>
      </c>
    </row>
    <row r="2312">
      <c r="A2312" s="4" t="n">
        <v>4543</v>
      </c>
      <c r="B2312" s="5" t="n">
        <v>44523</v>
      </c>
      <c r="C2312" s="13" t="inlineStr">
        <is>
          <t>VTA</t>
        </is>
      </c>
      <c r="D2312" s="13" t="n">
        <v>32</v>
      </c>
      <c r="E2312" s="10">
        <f>IF(D2312&gt;0,VLOOKUP(OPERAC[[#This Row],[COD CART]],[1]!MatrizCortoLargoCyl[#All],3,0),"")</f>
        <v/>
      </c>
      <c r="F2312" s="13" t="inlineStr">
        <is>
          <t>GMBL/CYL/5,00/18-03-22</t>
        </is>
      </c>
      <c r="G2312" s="6" t="n">
        <v>100</v>
      </c>
      <c r="H2312" s="6">
        <f>-411.931+9.067</f>
        <v/>
      </c>
      <c r="I2312" s="7">
        <f>-H2312/G2312</f>
        <v/>
      </c>
      <c r="J2312" s="11" t="n">
        <v>44623</v>
      </c>
      <c r="K2312" s="6" t="n">
        <v>100</v>
      </c>
      <c r="L2312" s="6" t="n">
        <v>75.792</v>
      </c>
      <c r="M2312" s="7">
        <f>IF(N2312=0,+L2312+H2312,0)</f>
        <v/>
      </c>
      <c r="N2312" s="7">
        <f>IF((+G2312-K2312)=0,0,+G2312-K2312)</f>
        <v/>
      </c>
      <c r="O2312" s="7">
        <f>IF(N2312=0,0,(L2312+H2312)/-N2312)</f>
        <v/>
      </c>
      <c r="P2312" s="7">
        <f>VLOOKUP(OPERAC[[#This Row],[especie]],[1]!ESPECIES[#All],6,0)</f>
        <v/>
      </c>
      <c r="Q2312" s="7">
        <f>IF(N2312&lt;&gt;0,P2312*N2312,0)</f>
        <v/>
      </c>
      <c r="R2312" s="8">
        <f>IF(Q2312&lt;&gt;0,Q2312+H2312+L2312,0)</f>
        <v/>
      </c>
      <c r="S2312" s="9">
        <f>VLOOKUP(OPERAC[[#This Row],[especie]],[1]!ESPECIES[#Data],9,FALSE)</f>
        <v/>
      </c>
    </row>
    <row r="2313">
      <c r="A2313" s="4" t="n">
        <v>7895</v>
      </c>
      <c r="B2313" s="5" t="n">
        <v>44523</v>
      </c>
      <c r="C2313" s="13" t="inlineStr">
        <is>
          <t>VTA</t>
        </is>
      </c>
      <c r="D2313" s="13" t="n">
        <v>32</v>
      </c>
      <c r="E2313" s="10">
        <f>IF(D2313&gt;0,VLOOKUP(OPERAC[[#This Row],[COD CART]],[1]!MatrizCortoLargoCyl[#All],3,0),"")</f>
        <v/>
      </c>
      <c r="F2313" s="13" t="inlineStr">
        <is>
          <t>GMBL</t>
        </is>
      </c>
      <c r="G2313" s="6" t="n">
        <v>100</v>
      </c>
      <c r="H2313" s="6">
        <f>-411.931+9.067</f>
        <v/>
      </c>
      <c r="I2313" s="7">
        <f>-H2313/G2313</f>
        <v/>
      </c>
      <c r="J2313" s="11" t="n">
        <v>44662</v>
      </c>
      <c r="K2313" s="6" t="n">
        <v>100</v>
      </c>
      <c r="L2313" s="6" t="n">
        <v>75.483</v>
      </c>
      <c r="M2313" s="7">
        <f>IF(N2313=0,+L2313+H2313,0)</f>
        <v/>
      </c>
      <c r="N2313" s="7">
        <f>IF((+G2313-K2313)=0,0,+G2313-K2313)</f>
        <v/>
      </c>
      <c r="O2313" s="7">
        <f>IF(N2313=0,0,(L2313+H2313)/-N2313)</f>
        <v/>
      </c>
      <c r="P2313" s="7">
        <f>VLOOKUP(OPERAC[[#This Row],[especie]],[1]!ESPECIES[#All],6,0)</f>
        <v/>
      </c>
      <c r="Q2313" s="7">
        <f>IF(N2313&lt;&gt;0,P2313*N2313,0)</f>
        <v/>
      </c>
      <c r="R2313" s="8">
        <f>IF(Q2313&lt;&gt;0,Q2313+H2313+L2313,0)</f>
        <v/>
      </c>
      <c r="S2313" s="9">
        <f>VLOOKUP(OPERAC[[#This Row],[especie]],[1]!ESPECIES[#Data],9,FALSE)</f>
        <v/>
      </c>
    </row>
    <row r="2314">
      <c r="A2314" s="4" t="n">
        <v>12671</v>
      </c>
      <c r="B2314" s="5" t="n">
        <v>44523</v>
      </c>
      <c r="C2314" s="13" t="inlineStr">
        <is>
          <t>VTA</t>
        </is>
      </c>
      <c r="D2314" s="13" t="n">
        <v>32</v>
      </c>
      <c r="E2314" s="10">
        <f>IF(D2314&gt;0,VLOOKUP(OPERAC[[#This Row],[COD CART]],[1]!MatrizCortoLargoCyl[#All],3,0),"")</f>
        <v/>
      </c>
      <c r="F2314" s="13" t="inlineStr">
        <is>
          <t>GMBL/CYL/5,00/18-03-22</t>
        </is>
      </c>
      <c r="G2314" s="6" t="n">
        <v>100</v>
      </c>
      <c r="H2314" s="6">
        <f>-411.931+9.067</f>
        <v/>
      </c>
      <c r="I2314" s="7">
        <f>-H2314/G2314</f>
        <v/>
      </c>
      <c r="J2314" s="11" t="n">
        <v>44630</v>
      </c>
      <c r="K2314" s="6" t="n">
        <v>100</v>
      </c>
      <c r="L2314" s="6" t="n">
        <v>72.19</v>
      </c>
      <c r="M2314" s="7">
        <f>IF(N2314=0,+L2314+H2314,0)</f>
        <v/>
      </c>
      <c r="N2314" s="7">
        <f>IF((+G2314-K2314)=0,0,+G2314-K2314)</f>
        <v/>
      </c>
      <c r="O2314" s="7">
        <f>IF(N2314=0,0,(L2314+H2314)/-N2314)</f>
        <v/>
      </c>
      <c r="P2314" s="7">
        <f>VLOOKUP(OPERAC[[#This Row],[especie]],[1]!ESPECIES[#All],6,0)</f>
        <v/>
      </c>
      <c r="Q2314" s="7">
        <f>IF(N2314&lt;&gt;0,P2314*N2314,0)</f>
        <v/>
      </c>
      <c r="R2314" s="8">
        <f>IF(Q2314&lt;&gt;0,Q2314+H2314+L2314,0)</f>
        <v/>
      </c>
      <c r="S2314" s="9">
        <f>VLOOKUP(OPERAC[[#This Row],[especie]],[1]!ESPECIES[#Data],9,FALSE)</f>
        <v/>
      </c>
    </row>
    <row r="2315">
      <c r="A2315" s="4" t="n">
        <v>12674</v>
      </c>
      <c r="B2315" s="5" t="n">
        <v>44523</v>
      </c>
      <c r="C2315" s="13" t="inlineStr">
        <is>
          <t>VTA</t>
        </is>
      </c>
      <c r="D2315" s="13" t="n">
        <v>32</v>
      </c>
      <c r="E2315" s="10">
        <f>IF(D2315&gt;0,VLOOKUP(OPERAC[[#This Row],[COD CART]],[1]!MatrizCortoLargoCyl[#All],3,0),"")</f>
        <v/>
      </c>
      <c r="F2315" s="13" t="inlineStr">
        <is>
          <t>GMBL</t>
        </is>
      </c>
      <c r="G2315" s="6" t="n">
        <v>100</v>
      </c>
      <c r="H2315" s="6">
        <f>-411.931+9.067</f>
        <v/>
      </c>
      <c r="I2315" s="7">
        <f>-H2315/G2315</f>
        <v/>
      </c>
      <c r="J2315" s="11" t="n">
        <v>44642</v>
      </c>
      <c r="K2315" s="6" t="n">
        <v>100</v>
      </c>
      <c r="L2315" s="6" t="n">
        <v>79.789</v>
      </c>
      <c r="M2315" s="7">
        <f>IF(N2315=0,+L2315+H2315,0)</f>
        <v/>
      </c>
      <c r="N2315" s="7">
        <f>IF((+G2315-K2315)=0,0,+G2315-K2315)</f>
        <v/>
      </c>
      <c r="O2315" s="7">
        <f>IF(N2315=0,0,(L2315+H2315)/-N2315)</f>
        <v/>
      </c>
      <c r="P2315" s="7">
        <f>VLOOKUP(OPERAC[[#This Row],[especie]],[1]!ESPECIES[#All],6,0)</f>
        <v/>
      </c>
      <c r="Q2315" s="7">
        <f>IF(N2315&lt;&gt;0,P2315*N2315,0)</f>
        <v/>
      </c>
      <c r="R2315" s="8">
        <f>IF(Q2315&lt;&gt;0,Q2315+H2315+L2315,0)</f>
        <v/>
      </c>
      <c r="S2315" s="9">
        <f>VLOOKUP(OPERAC[[#This Row],[especie]],[1]!ESPECIES[#Data],9,FALSE)</f>
        <v/>
      </c>
    </row>
    <row r="2316">
      <c r="A2316" s="4" t="n">
        <v>12688</v>
      </c>
      <c r="B2316" s="5" t="n">
        <v>44523</v>
      </c>
      <c r="C2316" s="13" t="inlineStr">
        <is>
          <t>VTA</t>
        </is>
      </c>
      <c r="D2316" s="13" t="n">
        <v>32</v>
      </c>
      <c r="E2316" s="10">
        <f>IF(D2316&gt;0,VLOOKUP(OPERAC[[#This Row],[COD CART]],[1]!MatrizCortoLargoCyl[#All],3,0),"")</f>
        <v/>
      </c>
      <c r="F2316" s="13" t="inlineStr">
        <is>
          <t>GMBL/CYL/5,00/18-03-22</t>
        </is>
      </c>
      <c r="G2316" s="6" t="n">
        <v>100</v>
      </c>
      <c r="H2316" s="6">
        <f>-411.931+9.067</f>
        <v/>
      </c>
      <c r="I2316" s="7">
        <f>-H2316/G2316</f>
        <v/>
      </c>
      <c r="J2316" s="11" t="n">
        <v>44614</v>
      </c>
      <c r="K2316" s="6" t="n">
        <v>100</v>
      </c>
      <c r="L2316" s="6" t="n">
        <v>311.5</v>
      </c>
      <c r="M2316" s="7">
        <f>IF(N2316=0,+L2316+H2316,0)</f>
        <v/>
      </c>
      <c r="N2316" s="7">
        <f>IF((+G2316-K2316)=0,0,+G2316-K2316)</f>
        <v/>
      </c>
      <c r="O2316" s="7">
        <f>IF(N2316=0,0,(L2316+H2316)/-N2316)</f>
        <v/>
      </c>
      <c r="P2316" s="7">
        <f>VLOOKUP(OPERAC[[#This Row],[especie]],[1]!ESPECIES[#All],6,0)</f>
        <v/>
      </c>
      <c r="Q2316" s="7">
        <f>IF(N2316&lt;&gt;0,P2316*N2316,0)</f>
        <v/>
      </c>
      <c r="R2316" s="8">
        <f>IF(Q2316&lt;&gt;0,Q2316+H2316+L2316,0)</f>
        <v/>
      </c>
      <c r="S2316" s="9">
        <f>VLOOKUP(OPERAC[[#This Row],[especie]],[1]!ESPECIES[#Data],9,FALSE)</f>
        <v/>
      </c>
    </row>
    <row r="2317">
      <c r="A2317" s="4" t="n">
        <v>13281</v>
      </c>
      <c r="B2317" s="5" t="n">
        <v>44523</v>
      </c>
      <c r="C2317" s="13" t="inlineStr">
        <is>
          <t>VTA</t>
        </is>
      </c>
      <c r="D2317" s="13" t="n">
        <v>32</v>
      </c>
      <c r="E2317" s="10">
        <f>IF(D2317&gt;0,VLOOKUP(OPERAC[[#This Row],[COD CART]],[1]!MatrizCortoLargoCyl[#All],3,0),"")</f>
        <v/>
      </c>
      <c r="F2317" s="13" t="inlineStr">
        <is>
          <t>GMBL</t>
        </is>
      </c>
      <c r="G2317" s="6" t="n">
        <v>100</v>
      </c>
      <c r="H2317" s="6">
        <f>-411.931+9.067</f>
        <v/>
      </c>
      <c r="I2317" s="7">
        <f>-H2317/G2317</f>
        <v/>
      </c>
      <c r="J2317" s="11" t="n">
        <v>44659</v>
      </c>
      <c r="K2317" s="6" t="n">
        <v>100</v>
      </c>
      <c r="L2317" s="6" t="n">
        <v>71.744</v>
      </c>
      <c r="M2317" s="7">
        <f>IF(N2317=0,+L2317+H2317,0)</f>
        <v/>
      </c>
      <c r="N2317" s="7">
        <f>IF((+G2317-K2317)=0,0,+G2317-K2317)</f>
        <v/>
      </c>
      <c r="O2317" s="7">
        <f>IF(N2317=0,0,(L2317+H2317)/-N2317)</f>
        <v/>
      </c>
      <c r="P2317" s="7">
        <f>VLOOKUP(OPERAC[[#This Row],[especie]],[1]!ESPECIES[#All],6,0)</f>
        <v/>
      </c>
      <c r="Q2317" s="7">
        <f>IF(N2317&lt;&gt;0,P2317*N2317,0)</f>
        <v/>
      </c>
      <c r="R2317" s="8">
        <f>IF(Q2317&lt;&gt;0,Q2317+H2317+L2317,0)</f>
        <v/>
      </c>
      <c r="S2317" s="9">
        <f>VLOOKUP(OPERAC[[#This Row],[especie]],[1]!ESPECIES[#Data],9,FALSE)</f>
        <v/>
      </c>
    </row>
    <row r="2318">
      <c r="A2318" s="4" t="n">
        <v>18661</v>
      </c>
      <c r="B2318" s="5" t="n">
        <v>44523</v>
      </c>
      <c r="C2318" s="13" t="inlineStr">
        <is>
          <t>VTA</t>
        </is>
      </c>
      <c r="D2318" s="13" t="n">
        <v>32</v>
      </c>
      <c r="E2318" s="10">
        <f>IF(D2318&gt;0,VLOOKUP(OPERAC[[#This Row],[COD CART]],[1]!MatrizCortoLargoCyl[#All],3,0),"")</f>
        <v/>
      </c>
      <c r="F2318" s="13" t="inlineStr">
        <is>
          <t>GMBL</t>
        </is>
      </c>
      <c r="G2318" s="6" t="n">
        <v>100</v>
      </c>
      <c r="H2318" s="6">
        <f>-411.931+9.067</f>
        <v/>
      </c>
      <c r="I2318" s="7">
        <f>-H2318/G2318</f>
        <v/>
      </c>
      <c r="J2318" s="11" t="n">
        <v>44705</v>
      </c>
      <c r="K2318" s="6" t="n">
        <v>100</v>
      </c>
      <c r="L2318" s="6" t="n">
        <v>38.222</v>
      </c>
      <c r="M2318" s="7">
        <f>IF(N2318=0,+L2318+H2318,0)</f>
        <v/>
      </c>
      <c r="N2318" s="7">
        <f>IF((+G2318-K2318)=0,0,+G2318-K2318)</f>
        <v/>
      </c>
      <c r="O2318" s="7">
        <f>IF(N2318=0,0,(L2318+H2318)/-N2318)</f>
        <v/>
      </c>
      <c r="P2318" s="7">
        <f>VLOOKUP(OPERAC[[#This Row],[especie]],[1]!ESPECIES[#All],6,0)</f>
        <v/>
      </c>
      <c r="Q2318" s="7">
        <f>IF(N2318&lt;&gt;0,P2318*N2318,0)</f>
        <v/>
      </c>
      <c r="R2318" s="8">
        <f>IF(Q2318&lt;&gt;0,Q2318+H2318+L2318,0)</f>
        <v/>
      </c>
      <c r="S2318" s="9">
        <f>VLOOKUP(OPERAC[[#This Row],[especie]],[1]!ESPECIES[#Data],9,FALSE)</f>
        <v/>
      </c>
    </row>
    <row r="2319">
      <c r="A2319" s="4" t="n">
        <v>18724</v>
      </c>
      <c r="B2319" s="5" t="n">
        <v>44523</v>
      </c>
      <c r="C2319" s="13" t="inlineStr">
        <is>
          <t>VTA</t>
        </is>
      </c>
      <c r="D2319" s="13" t="n">
        <v>40</v>
      </c>
      <c r="E2319" s="10">
        <f>IF(D2319&gt;0,VLOOKUP(OPERAC[[#This Row],[COD CART]],[1]!MatrizCortoLargoCyl[#All],3,0),"")</f>
        <v/>
      </c>
      <c r="F2319" s="13" t="inlineStr">
        <is>
          <t>GMBL</t>
        </is>
      </c>
      <c r="G2319" s="6" t="n">
        <v>100</v>
      </c>
      <c r="H2319" s="6">
        <f>-411.931+9.067</f>
        <v/>
      </c>
      <c r="I2319" s="7">
        <f>-H2319/G2319</f>
        <v/>
      </c>
      <c r="J2319" s="11" t="n">
        <v>44629</v>
      </c>
      <c r="K2319" s="6" t="n">
        <v>100</v>
      </c>
      <c r="L2319" s="6" t="n">
        <v>75.384</v>
      </c>
      <c r="M2319" s="7">
        <f>IF(N2319=0,+L2319+H2319,0)</f>
        <v/>
      </c>
      <c r="N2319" s="7">
        <f>IF((+G2319-K2319)=0,0,+G2319-K2319)</f>
        <v/>
      </c>
      <c r="O2319" s="7">
        <f>IF(N2319=0,0,(L2319+H2319)/-N2319)</f>
        <v/>
      </c>
      <c r="P2319" s="7">
        <f>VLOOKUP(OPERAC[[#This Row],[especie]],[1]!ESPECIES[#All],6,0)</f>
        <v/>
      </c>
      <c r="Q2319" s="7">
        <f>IF(N2319&lt;&gt;0,P2319*N2319,0)</f>
        <v/>
      </c>
      <c r="R2319" s="8">
        <f>IF(Q2319&lt;&gt;0,Q2319+H2319+L2319,0)</f>
        <v/>
      </c>
      <c r="S2319" s="9">
        <f>VLOOKUP(OPERAC[[#This Row],[especie]],[1]!ESPECIES[#Data],9,FALSE)</f>
        <v/>
      </c>
    </row>
    <row r="2320">
      <c r="A2320" s="4" t="n">
        <v>22433</v>
      </c>
      <c r="B2320" s="5" t="n">
        <v>44523</v>
      </c>
      <c r="C2320" s="13" t="inlineStr">
        <is>
          <t>VTA</t>
        </is>
      </c>
      <c r="D2320" s="13" t="n">
        <v>32</v>
      </c>
      <c r="E2320" s="10">
        <f>IF(D2320&gt;0,VLOOKUP(OPERAC[[#This Row],[COD CART]],[1]!MatrizCortoLargoCyl[#All],3,0),"")</f>
        <v/>
      </c>
      <c r="F2320" s="13" t="inlineStr">
        <is>
          <t>GMBL/CYL/5,00/18-03-22</t>
        </is>
      </c>
      <c r="G2320" s="6" t="n">
        <v>100</v>
      </c>
      <c r="H2320" s="6">
        <f>-411.931+9.067</f>
        <v/>
      </c>
      <c r="I2320" s="7">
        <f>-H2320/G2320</f>
        <v/>
      </c>
      <c r="J2320" s="11" t="n">
        <v>44629</v>
      </c>
      <c r="K2320" s="6" t="n">
        <v>100</v>
      </c>
      <c r="L2320" s="6" t="n">
        <v>71.111</v>
      </c>
      <c r="M2320" s="7">
        <f>IF(N2320=0,+L2320+H2320,0)</f>
        <v/>
      </c>
      <c r="N2320" s="7">
        <f>IF((+G2320-K2320)=0,0,+G2320-K2320)</f>
        <v/>
      </c>
      <c r="O2320" s="7">
        <f>IF(N2320=0,0,(L2320+H2320)/-N2320)</f>
        <v/>
      </c>
      <c r="P2320" s="7">
        <f>VLOOKUP(OPERAC[[#This Row],[especie]],[1]!ESPECIES[#All],6,0)</f>
        <v/>
      </c>
      <c r="Q2320" s="7">
        <f>IF(N2320&lt;&gt;0,P2320*N2320,0)</f>
        <v/>
      </c>
      <c r="R2320" s="8">
        <f>IF(Q2320&lt;&gt;0,Q2320+H2320+L2320,0)</f>
        <v/>
      </c>
      <c r="S2320" s="9">
        <f>VLOOKUP(OPERAC[[#This Row],[especie]],[1]!ESPECIES[#Data],9,FALSE)</f>
        <v/>
      </c>
    </row>
    <row r="2321">
      <c r="A2321" s="4" t="n">
        <v>3818</v>
      </c>
      <c r="B2321" s="5" t="n">
        <v>44594</v>
      </c>
      <c r="C2321" s="13" t="inlineStr">
        <is>
          <t>VTA</t>
        </is>
      </c>
      <c r="D2321" s="13" t="n">
        <v>40</v>
      </c>
      <c r="E2321" s="10">
        <f>IF(D2321&gt;0,VLOOKUP(OPERAC[[#This Row],[COD CART]],[1]!MatrizCortoLargoCyl[#All],3,0),"")</f>
        <v/>
      </c>
      <c r="F2321" s="13" t="inlineStr">
        <is>
          <t>EDU</t>
        </is>
      </c>
      <c r="G2321" s="6" t="n">
        <v>200</v>
      </c>
      <c r="H2321" s="6" t="n">
        <v>-403.2</v>
      </c>
      <c r="I2321" s="7">
        <f>-H2321/G2321</f>
        <v/>
      </c>
      <c r="J2321" s="11" t="n">
        <v>44600</v>
      </c>
      <c r="K2321" s="6" t="n">
        <v>200</v>
      </c>
      <c r="L2321" s="6" t="n">
        <v>1.6</v>
      </c>
      <c r="M2321" s="7">
        <f>IF(N2321=0,+L2321+H2321,0)</f>
        <v/>
      </c>
      <c r="N2321" s="7">
        <f>IF((+G2321-K2321)=0,0,+G2321-K2321)</f>
        <v/>
      </c>
      <c r="O2321" s="7">
        <f>IF(N2321=0,0,(L2321+H2321)/-N2321)</f>
        <v/>
      </c>
      <c r="P2321" s="7">
        <f>VLOOKUP(OPERAC[[#This Row],[especie]],[1]!ESPECIES[#All],6,0)</f>
        <v/>
      </c>
      <c r="Q2321" s="7">
        <f>IF(N2321&lt;&gt;0,P2321*N2321,0)</f>
        <v/>
      </c>
      <c r="R2321" s="8">
        <f>IF(Q2321&lt;&gt;0,Q2321+H2321+L2321,0)</f>
        <v/>
      </c>
      <c r="S2321" s="9">
        <f>VLOOKUP(OPERAC[[#This Row],[especie]],[1]!ESPECIES[#Data],9,FALSE)</f>
        <v/>
      </c>
    </row>
    <row r="2322">
      <c r="A2322" s="4" t="n">
        <v>22399</v>
      </c>
      <c r="B2322" s="5" t="n">
        <v>44594</v>
      </c>
      <c r="C2322" s="13" t="inlineStr">
        <is>
          <t>VTA</t>
        </is>
      </c>
      <c r="D2322" s="13" t="n">
        <v>40</v>
      </c>
      <c r="E2322" s="10">
        <f>IF(D2322&gt;0,VLOOKUP(OPERAC[[#This Row],[COD CART]],[1]!MatrizCortoLargoCyl[#All],3,0),"")</f>
        <v/>
      </c>
      <c r="F2322" s="13" t="inlineStr">
        <is>
          <t>EDU</t>
        </is>
      </c>
      <c r="G2322" s="6" t="n">
        <v>200</v>
      </c>
      <c r="H2322" s="6" t="n">
        <v>-403.2</v>
      </c>
      <c r="I2322" s="7">
        <f>-H2322/G2322</f>
        <v/>
      </c>
      <c r="J2322" s="11" t="n">
        <v>44606</v>
      </c>
      <c r="K2322" s="6" t="n">
        <v>200</v>
      </c>
      <c r="L2322" s="6" t="n">
        <v>294.589</v>
      </c>
      <c r="M2322" s="7">
        <f>IF(N2322=0,+L2322+H2322,0)</f>
        <v/>
      </c>
      <c r="N2322" s="7">
        <f>IF((+G2322-K2322)=0,0,+G2322-K2322)</f>
        <v/>
      </c>
      <c r="O2322" s="7">
        <f>IF(N2322=0,0,(L2322+H2322)/-N2322)</f>
        <v/>
      </c>
      <c r="P2322" s="7">
        <f>VLOOKUP(OPERAC[[#This Row],[especie]],[1]!ESPECIES[#All],6,0)</f>
        <v/>
      </c>
      <c r="Q2322" s="7">
        <f>IF(N2322&lt;&gt;0,P2322*N2322,0)</f>
        <v/>
      </c>
      <c r="R2322" s="8">
        <f>IF(Q2322&lt;&gt;0,Q2322+H2322+L2322,0)</f>
        <v/>
      </c>
      <c r="S2322" s="9">
        <f>VLOOKUP(OPERAC[[#This Row],[especie]],[1]!ESPECIES[#Data],9,FALSE)</f>
        <v/>
      </c>
    </row>
    <row r="2323">
      <c r="A2323" s="4" t="n">
        <v>1801</v>
      </c>
      <c r="B2323" s="5" t="n">
        <v>44594</v>
      </c>
      <c r="C2323" s="13" t="inlineStr">
        <is>
          <t>VTA</t>
        </is>
      </c>
      <c r="D2323" s="13" t="n">
        <v>40</v>
      </c>
      <c r="E2323" s="10">
        <f>IF(D2323&gt;0,VLOOKUP(OPERAC[[#This Row],[COD CART]],[1]!MatrizCortoLargoCyl[#All],3,0),"")</f>
        <v/>
      </c>
      <c r="F2323" s="13" t="inlineStr">
        <is>
          <t>EDU</t>
        </is>
      </c>
      <c r="G2323" s="6" t="n">
        <v>200</v>
      </c>
      <c r="H2323" s="6" t="n">
        <v>-403.2</v>
      </c>
      <c r="I2323" s="7">
        <f>-H2323/G2323</f>
        <v/>
      </c>
      <c r="J2323" s="11" t="n">
        <v>44606</v>
      </c>
      <c r="K2323" s="6" t="n">
        <v>200</v>
      </c>
      <c r="L2323" s="6" t="n">
        <v>294.589</v>
      </c>
      <c r="M2323" s="7">
        <f>IF(N2323=0,+L2323+H2323,0)</f>
        <v/>
      </c>
      <c r="N2323" s="7">
        <f>IF((+G2323-K2323)=0,0,+G2323-K2323)</f>
        <v/>
      </c>
      <c r="O2323" s="7">
        <f>IF(N2323=0,0,(L2323+H2323)/-N2323)</f>
        <v/>
      </c>
      <c r="P2323" s="7">
        <f>VLOOKUP(OPERAC[[#This Row],[especie]],[1]!ESPECIES[#All],6,0)</f>
        <v/>
      </c>
      <c r="Q2323" s="7">
        <f>IF(N2323&lt;&gt;0,P2323*N2323,0)</f>
        <v/>
      </c>
      <c r="R2323" s="8">
        <f>IF(Q2323&lt;&gt;0,Q2323+H2323+L2323,0)</f>
        <v/>
      </c>
      <c r="S2323" s="9">
        <f>VLOOKUP(OPERAC[[#This Row],[especie]],[1]!ESPECIES[#Data],9,FALSE)</f>
        <v/>
      </c>
    </row>
    <row r="2324">
      <c r="A2324" s="4" t="n">
        <v>15192</v>
      </c>
      <c r="B2324" s="5" t="n">
        <v>44594</v>
      </c>
      <c r="C2324" s="13" t="inlineStr">
        <is>
          <t>VTA</t>
        </is>
      </c>
      <c r="D2324" s="13" t="n">
        <v>40</v>
      </c>
      <c r="E2324" s="10">
        <f>IF(D2324&gt;0,VLOOKUP(OPERAC[[#This Row],[COD CART]],[1]!MatrizCortoLargoCyl[#All],3,0),"")</f>
        <v/>
      </c>
      <c r="F2324" s="13" t="inlineStr">
        <is>
          <t>EDU</t>
        </is>
      </c>
      <c r="G2324" s="6" t="n">
        <v>200</v>
      </c>
      <c r="H2324" s="6" t="n">
        <v>-403.2</v>
      </c>
      <c r="I2324" s="7">
        <f>-H2324/G2324</f>
        <v/>
      </c>
      <c r="J2324" s="11" t="n">
        <v>44600</v>
      </c>
      <c r="K2324" s="6" t="n">
        <v>200</v>
      </c>
      <c r="L2324" s="6" t="n">
        <v>296.57</v>
      </c>
      <c r="M2324" s="7">
        <f>IF(N2324=0,+L2324+H2324,0)</f>
        <v/>
      </c>
      <c r="N2324" s="7">
        <f>IF((+G2324-K2324)=0,0,+G2324-K2324)</f>
        <v/>
      </c>
      <c r="O2324" s="7">
        <f>IF(N2324=0,0,(L2324+H2324)/-N2324)</f>
        <v/>
      </c>
      <c r="P2324" s="7">
        <f>VLOOKUP(OPERAC[[#This Row],[especie]],[1]!ESPECIES[#All],6,0)</f>
        <v/>
      </c>
      <c r="Q2324" s="7">
        <f>IF(N2324&lt;&gt;0,P2324*N2324,0)</f>
        <v/>
      </c>
      <c r="R2324" s="8">
        <f>IF(Q2324&lt;&gt;0,Q2324+H2324+L2324,0)</f>
        <v/>
      </c>
      <c r="S2324" s="9">
        <f>VLOOKUP(OPERAC[[#This Row],[especie]],[1]!ESPECIES[#Data],9,FALSE)</f>
        <v/>
      </c>
    </row>
    <row r="2325">
      <c r="A2325" s="4" t="n">
        <v>25070</v>
      </c>
      <c r="B2325" s="5" t="n">
        <v>44722</v>
      </c>
      <c r="C2325" s="13" t="inlineStr">
        <is>
          <t>VTA</t>
        </is>
      </c>
      <c r="D2325" s="13" t="n">
        <v>40</v>
      </c>
      <c r="E2325" s="10">
        <f>IF(D2325&gt;0,VLOOKUP(OPERAC[[#This Row],[COD CART]],[1]!MatrizCortoLargoCyl[#All],3,0),"")</f>
        <v/>
      </c>
      <c r="F2325" s="13" t="inlineStr">
        <is>
          <t>YPF</t>
        </is>
      </c>
      <c r="G2325" s="6" t="n">
        <v>100</v>
      </c>
      <c r="H2325" s="6" t="n">
        <v>-404.4085</v>
      </c>
      <c r="I2325" s="7">
        <f>-H2325/G2325</f>
        <v/>
      </c>
      <c r="J2325" s="5" t="n"/>
      <c r="K2325" s="6" t="n"/>
      <c r="L2325" s="6" t="n"/>
      <c r="M2325" s="7">
        <f>IF(N2325=0,+L2325+H2325,0)</f>
        <v/>
      </c>
      <c r="N2325" s="7">
        <f>IF((+G2325-K2325)=0,0,+G2325-K2325)</f>
        <v/>
      </c>
      <c r="O2325" s="7">
        <f>IF(N2325=0,0,(L2325+H2325)/-N2325)</f>
        <v/>
      </c>
      <c r="P2325" s="7">
        <f>VLOOKUP(OPERAC[[#This Row],[especie]],[1]!ESPECIES[#All],6,0)</f>
        <v/>
      </c>
      <c r="Q2325" s="7">
        <f>IF(N2325&lt;&gt;0,P2325*N2325,0)</f>
        <v/>
      </c>
      <c r="R2325" s="8">
        <f>IF(Q2325&lt;&gt;0,Q2325+H2325+L2325,0)</f>
        <v/>
      </c>
      <c r="S2325" s="9">
        <f>VLOOKUP(OPERAC[[#This Row],[especie]],[1]!ESPECIES[#Data],9,FALSE)</f>
        <v/>
      </c>
    </row>
    <row r="2326">
      <c r="A2326" s="4" t="n">
        <v>10079</v>
      </c>
      <c r="B2326" s="5" t="n">
        <v>44712</v>
      </c>
      <c r="C2326" s="13" t="inlineStr">
        <is>
          <t>VTA</t>
        </is>
      </c>
      <c r="D2326" s="13" t="n">
        <v>39</v>
      </c>
      <c r="E2326" s="10">
        <f>IF(D2326&gt;0,VLOOKUP(OPERAC[[#This Row],[COD CART]],[1]!MatrizCortoLargoCyl[#All],3,0),"")</f>
        <v/>
      </c>
      <c r="F2326" s="13" t="inlineStr">
        <is>
          <t>ET/C/10,00/21-10-22</t>
        </is>
      </c>
      <c r="G2326" s="6" t="n">
        <v>200</v>
      </c>
      <c r="H2326" s="6" t="n">
        <v>-405.616</v>
      </c>
      <c r="I2326" s="7">
        <f>-H2326/G2326</f>
        <v/>
      </c>
      <c r="J2326" s="5" t="n"/>
      <c r="K2326" s="6" t="n"/>
      <c r="L2326" s="6" t="n"/>
      <c r="M2326" s="7">
        <f>IF(N2326=0,+L2326+H2326,0)</f>
        <v/>
      </c>
      <c r="N2326" s="7">
        <f>IF((+G2326-K2326)=0,0,+G2326-K2326)</f>
        <v/>
      </c>
      <c r="O2326" s="7">
        <f>IF(N2326=0,0,(L2326+H2326)/-N2326)</f>
        <v/>
      </c>
      <c r="P2326" s="7">
        <f>VLOOKUP(OPERAC[[#This Row],[especie]],[1]!ESPECIES[#All],6,0)</f>
        <v/>
      </c>
      <c r="Q2326" s="7">
        <f>IF(N2326&lt;&gt;0,P2326*N2326,0)</f>
        <v/>
      </c>
      <c r="R2326" s="8">
        <f>IF(Q2326&lt;&gt;0,Q2326+H2326+L2326,0)</f>
        <v/>
      </c>
      <c r="S2326" s="9">
        <f>VLOOKUP(OPERAC[[#This Row],[especie]],[1]!ESPECIES[#Data],9,FALSE)</f>
        <v/>
      </c>
    </row>
    <row r="2327">
      <c r="A2327" s="4" t="n">
        <v>16783</v>
      </c>
      <c r="B2327" s="5" t="n">
        <v>44712</v>
      </c>
      <c r="C2327" s="13" t="inlineStr">
        <is>
          <t>VTA</t>
        </is>
      </c>
      <c r="D2327" s="13" t="n">
        <v>39</v>
      </c>
      <c r="E2327" s="10">
        <f>IF(D2327&gt;0,VLOOKUP(OPERAC[[#This Row],[COD CART]],[1]!MatrizCortoLargoCyl[#All],3,0),"")</f>
        <v/>
      </c>
      <c r="F2327" s="13" t="inlineStr">
        <is>
          <t>ET/C/10,00/21-10-22</t>
        </is>
      </c>
      <c r="G2327" s="6" t="n">
        <v>200</v>
      </c>
      <c r="H2327" s="6" t="n">
        <v>-405.616</v>
      </c>
      <c r="I2327" s="7">
        <f>-H2327/G2327</f>
        <v/>
      </c>
      <c r="J2327" s="5" t="n"/>
      <c r="K2327" s="6" t="n"/>
      <c r="L2327" s="6" t="n"/>
      <c r="M2327" s="7">
        <f>IF(N2327=0,+L2327+H2327,0)</f>
        <v/>
      </c>
      <c r="N2327" s="7">
        <f>IF((+G2327-K2327)=0,0,+G2327-K2327)</f>
        <v/>
      </c>
      <c r="O2327" s="7">
        <f>IF(N2327=0,0,(L2327+H2327)/-N2327)</f>
        <v/>
      </c>
      <c r="P2327" s="7">
        <f>VLOOKUP(OPERAC[[#This Row],[especie]],[1]!ESPECIES[#All],6,0)</f>
        <v/>
      </c>
      <c r="Q2327" s="7">
        <f>IF(N2327&lt;&gt;0,P2327*N2327,0)</f>
        <v/>
      </c>
      <c r="R2327" s="8">
        <f>IF(Q2327&lt;&gt;0,Q2327+H2327+L2327,0)</f>
        <v/>
      </c>
      <c r="S2327" s="9">
        <f>VLOOKUP(OPERAC[[#This Row],[especie]],[1]!ESPECIES[#Data],9,FALSE)</f>
        <v/>
      </c>
    </row>
    <row r="2328">
      <c r="A2328" s="4" t="n">
        <v>18651</v>
      </c>
      <c r="B2328" s="5" t="n">
        <v>44712</v>
      </c>
      <c r="C2328" s="13" t="inlineStr">
        <is>
          <t>VTA</t>
        </is>
      </c>
      <c r="D2328" s="13" t="n">
        <v>39</v>
      </c>
      <c r="E2328" s="10">
        <f>IF(D2328&gt;0,VLOOKUP(OPERAC[[#This Row],[COD CART]],[1]!MatrizCortoLargoCyl[#All],3,0),"")</f>
        <v/>
      </c>
      <c r="F2328" s="13" t="inlineStr">
        <is>
          <t>ET/C/10,00/21-10-22</t>
        </is>
      </c>
      <c r="G2328" s="6" t="n">
        <v>200</v>
      </c>
      <c r="H2328" s="6" t="n">
        <v>-405.616</v>
      </c>
      <c r="I2328" s="7">
        <f>-H2328/G2328</f>
        <v/>
      </c>
      <c r="J2328" s="5" t="n"/>
      <c r="K2328" s="6" t="n"/>
      <c r="L2328" s="6" t="n"/>
      <c r="M2328" s="7">
        <f>IF(N2328=0,+L2328+H2328,0)</f>
        <v/>
      </c>
      <c r="N2328" s="7">
        <f>IF((+G2328-K2328)=0,0,+G2328-K2328)</f>
        <v/>
      </c>
      <c r="O2328" s="7">
        <f>IF(N2328=0,0,(L2328+H2328)/-N2328)</f>
        <v/>
      </c>
      <c r="P2328" s="7">
        <f>VLOOKUP(OPERAC[[#This Row],[especie]],[1]!ESPECIES[#All],6,0)</f>
        <v/>
      </c>
      <c r="Q2328" s="7">
        <f>IF(N2328&lt;&gt;0,P2328*N2328,0)</f>
        <v/>
      </c>
      <c r="R2328" s="8">
        <f>IF(Q2328&lt;&gt;0,Q2328+H2328+L2328,0)</f>
        <v/>
      </c>
      <c r="S2328" s="9">
        <f>VLOOKUP(OPERAC[[#This Row],[especie]],[1]!ESPECIES[#Data],9,FALSE)</f>
        <v/>
      </c>
    </row>
    <row r="2329">
      <c r="A2329" s="4" t="n">
        <v>19867</v>
      </c>
      <c r="B2329" s="5" t="n">
        <v>44712</v>
      </c>
      <c r="C2329" s="13" t="inlineStr">
        <is>
          <t>VTA</t>
        </is>
      </c>
      <c r="D2329" s="13" t="n">
        <v>39</v>
      </c>
      <c r="E2329" s="10">
        <f>IF(D2329&gt;0,VLOOKUP(OPERAC[[#This Row],[COD CART]],[1]!MatrizCortoLargoCyl[#All],3,0),"")</f>
        <v/>
      </c>
      <c r="F2329" s="13" t="inlineStr">
        <is>
          <t>ET/C/10,00/21-10-22</t>
        </is>
      </c>
      <c r="G2329" s="6" t="n">
        <v>200</v>
      </c>
      <c r="H2329" s="6" t="n">
        <v>-405.616</v>
      </c>
      <c r="I2329" s="7">
        <f>-H2329/G2329</f>
        <v/>
      </c>
      <c r="J2329" s="5" t="n"/>
      <c r="K2329" s="6" t="n"/>
      <c r="L2329" s="6" t="n"/>
      <c r="M2329" s="7">
        <f>IF(N2329=0,+L2329+H2329,0)</f>
        <v/>
      </c>
      <c r="N2329" s="7">
        <f>IF((+G2329-K2329)=0,0,+G2329-K2329)</f>
        <v/>
      </c>
      <c r="O2329" s="7">
        <f>IF(N2329=0,0,(L2329+H2329)/-N2329)</f>
        <v/>
      </c>
      <c r="P2329" s="7">
        <f>VLOOKUP(OPERAC[[#This Row],[especie]],[1]!ESPECIES[#All],6,0)</f>
        <v/>
      </c>
      <c r="Q2329" s="7">
        <f>IF(N2329&lt;&gt;0,P2329*N2329,0)</f>
        <v/>
      </c>
      <c r="R2329" s="8">
        <f>IF(Q2329&lt;&gt;0,Q2329+H2329+L2329,0)</f>
        <v/>
      </c>
      <c r="S2329" s="9">
        <f>VLOOKUP(OPERAC[[#This Row],[especie]],[1]!ESPECIES[#Data],9,FALSE)</f>
        <v/>
      </c>
    </row>
    <row r="2330">
      <c r="A2330" s="4" t="n">
        <v>2276</v>
      </c>
      <c r="B2330" s="5" t="n">
        <v>44378</v>
      </c>
      <c r="C2330" s="13" t="inlineStr">
        <is>
          <t>VTA</t>
        </is>
      </c>
      <c r="D2330" s="13" t="n">
        <v>41</v>
      </c>
      <c r="E2330" s="10">
        <f>IF(D2330&gt;0,VLOOKUP(OPERAC[[#This Row],[COD CART]],[1]!MatrizCortoLargoCyl[#All],3,0),"")</f>
        <v/>
      </c>
      <c r="F2330" s="13" t="inlineStr">
        <is>
          <t>QFIN</t>
        </is>
      </c>
      <c r="G2330" s="6" t="n">
        <v>10</v>
      </c>
      <c r="H2330" s="6" t="n">
        <v>-406.3168</v>
      </c>
      <c r="I2330" s="7">
        <f>-H2330/G2330</f>
        <v/>
      </c>
      <c r="J2330" s="11" t="n"/>
      <c r="K2330" s="6" t="n"/>
      <c r="L2330" s="6" t="n"/>
      <c r="M2330" s="7">
        <f>IF(N2330=0,+L2330+H2330,0)</f>
        <v/>
      </c>
      <c r="N2330" s="7">
        <f>IF((+G2330-K2330)=0,0,+G2330-K2330)</f>
        <v/>
      </c>
      <c r="O2330" s="7">
        <f>IF(N2330=0,0,(L2330+H2330)/-N2330)</f>
        <v/>
      </c>
      <c r="P2330" s="7">
        <f>VLOOKUP(OPERAC[[#This Row],[especie]],[1]!ESPECIES[#All],6,0)</f>
        <v/>
      </c>
      <c r="Q2330" s="7">
        <f>IF(N2330&lt;&gt;0,P2330*N2330,0)</f>
        <v/>
      </c>
      <c r="R2330" s="8">
        <f>IF(Q2330&lt;&gt;0,Q2330+H2330+L2330,0)</f>
        <v/>
      </c>
      <c r="S2330" s="9">
        <f>VLOOKUP(OPERAC[[#This Row],[especie]],[1]!ESPECIES[#Data],9,FALSE)</f>
        <v/>
      </c>
    </row>
    <row r="2331">
      <c r="A2331" s="4" t="n">
        <v>1800</v>
      </c>
      <c r="B2331" s="5" t="n">
        <v>44586</v>
      </c>
      <c r="C2331" s="13" t="inlineStr">
        <is>
          <t>VTA</t>
        </is>
      </c>
      <c r="D2331" s="13" t="n">
        <v>43</v>
      </c>
      <c r="E2331" s="10">
        <f>IF(D2331&gt;0,VLOOKUP(OPERAC[[#This Row],[COD CART]],[1]!MatrizCortoLargoCyl[#All],3,0),"")</f>
        <v/>
      </c>
      <c r="F2331" s="13" t="inlineStr">
        <is>
          <t>GMBL/CYL-PUT/2,50/20-01-23</t>
        </is>
      </c>
      <c r="G2331" s="6" t="n">
        <v>400</v>
      </c>
      <c r="H2331" s="6" t="n">
        <v>-406.4183000000002</v>
      </c>
      <c r="I2331" s="7">
        <f>-H2331/G2331</f>
        <v/>
      </c>
      <c r="J2331" s="11" t="n">
        <v>44622</v>
      </c>
      <c r="K2331" s="6" t="n">
        <v>400</v>
      </c>
      <c r="L2331" s="6" t="n">
        <v>-418.626</v>
      </c>
      <c r="M2331" s="7">
        <f>IF(N2331=0,+L2331+H2331,0)</f>
        <v/>
      </c>
      <c r="N2331" s="7">
        <f>IF((+G2331-K2331)=0,0,+G2331-K2331)</f>
        <v/>
      </c>
      <c r="O2331" s="7">
        <f>IF(N2331=0,0,(L2331+H2331)/-N2331)</f>
        <v/>
      </c>
      <c r="P2331" s="7">
        <f>VLOOKUP(OPERAC[[#This Row],[especie]],[1]!ESPECIES[#All],6,0)</f>
        <v/>
      </c>
      <c r="Q2331" s="7">
        <f>IF(N2331&lt;&gt;0,P2331*N2331,0)</f>
        <v/>
      </c>
      <c r="R2331" s="8">
        <f>IF(Q2331&lt;&gt;0,Q2331+H2331+L2331,0)</f>
        <v/>
      </c>
      <c r="S2331" s="9">
        <f>VLOOKUP(OPERAC[[#This Row],[especie]],[1]!ESPECIES[#Data],9,FALSE)</f>
        <v/>
      </c>
    </row>
    <row r="2332">
      <c r="A2332" s="4" t="n">
        <v>26137</v>
      </c>
      <c r="B2332" s="5" t="n">
        <v>44586</v>
      </c>
      <c r="C2332" s="13" t="inlineStr">
        <is>
          <t>VTA</t>
        </is>
      </c>
      <c r="D2332" s="13" t="n">
        <v>43</v>
      </c>
      <c r="E2332" s="10">
        <f>IF(D2332&gt;0,VLOOKUP(OPERAC[[#This Row],[COD CART]],[1]!MatrizCortoLargoCyl[#All],3,0),"")</f>
        <v/>
      </c>
      <c r="F2332" s="13" t="inlineStr">
        <is>
          <t>GMBL/CYL-PUT/2,50/20-01-23</t>
        </is>
      </c>
      <c r="G2332" s="6" t="n">
        <v>400</v>
      </c>
      <c r="H2332" s="6" t="n">
        <v>-406.4183000000002</v>
      </c>
      <c r="I2332" s="7">
        <f>-H2332/G2332</f>
        <v/>
      </c>
      <c r="J2332" s="11" t="n">
        <v>44708</v>
      </c>
      <c r="K2332" s="6" t="n">
        <v>400</v>
      </c>
      <c r="L2332" s="6" t="n">
        <v>-760.11</v>
      </c>
      <c r="M2332" s="7">
        <f>IF(N2332=0,+L2332+H2332,0)</f>
        <v/>
      </c>
      <c r="N2332" s="7">
        <f>IF((+G2332-K2332)=0,0,+G2332-K2332)</f>
        <v/>
      </c>
      <c r="O2332" s="7">
        <f>IF(N2332=0,0,(L2332+H2332)/-N2332)</f>
        <v/>
      </c>
      <c r="P2332" s="7">
        <f>VLOOKUP(OPERAC[[#This Row],[especie]],[1]!ESPECIES[#All],6,0)</f>
        <v/>
      </c>
      <c r="Q2332" s="7">
        <f>IF(N2332&lt;&gt;0,P2332*N2332,0)</f>
        <v/>
      </c>
      <c r="R2332" s="8">
        <f>IF(Q2332&lt;&gt;0,Q2332+H2332+L2332,0)</f>
        <v/>
      </c>
      <c r="S2332" s="9">
        <f>VLOOKUP(OPERAC[[#This Row],[especie]],[1]!ESPECIES[#Data],9,FALSE)</f>
        <v/>
      </c>
    </row>
    <row r="2333">
      <c r="A2333" s="4" t="n">
        <v>13253</v>
      </c>
      <c r="B2333" s="5" t="n">
        <v>44201</v>
      </c>
      <c r="C2333" s="13" t="inlineStr">
        <is>
          <t>VTA</t>
        </is>
      </c>
      <c r="D2333" s="13" t="n">
        <v>41</v>
      </c>
      <c r="E2333" s="10">
        <f>IF(D2333&gt;0,VLOOKUP(OPERAC[[#This Row],[COD CART]],[1]!MatrizCortoLargoCyl[#All],3,0),"")</f>
        <v/>
      </c>
      <c r="F2333" s="13" t="inlineStr">
        <is>
          <t>HIPS</t>
        </is>
      </c>
      <c r="G2333" s="6" t="n">
        <v>30</v>
      </c>
      <c r="H2333" s="6" t="n">
        <v>-406.4256</v>
      </c>
      <c r="I2333" s="7">
        <f>-H2333/G2333</f>
        <v/>
      </c>
      <c r="J2333" s="11" t="n"/>
      <c r="K2333" s="6" t="n"/>
      <c r="L2333" s="6" t="n"/>
      <c r="M2333" s="7">
        <f>IF(N2333=0,+L2333+H2333,0)</f>
        <v/>
      </c>
      <c r="N2333" s="7">
        <f>IF((+G2333-K2333)=0,0,+G2333-K2333)</f>
        <v/>
      </c>
      <c r="O2333" s="7">
        <f>IF(N2333=0,0,(L2333+H2333)/-N2333)</f>
        <v/>
      </c>
      <c r="P2333" s="7">
        <f>VLOOKUP(OPERAC[[#This Row],[especie]],[1]!ESPECIES[#All],6,0)</f>
        <v/>
      </c>
      <c r="Q2333" s="7">
        <f>IF(N2333&lt;&gt;0,P2333*N2333,0)</f>
        <v/>
      </c>
      <c r="R2333" s="8">
        <f>IF(Q2333&lt;&gt;0,Q2333+H2333+L2333,0)</f>
        <v/>
      </c>
      <c r="S2333" s="9">
        <f>VLOOKUP(OPERAC[[#This Row],[especie]],[1]!ESPECIES[#Data],9,FALSE)</f>
        <v/>
      </c>
    </row>
    <row r="2334">
      <c r="A2334" s="4" t="n">
        <v>3820</v>
      </c>
      <c r="B2334" s="5" t="n">
        <v>44309</v>
      </c>
      <c r="C2334" s="13" t="inlineStr">
        <is>
          <t>VTA</t>
        </is>
      </c>
      <c r="D2334" s="13" t="n">
        <v>41</v>
      </c>
      <c r="E2334" s="10">
        <f>IF(D2334&gt;0,VLOOKUP(OPERAC[[#This Row],[COD CART]],[1]!MatrizCortoLargoCyl[#All],3,0),"")</f>
        <v/>
      </c>
      <c r="F2334" s="13" t="inlineStr">
        <is>
          <t>GBTC</t>
        </is>
      </c>
      <c r="G2334" s="6" t="n">
        <v>10</v>
      </c>
      <c r="H2334" s="6" t="n">
        <v>-406.6</v>
      </c>
      <c r="I2334" s="7">
        <f>-H2334/G2334</f>
        <v/>
      </c>
      <c r="J2334" s="11" t="n"/>
      <c r="K2334" s="6" t="n"/>
      <c r="L2334" s="6" t="n"/>
      <c r="M2334" s="7">
        <f>IF(N2334=0,+L2334+H2334,0)</f>
        <v/>
      </c>
      <c r="N2334" s="7">
        <f>IF((+G2334-K2334)=0,0,+G2334-K2334)</f>
        <v/>
      </c>
      <c r="O2334" s="7">
        <f>IF(N2334=0,0,(L2334+H2334)/-N2334)</f>
        <v/>
      </c>
      <c r="P2334" s="7">
        <f>VLOOKUP(OPERAC[[#This Row],[especie]],[1]!ESPECIES[#All],6,0)</f>
        <v/>
      </c>
      <c r="Q2334" s="7">
        <f>IF(N2334&lt;&gt;0,P2334*N2334,0)</f>
        <v/>
      </c>
      <c r="R2334" s="8">
        <f>IF(Q2334&lt;&gt;0,Q2334+H2334+L2334,0)</f>
        <v/>
      </c>
      <c r="S2334" s="9">
        <f>VLOOKUP(OPERAC[[#This Row],[especie]],[1]!ESPECIES[#Data],9,FALSE)</f>
        <v/>
      </c>
    </row>
    <row r="2335">
      <c r="A2335" s="4" t="n">
        <v>2255</v>
      </c>
      <c r="B2335" s="5" t="n">
        <v>44636</v>
      </c>
      <c r="C2335" s="13" t="inlineStr">
        <is>
          <t>VTA</t>
        </is>
      </c>
      <c r="D2335" s="13" t="n">
        <v>43</v>
      </c>
      <c r="E2335" s="10">
        <f>IF(D2335&gt;0,VLOOKUP(OPERAC[[#This Row],[COD CART]],[1]!MatrizCortoLargoCyl[#All],3,0),"")</f>
        <v/>
      </c>
      <c r="F2335" s="13" t="inlineStr">
        <is>
          <t>GMBL/CYL-PUT/1,00/20-01-23</t>
        </is>
      </c>
      <c r="G2335" s="6" t="n">
        <v>2500</v>
      </c>
      <c r="H2335" s="6" t="n">
        <v>-407.3466250000001</v>
      </c>
      <c r="I2335" s="7">
        <f>-H2335/G2335</f>
        <v/>
      </c>
      <c r="J2335" s="11" t="n"/>
      <c r="K2335" s="6" t="n"/>
      <c r="L2335" s="6" t="n"/>
      <c r="M2335" s="7">
        <f>IF(N2335=0,+L2335+H2335,0)</f>
        <v/>
      </c>
      <c r="N2335" s="7">
        <f>IF((+G2335-K2335)=0,0,+G2335-K2335)</f>
        <v/>
      </c>
      <c r="O2335" s="7">
        <f>IF(N2335=0,0,(L2335+H2335)/-N2335)</f>
        <v/>
      </c>
      <c r="P2335" s="7">
        <f>VLOOKUP(OPERAC[[#This Row],[especie]],[1]!ESPECIES[#All],6,0)</f>
        <v/>
      </c>
      <c r="Q2335" s="7">
        <f>IF(N2335&lt;&gt;0,P2335*N2335,0)</f>
        <v/>
      </c>
      <c r="R2335" s="8">
        <f>IF(Q2335&lt;&gt;0,Q2335+H2335+L2335,0)</f>
        <v/>
      </c>
      <c r="S2335" s="9">
        <f>VLOOKUP(OPERAC[[#This Row],[especie]],[1]!ESPECIES[#Data],9,FALSE)</f>
        <v/>
      </c>
    </row>
    <row r="2336">
      <c r="A2336" s="4" t="n">
        <v>7879</v>
      </c>
      <c r="B2336" s="5" t="n">
        <v>44215</v>
      </c>
      <c r="C2336" s="13" t="inlineStr">
        <is>
          <t>VTA</t>
        </is>
      </c>
      <c r="D2336" s="13" t="n">
        <v>41</v>
      </c>
      <c r="E2336" s="10">
        <f>IF(D2336&gt;0,VLOOKUP(OPERAC[[#This Row],[COD CART]],[1]!MatrizCortoLargoCyl[#All],3,0),"")</f>
        <v/>
      </c>
      <c r="F2336" s="13" t="inlineStr">
        <is>
          <t>GBTC</t>
        </is>
      </c>
      <c r="G2336" s="6" t="n">
        <v>10</v>
      </c>
      <c r="H2336" s="6" t="n">
        <v>-408.736</v>
      </c>
      <c r="I2336" s="7">
        <f>-H2336/G2336</f>
        <v/>
      </c>
      <c r="J2336" s="11" t="n"/>
      <c r="K2336" s="6" t="n"/>
      <c r="L2336" s="6" t="n"/>
      <c r="M2336" s="7">
        <f>IF(N2336=0,+L2336+H2336,0)</f>
        <v/>
      </c>
      <c r="N2336" s="7">
        <f>IF((+G2336-K2336)=0,0,+G2336-K2336)</f>
        <v/>
      </c>
      <c r="O2336" s="7" t="n">
        <v>23.7</v>
      </c>
      <c r="P2336" s="7">
        <f>VLOOKUP(OPERAC[[#This Row],[especie]],[1]!ESPECIES[#All],6,0)</f>
        <v/>
      </c>
      <c r="Q2336" s="7">
        <f>IF(N2336&lt;&gt;0,P2336*N2336,0)</f>
        <v/>
      </c>
      <c r="R2336" s="8">
        <f>IF(Q2336&lt;&gt;0,Q2336+H2336+L2336,0)</f>
        <v/>
      </c>
      <c r="S2336" s="9">
        <f>VLOOKUP(OPERAC[[#This Row],[especie]],[1]!ESPECIES[#Data],9,FALSE)</f>
        <v/>
      </c>
    </row>
    <row r="2337">
      <c r="A2337" s="4" t="n">
        <v>4543</v>
      </c>
      <c r="B2337" s="5" t="n">
        <v>44466</v>
      </c>
      <c r="C2337" s="13" t="inlineStr">
        <is>
          <t>VTA</t>
        </is>
      </c>
      <c r="D2337" s="13" t="n">
        <v>43</v>
      </c>
      <c r="E2337" s="10">
        <f>IF(D2337&gt;0,VLOOKUP(OPERAC[[#This Row],[COD CART]],[1]!MatrizCortoLargoCyl[#All],3,0),"")</f>
        <v/>
      </c>
      <c r="F2337" s="13" t="inlineStr">
        <is>
          <t>SOLO/CYL-PUT/4,00/16-09-22</t>
        </is>
      </c>
      <c r="G2337" s="6" t="n">
        <v>200</v>
      </c>
      <c r="H2337" s="6">
        <f>-594.83454+0.32*OPERAC[[#This Row],[cantidad]]+0.387*OPERAC[[#This Row],[cantidad]]+0.22*OPERAC[[#This Row],[cantidad]]</f>
        <v/>
      </c>
      <c r="I2337" s="7">
        <f>-H2337/G2337</f>
        <v/>
      </c>
      <c r="J2337" s="11" t="n"/>
      <c r="K2337" s="6" t="n"/>
      <c r="L2337" s="6" t="n"/>
      <c r="M2337" s="7">
        <f>IF(N2337=0,+L2337+H2337,0)</f>
        <v/>
      </c>
      <c r="N2337" s="7">
        <f>IF((+G2337-K2337)=0,0,+G2337-K2337)</f>
        <v/>
      </c>
      <c r="O2337" s="7">
        <f>IF(N2337=0,0,(L2337+H2337)/-N2337)</f>
        <v/>
      </c>
      <c r="P2337" s="7">
        <f>VLOOKUP(OPERAC[[#This Row],[especie]],[1]!ESPECIES[#All],6,0)</f>
        <v/>
      </c>
      <c r="Q2337" s="7">
        <f>IF(N2337&lt;&gt;0,P2337*N2337,0)</f>
        <v/>
      </c>
      <c r="R2337" s="8">
        <f>IF(Q2337&lt;&gt;0,Q2337+H2337+L2337,0)</f>
        <v/>
      </c>
      <c r="S2337" s="9">
        <f>VLOOKUP(OPERAC[[#This Row],[especie]],[1]!ESPECIES[#Data],9,FALSE)</f>
        <v/>
      </c>
    </row>
    <row r="2338">
      <c r="A2338" s="4" t="n">
        <v>7879</v>
      </c>
      <c r="B2338" s="5" t="n">
        <v>44466</v>
      </c>
      <c r="C2338" s="13" t="inlineStr">
        <is>
          <t>VTA</t>
        </is>
      </c>
      <c r="D2338" s="13" t="n">
        <v>43</v>
      </c>
      <c r="E2338" s="10">
        <f>IF(D2338&gt;0,VLOOKUP(OPERAC[[#This Row],[COD CART]],[1]!MatrizCortoLargoCyl[#All],3,0),"")</f>
        <v/>
      </c>
      <c r="F2338" s="13" t="inlineStr">
        <is>
          <t>SOLO/CYL-PUT/4,00/16-09-22</t>
        </is>
      </c>
      <c r="G2338" s="6" t="n">
        <v>200</v>
      </c>
      <c r="H2338" s="6">
        <f>-594.83454+0.32*OPERAC[[#This Row],[cantidad]]+0.387*OPERAC[[#This Row],[cantidad]]+0.22*OPERAC[[#This Row],[cantidad]]</f>
        <v/>
      </c>
      <c r="I2338" s="7">
        <f>-H2338/G2338</f>
        <v/>
      </c>
      <c r="J2338" s="11" t="n"/>
      <c r="K2338" s="6" t="n"/>
      <c r="L2338" s="6" t="n"/>
      <c r="M2338" s="7">
        <f>IF(N2338=0,+L2338+H2338,0)</f>
        <v/>
      </c>
      <c r="N2338" s="7">
        <f>IF((+G2338-K2338)=0,0,+G2338-K2338)</f>
        <v/>
      </c>
      <c r="O2338" s="7">
        <f>IF(N2338=0,0,(L2338+H2338)/-N2338)</f>
        <v/>
      </c>
      <c r="P2338" s="7">
        <f>VLOOKUP(OPERAC[[#This Row],[especie]],[1]!ESPECIES[#All],6,0)</f>
        <v/>
      </c>
      <c r="Q2338" s="7">
        <f>IF(N2338&lt;&gt;0,P2338*N2338,0)</f>
        <v/>
      </c>
      <c r="R2338" s="8">
        <f>IF(Q2338&lt;&gt;0,Q2338+H2338+L2338,0)</f>
        <v/>
      </c>
      <c r="S2338" s="9">
        <f>VLOOKUP(OPERAC[[#This Row],[especie]],[1]!ESPECIES[#Data],9,FALSE)</f>
        <v/>
      </c>
    </row>
    <row r="2339">
      <c r="A2339" s="4" t="n">
        <v>12672</v>
      </c>
      <c r="B2339" s="5" t="n">
        <v>44466</v>
      </c>
      <c r="C2339" s="13" t="inlineStr">
        <is>
          <t>VTA</t>
        </is>
      </c>
      <c r="D2339" s="13" t="n">
        <v>43</v>
      </c>
      <c r="E2339" s="10">
        <f>IF(D2339&gt;0,VLOOKUP(OPERAC[[#This Row],[COD CART]],[1]!MatrizCortoLargoCyl[#All],3,0),"")</f>
        <v/>
      </c>
      <c r="F2339" s="13" t="inlineStr">
        <is>
          <t>SOLO/CYL-PUT/4,00/16-09-22</t>
        </is>
      </c>
      <c r="G2339" s="6" t="n">
        <v>200</v>
      </c>
      <c r="H2339" s="6">
        <f>-594.83454+0.32*OPERAC[[#This Row],[cantidad]]+0.387*OPERAC[[#This Row],[cantidad]]+0.22*OPERAC[[#This Row],[cantidad]]</f>
        <v/>
      </c>
      <c r="I2339" s="7">
        <f>-H2339/G2339</f>
        <v/>
      </c>
      <c r="J2339" s="11" t="n"/>
      <c r="K2339" s="6" t="n"/>
      <c r="L2339" s="6" t="n"/>
      <c r="M2339" s="7">
        <f>IF(N2339=0,+L2339+H2339,0)</f>
        <v/>
      </c>
      <c r="N2339" s="7">
        <f>IF((+G2339-K2339)=0,0,+G2339-K2339)</f>
        <v/>
      </c>
      <c r="O2339" s="7">
        <f>IF(N2339=0,0,(L2339+H2339)/-N2339)</f>
        <v/>
      </c>
      <c r="P2339" s="7">
        <f>VLOOKUP(OPERAC[[#This Row],[especie]],[1]!ESPECIES[#All],6,0)</f>
        <v/>
      </c>
      <c r="Q2339" s="7">
        <f>IF(N2339&lt;&gt;0,P2339*N2339,0)</f>
        <v/>
      </c>
      <c r="R2339" s="8">
        <f>IF(Q2339&lt;&gt;0,Q2339+H2339+L2339,0)</f>
        <v/>
      </c>
      <c r="S2339" s="9">
        <f>VLOOKUP(OPERAC[[#This Row],[especie]],[1]!ESPECIES[#Data],9,FALSE)</f>
        <v/>
      </c>
    </row>
    <row r="2340">
      <c r="A2340" s="4" t="n">
        <v>15195</v>
      </c>
      <c r="B2340" s="5" t="n">
        <v>44466</v>
      </c>
      <c r="C2340" s="13" t="inlineStr">
        <is>
          <t>VTA</t>
        </is>
      </c>
      <c r="D2340" s="13" t="n">
        <v>43</v>
      </c>
      <c r="E2340" s="10">
        <f>IF(D2340&gt;0,VLOOKUP(OPERAC[[#This Row],[COD CART]],[1]!MatrizCortoLargoCyl[#All],3,0),"")</f>
        <v/>
      </c>
      <c r="F2340" s="13" t="inlineStr">
        <is>
          <t>SOLO/CYL-PUT/4,00/16-09-22</t>
        </is>
      </c>
      <c r="G2340" s="6" t="n">
        <v>200</v>
      </c>
      <c r="H2340" s="6">
        <f>-594.83454+0.32*OPERAC[[#This Row],[cantidad]]+0.387*OPERAC[[#This Row],[cantidad]]+0.22*OPERAC[[#This Row],[cantidad]]</f>
        <v/>
      </c>
      <c r="I2340" s="7">
        <f>-H2340/G2340</f>
        <v/>
      </c>
      <c r="J2340" s="11" t="n"/>
      <c r="K2340" s="6" t="n"/>
      <c r="L2340" s="6" t="n"/>
      <c r="M2340" s="7">
        <f>IF(N2340=0,+L2340+H2340,0)</f>
        <v/>
      </c>
      <c r="N2340" s="7">
        <f>IF((+G2340-K2340)=0,0,+G2340-K2340)</f>
        <v/>
      </c>
      <c r="O2340" s="7">
        <f>IF(N2340=0,0,(L2340+H2340)/-N2340)</f>
        <v/>
      </c>
      <c r="P2340" s="7">
        <f>VLOOKUP(OPERAC[[#This Row],[especie]],[1]!ESPECIES[#All],6,0)</f>
        <v/>
      </c>
      <c r="Q2340" s="7">
        <f>IF(N2340&lt;&gt;0,P2340*N2340,0)</f>
        <v/>
      </c>
      <c r="R2340" s="8">
        <f>IF(Q2340&lt;&gt;0,Q2340+H2340+L2340,0)</f>
        <v/>
      </c>
      <c r="S2340" s="9">
        <f>VLOOKUP(OPERAC[[#This Row],[especie]],[1]!ESPECIES[#Data],9,FALSE)</f>
        <v/>
      </c>
    </row>
    <row r="2341">
      <c r="A2341" s="4" t="n">
        <v>18662</v>
      </c>
      <c r="B2341" s="5" t="n">
        <v>44466</v>
      </c>
      <c r="C2341" s="13" t="inlineStr">
        <is>
          <t>VTA</t>
        </is>
      </c>
      <c r="D2341" s="13" t="n">
        <v>43</v>
      </c>
      <c r="E2341" s="10">
        <f>IF(D2341&gt;0,VLOOKUP(OPERAC[[#This Row],[COD CART]],[1]!MatrizCortoLargoCyl[#All],3,0),"")</f>
        <v/>
      </c>
      <c r="F2341" s="13" t="inlineStr">
        <is>
          <t>SOLO/CYL-PUT/4,00/16-09-22</t>
        </is>
      </c>
      <c r="G2341" s="6" t="n">
        <v>200</v>
      </c>
      <c r="H2341" s="6">
        <f>-594.83454+0.32*OPERAC[[#This Row],[cantidad]]+0.387*OPERAC[[#This Row],[cantidad]]+0.22*OPERAC[[#This Row],[cantidad]]</f>
        <v/>
      </c>
      <c r="I2341" s="7">
        <f>-H2341/G2341</f>
        <v/>
      </c>
      <c r="J2341" s="11" t="n"/>
      <c r="K2341" s="6" t="n"/>
      <c r="L2341" s="6" t="n"/>
      <c r="M2341" s="7">
        <f>IF(N2341=0,+L2341+H2341,0)</f>
        <v/>
      </c>
      <c r="N2341" s="7">
        <f>IF((+G2341-K2341)=0,0,+G2341-K2341)</f>
        <v/>
      </c>
      <c r="O2341" s="7">
        <f>IF(N2341=0,0,(L2341+H2341)/-N2341)</f>
        <v/>
      </c>
      <c r="P2341" s="7">
        <f>VLOOKUP(OPERAC[[#This Row],[especie]],[1]!ESPECIES[#All],6,0)</f>
        <v/>
      </c>
      <c r="Q2341" s="7">
        <f>IF(N2341&lt;&gt;0,P2341*N2341,0)</f>
        <v/>
      </c>
      <c r="R2341" s="8">
        <f>IF(Q2341&lt;&gt;0,Q2341+H2341+L2341,0)</f>
        <v/>
      </c>
      <c r="S2341" s="9">
        <f>VLOOKUP(OPERAC[[#This Row],[especie]],[1]!ESPECIES[#Data],9,FALSE)</f>
        <v/>
      </c>
    </row>
    <row r="2342">
      <c r="A2342" s="4" t="n">
        <v>18697</v>
      </c>
      <c r="B2342" s="5" t="n">
        <v>44466</v>
      </c>
      <c r="C2342" s="13" t="inlineStr">
        <is>
          <t>VTA</t>
        </is>
      </c>
      <c r="D2342" s="13" t="n">
        <v>43</v>
      </c>
      <c r="E2342" s="10">
        <f>IF(D2342&gt;0,VLOOKUP(OPERAC[[#This Row],[COD CART]],[1]!MatrizCortoLargoCyl[#All],3,0),"")</f>
        <v/>
      </c>
      <c r="F2342" s="13" t="inlineStr">
        <is>
          <t>SOLO/CYL-PUT/4,00/16-09-22</t>
        </is>
      </c>
      <c r="G2342" s="6" t="n">
        <v>200</v>
      </c>
      <c r="H2342" s="6">
        <f>-594.83454+0.32*OPERAC[[#This Row],[cantidad]]+0.387*OPERAC[[#This Row],[cantidad]]+0.22*OPERAC[[#This Row],[cantidad]]</f>
        <v/>
      </c>
      <c r="I2342" s="7">
        <f>-H2342/G2342</f>
        <v/>
      </c>
      <c r="J2342" s="11" t="n">
        <v>44715</v>
      </c>
      <c r="K2342" s="6" t="n">
        <v>200</v>
      </c>
      <c r="L2342" s="6" t="n">
        <v>-233.706</v>
      </c>
      <c r="M2342" s="7">
        <f>IF(N2342=0,+L2342+H2342,0)</f>
        <v/>
      </c>
      <c r="N2342" s="7">
        <f>IF((+G2342-K2342)=0,0,+G2342-K2342)</f>
        <v/>
      </c>
      <c r="O2342" s="7">
        <f>IF(N2342=0,0,(L2342+H2342)/-N2342)</f>
        <v/>
      </c>
      <c r="P2342" s="7">
        <f>VLOOKUP(OPERAC[[#This Row],[especie]],[1]!ESPECIES[#All],6,0)</f>
        <v/>
      </c>
      <c r="Q2342" s="7">
        <f>IF(N2342&lt;&gt;0,P2342*N2342,0)</f>
        <v/>
      </c>
      <c r="R2342" s="8">
        <f>IF(Q2342&lt;&gt;0,Q2342+H2342+L2342,0)</f>
        <v/>
      </c>
      <c r="S2342" s="9">
        <f>VLOOKUP(OPERAC[[#This Row],[especie]],[1]!ESPECIES[#Data],9,FALSE)</f>
        <v/>
      </c>
    </row>
    <row r="2343">
      <c r="A2343" s="4" t="n">
        <v>19932</v>
      </c>
      <c r="B2343" s="5" t="n">
        <v>44466</v>
      </c>
      <c r="C2343" s="13" t="inlineStr">
        <is>
          <t>VTA</t>
        </is>
      </c>
      <c r="D2343" s="13" t="n">
        <v>43</v>
      </c>
      <c r="E2343" s="10">
        <f>IF(D2343&gt;0,VLOOKUP(OPERAC[[#This Row],[COD CART]],[1]!MatrizCortoLargoCyl[#All],3,0),"")</f>
        <v/>
      </c>
      <c r="F2343" s="13" t="inlineStr">
        <is>
          <t>SOLO/CYL-PUT/4,00/16-09-22</t>
        </is>
      </c>
      <c r="G2343" s="6" t="n">
        <v>200</v>
      </c>
      <c r="H2343" s="6">
        <f>-594.83454+0.32*OPERAC[[#This Row],[cantidad]]+0.387*OPERAC[[#This Row],[cantidad]]+0.22*OPERAC[[#This Row],[cantidad]]</f>
        <v/>
      </c>
      <c r="I2343" s="7">
        <f>-H2343/G2343</f>
        <v/>
      </c>
      <c r="J2343" s="11" t="n"/>
      <c r="K2343" s="6" t="n"/>
      <c r="L2343" s="6" t="n"/>
      <c r="M2343" s="7">
        <f>IF(N2343=0,+L2343+H2343,0)</f>
        <v/>
      </c>
      <c r="N2343" s="7">
        <f>IF((+G2343-K2343)=0,0,+G2343-K2343)</f>
        <v/>
      </c>
      <c r="O2343" s="7">
        <f>IF(N2343=0,0,(L2343+H2343)/-N2343)</f>
        <v/>
      </c>
      <c r="P2343" s="7">
        <f>VLOOKUP(OPERAC[[#This Row],[especie]],[1]!ESPECIES[#All],6,0)</f>
        <v/>
      </c>
      <c r="Q2343" s="7">
        <f>IF(N2343&lt;&gt;0,P2343*N2343,0)</f>
        <v/>
      </c>
      <c r="R2343" s="8">
        <f>IF(Q2343&lt;&gt;0,Q2343+H2343+L2343,0)</f>
        <v/>
      </c>
      <c r="S2343" s="9">
        <f>VLOOKUP(OPERAC[[#This Row],[especie]],[1]!ESPECIES[#Data],9,FALSE)</f>
        <v/>
      </c>
    </row>
    <row r="2344">
      <c r="A2344" s="4" t="n">
        <v>19934</v>
      </c>
      <c r="B2344" s="5" t="n">
        <v>44466</v>
      </c>
      <c r="C2344" s="13" t="inlineStr">
        <is>
          <t>VTA</t>
        </is>
      </c>
      <c r="D2344" s="13" t="n">
        <v>43</v>
      </c>
      <c r="E2344" s="10">
        <f>IF(D2344&gt;0,VLOOKUP(OPERAC[[#This Row],[COD CART]],[1]!MatrizCortoLargoCyl[#All],3,0),"")</f>
        <v/>
      </c>
      <c r="F2344" s="13" t="inlineStr">
        <is>
          <t>SOLO/CYL-PUT/4,00/16-09-22</t>
        </is>
      </c>
      <c r="G2344" s="6" t="n">
        <v>200</v>
      </c>
      <c r="H2344" s="6">
        <f>-594.83454+0.32*OPERAC[[#This Row],[cantidad]]+0.387*OPERAC[[#This Row],[cantidad]]+0.22*OPERAC[[#This Row],[cantidad]]</f>
        <v/>
      </c>
      <c r="I2344" s="7">
        <f>-H2344/G2344</f>
        <v/>
      </c>
      <c r="J2344" s="11" t="n"/>
      <c r="K2344" s="6" t="n"/>
      <c r="L2344" s="6" t="n"/>
      <c r="M2344" s="7">
        <f>IF(N2344=0,+L2344+H2344,0)</f>
        <v/>
      </c>
      <c r="N2344" s="7">
        <f>IF((+G2344-K2344)=0,0,+G2344-K2344)</f>
        <v/>
      </c>
      <c r="O2344" s="7">
        <f>IF(N2344=0,0,(L2344+H2344)/-N2344)</f>
        <v/>
      </c>
      <c r="P2344" s="7">
        <f>VLOOKUP(OPERAC[[#This Row],[especie]],[1]!ESPECIES[#All],6,0)</f>
        <v/>
      </c>
      <c r="Q2344" s="7">
        <f>IF(N2344&lt;&gt;0,P2344*N2344,0)</f>
        <v/>
      </c>
      <c r="R2344" s="8">
        <f>IF(Q2344&lt;&gt;0,Q2344+H2344+L2344,0)</f>
        <v/>
      </c>
      <c r="S2344" s="9">
        <f>VLOOKUP(OPERAC[[#This Row],[especie]],[1]!ESPECIES[#Data],9,FALSE)</f>
        <v/>
      </c>
    </row>
    <row r="2345">
      <c r="A2345" s="4" t="n">
        <v>26137</v>
      </c>
      <c r="B2345" s="5" t="n">
        <v>44655</v>
      </c>
      <c r="C2345" s="13" t="inlineStr">
        <is>
          <t>VTA</t>
        </is>
      </c>
      <c r="D2345" s="13" t="n">
        <v>42</v>
      </c>
      <c r="E2345" s="10">
        <f>IF(D2345&gt;0,VLOOKUP(OPERAC[[#This Row],[COD CART]],[1]!MatrizCortoLargoCyl[#All],3,0),"")</f>
        <v/>
      </c>
      <c r="F2345" s="13" t="inlineStr">
        <is>
          <t>JPM</t>
        </is>
      </c>
      <c r="G2345" s="6" t="n">
        <v>3</v>
      </c>
      <c r="H2345" s="6" t="n">
        <v>-410.0232159999999</v>
      </c>
      <c r="I2345" s="7">
        <f>-H2345/G2345</f>
        <v/>
      </c>
      <c r="J2345" s="11" t="n">
        <v>44664</v>
      </c>
      <c r="K2345" s="6">
        <f>+OPERAC[[#This Row],[cantidad]]</f>
        <v/>
      </c>
      <c r="L2345" s="6">
        <f>+OPERAC[[#This Row],[cantidad venta]]*125.943</f>
        <v/>
      </c>
      <c r="M2345" s="7">
        <f>IF(N2345=0,+L2345+H2345,0)</f>
        <v/>
      </c>
      <c r="N2345" s="7">
        <f>IF((+G2345-K2345)=0,0,+G2345-K2345)</f>
        <v/>
      </c>
      <c r="O2345" s="7">
        <f>IF(N2345=0,0,(L2345+H2345)/-N2345)</f>
        <v/>
      </c>
      <c r="P2345" s="7">
        <f>VLOOKUP(OPERAC[[#This Row],[especie]],[1]!ESPECIES[#All],6,0)</f>
        <v/>
      </c>
      <c r="Q2345" s="7">
        <f>IF(N2345&lt;&gt;0,P2345*N2345,0)</f>
        <v/>
      </c>
      <c r="R2345" s="8">
        <f>IF(Q2345&lt;&gt;0,Q2345+H2345+L2345,0)</f>
        <v/>
      </c>
      <c r="S2345" s="9">
        <f>VLOOKUP(OPERAC[[#This Row],[especie]],[1]!ESPECIES[#Data],9,FALSE)</f>
        <v/>
      </c>
    </row>
    <row r="2346">
      <c r="A2346" s="4" t="n">
        <v>2279</v>
      </c>
      <c r="B2346" s="5" t="n">
        <v>44656</v>
      </c>
      <c r="C2346" s="13" t="inlineStr">
        <is>
          <t>VTA</t>
        </is>
      </c>
      <c r="D2346" s="13" t="n">
        <v>42</v>
      </c>
      <c r="E2346" s="10">
        <f>IF(D2346&gt;0,VLOOKUP(OPERAC[[#This Row],[COD CART]],[1]!MatrizCortoLargoCyl[#All],3,0),"")</f>
        <v/>
      </c>
      <c r="F2346" s="13" t="inlineStr">
        <is>
          <t>HYDR</t>
        </is>
      </c>
      <c r="G2346" s="6" t="n">
        <v>20</v>
      </c>
      <c r="H2346" s="6" t="n">
        <v>-410.7908</v>
      </c>
      <c r="I2346" s="7">
        <f>-H2346/G2346</f>
        <v/>
      </c>
      <c r="J2346" s="11" t="n">
        <v>44693</v>
      </c>
      <c r="K2346" s="6">
        <f>+OPERAC[[#This Row],[cantidad]]</f>
        <v/>
      </c>
      <c r="L2346" s="6">
        <f>+OPERAC[[#This Row],[cantidad venta]]*11.63</f>
        <v/>
      </c>
      <c r="M2346" s="7">
        <f>IF(N2346=0,+L2346+H2346,0)</f>
        <v/>
      </c>
      <c r="N2346" s="7">
        <f>IF((+G2346-K2346)=0,0,+G2346-K2346)</f>
        <v/>
      </c>
      <c r="O2346" s="7">
        <f>IF(N2346=0,0,(L2346+H2346)/-N2346)</f>
        <v/>
      </c>
      <c r="P2346" s="7">
        <f>VLOOKUP(OPERAC[[#This Row],[especie]],[1]!ESPECIES[#All],6,0)</f>
        <v/>
      </c>
      <c r="Q2346" s="7">
        <f>IF(N2346&lt;&gt;0,P2346*N2346,0)</f>
        <v/>
      </c>
      <c r="R2346" s="8">
        <f>IF(Q2346&lt;&gt;0,Q2346+H2346+L2346,0)</f>
        <v/>
      </c>
      <c r="S2346" s="9">
        <f>VLOOKUP(OPERAC[[#This Row],[especie]],[1]!ESPECIES[#Data],9,FALSE)</f>
        <v/>
      </c>
    </row>
    <row r="2347">
      <c r="A2347" s="4" t="n">
        <v>13253</v>
      </c>
      <c r="B2347" s="5" t="n">
        <v>44616</v>
      </c>
      <c r="C2347" s="13" t="inlineStr">
        <is>
          <t>VTA</t>
        </is>
      </c>
      <c r="D2347" s="13" t="n">
        <v>41</v>
      </c>
      <c r="E2347" s="10">
        <f>IF(D2347&gt;0,VLOOKUP(OPERAC[[#This Row],[COD CART]],[1]!MatrizCortoLargoCyl[#All],3,0),"")</f>
        <v/>
      </c>
      <c r="F2347" s="13" t="inlineStr">
        <is>
          <t>TCNNF</t>
        </is>
      </c>
      <c r="G2347" s="6" t="n">
        <v>20</v>
      </c>
      <c r="H2347" s="6" t="n">
        <v>-411.8608</v>
      </c>
      <c r="I2347" s="7">
        <f>-H2347/G2347</f>
        <v/>
      </c>
      <c r="J2347" s="11" t="n"/>
      <c r="K2347" s="6" t="n"/>
      <c r="L2347" s="6" t="n"/>
      <c r="M2347" s="7">
        <f>IF(N2347=0,+L2347+H2347,0)</f>
        <v/>
      </c>
      <c r="N2347" s="7">
        <f>IF((+G2347-K2347)=0,0,+G2347-K2347)</f>
        <v/>
      </c>
      <c r="O2347" s="7">
        <f>IF(N2347=0,0,(L2347+H2347)/-N2347)</f>
        <v/>
      </c>
      <c r="P2347" s="7">
        <f>VLOOKUP(OPERAC[[#This Row],[especie]],[1]!ESPECIES[#All],6,0)</f>
        <v/>
      </c>
      <c r="Q2347" s="7">
        <f>IF(N2347&lt;&gt;0,P2347*N2347,0)</f>
        <v/>
      </c>
      <c r="R2347" s="8">
        <f>IF(Q2347&lt;&gt;0,Q2347+H2347+L2347,0)</f>
        <v/>
      </c>
      <c r="S2347" s="9">
        <f>VLOOKUP(OPERAC[[#This Row],[especie]],[1]!ESPECIES[#Data],9,FALSE)</f>
        <v/>
      </c>
    </row>
    <row r="2348">
      <c r="A2348" s="4" t="n">
        <v>3820</v>
      </c>
      <c r="B2348" s="5" t="n">
        <v>44523</v>
      </c>
      <c r="C2348" s="13" t="inlineStr">
        <is>
          <t>VTA</t>
        </is>
      </c>
      <c r="D2348" s="13" t="n">
        <v>32</v>
      </c>
      <c r="E2348" s="10">
        <f>IF(D2348&gt;0,VLOOKUP(OPERAC[[#This Row],[COD CART]],[1]!MatrizCortoLargoCyl[#All],3,0),"")</f>
        <v/>
      </c>
      <c r="F2348" s="13" t="inlineStr">
        <is>
          <t>GMBL/CYL/5,00/18-02-22</t>
        </is>
      </c>
      <c r="G2348" s="6" t="n">
        <v>100</v>
      </c>
      <c r="H2348" s="6" t="n">
        <v>-411.931</v>
      </c>
      <c r="I2348" s="7">
        <f>-H2348/G2348</f>
        <v/>
      </c>
      <c r="J2348" s="11" t="n">
        <v>44595</v>
      </c>
      <c r="K2348" s="6" t="n">
        <v>100</v>
      </c>
      <c r="L2348" s="6" t="n">
        <v>271.79</v>
      </c>
      <c r="M2348" s="7">
        <f>IF(N2348=0,+L2348+H2348,0)</f>
        <v/>
      </c>
      <c r="N2348" s="7">
        <f>IF((+G2348-K2348)=0,0,+G2348-K2348)</f>
        <v/>
      </c>
      <c r="O2348" s="7">
        <f>IF(N2348=0,0,(L2348+H2348)/-N2348)</f>
        <v/>
      </c>
      <c r="P2348" s="7">
        <f>VLOOKUP(OPERAC[[#This Row],[especie]],[1]!ESPECIES[#All],6,0)</f>
        <v/>
      </c>
      <c r="Q2348" s="7">
        <f>IF(N2348&lt;&gt;0,P2348*N2348,0)</f>
        <v/>
      </c>
      <c r="R2348" s="8">
        <f>IF(Q2348&lt;&gt;0,Q2348+H2348+L2348,0)</f>
        <v/>
      </c>
      <c r="S2348" s="9">
        <f>VLOOKUP(OPERAC[[#This Row],[especie]],[1]!ESPECIES[#Data],9,FALSE)</f>
        <v/>
      </c>
    </row>
    <row r="2349">
      <c r="A2349" s="4" t="n">
        <v>12619</v>
      </c>
      <c r="B2349" s="5" t="n">
        <v>44523</v>
      </c>
      <c r="C2349" s="13" t="inlineStr">
        <is>
          <t>VTA</t>
        </is>
      </c>
      <c r="D2349" s="13" t="n">
        <v>32</v>
      </c>
      <c r="E2349" s="10">
        <f>IF(D2349&gt;0,VLOOKUP(OPERAC[[#This Row],[COD CART]],[1]!MatrizCortoLargoCyl[#All],3,0),"")</f>
        <v/>
      </c>
      <c r="F2349" s="13" t="inlineStr">
        <is>
          <t>GMBL/CYL/5,00/18-02-22</t>
        </is>
      </c>
      <c r="G2349" s="6" t="n">
        <v>100</v>
      </c>
      <c r="H2349" s="6" t="n">
        <v>-411.931</v>
      </c>
      <c r="I2349" s="7">
        <f>-H2349/G2349</f>
        <v/>
      </c>
      <c r="J2349" s="11" t="n">
        <v>44595</v>
      </c>
      <c r="K2349" s="6" t="n">
        <v>100</v>
      </c>
      <c r="L2349" s="6" t="n">
        <v>274.766</v>
      </c>
      <c r="M2349" s="7">
        <f>IF(N2349=0,+L2349+H2349,0)</f>
        <v/>
      </c>
      <c r="N2349" s="7">
        <f>IF((+G2349-K2349)=0,0,+G2349-K2349)</f>
        <v/>
      </c>
      <c r="O2349" s="7">
        <f>IF(N2349=0,0,(L2349+H2349)/-N2349)</f>
        <v/>
      </c>
      <c r="P2349" s="7">
        <f>VLOOKUP(OPERAC[[#This Row],[especie]],[1]!ESPECIES[#All],6,0)</f>
        <v/>
      </c>
      <c r="Q2349" s="7">
        <f>IF(N2349&lt;&gt;0,P2349*N2349,0)</f>
        <v/>
      </c>
      <c r="R2349" s="8">
        <f>IF(Q2349&lt;&gt;0,Q2349+H2349+L2349,0)</f>
        <v/>
      </c>
      <c r="S2349" s="9">
        <f>VLOOKUP(OPERAC[[#This Row],[especie]],[1]!ESPECIES[#Data],9,FALSE)</f>
        <v/>
      </c>
    </row>
    <row r="2350">
      <c r="A2350" s="4" t="n">
        <v>7879</v>
      </c>
      <c r="B2350" s="5" t="n">
        <v>44266</v>
      </c>
      <c r="C2350" s="13" t="inlineStr">
        <is>
          <t>VTA</t>
        </is>
      </c>
      <c r="D2350" s="13" t="n">
        <v>41</v>
      </c>
      <c r="E2350" s="10">
        <f>IF(D2350&gt;0,VLOOKUP(OPERAC[[#This Row],[COD CART]],[1]!MatrizCortoLargoCyl[#All],3,0),"")</f>
        <v/>
      </c>
      <c r="F2350" s="13" t="inlineStr">
        <is>
          <t>GBTC</t>
        </is>
      </c>
      <c r="G2350" s="6" t="n">
        <v>8</v>
      </c>
      <c r="H2350" s="6" t="n">
        <v>-412.6672</v>
      </c>
      <c r="I2350" s="7">
        <f>-H2350/G2350</f>
        <v/>
      </c>
      <c r="J2350" s="11" t="n"/>
      <c r="K2350" s="6" t="n"/>
      <c r="L2350" s="6" t="n"/>
      <c r="M2350" s="7">
        <f>IF(N2350=0,+L2350+H2350,0)</f>
        <v/>
      </c>
      <c r="N2350" s="7">
        <f>IF((+G2350-K2350)=0,0,+G2350-K2350)</f>
        <v/>
      </c>
      <c r="O2350" s="7" t="n">
        <v>23.7</v>
      </c>
      <c r="P2350" s="7">
        <f>VLOOKUP(OPERAC[[#This Row],[especie]],[1]!ESPECIES[#All],6,0)</f>
        <v/>
      </c>
      <c r="Q2350" s="7">
        <f>IF(N2350&lt;&gt;0,P2350*N2350,0)</f>
        <v/>
      </c>
      <c r="R2350" s="8">
        <f>IF(Q2350&lt;&gt;0,Q2350+H2350+L2350,0)</f>
        <v/>
      </c>
      <c r="S2350" s="9">
        <f>VLOOKUP(OPERAC[[#This Row],[especie]],[1]!ESPECIES[#Data],9,FALSE)</f>
        <v/>
      </c>
    </row>
    <row r="2351">
      <c r="A2351" s="4" t="n">
        <v>19934</v>
      </c>
      <c r="B2351" s="5" t="n">
        <v>44722</v>
      </c>
      <c r="C2351" s="13" t="inlineStr">
        <is>
          <t>VTA</t>
        </is>
      </c>
      <c r="D2351" s="13" t="n">
        <v>40</v>
      </c>
      <c r="E2351" s="10">
        <f>IF(D2351&gt;0,VLOOKUP(OPERAC[[#This Row],[COD CART]],[1]!MatrizCortoLargoCyl[#All],3,0),"")</f>
        <v/>
      </c>
      <c r="F2351" s="13" t="inlineStr">
        <is>
          <t>BIOX</t>
        </is>
      </c>
      <c r="G2351" s="6" t="n">
        <v>30</v>
      </c>
      <c r="H2351" s="6" t="n">
        <v>-412.956546</v>
      </c>
      <c r="I2351" s="7">
        <f>-H2351/G2351</f>
        <v/>
      </c>
      <c r="J2351" s="5" t="n"/>
      <c r="K2351" s="6" t="n"/>
      <c r="L2351" s="6" t="n"/>
      <c r="M2351" s="7">
        <f>IF(N2351=0,+L2351+H2351,0)</f>
        <v/>
      </c>
      <c r="N2351" s="7">
        <f>IF((+G2351-K2351)=0,0,+G2351-K2351)</f>
        <v/>
      </c>
      <c r="O2351" s="7">
        <f>IF(N2351=0,0,(L2351+H2351)/-N2351)</f>
        <v/>
      </c>
      <c r="P2351" s="7">
        <f>VLOOKUP(OPERAC[[#This Row],[especie]],[1]!ESPECIES[#All],6,0)</f>
        <v/>
      </c>
      <c r="Q2351" s="7">
        <f>IF(N2351&lt;&gt;0,P2351*N2351,0)</f>
        <v/>
      </c>
      <c r="R2351" s="8">
        <f>IF(Q2351&lt;&gt;0,Q2351+H2351+L2351,0)</f>
        <v/>
      </c>
      <c r="S2351" s="9">
        <f>VLOOKUP(OPERAC[[#This Row],[especie]],[1]!ESPECIES[#Data],9,FALSE)</f>
        <v/>
      </c>
    </row>
    <row r="2352">
      <c r="A2352" s="4" t="n">
        <v>2194</v>
      </c>
      <c r="B2352" s="5" t="n">
        <v>44011</v>
      </c>
      <c r="C2352" s="13" t="inlineStr">
        <is>
          <t>VTA</t>
        </is>
      </c>
      <c r="D2352" s="13" t="n">
        <v>31</v>
      </c>
      <c r="E2352" s="10">
        <f>IF(D2352&gt;0,VLOOKUP(OPERAC[[#This Row],[COD CART]],[1]!MatrizCortoLargoCyl[#All],3,0),"")</f>
        <v/>
      </c>
      <c r="F2352" s="13" t="inlineStr">
        <is>
          <t>BBAR</t>
        </is>
      </c>
      <c r="G2352" s="6" t="n">
        <v>100</v>
      </c>
      <c r="H2352" s="6" t="n">
        <v>-413.9999999999999</v>
      </c>
      <c r="I2352" s="7">
        <f>-H2352/G2352</f>
        <v/>
      </c>
      <c r="J2352" s="5" t="n">
        <v>44686</v>
      </c>
      <c r="K2352" s="6" t="n">
        <v>100</v>
      </c>
      <c r="L2352" s="6" t="n">
        <v>298.44</v>
      </c>
      <c r="M2352" s="7">
        <f>IF(N2352=0,+L2352+H2352,0)</f>
        <v/>
      </c>
      <c r="N2352" s="7">
        <f>IF((+G2352-K2352)=0,0,+G2352-K2352)</f>
        <v/>
      </c>
      <c r="O2352" s="7">
        <f>IF(N2352=0,0,(L2352+H2352)/-N2352)</f>
        <v/>
      </c>
      <c r="P2352" s="7">
        <f>VLOOKUP(OPERAC[[#This Row],[especie]],[1]!ESPECIES[#All],6,0)</f>
        <v/>
      </c>
      <c r="Q2352" s="7">
        <f>IF(N2352&lt;&gt;0,P2352*N2352,0)</f>
        <v/>
      </c>
      <c r="R2352" s="8">
        <f>IF(Q2352&lt;&gt;0,Q2352+H2352+L2352,0)</f>
        <v/>
      </c>
      <c r="S2352" s="9">
        <f>VLOOKUP(OPERAC[[#This Row],[especie]],[1]!ESPECIES[#Data],9,FALSE)</f>
        <v/>
      </c>
    </row>
    <row r="2353">
      <c r="A2353" s="4" t="n">
        <v>16824</v>
      </c>
      <c r="B2353" s="5" t="n">
        <v>44637</v>
      </c>
      <c r="C2353" s="13" t="inlineStr">
        <is>
          <t>VTA</t>
        </is>
      </c>
      <c r="D2353" s="13" t="n">
        <v>43</v>
      </c>
      <c r="E2353" s="10">
        <f>IF(D2353&gt;0,VLOOKUP(OPERAC[[#This Row],[COD CART]],[1]!MatrizCortoLargoCyl[#All],3,0),"")</f>
        <v/>
      </c>
      <c r="F2353" s="13" t="inlineStr">
        <is>
          <t>GMBL/CYL-PUT/1,00/20-01-23</t>
        </is>
      </c>
      <c r="G2353" s="6" t="n">
        <v>2000</v>
      </c>
      <c r="H2353" s="6" t="n">
        <v>-415.6635199999999</v>
      </c>
      <c r="I2353" s="7">
        <f>-H2353/G2353</f>
        <v/>
      </c>
      <c r="J2353" s="11" t="n"/>
      <c r="K2353" s="6" t="n"/>
      <c r="L2353" s="6" t="n"/>
      <c r="M2353" s="7">
        <f>IF(N2353=0,+L2353+H2353,0)</f>
        <v/>
      </c>
      <c r="N2353" s="7">
        <f>IF((+G2353-K2353)=0,0,+G2353-K2353)</f>
        <v/>
      </c>
      <c r="O2353" s="7">
        <f>IF(N2353=0,0,(L2353+H2353)/-N2353)</f>
        <v/>
      </c>
      <c r="P2353" s="7">
        <f>VLOOKUP(OPERAC[[#This Row],[especie]],[1]!ESPECIES[#All],6,0)</f>
        <v/>
      </c>
      <c r="Q2353" s="7">
        <f>IF(N2353&lt;&gt;0,P2353*N2353,0)</f>
        <v/>
      </c>
      <c r="R2353" s="8">
        <f>IF(Q2353&lt;&gt;0,Q2353+H2353+L2353,0)</f>
        <v/>
      </c>
      <c r="S2353" s="9">
        <f>VLOOKUP(OPERAC[[#This Row],[especie]],[1]!ESPECIES[#Data],9,FALSE)</f>
        <v/>
      </c>
    </row>
    <row r="2354">
      <c r="A2354" s="4" t="n">
        <v>7493</v>
      </c>
      <c r="B2354" s="5" t="n">
        <v>44537</v>
      </c>
      <c r="C2354" s="13" t="inlineStr">
        <is>
          <t>VTA</t>
        </is>
      </c>
      <c r="D2354" s="13" t="n">
        <v>43</v>
      </c>
      <c r="E2354" s="10">
        <f>IF(D2354&gt;0,VLOOKUP(OPERAC[[#This Row],[COD CART]],[1]!MatrizCortoLargoCyl[#All],3,0),"")</f>
        <v/>
      </c>
      <c r="F2354" s="13" t="inlineStr">
        <is>
          <t>XSPA/CYL-PUT/1,50/20-01-23</t>
        </is>
      </c>
      <c r="G2354" s="6" t="n">
        <v>800</v>
      </c>
      <c r="H2354" s="6">
        <f>-0.52*OPERAC[[#This Row],[cantidad]]</f>
        <v/>
      </c>
      <c r="I2354" s="7">
        <f>-H2354/G2354</f>
        <v/>
      </c>
      <c r="J2354" s="11" t="n">
        <v>44712</v>
      </c>
      <c r="K2354" s="6" t="n">
        <v>800</v>
      </c>
      <c r="L2354" s="6" t="n">
        <v>476.42</v>
      </c>
      <c r="M2354" s="7">
        <f>IF(N2354=0,+L2354+H2354,0)</f>
        <v/>
      </c>
      <c r="N2354" s="7">
        <f>IF((+G2354-K2354)=0,0,+G2354-K2354)</f>
        <v/>
      </c>
      <c r="O2354" s="7">
        <f>IF(N2354=0,0,(L2354+H2354)/-N2354)</f>
        <v/>
      </c>
      <c r="P2354" s="7">
        <f>VLOOKUP(OPERAC[[#This Row],[especie]],[1]!ESPECIES[#All],6,0)</f>
        <v/>
      </c>
      <c r="Q2354" s="7">
        <f>IF(N2354&lt;&gt;0,P2354*N2354,0)</f>
        <v/>
      </c>
      <c r="R2354" s="8">
        <f>IF(Q2354&lt;&gt;0,Q2354+H2354+L2354,0)</f>
        <v/>
      </c>
      <c r="S2354" s="9">
        <f>VLOOKUP(OPERAC[[#This Row],[especie]],[1]!ESPECIES[#Data],9,FALSE)</f>
        <v/>
      </c>
    </row>
    <row r="2355">
      <c r="A2355" s="4" t="n">
        <v>18663</v>
      </c>
      <c r="B2355" s="5" t="n">
        <v>44720</v>
      </c>
      <c r="C2355" s="13" t="inlineStr">
        <is>
          <t>VTA</t>
        </is>
      </c>
      <c r="D2355" s="13" t="n">
        <v>41</v>
      </c>
      <c r="E2355" s="10">
        <f>IF(D2355&gt;0,VLOOKUP(OPERAC[[#This Row],[COD CART]],[1]!MatrizCortoLargoCyl[#All],3,0),"")</f>
        <v/>
      </c>
      <c r="F2355" s="13" t="inlineStr">
        <is>
          <t>INTC</t>
        </is>
      </c>
      <c r="G2355" s="6" t="n">
        <v>10</v>
      </c>
      <c r="H2355" s="6" t="n">
        <v>-416.81305</v>
      </c>
      <c r="I2355" s="7">
        <f>-H2355/G2355</f>
        <v/>
      </c>
      <c r="J2355" s="5" t="n"/>
      <c r="K2355" s="6" t="n"/>
      <c r="L2355" s="6" t="n"/>
      <c r="M2355" s="7">
        <f>IF(N2355=0,+L2355+H2355,0)</f>
        <v/>
      </c>
      <c r="N2355" s="7">
        <f>IF((+G2355-K2355)=0,0,+G2355-K2355)</f>
        <v/>
      </c>
      <c r="O2355" s="7">
        <f>IF(N2355=0,0,(L2355+H2355)/-N2355)</f>
        <v/>
      </c>
      <c r="P2355" s="7">
        <f>VLOOKUP(OPERAC[[#This Row],[especie]],[1]!ESPECIES[#All],6,0)</f>
        <v/>
      </c>
      <c r="Q2355" s="7">
        <f>IF(N2355&lt;&gt;0,P2355*N2355,0)</f>
        <v/>
      </c>
      <c r="R2355" s="8">
        <f>IF(Q2355&lt;&gt;0,Q2355+H2355+L2355,0)</f>
        <v/>
      </c>
      <c r="S2355" s="9">
        <f>VLOOKUP(OPERAC[[#This Row],[especie]],[1]!ESPECIES[#Data],9,FALSE)</f>
        <v/>
      </c>
    </row>
    <row r="2356">
      <c r="A2356" s="4" t="n">
        <v>13185</v>
      </c>
      <c r="B2356" s="5" t="n">
        <v>44536</v>
      </c>
      <c r="C2356" s="13" t="inlineStr">
        <is>
          <t>VTA</t>
        </is>
      </c>
      <c r="D2356" s="13" t="n">
        <v>43</v>
      </c>
      <c r="E2356" s="10">
        <f>IF(D2356&gt;0,VLOOKUP(OPERAC[[#This Row],[COD CART]],[1]!MatrizCortoLargoCyl[#All],3,0),"")</f>
        <v/>
      </c>
      <c r="F2356" s="13" t="inlineStr">
        <is>
          <t>HEXO/CYL-PUT/1,00/20-01-23</t>
        </is>
      </c>
      <c r="G2356" s="6" t="n">
        <v>2500</v>
      </c>
      <c r="H2356" s="6">
        <f>-0.1671*OPERAC[[#This Row],[cantidad]]</f>
        <v/>
      </c>
      <c r="I2356" s="7">
        <f>-H2356/G2356</f>
        <v/>
      </c>
      <c r="J2356" s="11" t="n"/>
      <c r="K2356" s="6" t="n"/>
      <c r="L2356" s="6" t="n"/>
      <c r="M2356" s="7">
        <f>IF(N2356=0,+L2356+H2356,0)</f>
        <v/>
      </c>
      <c r="N2356" s="7">
        <f>IF((+G2356-K2356)=0,0,+G2356-K2356)</f>
        <v/>
      </c>
      <c r="O2356" s="7">
        <f>IF(N2356=0,0,(L2356+H2356)/-N2356)</f>
        <v/>
      </c>
      <c r="P2356" s="7">
        <f>VLOOKUP(OPERAC[[#This Row],[especie]],[1]!ESPECIES[#All],6,0)</f>
        <v/>
      </c>
      <c r="Q2356" s="7">
        <f>IF(N2356&lt;&gt;0,P2356*N2356,0)</f>
        <v/>
      </c>
      <c r="R2356" s="8">
        <f>IF(Q2356&lt;&gt;0,Q2356+H2356+L2356,0)</f>
        <v/>
      </c>
      <c r="S2356" s="9">
        <f>VLOOKUP(OPERAC[[#This Row],[especie]],[1]!ESPECIES[#Data],9,FALSE)</f>
        <v/>
      </c>
    </row>
    <row r="2357">
      <c r="A2357" s="4" t="n">
        <v>21070</v>
      </c>
      <c r="B2357" s="5" t="n">
        <v>44641</v>
      </c>
      <c r="C2357" s="13" t="inlineStr">
        <is>
          <t>VTA</t>
        </is>
      </c>
      <c r="D2357" s="13" t="n">
        <v>42</v>
      </c>
      <c r="E2357" s="10">
        <f>IF(D2357&gt;0,VLOOKUP(OPERAC[[#This Row],[COD CART]],[1]!MatrizCortoLargoCyl[#All],3,0),"")</f>
        <v/>
      </c>
      <c r="F2357" s="13" t="inlineStr">
        <is>
          <t>DIS</t>
        </is>
      </c>
      <c r="G2357" s="6" t="n">
        <v>3</v>
      </c>
      <c r="H2357" s="6" t="n">
        <v>-417.8136000000001</v>
      </c>
      <c r="I2357" s="7">
        <f>-H2357/G2357</f>
        <v/>
      </c>
      <c r="J2357" s="11" t="n">
        <v>44645</v>
      </c>
      <c r="K2357" s="6" t="n">
        <v>3</v>
      </c>
      <c r="L2357" s="6" t="n">
        <v>411.384</v>
      </c>
      <c r="M2357" s="7">
        <f>IF(N2357=0,+L2357+H2357,0)</f>
        <v/>
      </c>
      <c r="N2357" s="7">
        <f>IF((+G2357-K2357)=0,0,+G2357-K2357)</f>
        <v/>
      </c>
      <c r="O2357" s="7">
        <f>IF(N2357=0,0,(L2357+H2357)/-N2357)</f>
        <v/>
      </c>
      <c r="P2357" s="7">
        <f>VLOOKUP(OPERAC[[#This Row],[especie]],[1]!ESPECIES[#All],6,0)</f>
        <v/>
      </c>
      <c r="Q2357" s="7">
        <f>IF(N2357&lt;&gt;0,P2357*N2357,0)</f>
        <v/>
      </c>
      <c r="R2357" s="8">
        <f>IF(Q2357&lt;&gt;0,Q2357+H2357+L2357,0)</f>
        <v/>
      </c>
      <c r="S2357" s="9">
        <f>VLOOKUP(OPERAC[[#This Row],[especie]],[1]!ESPECIES[#Data],9,FALSE)</f>
        <v/>
      </c>
    </row>
    <row r="2358">
      <c r="A2358" s="4" t="n">
        <v>13253</v>
      </c>
      <c r="B2358" s="5" t="n">
        <v>44432</v>
      </c>
      <c r="C2358" s="13" t="inlineStr">
        <is>
          <t>VTA</t>
        </is>
      </c>
      <c r="D2358" s="13" t="n">
        <v>41</v>
      </c>
      <c r="E2358" s="10">
        <f>IF(D2358&gt;0,VLOOKUP(OPERAC[[#This Row],[COD CART]],[1]!MatrizCortoLargoCyl[#All],3,0),"")</f>
        <v/>
      </c>
      <c r="F2358" s="13" t="inlineStr">
        <is>
          <t>TCNNF</t>
        </is>
      </c>
      <c r="G2358" s="6" t="n">
        <v>15</v>
      </c>
      <c r="H2358" s="6" t="n">
        <v>-418.614</v>
      </c>
      <c r="I2358" s="7">
        <f>-H2358/G2358</f>
        <v/>
      </c>
      <c r="J2358" s="11" t="n"/>
      <c r="K2358" s="6" t="n"/>
      <c r="L2358" s="6" t="n"/>
      <c r="M2358" s="7">
        <f>IF(N2358=0,+L2358+H2358,0)</f>
        <v/>
      </c>
      <c r="N2358" s="7">
        <f>IF((+G2358-K2358)=0,0,+G2358-K2358)</f>
        <v/>
      </c>
      <c r="O2358" s="7">
        <f>IF(N2358=0,0,(L2358+H2358)/-N2358)</f>
        <v/>
      </c>
      <c r="P2358" s="7">
        <f>VLOOKUP(OPERAC[[#This Row],[especie]],[1]!ESPECIES[#All],6,0)</f>
        <v/>
      </c>
      <c r="Q2358" s="7">
        <f>IF(N2358&lt;&gt;0,P2358*N2358,0)</f>
        <v/>
      </c>
      <c r="R2358" s="8">
        <f>IF(Q2358&lt;&gt;0,Q2358+H2358+L2358,0)</f>
        <v/>
      </c>
      <c r="S2358" s="9">
        <f>VLOOKUP(OPERAC[[#This Row],[especie]],[1]!ESPECIES[#Data],9,FALSE)</f>
        <v/>
      </c>
    </row>
    <row r="2359">
      <c r="A2359" s="4" t="n">
        <v>12671</v>
      </c>
      <c r="B2359" s="5" t="n">
        <v>44494</v>
      </c>
      <c r="C2359" s="13" t="inlineStr">
        <is>
          <t>VTA</t>
        </is>
      </c>
      <c r="D2359" s="13" t="n">
        <v>40</v>
      </c>
      <c r="E2359" s="10">
        <f>IF(D2359&gt;0,VLOOKUP(OPERAC[[#This Row],[COD CART]],[1]!MatrizCortoLargoCyl[#All],3,0),"")</f>
        <v/>
      </c>
      <c r="F2359" s="13" t="inlineStr">
        <is>
          <t>YPF</t>
        </is>
      </c>
      <c r="G2359" s="6" t="n">
        <v>90</v>
      </c>
      <c r="H2359" s="6" t="n">
        <v>-418.7448</v>
      </c>
      <c r="I2359" s="7">
        <f>-H2359/G2359</f>
        <v/>
      </c>
      <c r="J2359" s="11" t="n">
        <v>44606</v>
      </c>
      <c r="K2359" s="6">
        <f>+OPERAC[[#This Row],[cantidad]]</f>
        <v/>
      </c>
      <c r="L2359" s="6">
        <f>+OPERAC[[#This Row],[cantidad venta]]*4.161</f>
        <v/>
      </c>
      <c r="M2359" s="7">
        <f>IF(N2359=0,+L2359+H2359,0)</f>
        <v/>
      </c>
      <c r="N2359" s="7">
        <f>IF((+G2359-K2359)=0,0,+G2359-K2359)</f>
        <v/>
      </c>
      <c r="O2359" s="7">
        <f>IF(N2359=0,0,(L2359+H2359)/-N2359)</f>
        <v/>
      </c>
      <c r="P2359" s="7">
        <f>VLOOKUP(OPERAC[[#This Row],[especie]],[1]!ESPECIES[#All],6,0)</f>
        <v/>
      </c>
      <c r="Q2359" s="7">
        <f>IF(N2359&lt;&gt;0,P2359*N2359,0)</f>
        <v/>
      </c>
      <c r="R2359" s="8">
        <f>IF(Q2359&lt;&gt;0,Q2359+H2359+L2359,0)</f>
        <v/>
      </c>
      <c r="S2359" s="9">
        <f>VLOOKUP(OPERAC[[#This Row],[especie]],[1]!ESPECIES[#Data],9,FALSE)</f>
        <v/>
      </c>
    </row>
    <row r="2360">
      <c r="A2360" s="4" t="n">
        <v>19920</v>
      </c>
      <c r="B2360" s="5" t="n">
        <v>44494</v>
      </c>
      <c r="C2360" s="13" t="inlineStr">
        <is>
          <t>VTA</t>
        </is>
      </c>
      <c r="D2360" s="13" t="n">
        <v>40</v>
      </c>
      <c r="E2360" s="10">
        <f>IF(D2360&gt;0,VLOOKUP(OPERAC[[#This Row],[COD CART]],[1]!MatrizCortoLargoCyl[#All],3,0),"")</f>
        <v/>
      </c>
      <c r="F2360" s="13" t="inlineStr">
        <is>
          <t>YPF</t>
        </is>
      </c>
      <c r="G2360" s="6" t="n">
        <v>90</v>
      </c>
      <c r="H2360" s="6" t="n">
        <v>-418.7448</v>
      </c>
      <c r="I2360" s="7">
        <f>-H2360/G2360</f>
        <v/>
      </c>
      <c r="J2360" s="11" t="n">
        <v>44606</v>
      </c>
      <c r="K2360" s="6">
        <f>+OPERAC[[#This Row],[cantidad]]</f>
        <v/>
      </c>
      <c r="L2360" s="6">
        <f>+OPERAC[[#This Row],[cantidad venta]]*4.161</f>
        <v/>
      </c>
      <c r="M2360" s="7">
        <f>IF(N2360=0,+L2360+H2360,0)</f>
        <v/>
      </c>
      <c r="N2360" s="7">
        <f>IF((+G2360-K2360)=0,0,+G2360-K2360)</f>
        <v/>
      </c>
      <c r="O2360" s="7">
        <f>IF(N2360=0,0,(L2360+H2360)/-N2360)</f>
        <v/>
      </c>
      <c r="P2360" s="7">
        <f>VLOOKUP(OPERAC[[#This Row],[especie]],[1]!ESPECIES[#All],6,0)</f>
        <v/>
      </c>
      <c r="Q2360" s="7">
        <f>IF(N2360&lt;&gt;0,P2360*N2360,0)</f>
        <v/>
      </c>
      <c r="R2360" s="8">
        <f>IF(Q2360&lt;&gt;0,Q2360+H2360+L2360,0)</f>
        <v/>
      </c>
      <c r="S2360" s="9">
        <f>VLOOKUP(OPERAC[[#This Row],[especie]],[1]!ESPECIES[#Data],9,FALSE)</f>
        <v/>
      </c>
    </row>
    <row r="2361">
      <c r="A2361" s="4" t="n">
        <v>20234</v>
      </c>
      <c r="B2361" s="5" t="n">
        <v>44494</v>
      </c>
      <c r="C2361" s="13" t="inlineStr">
        <is>
          <t>VTA</t>
        </is>
      </c>
      <c r="D2361" s="13" t="n">
        <v>40</v>
      </c>
      <c r="E2361" s="10">
        <f>IF(D2361&gt;0,VLOOKUP(OPERAC[[#This Row],[COD CART]],[1]!MatrizCortoLargoCyl[#All],3,0),"")</f>
        <v/>
      </c>
      <c r="F2361" s="13" t="inlineStr">
        <is>
          <t>YPF</t>
        </is>
      </c>
      <c r="G2361" s="6" t="n">
        <v>90</v>
      </c>
      <c r="H2361" s="6" t="n">
        <v>-418.7448</v>
      </c>
      <c r="I2361" s="7">
        <f>-H2361/G2361</f>
        <v/>
      </c>
      <c r="J2361" s="11" t="n">
        <v>44606</v>
      </c>
      <c r="K2361" s="6">
        <f>+OPERAC[[#This Row],[cantidad]]</f>
        <v/>
      </c>
      <c r="L2361" s="6">
        <f>+OPERAC[[#This Row],[cantidad venta]]*4.161</f>
        <v/>
      </c>
      <c r="M2361" s="7">
        <f>IF(N2361=0,+L2361+H2361,0)</f>
        <v/>
      </c>
      <c r="N2361" s="7">
        <f>IF((+G2361-K2361)=0,0,+G2361-K2361)</f>
        <v/>
      </c>
      <c r="O2361" s="7">
        <f>IF(N2361=0,0,(L2361+H2361)/-N2361)</f>
        <v/>
      </c>
      <c r="P2361" s="7">
        <f>VLOOKUP(OPERAC[[#This Row],[especie]],[1]!ESPECIES[#All],6,0)</f>
        <v/>
      </c>
      <c r="Q2361" s="7">
        <f>IF(N2361&lt;&gt;0,P2361*N2361,0)</f>
        <v/>
      </c>
      <c r="R2361" s="8">
        <f>IF(Q2361&lt;&gt;0,Q2361+H2361+L2361,0)</f>
        <v/>
      </c>
      <c r="S2361" s="9">
        <f>VLOOKUP(OPERAC[[#This Row],[especie]],[1]!ESPECIES[#Data],9,FALSE)</f>
        <v/>
      </c>
    </row>
    <row r="2362">
      <c r="A2362" s="4" t="n">
        <v>2203</v>
      </c>
      <c r="B2362" s="5" t="n">
        <v>44645</v>
      </c>
      <c r="C2362" s="13" t="inlineStr">
        <is>
          <t>VTA</t>
        </is>
      </c>
      <c r="D2362" s="13" t="n">
        <v>42</v>
      </c>
      <c r="E2362" s="10">
        <f>IF(D2362&gt;0,VLOOKUP(OPERAC[[#This Row],[COD CART]],[1]!MatrizCortoLargoCyl[#All],3,0),"")</f>
        <v/>
      </c>
      <c r="F2362" s="13" t="inlineStr">
        <is>
          <t>PLUG</t>
        </is>
      </c>
      <c r="G2362" s="6" t="n">
        <v>15</v>
      </c>
      <c r="H2362" s="6" t="n">
        <v>-418.9746</v>
      </c>
      <c r="I2362" s="7">
        <f>-H2362/G2362</f>
        <v/>
      </c>
      <c r="J2362" s="11" t="n">
        <v>44652</v>
      </c>
      <c r="K2362" s="6">
        <f>+OPERAC[[#This Row],[cantidad]]</f>
        <v/>
      </c>
      <c r="L2362" s="6">
        <f>+OPERAC[[#This Row],[cantidad venta]]*27.754</f>
        <v/>
      </c>
      <c r="M2362" s="7">
        <f>IF(N2362=0,+L2362+H2362,0)</f>
        <v/>
      </c>
      <c r="N2362" s="7">
        <f>IF((+G2362-K2362)=0,0,+G2362-K2362)</f>
        <v/>
      </c>
      <c r="O2362" s="7">
        <f>IF(N2362=0,0,(L2362+H2362)/-N2362)</f>
        <v/>
      </c>
      <c r="P2362" s="7">
        <f>VLOOKUP(OPERAC[[#This Row],[especie]],[1]!ESPECIES[#All],6,0)</f>
        <v/>
      </c>
      <c r="Q2362" s="7">
        <f>IF(N2362&lt;&gt;0,P2362*N2362,0)</f>
        <v/>
      </c>
      <c r="R2362" s="8">
        <f>IF(Q2362&lt;&gt;0,Q2362+H2362+L2362,0)</f>
        <v/>
      </c>
      <c r="S2362" s="9">
        <f>VLOOKUP(OPERAC[[#This Row],[especie]],[1]!ESPECIES[#Data],9,FALSE)</f>
        <v/>
      </c>
    </row>
    <row r="2363">
      <c r="A2363" s="4" t="n">
        <v>16783</v>
      </c>
      <c r="B2363" s="5" t="n">
        <v>44641</v>
      </c>
      <c r="C2363" s="13" t="inlineStr">
        <is>
          <t>VTA</t>
        </is>
      </c>
      <c r="D2363" s="13" t="n">
        <v>42</v>
      </c>
      <c r="E2363" s="10">
        <f>IF(D2363&gt;0,VLOOKUP(OPERAC[[#This Row],[COD CART]],[1]!MatrizCortoLargoCyl[#All],3,0),"")</f>
        <v/>
      </c>
      <c r="F2363" s="13" t="inlineStr">
        <is>
          <t>JPM</t>
        </is>
      </c>
      <c r="G2363" s="6" t="n">
        <v>3</v>
      </c>
      <c r="H2363" s="6" t="n">
        <v>-419.69106</v>
      </c>
      <c r="I2363" s="7">
        <f>-H2363/G2363</f>
        <v/>
      </c>
      <c r="J2363" s="11" t="n">
        <v>44664</v>
      </c>
      <c r="K2363" s="6">
        <f>+OPERAC[[#This Row],[cantidad]]</f>
        <v/>
      </c>
      <c r="L2363" s="6">
        <f>+OPERAC[[#This Row],[cantidad venta]]*125.943</f>
        <v/>
      </c>
      <c r="M2363" s="7">
        <f>IF(N2363=0,+L2363+H2363,0)</f>
        <v/>
      </c>
      <c r="N2363" s="7">
        <f>IF((+G2363-K2363)=0,0,+G2363-K2363)</f>
        <v/>
      </c>
      <c r="O2363" s="7">
        <f>IF(N2363=0,0,(L2363+H2363)/-N2363)</f>
        <v/>
      </c>
      <c r="P2363" s="7">
        <f>VLOOKUP(OPERAC[[#This Row],[especie]],[1]!ESPECIES[#All],6,0)</f>
        <v/>
      </c>
      <c r="Q2363" s="7">
        <f>IF(N2363&lt;&gt;0,P2363*N2363,0)</f>
        <v/>
      </c>
      <c r="R2363" s="8">
        <f>IF(Q2363&lt;&gt;0,Q2363+H2363+L2363,0)</f>
        <v/>
      </c>
      <c r="S2363" s="9">
        <f>VLOOKUP(OPERAC[[#This Row],[especie]],[1]!ESPECIES[#Data],9,FALSE)</f>
        <v/>
      </c>
    </row>
    <row r="2364">
      <c r="A2364" s="4" t="n">
        <v>7493</v>
      </c>
      <c r="B2364" s="5" t="n">
        <v>44655</v>
      </c>
      <c r="C2364" s="13" t="inlineStr">
        <is>
          <t>VTA</t>
        </is>
      </c>
      <c r="D2364" s="13" t="n">
        <v>42</v>
      </c>
      <c r="E2364" s="10">
        <f>IF(D2364&gt;0,VLOOKUP(OPERAC[[#This Row],[COD CART]],[1]!MatrizCortoLargoCyl[#All],3,0),"")</f>
        <v/>
      </c>
      <c r="F2364" s="13" t="inlineStr">
        <is>
          <t>DIS</t>
        </is>
      </c>
      <c r="G2364" s="6" t="n">
        <v>3</v>
      </c>
      <c r="H2364" s="6" t="n">
        <v>-420.27312</v>
      </c>
      <c r="I2364" s="7">
        <f>-H2364/G2364</f>
        <v/>
      </c>
      <c r="J2364" s="11" t="n">
        <v>44671</v>
      </c>
      <c r="K2364" s="6">
        <f>+OPERAC[[#This Row],[cantidad]]</f>
        <v/>
      </c>
      <c r="L2364" s="6">
        <f>+OPERAC[[#This Row],[cantidad venta]]*123.621</f>
        <v/>
      </c>
      <c r="M2364" s="7">
        <f>IF(N2364=0,+L2364+H2364,0)</f>
        <v/>
      </c>
      <c r="N2364" s="7">
        <f>IF((+G2364-K2364)=0,0,+G2364-K2364)</f>
        <v/>
      </c>
      <c r="O2364" s="7">
        <f>IF(N2364=0,0,(L2364+H2364)/-N2364)</f>
        <v/>
      </c>
      <c r="P2364" s="7">
        <f>VLOOKUP(OPERAC[[#This Row],[especie]],[1]!ESPECIES[#All],6,0)</f>
        <v/>
      </c>
      <c r="Q2364" s="7">
        <f>IF(N2364&lt;&gt;0,P2364*N2364,0)</f>
        <v/>
      </c>
      <c r="R2364" s="8">
        <f>IF(Q2364&lt;&gt;0,Q2364+H2364+L2364,0)</f>
        <v/>
      </c>
      <c r="S2364" s="9">
        <f>VLOOKUP(OPERAC[[#This Row],[especie]],[1]!ESPECIES[#Data],9,FALSE)</f>
        <v/>
      </c>
    </row>
    <row r="2365">
      <c r="A2365" s="4" t="n">
        <v>10079</v>
      </c>
      <c r="B2365" s="5" t="n">
        <v>44648</v>
      </c>
      <c r="C2365" s="13" t="inlineStr">
        <is>
          <t>VTA</t>
        </is>
      </c>
      <c r="D2365" s="13" t="n">
        <v>42</v>
      </c>
      <c r="E2365" s="10">
        <f>IF(D2365&gt;0,VLOOKUP(OPERAC[[#This Row],[COD CART]],[1]!MatrizCortoLargoCyl[#All],3,0),"")</f>
        <v/>
      </c>
      <c r="F2365" s="13" t="inlineStr">
        <is>
          <t>JPM</t>
        </is>
      </c>
      <c r="G2365" s="6" t="n">
        <v>3</v>
      </c>
      <c r="H2365" s="6" t="n">
        <v>-420.39144</v>
      </c>
      <c r="I2365" s="7">
        <f>-H2365/G2365</f>
        <v/>
      </c>
      <c r="J2365" s="11" t="n">
        <v>44664</v>
      </c>
      <c r="K2365" s="6">
        <f>+OPERAC[[#This Row],[cantidad]]</f>
        <v/>
      </c>
      <c r="L2365" s="6">
        <f>+OPERAC[[#This Row],[cantidad venta]]*125.943</f>
        <v/>
      </c>
      <c r="M2365" s="7">
        <f>IF(N2365=0,+L2365+H2365,0)</f>
        <v/>
      </c>
      <c r="N2365" s="7">
        <f>IF((+G2365-K2365)=0,0,+G2365-K2365)</f>
        <v/>
      </c>
      <c r="O2365" s="7">
        <f>IF(N2365=0,0,(L2365+H2365)/-N2365)</f>
        <v/>
      </c>
      <c r="P2365" s="7">
        <f>VLOOKUP(OPERAC[[#This Row],[especie]],[1]!ESPECIES[#All],6,0)</f>
        <v/>
      </c>
      <c r="Q2365" s="7">
        <f>IF(N2365&lt;&gt;0,P2365*N2365,0)</f>
        <v/>
      </c>
      <c r="R2365" s="8">
        <f>IF(Q2365&lt;&gt;0,Q2365+H2365+L2365,0)</f>
        <v/>
      </c>
      <c r="S2365" s="9">
        <f>VLOOKUP(OPERAC[[#This Row],[especie]],[1]!ESPECIES[#Data],9,FALSE)</f>
        <v/>
      </c>
    </row>
    <row r="2366">
      <c r="A2366" s="4" t="n">
        <v>3820</v>
      </c>
      <c r="B2366" s="5" t="n">
        <v>44641</v>
      </c>
      <c r="C2366" s="13" t="inlineStr">
        <is>
          <t>VTA</t>
        </is>
      </c>
      <c r="D2366" s="13" t="n">
        <v>42</v>
      </c>
      <c r="E2366" s="10">
        <f>IF(D2366&gt;0,VLOOKUP(OPERAC[[#This Row],[COD CART]],[1]!MatrizCortoLargoCyl[#All],3,0),"")</f>
        <v/>
      </c>
      <c r="F2366" s="13" t="inlineStr">
        <is>
          <t>JPM</t>
        </is>
      </c>
      <c r="G2366" s="6" t="n">
        <v>3</v>
      </c>
      <c r="H2366" s="6" t="n">
        <v>-420.5270400000001</v>
      </c>
      <c r="I2366" s="7">
        <f>-H2366/G2366</f>
        <v/>
      </c>
      <c r="J2366" s="11" t="n">
        <v>44664</v>
      </c>
      <c r="K2366" s="6">
        <f>+OPERAC[[#This Row],[cantidad]]</f>
        <v/>
      </c>
      <c r="L2366" s="6">
        <f>+OPERAC[[#This Row],[cantidad venta]]*125.943</f>
        <v/>
      </c>
      <c r="M2366" s="7">
        <f>IF(N2366=0,+L2366+H2366,0)</f>
        <v/>
      </c>
      <c r="N2366" s="7">
        <f>IF((+G2366-K2366)=0,0,+G2366-K2366)</f>
        <v/>
      </c>
      <c r="O2366" s="7">
        <f>IF(N2366=0,0,(L2366+H2366)/-N2366)</f>
        <v/>
      </c>
      <c r="P2366" s="7">
        <f>VLOOKUP(OPERAC[[#This Row],[especie]],[1]!ESPECIES[#All],6,0)</f>
        <v/>
      </c>
      <c r="Q2366" s="7">
        <f>IF(N2366&lt;&gt;0,P2366*N2366,0)</f>
        <v/>
      </c>
      <c r="R2366" s="8">
        <f>IF(Q2366&lt;&gt;0,Q2366+H2366+L2366,0)</f>
        <v/>
      </c>
      <c r="S2366" s="9">
        <f>VLOOKUP(OPERAC[[#This Row],[especie]],[1]!ESPECIES[#Data],9,FALSE)</f>
        <v/>
      </c>
    </row>
    <row r="2367">
      <c r="A2367" s="4" t="n">
        <v>2255</v>
      </c>
      <c r="B2367" s="5" t="n">
        <v>44628</v>
      </c>
      <c r="C2367" s="13" t="inlineStr">
        <is>
          <t>VTA</t>
        </is>
      </c>
      <c r="D2367" s="13" t="n">
        <v>40</v>
      </c>
      <c r="E2367" s="10">
        <f>IF(D2367&gt;0,VLOOKUP(OPERAC[[#This Row],[COD CART]],[1]!MatrizCortoLargoCyl[#All],3,0),"")</f>
        <v/>
      </c>
      <c r="F2367" s="13" t="inlineStr">
        <is>
          <t>CVV</t>
        </is>
      </c>
      <c r="G2367" s="6" t="n">
        <v>100</v>
      </c>
      <c r="H2367" s="6" t="n">
        <v>-420.7744</v>
      </c>
      <c r="I2367" s="7">
        <f>-H2367/G2367</f>
        <v/>
      </c>
      <c r="J2367" s="11" t="n">
        <v>44649</v>
      </c>
      <c r="K2367" s="6" t="n">
        <v>100</v>
      </c>
      <c r="L2367" s="6" t="n">
        <v>447.685</v>
      </c>
      <c r="M2367" s="7">
        <f>IF(N2367=0,+L2367+H2367,0)</f>
        <v/>
      </c>
      <c r="N2367" s="7">
        <f>IF((+G2367-K2367)=0,0,+G2367-K2367)</f>
        <v/>
      </c>
      <c r="O2367" s="7">
        <f>IF(N2367=0,0,(L2367+H2367)/-N2367)</f>
        <v/>
      </c>
      <c r="P2367" s="7">
        <f>VLOOKUP(OPERAC[[#This Row],[especie]],[1]!ESPECIES[#All],6,0)</f>
        <v/>
      </c>
      <c r="Q2367" s="7">
        <f>IF(N2367&lt;&gt;0,P2367*N2367,0)</f>
        <v/>
      </c>
      <c r="R2367" s="8">
        <f>IF(Q2367&lt;&gt;0,Q2367+H2367+L2367,0)</f>
        <v/>
      </c>
      <c r="S2367" s="9">
        <f>VLOOKUP(OPERAC[[#This Row],[especie]],[1]!ESPECIES[#Data],9,FALSE)</f>
        <v/>
      </c>
    </row>
    <row r="2368">
      <c r="A2368" s="4" t="n">
        <v>2276</v>
      </c>
      <c r="B2368" s="5" t="n">
        <v>44337</v>
      </c>
      <c r="C2368" s="13" t="inlineStr">
        <is>
          <t>VTA</t>
        </is>
      </c>
      <c r="D2368" s="13" t="n">
        <v>41</v>
      </c>
      <c r="E2368" s="10">
        <f>IF(D2368&gt;0,VLOOKUP(OPERAC[[#This Row],[COD CART]],[1]!MatrizCortoLargoCyl[#All],3,0),"")</f>
        <v/>
      </c>
      <c r="F2368" s="13" t="inlineStr">
        <is>
          <t>SPY</t>
        </is>
      </c>
      <c r="G2368" s="6" t="n">
        <v>1</v>
      </c>
      <c r="H2368" s="6" t="n">
        <v>-420.98824</v>
      </c>
      <c r="I2368" s="7">
        <f>-H2368/G2368</f>
        <v/>
      </c>
      <c r="J2368" s="11" t="n"/>
      <c r="K2368" s="6" t="n"/>
      <c r="L2368" s="6" t="n"/>
      <c r="M2368" s="7">
        <f>IF(N2368=0,+L2368+H2368,0)</f>
        <v/>
      </c>
      <c r="N2368" s="7">
        <f>IF((+G2368-K2368)=0,0,+G2368-K2368)</f>
        <v/>
      </c>
      <c r="O2368" s="7">
        <f>IF(N2368=0,0,(L2368+H2368)/-N2368)</f>
        <v/>
      </c>
      <c r="P2368" s="7">
        <f>VLOOKUP(OPERAC[[#This Row],[especie]],[1]!ESPECIES[#All],6,0)</f>
        <v/>
      </c>
      <c r="Q2368" s="7">
        <f>IF(N2368&lt;&gt;0,P2368*N2368,0)</f>
        <v/>
      </c>
      <c r="R2368" s="8">
        <f>IF(Q2368&lt;&gt;0,Q2368+H2368+L2368,0)</f>
        <v/>
      </c>
      <c r="S2368" s="9">
        <f>VLOOKUP(OPERAC[[#This Row],[especie]],[1]!ESPECIES[#Data],9,FALSE)</f>
        <v/>
      </c>
    </row>
    <row r="2369">
      <c r="A2369" s="4" t="n">
        <v>18677</v>
      </c>
      <c r="B2369" s="5" t="n">
        <v>44643</v>
      </c>
      <c r="C2369" s="13" t="inlineStr">
        <is>
          <t>VTA</t>
        </is>
      </c>
      <c r="D2369" s="13" t="n">
        <v>42</v>
      </c>
      <c r="E2369" s="10">
        <f>IF(D2369&gt;0,VLOOKUP(OPERAC[[#This Row],[COD CART]],[1]!MatrizCortoLargoCyl[#All],3,0),"")</f>
        <v/>
      </c>
      <c r="F2369" s="13" t="inlineStr">
        <is>
          <t>ADBE</t>
        </is>
      </c>
      <c r="G2369" s="6" t="n">
        <v>1</v>
      </c>
      <c r="H2369" s="6" t="n">
        <v>-421.054775</v>
      </c>
      <c r="I2369" s="7">
        <f>-H2369/G2369</f>
        <v/>
      </c>
      <c r="J2369" s="11" t="n">
        <v>44687</v>
      </c>
      <c r="K2369" s="6">
        <f>+OPERAC[[#This Row],[cantidad]]</f>
        <v/>
      </c>
      <c r="L2369" s="6" t="n">
        <v>386.42</v>
      </c>
      <c r="M2369" s="7">
        <f>IF(N2369=0,+L2369+H2369,0)</f>
        <v/>
      </c>
      <c r="N2369" s="7">
        <f>IF((+G2369-K2369)=0,0,+G2369-K2369)</f>
        <v/>
      </c>
      <c r="O2369" s="7">
        <f>IF(N2369=0,0,(L2369+H2369)/-N2369)</f>
        <v/>
      </c>
      <c r="P2369" s="7">
        <f>VLOOKUP(OPERAC[[#This Row],[especie]],[1]!ESPECIES[#All],6,0)</f>
        <v/>
      </c>
      <c r="Q2369" s="7">
        <f>IF(N2369&lt;&gt;0,P2369*N2369,0)</f>
        <v/>
      </c>
      <c r="R2369" s="8">
        <f>IF(Q2369&lt;&gt;0,Q2369+H2369+L2369,0)</f>
        <v/>
      </c>
      <c r="S2369" s="9">
        <f>VLOOKUP(OPERAC[[#This Row],[especie]],[1]!ESPECIES[#Data],9,FALSE)</f>
        <v/>
      </c>
    </row>
    <row r="2370">
      <c r="A2370" s="4" t="n">
        <v>25070</v>
      </c>
      <c r="B2370" s="5" t="n">
        <v>44643</v>
      </c>
      <c r="C2370" s="13" t="inlineStr">
        <is>
          <t>VTA</t>
        </is>
      </c>
      <c r="D2370" s="13" t="n">
        <v>42</v>
      </c>
      <c r="E2370" s="10">
        <f>IF(D2370&gt;0,VLOOKUP(OPERAC[[#This Row],[COD CART]],[1]!MatrizCortoLargoCyl[#All],3,0),"")</f>
        <v/>
      </c>
      <c r="F2370" s="13" t="inlineStr">
        <is>
          <t>ADBE</t>
        </is>
      </c>
      <c r="G2370" s="6" t="n">
        <v>1</v>
      </c>
      <c r="H2370" s="6" t="n">
        <v>-421.054775</v>
      </c>
      <c r="I2370" s="7">
        <f>-H2370/G2370</f>
        <v/>
      </c>
      <c r="J2370" s="11" t="n">
        <v>44687</v>
      </c>
      <c r="K2370" s="6">
        <f>+OPERAC[[#This Row],[cantidad]]</f>
        <v/>
      </c>
      <c r="L2370" s="6" t="n">
        <v>386.42</v>
      </c>
      <c r="M2370" s="7">
        <f>IF(N2370=0,+L2370+H2370,0)</f>
        <v/>
      </c>
      <c r="N2370" s="7">
        <f>IF((+G2370-K2370)=0,0,+G2370-K2370)</f>
        <v/>
      </c>
      <c r="O2370" s="7">
        <f>IF(N2370=0,0,(L2370+H2370)/-N2370)</f>
        <v/>
      </c>
      <c r="P2370" s="7">
        <f>VLOOKUP(OPERAC[[#This Row],[especie]],[1]!ESPECIES[#All],6,0)</f>
        <v/>
      </c>
      <c r="Q2370" s="7">
        <f>IF(N2370&lt;&gt;0,P2370*N2370,0)</f>
        <v/>
      </c>
      <c r="R2370" s="8">
        <f>IF(Q2370&lt;&gt;0,Q2370+H2370+L2370,0)</f>
        <v/>
      </c>
      <c r="S2370" s="9">
        <f>VLOOKUP(OPERAC[[#This Row],[especie]],[1]!ESPECIES[#Data],9,FALSE)</f>
        <v/>
      </c>
    </row>
    <row r="2371">
      <c r="A2371" s="4" t="n">
        <v>1807</v>
      </c>
      <c r="B2371" s="5" t="n">
        <v>44641</v>
      </c>
      <c r="C2371" s="13" t="inlineStr">
        <is>
          <t>VTA</t>
        </is>
      </c>
      <c r="D2371" s="13" t="n">
        <v>42</v>
      </c>
      <c r="E2371" s="10">
        <f>IF(D2371&gt;0,VLOOKUP(OPERAC[[#This Row],[COD CART]],[1]!MatrizCortoLargoCyl[#All],3,0),"")</f>
        <v/>
      </c>
      <c r="F2371" s="13" t="inlineStr">
        <is>
          <t>JPM</t>
        </is>
      </c>
      <c r="G2371" s="6" t="n">
        <v>3</v>
      </c>
      <c r="H2371" s="6" t="n">
        <v>-421.3630200000001</v>
      </c>
      <c r="I2371" s="7">
        <f>-H2371/G2371</f>
        <v/>
      </c>
      <c r="J2371" s="11" t="n">
        <v>44664</v>
      </c>
      <c r="K2371" s="6">
        <f>+OPERAC[[#This Row],[cantidad]]</f>
        <v/>
      </c>
      <c r="L2371" s="6">
        <f>+OPERAC[[#This Row],[cantidad venta]]*125.943</f>
        <v/>
      </c>
      <c r="M2371" s="7">
        <f>IF(N2371=0,+L2371+H2371,0)</f>
        <v/>
      </c>
      <c r="N2371" s="7">
        <f>IF((+G2371-K2371)=0,0,+G2371-K2371)</f>
        <v/>
      </c>
      <c r="O2371" s="7">
        <f>IF(N2371=0,0,(L2371+H2371)/-N2371)</f>
        <v/>
      </c>
      <c r="P2371" s="7">
        <f>VLOOKUP(OPERAC[[#This Row],[especie]],[1]!ESPECIES[#All],6,0)</f>
        <v/>
      </c>
      <c r="Q2371" s="7">
        <f>IF(N2371&lt;&gt;0,P2371*N2371,0)</f>
        <v/>
      </c>
      <c r="R2371" s="8">
        <f>IF(Q2371&lt;&gt;0,Q2371+H2371+L2371,0)</f>
        <v/>
      </c>
      <c r="S2371" s="9">
        <f>VLOOKUP(OPERAC[[#This Row],[especie]],[1]!ESPECIES[#Data],9,FALSE)</f>
        <v/>
      </c>
    </row>
    <row r="2372">
      <c r="A2372" s="4" t="n">
        <v>3823</v>
      </c>
      <c r="B2372" s="5" t="n">
        <v>44641</v>
      </c>
      <c r="C2372" s="13" t="inlineStr">
        <is>
          <t>VTA</t>
        </is>
      </c>
      <c r="D2372" s="13" t="n">
        <v>42</v>
      </c>
      <c r="E2372" s="10">
        <f>IF(D2372&gt;0,VLOOKUP(OPERAC[[#This Row],[COD CART]],[1]!MatrizCortoLargoCyl[#All],3,0),"")</f>
        <v/>
      </c>
      <c r="F2372" s="13" t="inlineStr">
        <is>
          <t>JPM</t>
        </is>
      </c>
      <c r="G2372" s="6" t="n">
        <v>3</v>
      </c>
      <c r="H2372" s="6" t="n">
        <v>-421.3630200000001</v>
      </c>
      <c r="I2372" s="7">
        <f>-H2372/G2372</f>
        <v/>
      </c>
      <c r="J2372" s="11" t="n">
        <v>44664</v>
      </c>
      <c r="K2372" s="6">
        <f>+OPERAC[[#This Row],[cantidad]]</f>
        <v/>
      </c>
      <c r="L2372" s="6">
        <f>+OPERAC[[#This Row],[cantidad venta]]*125.943</f>
        <v/>
      </c>
      <c r="M2372" s="7">
        <f>IF(N2372=0,+L2372+H2372,0)</f>
        <v/>
      </c>
      <c r="N2372" s="7">
        <f>IF((+G2372-K2372)=0,0,+G2372-K2372)</f>
        <v/>
      </c>
      <c r="O2372" s="7">
        <f>IF(N2372=0,0,(L2372+H2372)/-N2372)</f>
        <v/>
      </c>
      <c r="P2372" s="7">
        <f>VLOOKUP(OPERAC[[#This Row],[especie]],[1]!ESPECIES[#All],6,0)</f>
        <v/>
      </c>
      <c r="Q2372" s="7">
        <f>IF(N2372&lt;&gt;0,P2372*N2372,0)</f>
        <v/>
      </c>
      <c r="R2372" s="8">
        <f>IF(Q2372&lt;&gt;0,Q2372+H2372+L2372,0)</f>
        <v/>
      </c>
      <c r="S2372" s="9">
        <f>VLOOKUP(OPERAC[[#This Row],[especie]],[1]!ESPECIES[#Data],9,FALSE)</f>
        <v/>
      </c>
    </row>
    <row r="2373">
      <c r="A2373" s="4" t="n">
        <v>7867</v>
      </c>
      <c r="B2373" s="5" t="n">
        <v>44641</v>
      </c>
      <c r="C2373" s="13" t="inlineStr">
        <is>
          <t>VTA</t>
        </is>
      </c>
      <c r="D2373" s="13" t="n">
        <v>42</v>
      </c>
      <c r="E2373" s="10">
        <f>IF(D2373&gt;0,VLOOKUP(OPERAC[[#This Row],[COD CART]],[1]!MatrizCortoLargoCyl[#All],3,0),"")</f>
        <v/>
      </c>
      <c r="F2373" s="13" t="inlineStr">
        <is>
          <t>JPM</t>
        </is>
      </c>
      <c r="G2373" s="6" t="n">
        <v>3</v>
      </c>
      <c r="H2373" s="6" t="n">
        <v>-421.3630200000001</v>
      </c>
      <c r="I2373" s="7">
        <f>-H2373/G2373</f>
        <v/>
      </c>
      <c r="J2373" s="11" t="n">
        <v>44664</v>
      </c>
      <c r="K2373" s="6">
        <f>+OPERAC[[#This Row],[cantidad]]</f>
        <v/>
      </c>
      <c r="L2373" s="6">
        <f>+OPERAC[[#This Row],[cantidad venta]]*125.943</f>
        <v/>
      </c>
      <c r="M2373" s="7">
        <f>IF(N2373=0,+L2373+H2373,0)</f>
        <v/>
      </c>
      <c r="N2373" s="7">
        <f>IF((+G2373-K2373)=0,0,+G2373-K2373)</f>
        <v/>
      </c>
      <c r="O2373" s="7">
        <f>IF(N2373=0,0,(L2373+H2373)/-N2373)</f>
        <v/>
      </c>
      <c r="P2373" s="7">
        <f>VLOOKUP(OPERAC[[#This Row],[especie]],[1]!ESPECIES[#All],6,0)</f>
        <v/>
      </c>
      <c r="Q2373" s="7">
        <f>IF(N2373&lt;&gt;0,P2373*N2373,0)</f>
        <v/>
      </c>
      <c r="R2373" s="8">
        <f>IF(Q2373&lt;&gt;0,Q2373+H2373+L2373,0)</f>
        <v/>
      </c>
      <c r="S2373" s="9">
        <f>VLOOKUP(OPERAC[[#This Row],[especie]],[1]!ESPECIES[#Data],9,FALSE)</f>
        <v/>
      </c>
    </row>
    <row r="2374">
      <c r="A2374" s="4" t="n">
        <v>7895</v>
      </c>
      <c r="B2374" s="5" t="n">
        <v>44641</v>
      </c>
      <c r="C2374" s="13" t="inlineStr">
        <is>
          <t>VTA</t>
        </is>
      </c>
      <c r="D2374" s="13" t="n">
        <v>42</v>
      </c>
      <c r="E2374" s="10">
        <f>IF(D2374&gt;0,VLOOKUP(OPERAC[[#This Row],[COD CART]],[1]!MatrizCortoLargoCyl[#All],3,0),"")</f>
        <v/>
      </c>
      <c r="F2374" s="13" t="inlineStr">
        <is>
          <t>JPM</t>
        </is>
      </c>
      <c r="G2374" s="6" t="n">
        <v>3</v>
      </c>
      <c r="H2374" s="6" t="n">
        <v>-421.3630200000001</v>
      </c>
      <c r="I2374" s="7">
        <f>-H2374/G2374</f>
        <v/>
      </c>
      <c r="J2374" s="11" t="n">
        <v>44664</v>
      </c>
      <c r="K2374" s="6">
        <f>+OPERAC[[#This Row],[cantidad]]</f>
        <v/>
      </c>
      <c r="L2374" s="6">
        <f>+OPERAC[[#This Row],[cantidad venta]]*125.943</f>
        <v/>
      </c>
      <c r="M2374" s="7">
        <f>IF(N2374=0,+L2374+H2374,0)</f>
        <v/>
      </c>
      <c r="N2374" s="7">
        <f>IF((+G2374-K2374)=0,0,+G2374-K2374)</f>
        <v/>
      </c>
      <c r="O2374" s="7">
        <f>IF(N2374=0,0,(L2374+H2374)/-N2374)</f>
        <v/>
      </c>
      <c r="P2374" s="7">
        <f>VLOOKUP(OPERAC[[#This Row],[especie]],[1]!ESPECIES[#All],6,0)</f>
        <v/>
      </c>
      <c r="Q2374" s="7">
        <f>IF(N2374&lt;&gt;0,P2374*N2374,0)</f>
        <v/>
      </c>
      <c r="R2374" s="8">
        <f>IF(Q2374&lt;&gt;0,Q2374+H2374+L2374,0)</f>
        <v/>
      </c>
      <c r="S2374" s="9">
        <f>VLOOKUP(OPERAC[[#This Row],[especie]],[1]!ESPECIES[#Data],9,FALSE)</f>
        <v/>
      </c>
    </row>
    <row r="2375">
      <c r="A2375" s="4" t="n">
        <v>11168</v>
      </c>
      <c r="B2375" s="5" t="n">
        <v>44641</v>
      </c>
      <c r="C2375" s="13" t="inlineStr">
        <is>
          <t>VTA</t>
        </is>
      </c>
      <c r="D2375" s="13" t="n">
        <v>42</v>
      </c>
      <c r="E2375" s="10">
        <f>IF(D2375&gt;0,VLOOKUP(OPERAC[[#This Row],[COD CART]],[1]!MatrizCortoLargoCyl[#All],3,0),"")</f>
        <v/>
      </c>
      <c r="F2375" s="13" t="inlineStr">
        <is>
          <t>JPM</t>
        </is>
      </c>
      <c r="G2375" s="6" t="n">
        <v>3</v>
      </c>
      <c r="H2375" s="6" t="n">
        <v>-421.3630200000001</v>
      </c>
      <c r="I2375" s="7">
        <f>-H2375/G2375</f>
        <v/>
      </c>
      <c r="J2375" s="11" t="n">
        <v>44664</v>
      </c>
      <c r="K2375" s="6">
        <f>+OPERAC[[#This Row],[cantidad]]</f>
        <v/>
      </c>
      <c r="L2375" s="6">
        <f>+OPERAC[[#This Row],[cantidad venta]]*125.943</f>
        <v/>
      </c>
      <c r="M2375" s="7">
        <f>IF(N2375=0,+L2375+H2375,0)</f>
        <v/>
      </c>
      <c r="N2375" s="7">
        <f>IF((+G2375-K2375)=0,0,+G2375-K2375)</f>
        <v/>
      </c>
      <c r="O2375" s="7">
        <f>IF(N2375=0,0,(L2375+H2375)/-N2375)</f>
        <v/>
      </c>
      <c r="P2375" s="7">
        <f>VLOOKUP(OPERAC[[#This Row],[especie]],[1]!ESPECIES[#All],6,0)</f>
        <v/>
      </c>
      <c r="Q2375" s="7">
        <f>IF(N2375&lt;&gt;0,P2375*N2375,0)</f>
        <v/>
      </c>
      <c r="R2375" s="8">
        <f>IF(Q2375&lt;&gt;0,Q2375+H2375+L2375,0)</f>
        <v/>
      </c>
      <c r="S2375" s="9">
        <f>VLOOKUP(OPERAC[[#This Row],[especie]],[1]!ESPECIES[#Data],9,FALSE)</f>
        <v/>
      </c>
    </row>
    <row r="2376">
      <c r="A2376" s="4" t="n">
        <v>11170</v>
      </c>
      <c r="B2376" s="5" t="n">
        <v>44641</v>
      </c>
      <c r="C2376" s="13" t="inlineStr">
        <is>
          <t>VTA</t>
        </is>
      </c>
      <c r="D2376" s="13" t="n">
        <v>42</v>
      </c>
      <c r="E2376" s="10">
        <f>IF(D2376&gt;0,VLOOKUP(OPERAC[[#This Row],[COD CART]],[1]!MatrizCortoLargoCyl[#All],3,0),"")</f>
        <v/>
      </c>
      <c r="F2376" s="13" t="inlineStr">
        <is>
          <t>JPM</t>
        </is>
      </c>
      <c r="G2376" s="6" t="n">
        <v>3</v>
      </c>
      <c r="H2376" s="6" t="n">
        <v>-421.3630200000001</v>
      </c>
      <c r="I2376" s="7">
        <f>-H2376/G2376</f>
        <v/>
      </c>
      <c r="J2376" s="11" t="n">
        <v>44664</v>
      </c>
      <c r="K2376" s="6">
        <f>+OPERAC[[#This Row],[cantidad]]</f>
        <v/>
      </c>
      <c r="L2376" s="6">
        <f>+OPERAC[[#This Row],[cantidad venta]]*125.943</f>
        <v/>
      </c>
      <c r="M2376" s="7">
        <f>IF(N2376=0,+L2376+H2376,0)</f>
        <v/>
      </c>
      <c r="N2376" s="7">
        <f>IF((+G2376-K2376)=0,0,+G2376-K2376)</f>
        <v/>
      </c>
      <c r="O2376" s="7">
        <f>IF(N2376=0,0,(L2376+H2376)/-N2376)</f>
        <v/>
      </c>
      <c r="P2376" s="7">
        <f>VLOOKUP(OPERAC[[#This Row],[especie]],[1]!ESPECIES[#All],6,0)</f>
        <v/>
      </c>
      <c r="Q2376" s="7">
        <f>IF(N2376&lt;&gt;0,P2376*N2376,0)</f>
        <v/>
      </c>
      <c r="R2376" s="8">
        <f>IF(Q2376&lt;&gt;0,Q2376+H2376+L2376,0)</f>
        <v/>
      </c>
      <c r="S2376" s="9">
        <f>VLOOKUP(OPERAC[[#This Row],[especie]],[1]!ESPECIES[#Data],9,FALSE)</f>
        <v/>
      </c>
    </row>
    <row r="2377">
      <c r="A2377" s="4" t="n">
        <v>12619</v>
      </c>
      <c r="B2377" s="5" t="n">
        <v>44641</v>
      </c>
      <c r="C2377" s="13" t="inlineStr">
        <is>
          <t>VTA</t>
        </is>
      </c>
      <c r="D2377" s="13" t="n">
        <v>42</v>
      </c>
      <c r="E2377" s="10">
        <f>IF(D2377&gt;0,VLOOKUP(OPERAC[[#This Row],[COD CART]],[1]!MatrizCortoLargoCyl[#All],3,0),"")</f>
        <v/>
      </c>
      <c r="F2377" s="13" t="inlineStr">
        <is>
          <t>JPM</t>
        </is>
      </c>
      <c r="G2377" s="6" t="n">
        <v>3</v>
      </c>
      <c r="H2377" s="6" t="n">
        <v>-421.3630200000001</v>
      </c>
      <c r="I2377" s="7">
        <f>-H2377/G2377</f>
        <v/>
      </c>
      <c r="J2377" s="11" t="n">
        <v>44664</v>
      </c>
      <c r="K2377" s="6">
        <f>+OPERAC[[#This Row],[cantidad]]</f>
        <v/>
      </c>
      <c r="L2377" s="6">
        <f>+OPERAC[[#This Row],[cantidad venta]]*125.943</f>
        <v/>
      </c>
      <c r="M2377" s="7">
        <f>IF(N2377=0,+L2377+H2377,0)</f>
        <v/>
      </c>
      <c r="N2377" s="7">
        <f>IF((+G2377-K2377)=0,0,+G2377-K2377)</f>
        <v/>
      </c>
      <c r="O2377" s="7">
        <f>IF(N2377=0,0,(L2377+H2377)/-N2377)</f>
        <v/>
      </c>
      <c r="P2377" s="7">
        <f>VLOOKUP(OPERAC[[#This Row],[especie]],[1]!ESPECIES[#All],6,0)</f>
        <v/>
      </c>
      <c r="Q2377" s="7">
        <f>IF(N2377&lt;&gt;0,P2377*N2377,0)</f>
        <v/>
      </c>
      <c r="R2377" s="8">
        <f>IF(Q2377&lt;&gt;0,Q2377+H2377+L2377,0)</f>
        <v/>
      </c>
      <c r="S2377" s="9">
        <f>VLOOKUP(OPERAC[[#This Row],[especie]],[1]!ESPECIES[#Data],9,FALSE)</f>
        <v/>
      </c>
    </row>
    <row r="2378">
      <c r="A2378" s="4" t="n">
        <v>12662</v>
      </c>
      <c r="B2378" s="5" t="n">
        <v>44641</v>
      </c>
      <c r="C2378" s="13" t="inlineStr">
        <is>
          <t>VTA</t>
        </is>
      </c>
      <c r="D2378" s="13" t="n">
        <v>42</v>
      </c>
      <c r="E2378" s="10">
        <f>IF(D2378&gt;0,VLOOKUP(OPERAC[[#This Row],[COD CART]],[1]!MatrizCortoLargoCyl[#All],3,0),"")</f>
        <v/>
      </c>
      <c r="F2378" s="13" t="inlineStr">
        <is>
          <t>JPM</t>
        </is>
      </c>
      <c r="G2378" s="6" t="n">
        <v>3</v>
      </c>
      <c r="H2378" s="6" t="n">
        <v>-421.3630200000001</v>
      </c>
      <c r="I2378" s="7">
        <f>-H2378/G2378</f>
        <v/>
      </c>
      <c r="J2378" s="11" t="n">
        <v>44664</v>
      </c>
      <c r="K2378" s="6">
        <f>+OPERAC[[#This Row],[cantidad]]</f>
        <v/>
      </c>
      <c r="L2378" s="6">
        <f>+OPERAC[[#This Row],[cantidad venta]]*125.943</f>
        <v/>
      </c>
      <c r="M2378" s="7">
        <f>IF(N2378=0,+L2378+H2378,0)</f>
        <v/>
      </c>
      <c r="N2378" s="7">
        <f>IF((+G2378-K2378)=0,0,+G2378-K2378)</f>
        <v/>
      </c>
      <c r="O2378" s="7">
        <f>IF(N2378=0,0,(L2378+H2378)/-N2378)</f>
        <v/>
      </c>
      <c r="P2378" s="7">
        <f>VLOOKUP(OPERAC[[#This Row],[especie]],[1]!ESPECIES[#All],6,0)</f>
        <v/>
      </c>
      <c r="Q2378" s="7">
        <f>IF(N2378&lt;&gt;0,P2378*N2378,0)</f>
        <v/>
      </c>
      <c r="R2378" s="8">
        <f>IF(Q2378&lt;&gt;0,Q2378+H2378+L2378,0)</f>
        <v/>
      </c>
      <c r="S2378" s="9">
        <f>VLOOKUP(OPERAC[[#This Row],[especie]],[1]!ESPECIES[#Data],9,FALSE)</f>
        <v/>
      </c>
    </row>
    <row r="2379">
      <c r="A2379" s="4" t="n">
        <v>18668</v>
      </c>
      <c r="B2379" s="5" t="n">
        <v>44641</v>
      </c>
      <c r="C2379" s="13" t="inlineStr">
        <is>
          <t>VTA</t>
        </is>
      </c>
      <c r="D2379" s="13" t="n">
        <v>42</v>
      </c>
      <c r="E2379" s="10">
        <f>IF(D2379&gt;0,VLOOKUP(OPERAC[[#This Row],[COD CART]],[1]!MatrizCortoLargoCyl[#All],3,0),"")</f>
        <v/>
      </c>
      <c r="F2379" s="13" t="inlineStr">
        <is>
          <t>JPM</t>
        </is>
      </c>
      <c r="G2379" s="6" t="n">
        <v>3</v>
      </c>
      <c r="H2379" s="6" t="n">
        <v>-421.3630200000001</v>
      </c>
      <c r="I2379" s="7">
        <f>-H2379/G2379</f>
        <v/>
      </c>
      <c r="J2379" s="11" t="n">
        <v>44664</v>
      </c>
      <c r="K2379" s="6">
        <f>+OPERAC[[#This Row],[cantidad]]</f>
        <v/>
      </c>
      <c r="L2379" s="6">
        <f>+OPERAC[[#This Row],[cantidad venta]]*125.943</f>
        <v/>
      </c>
      <c r="M2379" s="7">
        <f>IF(N2379=0,+L2379+H2379,0)</f>
        <v/>
      </c>
      <c r="N2379" s="7">
        <f>IF((+G2379-K2379)=0,0,+G2379-K2379)</f>
        <v/>
      </c>
      <c r="O2379" s="7">
        <f>IF(N2379=0,0,(L2379+H2379)/-N2379)</f>
        <v/>
      </c>
      <c r="P2379" s="7">
        <f>VLOOKUP(OPERAC[[#This Row],[especie]],[1]!ESPECIES[#All],6,0)</f>
        <v/>
      </c>
      <c r="Q2379" s="7">
        <f>IF(N2379&lt;&gt;0,P2379*N2379,0)</f>
        <v/>
      </c>
      <c r="R2379" s="8">
        <f>IF(Q2379&lt;&gt;0,Q2379+H2379+L2379,0)</f>
        <v/>
      </c>
      <c r="S2379" s="9">
        <f>VLOOKUP(OPERAC[[#This Row],[especie]],[1]!ESPECIES[#Data],9,FALSE)</f>
        <v/>
      </c>
    </row>
    <row r="2380">
      <c r="A2380" s="4" t="n">
        <v>19897</v>
      </c>
      <c r="B2380" s="5" t="n">
        <v>44641</v>
      </c>
      <c r="C2380" s="13" t="inlineStr">
        <is>
          <t>VTA</t>
        </is>
      </c>
      <c r="D2380" s="13" t="n">
        <v>42</v>
      </c>
      <c r="E2380" s="10">
        <f>IF(D2380&gt;0,VLOOKUP(OPERAC[[#This Row],[COD CART]],[1]!MatrizCortoLargoCyl[#All],3,0),"")</f>
        <v/>
      </c>
      <c r="F2380" s="13" t="inlineStr">
        <is>
          <t>JPM</t>
        </is>
      </c>
      <c r="G2380" s="6" t="n">
        <v>3</v>
      </c>
      <c r="H2380" s="6" t="n">
        <v>-421.3630200000001</v>
      </c>
      <c r="I2380" s="7">
        <f>-H2380/G2380</f>
        <v/>
      </c>
      <c r="J2380" s="11" t="n">
        <v>44664</v>
      </c>
      <c r="K2380" s="6">
        <f>+OPERAC[[#This Row],[cantidad]]</f>
        <v/>
      </c>
      <c r="L2380" s="6">
        <f>+OPERAC[[#This Row],[cantidad venta]]*125.943</f>
        <v/>
      </c>
      <c r="M2380" s="7">
        <f>IF(N2380=0,+L2380+H2380,0)</f>
        <v/>
      </c>
      <c r="N2380" s="7">
        <f>IF((+G2380-K2380)=0,0,+G2380-K2380)</f>
        <v/>
      </c>
      <c r="O2380" s="7">
        <f>IF(N2380=0,0,(L2380+H2380)/-N2380)</f>
        <v/>
      </c>
      <c r="P2380" s="7">
        <f>VLOOKUP(OPERAC[[#This Row],[especie]],[1]!ESPECIES[#All],6,0)</f>
        <v/>
      </c>
      <c r="Q2380" s="7">
        <f>IF(N2380&lt;&gt;0,P2380*N2380,0)</f>
        <v/>
      </c>
      <c r="R2380" s="8">
        <f>IF(Q2380&lt;&gt;0,Q2380+H2380+L2380,0)</f>
        <v/>
      </c>
      <c r="S2380" s="9">
        <f>VLOOKUP(OPERAC[[#This Row],[especie]],[1]!ESPECIES[#Data],9,FALSE)</f>
        <v/>
      </c>
    </row>
    <row r="2381">
      <c r="A2381" s="4" t="n">
        <v>21070</v>
      </c>
      <c r="B2381" s="5" t="n">
        <v>44641</v>
      </c>
      <c r="C2381" s="13" t="inlineStr">
        <is>
          <t>VTA</t>
        </is>
      </c>
      <c r="D2381" s="13" t="n">
        <v>42</v>
      </c>
      <c r="E2381" s="10">
        <f>IF(D2381&gt;0,VLOOKUP(OPERAC[[#This Row],[COD CART]],[1]!MatrizCortoLargoCyl[#All],3,0),"")</f>
        <v/>
      </c>
      <c r="F2381" s="13" t="inlineStr">
        <is>
          <t>JPM</t>
        </is>
      </c>
      <c r="G2381" s="6" t="n">
        <v>3</v>
      </c>
      <c r="H2381" s="6" t="n">
        <v>-421.3630200000001</v>
      </c>
      <c r="I2381" s="7">
        <f>-H2381/G2381</f>
        <v/>
      </c>
      <c r="J2381" s="11" t="n">
        <v>44664</v>
      </c>
      <c r="K2381" s="6">
        <f>+OPERAC[[#This Row],[cantidad]]</f>
        <v/>
      </c>
      <c r="L2381" s="6">
        <f>+OPERAC[[#This Row],[cantidad venta]]*125.943</f>
        <v/>
      </c>
      <c r="M2381" s="7">
        <f>IF(N2381=0,+L2381+H2381,0)</f>
        <v/>
      </c>
      <c r="N2381" s="7">
        <f>IF((+G2381-K2381)=0,0,+G2381-K2381)</f>
        <v/>
      </c>
      <c r="O2381" s="7">
        <f>IF(N2381=0,0,(L2381+H2381)/-N2381)</f>
        <v/>
      </c>
      <c r="P2381" s="7">
        <f>VLOOKUP(OPERAC[[#This Row],[especie]],[1]!ESPECIES[#All],6,0)</f>
        <v/>
      </c>
      <c r="Q2381" s="7">
        <f>IF(N2381&lt;&gt;0,P2381*N2381,0)</f>
        <v/>
      </c>
      <c r="R2381" s="8">
        <f>IF(Q2381&lt;&gt;0,Q2381+H2381+L2381,0)</f>
        <v/>
      </c>
      <c r="S2381" s="9">
        <f>VLOOKUP(OPERAC[[#This Row],[especie]],[1]!ESPECIES[#Data],9,FALSE)</f>
        <v/>
      </c>
    </row>
    <row r="2382">
      <c r="A2382" s="4" t="n">
        <v>22407</v>
      </c>
      <c r="B2382" s="5" t="n">
        <v>44641</v>
      </c>
      <c r="C2382" s="13" t="inlineStr">
        <is>
          <t>VTA</t>
        </is>
      </c>
      <c r="D2382" s="13" t="n">
        <v>42</v>
      </c>
      <c r="E2382" s="10">
        <f>IF(D2382&gt;0,VLOOKUP(OPERAC[[#This Row],[COD CART]],[1]!MatrizCortoLargoCyl[#All],3,0),"")</f>
        <v/>
      </c>
      <c r="F2382" s="13" t="inlineStr">
        <is>
          <t>JPM</t>
        </is>
      </c>
      <c r="G2382" s="6" t="n">
        <v>3</v>
      </c>
      <c r="H2382" s="6" t="n">
        <v>-421.3630200000001</v>
      </c>
      <c r="I2382" s="7">
        <f>-H2382/G2382</f>
        <v/>
      </c>
      <c r="J2382" s="11" t="n">
        <v>44664</v>
      </c>
      <c r="K2382" s="6">
        <f>+OPERAC[[#This Row],[cantidad]]</f>
        <v/>
      </c>
      <c r="L2382" s="6">
        <f>+OPERAC[[#This Row],[cantidad venta]]*125.943</f>
        <v/>
      </c>
      <c r="M2382" s="7">
        <f>IF(N2382=0,+L2382+H2382,0)</f>
        <v/>
      </c>
      <c r="N2382" s="7">
        <f>IF((+G2382-K2382)=0,0,+G2382-K2382)</f>
        <v/>
      </c>
      <c r="O2382" s="7">
        <f>IF(N2382=0,0,(L2382+H2382)/-N2382)</f>
        <v/>
      </c>
      <c r="P2382" s="7">
        <f>VLOOKUP(OPERAC[[#This Row],[especie]],[1]!ESPECIES[#All],6,0)</f>
        <v/>
      </c>
      <c r="Q2382" s="7">
        <f>IF(N2382&lt;&gt;0,P2382*N2382,0)</f>
        <v/>
      </c>
      <c r="R2382" s="8">
        <f>IF(Q2382&lt;&gt;0,Q2382+H2382+L2382,0)</f>
        <v/>
      </c>
      <c r="S2382" s="9">
        <f>VLOOKUP(OPERAC[[#This Row],[especie]],[1]!ESPECIES[#Data],9,FALSE)</f>
        <v/>
      </c>
    </row>
    <row r="2383">
      <c r="A2383" s="4" t="n">
        <v>22421</v>
      </c>
      <c r="B2383" s="5" t="n">
        <v>44641</v>
      </c>
      <c r="C2383" s="13" t="inlineStr">
        <is>
          <t>VTA</t>
        </is>
      </c>
      <c r="D2383" s="13" t="n">
        <v>42</v>
      </c>
      <c r="E2383" s="10">
        <f>IF(D2383&gt;0,VLOOKUP(OPERAC[[#This Row],[COD CART]],[1]!MatrizCortoLargoCyl[#All],3,0),"")</f>
        <v/>
      </c>
      <c r="F2383" s="13" t="inlineStr">
        <is>
          <t>JPM</t>
        </is>
      </c>
      <c r="G2383" s="6" t="n">
        <v>3</v>
      </c>
      <c r="H2383" s="6" t="n">
        <v>-421.3630200000001</v>
      </c>
      <c r="I2383" s="7">
        <f>-H2383/G2383</f>
        <v/>
      </c>
      <c r="J2383" s="11" t="n">
        <v>44664</v>
      </c>
      <c r="K2383" s="6">
        <f>+OPERAC[[#This Row],[cantidad]]</f>
        <v/>
      </c>
      <c r="L2383" s="6">
        <f>+OPERAC[[#This Row],[cantidad venta]]*125.943</f>
        <v/>
      </c>
      <c r="M2383" s="7">
        <f>IF(N2383=0,+L2383+H2383,0)</f>
        <v/>
      </c>
      <c r="N2383" s="7">
        <f>IF((+G2383-K2383)=0,0,+G2383-K2383)</f>
        <v/>
      </c>
      <c r="O2383" s="7">
        <f>IF(N2383=0,0,(L2383+H2383)/-N2383)</f>
        <v/>
      </c>
      <c r="P2383" s="7">
        <f>VLOOKUP(OPERAC[[#This Row],[especie]],[1]!ESPECIES[#All],6,0)</f>
        <v/>
      </c>
      <c r="Q2383" s="7">
        <f>IF(N2383&lt;&gt;0,P2383*N2383,0)</f>
        <v/>
      </c>
      <c r="R2383" s="8">
        <f>IF(Q2383&lt;&gt;0,Q2383+H2383+L2383,0)</f>
        <v/>
      </c>
      <c r="S2383" s="9">
        <f>VLOOKUP(OPERAC[[#This Row],[especie]],[1]!ESPECIES[#Data],9,FALSE)</f>
        <v/>
      </c>
    </row>
    <row r="2384">
      <c r="A2384" s="4" t="n">
        <v>22433</v>
      </c>
      <c r="B2384" s="5" t="n">
        <v>44641</v>
      </c>
      <c r="C2384" s="13" t="inlineStr">
        <is>
          <t>VTA</t>
        </is>
      </c>
      <c r="D2384" s="13" t="n">
        <v>42</v>
      </c>
      <c r="E2384" s="10">
        <f>IF(D2384&gt;0,VLOOKUP(OPERAC[[#This Row],[COD CART]],[1]!MatrizCortoLargoCyl[#All],3,0),"")</f>
        <v/>
      </c>
      <c r="F2384" s="13" t="inlineStr">
        <is>
          <t>JPM</t>
        </is>
      </c>
      <c r="G2384" s="6" t="n">
        <v>3</v>
      </c>
      <c r="H2384" s="6" t="n">
        <v>-421.3630200000001</v>
      </c>
      <c r="I2384" s="7">
        <f>-H2384/G2384</f>
        <v/>
      </c>
      <c r="J2384" s="11" t="n">
        <v>44664</v>
      </c>
      <c r="K2384" s="6">
        <f>+OPERAC[[#This Row],[cantidad]]</f>
        <v/>
      </c>
      <c r="L2384" s="6">
        <f>+OPERAC[[#This Row],[cantidad venta]]*125.943</f>
        <v/>
      </c>
      <c r="M2384" s="7">
        <f>IF(N2384=0,+L2384+H2384,0)</f>
        <v/>
      </c>
      <c r="N2384" s="7">
        <f>IF((+G2384-K2384)=0,0,+G2384-K2384)</f>
        <v/>
      </c>
      <c r="O2384" s="7">
        <f>IF(N2384=0,0,(L2384+H2384)/-N2384)</f>
        <v/>
      </c>
      <c r="P2384" s="7">
        <f>VLOOKUP(OPERAC[[#This Row],[especie]],[1]!ESPECIES[#All],6,0)</f>
        <v/>
      </c>
      <c r="Q2384" s="7">
        <f>IF(N2384&lt;&gt;0,P2384*N2384,0)</f>
        <v/>
      </c>
      <c r="R2384" s="8">
        <f>IF(Q2384&lt;&gt;0,Q2384+H2384+L2384,0)</f>
        <v/>
      </c>
      <c r="S2384" s="9">
        <f>VLOOKUP(OPERAC[[#This Row],[especie]],[1]!ESPECIES[#Data],9,FALSE)</f>
        <v/>
      </c>
    </row>
    <row r="2385">
      <c r="A2385" s="4" t="n">
        <v>3852</v>
      </c>
      <c r="B2385" s="5" t="n">
        <v>44641</v>
      </c>
      <c r="C2385" s="13" t="inlineStr">
        <is>
          <t>VTA</t>
        </is>
      </c>
      <c r="D2385" s="13" t="n">
        <v>42</v>
      </c>
      <c r="E2385" s="10">
        <f>IF(D2385&gt;0,VLOOKUP(OPERAC[[#This Row],[COD CART]],[1]!MatrizCortoLargoCyl[#All],3,0),"")</f>
        <v/>
      </c>
      <c r="F2385" s="13" t="inlineStr">
        <is>
          <t>FB</t>
        </is>
      </c>
      <c r="G2385" s="6" t="n">
        <v>2</v>
      </c>
      <c r="H2385" s="6" t="n">
        <v>-421.36632</v>
      </c>
      <c r="I2385" s="7">
        <f>-H2385/G2385</f>
        <v/>
      </c>
      <c r="J2385" s="11" t="n">
        <v>44671</v>
      </c>
      <c r="K2385" s="6">
        <f>+OPERAC[[#This Row],[cantidad]]</f>
        <v/>
      </c>
      <c r="L2385" s="6">
        <f>+OPERAC[[#This Row],[cantidad venta]]*213.173</f>
        <v/>
      </c>
      <c r="M2385" s="7">
        <f>IF(N2385=0,+L2385+H2385,0)</f>
        <v/>
      </c>
      <c r="N2385" s="7">
        <f>IF((+G2385-K2385)=0,0,+G2385-K2385)</f>
        <v/>
      </c>
      <c r="O2385" s="7">
        <f>IF(N2385=0,0,(L2385+H2385)/-N2385)</f>
        <v/>
      </c>
      <c r="P2385" s="7">
        <f>VLOOKUP(OPERAC[[#This Row],[especie]],[1]!ESPECIES[#All],6,0)</f>
        <v/>
      </c>
      <c r="Q2385" s="7">
        <f>IF(N2385&lt;&gt;0,P2385*N2385,0)</f>
        <v/>
      </c>
      <c r="R2385" s="8">
        <f>IF(Q2385&lt;&gt;0,Q2385+H2385+L2385,0)</f>
        <v/>
      </c>
      <c r="S2385" s="9">
        <f>VLOOKUP(OPERAC[[#This Row],[especie]],[1]!ESPECIES[#Data],9,FALSE)</f>
        <v/>
      </c>
    </row>
    <row r="2386">
      <c r="A2386" s="4" t="n">
        <v>12671</v>
      </c>
      <c r="B2386" s="5" t="n">
        <v>44628</v>
      </c>
      <c r="C2386" s="13" t="inlineStr">
        <is>
          <t>VTA</t>
        </is>
      </c>
      <c r="D2386" s="13" t="n">
        <v>40</v>
      </c>
      <c r="E2386" s="10">
        <f>IF(D2386&gt;0,VLOOKUP(OPERAC[[#This Row],[COD CART]],[1]!MatrizCortoLargoCyl[#All],3,0),"")</f>
        <v/>
      </c>
      <c r="F2386" s="13" t="inlineStr">
        <is>
          <t>CVV</t>
        </is>
      </c>
      <c r="G2386" s="6" t="n">
        <v>100</v>
      </c>
      <c r="H2386" s="6" t="n">
        <v>-421.6116</v>
      </c>
      <c r="I2386" s="7">
        <f>-H2386/G2386</f>
        <v/>
      </c>
      <c r="J2386" s="11" t="n">
        <v>44649</v>
      </c>
      <c r="K2386" s="6">
        <f>+OPERAC[[#This Row],[cantidad]]</f>
        <v/>
      </c>
      <c r="L2386" s="6">
        <f>+OPERAC[[#This Row],[cantidad venta]]*4.459</f>
        <v/>
      </c>
      <c r="M2386" s="7">
        <f>IF(N2386=0,+L2386+H2386,0)</f>
        <v/>
      </c>
      <c r="N2386" s="7">
        <f>IF((+G2386-K2386)=0,0,+G2386-K2386)</f>
        <v/>
      </c>
      <c r="O2386" s="7">
        <f>IF(N2386=0,0,(L2386+H2386)/-N2386)</f>
        <v/>
      </c>
      <c r="P2386" s="7">
        <f>VLOOKUP(OPERAC[[#This Row],[especie]],[1]!ESPECIES[#All],6,0)</f>
        <v/>
      </c>
      <c r="Q2386" s="7">
        <f>IF(N2386&lt;&gt;0,P2386*N2386,0)</f>
        <v/>
      </c>
      <c r="R2386" s="8">
        <f>IF(Q2386&lt;&gt;0,Q2386+H2386+L2386,0)</f>
        <v/>
      </c>
      <c r="S2386" s="9">
        <f>VLOOKUP(OPERAC[[#This Row],[especie]],[1]!ESPECIES[#Data],9,FALSE)</f>
        <v/>
      </c>
    </row>
    <row r="2387">
      <c r="A2387" s="4" t="n">
        <v>5212</v>
      </c>
      <c r="B2387" s="5" t="n">
        <v>44708</v>
      </c>
      <c r="C2387" s="13" t="inlineStr">
        <is>
          <t>VTA</t>
        </is>
      </c>
      <c r="D2387" s="13" t="n">
        <v>41</v>
      </c>
      <c r="E2387" s="10">
        <f>IF(D2387&gt;0,VLOOKUP(OPERAC[[#This Row],[COD CART]],[1]!MatrizCortoLargoCyl[#All],3,0),"")</f>
        <v/>
      </c>
      <c r="F2387" s="13" t="inlineStr">
        <is>
          <t>LAC</t>
        </is>
      </c>
      <c r="G2387" s="6" t="n">
        <v>15</v>
      </c>
      <c r="H2387" s="6" t="n">
        <v>-421.8740925</v>
      </c>
      <c r="I2387" s="7">
        <f>-H2387/G2387</f>
        <v/>
      </c>
      <c r="J2387" s="5" t="n"/>
      <c r="K2387" s="6" t="n"/>
      <c r="L2387" s="6" t="n"/>
      <c r="M2387" s="7">
        <f>IF(N2387=0,+L2387+H2387,0)</f>
        <v/>
      </c>
      <c r="N2387" s="7">
        <f>IF((+G2387-K2387)=0,0,+G2387-K2387)</f>
        <v/>
      </c>
      <c r="O2387" s="7">
        <f>IF(N2387=0,0,(L2387+H2387)/-N2387)</f>
        <v/>
      </c>
      <c r="P2387" s="7">
        <f>VLOOKUP(OPERAC[[#This Row],[especie]],[1]!ESPECIES[#All],6,0)</f>
        <v/>
      </c>
      <c r="Q2387" s="7">
        <f>IF(N2387&lt;&gt;0,P2387*N2387,0)</f>
        <v/>
      </c>
      <c r="R2387" s="8">
        <f>IF(Q2387&lt;&gt;0,Q2387+H2387+L2387,0)</f>
        <v/>
      </c>
      <c r="S2387" s="9">
        <f>VLOOKUP(OPERAC[[#This Row],[especie]],[1]!ESPECIES[#Data],9,FALSE)</f>
        <v/>
      </c>
    </row>
    <row r="2388">
      <c r="A2388" s="4" t="n">
        <v>2255</v>
      </c>
      <c r="B2388" s="5" t="n">
        <v>44643</v>
      </c>
      <c r="C2388" s="13" t="inlineStr">
        <is>
          <t>VTA</t>
        </is>
      </c>
      <c r="D2388" s="13" t="n">
        <v>42</v>
      </c>
      <c r="E2388" s="10">
        <f>IF(D2388&gt;0,VLOOKUP(OPERAC[[#This Row],[COD CART]],[1]!MatrizCortoLargoCyl[#All],3,0),"")</f>
        <v/>
      </c>
      <c r="F2388" s="13" t="inlineStr">
        <is>
          <t>JPM</t>
        </is>
      </c>
      <c r="G2388" s="6" t="n">
        <v>3</v>
      </c>
      <c r="H2388" s="6" t="n">
        <v>-422.05848</v>
      </c>
      <c r="I2388" s="7">
        <f>-H2388/G2388</f>
        <v/>
      </c>
      <c r="J2388" s="11" t="n">
        <v>44664</v>
      </c>
      <c r="K2388" s="6">
        <f>+OPERAC[[#This Row],[cantidad]]</f>
        <v/>
      </c>
      <c r="L2388" s="6">
        <f>+OPERAC[[#This Row],[cantidad venta]]*125.943</f>
        <v/>
      </c>
      <c r="M2388" s="7">
        <f>IF(N2388=0,+L2388+H2388,0)</f>
        <v/>
      </c>
      <c r="N2388" s="7">
        <f>IF((+G2388-K2388)=0,0,+G2388-K2388)</f>
        <v/>
      </c>
      <c r="O2388" s="7">
        <f>IF(N2388=0,0,(L2388+H2388)/-N2388)</f>
        <v/>
      </c>
      <c r="P2388" s="7">
        <f>VLOOKUP(OPERAC[[#This Row],[especie]],[1]!ESPECIES[#All],6,0)</f>
        <v/>
      </c>
      <c r="Q2388" s="7">
        <f>IF(N2388&lt;&gt;0,P2388*N2388,0)</f>
        <v/>
      </c>
      <c r="R2388" s="8">
        <f>IF(Q2388&lt;&gt;0,Q2388+H2388+L2388,0)</f>
        <v/>
      </c>
      <c r="S2388" s="9">
        <f>VLOOKUP(OPERAC[[#This Row],[especie]],[1]!ESPECIES[#Data],9,FALSE)</f>
        <v/>
      </c>
    </row>
    <row r="2389">
      <c r="A2389" s="4" t="n">
        <v>2217</v>
      </c>
      <c r="B2389" s="5" t="n">
        <v>44628</v>
      </c>
      <c r="C2389" s="13" t="inlineStr">
        <is>
          <t>VTA</t>
        </is>
      </c>
      <c r="D2389" s="13" t="n">
        <v>40</v>
      </c>
      <c r="E2389" s="10">
        <f>IF(D2389&gt;0,VLOOKUP(OPERAC[[#This Row],[COD CART]],[1]!MatrizCortoLargoCyl[#All],3,0),"")</f>
        <v/>
      </c>
      <c r="F2389" s="13" t="inlineStr">
        <is>
          <t>CVV</t>
        </is>
      </c>
      <c r="G2389" s="6" t="n">
        <v>100</v>
      </c>
      <c r="H2389" s="6" t="n">
        <v>-422.4488</v>
      </c>
      <c r="I2389" s="7">
        <f>-H2389/G2389</f>
        <v/>
      </c>
      <c r="J2389" s="11" t="n">
        <v>44649</v>
      </c>
      <c r="K2389" s="6" t="n">
        <v>100</v>
      </c>
      <c r="L2389" s="6" t="n">
        <v>445.885</v>
      </c>
      <c r="M2389" s="7">
        <f>IF(N2389=0,+L2389+H2389,0)</f>
        <v/>
      </c>
      <c r="N2389" s="7">
        <f>IF((+G2389-K2389)=0,0,+G2389-K2389)</f>
        <v/>
      </c>
      <c r="O2389" s="7">
        <f>IF(N2389=0,0,(L2389+H2389)/-N2389)</f>
        <v/>
      </c>
      <c r="P2389" s="7">
        <f>VLOOKUP(OPERAC[[#This Row],[especie]],[1]!ESPECIES[#All],6,0)</f>
        <v/>
      </c>
      <c r="Q2389" s="7">
        <f>IF(N2389&lt;&gt;0,P2389*N2389,0)</f>
        <v/>
      </c>
      <c r="R2389" s="8">
        <f>IF(Q2389&lt;&gt;0,Q2389+H2389+L2389,0)</f>
        <v/>
      </c>
      <c r="S2389" s="9">
        <f>VLOOKUP(OPERAC[[#This Row],[especie]],[1]!ESPECIES[#Data],9,FALSE)</f>
        <v/>
      </c>
    </row>
    <row r="2390">
      <c r="A2390" s="4" t="n">
        <v>3787</v>
      </c>
      <c r="B2390" s="5" t="n">
        <v>44628</v>
      </c>
      <c r="C2390" s="13" t="inlineStr">
        <is>
          <t>VTA</t>
        </is>
      </c>
      <c r="D2390" s="13" t="n">
        <v>40</v>
      </c>
      <c r="E2390" s="10">
        <f>IF(D2390&gt;0,VLOOKUP(OPERAC[[#This Row],[COD CART]],[1]!MatrizCortoLargoCyl[#All],3,0),"")</f>
        <v/>
      </c>
      <c r="F2390" s="13" t="inlineStr">
        <is>
          <t>CVV</t>
        </is>
      </c>
      <c r="G2390" s="6" t="n">
        <v>100</v>
      </c>
      <c r="H2390" s="6" t="n">
        <v>-422.4488</v>
      </c>
      <c r="I2390" s="7">
        <f>-H2390/G2390</f>
        <v/>
      </c>
      <c r="J2390" s="11" t="n">
        <v>44641</v>
      </c>
      <c r="K2390" s="6" t="n">
        <v>100</v>
      </c>
      <c r="L2390" s="6" t="n">
        <v>420.58</v>
      </c>
      <c r="M2390" s="7">
        <f>IF(N2390=0,+L2390+H2390,0)</f>
        <v/>
      </c>
      <c r="N2390" s="7">
        <f>IF((+G2390-K2390)=0,0,+G2390-K2390)</f>
        <v/>
      </c>
      <c r="O2390" s="7">
        <f>IF(N2390=0,0,(L2390+H2390)/-N2390)</f>
        <v/>
      </c>
      <c r="P2390" s="7">
        <f>VLOOKUP(OPERAC[[#This Row],[especie]],[1]!ESPECIES[#All],6,0)</f>
        <v/>
      </c>
      <c r="Q2390" s="7">
        <f>IF(N2390&lt;&gt;0,P2390*N2390,0)</f>
        <v/>
      </c>
      <c r="R2390" s="8">
        <f>IF(Q2390&lt;&gt;0,Q2390+H2390+L2390,0)</f>
        <v/>
      </c>
      <c r="S2390" s="9">
        <f>VLOOKUP(OPERAC[[#This Row],[especie]],[1]!ESPECIES[#Data],9,FALSE)</f>
        <v/>
      </c>
    </row>
    <row r="2391">
      <c r="A2391" s="4" t="n">
        <v>7916</v>
      </c>
      <c r="B2391" s="5" t="n">
        <v>44628</v>
      </c>
      <c r="C2391" s="13" t="inlineStr">
        <is>
          <t>VTA</t>
        </is>
      </c>
      <c r="D2391" s="13" t="n">
        <v>40</v>
      </c>
      <c r="E2391" s="10">
        <f>IF(D2391&gt;0,VLOOKUP(OPERAC[[#This Row],[COD CART]],[1]!MatrizCortoLargoCyl[#All],3,0),"")</f>
        <v/>
      </c>
      <c r="F2391" s="13" t="inlineStr">
        <is>
          <t>CVV</t>
        </is>
      </c>
      <c r="G2391" s="6" t="n">
        <v>100</v>
      </c>
      <c r="H2391" s="6" t="n">
        <v>-422.4488</v>
      </c>
      <c r="I2391" s="7">
        <f>-H2391/G2391</f>
        <v/>
      </c>
      <c r="J2391" s="11" t="n">
        <v>44649</v>
      </c>
      <c r="K2391" s="6">
        <f>+OPERAC[[#This Row],[cantidad]]</f>
        <v/>
      </c>
      <c r="L2391" s="6">
        <f>+OPERAC[[#This Row],[cantidad venta]]*4.459</f>
        <v/>
      </c>
      <c r="M2391" s="7">
        <f>IF(N2391=0,+L2391+H2391,0)</f>
        <v/>
      </c>
      <c r="N2391" s="7">
        <f>IF((+G2391-K2391)=0,0,+G2391-K2391)</f>
        <v/>
      </c>
      <c r="O2391" s="7">
        <f>IF(N2391=0,0,(L2391+H2391)/-N2391)</f>
        <v/>
      </c>
      <c r="P2391" s="7">
        <f>VLOOKUP(OPERAC[[#This Row],[especie]],[1]!ESPECIES[#All],6,0)</f>
        <v/>
      </c>
      <c r="Q2391" s="7">
        <f>IF(N2391&lt;&gt;0,P2391*N2391,0)</f>
        <v/>
      </c>
      <c r="R2391" s="8">
        <f>IF(Q2391&lt;&gt;0,Q2391+H2391+L2391,0)</f>
        <v/>
      </c>
      <c r="S2391" s="9">
        <f>VLOOKUP(OPERAC[[#This Row],[especie]],[1]!ESPECIES[#Data],9,FALSE)</f>
        <v/>
      </c>
    </row>
    <row r="2392">
      <c r="A2392" s="4" t="n">
        <v>7919</v>
      </c>
      <c r="B2392" s="5" t="n">
        <v>44628</v>
      </c>
      <c r="C2392" s="13" t="inlineStr">
        <is>
          <t>VTA</t>
        </is>
      </c>
      <c r="D2392" s="13" t="n">
        <v>40</v>
      </c>
      <c r="E2392" s="10">
        <f>IF(D2392&gt;0,VLOOKUP(OPERAC[[#This Row],[COD CART]],[1]!MatrizCortoLargoCyl[#All],3,0),"")</f>
        <v/>
      </c>
      <c r="F2392" s="13" t="inlineStr">
        <is>
          <t>CVV</t>
        </is>
      </c>
      <c r="G2392" s="6" t="n">
        <v>100</v>
      </c>
      <c r="H2392" s="6" t="n">
        <v>-422.4488</v>
      </c>
      <c r="I2392" s="7">
        <f>-H2392/G2392</f>
        <v/>
      </c>
      <c r="J2392" s="11" t="n">
        <v>44649</v>
      </c>
      <c r="K2392" s="6">
        <f>+OPERAC[[#This Row],[cantidad]]</f>
        <v/>
      </c>
      <c r="L2392" s="6">
        <f>+OPERAC[[#This Row],[cantidad venta]]*4.459</f>
        <v/>
      </c>
      <c r="M2392" s="7">
        <f>IF(N2392=0,+L2392+H2392,0)</f>
        <v/>
      </c>
      <c r="N2392" s="7">
        <f>IF((+G2392-K2392)=0,0,+G2392-K2392)</f>
        <v/>
      </c>
      <c r="O2392" s="7">
        <f>IF(N2392=0,0,(L2392+H2392)/-N2392)</f>
        <v/>
      </c>
      <c r="P2392" s="7">
        <f>VLOOKUP(OPERAC[[#This Row],[especie]],[1]!ESPECIES[#All],6,0)</f>
        <v/>
      </c>
      <c r="Q2392" s="7">
        <f>IF(N2392&lt;&gt;0,P2392*N2392,0)</f>
        <v/>
      </c>
      <c r="R2392" s="8">
        <f>IF(Q2392&lt;&gt;0,Q2392+H2392+L2392,0)</f>
        <v/>
      </c>
      <c r="S2392" s="9">
        <f>VLOOKUP(OPERAC[[#This Row],[especie]],[1]!ESPECIES[#Data],9,FALSE)</f>
        <v/>
      </c>
    </row>
    <row r="2393">
      <c r="A2393" s="4" t="n">
        <v>12619</v>
      </c>
      <c r="B2393" s="5" t="n">
        <v>44628</v>
      </c>
      <c r="C2393" s="13" t="inlineStr">
        <is>
          <t>VTA</t>
        </is>
      </c>
      <c r="D2393" s="13" t="n">
        <v>40</v>
      </c>
      <c r="E2393" s="10">
        <f>IF(D2393&gt;0,VLOOKUP(OPERAC[[#This Row],[COD CART]],[1]!MatrizCortoLargoCyl[#All],3,0),"")</f>
        <v/>
      </c>
      <c r="F2393" s="13" t="inlineStr">
        <is>
          <t>CVV</t>
        </is>
      </c>
      <c r="G2393" s="6" t="n">
        <v>100</v>
      </c>
      <c r="H2393" s="6" t="n">
        <v>-422.4488</v>
      </c>
      <c r="I2393" s="7">
        <f>-H2393/G2393</f>
        <v/>
      </c>
      <c r="J2393" s="11" t="n">
        <v>44649</v>
      </c>
      <c r="K2393" s="6">
        <f>+OPERAC[[#This Row],[cantidad]]</f>
        <v/>
      </c>
      <c r="L2393" s="6">
        <f>+OPERAC[[#This Row],[cantidad venta]]*4.459</f>
        <v/>
      </c>
      <c r="M2393" s="7">
        <f>IF(N2393=0,+L2393+H2393,0)</f>
        <v/>
      </c>
      <c r="N2393" s="7">
        <f>IF((+G2393-K2393)=0,0,+G2393-K2393)</f>
        <v/>
      </c>
      <c r="O2393" s="7">
        <f>IF(N2393=0,0,(L2393+H2393)/-N2393)</f>
        <v/>
      </c>
      <c r="P2393" s="7">
        <f>VLOOKUP(OPERAC[[#This Row],[especie]],[1]!ESPECIES[#All],6,0)</f>
        <v/>
      </c>
      <c r="Q2393" s="7">
        <f>IF(N2393&lt;&gt;0,P2393*N2393,0)</f>
        <v/>
      </c>
      <c r="R2393" s="8">
        <f>IF(Q2393&lt;&gt;0,Q2393+H2393+L2393,0)</f>
        <v/>
      </c>
      <c r="S2393" s="9">
        <f>VLOOKUP(OPERAC[[#This Row],[especie]],[1]!ESPECIES[#Data],9,FALSE)</f>
        <v/>
      </c>
    </row>
    <row r="2394">
      <c r="A2394" s="4" t="n">
        <v>13188</v>
      </c>
      <c r="B2394" s="5" t="n">
        <v>44628</v>
      </c>
      <c r="C2394" s="13" t="inlineStr">
        <is>
          <t>VTA</t>
        </is>
      </c>
      <c r="D2394" s="13" t="n">
        <v>40</v>
      </c>
      <c r="E2394" s="10">
        <f>IF(D2394&gt;0,VLOOKUP(OPERAC[[#This Row],[COD CART]],[1]!MatrizCortoLargoCyl[#All],3,0),"")</f>
        <v/>
      </c>
      <c r="F2394" s="13" t="inlineStr">
        <is>
          <t>CVV</t>
        </is>
      </c>
      <c r="G2394" s="6" t="n">
        <v>100</v>
      </c>
      <c r="H2394" s="6" t="n">
        <v>-422.4488</v>
      </c>
      <c r="I2394" s="7">
        <f>-H2394/G2394</f>
        <v/>
      </c>
      <c r="J2394" s="11" t="n">
        <v>44649</v>
      </c>
      <c r="K2394" s="6">
        <f>+OPERAC[[#This Row],[cantidad]]</f>
        <v/>
      </c>
      <c r="L2394" s="6">
        <f>+OPERAC[[#This Row],[cantidad venta]]*4.459</f>
        <v/>
      </c>
      <c r="M2394" s="7">
        <f>IF(N2394=0,+L2394+H2394,0)</f>
        <v/>
      </c>
      <c r="N2394" s="7">
        <f>IF((+G2394-K2394)=0,0,+G2394-K2394)</f>
        <v/>
      </c>
      <c r="O2394" s="7">
        <f>IF(N2394=0,0,(L2394+H2394)/-N2394)</f>
        <v/>
      </c>
      <c r="P2394" s="7">
        <f>VLOOKUP(OPERAC[[#This Row],[especie]],[1]!ESPECIES[#All],6,0)</f>
        <v/>
      </c>
      <c r="Q2394" s="7">
        <f>IF(N2394&lt;&gt;0,P2394*N2394,0)</f>
        <v/>
      </c>
      <c r="R2394" s="8">
        <f>IF(Q2394&lt;&gt;0,Q2394+H2394+L2394,0)</f>
        <v/>
      </c>
      <c r="S2394" s="9">
        <f>VLOOKUP(OPERAC[[#This Row],[especie]],[1]!ESPECIES[#Data],9,FALSE)</f>
        <v/>
      </c>
    </row>
    <row r="2395">
      <c r="A2395" s="4" t="n">
        <v>13190</v>
      </c>
      <c r="B2395" s="5" t="n">
        <v>44628</v>
      </c>
      <c r="C2395" s="13" t="inlineStr">
        <is>
          <t>VTA</t>
        </is>
      </c>
      <c r="D2395" s="13" t="n">
        <v>40</v>
      </c>
      <c r="E2395" s="10">
        <f>IF(D2395&gt;0,VLOOKUP(OPERAC[[#This Row],[COD CART]],[1]!MatrizCortoLargoCyl[#All],3,0),"")</f>
        <v/>
      </c>
      <c r="F2395" s="13" t="inlineStr">
        <is>
          <t>CVV</t>
        </is>
      </c>
      <c r="G2395" s="6" t="n">
        <v>100</v>
      </c>
      <c r="H2395" s="6" t="n">
        <v>-422.4488</v>
      </c>
      <c r="I2395" s="7">
        <f>-H2395/G2395</f>
        <v/>
      </c>
      <c r="J2395" s="11" t="n">
        <v>44649</v>
      </c>
      <c r="K2395" s="6">
        <f>+OPERAC[[#This Row],[cantidad]]</f>
        <v/>
      </c>
      <c r="L2395" s="6">
        <f>+OPERAC[[#This Row],[cantidad venta]]*4.459</f>
        <v/>
      </c>
      <c r="M2395" s="7">
        <f>IF(N2395=0,+L2395+H2395,0)</f>
        <v/>
      </c>
      <c r="N2395" s="7">
        <f>IF((+G2395-K2395)=0,0,+G2395-K2395)</f>
        <v/>
      </c>
      <c r="O2395" s="7">
        <f>IF(N2395=0,0,(L2395+H2395)/-N2395)</f>
        <v/>
      </c>
      <c r="P2395" s="7">
        <f>VLOOKUP(OPERAC[[#This Row],[especie]],[1]!ESPECIES[#All],6,0)</f>
        <v/>
      </c>
      <c r="Q2395" s="7">
        <f>IF(N2395&lt;&gt;0,P2395*N2395,0)</f>
        <v/>
      </c>
      <c r="R2395" s="8">
        <f>IF(Q2395&lt;&gt;0,Q2395+H2395+L2395,0)</f>
        <v/>
      </c>
      <c r="S2395" s="9">
        <f>VLOOKUP(OPERAC[[#This Row],[especie]],[1]!ESPECIES[#Data],9,FALSE)</f>
        <v/>
      </c>
    </row>
    <row r="2396">
      <c r="A2396" s="4" t="n">
        <v>19888</v>
      </c>
      <c r="B2396" s="5" t="n">
        <v>44628</v>
      </c>
      <c r="C2396" s="13" t="inlineStr">
        <is>
          <t>VTA</t>
        </is>
      </c>
      <c r="D2396" s="13" t="n">
        <v>40</v>
      </c>
      <c r="E2396" s="10">
        <f>IF(D2396&gt;0,VLOOKUP(OPERAC[[#This Row],[COD CART]],[1]!MatrizCortoLargoCyl[#All],3,0),"")</f>
        <v/>
      </c>
      <c r="F2396" s="13" t="inlineStr">
        <is>
          <t>CVV</t>
        </is>
      </c>
      <c r="G2396" s="6" t="n">
        <v>100</v>
      </c>
      <c r="H2396" s="6" t="n">
        <v>-422.4488</v>
      </c>
      <c r="I2396" s="7">
        <f>-H2396/G2396</f>
        <v/>
      </c>
      <c r="J2396" s="11" t="n">
        <v>44649</v>
      </c>
      <c r="K2396" s="6">
        <f>+OPERAC[[#This Row],[cantidad]]</f>
        <v/>
      </c>
      <c r="L2396" s="6">
        <f>+OPERAC[[#This Row],[cantidad venta]]*4.459</f>
        <v/>
      </c>
      <c r="M2396" s="7">
        <f>IF(N2396=0,+L2396+H2396,0)</f>
        <v/>
      </c>
      <c r="N2396" s="7">
        <f>IF((+G2396-K2396)=0,0,+G2396-K2396)</f>
        <v/>
      </c>
      <c r="O2396" s="7">
        <f>IF(N2396=0,0,(L2396+H2396)/-N2396)</f>
        <v/>
      </c>
      <c r="P2396" s="7">
        <f>VLOOKUP(OPERAC[[#This Row],[especie]],[1]!ESPECIES[#All],6,0)</f>
        <v/>
      </c>
      <c r="Q2396" s="7">
        <f>IF(N2396&lt;&gt;0,P2396*N2396,0)</f>
        <v/>
      </c>
      <c r="R2396" s="8">
        <f>IF(Q2396&lt;&gt;0,Q2396+H2396+L2396,0)</f>
        <v/>
      </c>
      <c r="S2396" s="9">
        <f>VLOOKUP(OPERAC[[#This Row],[especie]],[1]!ESPECIES[#Data],9,FALSE)</f>
        <v/>
      </c>
    </row>
    <row r="2397">
      <c r="A2397" s="4" t="n">
        <v>26138</v>
      </c>
      <c r="B2397" s="5" t="n">
        <v>44628</v>
      </c>
      <c r="C2397" s="13" t="inlineStr">
        <is>
          <t>VTA</t>
        </is>
      </c>
      <c r="D2397" s="13" t="n">
        <v>40</v>
      </c>
      <c r="E2397" s="10">
        <f>IF(D2397&gt;0,VLOOKUP(OPERAC[[#This Row],[COD CART]],[1]!MatrizCortoLargoCyl[#All],3,0),"")</f>
        <v/>
      </c>
      <c r="F2397" s="13" t="inlineStr">
        <is>
          <t>CVV</t>
        </is>
      </c>
      <c r="G2397" s="6" t="n">
        <v>100</v>
      </c>
      <c r="H2397" s="6" t="n">
        <v>-422.4488</v>
      </c>
      <c r="I2397" s="7">
        <f>-H2397/G2397</f>
        <v/>
      </c>
      <c r="J2397" s="11" t="n">
        <v>44649</v>
      </c>
      <c r="K2397" s="6">
        <f>+OPERAC[[#This Row],[cantidad]]</f>
        <v/>
      </c>
      <c r="L2397" s="6">
        <f>+OPERAC[[#This Row],[cantidad venta]]*4.459</f>
        <v/>
      </c>
      <c r="M2397" s="7">
        <f>IF(N2397=0,+L2397+H2397,0)</f>
        <v/>
      </c>
      <c r="N2397" s="7">
        <f>IF((+G2397-K2397)=0,0,+G2397-K2397)</f>
        <v/>
      </c>
      <c r="O2397" s="7">
        <f>IF(N2397=0,0,(L2397+H2397)/-N2397)</f>
        <v/>
      </c>
      <c r="P2397" s="7">
        <f>VLOOKUP(OPERAC[[#This Row],[especie]],[1]!ESPECIES[#All],6,0)</f>
        <v/>
      </c>
      <c r="Q2397" s="7">
        <f>IF(N2397&lt;&gt;0,P2397*N2397,0)</f>
        <v/>
      </c>
      <c r="R2397" s="8">
        <f>IF(Q2397&lt;&gt;0,Q2397+H2397+L2397,0)</f>
        <v/>
      </c>
      <c r="S2397" s="9">
        <f>VLOOKUP(OPERAC[[#This Row],[especie]],[1]!ESPECIES[#Data],9,FALSE)</f>
        <v/>
      </c>
    </row>
    <row r="2398">
      <c r="A2398" s="4" t="n">
        <v>16783</v>
      </c>
      <c r="B2398" s="5" t="n">
        <v>44641</v>
      </c>
      <c r="C2398" s="13" t="inlineStr">
        <is>
          <t>VTA</t>
        </is>
      </c>
      <c r="D2398" s="13" t="n">
        <v>42</v>
      </c>
      <c r="E2398" s="10">
        <f>IF(D2398&gt;0,VLOOKUP(OPERAC[[#This Row],[COD CART]],[1]!MatrizCortoLargoCyl[#All],3,0),"")</f>
        <v/>
      </c>
      <c r="F2398" s="13" t="inlineStr">
        <is>
          <t>FB</t>
        </is>
      </c>
      <c r="G2398" s="6" t="n">
        <v>2</v>
      </c>
      <c r="H2398" s="6" t="n">
        <v>-422.62908</v>
      </c>
      <c r="I2398" s="7">
        <f>-H2398/G2398</f>
        <v/>
      </c>
      <c r="J2398" s="11" t="n">
        <v>44671</v>
      </c>
      <c r="K2398" s="6">
        <f>+OPERAC[[#This Row],[cantidad]]</f>
        <v/>
      </c>
      <c r="L2398" s="6">
        <f>+OPERAC[[#This Row],[cantidad venta]]*213.173</f>
        <v/>
      </c>
      <c r="M2398" s="7">
        <f>IF(N2398=0,+L2398+H2398,0)</f>
        <v/>
      </c>
      <c r="N2398" s="7">
        <f>IF((+G2398-K2398)=0,0,+G2398-K2398)</f>
        <v/>
      </c>
      <c r="O2398" s="7">
        <f>IF(N2398=0,0,(L2398+H2398)/-N2398)</f>
        <v/>
      </c>
      <c r="P2398" s="7">
        <f>VLOOKUP(OPERAC[[#This Row],[especie]],[1]!ESPECIES[#All],6,0)</f>
        <v/>
      </c>
      <c r="Q2398" s="7">
        <f>IF(N2398&lt;&gt;0,P2398*N2398,0)</f>
        <v/>
      </c>
      <c r="R2398" s="8">
        <f>IF(Q2398&lt;&gt;0,Q2398+H2398+L2398,0)</f>
        <v/>
      </c>
      <c r="S2398" s="9">
        <f>VLOOKUP(OPERAC[[#This Row],[especie]],[1]!ESPECIES[#Data],9,FALSE)</f>
        <v/>
      </c>
    </row>
    <row r="2399">
      <c r="A2399" s="4" t="n">
        <v>19878</v>
      </c>
      <c r="B2399" s="5" t="n">
        <v>44643</v>
      </c>
      <c r="C2399" s="13" t="inlineStr">
        <is>
          <t>VTA</t>
        </is>
      </c>
      <c r="D2399" s="13" t="n">
        <v>42</v>
      </c>
      <c r="E2399" s="10">
        <f>IF(D2399&gt;0,VLOOKUP(OPERAC[[#This Row],[COD CART]],[1]!MatrizCortoLargoCyl[#All],3,0),"")</f>
        <v/>
      </c>
      <c r="F2399" s="13" t="inlineStr">
        <is>
          <t>JPM</t>
        </is>
      </c>
      <c r="G2399" s="6" t="n">
        <v>3</v>
      </c>
      <c r="H2399" s="6" t="n">
        <v>-422.8992</v>
      </c>
      <c r="I2399" s="7">
        <f>-H2399/G2399</f>
        <v/>
      </c>
      <c r="J2399" s="11" t="n">
        <v>44664</v>
      </c>
      <c r="K2399" s="6">
        <f>+OPERAC[[#This Row],[cantidad]]</f>
        <v/>
      </c>
      <c r="L2399" s="6">
        <f>+OPERAC[[#This Row],[cantidad venta]]*125.943</f>
        <v/>
      </c>
      <c r="M2399" s="7">
        <f>IF(N2399=0,+L2399+H2399,0)</f>
        <v/>
      </c>
      <c r="N2399" s="7">
        <f>IF((+G2399-K2399)=0,0,+G2399-K2399)</f>
        <v/>
      </c>
      <c r="O2399" s="7">
        <f>IF(N2399=0,0,(L2399+H2399)/-N2399)</f>
        <v/>
      </c>
      <c r="P2399" s="7">
        <f>VLOOKUP(OPERAC[[#This Row],[especie]],[1]!ESPECIES[#All],6,0)</f>
        <v/>
      </c>
      <c r="Q2399" s="7">
        <f>IF(N2399&lt;&gt;0,P2399*N2399,0)</f>
        <v/>
      </c>
      <c r="R2399" s="8">
        <f>IF(Q2399&lt;&gt;0,Q2399+H2399+L2399,0)</f>
        <v/>
      </c>
      <c r="S2399" s="9">
        <f>VLOOKUP(OPERAC[[#This Row],[especie]],[1]!ESPECIES[#Data],9,FALSE)</f>
        <v/>
      </c>
    </row>
    <row r="2400">
      <c r="A2400" s="4" t="n">
        <v>3820</v>
      </c>
      <c r="B2400" s="5" t="n">
        <v>44641</v>
      </c>
      <c r="C2400" s="13" t="inlineStr">
        <is>
          <t>VTA</t>
        </is>
      </c>
      <c r="D2400" s="13" t="n">
        <v>42</v>
      </c>
      <c r="E2400" s="10">
        <f>IF(D2400&gt;0,VLOOKUP(OPERAC[[#This Row],[COD CART]],[1]!MatrizCortoLargoCyl[#All],3,0),"")</f>
        <v/>
      </c>
      <c r="F2400" s="13" t="inlineStr">
        <is>
          <t>FB</t>
        </is>
      </c>
      <c r="G2400" s="6" t="n">
        <v>2</v>
      </c>
      <c r="H2400" s="6" t="n">
        <v>-423.47092</v>
      </c>
      <c r="I2400" s="7">
        <f>-H2400/G2400</f>
        <v/>
      </c>
      <c r="J2400" s="11" t="n">
        <v>44671</v>
      </c>
      <c r="K2400" s="6">
        <f>+OPERAC[[#This Row],[cantidad]]</f>
        <v/>
      </c>
      <c r="L2400" s="6">
        <f>+OPERAC[[#This Row],[cantidad venta]]*213.173</f>
        <v/>
      </c>
      <c r="M2400" s="7">
        <f>IF(N2400=0,+L2400+H2400,0)</f>
        <v/>
      </c>
      <c r="N2400" s="7">
        <f>IF((+G2400-K2400)=0,0,+G2400-K2400)</f>
        <v/>
      </c>
      <c r="O2400" s="7">
        <f>IF(N2400=0,0,(L2400+H2400)/-N2400)</f>
        <v/>
      </c>
      <c r="P2400" s="7">
        <f>VLOOKUP(OPERAC[[#This Row],[especie]],[1]!ESPECIES[#All],6,0)</f>
        <v/>
      </c>
      <c r="Q2400" s="7">
        <f>IF(N2400&lt;&gt;0,P2400*N2400,0)</f>
        <v/>
      </c>
      <c r="R2400" s="8">
        <f>IF(Q2400&lt;&gt;0,Q2400+H2400+L2400,0)</f>
        <v/>
      </c>
      <c r="S2400" s="9">
        <f>VLOOKUP(OPERAC[[#This Row],[especie]],[1]!ESPECIES[#Data],9,FALSE)</f>
        <v/>
      </c>
    </row>
    <row r="2401">
      <c r="A2401" s="4" t="n">
        <v>12671</v>
      </c>
      <c r="B2401" s="5" t="n">
        <v>44641</v>
      </c>
      <c r="C2401" s="13" t="inlineStr">
        <is>
          <t>VTA</t>
        </is>
      </c>
      <c r="D2401" s="13" t="n">
        <v>42</v>
      </c>
      <c r="E2401" s="10">
        <f>IF(D2401&gt;0,VLOOKUP(OPERAC[[#This Row],[COD CART]],[1]!MatrizCortoLargoCyl[#All],3,0),"")</f>
        <v/>
      </c>
      <c r="F2401" s="13" t="inlineStr">
        <is>
          <t>FB</t>
        </is>
      </c>
      <c r="G2401" s="6" t="n">
        <v>2</v>
      </c>
      <c r="H2401" s="6" t="n">
        <v>-423.47092</v>
      </c>
      <c r="I2401" s="7">
        <f>-H2401/G2401</f>
        <v/>
      </c>
      <c r="J2401" s="11" t="n">
        <v>44671</v>
      </c>
      <c r="K2401" s="6">
        <f>+OPERAC[[#This Row],[cantidad]]</f>
        <v/>
      </c>
      <c r="L2401" s="6">
        <f>+OPERAC[[#This Row],[cantidad venta]]*213.173</f>
        <v/>
      </c>
      <c r="M2401" s="7">
        <f>IF(N2401=0,+L2401+H2401,0)</f>
        <v/>
      </c>
      <c r="N2401" s="7">
        <f>IF((+G2401-K2401)=0,0,+G2401-K2401)</f>
        <v/>
      </c>
      <c r="O2401" s="7">
        <f>IF(N2401=0,0,(L2401+H2401)/-N2401)</f>
        <v/>
      </c>
      <c r="P2401" s="7">
        <f>VLOOKUP(OPERAC[[#This Row],[especie]],[1]!ESPECIES[#All],6,0)</f>
        <v/>
      </c>
      <c r="Q2401" s="7">
        <f>IF(N2401&lt;&gt;0,P2401*N2401,0)</f>
        <v/>
      </c>
      <c r="R2401" s="8">
        <f>IF(Q2401&lt;&gt;0,Q2401+H2401+L2401,0)</f>
        <v/>
      </c>
      <c r="S2401" s="9">
        <f>VLOOKUP(OPERAC[[#This Row],[especie]],[1]!ESPECIES[#Data],9,FALSE)</f>
        <v/>
      </c>
    </row>
    <row r="2402">
      <c r="A2402" s="4" t="n">
        <v>1800</v>
      </c>
      <c r="B2402" s="5" t="n">
        <v>44643</v>
      </c>
      <c r="C2402" s="13" t="inlineStr">
        <is>
          <t>VTA</t>
        </is>
      </c>
      <c r="D2402" s="13" t="n">
        <v>42</v>
      </c>
      <c r="E2402" s="10">
        <f>IF(D2402&gt;0,VLOOKUP(OPERAC[[#This Row],[COD CART]],[1]!MatrizCortoLargoCyl[#All],3,0),"")</f>
        <v/>
      </c>
      <c r="F2402" s="13" t="inlineStr">
        <is>
          <t>JPM</t>
        </is>
      </c>
      <c r="G2402" s="6" t="n">
        <v>3</v>
      </c>
      <c r="H2402" s="6" t="n">
        <v>-423.73992</v>
      </c>
      <c r="I2402" s="7">
        <f>-H2402/G2402</f>
        <v/>
      </c>
      <c r="J2402" s="11" t="n">
        <v>44664</v>
      </c>
      <c r="K2402" s="6">
        <f>+OPERAC[[#This Row],[cantidad]]</f>
        <v/>
      </c>
      <c r="L2402" s="6">
        <f>+OPERAC[[#This Row],[cantidad venta]]*125.943</f>
        <v/>
      </c>
      <c r="M2402" s="7">
        <f>IF(N2402=0,+L2402+H2402,0)</f>
        <v/>
      </c>
      <c r="N2402" s="7">
        <f>IF((+G2402-K2402)=0,0,+G2402-K2402)</f>
        <v/>
      </c>
      <c r="O2402" s="7">
        <f>IF(N2402=0,0,(L2402+H2402)/-N2402)</f>
        <v/>
      </c>
      <c r="P2402" s="7">
        <f>VLOOKUP(OPERAC[[#This Row],[especie]],[1]!ESPECIES[#All],6,0)</f>
        <v/>
      </c>
      <c r="Q2402" s="7">
        <f>IF(N2402&lt;&gt;0,P2402*N2402,0)</f>
        <v/>
      </c>
      <c r="R2402" s="8">
        <f>IF(Q2402&lt;&gt;0,Q2402+H2402+L2402,0)</f>
        <v/>
      </c>
      <c r="S2402" s="9">
        <f>VLOOKUP(OPERAC[[#This Row],[especie]],[1]!ESPECIES[#Data],9,FALSE)</f>
        <v/>
      </c>
    </row>
    <row r="2403">
      <c r="A2403" s="4" t="n">
        <v>12655</v>
      </c>
      <c r="B2403" s="5" t="n">
        <v>44643</v>
      </c>
      <c r="C2403" s="13" t="inlineStr">
        <is>
          <t>VTA</t>
        </is>
      </c>
      <c r="D2403" s="13" t="n">
        <v>42</v>
      </c>
      <c r="E2403" s="10">
        <f>IF(D2403&gt;0,VLOOKUP(OPERAC[[#This Row],[COD CART]],[1]!MatrizCortoLargoCyl[#All],3,0),"")</f>
        <v/>
      </c>
      <c r="F2403" s="13" t="inlineStr">
        <is>
          <t>JPM</t>
        </is>
      </c>
      <c r="G2403" s="6" t="n">
        <v>3</v>
      </c>
      <c r="H2403" s="6" t="n">
        <v>-423.73992</v>
      </c>
      <c r="I2403" s="7">
        <f>-H2403/G2403</f>
        <v/>
      </c>
      <c r="J2403" s="11" t="n">
        <v>44664</v>
      </c>
      <c r="K2403" s="6">
        <f>+OPERAC[[#This Row],[cantidad]]</f>
        <v/>
      </c>
      <c r="L2403" s="6">
        <f>+OPERAC[[#This Row],[cantidad venta]]*125.943</f>
        <v/>
      </c>
      <c r="M2403" s="7">
        <f>IF(N2403=0,+L2403+H2403,0)</f>
        <v/>
      </c>
      <c r="N2403" s="7">
        <f>IF((+G2403-K2403)=0,0,+G2403-K2403)</f>
        <v/>
      </c>
      <c r="O2403" s="7">
        <f>IF(N2403=0,0,(L2403+H2403)/-N2403)</f>
        <v/>
      </c>
      <c r="P2403" s="7">
        <f>VLOOKUP(OPERAC[[#This Row],[especie]],[1]!ESPECIES[#All],6,0)</f>
        <v/>
      </c>
      <c r="Q2403" s="7">
        <f>IF(N2403&lt;&gt;0,P2403*N2403,0)</f>
        <v/>
      </c>
      <c r="R2403" s="8">
        <f>IF(Q2403&lt;&gt;0,Q2403+H2403+L2403,0)</f>
        <v/>
      </c>
      <c r="S2403" s="9">
        <f>VLOOKUP(OPERAC[[#This Row],[especie]],[1]!ESPECIES[#Data],9,FALSE)</f>
        <v/>
      </c>
    </row>
    <row r="2404">
      <c r="A2404" s="4" t="n">
        <v>18677</v>
      </c>
      <c r="B2404" s="5" t="n">
        <v>44643</v>
      </c>
      <c r="C2404" s="13" t="inlineStr">
        <is>
          <t>VTA</t>
        </is>
      </c>
      <c r="D2404" s="13" t="n">
        <v>42</v>
      </c>
      <c r="E2404" s="10">
        <f>IF(D2404&gt;0,VLOOKUP(OPERAC[[#This Row],[COD CART]],[1]!MatrizCortoLargoCyl[#All],3,0),"")</f>
        <v/>
      </c>
      <c r="F2404" s="13" t="inlineStr">
        <is>
          <t>JPM</t>
        </is>
      </c>
      <c r="G2404" s="6" t="n">
        <v>3</v>
      </c>
      <c r="H2404" s="6" t="n">
        <v>-423.73992</v>
      </c>
      <c r="I2404" s="7">
        <f>-H2404/G2404</f>
        <v/>
      </c>
      <c r="J2404" s="11" t="n">
        <v>44664</v>
      </c>
      <c r="K2404" s="6">
        <f>+OPERAC[[#This Row],[cantidad]]</f>
        <v/>
      </c>
      <c r="L2404" s="6">
        <f>+OPERAC[[#This Row],[cantidad venta]]*125.943</f>
        <v/>
      </c>
      <c r="M2404" s="7">
        <f>IF(N2404=0,+L2404+H2404,0)</f>
        <v/>
      </c>
      <c r="N2404" s="7">
        <f>IF((+G2404-K2404)=0,0,+G2404-K2404)</f>
        <v/>
      </c>
      <c r="O2404" s="7">
        <f>IF(N2404=0,0,(L2404+H2404)/-N2404)</f>
        <v/>
      </c>
      <c r="P2404" s="7">
        <f>VLOOKUP(OPERAC[[#This Row],[especie]],[1]!ESPECIES[#All],6,0)</f>
        <v/>
      </c>
      <c r="Q2404" s="7">
        <f>IF(N2404&lt;&gt;0,P2404*N2404,0)</f>
        <v/>
      </c>
      <c r="R2404" s="8">
        <f>IF(Q2404&lt;&gt;0,Q2404+H2404+L2404,0)</f>
        <v/>
      </c>
      <c r="S2404" s="9">
        <f>VLOOKUP(OPERAC[[#This Row],[especie]],[1]!ESPECIES[#Data],9,FALSE)</f>
        <v/>
      </c>
    </row>
    <row r="2405">
      <c r="A2405" s="4" t="n">
        <v>2276</v>
      </c>
      <c r="B2405" s="5" t="n">
        <v>44418</v>
      </c>
      <c r="C2405" s="13" t="inlineStr">
        <is>
          <t>VTA</t>
        </is>
      </c>
      <c r="D2405" s="13" t="n">
        <v>41</v>
      </c>
      <c r="E2405" s="10">
        <f>IF(D2405&gt;0,VLOOKUP(OPERAC[[#This Row],[COD CART]],[1]!MatrizCortoLargoCyl[#All],3,0),"")</f>
        <v/>
      </c>
      <c r="F2405" s="13" t="inlineStr">
        <is>
          <t>JMIA</t>
        </is>
      </c>
      <c r="G2405" s="6" t="n">
        <v>20</v>
      </c>
      <c r="H2405" s="6" t="n">
        <v>-423.755</v>
      </c>
      <c r="I2405" s="7">
        <f>-H2405/G2405</f>
        <v/>
      </c>
      <c r="J2405" s="11" t="n"/>
      <c r="K2405" s="6" t="n"/>
      <c r="L2405" s="6" t="n"/>
      <c r="M2405" s="7">
        <f>IF(N2405=0,+L2405+H2405,0)</f>
        <v/>
      </c>
      <c r="N2405" s="7">
        <f>IF((+G2405-K2405)=0,0,+G2405-K2405)</f>
        <v/>
      </c>
      <c r="O2405" s="7">
        <f>IF(N2405=0,0,(L2405+H2405)/-N2405)</f>
        <v/>
      </c>
      <c r="P2405" s="7">
        <f>VLOOKUP(OPERAC[[#This Row],[especie]],[1]!ESPECIES[#All],6,0)</f>
        <v/>
      </c>
      <c r="Q2405" s="7">
        <f>IF(N2405&lt;&gt;0,P2405*N2405,0)</f>
        <v/>
      </c>
      <c r="R2405" s="8">
        <f>IF(Q2405&lt;&gt;0,Q2405+H2405+L2405,0)</f>
        <v/>
      </c>
      <c r="S2405" s="9">
        <f>VLOOKUP(OPERAC[[#This Row],[especie]],[1]!ESPECIES[#Data],9,FALSE)</f>
        <v/>
      </c>
    </row>
    <row r="2406">
      <c r="A2406" s="4" t="n">
        <v>1801</v>
      </c>
      <c r="B2406" s="5" t="n">
        <v>44641</v>
      </c>
      <c r="C2406" s="13" t="inlineStr">
        <is>
          <t>VTA</t>
        </is>
      </c>
      <c r="D2406" s="13" t="n">
        <v>42</v>
      </c>
      <c r="E2406" s="10">
        <f>IF(D2406&gt;0,VLOOKUP(OPERAC[[#This Row],[COD CART]],[1]!MatrizCortoLargoCyl[#All],3,0),"")</f>
        <v/>
      </c>
      <c r="F2406" s="13" t="inlineStr">
        <is>
          <t>FB</t>
        </is>
      </c>
      <c r="G2406" s="6" t="n">
        <v>2</v>
      </c>
      <c r="H2406" s="6" t="n">
        <v>-424.31276</v>
      </c>
      <c r="I2406" s="7">
        <f>-H2406/G2406</f>
        <v/>
      </c>
      <c r="J2406" s="11" t="n">
        <v>44671</v>
      </c>
      <c r="K2406" s="6">
        <f>+OPERAC[[#This Row],[cantidad]]</f>
        <v/>
      </c>
      <c r="L2406" s="6">
        <f>+OPERAC[[#This Row],[cantidad venta]]*213.173</f>
        <v/>
      </c>
      <c r="M2406" s="7">
        <f>IF(N2406=0,+L2406+H2406,0)</f>
        <v/>
      </c>
      <c r="N2406" s="7">
        <f>IF((+G2406-K2406)=0,0,+G2406-K2406)</f>
        <v/>
      </c>
      <c r="O2406" s="7">
        <f>IF(N2406=0,0,(L2406+H2406)/-N2406)</f>
        <v/>
      </c>
      <c r="P2406" s="7">
        <f>VLOOKUP(OPERAC[[#This Row],[especie]],[1]!ESPECIES[#All],6,0)</f>
        <v/>
      </c>
      <c r="Q2406" s="7">
        <f>IF(N2406&lt;&gt;0,P2406*N2406,0)</f>
        <v/>
      </c>
      <c r="R2406" s="8">
        <f>IF(Q2406&lt;&gt;0,Q2406+H2406+L2406,0)</f>
        <v/>
      </c>
      <c r="S2406" s="9">
        <f>VLOOKUP(OPERAC[[#This Row],[especie]],[1]!ESPECIES[#Data],9,FALSE)</f>
        <v/>
      </c>
    </row>
    <row r="2407">
      <c r="A2407" s="4" t="n">
        <v>2257</v>
      </c>
      <c r="B2407" s="5" t="n">
        <v>44641</v>
      </c>
      <c r="C2407" s="13" t="inlineStr">
        <is>
          <t>VTA</t>
        </is>
      </c>
      <c r="D2407" s="13" t="n">
        <v>42</v>
      </c>
      <c r="E2407" s="10">
        <f>IF(D2407&gt;0,VLOOKUP(OPERAC[[#This Row],[COD CART]],[1]!MatrizCortoLargoCyl[#All],3,0),"")</f>
        <v/>
      </c>
      <c r="F2407" s="13" t="inlineStr">
        <is>
          <t>FB</t>
        </is>
      </c>
      <c r="G2407" s="6" t="n">
        <v>2</v>
      </c>
      <c r="H2407" s="6" t="n">
        <v>-424.31276</v>
      </c>
      <c r="I2407" s="7">
        <f>-H2407/G2407</f>
        <v/>
      </c>
      <c r="J2407" s="11" t="n">
        <v>44671</v>
      </c>
      <c r="K2407" s="6">
        <f>+OPERAC[[#This Row],[cantidad]]</f>
        <v/>
      </c>
      <c r="L2407" s="6">
        <f>+OPERAC[[#This Row],[cantidad venta]]*213.173</f>
        <v/>
      </c>
      <c r="M2407" s="7">
        <f>IF(N2407=0,+L2407+H2407,0)</f>
        <v/>
      </c>
      <c r="N2407" s="7">
        <f>IF((+G2407-K2407)=0,0,+G2407-K2407)</f>
        <v/>
      </c>
      <c r="O2407" s="7">
        <f>IF(N2407=0,0,(L2407+H2407)/-N2407)</f>
        <v/>
      </c>
      <c r="P2407" s="7">
        <f>VLOOKUP(OPERAC[[#This Row],[especie]],[1]!ESPECIES[#All],6,0)</f>
        <v/>
      </c>
      <c r="Q2407" s="7">
        <f>IF(N2407&lt;&gt;0,P2407*N2407,0)</f>
        <v/>
      </c>
      <c r="R2407" s="8">
        <f>IF(Q2407&lt;&gt;0,Q2407+H2407+L2407,0)</f>
        <v/>
      </c>
      <c r="S2407" s="9">
        <f>VLOOKUP(OPERAC[[#This Row],[especie]],[1]!ESPECIES[#Data],9,FALSE)</f>
        <v/>
      </c>
    </row>
    <row r="2408">
      <c r="A2408" s="4" t="n">
        <v>2279</v>
      </c>
      <c r="B2408" s="5" t="n">
        <v>44641</v>
      </c>
      <c r="C2408" s="13" t="inlineStr">
        <is>
          <t>VTA</t>
        </is>
      </c>
      <c r="D2408" s="13" t="n">
        <v>42</v>
      </c>
      <c r="E2408" s="10">
        <f>IF(D2408&gt;0,VLOOKUP(OPERAC[[#This Row],[COD CART]],[1]!MatrizCortoLargoCyl[#All],3,0),"")</f>
        <v/>
      </c>
      <c r="F2408" s="13" t="inlineStr">
        <is>
          <t>FB</t>
        </is>
      </c>
      <c r="G2408" s="6" t="n">
        <v>2</v>
      </c>
      <c r="H2408" s="6" t="n">
        <v>-424.31276</v>
      </c>
      <c r="I2408" s="7">
        <f>-H2408/G2408</f>
        <v/>
      </c>
      <c r="J2408" s="11" t="n">
        <v>44671</v>
      </c>
      <c r="K2408" s="6">
        <f>+OPERAC[[#This Row],[cantidad]]</f>
        <v/>
      </c>
      <c r="L2408" s="6">
        <f>+OPERAC[[#This Row],[cantidad venta]]*213.173</f>
        <v/>
      </c>
      <c r="M2408" s="7">
        <f>IF(N2408=0,+L2408+H2408,0)</f>
        <v/>
      </c>
      <c r="N2408" s="7">
        <f>IF((+G2408-K2408)=0,0,+G2408-K2408)</f>
        <v/>
      </c>
      <c r="O2408" s="7">
        <f>IF(N2408=0,0,(L2408+H2408)/-N2408)</f>
        <v/>
      </c>
      <c r="P2408" s="7">
        <f>VLOOKUP(OPERAC[[#This Row],[especie]],[1]!ESPECIES[#All],6,0)</f>
        <v/>
      </c>
      <c r="Q2408" s="7">
        <f>IF(N2408&lt;&gt;0,P2408*N2408,0)</f>
        <v/>
      </c>
      <c r="R2408" s="8">
        <f>IF(Q2408&lt;&gt;0,Q2408+H2408+L2408,0)</f>
        <v/>
      </c>
      <c r="S2408" s="9">
        <f>VLOOKUP(OPERAC[[#This Row],[especie]],[1]!ESPECIES[#Data],9,FALSE)</f>
        <v/>
      </c>
    </row>
    <row r="2409">
      <c r="A2409" s="4" t="n">
        <v>2305</v>
      </c>
      <c r="B2409" s="5" t="n">
        <v>44641</v>
      </c>
      <c r="C2409" s="13" t="inlineStr">
        <is>
          <t>VTA</t>
        </is>
      </c>
      <c r="D2409" s="13" t="n">
        <v>42</v>
      </c>
      <c r="E2409" s="10">
        <f>IF(D2409&gt;0,VLOOKUP(OPERAC[[#This Row],[COD CART]],[1]!MatrizCortoLargoCyl[#All],3,0),"")</f>
        <v/>
      </c>
      <c r="F2409" s="13" t="inlineStr">
        <is>
          <t>FB</t>
        </is>
      </c>
      <c r="G2409" s="6" t="n">
        <v>2</v>
      </c>
      <c r="H2409" s="6" t="n">
        <v>-424.31276</v>
      </c>
      <c r="I2409" s="7">
        <f>-H2409/G2409</f>
        <v/>
      </c>
      <c r="J2409" s="11" t="n">
        <v>44671</v>
      </c>
      <c r="K2409" s="6">
        <f>+OPERAC[[#This Row],[cantidad]]</f>
        <v/>
      </c>
      <c r="L2409" s="6">
        <f>+OPERAC[[#This Row],[cantidad venta]]*213.173</f>
        <v/>
      </c>
      <c r="M2409" s="7">
        <f>IF(N2409=0,+L2409+H2409,0)</f>
        <v/>
      </c>
      <c r="N2409" s="7">
        <f>IF((+G2409-K2409)=0,0,+G2409-K2409)</f>
        <v/>
      </c>
      <c r="O2409" s="7">
        <f>IF(N2409=0,0,(L2409+H2409)/-N2409)</f>
        <v/>
      </c>
      <c r="P2409" s="7">
        <f>VLOOKUP(OPERAC[[#This Row],[especie]],[1]!ESPECIES[#All],6,0)</f>
        <v/>
      </c>
      <c r="Q2409" s="7">
        <f>IF(N2409&lt;&gt;0,P2409*N2409,0)</f>
        <v/>
      </c>
      <c r="R2409" s="8">
        <f>IF(Q2409&lt;&gt;0,Q2409+H2409+L2409,0)</f>
        <v/>
      </c>
      <c r="S2409" s="9">
        <f>VLOOKUP(OPERAC[[#This Row],[especie]],[1]!ESPECIES[#Data],9,FALSE)</f>
        <v/>
      </c>
    </row>
    <row r="2410">
      <c r="A2410" s="4" t="n">
        <v>3823</v>
      </c>
      <c r="B2410" s="5" t="n">
        <v>44641</v>
      </c>
      <c r="C2410" s="13" t="inlineStr">
        <is>
          <t>VTA</t>
        </is>
      </c>
      <c r="D2410" s="13" t="n">
        <v>42</v>
      </c>
      <c r="E2410" s="10">
        <f>IF(D2410&gt;0,VLOOKUP(OPERAC[[#This Row],[COD CART]],[1]!MatrizCortoLargoCyl[#All],3,0),"")</f>
        <v/>
      </c>
      <c r="F2410" s="13" t="inlineStr">
        <is>
          <t>FB</t>
        </is>
      </c>
      <c r="G2410" s="6" t="n">
        <v>2</v>
      </c>
      <c r="H2410" s="6" t="n">
        <v>-424.31276</v>
      </c>
      <c r="I2410" s="7">
        <f>-H2410/G2410</f>
        <v/>
      </c>
      <c r="J2410" s="11" t="n">
        <v>44671</v>
      </c>
      <c r="K2410" s="6">
        <f>+OPERAC[[#This Row],[cantidad]]</f>
        <v/>
      </c>
      <c r="L2410" s="6">
        <f>+OPERAC[[#This Row],[cantidad venta]]*213.173</f>
        <v/>
      </c>
      <c r="M2410" s="7">
        <f>IF(N2410=0,+L2410+H2410,0)</f>
        <v/>
      </c>
      <c r="N2410" s="7">
        <f>IF((+G2410-K2410)=0,0,+G2410-K2410)</f>
        <v/>
      </c>
      <c r="O2410" s="7">
        <f>IF(N2410=0,0,(L2410+H2410)/-N2410)</f>
        <v/>
      </c>
      <c r="P2410" s="7">
        <f>VLOOKUP(OPERAC[[#This Row],[especie]],[1]!ESPECIES[#All],6,0)</f>
        <v/>
      </c>
      <c r="Q2410" s="7">
        <f>IF(N2410&lt;&gt;0,P2410*N2410,0)</f>
        <v/>
      </c>
      <c r="R2410" s="8">
        <f>IF(Q2410&lt;&gt;0,Q2410+H2410+L2410,0)</f>
        <v/>
      </c>
      <c r="S2410" s="9">
        <f>VLOOKUP(OPERAC[[#This Row],[especie]],[1]!ESPECIES[#Data],9,FALSE)</f>
        <v/>
      </c>
    </row>
    <row r="2411">
      <c r="A2411" s="4" t="n">
        <v>7919</v>
      </c>
      <c r="B2411" s="5" t="n">
        <v>44641</v>
      </c>
      <c r="C2411" s="13" t="inlineStr">
        <is>
          <t>VTA</t>
        </is>
      </c>
      <c r="D2411" s="13" t="n">
        <v>42</v>
      </c>
      <c r="E2411" s="10">
        <f>IF(D2411&gt;0,VLOOKUP(OPERAC[[#This Row],[COD CART]],[1]!MatrizCortoLargoCyl[#All],3,0),"")</f>
        <v/>
      </c>
      <c r="F2411" s="13" t="inlineStr">
        <is>
          <t>FB</t>
        </is>
      </c>
      <c r="G2411" s="6" t="n">
        <v>2</v>
      </c>
      <c r="H2411" s="6" t="n">
        <v>-424.31276</v>
      </c>
      <c r="I2411" s="7">
        <f>-H2411/G2411</f>
        <v/>
      </c>
      <c r="J2411" s="11" t="n">
        <v>44671</v>
      </c>
      <c r="K2411" s="6">
        <f>+OPERAC[[#This Row],[cantidad]]</f>
        <v/>
      </c>
      <c r="L2411" s="6">
        <f>+OPERAC[[#This Row],[cantidad venta]]*213.173</f>
        <v/>
      </c>
      <c r="M2411" s="7">
        <f>IF(N2411=0,+L2411+H2411,0)</f>
        <v/>
      </c>
      <c r="N2411" s="7">
        <f>IF((+G2411-K2411)=0,0,+G2411-K2411)</f>
        <v/>
      </c>
      <c r="O2411" s="7">
        <f>IF(N2411=0,0,(L2411+H2411)/-N2411)</f>
        <v/>
      </c>
      <c r="P2411" s="7">
        <f>VLOOKUP(OPERAC[[#This Row],[especie]],[1]!ESPECIES[#All],6,0)</f>
        <v/>
      </c>
      <c r="Q2411" s="7">
        <f>IF(N2411&lt;&gt;0,P2411*N2411,0)</f>
        <v/>
      </c>
      <c r="R2411" s="8">
        <f>IF(Q2411&lt;&gt;0,Q2411+H2411+L2411,0)</f>
        <v/>
      </c>
      <c r="S2411" s="9">
        <f>VLOOKUP(OPERAC[[#This Row],[especie]],[1]!ESPECIES[#Data],9,FALSE)</f>
        <v/>
      </c>
    </row>
    <row r="2412">
      <c r="A2412" s="4" t="n">
        <v>11164</v>
      </c>
      <c r="B2412" s="5" t="n">
        <v>44641</v>
      </c>
      <c r="C2412" s="13" t="inlineStr">
        <is>
          <t>VTA</t>
        </is>
      </c>
      <c r="D2412" s="13" t="n">
        <v>42</v>
      </c>
      <c r="E2412" s="10">
        <f>IF(D2412&gt;0,VLOOKUP(OPERAC[[#This Row],[COD CART]],[1]!MatrizCortoLargoCyl[#All],3,0),"")</f>
        <v/>
      </c>
      <c r="F2412" s="13" t="inlineStr">
        <is>
          <t>FB</t>
        </is>
      </c>
      <c r="G2412" s="6" t="n">
        <v>2</v>
      </c>
      <c r="H2412" s="6" t="n">
        <v>-424.31276</v>
      </c>
      <c r="I2412" s="7">
        <f>-H2412/G2412</f>
        <v/>
      </c>
      <c r="J2412" s="11" t="n">
        <v>44671</v>
      </c>
      <c r="K2412" s="6">
        <f>+OPERAC[[#This Row],[cantidad]]</f>
        <v/>
      </c>
      <c r="L2412" s="6">
        <f>+OPERAC[[#This Row],[cantidad venta]]*213.173</f>
        <v/>
      </c>
      <c r="M2412" s="7">
        <f>IF(N2412=0,+L2412+H2412,0)</f>
        <v/>
      </c>
      <c r="N2412" s="7">
        <f>IF((+G2412-K2412)=0,0,+G2412-K2412)</f>
        <v/>
      </c>
      <c r="O2412" s="7">
        <f>IF(N2412=0,0,(L2412+H2412)/-N2412)</f>
        <v/>
      </c>
      <c r="P2412" s="7">
        <f>VLOOKUP(OPERAC[[#This Row],[especie]],[1]!ESPECIES[#All],6,0)</f>
        <v/>
      </c>
      <c r="Q2412" s="7">
        <f>IF(N2412&lt;&gt;0,P2412*N2412,0)</f>
        <v/>
      </c>
      <c r="R2412" s="8">
        <f>IF(Q2412&lt;&gt;0,Q2412+H2412+L2412,0)</f>
        <v/>
      </c>
      <c r="S2412" s="9">
        <f>VLOOKUP(OPERAC[[#This Row],[especie]],[1]!ESPECIES[#Data],9,FALSE)</f>
        <v/>
      </c>
    </row>
    <row r="2413">
      <c r="A2413" s="4" t="n">
        <v>11168</v>
      </c>
      <c r="B2413" s="5" t="n">
        <v>44641</v>
      </c>
      <c r="C2413" s="13" t="inlineStr">
        <is>
          <t>VTA</t>
        </is>
      </c>
      <c r="D2413" s="13" t="n">
        <v>42</v>
      </c>
      <c r="E2413" s="10">
        <f>IF(D2413&gt;0,VLOOKUP(OPERAC[[#This Row],[COD CART]],[1]!MatrizCortoLargoCyl[#All],3,0),"")</f>
        <v/>
      </c>
      <c r="F2413" s="13" t="inlineStr">
        <is>
          <t>FB</t>
        </is>
      </c>
      <c r="G2413" s="6" t="n">
        <v>2</v>
      </c>
      <c r="H2413" s="6" t="n">
        <v>-424.31276</v>
      </c>
      <c r="I2413" s="7">
        <f>-H2413/G2413</f>
        <v/>
      </c>
      <c r="J2413" s="11" t="n">
        <v>44671</v>
      </c>
      <c r="K2413" s="6">
        <f>+OPERAC[[#This Row],[cantidad]]</f>
        <v/>
      </c>
      <c r="L2413" s="6">
        <f>+OPERAC[[#This Row],[cantidad venta]]*213.173</f>
        <v/>
      </c>
      <c r="M2413" s="7">
        <f>IF(N2413=0,+L2413+H2413,0)</f>
        <v/>
      </c>
      <c r="N2413" s="7">
        <f>IF((+G2413-K2413)=0,0,+G2413-K2413)</f>
        <v/>
      </c>
      <c r="O2413" s="7">
        <f>IF(N2413=0,0,(L2413+H2413)/-N2413)</f>
        <v/>
      </c>
      <c r="P2413" s="7">
        <f>VLOOKUP(OPERAC[[#This Row],[especie]],[1]!ESPECIES[#All],6,0)</f>
        <v/>
      </c>
      <c r="Q2413" s="7">
        <f>IF(N2413&lt;&gt;0,P2413*N2413,0)</f>
        <v/>
      </c>
      <c r="R2413" s="8">
        <f>IF(Q2413&lt;&gt;0,Q2413+H2413+L2413,0)</f>
        <v/>
      </c>
      <c r="S2413" s="9">
        <f>VLOOKUP(OPERAC[[#This Row],[especie]],[1]!ESPECIES[#Data],9,FALSE)</f>
        <v/>
      </c>
    </row>
    <row r="2414">
      <c r="A2414" s="4" t="n">
        <v>11170</v>
      </c>
      <c r="B2414" s="5" t="n">
        <v>44641</v>
      </c>
      <c r="C2414" s="13" t="inlineStr">
        <is>
          <t>VTA</t>
        </is>
      </c>
      <c r="D2414" s="13" t="n">
        <v>42</v>
      </c>
      <c r="E2414" s="10">
        <f>IF(D2414&gt;0,VLOOKUP(OPERAC[[#This Row],[COD CART]],[1]!MatrizCortoLargoCyl[#All],3,0),"")</f>
        <v/>
      </c>
      <c r="F2414" s="13" t="inlineStr">
        <is>
          <t>FB</t>
        </is>
      </c>
      <c r="G2414" s="6" t="n">
        <v>2</v>
      </c>
      <c r="H2414" s="6" t="n">
        <v>-424.31276</v>
      </c>
      <c r="I2414" s="7">
        <f>-H2414/G2414</f>
        <v/>
      </c>
      <c r="J2414" s="11" t="n">
        <v>44671</v>
      </c>
      <c r="K2414" s="6">
        <f>+OPERAC[[#This Row],[cantidad]]</f>
        <v/>
      </c>
      <c r="L2414" s="6">
        <f>+OPERAC[[#This Row],[cantidad venta]]*213.173</f>
        <v/>
      </c>
      <c r="M2414" s="7">
        <f>IF(N2414=0,+L2414+H2414,0)</f>
        <v/>
      </c>
      <c r="N2414" s="7">
        <f>IF((+G2414-K2414)=0,0,+G2414-K2414)</f>
        <v/>
      </c>
      <c r="O2414" s="7">
        <f>IF(N2414=0,0,(L2414+H2414)/-N2414)</f>
        <v/>
      </c>
      <c r="P2414" s="7">
        <f>VLOOKUP(OPERAC[[#This Row],[especie]],[1]!ESPECIES[#All],6,0)</f>
        <v/>
      </c>
      <c r="Q2414" s="7">
        <f>IF(N2414&lt;&gt;0,P2414*N2414,0)</f>
        <v/>
      </c>
      <c r="R2414" s="8">
        <f>IF(Q2414&lt;&gt;0,Q2414+H2414+L2414,0)</f>
        <v/>
      </c>
      <c r="S2414" s="9">
        <f>VLOOKUP(OPERAC[[#This Row],[especie]],[1]!ESPECIES[#Data],9,FALSE)</f>
        <v/>
      </c>
    </row>
    <row r="2415">
      <c r="A2415" s="4" t="n">
        <v>12662</v>
      </c>
      <c r="B2415" s="5" t="n">
        <v>44641</v>
      </c>
      <c r="C2415" s="13" t="inlineStr">
        <is>
          <t>VTA</t>
        </is>
      </c>
      <c r="D2415" s="13" t="n">
        <v>42</v>
      </c>
      <c r="E2415" s="10">
        <f>IF(D2415&gt;0,VLOOKUP(OPERAC[[#This Row],[COD CART]],[1]!MatrizCortoLargoCyl[#All],3,0),"")</f>
        <v/>
      </c>
      <c r="F2415" s="13" t="inlineStr">
        <is>
          <t>FB</t>
        </is>
      </c>
      <c r="G2415" s="6" t="n">
        <v>2</v>
      </c>
      <c r="H2415" s="6" t="n">
        <v>-424.31276</v>
      </c>
      <c r="I2415" s="7">
        <f>-H2415/G2415</f>
        <v/>
      </c>
      <c r="J2415" s="11" t="n">
        <v>44671</v>
      </c>
      <c r="K2415" s="6">
        <f>+OPERAC[[#This Row],[cantidad]]</f>
        <v/>
      </c>
      <c r="L2415" s="6">
        <f>+OPERAC[[#This Row],[cantidad venta]]*213.173</f>
        <v/>
      </c>
      <c r="M2415" s="7">
        <f>IF(N2415=0,+L2415+H2415,0)</f>
        <v/>
      </c>
      <c r="N2415" s="7">
        <f>IF((+G2415-K2415)=0,0,+G2415-K2415)</f>
        <v/>
      </c>
      <c r="O2415" s="7">
        <f>IF(N2415=0,0,(L2415+H2415)/-N2415)</f>
        <v/>
      </c>
      <c r="P2415" s="7">
        <f>VLOOKUP(OPERAC[[#This Row],[especie]],[1]!ESPECIES[#All],6,0)</f>
        <v/>
      </c>
      <c r="Q2415" s="7">
        <f>IF(N2415&lt;&gt;0,P2415*N2415,0)</f>
        <v/>
      </c>
      <c r="R2415" s="8">
        <f>IF(Q2415&lt;&gt;0,Q2415+H2415+L2415,0)</f>
        <v/>
      </c>
      <c r="S2415" s="9">
        <f>VLOOKUP(OPERAC[[#This Row],[especie]],[1]!ESPECIES[#Data],9,FALSE)</f>
        <v/>
      </c>
    </row>
    <row r="2416">
      <c r="A2416" s="4" t="n">
        <v>12672</v>
      </c>
      <c r="B2416" s="5" t="n">
        <v>44641</v>
      </c>
      <c r="C2416" s="13" t="inlineStr">
        <is>
          <t>VTA</t>
        </is>
      </c>
      <c r="D2416" s="13" t="n">
        <v>42</v>
      </c>
      <c r="E2416" s="10">
        <f>IF(D2416&gt;0,VLOOKUP(OPERAC[[#This Row],[COD CART]],[1]!MatrizCortoLargoCyl[#All],3,0),"")</f>
        <v/>
      </c>
      <c r="F2416" s="13" t="inlineStr">
        <is>
          <t>FB</t>
        </is>
      </c>
      <c r="G2416" s="6" t="n">
        <v>2</v>
      </c>
      <c r="H2416" s="6" t="n">
        <v>-424.31276</v>
      </c>
      <c r="I2416" s="7">
        <f>-H2416/G2416</f>
        <v/>
      </c>
      <c r="J2416" s="11" t="n">
        <v>44671</v>
      </c>
      <c r="K2416" s="6">
        <f>+OPERAC[[#This Row],[cantidad]]</f>
        <v/>
      </c>
      <c r="L2416" s="6">
        <f>+OPERAC[[#This Row],[cantidad venta]]*213.173</f>
        <v/>
      </c>
      <c r="M2416" s="7">
        <f>IF(N2416=0,+L2416+H2416,0)</f>
        <v/>
      </c>
      <c r="N2416" s="7">
        <f>IF((+G2416-K2416)=0,0,+G2416-K2416)</f>
        <v/>
      </c>
      <c r="O2416" s="7">
        <f>IF(N2416=0,0,(L2416+H2416)/-N2416)</f>
        <v/>
      </c>
      <c r="P2416" s="7">
        <f>VLOOKUP(OPERAC[[#This Row],[especie]],[1]!ESPECIES[#All],6,0)</f>
        <v/>
      </c>
      <c r="Q2416" s="7">
        <f>IF(N2416&lt;&gt;0,P2416*N2416,0)</f>
        <v/>
      </c>
      <c r="R2416" s="8">
        <f>IF(Q2416&lt;&gt;0,Q2416+H2416+L2416,0)</f>
        <v/>
      </c>
      <c r="S2416" s="9">
        <f>VLOOKUP(OPERAC[[#This Row],[especie]],[1]!ESPECIES[#Data],9,FALSE)</f>
        <v/>
      </c>
    </row>
    <row r="2417">
      <c r="A2417" s="4" t="n">
        <v>18716</v>
      </c>
      <c r="B2417" s="5" t="n">
        <v>44641</v>
      </c>
      <c r="C2417" s="13" t="inlineStr">
        <is>
          <t>VTA</t>
        </is>
      </c>
      <c r="D2417" s="13" t="n">
        <v>42</v>
      </c>
      <c r="E2417" s="10">
        <f>IF(D2417&gt;0,VLOOKUP(OPERAC[[#This Row],[COD CART]],[1]!MatrizCortoLargoCyl[#All],3,0),"")</f>
        <v/>
      </c>
      <c r="F2417" s="13" t="inlineStr">
        <is>
          <t>FB</t>
        </is>
      </c>
      <c r="G2417" s="6" t="n">
        <v>2</v>
      </c>
      <c r="H2417" s="6" t="n">
        <v>-424.31276</v>
      </c>
      <c r="I2417" s="7">
        <f>-H2417/G2417</f>
        <v/>
      </c>
      <c r="J2417" s="11" t="n">
        <v>44645</v>
      </c>
      <c r="K2417" s="6" t="n">
        <v>2</v>
      </c>
      <c r="L2417" s="6" t="n">
        <v>434.746</v>
      </c>
      <c r="M2417" s="7">
        <f>IF(N2417=0,+L2417+H2417,0)</f>
        <v/>
      </c>
      <c r="N2417" s="7">
        <f>IF((+G2417-K2417)=0,0,+G2417-K2417)</f>
        <v/>
      </c>
      <c r="O2417" s="7">
        <f>IF(N2417=0,0,(L2417+H2417)/-N2417)</f>
        <v/>
      </c>
      <c r="P2417" s="7">
        <f>VLOOKUP(OPERAC[[#This Row],[especie]],[1]!ESPECIES[#All],6,0)</f>
        <v/>
      </c>
      <c r="Q2417" s="7">
        <f>IF(N2417&lt;&gt;0,P2417*N2417,0)</f>
        <v/>
      </c>
      <c r="R2417" s="8">
        <f>IF(Q2417&lt;&gt;0,Q2417+H2417+L2417,0)</f>
        <v/>
      </c>
      <c r="S2417" s="9">
        <f>VLOOKUP(OPERAC[[#This Row],[especie]],[1]!ESPECIES[#Data],9,FALSE)</f>
        <v/>
      </c>
    </row>
    <row r="2418">
      <c r="A2418" s="4" t="n">
        <v>12684</v>
      </c>
      <c r="B2418" s="5" t="n">
        <v>44641</v>
      </c>
      <c r="C2418" s="13" t="inlineStr">
        <is>
          <t>VTA</t>
        </is>
      </c>
      <c r="D2418" s="13" t="n">
        <v>42</v>
      </c>
      <c r="E2418" s="10">
        <f>IF(D2418&gt;0,VLOOKUP(OPERAC[[#This Row],[COD CART]],[1]!MatrizCortoLargoCyl[#All],3,0),"")</f>
        <v/>
      </c>
      <c r="F2418" s="13" t="inlineStr">
        <is>
          <t>FB</t>
        </is>
      </c>
      <c r="G2418" s="6" t="n">
        <v>2</v>
      </c>
      <c r="H2418" s="6" t="n">
        <v>-424.31276</v>
      </c>
      <c r="I2418" s="7">
        <f>-H2418/G2418</f>
        <v/>
      </c>
      <c r="J2418" s="11" t="n">
        <v>44671</v>
      </c>
      <c r="K2418" s="6">
        <f>+OPERAC[[#This Row],[cantidad]]</f>
        <v/>
      </c>
      <c r="L2418" s="6">
        <f>+OPERAC[[#This Row],[cantidad venta]]*213.173</f>
        <v/>
      </c>
      <c r="M2418" s="7">
        <f>IF(N2418=0,+L2418+H2418,0)</f>
        <v/>
      </c>
      <c r="N2418" s="7">
        <f>IF((+G2418-K2418)=0,0,+G2418-K2418)</f>
        <v/>
      </c>
      <c r="O2418" s="7">
        <f>IF(N2418=0,0,(L2418+H2418)/-N2418)</f>
        <v/>
      </c>
      <c r="P2418" s="7">
        <f>VLOOKUP(OPERAC[[#This Row],[especie]],[1]!ESPECIES[#All],6,0)</f>
        <v/>
      </c>
      <c r="Q2418" s="7">
        <f>IF(N2418&lt;&gt;0,P2418*N2418,0)</f>
        <v/>
      </c>
      <c r="R2418" s="8">
        <f>IF(Q2418&lt;&gt;0,Q2418+H2418+L2418,0)</f>
        <v/>
      </c>
      <c r="S2418" s="9">
        <f>VLOOKUP(OPERAC[[#This Row],[especie]],[1]!ESPECIES[#Data],9,FALSE)</f>
        <v/>
      </c>
    </row>
    <row r="2419">
      <c r="A2419" s="4" t="n">
        <v>12686</v>
      </c>
      <c r="B2419" s="5" t="n">
        <v>44641</v>
      </c>
      <c r="C2419" s="13" t="inlineStr">
        <is>
          <t>VTA</t>
        </is>
      </c>
      <c r="D2419" s="13" t="n">
        <v>42</v>
      </c>
      <c r="E2419" s="10">
        <f>IF(D2419&gt;0,VLOOKUP(OPERAC[[#This Row],[COD CART]],[1]!MatrizCortoLargoCyl[#All],3,0),"")</f>
        <v/>
      </c>
      <c r="F2419" s="13" t="inlineStr">
        <is>
          <t>FB</t>
        </is>
      </c>
      <c r="G2419" s="6" t="n">
        <v>2</v>
      </c>
      <c r="H2419" s="6" t="n">
        <v>-424.31276</v>
      </c>
      <c r="I2419" s="7">
        <f>-H2419/G2419</f>
        <v/>
      </c>
      <c r="J2419" s="11" t="n">
        <v>44671</v>
      </c>
      <c r="K2419" s="6">
        <f>+OPERAC[[#This Row],[cantidad]]</f>
        <v/>
      </c>
      <c r="L2419" s="6">
        <f>+OPERAC[[#This Row],[cantidad venta]]*213.173</f>
        <v/>
      </c>
      <c r="M2419" s="7">
        <f>IF(N2419=0,+L2419+H2419,0)</f>
        <v/>
      </c>
      <c r="N2419" s="7">
        <f>IF((+G2419-K2419)=0,0,+G2419-K2419)</f>
        <v/>
      </c>
      <c r="O2419" s="7">
        <f>IF(N2419=0,0,(L2419+H2419)/-N2419)</f>
        <v/>
      </c>
      <c r="P2419" s="7">
        <f>VLOOKUP(OPERAC[[#This Row],[especie]],[1]!ESPECIES[#All],6,0)</f>
        <v/>
      </c>
      <c r="Q2419" s="7">
        <f>IF(N2419&lt;&gt;0,P2419*N2419,0)</f>
        <v/>
      </c>
      <c r="R2419" s="8">
        <f>IF(Q2419&lt;&gt;0,Q2419+H2419+L2419,0)</f>
        <v/>
      </c>
      <c r="S2419" s="9">
        <f>VLOOKUP(OPERAC[[#This Row],[especie]],[1]!ESPECIES[#Data],9,FALSE)</f>
        <v/>
      </c>
    </row>
    <row r="2420">
      <c r="A2420" s="4" t="n">
        <v>13185</v>
      </c>
      <c r="B2420" s="5" t="n">
        <v>44641</v>
      </c>
      <c r="C2420" s="13" t="inlineStr">
        <is>
          <t>VTA</t>
        </is>
      </c>
      <c r="D2420" s="13" t="n">
        <v>42</v>
      </c>
      <c r="E2420" s="10">
        <f>IF(D2420&gt;0,VLOOKUP(OPERAC[[#This Row],[COD CART]],[1]!MatrizCortoLargoCyl[#All],3,0),"")</f>
        <v/>
      </c>
      <c r="F2420" s="13" t="inlineStr">
        <is>
          <t>FB</t>
        </is>
      </c>
      <c r="G2420" s="6" t="n">
        <v>2</v>
      </c>
      <c r="H2420" s="6" t="n">
        <v>-424.31276</v>
      </c>
      <c r="I2420" s="7">
        <f>-H2420/G2420</f>
        <v/>
      </c>
      <c r="J2420" s="11" t="n">
        <v>44671</v>
      </c>
      <c r="K2420" s="6">
        <f>+OPERAC[[#This Row],[cantidad]]</f>
        <v/>
      </c>
      <c r="L2420" s="6">
        <f>+OPERAC[[#This Row],[cantidad venta]]*213.173</f>
        <v/>
      </c>
      <c r="M2420" s="7">
        <f>IF(N2420=0,+L2420+H2420,0)</f>
        <v/>
      </c>
      <c r="N2420" s="7">
        <f>IF((+G2420-K2420)=0,0,+G2420-K2420)</f>
        <v/>
      </c>
      <c r="O2420" s="7">
        <f>IF(N2420=0,0,(L2420+H2420)/-N2420)</f>
        <v/>
      </c>
      <c r="P2420" s="7">
        <f>VLOOKUP(OPERAC[[#This Row],[especie]],[1]!ESPECIES[#All],6,0)</f>
        <v/>
      </c>
      <c r="Q2420" s="7">
        <f>IF(N2420&lt;&gt;0,P2420*N2420,0)</f>
        <v/>
      </c>
      <c r="R2420" s="8">
        <f>IF(Q2420&lt;&gt;0,Q2420+H2420+L2420,0)</f>
        <v/>
      </c>
      <c r="S2420" s="9">
        <f>VLOOKUP(OPERAC[[#This Row],[especie]],[1]!ESPECIES[#Data],9,FALSE)</f>
        <v/>
      </c>
    </row>
    <row r="2421">
      <c r="A2421" s="4" t="n">
        <v>13190</v>
      </c>
      <c r="B2421" s="5" t="n">
        <v>44641</v>
      </c>
      <c r="C2421" s="13" t="inlineStr">
        <is>
          <t>VTA</t>
        </is>
      </c>
      <c r="D2421" s="13" t="n">
        <v>42</v>
      </c>
      <c r="E2421" s="10">
        <f>IF(D2421&gt;0,VLOOKUP(OPERAC[[#This Row],[COD CART]],[1]!MatrizCortoLargoCyl[#All],3,0),"")</f>
        <v/>
      </c>
      <c r="F2421" s="13" t="inlineStr">
        <is>
          <t>FB</t>
        </is>
      </c>
      <c r="G2421" s="6" t="n">
        <v>2</v>
      </c>
      <c r="H2421" s="6" t="n">
        <v>-424.31276</v>
      </c>
      <c r="I2421" s="7">
        <f>-H2421/G2421</f>
        <v/>
      </c>
      <c r="J2421" s="11" t="n">
        <v>44671</v>
      </c>
      <c r="K2421" s="6">
        <f>+OPERAC[[#This Row],[cantidad]]</f>
        <v/>
      </c>
      <c r="L2421" s="6">
        <f>+OPERAC[[#This Row],[cantidad venta]]*213.173</f>
        <v/>
      </c>
      <c r="M2421" s="7">
        <f>IF(N2421=0,+L2421+H2421,0)</f>
        <v/>
      </c>
      <c r="N2421" s="7">
        <f>IF((+G2421-K2421)=0,0,+G2421-K2421)</f>
        <v/>
      </c>
      <c r="O2421" s="7">
        <f>IF(N2421=0,0,(L2421+H2421)/-N2421)</f>
        <v/>
      </c>
      <c r="P2421" s="7">
        <f>VLOOKUP(OPERAC[[#This Row],[especie]],[1]!ESPECIES[#All],6,0)</f>
        <v/>
      </c>
      <c r="Q2421" s="7">
        <f>IF(N2421&lt;&gt;0,P2421*N2421,0)</f>
        <v/>
      </c>
      <c r="R2421" s="8">
        <f>IF(Q2421&lt;&gt;0,Q2421+H2421+L2421,0)</f>
        <v/>
      </c>
      <c r="S2421" s="9">
        <f>VLOOKUP(OPERAC[[#This Row],[especie]],[1]!ESPECIES[#Data],9,FALSE)</f>
        <v/>
      </c>
    </row>
    <row r="2422">
      <c r="A2422" s="4" t="n">
        <v>18668</v>
      </c>
      <c r="B2422" s="5" t="n">
        <v>44641</v>
      </c>
      <c r="C2422" s="13" t="inlineStr">
        <is>
          <t>VTA</t>
        </is>
      </c>
      <c r="D2422" s="13" t="n">
        <v>42</v>
      </c>
      <c r="E2422" s="10">
        <f>IF(D2422&gt;0,VLOOKUP(OPERAC[[#This Row],[COD CART]],[1]!MatrizCortoLargoCyl[#All],3,0),"")</f>
        <v/>
      </c>
      <c r="F2422" s="13" t="inlineStr">
        <is>
          <t>FB</t>
        </is>
      </c>
      <c r="G2422" s="6" t="n">
        <v>2</v>
      </c>
      <c r="H2422" s="6" t="n">
        <v>-424.31276</v>
      </c>
      <c r="I2422" s="7">
        <f>-H2422/G2422</f>
        <v/>
      </c>
      <c r="J2422" s="11" t="n">
        <v>44671</v>
      </c>
      <c r="K2422" s="6">
        <f>+OPERAC[[#This Row],[cantidad]]</f>
        <v/>
      </c>
      <c r="L2422" s="6">
        <f>+OPERAC[[#This Row],[cantidad venta]]*213.173</f>
        <v/>
      </c>
      <c r="M2422" s="7">
        <f>IF(N2422=0,+L2422+H2422,0)</f>
        <v/>
      </c>
      <c r="N2422" s="7">
        <f>IF((+G2422-K2422)=0,0,+G2422-K2422)</f>
        <v/>
      </c>
      <c r="O2422" s="7">
        <f>IF(N2422=0,0,(L2422+H2422)/-N2422)</f>
        <v/>
      </c>
      <c r="P2422" s="7">
        <f>VLOOKUP(OPERAC[[#This Row],[especie]],[1]!ESPECIES[#All],6,0)</f>
        <v/>
      </c>
      <c r="Q2422" s="7">
        <f>IF(N2422&lt;&gt;0,P2422*N2422,0)</f>
        <v/>
      </c>
      <c r="R2422" s="8">
        <f>IF(Q2422&lt;&gt;0,Q2422+H2422+L2422,0)</f>
        <v/>
      </c>
      <c r="S2422" s="9">
        <f>VLOOKUP(OPERAC[[#This Row],[especie]],[1]!ESPECIES[#Data],9,FALSE)</f>
        <v/>
      </c>
    </row>
    <row r="2423">
      <c r="A2423" s="4" t="n">
        <v>18677</v>
      </c>
      <c r="B2423" s="5" t="n">
        <v>44641</v>
      </c>
      <c r="C2423" s="13" t="inlineStr">
        <is>
          <t>VTA</t>
        </is>
      </c>
      <c r="D2423" s="13" t="n">
        <v>42</v>
      </c>
      <c r="E2423" s="10">
        <f>IF(D2423&gt;0,VLOOKUP(OPERAC[[#This Row],[COD CART]],[1]!MatrizCortoLargoCyl[#All],3,0),"")</f>
        <v/>
      </c>
      <c r="F2423" s="13" t="inlineStr">
        <is>
          <t>FB</t>
        </is>
      </c>
      <c r="G2423" s="6" t="n">
        <v>2</v>
      </c>
      <c r="H2423" s="6" t="n">
        <v>-424.31276</v>
      </c>
      <c r="I2423" s="7">
        <f>-H2423/G2423</f>
        <v/>
      </c>
      <c r="J2423" s="11" t="n">
        <v>44671</v>
      </c>
      <c r="K2423" s="6">
        <f>+OPERAC[[#This Row],[cantidad]]</f>
        <v/>
      </c>
      <c r="L2423" s="6">
        <f>+OPERAC[[#This Row],[cantidad venta]]*213.173</f>
        <v/>
      </c>
      <c r="M2423" s="7">
        <f>IF(N2423=0,+L2423+H2423,0)</f>
        <v/>
      </c>
      <c r="N2423" s="7">
        <f>IF((+G2423-K2423)=0,0,+G2423-K2423)</f>
        <v/>
      </c>
      <c r="O2423" s="7">
        <f>IF(N2423=0,0,(L2423+H2423)/-N2423)</f>
        <v/>
      </c>
      <c r="P2423" s="7">
        <f>VLOOKUP(OPERAC[[#This Row],[especie]],[1]!ESPECIES[#All],6,0)</f>
        <v/>
      </c>
      <c r="Q2423" s="7">
        <f>IF(N2423&lt;&gt;0,P2423*N2423,0)</f>
        <v/>
      </c>
      <c r="R2423" s="8">
        <f>IF(Q2423&lt;&gt;0,Q2423+H2423+L2423,0)</f>
        <v/>
      </c>
      <c r="S2423" s="9">
        <f>VLOOKUP(OPERAC[[#This Row],[especie]],[1]!ESPECIES[#Data],9,FALSE)</f>
        <v/>
      </c>
    </row>
    <row r="2424">
      <c r="A2424" s="4" t="n">
        <v>18713</v>
      </c>
      <c r="B2424" s="5" t="n">
        <v>44641</v>
      </c>
      <c r="C2424" s="13" t="inlineStr">
        <is>
          <t>VTA</t>
        </is>
      </c>
      <c r="D2424" s="13" t="n">
        <v>42</v>
      </c>
      <c r="E2424" s="10">
        <f>IF(D2424&gt;0,VLOOKUP(OPERAC[[#This Row],[COD CART]],[1]!MatrizCortoLargoCyl[#All],3,0),"")</f>
        <v/>
      </c>
      <c r="F2424" s="13" t="inlineStr">
        <is>
          <t>FB</t>
        </is>
      </c>
      <c r="G2424" s="6" t="n">
        <v>2</v>
      </c>
      <c r="H2424" s="6" t="n">
        <v>-424.31276</v>
      </c>
      <c r="I2424" s="7">
        <f>-H2424/G2424</f>
        <v/>
      </c>
      <c r="J2424" s="11" t="n">
        <v>44671</v>
      </c>
      <c r="K2424" s="6">
        <f>+OPERAC[[#This Row],[cantidad]]</f>
        <v/>
      </c>
      <c r="L2424" s="6">
        <f>+OPERAC[[#This Row],[cantidad venta]]*213.173</f>
        <v/>
      </c>
      <c r="M2424" s="7">
        <f>IF(N2424=0,+L2424+H2424,0)</f>
        <v/>
      </c>
      <c r="N2424" s="7">
        <f>IF((+G2424-K2424)=0,0,+G2424-K2424)</f>
        <v/>
      </c>
      <c r="O2424" s="7">
        <f>IF(N2424=0,0,(L2424+H2424)/-N2424)</f>
        <v/>
      </c>
      <c r="P2424" s="7">
        <f>VLOOKUP(OPERAC[[#This Row],[especie]],[1]!ESPECIES[#All],6,0)</f>
        <v/>
      </c>
      <c r="Q2424" s="7">
        <f>IF(N2424&lt;&gt;0,P2424*N2424,0)</f>
        <v/>
      </c>
      <c r="R2424" s="8">
        <f>IF(Q2424&lt;&gt;0,Q2424+H2424+L2424,0)</f>
        <v/>
      </c>
      <c r="S2424" s="9">
        <f>VLOOKUP(OPERAC[[#This Row],[especie]],[1]!ESPECIES[#Data],9,FALSE)</f>
        <v/>
      </c>
    </row>
    <row r="2425">
      <c r="A2425" s="4" t="n">
        <v>19897</v>
      </c>
      <c r="B2425" s="5" t="n">
        <v>44641</v>
      </c>
      <c r="C2425" s="13" t="inlineStr">
        <is>
          <t>VTA</t>
        </is>
      </c>
      <c r="D2425" s="13" t="n">
        <v>42</v>
      </c>
      <c r="E2425" s="10">
        <f>IF(D2425&gt;0,VLOOKUP(OPERAC[[#This Row],[COD CART]],[1]!MatrizCortoLargoCyl[#All],3,0),"")</f>
        <v/>
      </c>
      <c r="F2425" s="13" t="inlineStr">
        <is>
          <t>FB</t>
        </is>
      </c>
      <c r="G2425" s="6" t="n">
        <v>2</v>
      </c>
      <c r="H2425" s="6" t="n">
        <v>-424.31276</v>
      </c>
      <c r="I2425" s="7">
        <f>-H2425/G2425</f>
        <v/>
      </c>
      <c r="J2425" s="11" t="n">
        <v>44671</v>
      </c>
      <c r="K2425" s="6">
        <f>+OPERAC[[#This Row],[cantidad]]</f>
        <v/>
      </c>
      <c r="L2425" s="6">
        <f>+OPERAC[[#This Row],[cantidad venta]]*213.173</f>
        <v/>
      </c>
      <c r="M2425" s="7">
        <f>IF(N2425=0,+L2425+H2425,0)</f>
        <v/>
      </c>
      <c r="N2425" s="7">
        <f>IF((+G2425-K2425)=0,0,+G2425-K2425)</f>
        <v/>
      </c>
      <c r="O2425" s="7">
        <f>IF(N2425=0,0,(L2425+H2425)/-N2425)</f>
        <v/>
      </c>
      <c r="P2425" s="7">
        <f>VLOOKUP(OPERAC[[#This Row],[especie]],[1]!ESPECIES[#All],6,0)</f>
        <v/>
      </c>
      <c r="Q2425" s="7">
        <f>IF(N2425&lt;&gt;0,P2425*N2425,0)</f>
        <v/>
      </c>
      <c r="R2425" s="8">
        <f>IF(Q2425&lt;&gt;0,Q2425+H2425+L2425,0)</f>
        <v/>
      </c>
      <c r="S2425" s="9">
        <f>VLOOKUP(OPERAC[[#This Row],[especie]],[1]!ESPECIES[#Data],9,FALSE)</f>
        <v/>
      </c>
    </row>
    <row r="2426">
      <c r="A2426" s="4" t="n">
        <v>22421</v>
      </c>
      <c r="B2426" s="5" t="n">
        <v>44641</v>
      </c>
      <c r="C2426" s="13" t="inlineStr">
        <is>
          <t>VTA</t>
        </is>
      </c>
      <c r="D2426" s="13" t="n">
        <v>42</v>
      </c>
      <c r="E2426" s="10">
        <f>IF(D2426&gt;0,VLOOKUP(OPERAC[[#This Row],[COD CART]],[1]!MatrizCortoLargoCyl[#All],3,0),"")</f>
        <v/>
      </c>
      <c r="F2426" s="13" t="inlineStr">
        <is>
          <t>FB</t>
        </is>
      </c>
      <c r="G2426" s="6" t="n">
        <v>2</v>
      </c>
      <c r="H2426" s="6" t="n">
        <v>-424.31276</v>
      </c>
      <c r="I2426" s="7">
        <f>-H2426/G2426</f>
        <v/>
      </c>
      <c r="J2426" s="11" t="n">
        <v>44671</v>
      </c>
      <c r="K2426" s="6">
        <f>+OPERAC[[#This Row],[cantidad]]</f>
        <v/>
      </c>
      <c r="L2426" s="6">
        <f>+OPERAC[[#This Row],[cantidad venta]]*213.173</f>
        <v/>
      </c>
      <c r="M2426" s="7">
        <f>IF(N2426=0,+L2426+H2426,0)</f>
        <v/>
      </c>
      <c r="N2426" s="7">
        <f>IF((+G2426-K2426)=0,0,+G2426-K2426)</f>
        <v/>
      </c>
      <c r="O2426" s="7">
        <f>IF(N2426=0,0,(L2426+H2426)/-N2426)</f>
        <v/>
      </c>
      <c r="P2426" s="7">
        <f>VLOOKUP(OPERAC[[#This Row],[especie]],[1]!ESPECIES[#All],6,0)</f>
        <v/>
      </c>
      <c r="Q2426" s="7">
        <f>IF(N2426&lt;&gt;0,P2426*N2426,0)</f>
        <v/>
      </c>
      <c r="R2426" s="8">
        <f>IF(Q2426&lt;&gt;0,Q2426+H2426+L2426,0)</f>
        <v/>
      </c>
      <c r="S2426" s="9">
        <f>VLOOKUP(OPERAC[[#This Row],[especie]],[1]!ESPECIES[#Data],9,FALSE)</f>
        <v/>
      </c>
    </row>
    <row r="2427">
      <c r="A2427" s="4" t="n">
        <v>22431</v>
      </c>
      <c r="B2427" s="5" t="n">
        <v>44641</v>
      </c>
      <c r="C2427" s="13" t="inlineStr">
        <is>
          <t>VTA</t>
        </is>
      </c>
      <c r="D2427" s="13" t="n">
        <v>42</v>
      </c>
      <c r="E2427" s="10">
        <f>IF(D2427&gt;0,VLOOKUP(OPERAC[[#This Row],[COD CART]],[1]!MatrizCortoLargoCyl[#All],3,0),"")</f>
        <v/>
      </c>
      <c r="F2427" s="13" t="inlineStr">
        <is>
          <t>FB</t>
        </is>
      </c>
      <c r="G2427" s="6" t="n">
        <v>2</v>
      </c>
      <c r="H2427" s="6" t="n">
        <v>-424.31276</v>
      </c>
      <c r="I2427" s="7">
        <f>-H2427/G2427</f>
        <v/>
      </c>
      <c r="J2427" s="11" t="n">
        <v>44671</v>
      </c>
      <c r="K2427" s="6">
        <f>+OPERAC[[#This Row],[cantidad]]</f>
        <v/>
      </c>
      <c r="L2427" s="6">
        <f>+OPERAC[[#This Row],[cantidad venta]]*213.173</f>
        <v/>
      </c>
      <c r="M2427" s="7">
        <f>IF(N2427=0,+L2427+H2427,0)</f>
        <v/>
      </c>
      <c r="N2427" s="7">
        <f>IF((+G2427-K2427)=0,0,+G2427-K2427)</f>
        <v/>
      </c>
      <c r="O2427" s="7">
        <f>IF(N2427=0,0,(L2427+H2427)/-N2427)</f>
        <v/>
      </c>
      <c r="P2427" s="7">
        <f>VLOOKUP(OPERAC[[#This Row],[especie]],[1]!ESPECIES[#All],6,0)</f>
        <v/>
      </c>
      <c r="Q2427" s="7">
        <f>IF(N2427&lt;&gt;0,P2427*N2427,0)</f>
        <v/>
      </c>
      <c r="R2427" s="8">
        <f>IF(Q2427&lt;&gt;0,Q2427+H2427+L2427,0)</f>
        <v/>
      </c>
      <c r="S2427" s="9">
        <f>VLOOKUP(OPERAC[[#This Row],[especie]],[1]!ESPECIES[#Data],9,FALSE)</f>
        <v/>
      </c>
    </row>
    <row r="2428">
      <c r="A2428" s="4" t="n">
        <v>22433</v>
      </c>
      <c r="B2428" s="5" t="n">
        <v>44641</v>
      </c>
      <c r="C2428" s="13" t="inlineStr">
        <is>
          <t>VTA</t>
        </is>
      </c>
      <c r="D2428" s="13" t="n">
        <v>42</v>
      </c>
      <c r="E2428" s="10">
        <f>IF(D2428&gt;0,VLOOKUP(OPERAC[[#This Row],[COD CART]],[1]!MatrizCortoLargoCyl[#All],3,0),"")</f>
        <v/>
      </c>
      <c r="F2428" s="13" t="inlineStr">
        <is>
          <t>FB</t>
        </is>
      </c>
      <c r="G2428" s="6" t="n">
        <v>2</v>
      </c>
      <c r="H2428" s="6" t="n">
        <v>-424.31276</v>
      </c>
      <c r="I2428" s="7">
        <f>-H2428/G2428</f>
        <v/>
      </c>
      <c r="J2428" s="11" t="n">
        <v>44671</v>
      </c>
      <c r="K2428" s="6">
        <f>+OPERAC[[#This Row],[cantidad]]</f>
        <v/>
      </c>
      <c r="L2428" s="6">
        <f>+OPERAC[[#This Row],[cantidad venta]]*213.173</f>
        <v/>
      </c>
      <c r="M2428" s="7">
        <f>IF(N2428=0,+L2428+H2428,0)</f>
        <v/>
      </c>
      <c r="N2428" s="7">
        <f>IF((+G2428-K2428)=0,0,+G2428-K2428)</f>
        <v/>
      </c>
      <c r="O2428" s="7">
        <f>IF(N2428=0,0,(L2428+H2428)/-N2428)</f>
        <v/>
      </c>
      <c r="P2428" s="7">
        <f>VLOOKUP(OPERAC[[#This Row],[especie]],[1]!ESPECIES[#All],6,0)</f>
        <v/>
      </c>
      <c r="Q2428" s="7">
        <f>IF(N2428&lt;&gt;0,P2428*N2428,0)</f>
        <v/>
      </c>
      <c r="R2428" s="8">
        <f>IF(Q2428&lt;&gt;0,Q2428+H2428+L2428,0)</f>
        <v/>
      </c>
      <c r="S2428" s="9">
        <f>VLOOKUP(OPERAC[[#This Row],[especie]],[1]!ESPECIES[#Data],9,FALSE)</f>
        <v/>
      </c>
    </row>
    <row r="2429">
      <c r="A2429" s="4" t="n">
        <v>22439</v>
      </c>
      <c r="B2429" s="5" t="n">
        <v>44641</v>
      </c>
      <c r="C2429" s="13" t="inlineStr">
        <is>
          <t>VTA</t>
        </is>
      </c>
      <c r="D2429" s="13" t="n">
        <v>42</v>
      </c>
      <c r="E2429" s="10">
        <f>IF(D2429&gt;0,VLOOKUP(OPERAC[[#This Row],[COD CART]],[1]!MatrizCortoLargoCyl[#All],3,0),"")</f>
        <v/>
      </c>
      <c r="F2429" s="13" t="inlineStr">
        <is>
          <t>FB</t>
        </is>
      </c>
      <c r="G2429" s="6" t="n">
        <v>2</v>
      </c>
      <c r="H2429" s="6" t="n">
        <v>-424.31276</v>
      </c>
      <c r="I2429" s="7">
        <f>-H2429/G2429</f>
        <v/>
      </c>
      <c r="J2429" s="11" t="n">
        <v>44671</v>
      </c>
      <c r="K2429" s="6">
        <f>+OPERAC[[#This Row],[cantidad]]</f>
        <v/>
      </c>
      <c r="L2429" s="6">
        <f>+OPERAC[[#This Row],[cantidad venta]]*213.173</f>
        <v/>
      </c>
      <c r="M2429" s="7">
        <f>IF(N2429=0,+L2429+H2429,0)</f>
        <v/>
      </c>
      <c r="N2429" s="7">
        <f>IF((+G2429-K2429)=0,0,+G2429-K2429)</f>
        <v/>
      </c>
      <c r="O2429" s="7">
        <f>IF(N2429=0,0,(L2429+H2429)/-N2429)</f>
        <v/>
      </c>
      <c r="P2429" s="7">
        <f>VLOOKUP(OPERAC[[#This Row],[especie]],[1]!ESPECIES[#All],6,0)</f>
        <v/>
      </c>
      <c r="Q2429" s="7">
        <f>IF(N2429&lt;&gt;0,P2429*N2429,0)</f>
        <v/>
      </c>
      <c r="R2429" s="8">
        <f>IF(Q2429&lt;&gt;0,Q2429+H2429+L2429,0)</f>
        <v/>
      </c>
      <c r="S2429" s="9">
        <f>VLOOKUP(OPERAC[[#This Row],[especie]],[1]!ESPECIES[#Data],9,FALSE)</f>
        <v/>
      </c>
    </row>
    <row r="2430">
      <c r="A2430" s="4" t="n">
        <v>25070</v>
      </c>
      <c r="B2430" s="5" t="n">
        <v>44641</v>
      </c>
      <c r="C2430" s="13" t="inlineStr">
        <is>
          <t>VTA</t>
        </is>
      </c>
      <c r="D2430" s="13" t="n">
        <v>42</v>
      </c>
      <c r="E2430" s="10">
        <f>IF(D2430&gt;0,VLOOKUP(OPERAC[[#This Row],[COD CART]],[1]!MatrizCortoLargoCyl[#All],3,0),"")</f>
        <v/>
      </c>
      <c r="F2430" s="13" t="inlineStr">
        <is>
          <t>FB</t>
        </is>
      </c>
      <c r="G2430" s="6" t="n">
        <v>2</v>
      </c>
      <c r="H2430" s="6" t="n">
        <v>-424.31276</v>
      </c>
      <c r="I2430" s="7">
        <f>-H2430/G2430</f>
        <v/>
      </c>
      <c r="J2430" s="11" t="n">
        <v>44671</v>
      </c>
      <c r="K2430" s="6">
        <f>+OPERAC[[#This Row],[cantidad]]</f>
        <v/>
      </c>
      <c r="L2430" s="6">
        <f>+OPERAC[[#This Row],[cantidad venta]]*213.173</f>
        <v/>
      </c>
      <c r="M2430" s="7">
        <f>IF(N2430=0,+L2430+H2430,0)</f>
        <v/>
      </c>
      <c r="N2430" s="7">
        <f>IF((+G2430-K2430)=0,0,+G2430-K2430)</f>
        <v/>
      </c>
      <c r="O2430" s="7">
        <f>IF(N2430=0,0,(L2430+H2430)/-N2430)</f>
        <v/>
      </c>
      <c r="P2430" s="7">
        <f>VLOOKUP(OPERAC[[#This Row],[especie]],[1]!ESPECIES[#All],6,0)</f>
        <v/>
      </c>
      <c r="Q2430" s="7">
        <f>IF(N2430&lt;&gt;0,P2430*N2430,0)</f>
        <v/>
      </c>
      <c r="R2430" s="8">
        <f>IF(Q2430&lt;&gt;0,Q2430+H2430+L2430,0)</f>
        <v/>
      </c>
      <c r="S2430" s="9">
        <f>VLOOKUP(OPERAC[[#This Row],[especie]],[1]!ESPECIES[#Data],9,FALSE)</f>
        <v/>
      </c>
    </row>
    <row r="2431">
      <c r="A2431" s="4" t="n">
        <v>26137</v>
      </c>
      <c r="B2431" s="5" t="n">
        <v>44641</v>
      </c>
      <c r="C2431" s="13" t="inlineStr">
        <is>
          <t>VTA</t>
        </is>
      </c>
      <c r="D2431" s="13" t="n">
        <v>42</v>
      </c>
      <c r="E2431" s="10">
        <f>IF(D2431&gt;0,VLOOKUP(OPERAC[[#This Row],[COD CART]],[1]!MatrizCortoLargoCyl[#All],3,0),"")</f>
        <v/>
      </c>
      <c r="F2431" s="13" t="inlineStr">
        <is>
          <t>FB</t>
        </is>
      </c>
      <c r="G2431" s="6" t="n">
        <v>2</v>
      </c>
      <c r="H2431" s="6" t="n">
        <v>-424.31276</v>
      </c>
      <c r="I2431" s="7">
        <f>-H2431/G2431</f>
        <v/>
      </c>
      <c r="J2431" s="11" t="n">
        <v>44671</v>
      </c>
      <c r="K2431" s="6">
        <f>+OPERAC[[#This Row],[cantidad]]</f>
        <v/>
      </c>
      <c r="L2431" s="6">
        <f>+OPERAC[[#This Row],[cantidad venta]]*213.173</f>
        <v/>
      </c>
      <c r="M2431" s="7">
        <f>IF(N2431=0,+L2431+H2431,0)</f>
        <v/>
      </c>
      <c r="N2431" s="7">
        <f>IF((+G2431-K2431)=0,0,+G2431-K2431)</f>
        <v/>
      </c>
      <c r="O2431" s="7">
        <f>IF(N2431=0,0,(L2431+H2431)/-N2431)</f>
        <v/>
      </c>
      <c r="P2431" s="7">
        <f>VLOOKUP(OPERAC[[#This Row],[especie]],[1]!ESPECIES[#All],6,0)</f>
        <v/>
      </c>
      <c r="Q2431" s="7">
        <f>IF(N2431&lt;&gt;0,P2431*N2431,0)</f>
        <v/>
      </c>
      <c r="R2431" s="8">
        <f>IF(Q2431&lt;&gt;0,Q2431+H2431+L2431,0)</f>
        <v/>
      </c>
      <c r="S2431" s="9">
        <f>VLOOKUP(OPERAC[[#This Row],[especie]],[1]!ESPECIES[#Data],9,FALSE)</f>
        <v/>
      </c>
    </row>
    <row r="2432">
      <c r="A2432" s="4" t="n">
        <v>13253</v>
      </c>
      <c r="B2432" s="5" t="n">
        <v>44200</v>
      </c>
      <c r="C2432" s="13" t="inlineStr">
        <is>
          <t>VTA</t>
        </is>
      </c>
      <c r="D2432" s="13" t="n">
        <v>41</v>
      </c>
      <c r="E2432" s="10">
        <f>IF(D2432&gt;0,VLOOKUP(OPERAC[[#This Row],[COD CART]],[1]!MatrizCortoLargoCyl[#All],3,0),"")</f>
        <v/>
      </c>
      <c r="F2432" s="13" t="inlineStr">
        <is>
          <t>MPW</t>
        </is>
      </c>
      <c r="G2432" s="6" t="n">
        <v>20</v>
      </c>
      <c r="H2432" s="6" t="n">
        <v>-424.36</v>
      </c>
      <c r="I2432" s="7">
        <f>-H2432/G2432</f>
        <v/>
      </c>
      <c r="J2432" s="11" t="n"/>
      <c r="K2432" s="6" t="n"/>
      <c r="L2432" s="6" t="n"/>
      <c r="M2432" s="7">
        <f>IF(N2432=0,+L2432+H2432,0)</f>
        <v/>
      </c>
      <c r="N2432" s="7">
        <f>IF((+G2432-K2432)=0,0,+G2432-K2432)</f>
        <v/>
      </c>
      <c r="O2432" s="7">
        <f>IF(N2432=0,0,(L2432+H2432)/-N2432)</f>
        <v/>
      </c>
      <c r="P2432" s="7">
        <f>VLOOKUP(OPERAC[[#This Row],[especie]],[1]!ESPECIES[#All],6,0)</f>
        <v/>
      </c>
      <c r="Q2432" s="7">
        <f>IF(N2432&lt;&gt;0,P2432*N2432,0)</f>
        <v/>
      </c>
      <c r="R2432" s="8">
        <f>IF(Q2432&lt;&gt;0,Q2432+H2432+L2432,0)</f>
        <v/>
      </c>
      <c r="S2432" s="9">
        <f>VLOOKUP(OPERAC[[#This Row],[especie]],[1]!ESPECIES[#Data],9,FALSE)</f>
        <v/>
      </c>
    </row>
    <row r="2433">
      <c r="A2433" s="4" t="n">
        <v>13253</v>
      </c>
      <c r="B2433" s="5" t="n">
        <v>44245</v>
      </c>
      <c r="C2433" s="13" t="inlineStr">
        <is>
          <t>VTA</t>
        </is>
      </c>
      <c r="D2433" s="13" t="n">
        <v>41</v>
      </c>
      <c r="E2433" s="10">
        <f>IF(D2433&gt;0,VLOOKUP(OPERAC[[#This Row],[COD CART]],[1]!MatrizCortoLargoCyl[#All],3,0),"")</f>
        <v/>
      </c>
      <c r="F2433" s="13" t="inlineStr">
        <is>
          <t>HIPS</t>
        </is>
      </c>
      <c r="G2433" s="6" t="n">
        <v>30</v>
      </c>
      <c r="H2433" s="6" t="n">
        <v>-424.5696</v>
      </c>
      <c r="I2433" s="7">
        <f>-H2433/G2433</f>
        <v/>
      </c>
      <c r="J2433" s="11" t="n"/>
      <c r="K2433" s="6" t="n"/>
      <c r="L2433" s="6" t="n"/>
      <c r="M2433" s="7">
        <f>IF(N2433=0,+L2433+H2433,0)</f>
        <v/>
      </c>
      <c r="N2433" s="7">
        <f>IF((+G2433-K2433)=0,0,+G2433-K2433)</f>
        <v/>
      </c>
      <c r="O2433" s="7">
        <f>IF(N2433=0,0,(L2433+H2433)/-N2433)</f>
        <v/>
      </c>
      <c r="P2433" s="7">
        <f>VLOOKUP(OPERAC[[#This Row],[especie]],[1]!ESPECIES[#All],6,0)</f>
        <v/>
      </c>
      <c r="Q2433" s="7">
        <f>IF(N2433&lt;&gt;0,P2433*N2433,0)</f>
        <v/>
      </c>
      <c r="R2433" s="8">
        <f>IF(Q2433&lt;&gt;0,Q2433+H2433+L2433,0)</f>
        <v/>
      </c>
      <c r="S2433" s="9">
        <f>VLOOKUP(OPERAC[[#This Row],[especie]],[1]!ESPECIES[#Data],9,FALSE)</f>
        <v/>
      </c>
    </row>
    <row r="2434">
      <c r="A2434" s="4" t="n">
        <v>19972</v>
      </c>
      <c r="B2434" s="5" t="n">
        <v>44686</v>
      </c>
      <c r="C2434" s="13" t="inlineStr">
        <is>
          <t>VTA</t>
        </is>
      </c>
      <c r="D2434" s="13" t="n">
        <v>41</v>
      </c>
      <c r="E2434" s="10">
        <f>IF(D2434&gt;0,VLOOKUP(OPERAC[[#This Row],[COD CART]],[1]!MatrizCortoLargoCyl[#All],3,0),"")</f>
        <v/>
      </c>
      <c r="F2434" s="13" t="inlineStr">
        <is>
          <t>FB</t>
        </is>
      </c>
      <c r="G2434" s="6" t="n">
        <v>2</v>
      </c>
      <c r="H2434" s="6" t="n">
        <v>-424.76313</v>
      </c>
      <c r="I2434" s="7">
        <f>-H2434/G2434</f>
        <v/>
      </c>
      <c r="J2434" s="11" t="n"/>
      <c r="K2434" s="6" t="n"/>
      <c r="L2434" s="6" t="n"/>
      <c r="M2434" s="7">
        <f>IF(N2434=0,+L2434+H2434,0)</f>
        <v/>
      </c>
      <c r="N2434" s="7">
        <f>IF((+G2434-K2434)=0,0,+G2434-K2434)</f>
        <v/>
      </c>
      <c r="O2434" s="7">
        <f>IF(N2434=0,0,(L2434+H2434)/-N2434)</f>
        <v/>
      </c>
      <c r="P2434" s="7">
        <f>VLOOKUP(OPERAC[[#This Row],[especie]],[1]!ESPECIES[#All],6,0)</f>
        <v/>
      </c>
      <c r="Q2434" s="7">
        <f>IF(N2434&lt;&gt;0,P2434*N2434,0)</f>
        <v/>
      </c>
      <c r="R2434" s="8">
        <f>IF(Q2434&lt;&gt;0,Q2434+H2434+L2434,0)</f>
        <v/>
      </c>
      <c r="S2434" s="9">
        <f>VLOOKUP(OPERAC[[#This Row],[especie]],[1]!ESPECIES[#Data],9,FALSE)</f>
        <v/>
      </c>
    </row>
    <row r="2435">
      <c r="A2435" s="4" t="n">
        <v>18663</v>
      </c>
      <c r="B2435" s="5" t="n">
        <v>44596</v>
      </c>
      <c r="C2435" s="13" t="inlineStr">
        <is>
          <t>VTA</t>
        </is>
      </c>
      <c r="D2435" s="13" t="n">
        <v>41</v>
      </c>
      <c r="E2435" s="10">
        <f>IF(D2435&gt;0,VLOOKUP(OPERAC[[#This Row],[COD CART]],[1]!MatrizCortoLargoCyl[#All],3,0),"")</f>
        <v/>
      </c>
      <c r="F2435" s="13" t="inlineStr">
        <is>
          <t>TCNNF</t>
        </is>
      </c>
      <c r="G2435" s="6" t="n">
        <v>20</v>
      </c>
      <c r="H2435" s="6" t="n">
        <v>-425</v>
      </c>
      <c r="I2435" s="7">
        <f>-H2435/G2435</f>
        <v/>
      </c>
      <c r="J2435" s="11" t="n">
        <v>44602</v>
      </c>
      <c r="K2435" s="6" t="n">
        <v>10</v>
      </c>
      <c r="L2435" s="6" t="n">
        <v>267.14</v>
      </c>
      <c r="M2435" s="7">
        <f>IF(N2435=0,+L2435+H2435,0)</f>
        <v/>
      </c>
      <c r="N2435" s="7">
        <f>IF((+G2435-K2435)=0,0,+G2435-K2435)</f>
        <v/>
      </c>
      <c r="O2435" s="7">
        <f>IF(N2435=0,0,(L2435+H2435)/-N2435)</f>
        <v/>
      </c>
      <c r="P2435" s="7">
        <f>VLOOKUP(OPERAC[[#This Row],[especie]],[1]!ESPECIES[#All],6,0)</f>
        <v/>
      </c>
      <c r="Q2435" s="7">
        <f>IF(N2435&lt;&gt;0,P2435*N2435,0)</f>
        <v/>
      </c>
      <c r="R2435" s="8">
        <f>IF(Q2435&lt;&gt;0,Q2435+H2435+L2435,0)</f>
        <v/>
      </c>
      <c r="S2435" s="9">
        <f>VLOOKUP(OPERAC[[#This Row],[especie]],[1]!ESPECIES[#Data],9,FALSE)</f>
        <v/>
      </c>
    </row>
    <row r="2436">
      <c r="A2436" s="4" t="n">
        <v>22393</v>
      </c>
      <c r="B2436" s="5" t="n">
        <v>44369</v>
      </c>
      <c r="C2436" s="13" t="inlineStr">
        <is>
          <t>VTA</t>
        </is>
      </c>
      <c r="D2436" s="13" t="n">
        <v>31</v>
      </c>
      <c r="E2436" s="10">
        <f>IF(D2436&gt;0,VLOOKUP(OPERAC[[#This Row],[COD CART]],[1]!MatrizCortoLargoCyl[#All],3,0),"")</f>
        <v/>
      </c>
      <c r="F2436" s="13" t="inlineStr">
        <is>
          <t>JEPI</t>
        </is>
      </c>
      <c r="G2436" s="6" t="n">
        <v>7</v>
      </c>
      <c r="H2436" s="6" t="n">
        <v>-425.2632</v>
      </c>
      <c r="I2436" s="7">
        <f>-H2436/G2436</f>
        <v/>
      </c>
      <c r="J2436" s="11" t="n"/>
      <c r="K2436" s="6" t="n"/>
      <c r="L2436" s="6" t="n"/>
      <c r="M2436" s="7">
        <f>IF(N2436=0,+L2436+H2436,0)</f>
        <v/>
      </c>
      <c r="N2436" s="7">
        <f>IF((+G2436-K2436)=0,0,+G2436-K2436)</f>
        <v/>
      </c>
      <c r="O2436" s="7">
        <f>IF(N2436=0,0,(L2436+H2436)/-N2436)</f>
        <v/>
      </c>
      <c r="P2436" s="7">
        <f>VLOOKUP(OPERAC[[#This Row],[especie]],[1]!ESPECIES[#All],6,0)</f>
        <v/>
      </c>
      <c r="Q2436" s="7">
        <f>IF(N2436&lt;&gt;0,P2436*N2436,0)</f>
        <v/>
      </c>
      <c r="R2436" s="8">
        <f>IF(Q2436&lt;&gt;0,Q2436+H2436+L2436,0)</f>
        <v/>
      </c>
      <c r="S2436" s="9">
        <f>VLOOKUP(OPERAC[[#This Row],[especie]],[1]!ESPECIES[#Data],9,FALSE)</f>
        <v/>
      </c>
    </row>
    <row r="2437">
      <c r="A2437" s="4" t="n">
        <v>8066</v>
      </c>
      <c r="B2437" s="5" t="n">
        <v>44649</v>
      </c>
      <c r="C2437" s="13" t="inlineStr">
        <is>
          <t>VTA</t>
        </is>
      </c>
      <c r="D2437" s="13" t="n">
        <v>42</v>
      </c>
      <c r="E2437" s="10">
        <f>IF(D2437&gt;0,VLOOKUP(OPERAC[[#This Row],[COD CART]],[1]!MatrizCortoLargoCyl[#All],3,0),"")</f>
        <v/>
      </c>
      <c r="F2437" s="13" t="inlineStr">
        <is>
          <t>JPM</t>
        </is>
      </c>
      <c r="G2437" s="6" t="n">
        <v>3</v>
      </c>
      <c r="H2437" s="6" t="n">
        <v>-425.7268</v>
      </c>
      <c r="I2437" s="7">
        <f>-H2437/G2437</f>
        <v/>
      </c>
      <c r="J2437" s="11" t="n">
        <v>44664</v>
      </c>
      <c r="K2437" s="6">
        <f>+OPERAC[[#This Row],[cantidad]]</f>
        <v/>
      </c>
      <c r="L2437" s="6">
        <f>+OPERAC[[#This Row],[cantidad venta]]*125.943</f>
        <v/>
      </c>
      <c r="M2437" s="7">
        <f>IF(N2437=0,+L2437+H2437,0)</f>
        <v/>
      </c>
      <c r="N2437" s="7">
        <f>IF((+G2437-K2437)=0,0,+G2437-K2437)</f>
        <v/>
      </c>
      <c r="O2437" s="7">
        <f>IF(N2437=0,0,(L2437+H2437)/-N2437)</f>
        <v/>
      </c>
      <c r="P2437" s="7">
        <f>VLOOKUP(OPERAC[[#This Row],[especie]],[1]!ESPECIES[#All],6,0)</f>
        <v/>
      </c>
      <c r="Q2437" s="7">
        <f>IF(N2437&lt;&gt;0,P2437*N2437,0)</f>
        <v/>
      </c>
      <c r="R2437" s="8">
        <f>IF(Q2437&lt;&gt;0,Q2437+H2437+L2437,0)</f>
        <v/>
      </c>
      <c r="S2437" s="9">
        <f>VLOOKUP(OPERAC[[#This Row],[especie]],[1]!ESPECIES[#Data],9,FALSE)</f>
        <v/>
      </c>
    </row>
    <row r="2438">
      <c r="A2438" s="4" t="n">
        <v>13230</v>
      </c>
      <c r="B2438" s="5" t="n">
        <v>44649</v>
      </c>
      <c r="C2438" s="13" t="inlineStr">
        <is>
          <t>VTA</t>
        </is>
      </c>
      <c r="D2438" s="13" t="n">
        <v>42</v>
      </c>
      <c r="E2438" s="10">
        <f>IF(D2438&gt;0,VLOOKUP(OPERAC[[#This Row],[COD CART]],[1]!MatrizCortoLargoCyl[#All],3,0),"")</f>
        <v/>
      </c>
      <c r="F2438" s="13" t="inlineStr">
        <is>
          <t>JPM</t>
        </is>
      </c>
      <c r="G2438" s="6" t="n">
        <v>3</v>
      </c>
      <c r="H2438" s="6" t="n">
        <v>-425.7268</v>
      </c>
      <c r="I2438" s="7">
        <f>-H2438/G2438</f>
        <v/>
      </c>
      <c r="J2438" s="11" t="n">
        <v>44664</v>
      </c>
      <c r="K2438" s="6">
        <f>+OPERAC[[#This Row],[cantidad]]</f>
        <v/>
      </c>
      <c r="L2438" s="6">
        <f>+OPERAC[[#This Row],[cantidad venta]]*125.943</f>
        <v/>
      </c>
      <c r="M2438" s="7">
        <f>IF(N2438=0,+L2438+H2438,0)</f>
        <v/>
      </c>
      <c r="N2438" s="7">
        <f>IF((+G2438-K2438)=0,0,+G2438-K2438)</f>
        <v/>
      </c>
      <c r="O2438" s="7">
        <f>IF(N2438=0,0,(L2438+H2438)/-N2438)</f>
        <v/>
      </c>
      <c r="P2438" s="7">
        <f>VLOOKUP(OPERAC[[#This Row],[especie]],[1]!ESPECIES[#All],6,0)</f>
        <v/>
      </c>
      <c r="Q2438" s="7">
        <f>IF(N2438&lt;&gt;0,P2438*N2438,0)</f>
        <v/>
      </c>
      <c r="R2438" s="8">
        <f>IF(Q2438&lt;&gt;0,Q2438+H2438+L2438,0)</f>
        <v/>
      </c>
      <c r="S2438" s="9">
        <f>VLOOKUP(OPERAC[[#This Row],[especie]],[1]!ESPECIES[#Data],9,FALSE)</f>
        <v/>
      </c>
    </row>
    <row r="2439">
      <c r="A2439" s="4" t="n">
        <v>2255</v>
      </c>
      <c r="B2439" s="5" t="n">
        <v>43987</v>
      </c>
      <c r="C2439" s="13" t="inlineStr">
        <is>
          <t>VTA</t>
        </is>
      </c>
      <c r="D2439" s="13" t="n">
        <v>41</v>
      </c>
      <c r="E2439" s="10">
        <f>IF(D2439&gt;0,VLOOKUP(OPERAC[[#This Row],[COD CART]],[1]!MatrizCortoLargoCyl[#All],3,0),"")</f>
        <v/>
      </c>
      <c r="F2439" s="13" t="inlineStr">
        <is>
          <t>BA</t>
        </is>
      </c>
      <c r="G2439" s="6" t="n">
        <v>2</v>
      </c>
      <c r="H2439" s="6" t="n">
        <v>-426.75016</v>
      </c>
      <c r="I2439" s="7" t="n">
        <v>213.37508</v>
      </c>
      <c r="J2439" s="5" t="n"/>
      <c r="K2439" s="6" t="n"/>
      <c r="L2439" s="6" t="n"/>
      <c r="M2439" s="7">
        <f>IF(N2439=0,+L2439+H2439,0)</f>
        <v/>
      </c>
      <c r="N2439" s="7">
        <f>IF((+G2439-K2439)=0,0,+G2439-K2439)</f>
        <v/>
      </c>
      <c r="O2439" s="7">
        <f>IF(N2439=0,0,(L2439+H2439)/-N2439)</f>
        <v/>
      </c>
      <c r="P2439" s="7">
        <f>VLOOKUP(OPERAC[[#This Row],[especie]],[1]!ESPECIES[#All],6,0)</f>
        <v/>
      </c>
      <c r="Q2439" s="7">
        <f>IF(N2439&lt;&gt;0,P2439*N2439,0)</f>
        <v/>
      </c>
      <c r="R2439" s="8">
        <f>IF(Q2439&lt;&gt;0,Q2439+H2439+L2439,0)</f>
        <v/>
      </c>
      <c r="S2439" s="9">
        <f>VLOOKUP(OPERAC[[#This Row],[especie]],[1]!ESPECIES[#Data],9,FALSE)</f>
        <v/>
      </c>
    </row>
    <row r="2440">
      <c r="A2440" s="4" t="n">
        <v>13190</v>
      </c>
      <c r="B2440" s="5" t="n">
        <v>44649</v>
      </c>
      <c r="C2440" s="13" t="inlineStr">
        <is>
          <t>VTA</t>
        </is>
      </c>
      <c r="D2440" s="13" t="n">
        <v>42</v>
      </c>
      <c r="E2440" s="10">
        <f>IF(D2440&gt;0,VLOOKUP(OPERAC[[#This Row],[COD CART]],[1]!MatrizCortoLargoCyl[#All],3,0),"")</f>
        <v/>
      </c>
      <c r="F2440" s="13" t="inlineStr">
        <is>
          <t>JPM</t>
        </is>
      </c>
      <c r="G2440" s="6" t="n">
        <v>3</v>
      </c>
      <c r="H2440" s="6" t="n">
        <v>-427.14519</v>
      </c>
      <c r="I2440" s="7">
        <f>-H2440/G2440</f>
        <v/>
      </c>
      <c r="J2440" s="11" t="n">
        <v>44664</v>
      </c>
      <c r="K2440" s="6">
        <f>+OPERAC[[#This Row],[cantidad]]</f>
        <v/>
      </c>
      <c r="L2440" s="6">
        <f>+OPERAC[[#This Row],[cantidad venta]]*125.943</f>
        <v/>
      </c>
      <c r="M2440" s="7">
        <f>IF(N2440=0,+L2440+H2440,0)</f>
        <v/>
      </c>
      <c r="N2440" s="7">
        <f>IF((+G2440-K2440)=0,0,+G2440-K2440)</f>
        <v/>
      </c>
      <c r="O2440" s="7">
        <f>IF(N2440=0,0,(L2440+H2440)/-N2440)</f>
        <v/>
      </c>
      <c r="P2440" s="7">
        <f>VLOOKUP(OPERAC[[#This Row],[especie]],[1]!ESPECIES[#All],6,0)</f>
        <v/>
      </c>
      <c r="Q2440" s="7">
        <f>IF(N2440&lt;&gt;0,P2440*N2440,0)</f>
        <v/>
      </c>
      <c r="R2440" s="8">
        <f>IF(Q2440&lt;&gt;0,Q2440+H2440+L2440,0)</f>
        <v/>
      </c>
      <c r="S2440" s="9">
        <f>VLOOKUP(OPERAC[[#This Row],[especie]],[1]!ESPECIES[#Data],9,FALSE)</f>
        <v/>
      </c>
    </row>
    <row r="2441">
      <c r="A2441" s="4" t="n">
        <v>20234</v>
      </c>
      <c r="B2441" s="5" t="n">
        <v>44649</v>
      </c>
      <c r="C2441" s="13" t="inlineStr">
        <is>
          <t>VTA</t>
        </is>
      </c>
      <c r="D2441" s="13" t="n">
        <v>42</v>
      </c>
      <c r="E2441" s="10">
        <f>IF(D2441&gt;0,VLOOKUP(OPERAC[[#This Row],[COD CART]],[1]!MatrizCortoLargoCyl[#All],3,0),"")</f>
        <v/>
      </c>
      <c r="F2441" s="13" t="inlineStr">
        <is>
          <t>JPM</t>
        </is>
      </c>
      <c r="G2441" s="6" t="n">
        <v>3</v>
      </c>
      <c r="H2441" s="6" t="n">
        <v>-427.14519</v>
      </c>
      <c r="I2441" s="7">
        <f>-H2441/G2441</f>
        <v/>
      </c>
      <c r="J2441" s="11" t="n">
        <v>44664</v>
      </c>
      <c r="K2441" s="6">
        <f>+OPERAC[[#This Row],[cantidad]]</f>
        <v/>
      </c>
      <c r="L2441" s="6">
        <f>+OPERAC[[#This Row],[cantidad venta]]*125.943</f>
        <v/>
      </c>
      <c r="M2441" s="7">
        <f>IF(N2441=0,+L2441+H2441,0)</f>
        <v/>
      </c>
      <c r="N2441" s="7">
        <f>IF((+G2441-K2441)=0,0,+G2441-K2441)</f>
        <v/>
      </c>
      <c r="O2441" s="7">
        <f>IF(N2441=0,0,(L2441+H2441)/-N2441)</f>
        <v/>
      </c>
      <c r="P2441" s="7">
        <f>VLOOKUP(OPERAC[[#This Row],[especie]],[1]!ESPECIES[#All],6,0)</f>
        <v/>
      </c>
      <c r="Q2441" s="7">
        <f>IF(N2441&lt;&gt;0,P2441*N2441,0)</f>
        <v/>
      </c>
      <c r="R2441" s="8">
        <f>IF(Q2441&lt;&gt;0,Q2441+H2441+L2441,0)</f>
        <v/>
      </c>
      <c r="S2441" s="9">
        <f>VLOOKUP(OPERAC[[#This Row],[especie]],[1]!ESPECIES[#Data],9,FALSE)</f>
        <v/>
      </c>
    </row>
    <row r="2442">
      <c r="A2442" s="4" t="n">
        <v>2279</v>
      </c>
      <c r="B2442" s="5" t="n">
        <v>44463</v>
      </c>
      <c r="C2442" s="13" t="inlineStr">
        <is>
          <t>VTA</t>
        </is>
      </c>
      <c r="D2442" s="13" t="n">
        <v>41</v>
      </c>
      <c r="E2442" s="10">
        <f>IF(D2442&gt;0,VLOOKUP(OPERAC[[#This Row],[COD CART]],[1]!MatrizCortoLargoCyl[#All],3,0),"")</f>
        <v/>
      </c>
      <c r="F2442" s="13" t="inlineStr">
        <is>
          <t>TCNNF</t>
        </is>
      </c>
      <c r="G2442" s="6" t="n">
        <v>15</v>
      </c>
      <c r="H2442" s="6" t="n">
        <v>-427.7447999999999</v>
      </c>
      <c r="I2442" s="7">
        <f>-H2442/G2442</f>
        <v/>
      </c>
      <c r="J2442" s="11" t="n"/>
      <c r="K2442" s="6" t="n"/>
      <c r="L2442" s="6" t="n"/>
      <c r="M2442" s="7">
        <f>IF(N2442=0,+L2442+H2442,0)</f>
        <v/>
      </c>
      <c r="N2442" s="7">
        <f>IF((+G2442-K2442)=0,0,+G2442-K2442)</f>
        <v/>
      </c>
      <c r="O2442" s="7">
        <f>IF(N2442=0,0,(L2442+H2442)/-N2442)</f>
        <v/>
      </c>
      <c r="P2442" s="7">
        <f>VLOOKUP(OPERAC[[#This Row],[especie]],[1]!ESPECIES[#All],6,0)</f>
        <v/>
      </c>
      <c r="Q2442" s="7">
        <f>IF(N2442&lt;&gt;0,P2442*N2442,0)</f>
        <v/>
      </c>
      <c r="R2442" s="8">
        <f>IF(Q2442&lt;&gt;0,Q2442+H2442+L2442,0)</f>
        <v/>
      </c>
      <c r="S2442" s="9">
        <f>VLOOKUP(OPERAC[[#This Row],[especie]],[1]!ESPECIES[#Data],9,FALSE)</f>
        <v/>
      </c>
    </row>
    <row r="2443">
      <c r="A2443" s="4" t="n">
        <v>2209</v>
      </c>
      <c r="B2443" s="5" t="n">
        <v>44460</v>
      </c>
      <c r="C2443" s="13" t="inlineStr">
        <is>
          <t>VTA</t>
        </is>
      </c>
      <c r="D2443" s="13" t="n">
        <v>41</v>
      </c>
      <c r="E2443" s="10">
        <f>IF(D2443&gt;0,VLOOKUP(OPERAC[[#This Row],[COD CART]],[1]!MatrizCortoLargoCyl[#All],3,0),"")</f>
        <v/>
      </c>
      <c r="F2443" s="13" t="inlineStr">
        <is>
          <t>SUPV</t>
        </is>
      </c>
      <c r="G2443" s="6" t="n">
        <v>200</v>
      </c>
      <c r="H2443" s="6" t="n">
        <v>-428.39</v>
      </c>
      <c r="I2443" s="7">
        <f>-H2443/G2443</f>
        <v/>
      </c>
      <c r="J2443" s="11" t="n"/>
      <c r="K2443" s="6" t="n"/>
      <c r="L2443" s="6" t="n"/>
      <c r="M2443" s="7">
        <f>IF(N2443=0,+L2443+H2443,0)</f>
        <v/>
      </c>
      <c r="N2443" s="7">
        <f>IF((+G2443-K2443)=0,0,+G2443-K2443)</f>
        <v/>
      </c>
      <c r="O2443" s="7">
        <f>IF(N2443=0,0,(L2443+H2443)/-N2443)</f>
        <v/>
      </c>
      <c r="P2443" s="7">
        <f>VLOOKUP(OPERAC[[#This Row],[especie]],[1]!ESPECIES[#All],6,0)</f>
        <v/>
      </c>
      <c r="Q2443" s="7">
        <f>IF(N2443&lt;&gt;0,P2443*N2443,0)</f>
        <v/>
      </c>
      <c r="R2443" s="8">
        <f>IF(Q2443&lt;&gt;0,Q2443+H2443+L2443,0)</f>
        <v/>
      </c>
      <c r="S2443" s="9">
        <f>VLOOKUP(OPERAC[[#This Row],[especie]],[1]!ESPECIES[#Data],9,FALSE)</f>
        <v/>
      </c>
    </row>
    <row r="2444">
      <c r="A2444" s="4" t="n">
        <v>2279</v>
      </c>
      <c r="B2444" s="5" t="n">
        <v>44539</v>
      </c>
      <c r="C2444" s="13" t="inlineStr">
        <is>
          <t>VTA</t>
        </is>
      </c>
      <c r="D2444" s="13" t="n">
        <v>41</v>
      </c>
      <c r="E2444" s="10">
        <f>IF(D2444&gt;0,VLOOKUP(OPERAC[[#This Row],[COD CART]],[1]!MatrizCortoLargoCyl[#All],3,0),"")</f>
        <v/>
      </c>
      <c r="F2444" s="13" t="inlineStr">
        <is>
          <t>CLF</t>
        </is>
      </c>
      <c r="G2444" s="6" t="n">
        <v>20</v>
      </c>
      <c r="H2444" s="6" t="n">
        <v>-428.7952</v>
      </c>
      <c r="I2444" s="7">
        <f>-H2444/G2444</f>
        <v/>
      </c>
      <c r="J2444" s="11" t="n"/>
      <c r="K2444" s="6" t="n"/>
      <c r="L2444" s="6" t="n"/>
      <c r="M2444" s="7">
        <f>IF(N2444=0,+L2444+H2444,0)</f>
        <v/>
      </c>
      <c r="N2444" s="7">
        <f>IF((+G2444-K2444)=0,0,+G2444-K2444)</f>
        <v/>
      </c>
      <c r="O2444" s="7">
        <f>IF(N2444=0,0,(L2444+H2444)/-N2444)</f>
        <v/>
      </c>
      <c r="P2444" s="7">
        <f>VLOOKUP(OPERAC[[#This Row],[especie]],[1]!ESPECIES[#All],6,0)</f>
        <v/>
      </c>
      <c r="Q2444" s="7">
        <f>IF(N2444&lt;&gt;0,P2444*N2444,0)</f>
        <v/>
      </c>
      <c r="R2444" s="8">
        <f>IF(Q2444&lt;&gt;0,Q2444+H2444+L2444,0)</f>
        <v/>
      </c>
      <c r="S2444" s="9">
        <f>VLOOKUP(OPERAC[[#This Row],[especie]],[1]!ESPECIES[#Data],9,FALSE)</f>
        <v/>
      </c>
    </row>
    <row r="2445">
      <c r="A2445" s="4" t="n">
        <v>1817</v>
      </c>
      <c r="B2445" s="5" t="n">
        <v>44697</v>
      </c>
      <c r="C2445" s="13" t="inlineStr">
        <is>
          <t>VTA</t>
        </is>
      </c>
      <c r="D2445" s="13" t="n">
        <v>41</v>
      </c>
      <c r="E2445" s="10">
        <f>IF(D2445&gt;0,VLOOKUP(OPERAC[[#This Row],[COD CART]],[1]!MatrizCortoLargoCyl[#All],3,0),"")</f>
        <v/>
      </c>
      <c r="F2445" s="13" t="inlineStr">
        <is>
          <t>PCT</t>
        </is>
      </c>
      <c r="G2445" s="6" t="n">
        <v>50</v>
      </c>
      <c r="H2445" s="6" t="n">
        <v>-428.981</v>
      </c>
      <c r="I2445" s="7">
        <f>-H2445/G2445</f>
        <v/>
      </c>
      <c r="J2445" s="11" t="n"/>
      <c r="K2445" s="6" t="n"/>
      <c r="L2445" s="6" t="n"/>
      <c r="M2445" s="7">
        <f>IF(N2445=0,+L2445+H2445,0)</f>
        <v/>
      </c>
      <c r="N2445" s="7">
        <f>IF((+G2445-K2445)=0,0,+G2445-K2445)</f>
        <v/>
      </c>
      <c r="O2445" s="7">
        <f>IF(N2445=0,0,(L2445+H2445)/-N2445)</f>
        <v/>
      </c>
      <c r="P2445" s="7">
        <f>VLOOKUP(OPERAC[[#This Row],[especie]],[1]!ESPECIES[#All],6,0)</f>
        <v/>
      </c>
      <c r="Q2445" s="7">
        <f>IF(N2445&lt;&gt;0,P2445*N2445,0)</f>
        <v/>
      </c>
      <c r="R2445" s="8">
        <f>IF(Q2445&lt;&gt;0,Q2445+H2445+L2445,0)</f>
        <v/>
      </c>
      <c r="S2445" s="9">
        <f>VLOOKUP(OPERAC[[#This Row],[especie]],[1]!ESPECIES[#Data],9,FALSE)</f>
        <v/>
      </c>
    </row>
    <row r="2446">
      <c r="A2446" s="4" t="n">
        <v>2306</v>
      </c>
      <c r="B2446" s="5" t="n">
        <v>44649</v>
      </c>
      <c r="C2446" s="13" t="inlineStr">
        <is>
          <t>VTA</t>
        </is>
      </c>
      <c r="D2446" s="13" t="n">
        <v>42</v>
      </c>
      <c r="E2446" s="10">
        <f>IF(D2446&gt;0,VLOOKUP(OPERAC[[#This Row],[COD CART]],[1]!MatrizCortoLargoCyl[#All],3,0),"")</f>
        <v/>
      </c>
      <c r="F2446" s="13" t="inlineStr">
        <is>
          <t>DIS</t>
        </is>
      </c>
      <c r="G2446" s="6" t="n">
        <v>3</v>
      </c>
      <c r="H2446" s="6" t="n">
        <v>-429.7866799999999</v>
      </c>
      <c r="I2446" s="7">
        <f>-H2446/G2446</f>
        <v/>
      </c>
      <c r="J2446" s="11" t="n">
        <v>44671</v>
      </c>
      <c r="K2446" s="6">
        <f>+OPERAC[[#This Row],[cantidad]]</f>
        <v/>
      </c>
      <c r="L2446" s="6">
        <f>+OPERAC[[#This Row],[cantidad venta]]*123.621</f>
        <v/>
      </c>
      <c r="M2446" s="7">
        <f>IF(N2446=0,+L2446+H2446,0)</f>
        <v/>
      </c>
      <c r="N2446" s="7">
        <f>IF((+G2446-K2446)=0,0,+G2446-K2446)</f>
        <v/>
      </c>
      <c r="O2446" s="7">
        <f>IF(N2446=0,0,(L2446+H2446)/-N2446)</f>
        <v/>
      </c>
      <c r="P2446" s="7">
        <f>VLOOKUP(OPERAC[[#This Row],[especie]],[1]!ESPECIES[#All],6,0)</f>
        <v/>
      </c>
      <c r="Q2446" s="7">
        <f>IF(N2446&lt;&gt;0,P2446*N2446,0)</f>
        <v/>
      </c>
      <c r="R2446" s="8">
        <f>IF(Q2446&lt;&gt;0,Q2446+H2446+L2446,0)</f>
        <v/>
      </c>
      <c r="S2446" s="9">
        <f>VLOOKUP(OPERAC[[#This Row],[especie]],[1]!ESPECIES[#Data],9,FALSE)</f>
        <v/>
      </c>
    </row>
    <row r="2447">
      <c r="A2447" s="4" t="n">
        <v>8066</v>
      </c>
      <c r="B2447" s="5" t="n">
        <v>44649</v>
      </c>
      <c r="C2447" s="13" t="inlineStr">
        <is>
          <t>VTA</t>
        </is>
      </c>
      <c r="D2447" s="13" t="n">
        <v>42</v>
      </c>
      <c r="E2447" s="10">
        <f>IF(D2447&gt;0,VLOOKUP(OPERAC[[#This Row],[COD CART]],[1]!MatrizCortoLargoCyl[#All],3,0),"")</f>
        <v/>
      </c>
      <c r="F2447" s="13" t="inlineStr">
        <is>
          <t>DIS</t>
        </is>
      </c>
      <c r="G2447" s="6" t="n">
        <v>3</v>
      </c>
      <c r="H2447" s="6" t="n">
        <v>-429.7866799999999</v>
      </c>
      <c r="I2447" s="7">
        <f>-H2447/G2447</f>
        <v/>
      </c>
      <c r="J2447" s="11" t="n">
        <v>44671</v>
      </c>
      <c r="K2447" s="6">
        <f>+OPERAC[[#This Row],[cantidad]]</f>
        <v/>
      </c>
      <c r="L2447" s="6">
        <f>+OPERAC[[#This Row],[cantidad venta]]*123.621</f>
        <v/>
      </c>
      <c r="M2447" s="7">
        <f>IF(N2447=0,+L2447+H2447,0)</f>
        <v/>
      </c>
      <c r="N2447" s="7">
        <f>IF((+G2447-K2447)=0,0,+G2447-K2447)</f>
        <v/>
      </c>
      <c r="O2447" s="7">
        <f>IF(N2447=0,0,(L2447+H2447)/-N2447)</f>
        <v/>
      </c>
      <c r="P2447" s="7">
        <f>VLOOKUP(OPERAC[[#This Row],[especie]],[1]!ESPECIES[#All],6,0)</f>
        <v/>
      </c>
      <c r="Q2447" s="7">
        <f>IF(N2447&lt;&gt;0,P2447*N2447,0)</f>
        <v/>
      </c>
      <c r="R2447" s="8">
        <f>IF(Q2447&lt;&gt;0,Q2447+H2447+L2447,0)</f>
        <v/>
      </c>
      <c r="S2447" s="9">
        <f>VLOOKUP(OPERAC[[#This Row],[especie]],[1]!ESPECIES[#Data],9,FALSE)</f>
        <v/>
      </c>
    </row>
    <row r="2448">
      <c r="A2448" s="4" t="n">
        <v>13230</v>
      </c>
      <c r="B2448" s="5" t="n">
        <v>44649</v>
      </c>
      <c r="C2448" s="13" t="inlineStr">
        <is>
          <t>VTA</t>
        </is>
      </c>
      <c r="D2448" s="13" t="n">
        <v>42</v>
      </c>
      <c r="E2448" s="10">
        <f>IF(D2448&gt;0,VLOOKUP(OPERAC[[#This Row],[COD CART]],[1]!MatrizCortoLargoCyl[#All],3,0),"")</f>
        <v/>
      </c>
      <c r="F2448" s="13" t="inlineStr">
        <is>
          <t>DIS</t>
        </is>
      </c>
      <c r="G2448" s="6" t="n">
        <v>3</v>
      </c>
      <c r="H2448" s="6" t="n">
        <v>-429.7866799999999</v>
      </c>
      <c r="I2448" s="7">
        <f>-H2448/G2448</f>
        <v/>
      </c>
      <c r="J2448" s="11" t="n">
        <v>44671</v>
      </c>
      <c r="K2448" s="6">
        <f>+OPERAC[[#This Row],[cantidad]]</f>
        <v/>
      </c>
      <c r="L2448" s="6">
        <f>+OPERAC[[#This Row],[cantidad venta]]*123.621</f>
        <v/>
      </c>
      <c r="M2448" s="7">
        <f>IF(N2448=0,+L2448+H2448,0)</f>
        <v/>
      </c>
      <c r="N2448" s="7">
        <f>IF((+G2448-K2448)=0,0,+G2448-K2448)</f>
        <v/>
      </c>
      <c r="O2448" s="7">
        <f>IF(N2448=0,0,(L2448+H2448)/-N2448)</f>
        <v/>
      </c>
      <c r="P2448" s="7">
        <f>VLOOKUP(OPERAC[[#This Row],[especie]],[1]!ESPECIES[#All],6,0)</f>
        <v/>
      </c>
      <c r="Q2448" s="7">
        <f>IF(N2448&lt;&gt;0,P2448*N2448,0)</f>
        <v/>
      </c>
      <c r="R2448" s="8">
        <f>IF(Q2448&lt;&gt;0,Q2448+H2448+L2448,0)</f>
        <v/>
      </c>
      <c r="S2448" s="9">
        <f>VLOOKUP(OPERAC[[#This Row],[especie]],[1]!ESPECIES[#Data],9,FALSE)</f>
        <v/>
      </c>
    </row>
    <row r="2449">
      <c r="A2449" s="4" t="n">
        <v>20234</v>
      </c>
      <c r="B2449" s="5" t="n">
        <v>44649</v>
      </c>
      <c r="C2449" s="13" t="inlineStr">
        <is>
          <t>VTA</t>
        </is>
      </c>
      <c r="D2449" s="13" t="n">
        <v>42</v>
      </c>
      <c r="E2449" s="10">
        <f>IF(D2449&gt;0,VLOOKUP(OPERAC[[#This Row],[COD CART]],[1]!MatrizCortoLargoCyl[#All],3,0),"")</f>
        <v/>
      </c>
      <c r="F2449" s="13" t="inlineStr">
        <is>
          <t>DIS</t>
        </is>
      </c>
      <c r="G2449" s="6" t="n">
        <v>3</v>
      </c>
      <c r="H2449" s="6" t="n">
        <v>-429.7866799999999</v>
      </c>
      <c r="I2449" s="7">
        <f>-H2449/G2449</f>
        <v/>
      </c>
      <c r="J2449" s="11" t="n">
        <v>44671</v>
      </c>
      <c r="K2449" s="6">
        <f>+OPERAC[[#This Row],[cantidad]]</f>
        <v/>
      </c>
      <c r="L2449" s="6">
        <f>+OPERAC[[#This Row],[cantidad venta]]*123.621</f>
        <v/>
      </c>
      <c r="M2449" s="7">
        <f>IF(N2449=0,+L2449+H2449,0)</f>
        <v/>
      </c>
      <c r="N2449" s="7">
        <f>IF((+G2449-K2449)=0,0,+G2449-K2449)</f>
        <v/>
      </c>
      <c r="O2449" s="7">
        <f>IF(N2449=0,0,(L2449+H2449)/-N2449)</f>
        <v/>
      </c>
      <c r="P2449" s="7">
        <f>VLOOKUP(OPERAC[[#This Row],[especie]],[1]!ESPECIES[#All],6,0)</f>
        <v/>
      </c>
      <c r="Q2449" s="7">
        <f>IF(N2449&lt;&gt;0,P2449*N2449,0)</f>
        <v/>
      </c>
      <c r="R2449" s="8">
        <f>IF(Q2449&lt;&gt;0,Q2449+H2449+L2449,0)</f>
        <v/>
      </c>
      <c r="S2449" s="9">
        <f>VLOOKUP(OPERAC[[#This Row],[especie]],[1]!ESPECIES[#Data],9,FALSE)</f>
        <v/>
      </c>
    </row>
    <row r="2450">
      <c r="A2450" s="4" t="n">
        <v>13185</v>
      </c>
      <c r="B2450" s="5" t="n">
        <v>44650</v>
      </c>
      <c r="C2450" s="13" t="inlineStr">
        <is>
          <t>VTA</t>
        </is>
      </c>
      <c r="D2450" s="13" t="n">
        <v>42</v>
      </c>
      <c r="E2450" s="10">
        <f>IF(D2450&gt;0,VLOOKUP(OPERAC[[#This Row],[COD CART]],[1]!MatrizCortoLargoCyl[#All],3,0),"")</f>
        <v/>
      </c>
      <c r="F2450" s="13" t="inlineStr">
        <is>
          <t>DIS</t>
        </is>
      </c>
      <c r="G2450" s="6" t="n">
        <v>3</v>
      </c>
      <c r="H2450" s="6" t="n">
        <v>-430.6485000000001</v>
      </c>
      <c r="I2450" s="7">
        <f>-H2450/G2450</f>
        <v/>
      </c>
      <c r="J2450" s="11" t="n">
        <v>44671</v>
      </c>
      <c r="K2450" s="6">
        <f>+OPERAC[[#This Row],[cantidad]]</f>
        <v/>
      </c>
      <c r="L2450" s="6">
        <f>+OPERAC[[#This Row],[cantidad venta]]*123.621</f>
        <v/>
      </c>
      <c r="M2450" s="7">
        <f>IF(N2450=0,+L2450+H2450,0)</f>
        <v/>
      </c>
      <c r="N2450" s="7">
        <f>IF((+G2450-K2450)=0,0,+G2450-K2450)</f>
        <v/>
      </c>
      <c r="O2450" s="7">
        <f>IF(N2450=0,0,(L2450+H2450)/-N2450)</f>
        <v/>
      </c>
      <c r="P2450" s="7">
        <f>VLOOKUP(OPERAC[[#This Row],[especie]],[1]!ESPECIES[#All],6,0)</f>
        <v/>
      </c>
      <c r="Q2450" s="7">
        <f>IF(N2450&lt;&gt;0,P2450*N2450,0)</f>
        <v/>
      </c>
      <c r="R2450" s="8">
        <f>IF(Q2450&lt;&gt;0,Q2450+H2450+L2450,0)</f>
        <v/>
      </c>
      <c r="S2450" s="9">
        <f>VLOOKUP(OPERAC[[#This Row],[especie]],[1]!ESPECIES[#Data],9,FALSE)</f>
        <v/>
      </c>
    </row>
    <row r="2451">
      <c r="A2451" s="4" t="n">
        <v>7867</v>
      </c>
      <c r="B2451" s="5" t="n">
        <v>44649</v>
      </c>
      <c r="C2451" s="13" t="inlineStr">
        <is>
          <t>VTA</t>
        </is>
      </c>
      <c r="D2451" s="13" t="n">
        <v>42</v>
      </c>
      <c r="E2451" s="10">
        <f>IF(D2451&gt;0,VLOOKUP(OPERAC[[#This Row],[COD CART]],[1]!MatrizCortoLargoCyl[#All],3,0),"")</f>
        <v/>
      </c>
      <c r="F2451" s="13" t="inlineStr">
        <is>
          <t>DIS</t>
        </is>
      </c>
      <c r="G2451" s="6" t="n">
        <v>3</v>
      </c>
      <c r="H2451" s="6" t="n">
        <v>-431.5500690000001</v>
      </c>
      <c r="I2451" s="7">
        <f>-H2451/G2451</f>
        <v/>
      </c>
      <c r="J2451" s="11" t="n">
        <v>44671</v>
      </c>
      <c r="K2451" s="6">
        <f>+OPERAC[[#This Row],[cantidad]]</f>
        <v/>
      </c>
      <c r="L2451" s="6">
        <f>+OPERAC[[#This Row],[cantidad venta]]*123.621</f>
        <v/>
      </c>
      <c r="M2451" s="7">
        <f>IF(N2451=0,+L2451+H2451,0)</f>
        <v/>
      </c>
      <c r="N2451" s="7">
        <f>IF((+G2451-K2451)=0,0,+G2451-K2451)</f>
        <v/>
      </c>
      <c r="O2451" s="7">
        <f>IF(N2451=0,0,(L2451+H2451)/-N2451)</f>
        <v/>
      </c>
      <c r="P2451" s="7">
        <f>VLOOKUP(OPERAC[[#This Row],[especie]],[1]!ESPECIES[#All],6,0)</f>
        <v/>
      </c>
      <c r="Q2451" s="7">
        <f>IF(N2451&lt;&gt;0,P2451*N2451,0)</f>
        <v/>
      </c>
      <c r="R2451" s="8">
        <f>IF(Q2451&lt;&gt;0,Q2451+H2451+L2451,0)</f>
        <v/>
      </c>
      <c r="S2451" s="9">
        <f>VLOOKUP(OPERAC[[#This Row],[especie]],[1]!ESPECIES[#Data],9,FALSE)</f>
        <v/>
      </c>
    </row>
    <row r="2452">
      <c r="A2452" s="4" t="n">
        <v>3835</v>
      </c>
      <c r="B2452" s="5" t="n">
        <v>44664</v>
      </c>
      <c r="C2452" s="13" t="inlineStr">
        <is>
          <t>VTA</t>
        </is>
      </c>
      <c r="D2452" s="13" t="n">
        <v>42</v>
      </c>
      <c r="E2452" s="10">
        <f>IF(D2452&gt;0,VLOOKUP(OPERAC[[#This Row],[COD CART]],[1]!MatrizCortoLargoCyl[#All],3,0),"")</f>
        <v/>
      </c>
      <c r="F2452" s="13" t="inlineStr">
        <is>
          <t>PSQ</t>
        </is>
      </c>
      <c r="G2452" s="6" t="n">
        <v>35</v>
      </c>
      <c r="H2452" s="6" t="n">
        <v>-431.90398251</v>
      </c>
      <c r="I2452" s="7">
        <f>-H2452/G2452</f>
        <v/>
      </c>
      <c r="J2452" s="11" t="n">
        <v>44680</v>
      </c>
      <c r="K2452" s="6">
        <f>+OPERAC[[#This Row],[cantidad]]</f>
        <v/>
      </c>
      <c r="L2452" s="6">
        <f>12.848*OPERAC[[#This Row],[cantidad venta]]</f>
        <v/>
      </c>
      <c r="M2452" s="7">
        <f>IF(N2452=0,+L2452+H2452,0)</f>
        <v/>
      </c>
      <c r="N2452" s="7">
        <f>IF((+G2452-K2452)=0,0,+G2452-K2452)</f>
        <v/>
      </c>
      <c r="O2452" s="7">
        <f>IF(N2452=0,0,(L2452+H2452)/-N2452)</f>
        <v/>
      </c>
      <c r="P2452" s="7">
        <f>VLOOKUP(OPERAC[[#This Row],[especie]],[1]!ESPECIES[#All],6,0)</f>
        <v/>
      </c>
      <c r="Q2452" s="7">
        <f>IF(N2452&lt;&gt;0,P2452*N2452,0)</f>
        <v/>
      </c>
      <c r="R2452" s="8">
        <f>IF(Q2452&lt;&gt;0,Q2452+H2452+L2452,0)</f>
        <v/>
      </c>
      <c r="S2452" s="9">
        <f>VLOOKUP(OPERAC[[#This Row],[especie]],[1]!ESPECIES[#Data],9,FALSE)</f>
        <v/>
      </c>
    </row>
    <row r="2453">
      <c r="A2453" s="4" t="n">
        <v>1800</v>
      </c>
      <c r="B2453" s="5" t="n">
        <v>44643</v>
      </c>
      <c r="C2453" s="13" t="inlineStr">
        <is>
          <t>VTA</t>
        </is>
      </c>
      <c r="D2453" s="13" t="n">
        <v>42</v>
      </c>
      <c r="E2453" s="10">
        <f>IF(D2453&gt;0,VLOOKUP(OPERAC[[#This Row],[COD CART]],[1]!MatrizCortoLargoCyl[#All],3,0),"")</f>
        <v/>
      </c>
      <c r="F2453" s="13" t="inlineStr">
        <is>
          <t>FB</t>
        </is>
      </c>
      <c r="G2453" s="6" t="n">
        <v>2</v>
      </c>
      <c r="H2453" s="6" t="n">
        <v>-432.24652</v>
      </c>
      <c r="I2453" s="7">
        <f>-H2453/G2453</f>
        <v/>
      </c>
      <c r="J2453" s="11" t="n">
        <v>44671</v>
      </c>
      <c r="K2453" s="6">
        <f>+OPERAC[[#This Row],[cantidad]]</f>
        <v/>
      </c>
      <c r="L2453" s="6">
        <f>+OPERAC[[#This Row],[cantidad venta]]*213.173</f>
        <v/>
      </c>
      <c r="M2453" s="7">
        <f>IF(N2453=0,+L2453+H2453,0)</f>
        <v/>
      </c>
      <c r="N2453" s="7">
        <f>IF((+G2453-K2453)=0,0,+G2453-K2453)</f>
        <v/>
      </c>
      <c r="O2453" s="7">
        <f>IF(N2453=0,0,(L2453+H2453)/-N2453)</f>
        <v/>
      </c>
      <c r="P2453" s="7">
        <f>VLOOKUP(OPERAC[[#This Row],[especie]],[1]!ESPECIES[#All],6,0)</f>
        <v/>
      </c>
      <c r="Q2453" s="7">
        <f>IF(N2453&lt;&gt;0,P2453*N2453,0)</f>
        <v/>
      </c>
      <c r="R2453" s="8">
        <f>IF(Q2453&lt;&gt;0,Q2453+H2453+L2453,0)</f>
        <v/>
      </c>
      <c r="S2453" s="9">
        <f>VLOOKUP(OPERAC[[#This Row],[especie]],[1]!ESPECIES[#Data],9,FALSE)</f>
        <v/>
      </c>
    </row>
    <row r="2454">
      <c r="A2454" s="4" t="n">
        <v>12655</v>
      </c>
      <c r="B2454" s="5" t="n">
        <v>44643</v>
      </c>
      <c r="C2454" s="13" t="inlineStr">
        <is>
          <t>VTA</t>
        </is>
      </c>
      <c r="D2454" s="13" t="n">
        <v>42</v>
      </c>
      <c r="E2454" s="10">
        <f>IF(D2454&gt;0,VLOOKUP(OPERAC[[#This Row],[COD CART]],[1]!MatrizCortoLargoCyl[#All],3,0),"")</f>
        <v/>
      </c>
      <c r="F2454" s="13" t="inlineStr">
        <is>
          <t>FB</t>
        </is>
      </c>
      <c r="G2454" s="6" t="n">
        <v>2</v>
      </c>
      <c r="H2454" s="6" t="n">
        <v>-432.24652</v>
      </c>
      <c r="I2454" s="7">
        <f>-H2454/G2454</f>
        <v/>
      </c>
      <c r="J2454" s="11" t="n">
        <v>44671</v>
      </c>
      <c r="K2454" s="6">
        <f>+OPERAC[[#This Row],[cantidad]]</f>
        <v/>
      </c>
      <c r="L2454" s="6">
        <f>+OPERAC[[#This Row],[cantidad venta]]*213.173</f>
        <v/>
      </c>
      <c r="M2454" s="7">
        <f>IF(N2454=0,+L2454+H2454,0)</f>
        <v/>
      </c>
      <c r="N2454" s="7">
        <f>IF((+G2454-K2454)=0,0,+G2454-K2454)</f>
        <v/>
      </c>
      <c r="O2454" s="7">
        <f>IF(N2454=0,0,(L2454+H2454)/-N2454)</f>
        <v/>
      </c>
      <c r="P2454" s="7">
        <f>VLOOKUP(OPERAC[[#This Row],[especie]],[1]!ESPECIES[#All],6,0)</f>
        <v/>
      </c>
      <c r="Q2454" s="7">
        <f>IF(N2454&lt;&gt;0,P2454*N2454,0)</f>
        <v/>
      </c>
      <c r="R2454" s="8">
        <f>IF(Q2454&lt;&gt;0,Q2454+H2454+L2454,0)</f>
        <v/>
      </c>
      <c r="S2454" s="9">
        <f>VLOOKUP(OPERAC[[#This Row],[especie]],[1]!ESPECIES[#Data],9,FALSE)</f>
        <v/>
      </c>
    </row>
    <row r="2455">
      <c r="A2455" s="4" t="n">
        <v>13238</v>
      </c>
      <c r="B2455" s="5" t="n">
        <v>44643</v>
      </c>
      <c r="C2455" s="13" t="inlineStr">
        <is>
          <t>VTA</t>
        </is>
      </c>
      <c r="D2455" s="13" t="n">
        <v>42</v>
      </c>
      <c r="E2455" s="10">
        <f>IF(D2455&gt;0,VLOOKUP(OPERAC[[#This Row],[COD CART]],[1]!MatrizCortoLargoCyl[#All],3,0),"")</f>
        <v/>
      </c>
      <c r="F2455" s="13" t="inlineStr">
        <is>
          <t>FB</t>
        </is>
      </c>
      <c r="G2455" s="6" t="n">
        <v>2</v>
      </c>
      <c r="H2455" s="6" t="n">
        <v>-432.24652</v>
      </c>
      <c r="I2455" s="7">
        <f>-H2455/G2455</f>
        <v/>
      </c>
      <c r="J2455" s="11" t="n">
        <v>44671</v>
      </c>
      <c r="K2455" s="6">
        <f>+OPERAC[[#This Row],[cantidad]]</f>
        <v/>
      </c>
      <c r="L2455" s="6">
        <f>+OPERAC[[#This Row],[cantidad venta]]*213.173</f>
        <v/>
      </c>
      <c r="M2455" s="7">
        <f>IF(N2455=0,+L2455+H2455,0)</f>
        <v/>
      </c>
      <c r="N2455" s="7">
        <f>IF((+G2455-K2455)=0,0,+G2455-K2455)</f>
        <v/>
      </c>
      <c r="O2455" s="7">
        <f>IF(N2455=0,0,(L2455+H2455)/-N2455)</f>
        <v/>
      </c>
      <c r="P2455" s="7">
        <f>VLOOKUP(OPERAC[[#This Row],[especie]],[1]!ESPECIES[#All],6,0)</f>
        <v/>
      </c>
      <c r="Q2455" s="7">
        <f>IF(N2455&lt;&gt;0,P2455*N2455,0)</f>
        <v/>
      </c>
      <c r="R2455" s="8">
        <f>IF(Q2455&lt;&gt;0,Q2455+H2455+L2455,0)</f>
        <v/>
      </c>
      <c r="S2455" s="9">
        <f>VLOOKUP(OPERAC[[#This Row],[especie]],[1]!ESPECIES[#Data],9,FALSE)</f>
        <v/>
      </c>
    </row>
    <row r="2456">
      <c r="A2456" s="4" t="n">
        <v>16833</v>
      </c>
      <c r="B2456" s="5" t="n">
        <v>44643</v>
      </c>
      <c r="C2456" s="13" t="inlineStr">
        <is>
          <t>VTA</t>
        </is>
      </c>
      <c r="D2456" s="13" t="n">
        <v>42</v>
      </c>
      <c r="E2456" s="10">
        <f>IF(D2456&gt;0,VLOOKUP(OPERAC[[#This Row],[COD CART]],[1]!MatrizCortoLargoCyl[#All],3,0),"")</f>
        <v/>
      </c>
      <c r="F2456" s="13" t="inlineStr">
        <is>
          <t>FB</t>
        </is>
      </c>
      <c r="G2456" s="6" t="n">
        <v>2</v>
      </c>
      <c r="H2456" s="6" t="n">
        <v>-432.24652</v>
      </c>
      <c r="I2456" s="7">
        <f>-H2456/G2456</f>
        <v/>
      </c>
      <c r="J2456" s="11" t="n">
        <v>44671</v>
      </c>
      <c r="K2456" s="6">
        <f>+OPERAC[[#This Row],[cantidad]]</f>
        <v/>
      </c>
      <c r="L2456" s="6">
        <f>+OPERAC[[#This Row],[cantidad venta]]*213.173</f>
        <v/>
      </c>
      <c r="M2456" s="7">
        <f>IF(N2456=0,+L2456+H2456,0)</f>
        <v/>
      </c>
      <c r="N2456" s="7">
        <f>IF((+G2456-K2456)=0,0,+G2456-K2456)</f>
        <v/>
      </c>
      <c r="O2456" s="7">
        <f>IF(N2456=0,0,(L2456+H2456)/-N2456)</f>
        <v/>
      </c>
      <c r="P2456" s="7">
        <f>VLOOKUP(OPERAC[[#This Row],[especie]],[1]!ESPECIES[#All],6,0)</f>
        <v/>
      </c>
      <c r="Q2456" s="7">
        <f>IF(N2456&lt;&gt;0,P2456*N2456,0)</f>
        <v/>
      </c>
      <c r="R2456" s="8">
        <f>IF(Q2456&lt;&gt;0,Q2456+H2456+L2456,0)</f>
        <v/>
      </c>
      <c r="S2456" s="9">
        <f>VLOOKUP(OPERAC[[#This Row],[especie]],[1]!ESPECIES[#Data],9,FALSE)</f>
        <v/>
      </c>
    </row>
    <row r="2457">
      <c r="A2457" s="4" t="n">
        <v>18677</v>
      </c>
      <c r="B2457" s="5" t="n">
        <v>44643</v>
      </c>
      <c r="C2457" s="13" t="inlineStr">
        <is>
          <t>VTA</t>
        </is>
      </c>
      <c r="D2457" s="13" t="n">
        <v>42</v>
      </c>
      <c r="E2457" s="10">
        <f>IF(D2457&gt;0,VLOOKUP(OPERAC[[#This Row],[COD CART]],[1]!MatrizCortoLargoCyl[#All],3,0),"")</f>
        <v/>
      </c>
      <c r="F2457" s="13" t="inlineStr">
        <is>
          <t>FB</t>
        </is>
      </c>
      <c r="G2457" s="6" t="n">
        <v>2</v>
      </c>
      <c r="H2457" s="6" t="n">
        <v>-432.24652</v>
      </c>
      <c r="I2457" s="7">
        <f>-H2457/G2457</f>
        <v/>
      </c>
      <c r="J2457" s="11" t="n">
        <v>44671</v>
      </c>
      <c r="K2457" s="6">
        <f>+OPERAC[[#This Row],[cantidad]]</f>
        <v/>
      </c>
      <c r="L2457" s="6">
        <f>+OPERAC[[#This Row],[cantidad venta]]*213.173</f>
        <v/>
      </c>
      <c r="M2457" s="7">
        <f>IF(N2457=0,+L2457+H2457,0)</f>
        <v/>
      </c>
      <c r="N2457" s="7">
        <f>IF((+G2457-K2457)=0,0,+G2457-K2457)</f>
        <v/>
      </c>
      <c r="O2457" s="7">
        <f>IF(N2457=0,0,(L2457+H2457)/-N2457)</f>
        <v/>
      </c>
      <c r="P2457" s="7">
        <f>VLOOKUP(OPERAC[[#This Row],[especie]],[1]!ESPECIES[#All],6,0)</f>
        <v/>
      </c>
      <c r="Q2457" s="7">
        <f>IF(N2457&lt;&gt;0,P2457*N2457,0)</f>
        <v/>
      </c>
      <c r="R2457" s="8">
        <f>IF(Q2457&lt;&gt;0,Q2457+H2457+L2457,0)</f>
        <v/>
      </c>
      <c r="S2457" s="9">
        <f>VLOOKUP(OPERAC[[#This Row],[especie]],[1]!ESPECIES[#Data],9,FALSE)</f>
        <v/>
      </c>
    </row>
    <row r="2458">
      <c r="A2458" s="4" t="n">
        <v>19888</v>
      </c>
      <c r="B2458" s="5" t="n">
        <v>44643</v>
      </c>
      <c r="C2458" s="13" t="inlineStr">
        <is>
          <t>VTA</t>
        </is>
      </c>
      <c r="D2458" s="13" t="n">
        <v>42</v>
      </c>
      <c r="E2458" s="10">
        <f>IF(D2458&gt;0,VLOOKUP(OPERAC[[#This Row],[COD CART]],[1]!MatrizCortoLargoCyl[#All],3,0),"")</f>
        <v/>
      </c>
      <c r="F2458" s="13" t="inlineStr">
        <is>
          <t>FB</t>
        </is>
      </c>
      <c r="G2458" s="6" t="n">
        <v>2</v>
      </c>
      <c r="H2458" s="6" t="n">
        <v>-432.24652</v>
      </c>
      <c r="I2458" s="7">
        <f>-H2458/G2458</f>
        <v/>
      </c>
      <c r="J2458" s="11" t="n">
        <v>44671</v>
      </c>
      <c r="K2458" s="6">
        <f>+OPERAC[[#This Row],[cantidad]]</f>
        <v/>
      </c>
      <c r="L2458" s="6">
        <f>+OPERAC[[#This Row],[cantidad venta]]*213.173</f>
        <v/>
      </c>
      <c r="M2458" s="7">
        <f>IF(N2458=0,+L2458+H2458,0)</f>
        <v/>
      </c>
      <c r="N2458" s="7">
        <f>IF((+G2458-K2458)=0,0,+G2458-K2458)</f>
        <v/>
      </c>
      <c r="O2458" s="7">
        <f>IF(N2458=0,0,(L2458+H2458)/-N2458)</f>
        <v/>
      </c>
      <c r="P2458" s="7">
        <f>VLOOKUP(OPERAC[[#This Row],[especie]],[1]!ESPECIES[#All],6,0)</f>
        <v/>
      </c>
      <c r="Q2458" s="7">
        <f>IF(N2458&lt;&gt;0,P2458*N2458,0)</f>
        <v/>
      </c>
      <c r="R2458" s="8">
        <f>IF(Q2458&lt;&gt;0,Q2458+H2458+L2458,0)</f>
        <v/>
      </c>
      <c r="S2458" s="9">
        <f>VLOOKUP(OPERAC[[#This Row],[especie]],[1]!ESPECIES[#Data],9,FALSE)</f>
        <v/>
      </c>
    </row>
    <row r="2459">
      <c r="A2459" s="4" t="n">
        <v>20234</v>
      </c>
      <c r="B2459" s="5" t="n">
        <v>44643</v>
      </c>
      <c r="C2459" s="13" t="inlineStr">
        <is>
          <t>VTA</t>
        </is>
      </c>
      <c r="D2459" s="13" t="n">
        <v>42</v>
      </c>
      <c r="E2459" s="10">
        <f>IF(D2459&gt;0,VLOOKUP(OPERAC[[#This Row],[COD CART]],[1]!MatrizCortoLargoCyl[#All],3,0),"")</f>
        <v/>
      </c>
      <c r="F2459" s="13" t="inlineStr">
        <is>
          <t>FB</t>
        </is>
      </c>
      <c r="G2459" s="6" t="n">
        <v>2</v>
      </c>
      <c r="H2459" s="6" t="n">
        <v>-432.24652</v>
      </c>
      <c r="I2459" s="7">
        <f>-H2459/G2459</f>
        <v/>
      </c>
      <c r="J2459" s="11" t="n">
        <v>44671</v>
      </c>
      <c r="K2459" s="6">
        <f>+OPERAC[[#This Row],[cantidad]]</f>
        <v/>
      </c>
      <c r="L2459" s="6">
        <f>+OPERAC[[#This Row],[cantidad venta]]*213.173</f>
        <v/>
      </c>
      <c r="M2459" s="7">
        <f>IF(N2459=0,+L2459+H2459,0)</f>
        <v/>
      </c>
      <c r="N2459" s="7">
        <f>IF((+G2459-K2459)=0,0,+G2459-K2459)</f>
        <v/>
      </c>
      <c r="O2459" s="7">
        <f>IF(N2459=0,0,(L2459+H2459)/-N2459)</f>
        <v/>
      </c>
      <c r="P2459" s="7">
        <f>VLOOKUP(OPERAC[[#This Row],[especie]],[1]!ESPECIES[#All],6,0)</f>
        <v/>
      </c>
      <c r="Q2459" s="7">
        <f>IF(N2459&lt;&gt;0,P2459*N2459,0)</f>
        <v/>
      </c>
      <c r="R2459" s="8">
        <f>IF(Q2459&lt;&gt;0,Q2459+H2459+L2459,0)</f>
        <v/>
      </c>
      <c r="S2459" s="9">
        <f>VLOOKUP(OPERAC[[#This Row],[especie]],[1]!ESPECIES[#Data],9,FALSE)</f>
        <v/>
      </c>
    </row>
    <row r="2460">
      <c r="A2460" s="4" t="n">
        <v>22407</v>
      </c>
      <c r="B2460" s="5" t="n">
        <v>44643</v>
      </c>
      <c r="C2460" s="13" t="inlineStr">
        <is>
          <t>VTA</t>
        </is>
      </c>
      <c r="D2460" s="13" t="n">
        <v>42</v>
      </c>
      <c r="E2460" s="10">
        <f>IF(D2460&gt;0,VLOOKUP(OPERAC[[#This Row],[COD CART]],[1]!MatrizCortoLargoCyl[#All],3,0),"")</f>
        <v/>
      </c>
      <c r="F2460" s="13" t="inlineStr">
        <is>
          <t>FB</t>
        </is>
      </c>
      <c r="G2460" s="6" t="n">
        <v>2</v>
      </c>
      <c r="H2460" s="6" t="n">
        <v>-432.24652</v>
      </c>
      <c r="I2460" s="7">
        <f>-H2460/G2460</f>
        <v/>
      </c>
      <c r="J2460" s="11" t="n">
        <v>44671</v>
      </c>
      <c r="K2460" s="6">
        <f>+OPERAC[[#This Row],[cantidad]]</f>
        <v/>
      </c>
      <c r="L2460" s="6">
        <f>+OPERAC[[#This Row],[cantidad venta]]*213.173</f>
        <v/>
      </c>
      <c r="M2460" s="7">
        <f>IF(N2460=0,+L2460+H2460,0)</f>
        <v/>
      </c>
      <c r="N2460" s="7">
        <f>IF((+G2460-K2460)=0,0,+G2460-K2460)</f>
        <v/>
      </c>
      <c r="O2460" s="7">
        <f>IF(N2460=0,0,(L2460+H2460)/-N2460)</f>
        <v/>
      </c>
      <c r="P2460" s="7">
        <f>VLOOKUP(OPERAC[[#This Row],[especie]],[1]!ESPECIES[#All],6,0)</f>
        <v/>
      </c>
      <c r="Q2460" s="7">
        <f>IF(N2460&lt;&gt;0,P2460*N2460,0)</f>
        <v/>
      </c>
      <c r="R2460" s="8">
        <f>IF(Q2460&lt;&gt;0,Q2460+H2460+L2460,0)</f>
        <v/>
      </c>
      <c r="S2460" s="9">
        <f>VLOOKUP(OPERAC[[#This Row],[especie]],[1]!ESPECIES[#Data],9,FALSE)</f>
        <v/>
      </c>
    </row>
    <row r="2461">
      <c r="A2461" s="4" t="n">
        <v>7879</v>
      </c>
      <c r="B2461" s="5" t="n">
        <v>44204</v>
      </c>
      <c r="C2461" s="13" t="inlineStr">
        <is>
          <t>VTA</t>
        </is>
      </c>
      <c r="D2461" s="13" t="n">
        <v>41</v>
      </c>
      <c r="E2461" s="10">
        <f>IF(D2461&gt;0,VLOOKUP(OPERAC[[#This Row],[COD CART]],[1]!MatrizCortoLargoCyl[#All],3,0),"")</f>
        <v/>
      </c>
      <c r="F2461" s="13" t="inlineStr">
        <is>
          <t>GBTC</t>
        </is>
      </c>
      <c r="G2461" s="6" t="n">
        <v>9</v>
      </c>
      <c r="H2461" s="6" t="n">
        <v>-433.2807999999999</v>
      </c>
      <c r="I2461" s="7">
        <f>-H2461/G2461</f>
        <v/>
      </c>
      <c r="J2461" s="11" t="n"/>
      <c r="K2461" s="6" t="n"/>
      <c r="L2461" s="6" t="n"/>
      <c r="M2461" s="7">
        <f>IF(N2461=0,+L2461+H2461,0)</f>
        <v/>
      </c>
      <c r="N2461" s="7">
        <f>IF((+G2461-K2461)=0,0,+G2461-K2461)</f>
        <v/>
      </c>
      <c r="O2461" s="7" t="n">
        <v>23.7</v>
      </c>
      <c r="P2461" s="7">
        <f>VLOOKUP(OPERAC[[#This Row],[especie]],[1]!ESPECIES[#All],6,0)</f>
        <v/>
      </c>
      <c r="Q2461" s="7">
        <f>IF(N2461&lt;&gt;0,P2461*N2461,0)</f>
        <v/>
      </c>
      <c r="R2461" s="8">
        <f>IF(Q2461&lt;&gt;0,Q2461+H2461+L2461,0)</f>
        <v/>
      </c>
      <c r="S2461" s="9">
        <f>VLOOKUP(OPERAC[[#This Row],[especie]],[1]!ESPECIES[#Data],9,FALSE)</f>
        <v/>
      </c>
    </row>
    <row r="2462">
      <c r="A2462" s="4" t="n">
        <v>15195</v>
      </c>
      <c r="B2462" s="5" t="n">
        <v>44536</v>
      </c>
      <c r="C2462" s="13" t="inlineStr">
        <is>
          <t>VTA</t>
        </is>
      </c>
      <c r="D2462" s="13" t="n">
        <v>43</v>
      </c>
      <c r="E2462" s="10">
        <f>IF(D2462&gt;0,VLOOKUP(OPERAC[[#This Row],[COD CART]],[1]!MatrizCortoLargoCyl[#All],3,0),"")</f>
        <v/>
      </c>
      <c r="F2462" s="13" t="inlineStr">
        <is>
          <t>HEXO/CYL-PUT/1,00/20-01-23</t>
        </is>
      </c>
      <c r="G2462" s="6" t="n">
        <v>2600</v>
      </c>
      <c r="H2462" s="6">
        <f>-0.1671*OPERAC[[#This Row],[cantidad]]</f>
        <v/>
      </c>
      <c r="I2462" s="7">
        <f>-H2462/G2462</f>
        <v/>
      </c>
      <c r="J2462" s="11" t="n"/>
      <c r="K2462" s="6" t="n"/>
      <c r="L2462" s="6" t="n"/>
      <c r="M2462" s="7">
        <f>IF(N2462=0,+L2462+H2462,0)</f>
        <v/>
      </c>
      <c r="N2462" s="7">
        <f>IF((+G2462-K2462)=0,0,+G2462-K2462)</f>
        <v/>
      </c>
      <c r="O2462" s="7">
        <f>IF(N2462=0,0,(L2462+H2462)/-N2462)</f>
        <v/>
      </c>
      <c r="P2462" s="7">
        <f>VLOOKUP(OPERAC[[#This Row],[especie]],[1]!ESPECIES[#All],6,0)</f>
        <v/>
      </c>
      <c r="Q2462" s="7">
        <f>IF(N2462&lt;&gt;0,P2462*N2462,0)</f>
        <v/>
      </c>
      <c r="R2462" s="8">
        <f>IF(Q2462&lt;&gt;0,Q2462+H2462+L2462,0)</f>
        <v/>
      </c>
      <c r="S2462" s="9">
        <f>VLOOKUP(OPERAC[[#This Row],[especie]],[1]!ESPECIES[#Data],9,FALSE)</f>
        <v/>
      </c>
    </row>
    <row r="2463">
      <c r="A2463" s="4" t="n">
        <v>2255</v>
      </c>
      <c r="B2463" s="5" t="n">
        <v>44536</v>
      </c>
      <c r="C2463" s="13" t="inlineStr">
        <is>
          <t>VTA</t>
        </is>
      </c>
      <c r="D2463" s="13" t="n">
        <v>43</v>
      </c>
      <c r="E2463" s="10">
        <f>IF(D2463&gt;0,VLOOKUP(OPERAC[[#This Row],[COD CART]],[1]!MatrizCortoLargoCyl[#All],3,0),"")</f>
        <v/>
      </c>
      <c r="F2463" s="13" t="inlineStr">
        <is>
          <t>HEXO/CYL-PUT/1,00/20-01-23</t>
        </is>
      </c>
      <c r="G2463" s="6" t="n">
        <v>2600</v>
      </c>
      <c r="H2463" s="6">
        <f>-0.1671*OPERAC[[#This Row],[cantidad]]</f>
        <v/>
      </c>
      <c r="I2463" s="7">
        <f>-H2463/G2463</f>
        <v/>
      </c>
      <c r="J2463" s="11" t="n">
        <v>44615</v>
      </c>
      <c r="K2463" s="6" t="n">
        <v>2600</v>
      </c>
      <c r="L2463" s="6" t="n">
        <v>860.35</v>
      </c>
      <c r="M2463" s="7">
        <f>IF(N2463=0,+L2463+H2463,0)</f>
        <v/>
      </c>
      <c r="N2463" s="7">
        <f>IF((+G2463-K2463)=0,0,+G2463-K2463)</f>
        <v/>
      </c>
      <c r="O2463" s="7">
        <f>IF(N2463=0,0,(L2463+H2463)/-N2463)</f>
        <v/>
      </c>
      <c r="P2463" s="7">
        <f>VLOOKUP(OPERAC[[#This Row],[especie]],[1]!ESPECIES[#All],6,0)</f>
        <v/>
      </c>
      <c r="Q2463" s="7">
        <f>IF(N2463&lt;&gt;0,P2463*N2463,0)</f>
        <v/>
      </c>
      <c r="R2463" s="8">
        <f>IF(Q2463&lt;&gt;0,Q2463+H2463+L2463,0)</f>
        <v/>
      </c>
      <c r="S2463" s="9">
        <f>VLOOKUP(OPERAC[[#This Row],[especie]],[1]!ESPECIES[#Data],9,FALSE)</f>
        <v/>
      </c>
    </row>
    <row r="2464">
      <c r="A2464" s="4" t="n">
        <v>2255</v>
      </c>
      <c r="B2464" s="5" t="n">
        <v>44725</v>
      </c>
      <c r="C2464" s="13" t="inlineStr">
        <is>
          <t>VTA</t>
        </is>
      </c>
      <c r="D2464" s="13" t="n">
        <v>40</v>
      </c>
      <c r="E2464" s="10">
        <f>IF(D2464&gt;0,VLOOKUP(OPERAC[[#This Row],[COD CART]],[1]!MatrizCortoLargoCyl[#All],3,0),"")</f>
        <v/>
      </c>
      <c r="F2464" s="13" t="inlineStr">
        <is>
          <t>AMD</t>
        </is>
      </c>
      <c r="G2464" s="6" t="n">
        <v>5</v>
      </c>
      <c r="H2464" s="6" t="n">
        <v>-436.7314875</v>
      </c>
      <c r="I2464" s="7">
        <f>-H2464/G2464</f>
        <v/>
      </c>
      <c r="J2464" s="5" t="n"/>
      <c r="K2464" s="6" t="n"/>
      <c r="L2464" s="6" t="n"/>
      <c r="M2464" s="7">
        <f>IF(N2464=0,+L2464+H2464,0)</f>
        <v/>
      </c>
      <c r="N2464" s="7">
        <f>IF((+G2464-K2464)=0,0,+G2464-K2464)</f>
        <v/>
      </c>
      <c r="O2464" s="7">
        <f>IF(N2464=0,0,(L2464+H2464)/-N2464)</f>
        <v/>
      </c>
      <c r="P2464" s="7">
        <f>VLOOKUP(OPERAC[[#This Row],[especie]],[1]!ESPECIES[#All],6,0)</f>
        <v/>
      </c>
      <c r="Q2464" s="7">
        <f>IF(N2464&lt;&gt;0,P2464*N2464,0)</f>
        <v/>
      </c>
      <c r="R2464" s="8">
        <f>IF(Q2464&lt;&gt;0,Q2464+H2464+L2464,0)</f>
        <v/>
      </c>
      <c r="S2464" s="9">
        <f>VLOOKUP(OPERAC[[#This Row],[especie]],[1]!ESPECIES[#Data],9,FALSE)</f>
        <v/>
      </c>
    </row>
    <row r="2465">
      <c r="A2465" s="4" t="n">
        <v>18663</v>
      </c>
      <c r="B2465" s="5" t="n">
        <v>44579</v>
      </c>
      <c r="C2465" s="13" t="inlineStr">
        <is>
          <t>VTA</t>
        </is>
      </c>
      <c r="D2465" s="13" t="n">
        <v>41</v>
      </c>
      <c r="E2465" s="10">
        <f>IF(D2465&gt;0,VLOOKUP(OPERAC[[#This Row],[COD CART]],[1]!MatrizCortoLargoCyl[#All],3,0),"")</f>
        <v/>
      </c>
      <c r="F2465" s="13" t="inlineStr">
        <is>
          <t>FL</t>
        </is>
      </c>
      <c r="G2465" s="6" t="n">
        <v>10</v>
      </c>
      <c r="H2465" s="6" t="n">
        <v>-436.794</v>
      </c>
      <c r="I2465" s="7">
        <f>-H2465/G2465</f>
        <v/>
      </c>
      <c r="J2465" s="11" t="n"/>
      <c r="K2465" s="6" t="n"/>
      <c r="L2465" s="6" t="n"/>
      <c r="M2465" s="7">
        <f>IF(N2465=0,+L2465+H2465,0)</f>
        <v/>
      </c>
      <c r="N2465" s="7">
        <f>IF((+G2465-K2465)=0,0,+G2465-K2465)</f>
        <v/>
      </c>
      <c r="O2465" s="7">
        <f>IF(N2465=0,0,(L2465+H2465)/-N2465)</f>
        <v/>
      </c>
      <c r="P2465" s="7">
        <f>VLOOKUP(OPERAC[[#This Row],[especie]],[1]!ESPECIES[#All],6,0)</f>
        <v/>
      </c>
      <c r="Q2465" s="7">
        <f>IF(N2465&lt;&gt;0,P2465*N2465,0)</f>
        <v/>
      </c>
      <c r="R2465" s="8">
        <f>IF(Q2465&lt;&gt;0,Q2465+H2465+L2465,0)</f>
        <v/>
      </c>
      <c r="S2465" s="9">
        <f>VLOOKUP(OPERAC[[#This Row],[especie]],[1]!ESPECIES[#Data],9,FALSE)</f>
        <v/>
      </c>
    </row>
    <row r="2466">
      <c r="A2466" s="4" t="n">
        <v>18663</v>
      </c>
      <c r="B2466" s="5" t="n">
        <v>44509</v>
      </c>
      <c r="C2466" s="13" t="inlineStr">
        <is>
          <t>VTA</t>
        </is>
      </c>
      <c r="D2466" s="13" t="n">
        <v>41</v>
      </c>
      <c r="E2466" s="10">
        <f>IF(D2466&gt;0,VLOOKUP(OPERAC[[#This Row],[COD CART]],[1]!MatrizCortoLargoCyl[#All],3,0),"")</f>
        <v/>
      </c>
      <c r="F2466" s="13" t="inlineStr">
        <is>
          <t>DDD</t>
        </is>
      </c>
      <c r="G2466" s="6" t="n">
        <v>15</v>
      </c>
      <c r="H2466" s="6" t="n">
        <v>-438.422</v>
      </c>
      <c r="I2466" s="7">
        <f>-H2466/G2466</f>
        <v/>
      </c>
      <c r="J2466" s="11" t="n"/>
      <c r="K2466" s="6" t="n"/>
      <c r="L2466" s="6" t="n"/>
      <c r="M2466" s="7">
        <f>IF(N2466=0,+L2466+H2466,0)</f>
        <v/>
      </c>
      <c r="N2466" s="7">
        <f>IF((+G2466-K2466)=0,0,+G2466-K2466)</f>
        <v/>
      </c>
      <c r="O2466" s="7">
        <f>IF(N2466=0,0,(L2466+H2466)/-N2466)</f>
        <v/>
      </c>
      <c r="P2466" s="7">
        <f>VLOOKUP(OPERAC[[#This Row],[especie]],[1]!ESPECIES[#All],6,0)</f>
        <v/>
      </c>
      <c r="Q2466" s="7">
        <f>IF(N2466&lt;&gt;0,P2466*N2466,0)</f>
        <v/>
      </c>
      <c r="R2466" s="8">
        <f>IF(Q2466&lt;&gt;0,Q2466+H2466+L2466,0)</f>
        <v/>
      </c>
      <c r="S2466" s="9">
        <f>VLOOKUP(OPERAC[[#This Row],[especie]],[1]!ESPECIES[#Data],9,FALSE)</f>
        <v/>
      </c>
    </row>
    <row r="2467">
      <c r="A2467" s="4" t="n">
        <v>22407</v>
      </c>
      <c r="B2467" s="5" t="n">
        <v>44725</v>
      </c>
      <c r="C2467" s="13" t="inlineStr">
        <is>
          <t>VTA</t>
        </is>
      </c>
      <c r="D2467" s="13" t="n">
        <v>40</v>
      </c>
      <c r="E2467" s="10">
        <f>IF(D2467&gt;0,VLOOKUP(OPERAC[[#This Row],[COD CART]],[1]!MatrizCortoLargoCyl[#All],3,0),"")</f>
        <v/>
      </c>
      <c r="F2467" s="13" t="inlineStr">
        <is>
          <t>AMD</t>
        </is>
      </c>
      <c r="G2467" s="6" t="n">
        <v>5</v>
      </c>
      <c r="H2467" s="6" t="n">
        <v>-438.4705875</v>
      </c>
      <c r="I2467" s="7">
        <f>-H2467/G2467</f>
        <v/>
      </c>
      <c r="J2467" s="5" t="n"/>
      <c r="K2467" s="6" t="n"/>
      <c r="L2467" s="6" t="n"/>
      <c r="M2467" s="7">
        <f>IF(N2467=0,+L2467+H2467,0)</f>
        <v/>
      </c>
      <c r="N2467" s="7">
        <f>IF((+G2467-K2467)=0,0,+G2467-K2467)</f>
        <v/>
      </c>
      <c r="O2467" s="7">
        <f>IF(N2467=0,0,(L2467+H2467)/-N2467)</f>
        <v/>
      </c>
      <c r="P2467" s="7">
        <f>VLOOKUP(OPERAC[[#This Row],[especie]],[1]!ESPECIES[#All],6,0)</f>
        <v/>
      </c>
      <c r="Q2467" s="7">
        <f>IF(N2467&lt;&gt;0,P2467*N2467,0)</f>
        <v/>
      </c>
      <c r="R2467" s="8">
        <f>IF(Q2467&lt;&gt;0,Q2467+H2467+L2467,0)</f>
        <v/>
      </c>
      <c r="S2467" s="9">
        <f>VLOOKUP(OPERAC[[#This Row],[especie]],[1]!ESPECIES[#Data],9,FALSE)</f>
        <v/>
      </c>
    </row>
    <row r="2468">
      <c r="A2468" s="4" t="n">
        <v>18705</v>
      </c>
      <c r="B2468" s="5" t="n">
        <v>44515</v>
      </c>
      <c r="C2468" s="13" t="inlineStr">
        <is>
          <t>VTA</t>
        </is>
      </c>
      <c r="D2468" s="13" t="n">
        <v>41</v>
      </c>
      <c r="E2468" s="10">
        <f>IF(D2468&gt;0,VLOOKUP(OPERAC[[#This Row],[COD CART]],[1]!MatrizCortoLargoCyl[#All],3,0),"")</f>
        <v/>
      </c>
      <c r="F2468" s="13" t="inlineStr">
        <is>
          <t>WOOD</t>
        </is>
      </c>
      <c r="G2468" s="6" t="n">
        <v>5</v>
      </c>
      <c r="H2468" s="6" t="n">
        <v>-439.1272</v>
      </c>
      <c r="I2468" s="7">
        <f>-H2468/G2468</f>
        <v/>
      </c>
      <c r="J2468" s="11" t="n"/>
      <c r="K2468" s="6" t="n"/>
      <c r="L2468" s="6" t="n"/>
      <c r="M2468" s="7">
        <f>IF(N2468=0,+L2468+H2468,0)</f>
        <v/>
      </c>
      <c r="N2468" s="7">
        <f>IF((+G2468-K2468)=0,0,+G2468-K2468)</f>
        <v/>
      </c>
      <c r="O2468" s="7">
        <f>IF(N2468=0,0,(L2468+H2468)/-N2468)</f>
        <v/>
      </c>
      <c r="P2468" s="7">
        <f>VLOOKUP(OPERAC[[#This Row],[especie]],[1]!ESPECIES[#All],6,0)</f>
        <v/>
      </c>
      <c r="Q2468" s="7">
        <f>IF(N2468&lt;&gt;0,P2468*N2468,0)</f>
        <v/>
      </c>
      <c r="R2468" s="8">
        <f>IF(Q2468&lt;&gt;0,Q2468+H2468+L2468,0)</f>
        <v/>
      </c>
      <c r="S2468" s="9">
        <f>VLOOKUP(OPERAC[[#This Row],[especie]],[1]!ESPECIES[#Data],9,FALSE)</f>
        <v/>
      </c>
    </row>
    <row r="2469">
      <c r="A2469" s="4" t="n">
        <v>13253</v>
      </c>
      <c r="B2469" s="5" t="n">
        <v>44589</v>
      </c>
      <c r="C2469" s="13" t="inlineStr">
        <is>
          <t>VTA</t>
        </is>
      </c>
      <c r="D2469" s="13" t="n">
        <v>41</v>
      </c>
      <c r="E2469" s="10">
        <f>IF(D2469&gt;0,VLOOKUP(OPERAC[[#This Row],[COD CART]],[1]!MatrizCortoLargoCyl[#All],3,0),"")</f>
        <v/>
      </c>
      <c r="F2469" s="13" t="inlineStr">
        <is>
          <t>HIPS</t>
        </is>
      </c>
      <c r="G2469" s="6" t="n">
        <v>30</v>
      </c>
      <c r="H2469" s="6" t="n">
        <v>-439.32672</v>
      </c>
      <c r="I2469" s="7">
        <f>-H2469/G2469</f>
        <v/>
      </c>
      <c r="J2469" s="11" t="n"/>
      <c r="K2469" s="6" t="n"/>
      <c r="L2469" s="6" t="n"/>
      <c r="M2469" s="7">
        <f>IF(N2469=0,+L2469+H2469,0)</f>
        <v/>
      </c>
      <c r="N2469" s="7">
        <f>IF((+G2469-K2469)=0,0,+G2469-K2469)</f>
        <v/>
      </c>
      <c r="O2469" s="7">
        <f>IF(N2469=0,0,(L2469+H2469)/-N2469)</f>
        <v/>
      </c>
      <c r="P2469" s="7">
        <f>VLOOKUP(OPERAC[[#This Row],[especie]],[1]!ESPECIES[#All],6,0)</f>
        <v/>
      </c>
      <c r="Q2469" s="7">
        <f>IF(N2469&lt;&gt;0,P2469*N2469,0)</f>
        <v/>
      </c>
      <c r="R2469" s="8">
        <f>IF(Q2469&lt;&gt;0,Q2469+H2469+L2469,0)</f>
        <v/>
      </c>
      <c r="S2469" s="9">
        <f>VLOOKUP(OPERAC[[#This Row],[especie]],[1]!ESPECIES[#Data],9,FALSE)</f>
        <v/>
      </c>
    </row>
    <row r="2470">
      <c r="A2470" s="4" t="n">
        <v>13253</v>
      </c>
      <c r="B2470" s="5" t="n">
        <v>44628</v>
      </c>
      <c r="C2470" s="13" t="inlineStr">
        <is>
          <t>VTA</t>
        </is>
      </c>
      <c r="D2470" s="13" t="n">
        <v>41</v>
      </c>
      <c r="E2470" s="10">
        <f>IF(D2470&gt;0,VLOOKUP(OPERAC[[#This Row],[COD CART]],[1]!MatrizCortoLargoCyl[#All],3,0),"")</f>
        <v/>
      </c>
      <c r="F2470" s="13" t="inlineStr">
        <is>
          <t>FL</t>
        </is>
      </c>
      <c r="G2470" s="6" t="n">
        <v>15</v>
      </c>
      <c r="H2470" s="6" t="n">
        <v>-439.631</v>
      </c>
      <c r="I2470" s="7">
        <f>-H2470/G2470</f>
        <v/>
      </c>
      <c r="J2470" s="11" t="n"/>
      <c r="K2470" s="6" t="n"/>
      <c r="L2470" s="6" t="n"/>
      <c r="M2470" s="7">
        <f>IF(N2470=0,+L2470+H2470,0)</f>
        <v/>
      </c>
      <c r="N2470" s="7">
        <f>IF((+G2470-K2470)=0,0,+G2470-K2470)</f>
        <v/>
      </c>
      <c r="O2470" s="7">
        <f>IF(N2470=0,0,(L2470+H2470)/-N2470)</f>
        <v/>
      </c>
      <c r="P2470" s="7">
        <f>VLOOKUP(OPERAC[[#This Row],[especie]],[1]!ESPECIES[#All],6,0)</f>
        <v/>
      </c>
      <c r="Q2470" s="7">
        <f>IF(N2470&lt;&gt;0,P2470*N2470,0)</f>
        <v/>
      </c>
      <c r="R2470" s="8">
        <f>IF(Q2470&lt;&gt;0,Q2470+H2470+L2470,0)</f>
        <v/>
      </c>
      <c r="S2470" s="9">
        <f>VLOOKUP(OPERAC[[#This Row],[especie]],[1]!ESPECIES[#Data],9,FALSE)</f>
        <v/>
      </c>
    </row>
    <row r="2471">
      <c r="A2471" s="4" t="n">
        <v>18663</v>
      </c>
      <c r="B2471" s="5" t="n">
        <v>44484</v>
      </c>
      <c r="C2471" s="13" t="inlineStr">
        <is>
          <t>VTA</t>
        </is>
      </c>
      <c r="D2471" s="13" t="n">
        <v>41</v>
      </c>
      <c r="E2471" s="10">
        <f>IF(D2471&gt;0,VLOOKUP(OPERAC[[#This Row],[COD CART]],[1]!MatrizCortoLargoCyl[#All],3,0),"")</f>
        <v/>
      </c>
      <c r="F2471" s="13" t="inlineStr">
        <is>
          <t>ABBV</t>
        </is>
      </c>
      <c r="G2471" s="6" t="n">
        <v>4</v>
      </c>
      <c r="H2471" s="6" t="n">
        <v>-441.335</v>
      </c>
      <c r="I2471" s="7">
        <f>-H2471/G2471</f>
        <v/>
      </c>
      <c r="J2471" s="11" t="n"/>
      <c r="K2471" s="6" t="n"/>
      <c r="L2471" s="6" t="n"/>
      <c r="M2471" s="7">
        <f>IF(N2471=0,+L2471+H2471,0)</f>
        <v/>
      </c>
      <c r="N2471" s="7">
        <f>IF((+G2471-K2471)=0,0,+G2471-K2471)</f>
        <v/>
      </c>
      <c r="O2471" s="7">
        <f>IF(N2471=0,0,(L2471+H2471)/-N2471)</f>
        <v/>
      </c>
      <c r="P2471" s="7">
        <f>VLOOKUP(OPERAC[[#This Row],[especie]],[1]!ESPECIES[#All],6,0)</f>
        <v/>
      </c>
      <c r="Q2471" s="7">
        <f>IF(N2471&lt;&gt;0,P2471*N2471,0)</f>
        <v/>
      </c>
      <c r="R2471" s="8">
        <f>IF(Q2471&lt;&gt;0,Q2471+H2471+L2471,0)</f>
        <v/>
      </c>
      <c r="S2471" s="9">
        <f>VLOOKUP(OPERAC[[#This Row],[especie]],[1]!ESPECIES[#Data],9,FALSE)</f>
        <v/>
      </c>
    </row>
    <row r="2472">
      <c r="A2472" s="4" t="n">
        <v>1800</v>
      </c>
      <c r="B2472" s="5" t="n">
        <v>44648</v>
      </c>
      <c r="C2472" s="13" t="inlineStr">
        <is>
          <t>VTA</t>
        </is>
      </c>
      <c r="D2472" s="13" t="n">
        <v>42</v>
      </c>
      <c r="E2472" s="10">
        <f>IF(D2472&gt;0,VLOOKUP(OPERAC[[#This Row],[COD CART]],[1]!MatrizCortoLargoCyl[#All],3,0),"")</f>
        <v/>
      </c>
      <c r="F2472" s="13" t="inlineStr">
        <is>
          <t>ADBE</t>
        </is>
      </c>
      <c r="G2472" s="6" t="n">
        <v>1</v>
      </c>
      <c r="H2472" s="6" t="n">
        <v>-441.41245</v>
      </c>
      <c r="I2472" s="7">
        <f>-H2472/G2472</f>
        <v/>
      </c>
      <c r="J2472" s="11" t="n">
        <v>44687</v>
      </c>
      <c r="K2472" s="6">
        <f>+OPERAC[[#This Row],[cantidad]]</f>
        <v/>
      </c>
      <c r="L2472" s="6" t="n">
        <v>386.42</v>
      </c>
      <c r="M2472" s="7">
        <f>IF(N2472=0,+L2472+H2472,0)</f>
        <v/>
      </c>
      <c r="N2472" s="7">
        <f>IF((+G2472-K2472)=0,0,+G2472-K2472)</f>
        <v/>
      </c>
      <c r="O2472" s="7">
        <f>IF(N2472=0,0,(L2472+H2472)/-N2472)</f>
        <v/>
      </c>
      <c r="P2472" s="7">
        <f>VLOOKUP(OPERAC[[#This Row],[especie]],[1]!ESPECIES[#All],6,0)</f>
        <v/>
      </c>
      <c r="Q2472" s="7">
        <f>IF(N2472&lt;&gt;0,P2472*N2472,0)</f>
        <v/>
      </c>
      <c r="R2472" s="8">
        <f>IF(Q2472&lt;&gt;0,Q2472+H2472+L2472,0)</f>
        <v/>
      </c>
      <c r="S2472" s="9">
        <f>VLOOKUP(OPERAC[[#This Row],[especie]],[1]!ESPECIES[#Data],9,FALSE)</f>
        <v/>
      </c>
    </row>
    <row r="2473">
      <c r="A2473" s="4" t="n">
        <v>22407</v>
      </c>
      <c r="B2473" s="5" t="n">
        <v>44648</v>
      </c>
      <c r="C2473" s="13" t="inlineStr">
        <is>
          <t>VTA</t>
        </is>
      </c>
      <c r="D2473" s="13" t="n">
        <v>42</v>
      </c>
      <c r="E2473" s="10">
        <f>IF(D2473&gt;0,VLOOKUP(OPERAC[[#This Row],[COD CART]],[1]!MatrizCortoLargoCyl[#All],3,0),"")</f>
        <v/>
      </c>
      <c r="F2473" s="13" t="inlineStr">
        <is>
          <t>ADBE</t>
        </is>
      </c>
      <c r="G2473" s="6" t="n">
        <v>1</v>
      </c>
      <c r="H2473" s="6" t="n">
        <v>-441.41245</v>
      </c>
      <c r="I2473" s="7">
        <f>-H2473/G2473</f>
        <v/>
      </c>
      <c r="J2473" s="11" t="n">
        <v>44687</v>
      </c>
      <c r="K2473" s="6">
        <f>+OPERAC[[#This Row],[cantidad]]</f>
        <v/>
      </c>
      <c r="L2473" s="6" t="n">
        <v>386.42</v>
      </c>
      <c r="M2473" s="7">
        <f>IF(N2473=0,+L2473+H2473,0)</f>
        <v/>
      </c>
      <c r="N2473" s="7">
        <f>IF((+G2473-K2473)=0,0,+G2473-K2473)</f>
        <v/>
      </c>
      <c r="O2473" s="7">
        <f>IF(N2473=0,0,(L2473+H2473)/-N2473)</f>
        <v/>
      </c>
      <c r="P2473" s="7">
        <f>VLOOKUP(OPERAC[[#This Row],[especie]],[1]!ESPECIES[#All],6,0)</f>
        <v/>
      </c>
      <c r="Q2473" s="7">
        <f>IF(N2473&lt;&gt;0,P2473*N2473,0)</f>
        <v/>
      </c>
      <c r="R2473" s="8">
        <f>IF(Q2473&lt;&gt;0,Q2473+H2473+L2473,0)</f>
        <v/>
      </c>
      <c r="S2473" s="9">
        <f>VLOOKUP(OPERAC[[#This Row],[especie]],[1]!ESPECIES[#Data],9,FALSE)</f>
        <v/>
      </c>
    </row>
    <row r="2474">
      <c r="A2474" s="4" t="n">
        <v>25070</v>
      </c>
      <c r="B2474" s="5" t="n">
        <v>44648</v>
      </c>
      <c r="C2474" s="13" t="inlineStr">
        <is>
          <t>VTA</t>
        </is>
      </c>
      <c r="D2474" s="13" t="n">
        <v>42</v>
      </c>
      <c r="E2474" s="10">
        <f>IF(D2474&gt;0,VLOOKUP(OPERAC[[#This Row],[COD CART]],[1]!MatrizCortoLargoCyl[#All],3,0),"")</f>
        <v/>
      </c>
      <c r="F2474" s="13" t="inlineStr">
        <is>
          <t>ADBE</t>
        </is>
      </c>
      <c r="G2474" s="6" t="n">
        <v>1</v>
      </c>
      <c r="H2474" s="6" t="n">
        <v>-441.41245</v>
      </c>
      <c r="I2474" s="7">
        <f>-H2474/G2474</f>
        <v/>
      </c>
      <c r="J2474" s="11" t="n">
        <v>44687</v>
      </c>
      <c r="K2474" s="6">
        <f>+OPERAC[[#This Row],[cantidad]]</f>
        <v/>
      </c>
      <c r="L2474" s="6" t="n">
        <v>386.42</v>
      </c>
      <c r="M2474" s="7">
        <f>IF(N2474=0,+L2474+H2474,0)</f>
        <v/>
      </c>
      <c r="N2474" s="7">
        <f>IF((+G2474-K2474)=0,0,+G2474-K2474)</f>
        <v/>
      </c>
      <c r="O2474" s="7">
        <f>IF(N2474=0,0,(L2474+H2474)/-N2474)</f>
        <v/>
      </c>
      <c r="P2474" s="7">
        <f>VLOOKUP(OPERAC[[#This Row],[especie]],[1]!ESPECIES[#All],6,0)</f>
        <v/>
      </c>
      <c r="Q2474" s="7">
        <f>IF(N2474&lt;&gt;0,P2474*N2474,0)</f>
        <v/>
      </c>
      <c r="R2474" s="8">
        <f>IF(Q2474&lt;&gt;0,Q2474+H2474+L2474,0)</f>
        <v/>
      </c>
      <c r="S2474" s="9">
        <f>VLOOKUP(OPERAC[[#This Row],[especie]],[1]!ESPECIES[#Data],9,FALSE)</f>
        <v/>
      </c>
    </row>
    <row r="2475">
      <c r="A2475" s="4" t="n">
        <v>2276</v>
      </c>
      <c r="B2475" s="5" t="n">
        <v>44691</v>
      </c>
      <c r="C2475" s="13" t="inlineStr">
        <is>
          <t>VTA</t>
        </is>
      </c>
      <c r="D2475" s="13" t="n">
        <v>41</v>
      </c>
      <c r="E2475" s="10">
        <f>IF(D2475&gt;0,VLOOKUP(OPERAC[[#This Row],[COD CART]],[1]!MatrizCortoLargoCyl[#All],3,0),"")</f>
        <v/>
      </c>
      <c r="F2475" s="13" t="inlineStr">
        <is>
          <t>FRA</t>
        </is>
      </c>
      <c r="G2475" s="6" t="n">
        <v>9</v>
      </c>
      <c r="H2475" s="6" t="n">
        <v>-442.17</v>
      </c>
      <c r="I2475" s="7">
        <f>-H2475/G2475</f>
        <v/>
      </c>
      <c r="J2475" s="11" t="n"/>
      <c r="K2475" s="6" t="n"/>
      <c r="L2475" s="6" t="n"/>
      <c r="M2475" s="7">
        <f>IF(N2475=0,+L2475+H2475,0)</f>
        <v/>
      </c>
      <c r="N2475" s="7">
        <f>IF((+G2475-K2475)=0,0,+G2475-K2475)</f>
        <v/>
      </c>
      <c r="O2475" s="7">
        <f>IF(N2475=0,0,(L2475+H2475)/-N2475)</f>
        <v/>
      </c>
      <c r="P2475" s="7">
        <f>VLOOKUP(OPERAC[[#This Row],[especie]],[1]!ESPECIES[#All],6,0)</f>
        <v/>
      </c>
      <c r="Q2475" s="7">
        <f>IF(N2475&lt;&gt;0,P2475*N2475,0)</f>
        <v/>
      </c>
      <c r="R2475" s="8">
        <f>IF(Q2475&lt;&gt;0,Q2475+H2475+L2475,0)</f>
        <v/>
      </c>
      <c r="S2475" s="9">
        <f>VLOOKUP(OPERAC[[#This Row],[especie]],[1]!ESPECIES[#Data],9,FALSE)</f>
        <v/>
      </c>
    </row>
    <row r="2476">
      <c r="A2476" s="4" t="n">
        <v>2255</v>
      </c>
      <c r="B2476" s="5" t="n">
        <v>44649</v>
      </c>
      <c r="C2476" s="13" t="inlineStr">
        <is>
          <t>VTA</t>
        </is>
      </c>
      <c r="D2476" s="13" t="n">
        <v>42</v>
      </c>
      <c r="E2476" s="10">
        <f>IF(D2476&gt;0,VLOOKUP(OPERAC[[#This Row],[COD CART]],[1]!MatrizCortoLargoCyl[#All],3,0),"")</f>
        <v/>
      </c>
      <c r="F2476" s="13" t="inlineStr">
        <is>
          <t>CRESY</t>
        </is>
      </c>
      <c r="G2476" s="6" t="n">
        <v>55</v>
      </c>
      <c r="H2476" s="6" t="n">
        <v>-443.30506</v>
      </c>
      <c r="I2476" s="7">
        <f>-H2476/G2476</f>
        <v/>
      </c>
      <c r="J2476" s="11" t="n">
        <v>44657</v>
      </c>
      <c r="K2476" s="6">
        <f>+OPERAC[[#This Row],[cantidad]]</f>
        <v/>
      </c>
      <c r="L2476" s="6">
        <f>+OPERAC[[#This Row],[cantidad venta]]*7.664</f>
        <v/>
      </c>
      <c r="M2476" s="7">
        <f>IF(N2476=0,+L2476+H2476,0)</f>
        <v/>
      </c>
      <c r="N2476" s="7">
        <f>IF((+G2476-K2476)=0,0,+G2476-K2476)</f>
        <v/>
      </c>
      <c r="O2476" s="7">
        <f>IF(N2476=0,0,(L2476+H2476)/-N2476)</f>
        <v/>
      </c>
      <c r="P2476" s="7">
        <f>VLOOKUP(OPERAC[[#This Row],[especie]],[1]!ESPECIES[#All],6,0)</f>
        <v/>
      </c>
      <c r="Q2476" s="7">
        <f>IF(N2476&lt;&gt;0,P2476*N2476,0)</f>
        <v/>
      </c>
      <c r="R2476" s="8">
        <f>IF(Q2476&lt;&gt;0,Q2476+H2476+L2476,0)</f>
        <v/>
      </c>
      <c r="S2476" s="9">
        <f>VLOOKUP(OPERAC[[#This Row],[especie]],[1]!ESPECIES[#Data],9,FALSE)</f>
        <v/>
      </c>
    </row>
    <row r="2477">
      <c r="A2477" s="4" t="n">
        <v>1807</v>
      </c>
      <c r="B2477" s="5" t="n">
        <v>44704</v>
      </c>
      <c r="C2477" s="13" t="inlineStr">
        <is>
          <t>VTA</t>
        </is>
      </c>
      <c r="D2477" s="13" t="n">
        <v>32</v>
      </c>
      <c r="E2477" s="10">
        <f>IF(D2477&gt;0,VLOOKUP(OPERAC[[#This Row],[COD CART]],[1]!MatrizCortoLargoCyl[#All],3,0),"")</f>
        <v/>
      </c>
      <c r="F2477" s="13" t="inlineStr">
        <is>
          <t>TLRY/CYL/6,00/17-06-22</t>
        </is>
      </c>
      <c r="G2477" s="6" t="n">
        <v>100</v>
      </c>
      <c r="H2477" s="6" t="n">
        <v>-443.389</v>
      </c>
      <c r="I2477" s="7">
        <f>-H2477/G2477</f>
        <v/>
      </c>
      <c r="J2477" s="5" t="n"/>
      <c r="K2477" s="6" t="n"/>
      <c r="L2477" s="6" t="n"/>
      <c r="M2477" s="7">
        <f>IF(N2477=0,+L2477+H2477,0)</f>
        <v/>
      </c>
      <c r="N2477" s="7">
        <f>IF((+G2477-K2477)=0,0,+G2477-K2477)</f>
        <v/>
      </c>
      <c r="O2477" s="7">
        <f>IF(N2477=0,0,(L2477+H2477)/-N2477)</f>
        <v/>
      </c>
      <c r="P2477" s="7">
        <f>VLOOKUP(OPERAC[[#This Row],[especie]],[1]!ESPECIES[#All],6,0)</f>
        <v/>
      </c>
      <c r="Q2477" s="7">
        <f>IF(N2477&lt;&gt;0,P2477*N2477,0)</f>
        <v/>
      </c>
      <c r="R2477" s="8">
        <f>IF(Q2477&lt;&gt;0,Q2477+H2477+L2477,0)</f>
        <v/>
      </c>
      <c r="S2477" s="9">
        <f>VLOOKUP(OPERAC[[#This Row],[especie]],[1]!ESPECIES[#Data],9,FALSE)</f>
        <v/>
      </c>
    </row>
    <row r="2478">
      <c r="A2478" s="4" t="n">
        <v>12627</v>
      </c>
      <c r="B2478" s="5" t="n">
        <v>44704</v>
      </c>
      <c r="C2478" s="13" t="inlineStr">
        <is>
          <t>VTA</t>
        </is>
      </c>
      <c r="D2478" s="13" t="n">
        <v>32</v>
      </c>
      <c r="E2478" s="10">
        <f>IF(D2478&gt;0,VLOOKUP(OPERAC[[#This Row],[COD CART]],[1]!MatrizCortoLargoCyl[#All],3,0),"")</f>
        <v/>
      </c>
      <c r="F2478" s="13" t="inlineStr">
        <is>
          <t>TLRY/CYL/6,00/17-06-22</t>
        </is>
      </c>
      <c r="G2478" s="6" t="n">
        <v>100</v>
      </c>
      <c r="H2478" s="6" t="n">
        <v>-443.389</v>
      </c>
      <c r="I2478" s="7">
        <f>-H2478/G2478</f>
        <v/>
      </c>
      <c r="J2478" s="5" t="n"/>
      <c r="K2478" s="6" t="n"/>
      <c r="L2478" s="6" t="n"/>
      <c r="M2478" s="7">
        <f>IF(N2478=0,+L2478+H2478,0)</f>
        <v/>
      </c>
      <c r="N2478" s="7">
        <f>IF((+G2478-K2478)=0,0,+G2478-K2478)</f>
        <v/>
      </c>
      <c r="O2478" s="7">
        <f>IF(N2478=0,0,(L2478+H2478)/-N2478)</f>
        <v/>
      </c>
      <c r="P2478" s="7">
        <f>VLOOKUP(OPERAC[[#This Row],[especie]],[1]!ESPECIES[#All],6,0)</f>
        <v/>
      </c>
      <c r="Q2478" s="7">
        <f>IF(N2478&lt;&gt;0,P2478*N2478,0)</f>
        <v/>
      </c>
      <c r="R2478" s="8">
        <f>IF(Q2478&lt;&gt;0,Q2478+H2478+L2478,0)</f>
        <v/>
      </c>
      <c r="S2478" s="9">
        <f>VLOOKUP(OPERAC[[#This Row],[especie]],[1]!ESPECIES[#Data],9,FALSE)</f>
        <v/>
      </c>
    </row>
    <row r="2479">
      <c r="A2479" s="4" t="n">
        <v>13185</v>
      </c>
      <c r="B2479" s="5" t="n">
        <v>44704</v>
      </c>
      <c r="C2479" s="13" t="inlineStr">
        <is>
          <t>VTA</t>
        </is>
      </c>
      <c r="D2479" s="13" t="n">
        <v>32</v>
      </c>
      <c r="E2479" s="10">
        <f>IF(D2479&gt;0,VLOOKUP(OPERAC[[#This Row],[COD CART]],[1]!MatrizCortoLargoCyl[#All],3,0),"")</f>
        <v/>
      </c>
      <c r="F2479" s="13" t="inlineStr">
        <is>
          <t>TLRY/CYL/6,00/17-06-22</t>
        </is>
      </c>
      <c r="G2479" s="6" t="n">
        <v>100</v>
      </c>
      <c r="H2479" s="6" t="n">
        <v>-443.389</v>
      </c>
      <c r="I2479" s="7">
        <f>-H2479/G2479</f>
        <v/>
      </c>
      <c r="J2479" s="5" t="n"/>
      <c r="K2479" s="6" t="n"/>
      <c r="L2479" s="6" t="n"/>
      <c r="M2479" s="7">
        <f>IF(N2479=0,+L2479+H2479,0)</f>
        <v/>
      </c>
      <c r="N2479" s="7">
        <f>IF((+G2479-K2479)=0,0,+G2479-K2479)</f>
        <v/>
      </c>
      <c r="O2479" s="7">
        <f>IF(N2479=0,0,(L2479+H2479)/-N2479)</f>
        <v/>
      </c>
      <c r="P2479" s="7">
        <f>VLOOKUP(OPERAC[[#This Row],[especie]],[1]!ESPECIES[#All],6,0)</f>
        <v/>
      </c>
      <c r="Q2479" s="7">
        <f>IF(N2479&lt;&gt;0,P2479*N2479,0)</f>
        <v/>
      </c>
      <c r="R2479" s="8">
        <f>IF(Q2479&lt;&gt;0,Q2479+H2479+L2479,0)</f>
        <v/>
      </c>
      <c r="S2479" s="9">
        <f>VLOOKUP(OPERAC[[#This Row],[especie]],[1]!ESPECIES[#Data],9,FALSE)</f>
        <v/>
      </c>
    </row>
    <row r="2480">
      <c r="A2480" s="4" t="n">
        <v>15189</v>
      </c>
      <c r="B2480" s="5" t="n">
        <v>44704</v>
      </c>
      <c r="C2480" s="13" t="inlineStr">
        <is>
          <t>VTA</t>
        </is>
      </c>
      <c r="D2480" s="13" t="n">
        <v>32</v>
      </c>
      <c r="E2480" s="10">
        <f>IF(D2480&gt;0,VLOOKUP(OPERAC[[#This Row],[COD CART]],[1]!MatrizCortoLargoCyl[#All],3,0),"")</f>
        <v/>
      </c>
      <c r="F2480" s="13" t="inlineStr">
        <is>
          <t>TLRY/CYL/6,00/17-06-22</t>
        </is>
      </c>
      <c r="G2480" s="6" t="n">
        <v>100</v>
      </c>
      <c r="H2480" s="6" t="n">
        <v>-443.389</v>
      </c>
      <c r="I2480" s="7">
        <f>-H2480/G2480</f>
        <v/>
      </c>
      <c r="J2480" s="5" t="n"/>
      <c r="K2480" s="6" t="n"/>
      <c r="L2480" s="6" t="n"/>
      <c r="M2480" s="7">
        <f>IF(N2480=0,+L2480+H2480,0)</f>
        <v/>
      </c>
      <c r="N2480" s="7">
        <f>IF((+G2480-K2480)=0,0,+G2480-K2480)</f>
        <v/>
      </c>
      <c r="O2480" s="7">
        <f>IF(N2480=0,0,(L2480+H2480)/-N2480)</f>
        <v/>
      </c>
      <c r="P2480" s="7">
        <f>VLOOKUP(OPERAC[[#This Row],[especie]],[1]!ESPECIES[#All],6,0)</f>
        <v/>
      </c>
      <c r="Q2480" s="7">
        <f>IF(N2480&lt;&gt;0,P2480*N2480,0)</f>
        <v/>
      </c>
      <c r="R2480" s="8">
        <f>IF(Q2480&lt;&gt;0,Q2480+H2480+L2480,0)</f>
        <v/>
      </c>
      <c r="S2480" s="9">
        <f>VLOOKUP(OPERAC[[#This Row],[especie]],[1]!ESPECIES[#Data],9,FALSE)</f>
        <v/>
      </c>
    </row>
    <row r="2481">
      <c r="A2481" s="4" t="n">
        <v>15195</v>
      </c>
      <c r="B2481" s="5" t="n">
        <v>44704</v>
      </c>
      <c r="C2481" s="13" t="inlineStr">
        <is>
          <t>VTA</t>
        </is>
      </c>
      <c r="D2481" s="13" t="n">
        <v>32</v>
      </c>
      <c r="E2481" s="10">
        <f>IF(D2481&gt;0,VLOOKUP(OPERAC[[#This Row],[COD CART]],[1]!MatrizCortoLargoCyl[#All],3,0),"")</f>
        <v/>
      </c>
      <c r="F2481" s="13" t="inlineStr">
        <is>
          <t>TLRY/CYL/6,00/17-06-22</t>
        </is>
      </c>
      <c r="G2481" s="6" t="n">
        <v>100</v>
      </c>
      <c r="H2481" s="6" t="n">
        <v>-443.389</v>
      </c>
      <c r="I2481" s="7">
        <f>-H2481/G2481</f>
        <v/>
      </c>
      <c r="J2481" s="5" t="n"/>
      <c r="K2481" s="6" t="n"/>
      <c r="L2481" s="6" t="n"/>
      <c r="M2481" s="7">
        <f>IF(N2481=0,+L2481+H2481,0)</f>
        <v/>
      </c>
      <c r="N2481" s="7">
        <f>IF((+G2481-K2481)=0,0,+G2481-K2481)</f>
        <v/>
      </c>
      <c r="O2481" s="7">
        <f>IF(N2481=0,0,(L2481+H2481)/-N2481)</f>
        <v/>
      </c>
      <c r="P2481" s="7">
        <f>VLOOKUP(OPERAC[[#This Row],[especie]],[1]!ESPECIES[#All],6,0)</f>
        <v/>
      </c>
      <c r="Q2481" s="7">
        <f>IF(N2481&lt;&gt;0,P2481*N2481,0)</f>
        <v/>
      </c>
      <c r="R2481" s="8">
        <f>IF(Q2481&lt;&gt;0,Q2481+H2481+L2481,0)</f>
        <v/>
      </c>
      <c r="S2481" s="9">
        <f>VLOOKUP(OPERAC[[#This Row],[especie]],[1]!ESPECIES[#Data],9,FALSE)</f>
        <v/>
      </c>
    </row>
    <row r="2482">
      <c r="A2482" s="4" t="n">
        <v>10079</v>
      </c>
      <c r="B2482" s="5" t="n">
        <v>44648</v>
      </c>
      <c r="C2482" s="13" t="inlineStr">
        <is>
          <t>VTA</t>
        </is>
      </c>
      <c r="D2482" s="13" t="n">
        <v>42</v>
      </c>
      <c r="E2482" s="10">
        <f>IF(D2482&gt;0,VLOOKUP(OPERAC[[#This Row],[COD CART]],[1]!MatrizCortoLargoCyl[#All],3,0),"")</f>
        <v/>
      </c>
      <c r="F2482" s="13" t="inlineStr">
        <is>
          <t>FB</t>
        </is>
      </c>
      <c r="G2482" s="6" t="n">
        <v>2</v>
      </c>
      <c r="H2482" s="6" t="n">
        <v>-444.33086</v>
      </c>
      <c r="I2482" s="7">
        <f>-H2482/G2482</f>
        <v/>
      </c>
      <c r="J2482" s="11" t="n">
        <v>44671</v>
      </c>
      <c r="K2482" s="6">
        <f>+OPERAC[[#This Row],[cantidad]]</f>
        <v/>
      </c>
      <c r="L2482" s="6">
        <f>+OPERAC[[#This Row],[cantidad venta]]*213.173</f>
        <v/>
      </c>
      <c r="M2482" s="7">
        <f>IF(N2482=0,+L2482+H2482,0)</f>
        <v/>
      </c>
      <c r="N2482" s="7">
        <f>IF((+G2482-K2482)=0,0,+G2482-K2482)</f>
        <v/>
      </c>
      <c r="O2482" s="7">
        <f>IF(N2482=0,0,(L2482+H2482)/-N2482)</f>
        <v/>
      </c>
      <c r="P2482" s="7">
        <f>VLOOKUP(OPERAC[[#This Row],[especie]],[1]!ESPECIES[#All],6,0)</f>
        <v/>
      </c>
      <c r="Q2482" s="7">
        <f>IF(N2482&lt;&gt;0,P2482*N2482,0)</f>
        <v/>
      </c>
      <c r="R2482" s="8">
        <f>IF(Q2482&lt;&gt;0,Q2482+H2482+L2482,0)</f>
        <v/>
      </c>
      <c r="S2482" s="9">
        <f>VLOOKUP(OPERAC[[#This Row],[especie]],[1]!ESPECIES[#Data],9,FALSE)</f>
        <v/>
      </c>
    </row>
    <row r="2483">
      <c r="A2483" s="4" t="n">
        <v>13253</v>
      </c>
      <c r="B2483" s="5" t="n">
        <v>44615</v>
      </c>
      <c r="C2483" s="13" t="inlineStr">
        <is>
          <t>VTA</t>
        </is>
      </c>
      <c r="D2483" s="13" t="n">
        <v>41</v>
      </c>
      <c r="E2483" s="10">
        <f>IF(D2483&gt;0,VLOOKUP(OPERAC[[#This Row],[COD CART]],[1]!MatrizCortoLargoCyl[#All],3,0),"")</f>
        <v/>
      </c>
      <c r="F2483" s="13" t="inlineStr">
        <is>
          <t>TCNNF</t>
        </is>
      </c>
      <c r="G2483" s="6" t="n">
        <v>20</v>
      </c>
      <c r="H2483" s="6" t="n">
        <v>-444.7216</v>
      </c>
      <c r="I2483" s="7">
        <f>-H2483/G2483</f>
        <v/>
      </c>
      <c r="J2483" s="11" t="n"/>
      <c r="K2483" s="6" t="n"/>
      <c r="L2483" s="6" t="n"/>
      <c r="M2483" s="7">
        <f>IF(N2483=0,+L2483+H2483,0)</f>
        <v/>
      </c>
      <c r="N2483" s="7">
        <f>IF((+G2483-K2483)=0,0,+G2483-K2483)</f>
        <v/>
      </c>
      <c r="O2483" s="7">
        <f>IF(N2483=0,0,(L2483+H2483)/-N2483)</f>
        <v/>
      </c>
      <c r="P2483" s="7">
        <f>VLOOKUP(OPERAC[[#This Row],[especie]],[1]!ESPECIES[#All],6,0)</f>
        <v/>
      </c>
      <c r="Q2483" s="7">
        <f>IF(N2483&lt;&gt;0,P2483*N2483,0)</f>
        <v/>
      </c>
      <c r="R2483" s="8">
        <f>IF(Q2483&lt;&gt;0,Q2483+H2483+L2483,0)</f>
        <v/>
      </c>
      <c r="S2483" s="9">
        <f>VLOOKUP(OPERAC[[#This Row],[especie]],[1]!ESPECIES[#Data],9,FALSE)</f>
        <v/>
      </c>
    </row>
    <row r="2484">
      <c r="A2484" s="4" t="n">
        <v>2217</v>
      </c>
      <c r="B2484" s="5" t="n">
        <v>44649</v>
      </c>
      <c r="C2484" s="13" t="inlineStr">
        <is>
          <t>VTA</t>
        </is>
      </c>
      <c r="D2484" s="13" t="n">
        <v>42</v>
      </c>
      <c r="E2484" s="10">
        <f>IF(D2484&gt;0,VLOOKUP(OPERAC[[#This Row],[COD CART]],[1]!MatrizCortoLargoCyl[#All],3,0),"")</f>
        <v/>
      </c>
      <c r="F2484" s="13" t="inlineStr">
        <is>
          <t>CRESY</t>
        </is>
      </c>
      <c r="G2484" s="6" t="n">
        <v>55</v>
      </c>
      <c r="H2484" s="6" t="n">
        <v>-445.07012</v>
      </c>
      <c r="I2484" s="7">
        <f>-H2484/G2484</f>
        <v/>
      </c>
      <c r="J2484" s="11" t="n">
        <v>44657</v>
      </c>
      <c r="K2484" s="6">
        <f>+OPERAC[[#This Row],[cantidad]]</f>
        <v/>
      </c>
      <c r="L2484" s="6">
        <f>+OPERAC[[#This Row],[cantidad venta]]*7.664</f>
        <v/>
      </c>
      <c r="M2484" s="7">
        <f>IF(N2484=0,+L2484+H2484,0)</f>
        <v/>
      </c>
      <c r="N2484" s="7">
        <f>IF((+G2484-K2484)=0,0,+G2484-K2484)</f>
        <v/>
      </c>
      <c r="O2484" s="7">
        <f>IF(N2484=0,0,(L2484+H2484)/-N2484)</f>
        <v/>
      </c>
      <c r="P2484" s="7">
        <f>VLOOKUP(OPERAC[[#This Row],[especie]],[1]!ESPECIES[#All],6,0)</f>
        <v/>
      </c>
      <c r="Q2484" s="7">
        <f>IF(N2484&lt;&gt;0,P2484*N2484,0)</f>
        <v/>
      </c>
      <c r="R2484" s="8">
        <f>IF(Q2484&lt;&gt;0,Q2484+H2484+L2484,0)</f>
        <v/>
      </c>
      <c r="S2484" s="9">
        <f>VLOOKUP(OPERAC[[#This Row],[especie]],[1]!ESPECIES[#Data],9,FALSE)</f>
        <v/>
      </c>
    </row>
    <row r="2485">
      <c r="A2485" s="4" t="n">
        <v>26138</v>
      </c>
      <c r="B2485" s="5" t="n">
        <v>44649</v>
      </c>
      <c r="C2485" s="13" t="inlineStr">
        <is>
          <t>VTA</t>
        </is>
      </c>
      <c r="D2485" s="13" t="n">
        <v>42</v>
      </c>
      <c r="E2485" s="10">
        <f>IF(D2485&gt;0,VLOOKUP(OPERAC[[#This Row],[COD CART]],[1]!MatrizCortoLargoCyl[#All],3,0),"")</f>
        <v/>
      </c>
      <c r="F2485" s="13" t="inlineStr">
        <is>
          <t>CRESY</t>
        </is>
      </c>
      <c r="G2485" s="6" t="n">
        <v>55</v>
      </c>
      <c r="H2485" s="6" t="n">
        <v>-445.07012</v>
      </c>
      <c r="I2485" s="7">
        <f>-H2485/G2485</f>
        <v/>
      </c>
      <c r="J2485" s="11" t="n">
        <v>44657</v>
      </c>
      <c r="K2485" s="6">
        <f>+OPERAC[[#This Row],[cantidad]]</f>
        <v/>
      </c>
      <c r="L2485" s="6">
        <f>+OPERAC[[#This Row],[cantidad venta]]*7.664</f>
        <v/>
      </c>
      <c r="M2485" s="7">
        <f>IF(N2485=0,+L2485+H2485,0)</f>
        <v/>
      </c>
      <c r="N2485" s="7">
        <f>IF((+G2485-K2485)=0,0,+G2485-K2485)</f>
        <v/>
      </c>
      <c r="O2485" s="7">
        <f>IF(N2485=0,0,(L2485+H2485)/-N2485)</f>
        <v/>
      </c>
      <c r="P2485" s="7">
        <f>VLOOKUP(OPERAC[[#This Row],[especie]],[1]!ESPECIES[#All],6,0)</f>
        <v/>
      </c>
      <c r="Q2485" s="7">
        <f>IF(N2485&lt;&gt;0,P2485*N2485,0)</f>
        <v/>
      </c>
      <c r="R2485" s="8">
        <f>IF(Q2485&lt;&gt;0,Q2485+H2485+L2485,0)</f>
        <v/>
      </c>
      <c r="S2485" s="9">
        <f>VLOOKUP(OPERAC[[#This Row],[especie]],[1]!ESPECIES[#Data],9,FALSE)</f>
        <v/>
      </c>
    </row>
    <row r="2486">
      <c r="A2486" s="4" t="n">
        <v>13253</v>
      </c>
      <c r="B2486" s="5" t="n">
        <v>44544</v>
      </c>
      <c r="C2486" s="13" t="inlineStr">
        <is>
          <t>VTA</t>
        </is>
      </c>
      <c r="D2486" s="13" t="n">
        <v>41</v>
      </c>
      <c r="E2486" s="10">
        <f>IF(D2486&gt;0,VLOOKUP(OPERAC[[#This Row],[COD CART]],[1]!MatrizCortoLargoCyl[#All],3,0),"")</f>
        <v/>
      </c>
      <c r="F2486" s="13" t="inlineStr">
        <is>
          <t>MPW</t>
        </is>
      </c>
      <c r="G2486" s="6" t="n">
        <v>20</v>
      </c>
      <c r="H2486" s="6" t="n">
        <v>-445.226</v>
      </c>
      <c r="I2486" s="7">
        <f>-H2486/G2486</f>
        <v/>
      </c>
      <c r="J2486" s="11" t="n"/>
      <c r="K2486" s="6" t="n"/>
      <c r="L2486" s="6" t="n"/>
      <c r="M2486" s="7">
        <f>IF(N2486=0,+L2486+H2486,0)</f>
        <v/>
      </c>
      <c r="N2486" s="7">
        <f>IF((+G2486-K2486)=0,0,+G2486-K2486)</f>
        <v/>
      </c>
      <c r="O2486" s="7">
        <f>IF(N2486=0,0,(L2486+H2486)/-N2486)</f>
        <v/>
      </c>
      <c r="P2486" s="7">
        <f>VLOOKUP(OPERAC[[#This Row],[especie]],[1]!ESPECIES[#All],6,0)</f>
        <v/>
      </c>
      <c r="Q2486" s="7">
        <f>IF(N2486&lt;&gt;0,P2486*N2486,0)</f>
        <v/>
      </c>
      <c r="R2486" s="8">
        <f>IF(Q2486&lt;&gt;0,Q2486+H2486+L2486,0)</f>
        <v/>
      </c>
      <c r="S2486" s="9">
        <f>VLOOKUP(OPERAC[[#This Row],[especie]],[1]!ESPECIES[#Data],9,FALSE)</f>
        <v/>
      </c>
    </row>
    <row r="2487">
      <c r="A2487" s="4" t="n">
        <v>6579</v>
      </c>
      <c r="B2487" s="5" t="n">
        <v>44536</v>
      </c>
      <c r="C2487" s="13" t="inlineStr">
        <is>
          <t>VTA</t>
        </is>
      </c>
      <c r="D2487" s="13" t="n">
        <v>43</v>
      </c>
      <c r="E2487" s="10">
        <f>IF(D2487&gt;0,VLOOKUP(OPERAC[[#This Row],[COD CART]],[1]!MatrizCortoLargoCyl[#All],3,0),"")</f>
        <v/>
      </c>
      <c r="F2487" s="13" t="inlineStr">
        <is>
          <t>XSPA/CYL-PUT/1,50/20-01-23</t>
        </is>
      </c>
      <c r="G2487" s="6" t="n">
        <v>1000</v>
      </c>
      <c r="H2487" s="6">
        <f>-0.4462*OPERAC[[#This Row],[cantidad]]</f>
        <v/>
      </c>
      <c r="I2487" s="7">
        <f>-H2487/G2487</f>
        <v/>
      </c>
      <c r="J2487" s="11" t="n"/>
      <c r="K2487" s="6" t="n"/>
      <c r="L2487" s="6" t="n"/>
      <c r="M2487" s="7">
        <f>IF(N2487=0,+L2487+H2487,0)</f>
        <v/>
      </c>
      <c r="N2487" s="7">
        <f>IF((+G2487-K2487)=0,0,+G2487-K2487)</f>
        <v/>
      </c>
      <c r="O2487" s="7">
        <f>IF(N2487=0,0,(L2487+H2487)/-N2487)</f>
        <v/>
      </c>
      <c r="P2487" s="7">
        <f>VLOOKUP(OPERAC[[#This Row],[especie]],[1]!ESPECIES[#All],6,0)</f>
        <v/>
      </c>
      <c r="Q2487" s="7">
        <f>IF(N2487&lt;&gt;0,P2487*N2487,0)</f>
        <v/>
      </c>
      <c r="R2487" s="8">
        <f>IF(Q2487&lt;&gt;0,Q2487+H2487+L2487,0)</f>
        <v/>
      </c>
      <c r="S2487" s="9">
        <f>VLOOKUP(OPERAC[[#This Row],[especie]],[1]!ESPECIES[#Data],9,FALSE)</f>
        <v/>
      </c>
    </row>
    <row r="2488">
      <c r="A2488" s="4" t="n">
        <v>7919</v>
      </c>
      <c r="B2488" s="5" t="n">
        <v>44536</v>
      </c>
      <c r="C2488" s="13" t="inlineStr">
        <is>
          <t>VTA</t>
        </is>
      </c>
      <c r="D2488" s="13" t="n">
        <v>43</v>
      </c>
      <c r="E2488" s="10">
        <f>IF(D2488&gt;0,VLOOKUP(OPERAC[[#This Row],[COD CART]],[1]!MatrizCortoLargoCyl[#All],3,0),"")</f>
        <v/>
      </c>
      <c r="F2488" s="13" t="inlineStr">
        <is>
          <t>XSPA/CYL-PUT/1,50/20-01-23</t>
        </is>
      </c>
      <c r="G2488" s="6" t="n">
        <v>1000</v>
      </c>
      <c r="H2488" s="6">
        <f>-0.4462*OPERAC[[#This Row],[cantidad]]</f>
        <v/>
      </c>
      <c r="I2488" s="7">
        <f>-H2488/G2488</f>
        <v/>
      </c>
      <c r="J2488" s="11" t="n"/>
      <c r="K2488" s="6" t="n"/>
      <c r="L2488" s="6" t="n"/>
      <c r="M2488" s="7">
        <f>IF(N2488=0,+L2488+H2488,0)</f>
        <v/>
      </c>
      <c r="N2488" s="7">
        <f>IF((+G2488-K2488)=0,0,+G2488-K2488)</f>
        <v/>
      </c>
      <c r="O2488" s="7">
        <f>IF(N2488=0,0,(L2488+H2488)/-N2488)</f>
        <v/>
      </c>
      <c r="P2488" s="7">
        <f>VLOOKUP(OPERAC[[#This Row],[especie]],[1]!ESPECIES[#All],6,0)</f>
        <v/>
      </c>
      <c r="Q2488" s="7">
        <f>IF(N2488&lt;&gt;0,P2488*N2488,0)</f>
        <v/>
      </c>
      <c r="R2488" s="8">
        <f>IF(Q2488&lt;&gt;0,Q2488+H2488+L2488,0)</f>
        <v/>
      </c>
      <c r="S2488" s="9">
        <f>VLOOKUP(OPERAC[[#This Row],[especie]],[1]!ESPECIES[#Data],9,FALSE)</f>
        <v/>
      </c>
    </row>
    <row r="2489">
      <c r="A2489" s="4" t="n">
        <v>3853</v>
      </c>
      <c r="B2489" s="5" t="n">
        <v>44543</v>
      </c>
      <c r="C2489" s="13" t="inlineStr">
        <is>
          <t>VTA</t>
        </is>
      </c>
      <c r="D2489" s="13" t="n">
        <v>40</v>
      </c>
      <c r="E2489" s="10">
        <f>IF(D2489&gt;0,VLOOKUP(OPERAC[[#This Row],[COD CART]],[1]!MatrizCortoLargoCyl[#All],3,0),"")</f>
        <v/>
      </c>
      <c r="F2489" s="13" t="inlineStr">
        <is>
          <t>VIST</t>
        </is>
      </c>
      <c r="G2489" s="6" t="n">
        <v>80</v>
      </c>
      <c r="H2489" s="6" t="n">
        <v>-447.952</v>
      </c>
      <c r="I2489" s="7">
        <f>-H2489/G2489</f>
        <v/>
      </c>
      <c r="J2489" s="11" t="n">
        <v>44574</v>
      </c>
      <c r="K2489" s="6">
        <f>+OPERAC[[#This Row],[cantidad]]</f>
        <v/>
      </c>
      <c r="L2489" s="6">
        <f>+OPERAC[[#This Row],[cantidad venta]]*6.125</f>
        <v/>
      </c>
      <c r="M2489" s="7">
        <f>IF(N2489=0,+L2489+H2489,0)</f>
        <v/>
      </c>
      <c r="N2489" s="7">
        <f>IF((+G2489-K2489)=0,0,+G2489-K2489)</f>
        <v/>
      </c>
      <c r="O2489" s="7">
        <f>IF(N2489=0,0,(L2489+H2489)/-N2489)</f>
        <v/>
      </c>
      <c r="P2489" s="7">
        <f>VLOOKUP(OPERAC[[#This Row],[especie]],[1]!ESPECIES[#All],6,0)</f>
        <v/>
      </c>
      <c r="Q2489" s="7">
        <f>IF(N2489&lt;&gt;0,P2489*N2489,0)</f>
        <v/>
      </c>
      <c r="R2489" s="8">
        <f>IF(Q2489&lt;&gt;0,Q2489+H2489+L2489,0)</f>
        <v/>
      </c>
      <c r="S2489" s="9">
        <f>VLOOKUP(OPERAC[[#This Row],[especie]],[1]!ESPECIES[#Data],9,FALSE)</f>
        <v/>
      </c>
    </row>
    <row r="2490">
      <c r="A2490" s="4" t="n">
        <v>2305</v>
      </c>
      <c r="B2490" s="5" t="n">
        <v>44657</v>
      </c>
      <c r="C2490" s="13" t="inlineStr">
        <is>
          <t>VTA</t>
        </is>
      </c>
      <c r="D2490" s="13" t="n">
        <v>41</v>
      </c>
      <c r="E2490" s="10">
        <f>IF(D2490&gt;0,VLOOKUP(OPERAC[[#This Row],[COD CART]],[1]!MatrizCortoLargoCyl[#All],3,0),"")</f>
        <v/>
      </c>
      <c r="F2490" s="13" t="inlineStr">
        <is>
          <t>ADBE</t>
        </is>
      </c>
      <c r="G2490" s="6" t="n">
        <v>1</v>
      </c>
      <c r="H2490" s="6" t="n">
        <v>-449.1875</v>
      </c>
      <c r="I2490" s="7">
        <f>-H2490/G2490</f>
        <v/>
      </c>
      <c r="J2490" s="11" t="n">
        <v>44687</v>
      </c>
      <c r="K2490" s="6">
        <f>+OPERAC[[#This Row],[cantidad]]</f>
        <v/>
      </c>
      <c r="L2490" s="6" t="n">
        <v>386.42</v>
      </c>
      <c r="M2490" s="7">
        <f>IF(N2490=0,+L2490+H2490,0)</f>
        <v/>
      </c>
      <c r="N2490" s="7">
        <f>IF((+G2490-K2490)=0,0,+G2490-K2490)</f>
        <v/>
      </c>
      <c r="O2490" s="7">
        <f>IF(N2490=0,0,(L2490+H2490)/-N2490)</f>
        <v/>
      </c>
      <c r="P2490" s="7">
        <f>VLOOKUP(OPERAC[[#This Row],[especie]],[1]!ESPECIES[#All],6,0)</f>
        <v/>
      </c>
      <c r="Q2490" s="7">
        <f>IF(N2490&lt;&gt;0,P2490*N2490,0)</f>
        <v/>
      </c>
      <c r="R2490" s="8">
        <f>IF(Q2490&lt;&gt;0,Q2490+H2490+L2490,0)</f>
        <v/>
      </c>
      <c r="S2490" s="9">
        <f>VLOOKUP(OPERAC[[#This Row],[especie]],[1]!ESPECIES[#Data],9,FALSE)</f>
        <v/>
      </c>
    </row>
    <row r="2491">
      <c r="A2491" s="4" t="n">
        <v>19932</v>
      </c>
      <c r="B2491" s="5" t="n">
        <v>44558</v>
      </c>
      <c r="C2491" s="13" t="inlineStr">
        <is>
          <t>VTA</t>
        </is>
      </c>
      <c r="D2491" s="13" t="n">
        <v>40</v>
      </c>
      <c r="E2491" s="10">
        <f>IF(D2491&gt;0,VLOOKUP(OPERAC[[#This Row],[COD CART]],[1]!MatrizCortoLargoCyl[#All],3,0),"")</f>
        <v/>
      </c>
      <c r="F2491" s="13" t="inlineStr">
        <is>
          <t>UPST</t>
        </is>
      </c>
      <c r="G2491" s="6" t="n">
        <v>3</v>
      </c>
      <c r="H2491" s="6" t="n">
        <v>-451.8006</v>
      </c>
      <c r="I2491" s="7">
        <f>-H2491/G2491</f>
        <v/>
      </c>
      <c r="J2491" s="11" t="n">
        <v>44606</v>
      </c>
      <c r="K2491" s="6">
        <f>+OPERAC[[#This Row],[cantidad]]</f>
        <v/>
      </c>
      <c r="L2491" s="6">
        <f>+OPERAC[[#This Row],[cantidad venta]]*98.994</f>
        <v/>
      </c>
      <c r="M2491" s="7">
        <f>IF(N2491=0,+L2491+H2491,0)</f>
        <v/>
      </c>
      <c r="N2491" s="7">
        <f>IF((+G2491-K2491)=0,0,+G2491-K2491)</f>
        <v/>
      </c>
      <c r="O2491" s="7">
        <f>IF(N2491=0,0,(L2491+H2491)/-N2491)</f>
        <v/>
      </c>
      <c r="P2491" s="7">
        <f>VLOOKUP(OPERAC[[#This Row],[especie]],[1]!ESPECIES[#All],6,0)</f>
        <v/>
      </c>
      <c r="Q2491" s="7">
        <f>IF(N2491&lt;&gt;0,P2491*N2491,0)</f>
        <v/>
      </c>
      <c r="R2491" s="8">
        <f>IF(Q2491&lt;&gt;0,Q2491+H2491+L2491,0)</f>
        <v/>
      </c>
      <c r="S2491" s="9">
        <f>VLOOKUP(OPERAC[[#This Row],[especie]],[1]!ESPECIES[#Data],9,FALSE)</f>
        <v/>
      </c>
    </row>
    <row r="2492">
      <c r="A2492" s="4" t="n">
        <v>22393</v>
      </c>
      <c r="B2492" s="5" t="n">
        <v>44634</v>
      </c>
      <c r="C2492" s="13" t="inlineStr">
        <is>
          <t>VTA</t>
        </is>
      </c>
      <c r="D2492" s="13" t="n">
        <v>31</v>
      </c>
      <c r="E2492" s="10">
        <f>IF(D2492&gt;0,VLOOKUP(OPERAC[[#This Row],[COD CART]],[1]!MatrizCortoLargoCyl[#All],3,0),"")</f>
        <v/>
      </c>
      <c r="F2492" s="13" t="inlineStr">
        <is>
          <t>YPF</t>
        </is>
      </c>
      <c r="G2492" s="6" t="n">
        <v>100</v>
      </c>
      <c r="H2492" s="6" t="n">
        <v>-453.088</v>
      </c>
      <c r="I2492" s="7">
        <f>-H2492/G2492</f>
        <v/>
      </c>
      <c r="J2492" s="11" t="n"/>
      <c r="K2492" s="6" t="n"/>
      <c r="L2492" s="6" t="n"/>
      <c r="M2492" s="7">
        <f>IF(N2492=0,+L2492+H2492,0)</f>
        <v/>
      </c>
      <c r="N2492" s="7">
        <f>IF((+G2492-K2492)=0,0,+G2492-K2492)</f>
        <v/>
      </c>
      <c r="O2492" s="7">
        <f>IF(N2492=0,0,(L2492+H2492)/-N2492)</f>
        <v/>
      </c>
      <c r="P2492" s="7">
        <f>VLOOKUP(OPERAC[[#This Row],[especie]],[1]!ESPECIES[#All],6,0)</f>
        <v/>
      </c>
      <c r="Q2492" s="7">
        <f>IF(N2492&lt;&gt;0,P2492*N2492,0)</f>
        <v/>
      </c>
      <c r="R2492" s="8">
        <f>IF(Q2492&lt;&gt;0,Q2492+H2492+L2492,0)</f>
        <v/>
      </c>
      <c r="S2492" s="9">
        <f>VLOOKUP(OPERAC[[#This Row],[especie]],[1]!ESPECIES[#Data],9,FALSE)</f>
        <v/>
      </c>
    </row>
    <row r="2493">
      <c r="A2493" s="4" t="n">
        <v>19972</v>
      </c>
      <c r="B2493" s="5" t="n">
        <v>44419</v>
      </c>
      <c r="C2493" s="13" t="inlineStr">
        <is>
          <t>VTA</t>
        </is>
      </c>
      <c r="D2493" s="13" t="n">
        <v>40</v>
      </c>
      <c r="E2493" s="10">
        <f>IF(D2493&gt;0,VLOOKUP(OPERAC[[#This Row],[COD CART]],[1]!MatrizCortoLargoCyl[#All],3,0),"")</f>
        <v/>
      </c>
      <c r="F2493" s="13" t="inlineStr">
        <is>
          <t>EDU</t>
        </is>
      </c>
      <c r="G2493" s="6" t="n">
        <v>400</v>
      </c>
      <c r="H2493" s="6">
        <f>-868.31+178+221+0.04*OPERAC[[#This Row],[cantidad]]</f>
        <v/>
      </c>
      <c r="I2493" s="7">
        <f>-H2493/G2493</f>
        <v/>
      </c>
      <c r="J2493" s="11" t="n">
        <v>44630</v>
      </c>
      <c r="K2493" s="6" t="n">
        <v>400</v>
      </c>
      <c r="L2493" s="6">
        <f>+OPERAC[[#This Row],[cantidad venta]]*1.138</f>
        <v/>
      </c>
      <c r="M2493" s="7">
        <f>IF(N2493=0,+L2493+H2493,0)</f>
        <v/>
      </c>
      <c r="N2493" s="7">
        <f>IF((+G2493-K2493)=0,0,+G2493-K2493)</f>
        <v/>
      </c>
      <c r="O2493" s="7">
        <f>IF(N2493=0,0,(L2493+H2493)/-N2493)</f>
        <v/>
      </c>
      <c r="P2493" s="7">
        <f>VLOOKUP(OPERAC[[#This Row],[especie]],[1]!ESPECIES[#All],6,0)</f>
        <v/>
      </c>
      <c r="Q2493" s="7">
        <f>IF(N2493&lt;&gt;0,P2493*N2493,0)</f>
        <v/>
      </c>
      <c r="R2493" s="8">
        <f>IF(Q2493&lt;&gt;0,Q2493+H2493+L2493,0)</f>
        <v/>
      </c>
      <c r="S2493" s="9">
        <f>VLOOKUP(OPERAC[[#This Row],[especie]],[1]!ESPECIES[#Data],9,FALSE)</f>
        <v/>
      </c>
    </row>
    <row r="2494">
      <c r="A2494" s="4" t="n">
        <v>6578</v>
      </c>
      <c r="B2494" s="5" t="n">
        <v>44466</v>
      </c>
      <c r="C2494" s="13" t="inlineStr">
        <is>
          <t>VTA</t>
        </is>
      </c>
      <c r="D2494" s="13" t="n">
        <v>43</v>
      </c>
      <c r="E2494" s="10">
        <f>IF(D2494&gt;0,VLOOKUP(OPERAC[[#This Row],[COD CART]],[1]!MatrizCortoLargoCyl[#All],3,0),"")</f>
        <v/>
      </c>
      <c r="F2494" s="13" t="inlineStr">
        <is>
          <t>SOLO/CYL-PUT/4,00/18-03-22</t>
        </is>
      </c>
      <c r="G2494" s="6" t="n">
        <v>200</v>
      </c>
      <c r="H2494" s="6">
        <f>-594.83454+0.32*OPERAC[[#This Row],[cantidad]]+0.387*OPERAC[[#This Row],[cantidad]]</f>
        <v/>
      </c>
      <c r="I2494" s="7">
        <f>-H2494/G2494</f>
        <v/>
      </c>
      <c r="J2494" s="11" t="n">
        <v>44614</v>
      </c>
      <c r="K2494" s="6" t="n">
        <v>200</v>
      </c>
      <c r="L2494" s="6" t="n">
        <v>-45.94</v>
      </c>
      <c r="M2494" s="7">
        <f>IF(N2494=0,+L2494+H2494,0)</f>
        <v/>
      </c>
      <c r="N2494" s="7">
        <f>IF((+G2494-K2494)=0,0,+G2494-K2494)</f>
        <v/>
      </c>
      <c r="O2494" s="7">
        <f>IF(N2494=0,0,(L2494+H2494)/-N2494)</f>
        <v/>
      </c>
      <c r="P2494" s="7">
        <f>VLOOKUP(OPERAC[[#This Row],[especie]],[1]!ESPECIES[#All],6,0)</f>
        <v/>
      </c>
      <c r="Q2494" s="7">
        <f>IF(N2494&lt;&gt;0,P2494*N2494,0)</f>
        <v/>
      </c>
      <c r="R2494" s="8">
        <f>IF(Q2494&lt;&gt;0,Q2494+H2494+L2494,0)</f>
        <v/>
      </c>
      <c r="S2494" s="9">
        <f>VLOOKUP(OPERAC[[#This Row],[especie]],[1]!ESPECIES[#Data],9,FALSE)</f>
        <v/>
      </c>
    </row>
    <row r="2495">
      <c r="A2495" s="4" t="n">
        <v>16824</v>
      </c>
      <c r="B2495" s="5" t="n">
        <v>44466</v>
      </c>
      <c r="C2495" s="13" t="inlineStr">
        <is>
          <t>VTA</t>
        </is>
      </c>
      <c r="D2495" s="13" t="n">
        <v>43</v>
      </c>
      <c r="E2495" s="10">
        <f>IF(D2495&gt;0,VLOOKUP(OPERAC[[#This Row],[COD CART]],[1]!MatrizCortoLargoCyl[#All],3,0),"")</f>
        <v/>
      </c>
      <c r="F2495" s="13" t="inlineStr">
        <is>
          <t>SOLO/CYL-PUT/4,00/18-03-22</t>
        </is>
      </c>
      <c r="G2495" s="6" t="n">
        <v>200</v>
      </c>
      <c r="H2495" s="6">
        <f>-594.83454+0.32*OPERAC[[#This Row],[cantidad]]+0.387*OPERAC[[#This Row],[cantidad]]</f>
        <v/>
      </c>
      <c r="I2495" s="7">
        <f>-H2495/G2495</f>
        <v/>
      </c>
      <c r="J2495" s="11" t="n">
        <v>44614</v>
      </c>
      <c r="K2495" s="6" t="n">
        <v>200</v>
      </c>
      <c r="L2495" s="6" t="n">
        <v>-45.94</v>
      </c>
      <c r="M2495" s="7">
        <f>IF(N2495=0,+L2495+H2495,0)</f>
        <v/>
      </c>
      <c r="N2495" s="7">
        <f>IF((+G2495-K2495)=0,0,+G2495-K2495)</f>
        <v/>
      </c>
      <c r="O2495" s="7">
        <f>IF(N2495=0,0,(L2495+H2495)/-N2495)</f>
        <v/>
      </c>
      <c r="P2495" s="7">
        <f>VLOOKUP(OPERAC[[#This Row],[especie]],[1]!ESPECIES[#All],6,0)</f>
        <v/>
      </c>
      <c r="Q2495" s="7">
        <f>IF(N2495&lt;&gt;0,P2495*N2495,0)</f>
        <v/>
      </c>
      <c r="R2495" s="8">
        <f>IF(Q2495&lt;&gt;0,Q2495+H2495+L2495,0)</f>
        <v/>
      </c>
      <c r="S2495" s="9">
        <f>VLOOKUP(OPERAC[[#This Row],[especie]],[1]!ESPECIES[#Data],9,FALSE)</f>
        <v/>
      </c>
    </row>
    <row r="2496">
      <c r="A2496" s="4" t="n">
        <v>20234</v>
      </c>
      <c r="B2496" s="5" t="n">
        <v>44466</v>
      </c>
      <c r="C2496" s="13" t="inlineStr">
        <is>
          <t>VTA</t>
        </is>
      </c>
      <c r="D2496" s="13" t="n">
        <v>43</v>
      </c>
      <c r="E2496" s="10">
        <f>IF(D2496&gt;0,VLOOKUP(OPERAC[[#This Row],[COD CART]],[1]!MatrizCortoLargoCyl[#All],3,0),"")</f>
        <v/>
      </c>
      <c r="F2496" s="13" t="inlineStr">
        <is>
          <t>SOLO/CYL-PUT/4,00/18-03-22</t>
        </is>
      </c>
      <c r="G2496" s="6" t="n">
        <v>200</v>
      </c>
      <c r="H2496" s="6">
        <f>-594.83454+0.32*OPERAC[[#This Row],[cantidad]]+0.387*OPERAC[[#This Row],[cantidad]]</f>
        <v/>
      </c>
      <c r="I2496" s="7">
        <f>-H2496/G2496</f>
        <v/>
      </c>
      <c r="J2496" s="11" t="n">
        <v>44614</v>
      </c>
      <c r="K2496" s="6" t="n">
        <v>200</v>
      </c>
      <c r="L2496" s="6" t="n">
        <v>-45.94</v>
      </c>
      <c r="M2496" s="7">
        <f>IF(N2496=0,+L2496+H2496,0)</f>
        <v/>
      </c>
      <c r="N2496" s="7">
        <f>IF((+G2496-K2496)=0,0,+G2496-K2496)</f>
        <v/>
      </c>
      <c r="O2496" s="7">
        <f>IF(N2496=0,0,(L2496+H2496)/-N2496)</f>
        <v/>
      </c>
      <c r="P2496" s="7">
        <f>VLOOKUP(OPERAC[[#This Row],[especie]],[1]!ESPECIES[#All],6,0)</f>
        <v/>
      </c>
      <c r="Q2496" s="7">
        <f>IF(N2496&lt;&gt;0,P2496*N2496,0)</f>
        <v/>
      </c>
      <c r="R2496" s="8">
        <f>IF(Q2496&lt;&gt;0,Q2496+H2496+L2496,0)</f>
        <v/>
      </c>
      <c r="S2496" s="9">
        <f>VLOOKUP(OPERAC[[#This Row],[especie]],[1]!ESPECIES[#Data],9,FALSE)</f>
        <v/>
      </c>
    </row>
    <row r="2497">
      <c r="A2497" s="4" t="n">
        <v>22407</v>
      </c>
      <c r="B2497" s="5" t="n">
        <v>44466</v>
      </c>
      <c r="C2497" s="13" t="inlineStr">
        <is>
          <t>VTA</t>
        </is>
      </c>
      <c r="D2497" s="13" t="n">
        <v>43</v>
      </c>
      <c r="E2497" s="10">
        <f>IF(D2497&gt;0,VLOOKUP(OPERAC[[#This Row],[COD CART]],[1]!MatrizCortoLargoCyl[#All],3,0),"")</f>
        <v/>
      </c>
      <c r="F2497" s="13" t="inlineStr">
        <is>
          <t>SOLO/CYL-PUT/4,00/18-03-22</t>
        </is>
      </c>
      <c r="G2497" s="6" t="n">
        <v>200</v>
      </c>
      <c r="H2497" s="6">
        <f>-594.83454+0.32*OPERAC[[#This Row],[cantidad]]+0.387*OPERAC[[#This Row],[cantidad]]</f>
        <v/>
      </c>
      <c r="I2497" s="7">
        <f>-H2497/G2497</f>
        <v/>
      </c>
      <c r="J2497" s="11" t="n">
        <v>44614</v>
      </c>
      <c r="K2497" s="6" t="n">
        <v>200</v>
      </c>
      <c r="L2497" s="6" t="n">
        <v>-45.94</v>
      </c>
      <c r="M2497" s="7">
        <f>IF(N2497=0,+L2497+H2497,0)</f>
        <v/>
      </c>
      <c r="N2497" s="7">
        <f>IF((+G2497-K2497)=0,0,+G2497-K2497)</f>
        <v/>
      </c>
      <c r="O2497" s="7">
        <f>IF(N2497=0,0,(L2497+H2497)/-N2497)</f>
        <v/>
      </c>
      <c r="P2497" s="7">
        <f>VLOOKUP(OPERAC[[#This Row],[especie]],[1]!ESPECIES[#All],6,0)</f>
        <v/>
      </c>
      <c r="Q2497" s="7">
        <f>IF(N2497&lt;&gt;0,P2497*N2497,0)</f>
        <v/>
      </c>
      <c r="R2497" s="8">
        <f>IF(Q2497&lt;&gt;0,Q2497+H2497+L2497,0)</f>
        <v/>
      </c>
      <c r="S2497" s="9">
        <f>VLOOKUP(OPERAC[[#This Row],[especie]],[1]!ESPECIES[#Data],9,FALSE)</f>
        <v/>
      </c>
    </row>
    <row r="2498">
      <c r="A2498" s="4" t="n">
        <v>13269</v>
      </c>
      <c r="B2498" s="5" t="n">
        <v>44669</v>
      </c>
      <c r="C2498" s="13" t="inlineStr">
        <is>
          <t>VTA</t>
        </is>
      </c>
      <c r="D2498" s="13" t="n">
        <v>32</v>
      </c>
      <c r="E2498" s="10">
        <f>IF(D2498&gt;0,VLOOKUP(OPERAC[[#This Row],[COD CART]],[1]!MatrizCortoLargoCyl[#All],3,0),"")</f>
        <v/>
      </c>
      <c r="F2498" s="13" t="inlineStr">
        <is>
          <t>HMY/CYL/5,00/19-08-22</t>
        </is>
      </c>
      <c r="G2498" s="6" t="n">
        <v>100</v>
      </c>
      <c r="H2498" s="6">
        <f>-4.64*OPERAC[[#This Row],[cantidad]]+9.92</f>
        <v/>
      </c>
      <c r="I2498" s="7">
        <f>-H2498/G2498</f>
        <v/>
      </c>
      <c r="J2498" s="11" t="n"/>
      <c r="K2498" s="6" t="n"/>
      <c r="L2498" s="6" t="n"/>
      <c r="M2498" s="7">
        <f>IF(N2498=0,+L2498+H2498,0)</f>
        <v/>
      </c>
      <c r="N2498" s="7">
        <f>IF((+G2498-K2498)=0,0,+G2498-K2498)</f>
        <v/>
      </c>
      <c r="O2498" s="7">
        <f>IF(N2498=0,0,(L2498+H2498)/-N2498)</f>
        <v/>
      </c>
      <c r="P2498" s="7">
        <f>VLOOKUP(OPERAC[[#This Row],[especie]],[1]!ESPECIES[#All],6,0)</f>
        <v/>
      </c>
      <c r="Q2498" s="7">
        <f>IF(N2498&lt;&gt;0,P2498*N2498,0)</f>
        <v/>
      </c>
      <c r="R2498" s="8">
        <f>IF(Q2498&lt;&gt;0,Q2498+H2498+L2498,0)</f>
        <v/>
      </c>
      <c r="S2498" s="9">
        <f>VLOOKUP(OPERAC[[#This Row],[especie]],[1]!ESPECIES[#Data],9,FALSE)</f>
        <v/>
      </c>
    </row>
    <row r="2499">
      <c r="A2499" s="4" t="n">
        <v>8066</v>
      </c>
      <c r="B2499" s="5" t="n">
        <v>44669</v>
      </c>
      <c r="C2499" s="13" t="inlineStr">
        <is>
          <t>VTA</t>
        </is>
      </c>
      <c r="D2499" s="13" t="n">
        <v>32</v>
      </c>
      <c r="E2499" s="10">
        <f>IF(D2499&gt;0,VLOOKUP(OPERAC[[#This Row],[COD CART]],[1]!MatrizCortoLargoCyl[#All],3,0),"")</f>
        <v/>
      </c>
      <c r="F2499" s="13" t="inlineStr">
        <is>
          <t>HMY/CYL/5,00/19-08-22</t>
        </is>
      </c>
      <c r="G2499" s="6" t="n">
        <v>100</v>
      </c>
      <c r="H2499" s="6">
        <f>-4.64*OPERAC[[#This Row],[cantidad]]+7.932</f>
        <v/>
      </c>
      <c r="I2499" s="7">
        <f>-H2499/G2499</f>
        <v/>
      </c>
      <c r="J2499" s="11" t="n"/>
      <c r="K2499" s="6" t="n"/>
      <c r="L2499" s="6" t="n"/>
      <c r="M2499" s="7">
        <f>IF(N2499=0,+L2499+H2499,0)</f>
        <v/>
      </c>
      <c r="N2499" s="7">
        <f>IF((+G2499-K2499)=0,0,+G2499-K2499)</f>
        <v/>
      </c>
      <c r="O2499" s="7">
        <f>IF(N2499=0,0,(L2499+H2499)/-N2499)</f>
        <v/>
      </c>
      <c r="P2499" s="7">
        <f>VLOOKUP(OPERAC[[#This Row],[especie]],[1]!ESPECIES[#All],6,0)</f>
        <v/>
      </c>
      <c r="Q2499" s="7">
        <f>IF(N2499&lt;&gt;0,P2499*N2499,0)</f>
        <v/>
      </c>
      <c r="R2499" s="8">
        <f>IF(Q2499&lt;&gt;0,Q2499+H2499+L2499,0)</f>
        <v/>
      </c>
      <c r="S2499" s="9">
        <f>VLOOKUP(OPERAC[[#This Row],[especie]],[1]!ESPECIES[#Data],9,FALSE)</f>
        <v/>
      </c>
    </row>
    <row r="2500">
      <c r="A2500" s="4" t="n">
        <v>18663</v>
      </c>
      <c r="B2500" s="5" t="n">
        <v>43831</v>
      </c>
      <c r="C2500" s="13" t="inlineStr">
        <is>
          <t>VTA</t>
        </is>
      </c>
      <c r="D2500" s="13" t="n">
        <v>41</v>
      </c>
      <c r="E2500" s="10">
        <f>IF(D2500&gt;0,VLOOKUP(OPERAC[[#This Row],[COD CART]],[1]!MatrizCortoLargoCyl[#All],3,0),"")</f>
        <v/>
      </c>
      <c r="F2500" s="13" t="inlineStr">
        <is>
          <t>INTC</t>
        </is>
      </c>
      <c r="G2500" s="6" t="n">
        <v>9</v>
      </c>
      <c r="H2500" s="6" t="n">
        <v>-457</v>
      </c>
      <c r="I2500" s="7">
        <f>-H2500/G2500</f>
        <v/>
      </c>
      <c r="J2500" s="5" t="n">
        <v>44116</v>
      </c>
      <c r="K2500" s="6" t="n">
        <v>2</v>
      </c>
      <c r="L2500" s="6" t="n">
        <v>106.75</v>
      </c>
      <c r="M2500" s="7">
        <f>IF(N2500=0,+L2500+H2500,0)</f>
        <v/>
      </c>
      <c r="N2500" s="7">
        <f>IF((+G2500-K2500)=0,0,+G2500-K2500)</f>
        <v/>
      </c>
      <c r="O2500" s="7">
        <f>IF(N2500=0,0,(L2500+H2500)/-N2500)</f>
        <v/>
      </c>
      <c r="P2500" s="7">
        <f>VLOOKUP(OPERAC[[#This Row],[especie]],[1]!ESPECIES[#All],6,0)</f>
        <v/>
      </c>
      <c r="Q2500" s="7">
        <f>IF(N2500&lt;&gt;0,P2500*N2500,0)</f>
        <v/>
      </c>
      <c r="R2500" s="8">
        <f>IF(Q2500&lt;&gt;0,Q2500+H2500+L2500,0)</f>
        <v/>
      </c>
      <c r="S2500" s="9">
        <f>VLOOKUP(OPERAC[[#This Row],[especie]],[1]!ESPECIES[#Data],9,FALSE)</f>
        <v/>
      </c>
    </row>
    <row r="2501">
      <c r="A2501" s="4" t="n">
        <v>4561</v>
      </c>
      <c r="B2501" s="5" t="n">
        <v>44662</v>
      </c>
      <c r="C2501" s="13" t="inlineStr">
        <is>
          <t>VTA</t>
        </is>
      </c>
      <c r="D2501" s="13" t="n">
        <v>42</v>
      </c>
      <c r="E2501" s="10">
        <f>IF(D2501&gt;0,VLOOKUP(OPERAC[[#This Row],[COD CART]],[1]!MatrizCortoLargoCyl[#All],3,0),"")</f>
        <v/>
      </c>
      <c r="F2501" s="13" t="inlineStr">
        <is>
          <t>UPST</t>
        </is>
      </c>
      <c r="G2501" s="6" t="n">
        <v>5</v>
      </c>
      <c r="H2501" s="6" t="n">
        <v>-457.0018</v>
      </c>
      <c r="I2501" s="7">
        <f>-H2501/G2501</f>
        <v/>
      </c>
      <c r="J2501" s="11" t="n">
        <v>44693</v>
      </c>
      <c r="K2501" s="6">
        <f>+OPERAC[[#This Row],[cantidad]]</f>
        <v/>
      </c>
      <c r="L2501" s="6" t="n">
        <v>153.076</v>
      </c>
      <c r="M2501" s="7">
        <f>IF(N2501=0,+L2501+H2501,0)</f>
        <v/>
      </c>
      <c r="N2501" s="7">
        <f>IF((+G2501-K2501)=0,0,+G2501-K2501)</f>
        <v/>
      </c>
      <c r="O2501" s="7">
        <f>IF(N2501=0,0,(L2501+H2501)/-N2501)</f>
        <v/>
      </c>
      <c r="P2501" s="7">
        <f>VLOOKUP(OPERAC[[#This Row],[especie]],[1]!ESPECIES[#All],6,0)</f>
        <v/>
      </c>
      <c r="Q2501" s="7">
        <f>IF(N2501&lt;&gt;0,P2501*N2501,0)</f>
        <v/>
      </c>
      <c r="R2501" s="8">
        <f>IF(Q2501&lt;&gt;0,Q2501+H2501+L2501,0)</f>
        <v/>
      </c>
      <c r="S2501" s="9">
        <f>VLOOKUP(OPERAC[[#This Row],[especie]],[1]!ESPECIES[#Data],9,FALSE)</f>
        <v/>
      </c>
    </row>
    <row r="2502">
      <c r="A2502" s="4" t="n">
        <v>13190</v>
      </c>
      <c r="B2502" s="5" t="n">
        <v>44662</v>
      </c>
      <c r="C2502" s="13" t="inlineStr">
        <is>
          <t>VTA</t>
        </is>
      </c>
      <c r="D2502" s="13" t="n">
        <v>42</v>
      </c>
      <c r="E2502" s="10">
        <f>IF(D2502&gt;0,VLOOKUP(OPERAC[[#This Row],[COD CART]],[1]!MatrizCortoLargoCyl[#All],3,0),"")</f>
        <v/>
      </c>
      <c r="F2502" s="13" t="inlineStr">
        <is>
          <t>UPST</t>
        </is>
      </c>
      <c r="G2502" s="6" t="n">
        <v>5</v>
      </c>
      <c r="H2502" s="6" t="n">
        <v>-457.0018</v>
      </c>
      <c r="I2502" s="7">
        <f>-H2502/G2502</f>
        <v/>
      </c>
      <c r="J2502" s="11" t="n">
        <v>44693</v>
      </c>
      <c r="K2502" s="6" t="n">
        <v>5</v>
      </c>
      <c r="L2502" s="6" t="n">
        <v>153.722</v>
      </c>
      <c r="M2502" s="7">
        <f>IF(N2502=0,+L2502+H2502,0)</f>
        <v/>
      </c>
      <c r="N2502" s="7">
        <f>IF((+G2502-K2502)=0,0,+G2502-K2502)</f>
        <v/>
      </c>
      <c r="O2502" s="7">
        <f>IF(N2502=0,0,(L2502+H2502)/-N2502)</f>
        <v/>
      </c>
      <c r="P2502" s="7">
        <f>VLOOKUP(OPERAC[[#This Row],[especie]],[1]!ESPECIES[#All],6,0)</f>
        <v/>
      </c>
      <c r="Q2502" s="7">
        <f>IF(N2502&lt;&gt;0,P2502*N2502,0)</f>
        <v/>
      </c>
      <c r="R2502" s="8">
        <f>IF(Q2502&lt;&gt;0,Q2502+H2502+L2502,0)</f>
        <v/>
      </c>
      <c r="S2502" s="9">
        <f>VLOOKUP(OPERAC[[#This Row],[especie]],[1]!ESPECIES[#Data],9,FALSE)</f>
        <v/>
      </c>
    </row>
    <row r="2503">
      <c r="A2503" s="4" t="n">
        <v>16786</v>
      </c>
      <c r="B2503" s="5" t="n">
        <v>44662</v>
      </c>
      <c r="C2503" s="13" t="inlineStr">
        <is>
          <t>VTA</t>
        </is>
      </c>
      <c r="D2503" s="13" t="n">
        <v>42</v>
      </c>
      <c r="E2503" s="10">
        <f>IF(D2503&gt;0,VLOOKUP(OPERAC[[#This Row],[COD CART]],[1]!MatrizCortoLargoCyl[#All],3,0),"")</f>
        <v/>
      </c>
      <c r="F2503" s="13" t="inlineStr">
        <is>
          <t>UPST</t>
        </is>
      </c>
      <c r="G2503" s="6" t="n">
        <v>5</v>
      </c>
      <c r="H2503" s="6" t="n">
        <v>-457.0018</v>
      </c>
      <c r="I2503" s="7">
        <f>-H2503/G2503</f>
        <v/>
      </c>
      <c r="J2503" s="11" t="n">
        <v>44693</v>
      </c>
      <c r="K2503" s="6" t="n">
        <v>5</v>
      </c>
      <c r="L2503" s="6" t="n">
        <v>153.722</v>
      </c>
      <c r="M2503" s="7">
        <f>IF(N2503=0,+L2503+H2503,0)</f>
        <v/>
      </c>
      <c r="N2503" s="7">
        <f>IF((+G2503-K2503)=0,0,+G2503-K2503)</f>
        <v/>
      </c>
      <c r="O2503" s="7">
        <f>IF(N2503=0,0,(L2503+H2503)/-N2503)</f>
        <v/>
      </c>
      <c r="P2503" s="7">
        <f>VLOOKUP(OPERAC[[#This Row],[especie]],[1]!ESPECIES[#All],6,0)</f>
        <v/>
      </c>
      <c r="Q2503" s="7">
        <f>IF(N2503&lt;&gt;0,P2503*N2503,0)</f>
        <v/>
      </c>
      <c r="R2503" s="8">
        <f>IF(Q2503&lt;&gt;0,Q2503+H2503+L2503,0)</f>
        <v/>
      </c>
      <c r="S2503" s="9">
        <f>VLOOKUP(OPERAC[[#This Row],[especie]],[1]!ESPECIES[#Data],9,FALSE)</f>
        <v/>
      </c>
    </row>
    <row r="2504">
      <c r="A2504" s="4" t="n">
        <v>18705</v>
      </c>
      <c r="B2504" s="5" t="n">
        <v>44662</v>
      </c>
      <c r="C2504" s="13" t="inlineStr">
        <is>
          <t>VTA</t>
        </is>
      </c>
      <c r="D2504" s="13" t="n">
        <v>42</v>
      </c>
      <c r="E2504" s="10">
        <f>IF(D2504&gt;0,VLOOKUP(OPERAC[[#This Row],[COD CART]],[1]!MatrizCortoLargoCyl[#All],3,0),"")</f>
        <v/>
      </c>
      <c r="F2504" s="13" t="inlineStr">
        <is>
          <t>UPST</t>
        </is>
      </c>
      <c r="G2504" s="6" t="n">
        <v>5</v>
      </c>
      <c r="H2504" s="6" t="n">
        <v>-457.0018</v>
      </c>
      <c r="I2504" s="7">
        <f>-H2504/G2504</f>
        <v/>
      </c>
      <c r="J2504" s="11" t="n">
        <v>44693</v>
      </c>
      <c r="K2504" s="6" t="n">
        <v>5</v>
      </c>
      <c r="L2504" s="6" t="n">
        <v>158.792</v>
      </c>
      <c r="M2504" s="7">
        <f>IF(N2504=0,+L2504+H2504,0)</f>
        <v/>
      </c>
      <c r="N2504" s="7">
        <f>IF((+G2504-K2504)=0,0,+G2504-K2504)</f>
        <v/>
      </c>
      <c r="O2504" s="7">
        <f>IF(N2504=0,0,(L2504+H2504)/-N2504)</f>
        <v/>
      </c>
      <c r="P2504" s="7">
        <f>VLOOKUP(OPERAC[[#This Row],[especie]],[1]!ESPECIES[#All],6,0)</f>
        <v/>
      </c>
      <c r="Q2504" s="7">
        <f>IF(N2504&lt;&gt;0,P2504*N2504,0)</f>
        <v/>
      </c>
      <c r="R2504" s="8">
        <f>IF(Q2504&lt;&gt;0,Q2504+H2504+L2504,0)</f>
        <v/>
      </c>
      <c r="S2504" s="9">
        <f>VLOOKUP(OPERAC[[#This Row],[especie]],[1]!ESPECIES[#Data],9,FALSE)</f>
        <v/>
      </c>
    </row>
    <row r="2505">
      <c r="A2505" s="4" t="n">
        <v>20234</v>
      </c>
      <c r="B2505" s="5" t="n">
        <v>44662</v>
      </c>
      <c r="C2505" s="13" t="inlineStr">
        <is>
          <t>VTA</t>
        </is>
      </c>
      <c r="D2505" s="13" t="n">
        <v>42</v>
      </c>
      <c r="E2505" s="10">
        <f>IF(D2505&gt;0,VLOOKUP(OPERAC[[#This Row],[COD CART]],[1]!MatrizCortoLargoCyl[#All],3,0),"")</f>
        <v/>
      </c>
      <c r="F2505" s="13" t="inlineStr">
        <is>
          <t>UPST</t>
        </is>
      </c>
      <c r="G2505" s="6" t="n">
        <v>5</v>
      </c>
      <c r="H2505" s="6" t="n">
        <v>-457.0018</v>
      </c>
      <c r="I2505" s="7">
        <f>-H2505/G2505</f>
        <v/>
      </c>
      <c r="J2505" s="11" t="n">
        <v>44693</v>
      </c>
      <c r="K2505" s="6" t="n">
        <v>5</v>
      </c>
      <c r="L2505" s="6" t="n">
        <v>158.792</v>
      </c>
      <c r="M2505" s="7">
        <f>IF(N2505=0,+L2505+H2505,0)</f>
        <v/>
      </c>
      <c r="N2505" s="7">
        <f>IF((+G2505-K2505)=0,0,+G2505-K2505)</f>
        <v/>
      </c>
      <c r="O2505" s="7">
        <f>IF(N2505=0,0,(L2505+H2505)/-N2505)</f>
        <v/>
      </c>
      <c r="P2505" s="7">
        <f>VLOOKUP(OPERAC[[#This Row],[especie]],[1]!ESPECIES[#All],6,0)</f>
        <v/>
      </c>
      <c r="Q2505" s="7">
        <f>IF(N2505&lt;&gt;0,P2505*N2505,0)</f>
        <v/>
      </c>
      <c r="R2505" s="8">
        <f>IF(Q2505&lt;&gt;0,Q2505+H2505+L2505,0)</f>
        <v/>
      </c>
      <c r="S2505" s="9">
        <f>VLOOKUP(OPERAC[[#This Row],[especie]],[1]!ESPECIES[#Data],9,FALSE)</f>
        <v/>
      </c>
    </row>
    <row r="2506">
      <c r="A2506" s="4" t="n">
        <v>18677</v>
      </c>
      <c r="B2506" s="5" t="n">
        <v>44662</v>
      </c>
      <c r="C2506" s="13" t="inlineStr">
        <is>
          <t>VTA</t>
        </is>
      </c>
      <c r="D2506" s="13" t="n">
        <v>42</v>
      </c>
      <c r="E2506" s="10">
        <f>IF(D2506&gt;0,VLOOKUP(OPERAC[[#This Row],[COD CART]],[1]!MatrizCortoLargoCyl[#All],3,0),"")</f>
        <v/>
      </c>
      <c r="F2506" s="13" t="inlineStr">
        <is>
          <t>UPST</t>
        </is>
      </c>
      <c r="G2506" s="6" t="n">
        <v>5</v>
      </c>
      <c r="H2506" s="6" t="n">
        <v>-457.0018</v>
      </c>
      <c r="I2506" s="7">
        <f>-H2506/G2506</f>
        <v/>
      </c>
      <c r="J2506" s="11" t="n">
        <v>44693</v>
      </c>
      <c r="K2506" s="6" t="n">
        <v>5</v>
      </c>
      <c r="L2506" s="6" t="n">
        <v>158.792</v>
      </c>
      <c r="M2506" s="7">
        <f>IF(N2506=0,+L2506+H2506,0)</f>
        <v/>
      </c>
      <c r="N2506" s="7">
        <f>IF((+G2506-K2506)=0,0,+G2506-K2506)</f>
        <v/>
      </c>
      <c r="O2506" s="7">
        <f>IF(N2506=0,0,(L2506+H2506)/-N2506)</f>
        <v/>
      </c>
      <c r="P2506" s="7">
        <f>VLOOKUP(OPERAC[[#This Row],[especie]],[1]!ESPECIES[#All],6,0)</f>
        <v/>
      </c>
      <c r="Q2506" s="7">
        <f>IF(N2506&lt;&gt;0,P2506*N2506,0)</f>
        <v/>
      </c>
      <c r="R2506" s="8">
        <f>IF(Q2506&lt;&gt;0,Q2506+H2506+L2506,0)</f>
        <v/>
      </c>
      <c r="S2506" s="9">
        <f>VLOOKUP(OPERAC[[#This Row],[especie]],[1]!ESPECIES[#Data],9,FALSE)</f>
        <v/>
      </c>
    </row>
    <row r="2507">
      <c r="A2507" s="4" t="n">
        <v>13253</v>
      </c>
      <c r="B2507" s="5" t="n">
        <v>44629</v>
      </c>
      <c r="C2507" s="13" t="inlineStr">
        <is>
          <t>VTA</t>
        </is>
      </c>
      <c r="D2507" s="13" t="n">
        <v>41</v>
      </c>
      <c r="E2507" s="10">
        <f>IF(D2507&gt;0,VLOOKUP(OPERAC[[#This Row],[COD CART]],[1]!MatrizCortoLargoCyl[#All],3,0),"")</f>
        <v/>
      </c>
      <c r="F2507" s="13" t="inlineStr">
        <is>
          <t>SFM</t>
        </is>
      </c>
      <c r="G2507" s="6" t="n">
        <v>15</v>
      </c>
      <c r="H2507" s="6" t="n">
        <v>-458.38</v>
      </c>
      <c r="I2507" s="7">
        <f>-H2507/G2507</f>
        <v/>
      </c>
      <c r="J2507" s="11" t="n">
        <v>44714</v>
      </c>
      <c r="K2507" s="6" t="n">
        <v>15</v>
      </c>
      <c r="L2507" s="6" t="n">
        <v>406.361</v>
      </c>
      <c r="M2507" s="7">
        <f>IF(N2507=0,+L2507+H2507,0)</f>
        <v/>
      </c>
      <c r="N2507" s="7">
        <f>IF((+G2507-K2507)=0,0,+G2507-K2507)</f>
        <v/>
      </c>
      <c r="O2507" s="7">
        <f>IF(N2507=0,0,(L2507+H2507)/-N2507)</f>
        <v/>
      </c>
      <c r="P2507" s="7">
        <f>VLOOKUP(OPERAC[[#This Row],[especie]],[1]!ESPECIES[#All],6,0)</f>
        <v/>
      </c>
      <c r="Q2507" s="7">
        <f>IF(N2507&lt;&gt;0,P2507*N2507,0)</f>
        <v/>
      </c>
      <c r="R2507" s="8">
        <f>IF(Q2507&lt;&gt;0,Q2507+H2507+L2507,0)</f>
        <v/>
      </c>
      <c r="S2507" s="9">
        <f>VLOOKUP(OPERAC[[#This Row],[especie]],[1]!ESPECIES[#Data],9,FALSE)</f>
        <v/>
      </c>
    </row>
    <row r="2508">
      <c r="A2508" s="4" t="n">
        <v>1792</v>
      </c>
      <c r="B2508" s="5" t="n">
        <v>44707</v>
      </c>
      <c r="C2508" s="13" t="inlineStr">
        <is>
          <t>VTA</t>
        </is>
      </c>
      <c r="D2508" s="13" t="n">
        <v>32</v>
      </c>
      <c r="E2508" s="10">
        <f>IF(D2508&gt;0,VLOOKUP(OPERAC[[#This Row],[COD CART]],[1]!MatrizCortoLargoCyl[#All],3,0),"")</f>
        <v/>
      </c>
      <c r="F2508" s="13" t="inlineStr">
        <is>
          <t>TLRY/CYL/6,00/17-06-22</t>
        </is>
      </c>
      <c r="G2508" s="6" t="n">
        <v>100</v>
      </c>
      <c r="H2508" s="6" t="n">
        <v>-458.516</v>
      </c>
      <c r="I2508" s="7">
        <f>-H2508/G2508</f>
        <v/>
      </c>
      <c r="J2508" s="5" t="n"/>
      <c r="K2508" s="6" t="n"/>
      <c r="L2508" s="6" t="n"/>
      <c r="M2508" s="7">
        <f>IF(N2508=0,+L2508+H2508,0)</f>
        <v/>
      </c>
      <c r="N2508" s="7">
        <f>IF((+G2508-K2508)=0,0,+G2508-K2508)</f>
        <v/>
      </c>
      <c r="O2508" s="7">
        <f>IF(N2508=0,0,(L2508+H2508)/-N2508)</f>
        <v/>
      </c>
      <c r="P2508" s="7">
        <f>VLOOKUP(OPERAC[[#This Row],[especie]],[1]!ESPECIES[#All],6,0)</f>
        <v/>
      </c>
      <c r="Q2508" s="7">
        <f>IF(N2508&lt;&gt;0,P2508*N2508,0)</f>
        <v/>
      </c>
      <c r="R2508" s="8">
        <f>IF(Q2508&lt;&gt;0,Q2508+H2508+L2508,0)</f>
        <v/>
      </c>
      <c r="S2508" s="9">
        <f>VLOOKUP(OPERAC[[#This Row],[especie]],[1]!ESPECIES[#Data],9,FALSE)</f>
        <v/>
      </c>
    </row>
    <row r="2509">
      <c r="A2509" s="4" t="n">
        <v>22407</v>
      </c>
      <c r="B2509" s="5" t="n">
        <v>44655</v>
      </c>
      <c r="C2509" s="13" t="inlineStr">
        <is>
          <t>VTA</t>
        </is>
      </c>
      <c r="D2509" s="13" t="n">
        <v>31</v>
      </c>
      <c r="E2509" s="10">
        <f>IF(D2509&gt;0,VLOOKUP(OPERAC[[#This Row],[COD CART]],[1]!MatrizCortoLargoCyl[#All],3,0),"")</f>
        <v/>
      </c>
      <c r="F2509" s="13" t="inlineStr">
        <is>
          <t>SPY</t>
        </is>
      </c>
      <c r="G2509" s="6" t="n">
        <v>1</v>
      </c>
      <c r="H2509" s="6" t="n">
        <v>-458.89408</v>
      </c>
      <c r="I2509" s="7">
        <f>-H2509/G2509</f>
        <v/>
      </c>
      <c r="J2509" s="11" t="n"/>
      <c r="K2509" s="6" t="n"/>
      <c r="L2509" s="6" t="n"/>
      <c r="M2509" s="7">
        <f>IF(N2509=0,+L2509+H2509,0)</f>
        <v/>
      </c>
      <c r="N2509" s="7">
        <f>IF((+G2509-K2509)=0,0,+G2509-K2509)</f>
        <v/>
      </c>
      <c r="O2509" s="7">
        <f>IF(N2509=0,0,(L2509+H2509)/-N2509)</f>
        <v/>
      </c>
      <c r="P2509" s="7">
        <f>VLOOKUP(OPERAC[[#This Row],[especie]],[1]!ESPECIES[#All],6,0)</f>
        <v/>
      </c>
      <c r="Q2509" s="7">
        <f>IF(N2509&lt;&gt;0,P2509*N2509,0)</f>
        <v/>
      </c>
      <c r="R2509" s="8">
        <f>IF(Q2509&lt;&gt;0,Q2509+H2509+L2509,0)</f>
        <v/>
      </c>
      <c r="S2509" s="9">
        <f>VLOOKUP(OPERAC[[#This Row],[especie]],[1]!ESPECIES[#Data],9,FALSE)</f>
        <v/>
      </c>
    </row>
    <row r="2510">
      <c r="A2510" s="4" t="n">
        <v>22421</v>
      </c>
      <c r="B2510" s="5" t="n">
        <v>44658</v>
      </c>
      <c r="C2510" s="13" t="inlineStr">
        <is>
          <t>VTA</t>
        </is>
      </c>
      <c r="D2510" s="13" t="n">
        <v>41</v>
      </c>
      <c r="E2510" s="10">
        <f>IF(D2510&gt;0,VLOOKUP(OPERAC[[#This Row],[COD CART]],[1]!MatrizCortoLargoCyl[#All],3,0),"")</f>
        <v/>
      </c>
      <c r="F2510" s="13" t="inlineStr">
        <is>
          <t>GBTC</t>
        </is>
      </c>
      <c r="G2510" s="6" t="n">
        <v>15</v>
      </c>
      <c r="H2510" s="6" t="n">
        <v>-458.985</v>
      </c>
      <c r="I2510" s="7">
        <f>-H2510/G2510</f>
        <v/>
      </c>
      <c r="J2510" s="11" t="n"/>
      <c r="K2510" s="6" t="n"/>
      <c r="L2510" s="6" t="n"/>
      <c r="M2510" s="7">
        <f>IF(N2510=0,+L2510+H2510,0)</f>
        <v/>
      </c>
      <c r="N2510" s="7">
        <f>IF((+G2510-K2510)=0,0,+G2510-K2510)</f>
        <v/>
      </c>
      <c r="O2510" s="7">
        <f>IF(N2510=0,0,(L2510+H2510)/-N2510)</f>
        <v/>
      </c>
      <c r="P2510" s="7">
        <f>VLOOKUP(OPERAC[[#This Row],[especie]],[1]!ESPECIES[#All],6,0)</f>
        <v/>
      </c>
      <c r="Q2510" s="7">
        <f>IF(N2510&lt;&gt;0,P2510*N2510,0)</f>
        <v/>
      </c>
      <c r="R2510" s="8">
        <f>IF(Q2510&lt;&gt;0,Q2510+H2510+L2510,0)</f>
        <v/>
      </c>
      <c r="S2510" s="9">
        <f>VLOOKUP(OPERAC[[#This Row],[especie]],[1]!ESPECIES[#Data],9,FALSE)</f>
        <v/>
      </c>
    </row>
    <row r="2511">
      <c r="A2511" s="4" t="n">
        <v>2279</v>
      </c>
      <c r="B2511" s="5" t="n">
        <v>44669</v>
      </c>
      <c r="C2511" s="13" t="inlineStr">
        <is>
          <t>VTA</t>
        </is>
      </c>
      <c r="D2511" s="13" t="n">
        <v>32</v>
      </c>
      <c r="E2511" s="10">
        <f>IF(D2511&gt;0,VLOOKUP(OPERAC[[#This Row],[COD CART]],[1]!MatrizCortoLargoCyl[#All],3,0),"")</f>
        <v/>
      </c>
      <c r="F2511" s="13" t="inlineStr">
        <is>
          <t>HMY/CYL/5,00/15-07-22</t>
        </is>
      </c>
      <c r="G2511" s="6" t="n">
        <v>100</v>
      </c>
      <c r="H2511" s="6">
        <f>-4.64*OPERAC[[#This Row],[cantidad]]+4.958</f>
        <v/>
      </c>
      <c r="I2511" s="7">
        <f>-H2511/G2511</f>
        <v/>
      </c>
      <c r="J2511" s="11" t="n"/>
      <c r="K2511" s="6" t="n"/>
      <c r="L2511" s="6" t="n"/>
      <c r="M2511" s="7">
        <f>IF(N2511=0,+L2511+H2511,0)</f>
        <v/>
      </c>
      <c r="N2511" s="7">
        <f>IF((+G2511-K2511)=0,0,+G2511-K2511)</f>
        <v/>
      </c>
      <c r="O2511" s="7">
        <f>IF(N2511=0,0,(L2511+H2511)/-N2511)</f>
        <v/>
      </c>
      <c r="P2511" s="7">
        <f>VLOOKUP(OPERAC[[#This Row],[especie]],[1]!ESPECIES[#All],6,0)</f>
        <v/>
      </c>
      <c r="Q2511" s="7">
        <f>IF(N2511&lt;&gt;0,P2511*N2511,0)</f>
        <v/>
      </c>
      <c r="R2511" s="8">
        <f>IF(Q2511&lt;&gt;0,Q2511+H2511+L2511,0)</f>
        <v/>
      </c>
      <c r="S2511" s="9">
        <f>VLOOKUP(OPERAC[[#This Row],[especie]],[1]!ESPECIES[#Data],9,FALSE)</f>
        <v/>
      </c>
    </row>
    <row r="2512">
      <c r="A2512" s="4" t="n">
        <v>2306</v>
      </c>
      <c r="B2512" s="5" t="n">
        <v>44649</v>
      </c>
      <c r="C2512" s="13" t="inlineStr">
        <is>
          <t>VTA</t>
        </is>
      </c>
      <c r="D2512" s="13" t="n">
        <v>42</v>
      </c>
      <c r="E2512" s="10">
        <f>IF(D2512&gt;0,VLOOKUP(OPERAC[[#This Row],[COD CART]],[1]!MatrizCortoLargoCyl[#All],3,0),"")</f>
        <v/>
      </c>
      <c r="F2512" s="13" t="inlineStr">
        <is>
          <t>FB</t>
        </is>
      </c>
      <c r="G2512" s="6" t="n">
        <v>2</v>
      </c>
      <c r="H2512" s="6" t="n">
        <v>-459.8738</v>
      </c>
      <c r="I2512" s="7">
        <f>-H2512/G2512</f>
        <v/>
      </c>
      <c r="J2512" s="11" t="n">
        <v>44671</v>
      </c>
      <c r="K2512" s="6">
        <f>+OPERAC[[#This Row],[cantidad]]</f>
        <v/>
      </c>
      <c r="L2512" s="6">
        <f>+OPERAC[[#This Row],[cantidad venta]]*213.173</f>
        <v/>
      </c>
      <c r="M2512" s="7">
        <f>IF(N2512=0,+L2512+H2512,0)</f>
        <v/>
      </c>
      <c r="N2512" s="7">
        <f>IF((+G2512-K2512)=0,0,+G2512-K2512)</f>
        <v/>
      </c>
      <c r="O2512" s="7">
        <f>IF(N2512=0,0,(L2512+H2512)/-N2512)</f>
        <v/>
      </c>
      <c r="P2512" s="7">
        <f>VLOOKUP(OPERAC[[#This Row],[especie]],[1]!ESPECIES[#All],6,0)</f>
        <v/>
      </c>
      <c r="Q2512" s="7">
        <f>IF(N2512&lt;&gt;0,P2512*N2512,0)</f>
        <v/>
      </c>
      <c r="R2512" s="8">
        <f>IF(Q2512&lt;&gt;0,Q2512+H2512+L2512,0)</f>
        <v/>
      </c>
      <c r="S2512" s="9">
        <f>VLOOKUP(OPERAC[[#This Row],[especie]],[1]!ESPECIES[#Data],9,FALSE)</f>
        <v/>
      </c>
    </row>
    <row r="2513">
      <c r="A2513" s="4" t="n">
        <v>26140</v>
      </c>
      <c r="B2513" s="5" t="n">
        <v>44649</v>
      </c>
      <c r="C2513" s="13" t="inlineStr">
        <is>
          <t>VTA</t>
        </is>
      </c>
      <c r="D2513" s="13" t="n">
        <v>42</v>
      </c>
      <c r="E2513" s="10">
        <f>IF(D2513&gt;0,VLOOKUP(OPERAC[[#This Row],[COD CART]],[1]!MatrizCortoLargoCyl[#All],3,0),"")</f>
        <v/>
      </c>
      <c r="F2513" s="13" t="inlineStr">
        <is>
          <t>FB</t>
        </is>
      </c>
      <c r="G2513" s="6" t="n">
        <v>2</v>
      </c>
      <c r="H2513" s="6" t="n">
        <v>-459.8738</v>
      </c>
      <c r="I2513" s="7">
        <f>-H2513/G2513</f>
        <v/>
      </c>
      <c r="J2513" s="11" t="n">
        <v>44671</v>
      </c>
      <c r="K2513" s="6">
        <f>+OPERAC[[#This Row],[cantidad]]</f>
        <v/>
      </c>
      <c r="L2513" s="6">
        <f>+OPERAC[[#This Row],[cantidad venta]]*213.173</f>
        <v/>
      </c>
      <c r="M2513" s="7">
        <f>IF(N2513=0,+L2513+H2513,0)</f>
        <v/>
      </c>
      <c r="N2513" s="7">
        <f>IF((+G2513-K2513)=0,0,+G2513-K2513)</f>
        <v/>
      </c>
      <c r="O2513" s="7">
        <f>IF(N2513=0,0,(L2513+H2513)/-N2513)</f>
        <v/>
      </c>
      <c r="P2513" s="7">
        <f>VLOOKUP(OPERAC[[#This Row],[especie]],[1]!ESPECIES[#All],6,0)</f>
        <v/>
      </c>
      <c r="Q2513" s="7">
        <f>IF(N2513&lt;&gt;0,P2513*N2513,0)</f>
        <v/>
      </c>
      <c r="R2513" s="8">
        <f>IF(Q2513&lt;&gt;0,Q2513+H2513+L2513,0)</f>
        <v/>
      </c>
      <c r="S2513" s="9">
        <f>VLOOKUP(OPERAC[[#This Row],[especie]],[1]!ESPECIES[#Data],9,FALSE)</f>
        <v/>
      </c>
    </row>
    <row r="2514">
      <c r="A2514" s="4" t="n">
        <v>3835</v>
      </c>
      <c r="B2514" s="5" t="n">
        <v>44662</v>
      </c>
      <c r="C2514" s="13" t="inlineStr">
        <is>
          <t>VTA</t>
        </is>
      </c>
      <c r="D2514" s="13" t="n">
        <v>42</v>
      </c>
      <c r="E2514" s="10">
        <f>IF(D2514&gt;0,VLOOKUP(OPERAC[[#This Row],[COD CART]],[1]!MatrizCortoLargoCyl[#All],3,0),"")</f>
        <v/>
      </c>
      <c r="F2514" s="13" t="inlineStr">
        <is>
          <t>HYDR</t>
        </is>
      </c>
      <c r="G2514" s="6" t="n">
        <v>25</v>
      </c>
      <c r="H2514" s="6" t="n">
        <v>-461.03545</v>
      </c>
      <c r="I2514" s="7">
        <f>-H2514/G2514</f>
        <v/>
      </c>
      <c r="J2514" s="11" t="n">
        <v>44707</v>
      </c>
      <c r="K2514" s="6" t="n">
        <v>25</v>
      </c>
      <c r="L2514" s="6" t="n">
        <v>342.158</v>
      </c>
      <c r="M2514" s="7">
        <f>IF(N2514=0,+L2514+H2514,0)</f>
        <v/>
      </c>
      <c r="N2514" s="7">
        <f>IF((+G2514-K2514)=0,0,+G2514-K2514)</f>
        <v/>
      </c>
      <c r="O2514" s="7">
        <f>IF(N2514=0,0,(L2514+H2514)/-N2514)</f>
        <v/>
      </c>
      <c r="P2514" s="7">
        <f>VLOOKUP(OPERAC[[#This Row],[especie]],[1]!ESPECIES[#All],6,0)</f>
        <v/>
      </c>
      <c r="Q2514" s="7">
        <f>IF(N2514&lt;&gt;0,P2514*N2514,0)</f>
        <v/>
      </c>
      <c r="R2514" s="8">
        <f>IF(Q2514&lt;&gt;0,Q2514+H2514+L2514,0)</f>
        <v/>
      </c>
      <c r="S2514" s="9">
        <f>VLOOKUP(OPERAC[[#This Row],[especie]],[1]!ESPECIES[#Data],9,FALSE)</f>
        <v/>
      </c>
    </row>
    <row r="2515">
      <c r="A2515" s="4" t="n">
        <v>1807</v>
      </c>
      <c r="B2515" s="5" t="n">
        <v>44628</v>
      </c>
      <c r="C2515" s="13" t="inlineStr">
        <is>
          <t>VTA</t>
        </is>
      </c>
      <c r="D2515" s="13" t="n">
        <v>42</v>
      </c>
      <c r="E2515" s="10">
        <f>IF(D2515&gt;0,VLOOKUP(OPERAC[[#This Row],[COD CART]],[1]!MatrizCortoLargoCyl[#All],3,0),"")</f>
        <v/>
      </c>
      <c r="F2515" s="13" t="inlineStr">
        <is>
          <t>DDD</t>
        </is>
      </c>
      <c r="G2515" s="6" t="n">
        <v>30</v>
      </c>
      <c r="H2515" s="6" t="n">
        <v>-461.8576</v>
      </c>
      <c r="I2515" s="7">
        <f>-H2515/G2515</f>
        <v/>
      </c>
      <c r="J2515" s="11" t="n">
        <v>44641</v>
      </c>
      <c r="K2515" s="6" t="n">
        <v>30</v>
      </c>
      <c r="L2515" s="6" t="n">
        <v>463.856</v>
      </c>
      <c r="M2515" s="7">
        <f>IF(N2515=0,+L2515+H2515,0)</f>
        <v/>
      </c>
      <c r="N2515" s="7">
        <f>IF((+G2515-K2515)=0,0,+G2515-K2515)</f>
        <v/>
      </c>
      <c r="O2515" s="7">
        <f>IF(N2515=0,0,(L2515+H2515)/-N2515)</f>
        <v/>
      </c>
      <c r="P2515" s="7">
        <f>VLOOKUP(OPERAC[[#This Row],[especie]],[1]!ESPECIES[#All],6,0)</f>
        <v/>
      </c>
      <c r="Q2515" s="7">
        <f>IF(N2515&lt;&gt;0,P2515*N2515,0)</f>
        <v/>
      </c>
      <c r="R2515" s="8">
        <f>IF(Q2515&lt;&gt;0,Q2515+H2515+L2515,0)</f>
        <v/>
      </c>
      <c r="S2515" s="9">
        <f>VLOOKUP(OPERAC[[#This Row],[especie]],[1]!ESPECIES[#Data],9,FALSE)</f>
        <v/>
      </c>
    </row>
    <row r="2516">
      <c r="A2516" s="4" t="n">
        <v>1792</v>
      </c>
      <c r="B2516" s="5" t="n">
        <v>44403</v>
      </c>
      <c r="C2516" s="13" t="inlineStr">
        <is>
          <t>VTA</t>
        </is>
      </c>
      <c r="D2516" s="13" t="n">
        <v>40</v>
      </c>
      <c r="E2516" s="10">
        <f>IF(D2516&gt;0,VLOOKUP(OPERAC[[#This Row],[COD CART]],[1]!MatrizCortoLargoCyl[#All],3,0),"")</f>
        <v/>
      </c>
      <c r="F2516" s="13" t="inlineStr">
        <is>
          <t>EDU</t>
        </is>
      </c>
      <c r="G2516" s="6" t="n">
        <v>200</v>
      </c>
      <c r="H2516" s="6">
        <f>-506.53216+44.2877</f>
        <v/>
      </c>
      <c r="I2516" s="7">
        <f>-H2516/G2516</f>
        <v/>
      </c>
      <c r="J2516" s="11" t="n">
        <v>44606</v>
      </c>
      <c r="K2516" s="6" t="n">
        <v>200</v>
      </c>
      <c r="L2516" s="6" t="n">
        <v>293.993</v>
      </c>
      <c r="M2516" s="7">
        <f>IF(N2516=0,+L2516+H2516,0)</f>
        <v/>
      </c>
      <c r="N2516" s="7">
        <f>IF((+G2516-K2516)=0,0,+G2516-K2516)</f>
        <v/>
      </c>
      <c r="O2516" s="7">
        <f>IF(N2516=0,0,(L2516+H2516)/-N2516)</f>
        <v/>
      </c>
      <c r="P2516" s="7">
        <f>VLOOKUP(OPERAC[[#This Row],[especie]],[1]!ESPECIES[#All],6,0)</f>
        <v/>
      </c>
      <c r="Q2516" s="7">
        <f>IF(N2516&lt;&gt;0,P2516*N2516,0)</f>
        <v/>
      </c>
      <c r="R2516" s="8">
        <f>IF(Q2516&lt;&gt;0,Q2516+H2516+L2516,0)</f>
        <v/>
      </c>
      <c r="S2516" s="9">
        <f>VLOOKUP(OPERAC[[#This Row],[especie]],[1]!ESPECIES[#Data],9,FALSE)</f>
        <v/>
      </c>
    </row>
    <row r="2517">
      <c r="A2517" s="4" t="n">
        <v>2194</v>
      </c>
      <c r="B2517" s="5" t="n">
        <v>44697</v>
      </c>
      <c r="C2517" s="13" t="inlineStr">
        <is>
          <t>VTA</t>
        </is>
      </c>
      <c r="D2517" s="13" t="n">
        <v>32</v>
      </c>
      <c r="E2517" s="10">
        <f>IF(D2517&gt;0,VLOOKUP(OPERAC[[#This Row],[COD CART]],[1]!MatrizCortoLargoCyl[#All],3,0),"")</f>
        <v/>
      </c>
      <c r="F2517" s="13" t="inlineStr">
        <is>
          <t>TLRY/CYL/5,50/17-06-22</t>
        </is>
      </c>
      <c r="G2517" s="6" t="n">
        <v>100</v>
      </c>
      <c r="H2517" s="6">
        <f>-474.29+11.898</f>
        <v/>
      </c>
      <c r="I2517" s="7">
        <f>-H2517/G2517</f>
        <v/>
      </c>
      <c r="J2517" s="11" t="n"/>
      <c r="K2517" s="6" t="n"/>
      <c r="L2517" s="6" t="n"/>
      <c r="M2517" s="7">
        <f>IF(N2517=0,+L2517+H2517,0)</f>
        <v/>
      </c>
      <c r="N2517" s="7">
        <f>IF((+G2517-K2517)=0,0,+G2517-K2517)</f>
        <v/>
      </c>
      <c r="O2517" s="7">
        <f>IF(N2517=0,0,(L2517+H2517)/-N2517)</f>
        <v/>
      </c>
      <c r="P2517" s="7">
        <f>VLOOKUP(OPERAC[[#This Row],[especie]],[1]!ESPECIES[#All],6,0)</f>
        <v/>
      </c>
      <c r="Q2517" s="7">
        <f>IF(N2517&lt;&gt;0,P2517*N2517,0)</f>
        <v/>
      </c>
      <c r="R2517" s="8">
        <f>IF(Q2517&lt;&gt;0,Q2517+H2517+L2517,0)</f>
        <v/>
      </c>
      <c r="S2517" s="9">
        <f>VLOOKUP(OPERAC[[#This Row],[especie]],[1]!ESPECIES[#Data],9,FALSE)</f>
        <v/>
      </c>
    </row>
    <row r="2518">
      <c r="A2518" s="4" t="n">
        <v>19878</v>
      </c>
      <c r="B2518" s="5" t="n">
        <v>44650</v>
      </c>
      <c r="C2518" s="13" t="inlineStr">
        <is>
          <t>VTA</t>
        </is>
      </c>
      <c r="D2518" s="13" t="n">
        <v>42</v>
      </c>
      <c r="E2518" s="10">
        <f>IF(D2518&gt;0,VLOOKUP(OPERAC[[#This Row],[COD CART]],[1]!MatrizCortoLargoCyl[#All],3,0),"")</f>
        <v/>
      </c>
      <c r="F2518" s="13" t="inlineStr">
        <is>
          <t>SPY</t>
        </is>
      </c>
      <c r="G2518" s="6" t="n">
        <v>1</v>
      </c>
      <c r="H2518" s="6" t="n">
        <v>-462.6449200000001</v>
      </c>
      <c r="I2518" s="7">
        <f>-H2518/G2518</f>
        <v/>
      </c>
      <c r="J2518" s="11" t="n">
        <v>44693</v>
      </c>
      <c r="K2518" s="6" t="n">
        <v>1</v>
      </c>
      <c r="L2518" s="6" t="n">
        <v>385.592</v>
      </c>
      <c r="M2518" s="7">
        <f>IF(N2518=0,+L2518+H2518,0)</f>
        <v/>
      </c>
      <c r="N2518" s="7">
        <f>IF((+G2518-K2518)=0,0,+G2518-K2518)</f>
        <v/>
      </c>
      <c r="O2518" s="7">
        <f>IF(N2518=0,0,(L2518+H2518)/-N2518)</f>
        <v/>
      </c>
      <c r="P2518" s="7">
        <f>VLOOKUP(OPERAC[[#This Row],[especie]],[1]!ESPECIES[#All],6,0)</f>
        <v/>
      </c>
      <c r="Q2518" s="7">
        <f>IF(N2518&lt;&gt;0,P2518*N2518,0)</f>
        <v/>
      </c>
      <c r="R2518" s="8">
        <f>IF(Q2518&lt;&gt;0,Q2518+H2518+L2518,0)</f>
        <v/>
      </c>
      <c r="S2518" s="9">
        <f>VLOOKUP(OPERAC[[#This Row],[especie]],[1]!ESPECIES[#Data],9,FALSE)</f>
        <v/>
      </c>
    </row>
    <row r="2519">
      <c r="A2519" s="4" t="n">
        <v>13253</v>
      </c>
      <c r="B2519" s="5" t="n">
        <v>44657</v>
      </c>
      <c r="C2519" s="13" t="inlineStr">
        <is>
          <t>VTA</t>
        </is>
      </c>
      <c r="D2519" s="13" t="n">
        <v>41</v>
      </c>
      <c r="E2519" s="10">
        <f>IF(D2519&gt;0,VLOOKUP(OPERAC[[#This Row],[COD CART]],[1]!MatrizCortoLargoCyl[#All],3,0),"")</f>
        <v/>
      </c>
      <c r="F2519" s="13" t="inlineStr">
        <is>
          <t>SSYS</t>
        </is>
      </c>
      <c r="G2519" s="6" t="n">
        <v>20</v>
      </c>
      <c r="H2519" s="6" t="n">
        <v>-462.8656</v>
      </c>
      <c r="I2519" s="7">
        <f>-H2519/G2519</f>
        <v/>
      </c>
      <c r="J2519" s="11" t="n"/>
      <c r="K2519" s="6" t="n"/>
      <c r="L2519" s="6" t="n"/>
      <c r="M2519" s="7">
        <f>IF(N2519=0,+L2519+H2519,0)</f>
        <v/>
      </c>
      <c r="N2519" s="7">
        <f>IF((+G2519-K2519)=0,0,+G2519-K2519)</f>
        <v/>
      </c>
      <c r="O2519" s="7">
        <f>IF(N2519=0,0,(L2519+H2519)/-N2519)</f>
        <v/>
      </c>
      <c r="P2519" s="7">
        <f>VLOOKUP(OPERAC[[#This Row],[especie]],[1]!ESPECIES[#All],6,0)</f>
        <v/>
      </c>
      <c r="Q2519" s="7">
        <f>IF(N2519&lt;&gt;0,P2519*N2519,0)</f>
        <v/>
      </c>
      <c r="R2519" s="8">
        <f>IF(Q2519&lt;&gt;0,Q2519+H2519+L2519,0)</f>
        <v/>
      </c>
      <c r="S2519" s="9">
        <f>VLOOKUP(OPERAC[[#This Row],[especie]],[1]!ESPECIES[#Data],9,FALSE)</f>
        <v/>
      </c>
    </row>
    <row r="2520">
      <c r="A2520" s="4" t="n">
        <v>13269</v>
      </c>
      <c r="B2520" s="5" t="n">
        <v>44650</v>
      </c>
      <c r="C2520" s="13" t="inlineStr">
        <is>
          <t>VTA</t>
        </is>
      </c>
      <c r="D2520" s="13" t="n">
        <v>42</v>
      </c>
      <c r="E2520" s="10">
        <f>IF(D2520&gt;0,VLOOKUP(OPERAC[[#This Row],[COD CART]],[1]!MatrizCortoLargoCyl[#All],3,0),"")</f>
        <v/>
      </c>
      <c r="F2520" s="13" t="inlineStr">
        <is>
          <t>SPY</t>
        </is>
      </c>
      <c r="G2520" s="6" t="n">
        <v>1</v>
      </c>
      <c r="H2520" s="6" t="n">
        <v>-463.56436</v>
      </c>
      <c r="I2520" s="7">
        <f>-H2520/G2520</f>
        <v/>
      </c>
      <c r="J2520" s="11" t="n">
        <v>44693</v>
      </c>
      <c r="K2520" s="6" t="n">
        <v>1</v>
      </c>
      <c r="L2520" s="6" t="n">
        <v>386</v>
      </c>
      <c r="M2520" s="7">
        <f>IF(N2520=0,+L2520+H2520,0)</f>
        <v/>
      </c>
      <c r="N2520" s="7">
        <f>IF((+G2520-K2520)=0,0,+G2520-K2520)</f>
        <v/>
      </c>
      <c r="O2520" s="7">
        <f>IF(N2520=0,0,(L2520+H2520)/-N2520)</f>
        <v/>
      </c>
      <c r="P2520" s="7">
        <f>VLOOKUP(OPERAC[[#This Row],[especie]],[1]!ESPECIES[#All],6,0)</f>
        <v/>
      </c>
      <c r="Q2520" s="7">
        <f>IF(N2520&lt;&gt;0,P2520*N2520,0)</f>
        <v/>
      </c>
      <c r="R2520" s="8">
        <f>IF(Q2520&lt;&gt;0,Q2520+H2520+L2520,0)</f>
        <v/>
      </c>
      <c r="S2520" s="9">
        <f>VLOOKUP(OPERAC[[#This Row],[especie]],[1]!ESPECIES[#Data],9,FALSE)</f>
        <v/>
      </c>
    </row>
    <row r="2521">
      <c r="A2521" s="4" t="n">
        <v>3838</v>
      </c>
      <c r="B2521" s="5" t="n">
        <v>44536</v>
      </c>
      <c r="C2521" s="13" t="inlineStr">
        <is>
          <t>VTA</t>
        </is>
      </c>
      <c r="D2521" s="13" t="n">
        <v>40</v>
      </c>
      <c r="E2521" s="10">
        <f>IF(D2521&gt;0,VLOOKUP(OPERAC[[#This Row],[COD CART]],[1]!MatrizCortoLargoCyl[#All],3,0),"")</f>
        <v/>
      </c>
      <c r="F2521" s="13" t="inlineStr">
        <is>
          <t>UVXY</t>
        </is>
      </c>
      <c r="G2521" s="6" t="n">
        <v>20</v>
      </c>
      <c r="H2521" s="6" t="n">
        <v>-463.5784</v>
      </c>
      <c r="I2521" s="7">
        <f>-H2521/G2521</f>
        <v/>
      </c>
      <c r="J2521" s="11" t="n">
        <v>44571</v>
      </c>
      <c r="K2521" s="6">
        <f>+OPERAC[[#This Row],[cantidad]]</f>
        <v/>
      </c>
      <c r="L2521" s="6">
        <f>+OPERAC[[#This Row],[cantidad venta]]*14.135</f>
        <v/>
      </c>
      <c r="M2521" s="7">
        <f>IF(N2521=0,+L2521+H2521,0)</f>
        <v/>
      </c>
      <c r="N2521" s="7">
        <f>IF((+G2521-K2521)=0,0,+G2521-K2521)</f>
        <v/>
      </c>
      <c r="O2521" s="7">
        <f>IF(N2521=0,0,(L2521+H2521)/-N2521)</f>
        <v/>
      </c>
      <c r="P2521" s="7">
        <f>VLOOKUP(OPERAC[[#This Row],[especie]],[1]!ESPECIES[#All],6,0)</f>
        <v/>
      </c>
      <c r="Q2521" s="7">
        <f>IF(N2521&lt;&gt;0,P2521*N2521,0)</f>
        <v/>
      </c>
      <c r="R2521" s="8">
        <f>IF(Q2521&lt;&gt;0,Q2521+H2521+L2521,0)</f>
        <v/>
      </c>
      <c r="S2521" s="9">
        <f>VLOOKUP(OPERAC[[#This Row],[especie]],[1]!ESPECIES[#Data],9,FALSE)</f>
        <v/>
      </c>
    </row>
    <row r="2522">
      <c r="A2522" s="4" t="n">
        <v>1800</v>
      </c>
      <c r="B2522" s="5" t="n">
        <v>44669</v>
      </c>
      <c r="C2522" s="13" t="inlineStr">
        <is>
          <t>VTA</t>
        </is>
      </c>
      <c r="D2522" s="13" t="n">
        <v>32</v>
      </c>
      <c r="E2522" s="10">
        <f>IF(D2522&gt;0,VLOOKUP(OPERAC[[#This Row],[COD CART]],[1]!MatrizCortoLargoCyl[#All],3,0),"")</f>
        <v/>
      </c>
      <c r="F2522" s="13" t="inlineStr">
        <is>
          <t>HMY</t>
        </is>
      </c>
      <c r="G2522" s="6" t="n">
        <v>100</v>
      </c>
      <c r="H2522" s="6">
        <f>-4.64*OPERAC[[#This Row],[cantidad]]</f>
        <v/>
      </c>
      <c r="I2522" s="7">
        <f>-H2522/G2522</f>
        <v/>
      </c>
      <c r="J2522" s="11" t="n">
        <v>44704</v>
      </c>
      <c r="K2522" s="6" t="n">
        <v>100</v>
      </c>
      <c r="L2522" s="6" t="n">
        <v>366.902</v>
      </c>
      <c r="M2522" s="7">
        <f>IF(N2522=0,+L2522+H2522,0)</f>
        <v/>
      </c>
      <c r="N2522" s="7">
        <f>IF((+G2522-K2522)=0,0,+G2522-K2522)</f>
        <v/>
      </c>
      <c r="O2522" s="7">
        <f>IF(N2522=0,0,(L2522+H2522)/-N2522)</f>
        <v/>
      </c>
      <c r="P2522" s="7">
        <f>VLOOKUP(OPERAC[[#This Row],[especie]],[1]!ESPECIES[#All],6,0)</f>
        <v/>
      </c>
      <c r="Q2522" s="7">
        <f>IF(N2522&lt;&gt;0,P2522*N2522,0)</f>
        <v/>
      </c>
      <c r="R2522" s="8">
        <f>IF(Q2522&lt;&gt;0,Q2522+H2522+L2522,0)</f>
        <v/>
      </c>
      <c r="S2522" s="9">
        <f>VLOOKUP(OPERAC[[#This Row],[especie]],[1]!ESPECIES[#Data],9,FALSE)</f>
        <v/>
      </c>
    </row>
    <row r="2523">
      <c r="A2523" s="4" t="n">
        <v>12611</v>
      </c>
      <c r="B2523" s="5" t="n">
        <v>44669</v>
      </c>
      <c r="C2523" s="13" t="inlineStr">
        <is>
          <t>VTA</t>
        </is>
      </c>
      <c r="D2523" s="13" t="n">
        <v>32</v>
      </c>
      <c r="E2523" s="10">
        <f>IF(D2523&gt;0,VLOOKUP(OPERAC[[#This Row],[COD CART]],[1]!MatrizCortoLargoCyl[#All],3,0),"")</f>
        <v/>
      </c>
      <c r="F2523" s="13" t="inlineStr">
        <is>
          <t>HMY</t>
        </is>
      </c>
      <c r="G2523" s="6" t="n">
        <v>100</v>
      </c>
      <c r="H2523" s="6">
        <f>-4.64*OPERAC[[#This Row],[cantidad]]</f>
        <v/>
      </c>
      <c r="I2523" s="7">
        <f>-H2523/G2523</f>
        <v/>
      </c>
      <c r="J2523" s="11" t="n"/>
      <c r="K2523" s="6" t="n"/>
      <c r="L2523" s="6" t="n"/>
      <c r="M2523" s="7">
        <f>IF(N2523=0,+L2523+H2523,0)</f>
        <v/>
      </c>
      <c r="N2523" s="7">
        <f>IF((+G2523-K2523)=0,0,+G2523-K2523)</f>
        <v/>
      </c>
      <c r="O2523" s="7">
        <f>IF(N2523=0,0,(L2523+H2523)/-N2523)</f>
        <v/>
      </c>
      <c r="P2523" s="7">
        <f>VLOOKUP(OPERAC[[#This Row],[especie]],[1]!ESPECIES[#All],6,0)</f>
        <v/>
      </c>
      <c r="Q2523" s="7">
        <f>IF(N2523&lt;&gt;0,P2523*N2523,0)</f>
        <v/>
      </c>
      <c r="R2523" s="8">
        <f>IF(Q2523&lt;&gt;0,Q2523+H2523+L2523,0)</f>
        <v/>
      </c>
      <c r="S2523" s="9">
        <f>VLOOKUP(OPERAC[[#This Row],[especie]],[1]!ESPECIES[#Data],9,FALSE)</f>
        <v/>
      </c>
    </row>
    <row r="2524">
      <c r="A2524" s="4" t="n">
        <v>2306</v>
      </c>
      <c r="B2524" s="5" t="n">
        <v>44669</v>
      </c>
      <c r="C2524" s="13" t="inlineStr">
        <is>
          <t>VTA</t>
        </is>
      </c>
      <c r="D2524" s="13" t="n">
        <v>32</v>
      </c>
      <c r="E2524" s="10">
        <f>IF(D2524&gt;0,VLOOKUP(OPERAC[[#This Row],[COD CART]],[1]!MatrizCortoLargoCyl[#All],3,0),"")</f>
        <v/>
      </c>
      <c r="F2524" s="13" t="inlineStr">
        <is>
          <t>HMY</t>
        </is>
      </c>
      <c r="G2524" s="6" t="n">
        <v>100</v>
      </c>
      <c r="H2524" s="6">
        <f>-4.64*OPERAC[[#This Row],[cantidad]]</f>
        <v/>
      </c>
      <c r="I2524" s="7">
        <f>-H2524/G2524</f>
        <v/>
      </c>
      <c r="J2524" s="11" t="n">
        <v>44704</v>
      </c>
      <c r="K2524" s="6" t="n">
        <v>100</v>
      </c>
      <c r="L2524" s="6">
        <f>+OPERAC[[#This Row],[cantidad venta]]*3.669</f>
        <v/>
      </c>
      <c r="M2524" s="7">
        <f>IF(N2524=0,+L2524+H2524,0)</f>
        <v/>
      </c>
      <c r="N2524" s="7">
        <f>IF((+G2524-K2524)=0,0,+G2524-K2524)</f>
        <v/>
      </c>
      <c r="O2524" s="7">
        <f>IF(N2524=0,0,(L2524+H2524)/-N2524)</f>
        <v/>
      </c>
      <c r="P2524" s="7">
        <f>VLOOKUP(OPERAC[[#This Row],[especie]],[1]!ESPECIES[#All],6,0)</f>
        <v/>
      </c>
      <c r="Q2524" s="7">
        <f>IF(N2524&lt;&gt;0,P2524*N2524,0)</f>
        <v/>
      </c>
      <c r="R2524" s="8">
        <f>IF(Q2524&lt;&gt;0,Q2524+H2524+L2524,0)</f>
        <v/>
      </c>
      <c r="S2524" s="9">
        <f>VLOOKUP(OPERAC[[#This Row],[especie]],[1]!ESPECIES[#Data],9,FALSE)</f>
        <v/>
      </c>
    </row>
    <row r="2525">
      <c r="A2525" s="4" t="n">
        <v>7493</v>
      </c>
      <c r="B2525" s="5" t="n">
        <v>44669</v>
      </c>
      <c r="C2525" s="13" t="inlineStr">
        <is>
          <t>VTA</t>
        </is>
      </c>
      <c r="D2525" s="13" t="n">
        <v>32</v>
      </c>
      <c r="E2525" s="10">
        <f>IF(D2525&gt;0,VLOOKUP(OPERAC[[#This Row],[COD CART]],[1]!MatrizCortoLargoCyl[#All],3,0),"")</f>
        <v/>
      </c>
      <c r="F2525" s="13" t="inlineStr">
        <is>
          <t>HMY</t>
        </is>
      </c>
      <c r="G2525" s="6" t="n">
        <v>100</v>
      </c>
      <c r="H2525" s="6">
        <f>-4.64*OPERAC[[#This Row],[cantidad]]</f>
        <v/>
      </c>
      <c r="I2525" s="7">
        <f>-H2525/G2525</f>
        <v/>
      </c>
      <c r="J2525" s="11" t="n"/>
      <c r="K2525" s="6" t="n"/>
      <c r="L2525" s="6" t="n"/>
      <c r="M2525" s="7">
        <f>IF(N2525=0,+L2525+H2525,0)</f>
        <v/>
      </c>
      <c r="N2525" s="7">
        <f>IF((+G2525-K2525)=0,0,+G2525-K2525)</f>
        <v/>
      </c>
      <c r="O2525" s="7">
        <f>IF(N2525=0,0,(L2525+H2525)/-N2525)</f>
        <v/>
      </c>
      <c r="P2525" s="7">
        <f>VLOOKUP(OPERAC[[#This Row],[especie]],[1]!ESPECIES[#All],6,0)</f>
        <v/>
      </c>
      <c r="Q2525" s="7">
        <f>IF(N2525&lt;&gt;0,P2525*N2525,0)</f>
        <v/>
      </c>
      <c r="R2525" s="8">
        <f>IF(Q2525&lt;&gt;0,Q2525+H2525+L2525,0)</f>
        <v/>
      </c>
      <c r="S2525" s="9">
        <f>VLOOKUP(OPERAC[[#This Row],[especie]],[1]!ESPECIES[#Data],9,FALSE)</f>
        <v/>
      </c>
    </row>
    <row r="2526">
      <c r="A2526" s="4" t="n">
        <v>7867</v>
      </c>
      <c r="B2526" s="5" t="n">
        <v>44669</v>
      </c>
      <c r="C2526" s="13" t="inlineStr">
        <is>
          <t>VTA</t>
        </is>
      </c>
      <c r="D2526" s="13" t="n">
        <v>32</v>
      </c>
      <c r="E2526" s="10">
        <f>IF(D2526&gt;0,VLOOKUP(OPERAC[[#This Row],[COD CART]],[1]!MatrizCortoLargoCyl[#All],3,0),"")</f>
        <v/>
      </c>
      <c r="F2526" s="13" t="inlineStr">
        <is>
          <t>HMY</t>
        </is>
      </c>
      <c r="G2526" s="6" t="n">
        <v>100</v>
      </c>
      <c r="H2526" s="6">
        <f>-4.64*OPERAC[[#This Row],[cantidad]]</f>
        <v/>
      </c>
      <c r="I2526" s="7">
        <f>-H2526/G2526</f>
        <v/>
      </c>
      <c r="J2526" s="11" t="n">
        <v>44712</v>
      </c>
      <c r="K2526" s="6" t="n">
        <v>100</v>
      </c>
      <c r="L2526" s="6" t="n">
        <v>360.113</v>
      </c>
      <c r="M2526" s="7">
        <f>IF(N2526=0,+L2526+H2526,0)</f>
        <v/>
      </c>
      <c r="N2526" s="7">
        <f>IF((+G2526-K2526)=0,0,+G2526-K2526)</f>
        <v/>
      </c>
      <c r="O2526" s="7">
        <f>IF(N2526=0,0,(L2526+H2526)/-N2526)</f>
        <v/>
      </c>
      <c r="P2526" s="7">
        <f>VLOOKUP(OPERAC[[#This Row],[especie]],[1]!ESPECIES[#All],6,0)</f>
        <v/>
      </c>
      <c r="Q2526" s="7">
        <f>IF(N2526&lt;&gt;0,P2526*N2526,0)</f>
        <v/>
      </c>
      <c r="R2526" s="8">
        <f>IF(Q2526&lt;&gt;0,Q2526+H2526+L2526,0)</f>
        <v/>
      </c>
      <c r="S2526" s="9">
        <f>VLOOKUP(OPERAC[[#This Row],[especie]],[1]!ESPECIES[#Data],9,FALSE)</f>
        <v/>
      </c>
    </row>
    <row r="2527">
      <c r="A2527" s="4" t="n">
        <v>7879</v>
      </c>
      <c r="B2527" s="5" t="n">
        <v>44669</v>
      </c>
      <c r="C2527" s="13" t="inlineStr">
        <is>
          <t>VTA</t>
        </is>
      </c>
      <c r="D2527" s="13" t="n">
        <v>32</v>
      </c>
      <c r="E2527" s="10">
        <f>IF(D2527&gt;0,VLOOKUP(OPERAC[[#This Row],[COD CART]],[1]!MatrizCortoLargoCyl[#All],3,0),"")</f>
        <v/>
      </c>
      <c r="F2527" s="13" t="inlineStr">
        <is>
          <t>HMY</t>
        </is>
      </c>
      <c r="G2527" s="6" t="n">
        <v>100</v>
      </c>
      <c r="H2527" s="6">
        <f>-4.64*OPERAC[[#This Row],[cantidad]]</f>
        <v/>
      </c>
      <c r="I2527" s="7">
        <f>-H2527/G2527</f>
        <v/>
      </c>
      <c r="J2527" s="11" t="n"/>
      <c r="K2527" s="6" t="n"/>
      <c r="L2527" s="6" t="n"/>
      <c r="M2527" s="7">
        <f>IF(N2527=0,+L2527+H2527,0)</f>
        <v/>
      </c>
      <c r="N2527" s="7">
        <f>IF((+G2527-K2527)=0,0,+G2527-K2527)</f>
        <v/>
      </c>
      <c r="O2527" s="7">
        <f>IF(N2527=0,0,(L2527+H2527)/-N2527)</f>
        <v/>
      </c>
      <c r="P2527" s="7">
        <f>VLOOKUP(OPERAC[[#This Row],[especie]],[1]!ESPECIES[#All],6,0)</f>
        <v/>
      </c>
      <c r="Q2527" s="7">
        <f>IF(N2527&lt;&gt;0,P2527*N2527,0)</f>
        <v/>
      </c>
      <c r="R2527" s="8">
        <f>IF(Q2527&lt;&gt;0,Q2527+H2527+L2527,0)</f>
        <v/>
      </c>
      <c r="S2527" s="9">
        <f>VLOOKUP(OPERAC[[#This Row],[especie]],[1]!ESPECIES[#Data],9,FALSE)</f>
        <v/>
      </c>
    </row>
    <row r="2528">
      <c r="A2528" s="4" t="n">
        <v>7925</v>
      </c>
      <c r="B2528" s="5" t="n">
        <v>44669</v>
      </c>
      <c r="C2528" s="13" t="inlineStr">
        <is>
          <t>VTA</t>
        </is>
      </c>
      <c r="D2528" s="13" t="n">
        <v>32</v>
      </c>
      <c r="E2528" s="10">
        <f>IF(D2528&gt;0,VLOOKUP(OPERAC[[#This Row],[COD CART]],[1]!MatrizCortoLargoCyl[#All],3,0),"")</f>
        <v/>
      </c>
      <c r="F2528" s="13" t="inlineStr">
        <is>
          <t>HMY/CYL/5,00/20-05-22</t>
        </is>
      </c>
      <c r="G2528" s="6" t="n">
        <v>100</v>
      </c>
      <c r="H2528" s="6">
        <f>-4.64*OPERAC[[#This Row],[cantidad]]</f>
        <v/>
      </c>
      <c r="I2528" s="7">
        <f>-H2528/G2528</f>
        <v/>
      </c>
      <c r="J2528" s="11" t="n">
        <v>44691</v>
      </c>
      <c r="K2528" s="6" t="n">
        <v>100</v>
      </c>
      <c r="L2528" s="6" t="n">
        <v>362.889</v>
      </c>
      <c r="M2528" s="7">
        <f>IF(N2528=0,+L2528+H2528,0)</f>
        <v/>
      </c>
      <c r="N2528" s="7">
        <f>IF((+G2528-K2528)=0,0,+G2528-K2528)</f>
        <v/>
      </c>
      <c r="O2528" s="7">
        <f>IF(N2528=0,0,(L2528+H2528)/-N2528)</f>
        <v/>
      </c>
      <c r="P2528" s="7">
        <f>VLOOKUP(OPERAC[[#This Row],[especie]],[1]!ESPECIES[#All],6,0)</f>
        <v/>
      </c>
      <c r="Q2528" s="7">
        <f>IF(N2528&lt;&gt;0,P2528*N2528,0)</f>
        <v/>
      </c>
      <c r="R2528" s="8">
        <f>IF(Q2528&lt;&gt;0,Q2528+H2528+L2528,0)</f>
        <v/>
      </c>
      <c r="S2528" s="9">
        <f>VLOOKUP(OPERAC[[#This Row],[especie]],[1]!ESPECIES[#Data],9,FALSE)</f>
        <v/>
      </c>
    </row>
    <row r="2529">
      <c r="A2529" s="4" t="n">
        <v>11168</v>
      </c>
      <c r="B2529" s="5" t="n">
        <v>44669</v>
      </c>
      <c r="C2529" s="13" t="inlineStr">
        <is>
          <t>VTA</t>
        </is>
      </c>
      <c r="D2529" s="13" t="n">
        <v>32</v>
      </c>
      <c r="E2529" s="10">
        <f>IF(D2529&gt;0,VLOOKUP(OPERAC[[#This Row],[COD CART]],[1]!MatrizCortoLargoCyl[#All],3,0),"")</f>
        <v/>
      </c>
      <c r="F2529" s="13" t="inlineStr">
        <is>
          <t>HMY</t>
        </is>
      </c>
      <c r="G2529" s="6" t="n">
        <v>100</v>
      </c>
      <c r="H2529" s="6">
        <f>-4.64*OPERAC[[#This Row],[cantidad]]</f>
        <v/>
      </c>
      <c r="I2529" s="7">
        <f>-H2529/G2529</f>
        <v/>
      </c>
      <c r="J2529" s="11" t="n">
        <v>44713</v>
      </c>
      <c r="K2529" s="6" t="n">
        <v>100</v>
      </c>
      <c r="L2529" s="6" t="n">
        <v>331.359</v>
      </c>
      <c r="M2529" s="7">
        <f>IF(N2529=0,+L2529+H2529,0)</f>
        <v/>
      </c>
      <c r="N2529" s="7">
        <f>IF((+G2529-K2529)=0,0,+G2529-K2529)</f>
        <v/>
      </c>
      <c r="O2529" s="7">
        <f>IF(N2529=0,0,(L2529+H2529)/-N2529)</f>
        <v/>
      </c>
      <c r="P2529" s="7">
        <f>VLOOKUP(OPERAC[[#This Row],[especie]],[1]!ESPECIES[#All],6,0)</f>
        <v/>
      </c>
      <c r="Q2529" s="7">
        <f>IF(N2529&lt;&gt;0,P2529*N2529,0)</f>
        <v/>
      </c>
      <c r="R2529" s="8">
        <f>IF(Q2529&lt;&gt;0,Q2529+H2529+L2529,0)</f>
        <v/>
      </c>
      <c r="S2529" s="9">
        <f>VLOOKUP(OPERAC[[#This Row],[especie]],[1]!ESPECIES[#Data],9,FALSE)</f>
        <v/>
      </c>
    </row>
    <row r="2530">
      <c r="A2530" s="4" t="n">
        <v>11170</v>
      </c>
      <c r="B2530" s="5" t="n">
        <v>44669</v>
      </c>
      <c r="C2530" s="13" t="inlineStr">
        <is>
          <t>VTA</t>
        </is>
      </c>
      <c r="D2530" s="13" t="n">
        <v>32</v>
      </c>
      <c r="E2530" s="10">
        <f>IF(D2530&gt;0,VLOOKUP(OPERAC[[#This Row],[COD CART]],[1]!MatrizCortoLargoCyl[#All],3,0),"")</f>
        <v/>
      </c>
      <c r="F2530" s="13" t="inlineStr">
        <is>
          <t>HMY</t>
        </is>
      </c>
      <c r="G2530" s="6" t="n">
        <v>100</v>
      </c>
      <c r="H2530" s="6">
        <f>-4.64*OPERAC[[#This Row],[cantidad]]</f>
        <v/>
      </c>
      <c r="I2530" s="7">
        <f>-H2530/G2530</f>
        <v/>
      </c>
      <c r="J2530" s="11" t="n"/>
      <c r="K2530" s="6" t="n"/>
      <c r="L2530" s="6" t="n"/>
      <c r="M2530" s="7">
        <f>IF(N2530=0,+L2530+H2530,0)</f>
        <v/>
      </c>
      <c r="N2530" s="7">
        <f>IF((+G2530-K2530)=0,0,+G2530-K2530)</f>
        <v/>
      </c>
      <c r="O2530" s="7">
        <f>IF(N2530=0,0,(L2530+H2530)/-N2530)</f>
        <v/>
      </c>
      <c r="P2530" s="7">
        <f>VLOOKUP(OPERAC[[#This Row],[especie]],[1]!ESPECIES[#All],6,0)</f>
        <v/>
      </c>
      <c r="Q2530" s="7">
        <f>IF(N2530&lt;&gt;0,P2530*N2530,0)</f>
        <v/>
      </c>
      <c r="R2530" s="8">
        <f>IF(Q2530&lt;&gt;0,Q2530+H2530+L2530,0)</f>
        <v/>
      </c>
      <c r="S2530" s="9">
        <f>VLOOKUP(OPERAC[[#This Row],[especie]],[1]!ESPECIES[#Data],9,FALSE)</f>
        <v/>
      </c>
    </row>
    <row r="2531">
      <c r="A2531" s="4" t="n">
        <v>12671</v>
      </c>
      <c r="B2531" s="5" t="n">
        <v>44669</v>
      </c>
      <c r="C2531" s="13" t="inlineStr">
        <is>
          <t>VTA</t>
        </is>
      </c>
      <c r="D2531" s="13" t="n">
        <v>32</v>
      </c>
      <c r="E2531" s="10">
        <f>IF(D2531&gt;0,VLOOKUP(OPERAC[[#This Row],[COD CART]],[1]!MatrizCortoLargoCyl[#All],3,0),"")</f>
        <v/>
      </c>
      <c r="F2531" s="13" t="inlineStr">
        <is>
          <t>HMY</t>
        </is>
      </c>
      <c r="G2531" s="6" t="n">
        <v>100</v>
      </c>
      <c r="H2531" s="6">
        <f>-4.64*OPERAC[[#This Row],[cantidad]]</f>
        <v/>
      </c>
      <c r="I2531" s="7">
        <f>-H2531/G2531</f>
        <v/>
      </c>
      <c r="J2531" s="11" t="n"/>
      <c r="K2531" s="6" t="n"/>
      <c r="L2531" s="6" t="n"/>
      <c r="M2531" s="7">
        <f>IF(N2531=0,+L2531+H2531,0)</f>
        <v/>
      </c>
      <c r="N2531" s="7">
        <f>IF((+G2531-K2531)=0,0,+G2531-K2531)</f>
        <v/>
      </c>
      <c r="O2531" s="7">
        <f>IF(N2531=0,0,(L2531+H2531)/-N2531)</f>
        <v/>
      </c>
      <c r="P2531" s="7">
        <f>VLOOKUP(OPERAC[[#This Row],[especie]],[1]!ESPECIES[#All],6,0)</f>
        <v/>
      </c>
      <c r="Q2531" s="7">
        <f>IF(N2531&lt;&gt;0,P2531*N2531,0)</f>
        <v/>
      </c>
      <c r="R2531" s="8">
        <f>IF(Q2531&lt;&gt;0,Q2531+H2531+L2531,0)</f>
        <v/>
      </c>
      <c r="S2531" s="9">
        <f>VLOOKUP(OPERAC[[#This Row],[especie]],[1]!ESPECIES[#Data],9,FALSE)</f>
        <v/>
      </c>
    </row>
    <row r="2532">
      <c r="A2532" s="4" t="n">
        <v>13238</v>
      </c>
      <c r="B2532" s="5" t="n">
        <v>44669</v>
      </c>
      <c r="C2532" s="13" t="inlineStr">
        <is>
          <t>VTA</t>
        </is>
      </c>
      <c r="D2532" s="13" t="n">
        <v>32</v>
      </c>
      <c r="E2532" s="10">
        <f>IF(D2532&gt;0,VLOOKUP(OPERAC[[#This Row],[COD CART]],[1]!MatrizCortoLargoCyl[#All],3,0),"")</f>
        <v/>
      </c>
      <c r="F2532" s="13" t="inlineStr">
        <is>
          <t>HMY</t>
        </is>
      </c>
      <c r="G2532" s="6" t="n">
        <v>100</v>
      </c>
      <c r="H2532" s="6">
        <f>-4.64*OPERAC[[#This Row],[cantidad]]</f>
        <v/>
      </c>
      <c r="I2532" s="7">
        <f>-H2532/G2532</f>
        <v/>
      </c>
      <c r="J2532" s="11" t="n"/>
      <c r="K2532" s="6" t="n"/>
      <c r="L2532" s="6" t="n"/>
      <c r="M2532" s="7">
        <f>IF(N2532=0,+L2532+H2532,0)</f>
        <v/>
      </c>
      <c r="N2532" s="7">
        <f>IF((+G2532-K2532)=0,0,+G2532-K2532)</f>
        <v/>
      </c>
      <c r="O2532" s="7">
        <f>IF(N2532=0,0,(L2532+H2532)/-N2532)</f>
        <v/>
      </c>
      <c r="P2532" s="7">
        <f>VLOOKUP(OPERAC[[#This Row],[especie]],[1]!ESPECIES[#All],6,0)</f>
        <v/>
      </c>
      <c r="Q2532" s="7">
        <f>IF(N2532&lt;&gt;0,P2532*N2532,0)</f>
        <v/>
      </c>
      <c r="R2532" s="8">
        <f>IF(Q2532&lt;&gt;0,Q2532+H2532+L2532,0)</f>
        <v/>
      </c>
      <c r="S2532" s="9">
        <f>VLOOKUP(OPERAC[[#This Row],[especie]],[1]!ESPECIES[#Data],9,FALSE)</f>
        <v/>
      </c>
    </row>
    <row r="2533">
      <c r="A2533" s="4" t="n">
        <v>16776</v>
      </c>
      <c r="B2533" s="5" t="n">
        <v>44669</v>
      </c>
      <c r="C2533" s="13" t="inlineStr">
        <is>
          <t>VTA</t>
        </is>
      </c>
      <c r="D2533" s="13" t="n">
        <v>32</v>
      </c>
      <c r="E2533" s="10">
        <f>IF(D2533&gt;0,VLOOKUP(OPERAC[[#This Row],[COD CART]],[1]!MatrizCortoLargoCyl[#All],3,0),"")</f>
        <v/>
      </c>
      <c r="F2533" s="13" t="inlineStr">
        <is>
          <t>HMY</t>
        </is>
      </c>
      <c r="G2533" s="6" t="n">
        <v>100</v>
      </c>
      <c r="H2533" s="6">
        <f>-4.64*OPERAC[[#This Row],[cantidad]]</f>
        <v/>
      </c>
      <c r="I2533" s="7">
        <f>-H2533/G2533</f>
        <v/>
      </c>
      <c r="J2533" s="11" t="n"/>
      <c r="K2533" s="6" t="n"/>
      <c r="L2533" s="6" t="n"/>
      <c r="M2533" s="7">
        <f>IF(N2533=0,+L2533+H2533,0)</f>
        <v/>
      </c>
      <c r="N2533" s="7">
        <f>IF((+G2533-K2533)=0,0,+G2533-K2533)</f>
        <v/>
      </c>
      <c r="O2533" s="7">
        <f>IF(N2533=0,0,(L2533+H2533)/-N2533)</f>
        <v/>
      </c>
      <c r="P2533" s="7">
        <f>VLOOKUP(OPERAC[[#This Row],[especie]],[1]!ESPECIES[#All],6,0)</f>
        <v/>
      </c>
      <c r="Q2533" s="7">
        <f>IF(N2533&lt;&gt;0,P2533*N2533,0)</f>
        <v/>
      </c>
      <c r="R2533" s="8">
        <f>IF(Q2533&lt;&gt;0,Q2533+H2533+L2533,0)</f>
        <v/>
      </c>
      <c r="S2533" s="9">
        <f>VLOOKUP(OPERAC[[#This Row],[especie]],[1]!ESPECIES[#Data],9,FALSE)</f>
        <v/>
      </c>
    </row>
    <row r="2534">
      <c r="A2534" s="4" t="n">
        <v>16818</v>
      </c>
      <c r="B2534" s="5" t="n">
        <v>44669</v>
      </c>
      <c r="C2534" s="13" t="inlineStr">
        <is>
          <t>VTA</t>
        </is>
      </c>
      <c r="D2534" s="13" t="n">
        <v>32</v>
      </c>
      <c r="E2534" s="10">
        <f>IF(D2534&gt;0,VLOOKUP(OPERAC[[#This Row],[COD CART]],[1]!MatrizCortoLargoCyl[#All],3,0),"")</f>
        <v/>
      </c>
      <c r="F2534" s="13" t="inlineStr">
        <is>
          <t>HMY</t>
        </is>
      </c>
      <c r="G2534" s="6" t="n">
        <v>100</v>
      </c>
      <c r="H2534" s="6">
        <f>-4.64*OPERAC[[#This Row],[cantidad]]</f>
        <v/>
      </c>
      <c r="I2534" s="7">
        <f>-H2534/G2534</f>
        <v/>
      </c>
      <c r="J2534" s="11" t="n"/>
      <c r="K2534" s="6" t="n"/>
      <c r="L2534" s="6" t="n"/>
      <c r="M2534" s="7">
        <f>IF(N2534=0,+L2534+H2534,0)</f>
        <v/>
      </c>
      <c r="N2534" s="7">
        <f>IF((+G2534-K2534)=0,0,+G2534-K2534)</f>
        <v/>
      </c>
      <c r="O2534" s="7">
        <f>IF(N2534=0,0,(L2534+H2534)/-N2534)</f>
        <v/>
      </c>
      <c r="P2534" s="7">
        <f>VLOOKUP(OPERAC[[#This Row],[especie]],[1]!ESPECIES[#All],6,0)</f>
        <v/>
      </c>
      <c r="Q2534" s="7">
        <f>IF(N2534&lt;&gt;0,P2534*N2534,0)</f>
        <v/>
      </c>
      <c r="R2534" s="8">
        <f>IF(Q2534&lt;&gt;0,Q2534+H2534+L2534,0)</f>
        <v/>
      </c>
      <c r="S2534" s="9">
        <f>VLOOKUP(OPERAC[[#This Row],[especie]],[1]!ESPECIES[#Data],9,FALSE)</f>
        <v/>
      </c>
    </row>
    <row r="2535">
      <c r="A2535" s="4" t="n">
        <v>18662</v>
      </c>
      <c r="B2535" s="5" t="n">
        <v>44669</v>
      </c>
      <c r="C2535" s="13" t="inlineStr">
        <is>
          <t>VTA</t>
        </is>
      </c>
      <c r="D2535" s="13" t="n">
        <v>32</v>
      </c>
      <c r="E2535" s="10">
        <f>IF(D2535&gt;0,VLOOKUP(OPERAC[[#This Row],[COD CART]],[1]!MatrizCortoLargoCyl[#All],3,0),"")</f>
        <v/>
      </c>
      <c r="F2535" s="13" t="inlineStr">
        <is>
          <t>HMY</t>
        </is>
      </c>
      <c r="G2535" s="6" t="n">
        <v>100</v>
      </c>
      <c r="H2535" s="6">
        <f>-4.64*OPERAC[[#This Row],[cantidad]]</f>
        <v/>
      </c>
      <c r="I2535" s="7">
        <f>-H2535/G2535</f>
        <v/>
      </c>
      <c r="J2535" s="11" t="n">
        <v>44713</v>
      </c>
      <c r="K2535" s="6" t="n">
        <v>100</v>
      </c>
      <c r="L2535" s="6" t="n">
        <v>332.145</v>
      </c>
      <c r="M2535" s="7">
        <f>IF(N2535=0,+L2535+H2535,0)</f>
        <v/>
      </c>
      <c r="N2535" s="7">
        <f>IF((+G2535-K2535)=0,0,+G2535-K2535)</f>
        <v/>
      </c>
      <c r="O2535" s="7">
        <f>IF(N2535=0,0,(L2535+H2535)/-N2535)</f>
        <v/>
      </c>
      <c r="P2535" s="7">
        <f>VLOOKUP(OPERAC[[#This Row],[especie]],[1]!ESPECIES[#All],6,0)</f>
        <v/>
      </c>
      <c r="Q2535" s="7">
        <f>IF(N2535&lt;&gt;0,P2535*N2535,0)</f>
        <v/>
      </c>
      <c r="R2535" s="8">
        <f>IF(Q2535&lt;&gt;0,Q2535+H2535+L2535,0)</f>
        <v/>
      </c>
      <c r="S2535" s="9">
        <f>VLOOKUP(OPERAC[[#This Row],[especie]],[1]!ESPECIES[#Data],9,FALSE)</f>
        <v/>
      </c>
    </row>
    <row r="2536">
      <c r="A2536" s="4" t="n">
        <v>18677</v>
      </c>
      <c r="B2536" s="5" t="n">
        <v>44669</v>
      </c>
      <c r="C2536" s="13" t="inlineStr">
        <is>
          <t>VTA</t>
        </is>
      </c>
      <c r="D2536" s="13" t="n">
        <v>32</v>
      </c>
      <c r="E2536" s="10">
        <f>IF(D2536&gt;0,VLOOKUP(OPERAC[[#This Row],[COD CART]],[1]!MatrizCortoLargoCyl[#All],3,0),"")</f>
        <v/>
      </c>
      <c r="F2536" s="13" t="inlineStr">
        <is>
          <t>HMY</t>
        </is>
      </c>
      <c r="G2536" s="6" t="n">
        <v>100</v>
      </c>
      <c r="H2536" s="6">
        <f>-4.64*OPERAC[[#This Row],[cantidad]]</f>
        <v/>
      </c>
      <c r="I2536" s="7">
        <f>-H2536/G2536</f>
        <v/>
      </c>
      <c r="J2536" s="11" t="n">
        <v>44722</v>
      </c>
      <c r="K2536" s="6" t="n">
        <v>100</v>
      </c>
      <c r="L2536" s="6" t="n">
        <v>341.572</v>
      </c>
      <c r="M2536" s="7">
        <f>IF(N2536=0,+L2536+H2536,0)</f>
        <v/>
      </c>
      <c r="N2536" s="7">
        <f>IF((+G2536-K2536)=0,0,+G2536-K2536)</f>
        <v/>
      </c>
      <c r="O2536" s="7">
        <f>IF(N2536=0,0,(L2536+H2536)/-N2536)</f>
        <v/>
      </c>
      <c r="P2536" s="7">
        <f>VLOOKUP(OPERAC[[#This Row],[especie]],[1]!ESPECIES[#All],6,0)</f>
        <v/>
      </c>
      <c r="Q2536" s="7">
        <f>IF(N2536&lt;&gt;0,P2536*N2536,0)</f>
        <v/>
      </c>
      <c r="R2536" s="8">
        <f>IF(Q2536&lt;&gt;0,Q2536+H2536+L2536,0)</f>
        <v/>
      </c>
      <c r="S2536" s="9">
        <f>VLOOKUP(OPERAC[[#This Row],[especie]],[1]!ESPECIES[#Data],9,FALSE)</f>
        <v/>
      </c>
    </row>
    <row r="2537">
      <c r="A2537" s="4" t="n">
        <v>18697</v>
      </c>
      <c r="B2537" s="5" t="n">
        <v>44669</v>
      </c>
      <c r="C2537" s="13" t="inlineStr">
        <is>
          <t>VTA</t>
        </is>
      </c>
      <c r="D2537" s="13" t="n">
        <v>32</v>
      </c>
      <c r="E2537" s="10">
        <f>IF(D2537&gt;0,VLOOKUP(OPERAC[[#This Row],[COD CART]],[1]!MatrizCortoLargoCyl[#All],3,0),"")</f>
        <v/>
      </c>
      <c r="F2537" s="13" t="inlineStr">
        <is>
          <t>HMY</t>
        </is>
      </c>
      <c r="G2537" s="6" t="n">
        <v>100</v>
      </c>
      <c r="H2537" s="6">
        <f>-4.64*OPERAC[[#This Row],[cantidad]]</f>
        <v/>
      </c>
      <c r="I2537" s="7">
        <f>-H2537/G2537</f>
        <v/>
      </c>
      <c r="J2537" s="11" t="n"/>
      <c r="K2537" s="6" t="n"/>
      <c r="L2537" s="6" t="n"/>
      <c r="M2537" s="7">
        <f>IF(N2537=0,+L2537+H2537,0)</f>
        <v/>
      </c>
      <c r="N2537" s="7">
        <f>IF((+G2537-K2537)=0,0,+G2537-K2537)</f>
        <v/>
      </c>
      <c r="O2537" s="7">
        <f>IF(N2537=0,0,(L2537+H2537)/-N2537)</f>
        <v/>
      </c>
      <c r="P2537" s="7">
        <f>VLOOKUP(OPERAC[[#This Row],[especie]],[1]!ESPECIES[#All],6,0)</f>
        <v/>
      </c>
      <c r="Q2537" s="7">
        <f>IF(N2537&lt;&gt;0,P2537*N2537,0)</f>
        <v/>
      </c>
      <c r="R2537" s="8">
        <f>IF(Q2537&lt;&gt;0,Q2537+H2537+L2537,0)</f>
        <v/>
      </c>
      <c r="S2537" s="9">
        <f>VLOOKUP(OPERAC[[#This Row],[especie]],[1]!ESPECIES[#Data],9,FALSE)</f>
        <v/>
      </c>
    </row>
    <row r="2538">
      <c r="A2538" s="4" t="n">
        <v>18726</v>
      </c>
      <c r="B2538" s="5" t="n">
        <v>44669</v>
      </c>
      <c r="C2538" s="13" t="inlineStr">
        <is>
          <t>VTA</t>
        </is>
      </c>
      <c r="D2538" s="13" t="n">
        <v>32</v>
      </c>
      <c r="E2538" s="10">
        <f>IF(D2538&gt;0,VLOOKUP(OPERAC[[#This Row],[COD CART]],[1]!MatrizCortoLargoCyl[#All],3,0),"")</f>
        <v/>
      </c>
      <c r="F2538" s="13" t="inlineStr">
        <is>
          <t>HMY</t>
        </is>
      </c>
      <c r="G2538" s="6" t="n">
        <v>100</v>
      </c>
      <c r="H2538" s="6">
        <f>-4.64*OPERAC[[#This Row],[cantidad]]</f>
        <v/>
      </c>
      <c r="I2538" s="7">
        <f>-H2538/G2538</f>
        <v/>
      </c>
      <c r="J2538" s="11" t="n"/>
      <c r="K2538" s="6" t="n"/>
      <c r="L2538" s="6" t="n"/>
      <c r="M2538" s="7">
        <f>IF(N2538=0,+L2538+H2538,0)</f>
        <v/>
      </c>
      <c r="N2538" s="7">
        <f>IF((+G2538-K2538)=0,0,+G2538-K2538)</f>
        <v/>
      </c>
      <c r="O2538" s="7">
        <f>IF(N2538=0,0,(L2538+H2538)/-N2538)</f>
        <v/>
      </c>
      <c r="P2538" s="7">
        <f>VLOOKUP(OPERAC[[#This Row],[especie]],[1]!ESPECIES[#All],6,0)</f>
        <v/>
      </c>
      <c r="Q2538" s="7">
        <f>IF(N2538&lt;&gt;0,P2538*N2538,0)</f>
        <v/>
      </c>
      <c r="R2538" s="8">
        <f>IF(Q2538&lt;&gt;0,Q2538+H2538+L2538,0)</f>
        <v/>
      </c>
      <c r="S2538" s="9">
        <f>VLOOKUP(OPERAC[[#This Row],[especie]],[1]!ESPECIES[#Data],9,FALSE)</f>
        <v/>
      </c>
    </row>
    <row r="2539">
      <c r="A2539" s="4" t="n">
        <v>19897</v>
      </c>
      <c r="B2539" s="5" t="n">
        <v>44669</v>
      </c>
      <c r="C2539" s="13" t="inlineStr">
        <is>
          <t>VTA</t>
        </is>
      </c>
      <c r="D2539" s="13" t="n">
        <v>32</v>
      </c>
      <c r="E2539" s="10">
        <f>IF(D2539&gt;0,VLOOKUP(OPERAC[[#This Row],[COD CART]],[1]!MatrizCortoLargoCyl[#All],3,0),"")</f>
        <v/>
      </c>
      <c r="F2539" s="13" t="inlineStr">
        <is>
          <t>HMY</t>
        </is>
      </c>
      <c r="G2539" s="6" t="n">
        <v>100</v>
      </c>
      <c r="H2539" s="6">
        <f>-4.64*OPERAC[[#This Row],[cantidad]]</f>
        <v/>
      </c>
      <c r="I2539" s="7">
        <f>-H2539/G2539</f>
        <v/>
      </c>
      <c r="J2539" s="11" t="n">
        <v>44722</v>
      </c>
      <c r="K2539" s="6" t="n">
        <v>100</v>
      </c>
      <c r="L2539" s="6" t="n">
        <v>333.64</v>
      </c>
      <c r="M2539" s="7">
        <f>IF(N2539=0,+L2539+H2539,0)</f>
        <v/>
      </c>
      <c r="N2539" s="7">
        <f>IF((+G2539-K2539)=0,0,+G2539-K2539)</f>
        <v/>
      </c>
      <c r="O2539" s="7">
        <f>IF(N2539=0,0,(L2539+H2539)/-N2539)</f>
        <v/>
      </c>
      <c r="P2539" s="7">
        <f>VLOOKUP(OPERAC[[#This Row],[especie]],[1]!ESPECIES[#All],6,0)</f>
        <v/>
      </c>
      <c r="Q2539" s="7">
        <f>IF(N2539&lt;&gt;0,P2539*N2539,0)</f>
        <v/>
      </c>
      <c r="R2539" s="8">
        <f>IF(Q2539&lt;&gt;0,Q2539+H2539+L2539,0)</f>
        <v/>
      </c>
      <c r="S2539" s="9">
        <f>VLOOKUP(OPERAC[[#This Row],[especie]],[1]!ESPECIES[#Data],9,FALSE)</f>
        <v/>
      </c>
    </row>
    <row r="2540">
      <c r="A2540" s="4" t="n">
        <v>20317</v>
      </c>
      <c r="B2540" s="5" t="n">
        <v>44669</v>
      </c>
      <c r="C2540" s="13" t="inlineStr">
        <is>
          <t>VTA</t>
        </is>
      </c>
      <c r="D2540" s="13" t="n">
        <v>32</v>
      </c>
      <c r="E2540" s="10">
        <f>IF(D2540&gt;0,VLOOKUP(OPERAC[[#This Row],[COD CART]],[1]!MatrizCortoLargoCyl[#All],3,0),"")</f>
        <v/>
      </c>
      <c r="F2540" s="13" t="inlineStr">
        <is>
          <t>HMY</t>
        </is>
      </c>
      <c r="G2540" s="6" t="n">
        <v>100</v>
      </c>
      <c r="H2540" s="6">
        <f>-4.64*OPERAC[[#This Row],[cantidad]]</f>
        <v/>
      </c>
      <c r="I2540" s="7">
        <f>-H2540/G2540</f>
        <v/>
      </c>
      <c r="J2540" s="11" t="n">
        <v>44722</v>
      </c>
      <c r="K2540" s="6" t="n">
        <v>100</v>
      </c>
      <c r="L2540" s="6" t="n">
        <v>331.657</v>
      </c>
      <c r="M2540" s="7">
        <f>IF(N2540=0,+L2540+H2540,0)</f>
        <v/>
      </c>
      <c r="N2540" s="7">
        <f>IF((+G2540-K2540)=0,0,+G2540-K2540)</f>
        <v/>
      </c>
      <c r="O2540" s="7">
        <f>IF(N2540=0,0,(L2540+H2540)/-N2540)</f>
        <v/>
      </c>
      <c r="P2540" s="7">
        <f>VLOOKUP(OPERAC[[#This Row],[especie]],[1]!ESPECIES[#All],6,0)</f>
        <v/>
      </c>
      <c r="Q2540" s="7">
        <f>IF(N2540&lt;&gt;0,P2540*N2540,0)</f>
        <v/>
      </c>
      <c r="R2540" s="8">
        <f>IF(Q2540&lt;&gt;0,Q2540+H2540+L2540,0)</f>
        <v/>
      </c>
      <c r="S2540" s="9">
        <f>VLOOKUP(OPERAC[[#This Row],[especie]],[1]!ESPECIES[#Data],9,FALSE)</f>
        <v/>
      </c>
    </row>
    <row r="2541">
      <c r="A2541" s="4" t="n">
        <v>21070</v>
      </c>
      <c r="B2541" s="5" t="n">
        <v>44669</v>
      </c>
      <c r="C2541" s="13" t="inlineStr">
        <is>
          <t>VTA</t>
        </is>
      </c>
      <c r="D2541" s="13" t="n">
        <v>32</v>
      </c>
      <c r="E2541" s="10">
        <f>IF(D2541&gt;0,VLOOKUP(OPERAC[[#This Row],[COD CART]],[1]!MatrizCortoLargoCyl[#All],3,0),"")</f>
        <v/>
      </c>
      <c r="F2541" s="13" t="inlineStr">
        <is>
          <t>HMY</t>
        </is>
      </c>
      <c r="G2541" s="6" t="n">
        <v>100</v>
      </c>
      <c r="H2541" s="6">
        <f>-4.64*OPERAC[[#This Row],[cantidad]]</f>
        <v/>
      </c>
      <c r="I2541" s="7">
        <f>-H2541/G2541</f>
        <v/>
      </c>
      <c r="J2541" s="11" t="n">
        <v>44708</v>
      </c>
      <c r="K2541" s="6" t="n">
        <v>100</v>
      </c>
      <c r="L2541" s="6" t="n">
        <v>360.113</v>
      </c>
      <c r="M2541" s="7">
        <f>IF(N2541=0,+L2541+H2541,0)</f>
        <v/>
      </c>
      <c r="N2541" s="7">
        <f>IF((+G2541-K2541)=0,0,+G2541-K2541)</f>
        <v/>
      </c>
      <c r="O2541" s="7">
        <f>IF(N2541=0,0,(L2541+H2541)/-N2541)</f>
        <v/>
      </c>
      <c r="P2541" s="7">
        <f>VLOOKUP(OPERAC[[#This Row],[especie]],[1]!ESPECIES[#All],6,0)</f>
        <v/>
      </c>
      <c r="Q2541" s="7">
        <f>IF(N2541&lt;&gt;0,P2541*N2541,0)</f>
        <v/>
      </c>
      <c r="R2541" s="8">
        <f>IF(Q2541&lt;&gt;0,Q2541+H2541+L2541,0)</f>
        <v/>
      </c>
      <c r="S2541" s="9">
        <f>VLOOKUP(OPERAC[[#This Row],[especie]],[1]!ESPECIES[#Data],9,FALSE)</f>
        <v/>
      </c>
    </row>
    <row r="2542">
      <c r="A2542" s="4" t="n">
        <v>22431</v>
      </c>
      <c r="B2542" s="5" t="n">
        <v>44669</v>
      </c>
      <c r="C2542" s="13" t="inlineStr">
        <is>
          <t>VTA</t>
        </is>
      </c>
      <c r="D2542" s="13" t="n">
        <v>32</v>
      </c>
      <c r="E2542" s="10">
        <f>IF(D2542&gt;0,VLOOKUP(OPERAC[[#This Row],[COD CART]],[1]!MatrizCortoLargoCyl[#All],3,0),"")</f>
        <v/>
      </c>
      <c r="F2542" s="13" t="inlineStr">
        <is>
          <t>HMY</t>
        </is>
      </c>
      <c r="G2542" s="6" t="n">
        <v>100</v>
      </c>
      <c r="H2542" s="6">
        <f>-4.64*OPERAC[[#This Row],[cantidad]]</f>
        <v/>
      </c>
      <c r="I2542" s="7">
        <f>-H2542/G2542</f>
        <v/>
      </c>
      <c r="J2542" s="11" t="n"/>
      <c r="K2542" s="6" t="n"/>
      <c r="L2542" s="6" t="n"/>
      <c r="M2542" s="7">
        <f>IF(N2542=0,+L2542+H2542,0)</f>
        <v/>
      </c>
      <c r="N2542" s="7">
        <f>IF((+G2542-K2542)=0,0,+G2542-K2542)</f>
        <v/>
      </c>
      <c r="O2542" s="7">
        <f>IF(N2542=0,0,(L2542+H2542)/-N2542)</f>
        <v/>
      </c>
      <c r="P2542" s="7">
        <f>VLOOKUP(OPERAC[[#This Row],[especie]],[1]!ESPECIES[#All],6,0)</f>
        <v/>
      </c>
      <c r="Q2542" s="7">
        <f>IF(N2542&lt;&gt;0,P2542*N2542,0)</f>
        <v/>
      </c>
      <c r="R2542" s="8">
        <f>IF(Q2542&lt;&gt;0,Q2542+H2542+L2542,0)</f>
        <v/>
      </c>
      <c r="S2542" s="9">
        <f>VLOOKUP(OPERAC[[#This Row],[especie]],[1]!ESPECIES[#Data],9,FALSE)</f>
        <v/>
      </c>
    </row>
    <row r="2543">
      <c r="A2543" s="4" t="n">
        <v>2306</v>
      </c>
      <c r="B2543" s="5" t="n">
        <v>44649</v>
      </c>
      <c r="C2543" s="13" t="inlineStr">
        <is>
          <t>VTA</t>
        </is>
      </c>
      <c r="D2543" s="13" t="n">
        <v>42</v>
      </c>
      <c r="E2543" s="10">
        <f>IF(D2543&gt;0,VLOOKUP(OPERAC[[#This Row],[COD CART]],[1]!MatrizCortoLargoCyl[#All],3,0),"")</f>
        <v/>
      </c>
      <c r="F2543" s="13" t="inlineStr">
        <is>
          <t>ADBE</t>
        </is>
      </c>
      <c r="G2543" s="6" t="n">
        <v>1</v>
      </c>
      <c r="H2543" s="6" t="n">
        <v>-464.10176</v>
      </c>
      <c r="I2543" s="7">
        <f>-H2543/G2543</f>
        <v/>
      </c>
      <c r="J2543" s="11" t="n">
        <v>44687</v>
      </c>
      <c r="K2543" s="6">
        <f>+OPERAC[[#This Row],[cantidad]]</f>
        <v/>
      </c>
      <c r="L2543" s="6" t="n">
        <v>386.42</v>
      </c>
      <c r="M2543" s="7">
        <f>IF(N2543=0,+L2543+H2543,0)</f>
        <v/>
      </c>
      <c r="N2543" s="7">
        <f>IF((+G2543-K2543)=0,0,+G2543-K2543)</f>
        <v/>
      </c>
      <c r="O2543" s="7">
        <f>IF(N2543=0,0,(L2543+H2543)/-N2543)</f>
        <v/>
      </c>
      <c r="P2543" s="7">
        <f>VLOOKUP(OPERAC[[#This Row],[especie]],[1]!ESPECIES[#All],6,0)</f>
        <v/>
      </c>
      <c r="Q2543" s="7">
        <f>IF(N2543&lt;&gt;0,P2543*N2543,0)</f>
        <v/>
      </c>
      <c r="R2543" s="8">
        <f>IF(Q2543&lt;&gt;0,Q2543+H2543+L2543,0)</f>
        <v/>
      </c>
      <c r="S2543" s="9">
        <f>VLOOKUP(OPERAC[[#This Row],[especie]],[1]!ESPECIES[#Data],9,FALSE)</f>
        <v/>
      </c>
    </row>
    <row r="2544">
      <c r="A2544" s="4" t="n">
        <v>20234</v>
      </c>
      <c r="B2544" s="5" t="n">
        <v>44649</v>
      </c>
      <c r="C2544" s="13" t="inlineStr">
        <is>
          <t>VTA</t>
        </is>
      </c>
      <c r="D2544" s="13" t="n">
        <v>42</v>
      </c>
      <c r="E2544" s="10">
        <f>IF(D2544&gt;0,VLOOKUP(OPERAC[[#This Row],[COD CART]],[1]!MatrizCortoLargoCyl[#All],3,0),"")</f>
        <v/>
      </c>
      <c r="F2544" s="13" t="inlineStr">
        <is>
          <t>ADBE</t>
        </is>
      </c>
      <c r="G2544" s="6" t="n">
        <v>1</v>
      </c>
      <c r="H2544" s="6" t="n">
        <v>-464.10176</v>
      </c>
      <c r="I2544" s="7">
        <f>-H2544/G2544</f>
        <v/>
      </c>
      <c r="J2544" s="11" t="n">
        <v>44687</v>
      </c>
      <c r="K2544" s="6">
        <f>+OPERAC[[#This Row],[cantidad]]</f>
        <v/>
      </c>
      <c r="L2544" s="6" t="n">
        <v>386.42</v>
      </c>
      <c r="M2544" s="7">
        <f>IF(N2544=0,+L2544+H2544,0)</f>
        <v/>
      </c>
      <c r="N2544" s="7">
        <f>IF((+G2544-K2544)=0,0,+G2544-K2544)</f>
        <v/>
      </c>
      <c r="O2544" s="7">
        <f>IF(N2544=0,0,(L2544+H2544)/-N2544)</f>
        <v/>
      </c>
      <c r="P2544" s="7">
        <f>VLOOKUP(OPERAC[[#This Row],[especie]],[1]!ESPECIES[#All],6,0)</f>
        <v/>
      </c>
      <c r="Q2544" s="7">
        <f>IF(N2544&lt;&gt;0,P2544*N2544,0)</f>
        <v/>
      </c>
      <c r="R2544" s="8">
        <f>IF(Q2544&lt;&gt;0,Q2544+H2544+L2544,0)</f>
        <v/>
      </c>
      <c r="S2544" s="9">
        <f>VLOOKUP(OPERAC[[#This Row],[especie]],[1]!ESPECIES[#Data],9,FALSE)</f>
        <v/>
      </c>
    </row>
    <row r="2545">
      <c r="A2545" s="4" t="n">
        <v>26140</v>
      </c>
      <c r="B2545" s="5" t="n">
        <v>44649</v>
      </c>
      <c r="C2545" s="13" t="inlineStr">
        <is>
          <t>VTA</t>
        </is>
      </c>
      <c r="D2545" s="13" t="n">
        <v>42</v>
      </c>
      <c r="E2545" s="10">
        <f>IF(D2545&gt;0,VLOOKUP(OPERAC[[#This Row],[COD CART]],[1]!MatrizCortoLargoCyl[#All],3,0),"")</f>
        <v/>
      </c>
      <c r="F2545" s="13" t="inlineStr">
        <is>
          <t>ADBE</t>
        </is>
      </c>
      <c r="G2545" s="6" t="n">
        <v>1</v>
      </c>
      <c r="H2545" s="6" t="n">
        <v>-464.10176</v>
      </c>
      <c r="I2545" s="7">
        <f>-H2545/G2545</f>
        <v/>
      </c>
      <c r="J2545" s="11" t="n">
        <v>44687</v>
      </c>
      <c r="K2545" s="6">
        <f>+OPERAC[[#This Row],[cantidad]]</f>
        <v/>
      </c>
      <c r="L2545" s="6" t="n">
        <v>386.42</v>
      </c>
      <c r="M2545" s="7">
        <f>IF(N2545=0,+L2545+H2545,0)</f>
        <v/>
      </c>
      <c r="N2545" s="7">
        <f>IF((+G2545-K2545)=0,0,+G2545-K2545)</f>
        <v/>
      </c>
      <c r="O2545" s="7">
        <f>IF(N2545=0,0,(L2545+H2545)/-N2545)</f>
        <v/>
      </c>
      <c r="P2545" s="7">
        <f>VLOOKUP(OPERAC[[#This Row],[especie]],[1]!ESPECIES[#All],6,0)</f>
        <v/>
      </c>
      <c r="Q2545" s="7">
        <f>IF(N2545&lt;&gt;0,P2545*N2545,0)</f>
        <v/>
      </c>
      <c r="R2545" s="8">
        <f>IF(Q2545&lt;&gt;0,Q2545+H2545+L2545,0)</f>
        <v/>
      </c>
      <c r="S2545" s="9">
        <f>VLOOKUP(OPERAC[[#This Row],[especie]],[1]!ESPECIES[#Data],9,FALSE)</f>
        <v/>
      </c>
    </row>
    <row r="2546">
      <c r="A2546" s="4" t="n">
        <v>1807</v>
      </c>
      <c r="B2546" s="5" t="n">
        <v>44662</v>
      </c>
      <c r="C2546" s="13" t="inlineStr">
        <is>
          <t>VTA</t>
        </is>
      </c>
      <c r="D2546" s="13" t="n">
        <v>42</v>
      </c>
      <c r="E2546" s="10">
        <f>IF(D2546&gt;0,VLOOKUP(OPERAC[[#This Row],[COD CART]],[1]!MatrizCortoLargoCyl[#All],3,0),"")</f>
        <v/>
      </c>
      <c r="F2546" s="13" t="inlineStr">
        <is>
          <t>HYDR</t>
        </is>
      </c>
      <c r="G2546" s="6" t="n">
        <v>25</v>
      </c>
      <c r="H2546" s="6" t="n">
        <v>-464.2586</v>
      </c>
      <c r="I2546" s="7">
        <f>-H2546/G2546</f>
        <v/>
      </c>
      <c r="J2546" s="11" t="n">
        <v>44693</v>
      </c>
      <c r="K2546" s="6">
        <f>+OPERAC[[#This Row],[cantidad]]</f>
        <v/>
      </c>
      <c r="L2546" s="6">
        <f>+OPERAC[[#This Row],[cantidad venta]]*11.63</f>
        <v/>
      </c>
      <c r="M2546" s="7">
        <f>IF(N2546=0,+L2546+H2546,0)</f>
        <v/>
      </c>
      <c r="N2546" s="7">
        <f>IF((+G2546-K2546)=0,0,+G2546-K2546)</f>
        <v/>
      </c>
      <c r="O2546" s="7">
        <f>IF(N2546=0,0,(L2546+H2546)/-N2546)</f>
        <v/>
      </c>
      <c r="P2546" s="7">
        <f>VLOOKUP(OPERAC[[#This Row],[especie]],[1]!ESPECIES[#All],6,0)</f>
        <v/>
      </c>
      <c r="Q2546" s="7">
        <f>IF(N2546&lt;&gt;0,P2546*N2546,0)</f>
        <v/>
      </c>
      <c r="R2546" s="8">
        <f>IF(Q2546&lt;&gt;0,Q2546+H2546+L2546,0)</f>
        <v/>
      </c>
      <c r="S2546" s="9">
        <f>VLOOKUP(OPERAC[[#This Row],[especie]],[1]!ESPECIES[#Data],9,FALSE)</f>
        <v/>
      </c>
    </row>
    <row r="2547">
      <c r="A2547" s="4" t="n">
        <v>2203</v>
      </c>
      <c r="B2547" s="5" t="n">
        <v>44662</v>
      </c>
      <c r="C2547" s="13" t="inlineStr">
        <is>
          <t>VTA</t>
        </is>
      </c>
      <c r="D2547" s="13" t="n">
        <v>42</v>
      </c>
      <c r="E2547" s="10">
        <f>IF(D2547&gt;0,VLOOKUP(OPERAC[[#This Row],[COD CART]],[1]!MatrizCortoLargoCyl[#All],3,0),"")</f>
        <v/>
      </c>
      <c r="F2547" s="13" t="inlineStr">
        <is>
          <t>HYDR</t>
        </is>
      </c>
      <c r="G2547" s="6" t="n">
        <v>25</v>
      </c>
      <c r="H2547" s="6" t="n">
        <v>-464.2586</v>
      </c>
      <c r="I2547" s="7">
        <f>-H2547/G2547</f>
        <v/>
      </c>
      <c r="J2547" s="11" t="n">
        <v>44693</v>
      </c>
      <c r="K2547" s="6">
        <f>5+20</f>
        <v/>
      </c>
      <c r="L2547" s="6">
        <f>58.15+268.7</f>
        <v/>
      </c>
      <c r="M2547" s="7">
        <f>IF(N2547=0,+L2547+H2547,0)</f>
        <v/>
      </c>
      <c r="N2547" s="7">
        <f>IF((+G2547-K2547)=0,0,+G2547-K2547)</f>
        <v/>
      </c>
      <c r="O2547" s="7">
        <f>IF(N2547=0,0,(L2547+H2547)/-N2547)</f>
        <v/>
      </c>
      <c r="P2547" s="7">
        <f>VLOOKUP(OPERAC[[#This Row],[especie]],[1]!ESPECIES[#All],6,0)</f>
        <v/>
      </c>
      <c r="Q2547" s="7">
        <f>IF(N2547&lt;&gt;0,P2547*N2547,0)</f>
        <v/>
      </c>
      <c r="R2547" s="8">
        <f>IF(Q2547&lt;&gt;0,Q2547+H2547+L2547,0)</f>
        <v/>
      </c>
      <c r="S2547" s="9">
        <f>VLOOKUP(OPERAC[[#This Row],[especie]],[1]!ESPECIES[#Data],9,FALSE)</f>
        <v/>
      </c>
    </row>
    <row r="2548">
      <c r="A2548" s="4" t="n">
        <v>6628</v>
      </c>
      <c r="B2548" s="5" t="n">
        <v>44662</v>
      </c>
      <c r="C2548" s="13" t="inlineStr">
        <is>
          <t>VTA</t>
        </is>
      </c>
      <c r="D2548" s="13" t="n">
        <v>42</v>
      </c>
      <c r="E2548" s="10">
        <f>IF(D2548&gt;0,VLOOKUP(OPERAC[[#This Row],[COD CART]],[1]!MatrizCortoLargoCyl[#All],3,0),"")</f>
        <v/>
      </c>
      <c r="F2548" s="13" t="inlineStr">
        <is>
          <t>HYDR</t>
        </is>
      </c>
      <c r="G2548" s="6" t="n">
        <v>25</v>
      </c>
      <c r="H2548" s="6" t="n">
        <v>-464.2586</v>
      </c>
      <c r="I2548" s="7">
        <f>-H2548/G2548</f>
        <v/>
      </c>
      <c r="J2548" s="11" t="n">
        <v>44693</v>
      </c>
      <c r="K2548" s="6">
        <f>+OPERAC[[#This Row],[cantidad]]</f>
        <v/>
      </c>
      <c r="L2548" s="6">
        <f>+OPERAC[[#This Row],[cantidad venta]]*12.027</f>
        <v/>
      </c>
      <c r="M2548" s="7">
        <f>IF(N2548=0,+L2548+H2548,0)</f>
        <v/>
      </c>
      <c r="N2548" s="7">
        <f>IF((+G2548-K2548)=0,0,+G2548-K2548)</f>
        <v/>
      </c>
      <c r="O2548" s="7">
        <f>IF(N2548=0,0,(L2548+H2548)/-N2548)</f>
        <v/>
      </c>
      <c r="P2548" s="7">
        <f>VLOOKUP(OPERAC[[#This Row],[especie]],[1]!ESPECIES[#All],6,0)</f>
        <v/>
      </c>
      <c r="Q2548" s="7">
        <f>IF(N2548&lt;&gt;0,P2548*N2548,0)</f>
        <v/>
      </c>
      <c r="R2548" s="8">
        <f>IF(Q2548&lt;&gt;0,Q2548+H2548+L2548,0)</f>
        <v/>
      </c>
      <c r="S2548" s="9">
        <f>VLOOKUP(OPERAC[[#This Row],[especie]],[1]!ESPECIES[#Data],9,FALSE)</f>
        <v/>
      </c>
    </row>
    <row r="2549">
      <c r="A2549" s="4" t="n">
        <v>12662</v>
      </c>
      <c r="B2549" s="5" t="n">
        <v>44662</v>
      </c>
      <c r="C2549" s="13" t="inlineStr">
        <is>
          <t>VTA</t>
        </is>
      </c>
      <c r="D2549" s="13" t="n">
        <v>42</v>
      </c>
      <c r="E2549" s="10">
        <f>IF(D2549&gt;0,VLOOKUP(OPERAC[[#This Row],[COD CART]],[1]!MatrizCortoLargoCyl[#All],3,0),"")</f>
        <v/>
      </c>
      <c r="F2549" s="13" t="inlineStr">
        <is>
          <t>HYDR</t>
        </is>
      </c>
      <c r="G2549" s="6" t="n">
        <v>25</v>
      </c>
      <c r="H2549" s="6" t="n">
        <v>-464.2586</v>
      </c>
      <c r="I2549" s="7">
        <f>-H2549/G2549</f>
        <v/>
      </c>
      <c r="J2549" s="11" t="n">
        <v>44693</v>
      </c>
      <c r="K2549" s="6">
        <f>+OPERAC[[#This Row],[cantidad]]</f>
        <v/>
      </c>
      <c r="L2549" s="6">
        <f>+OPERAC[[#This Row],[cantidad venta]]*12.027</f>
        <v/>
      </c>
      <c r="M2549" s="7">
        <f>IF(N2549=0,+L2549+H2549,0)</f>
        <v/>
      </c>
      <c r="N2549" s="7">
        <f>IF((+G2549-K2549)=0,0,+G2549-K2549)</f>
        <v/>
      </c>
      <c r="O2549" s="7">
        <f>IF(N2549=0,0,(L2549+H2549)/-N2549)</f>
        <v/>
      </c>
      <c r="P2549" s="7">
        <f>VLOOKUP(OPERAC[[#This Row],[especie]],[1]!ESPECIES[#All],6,0)</f>
        <v/>
      </c>
      <c r="Q2549" s="7">
        <f>IF(N2549&lt;&gt;0,P2549*N2549,0)</f>
        <v/>
      </c>
      <c r="R2549" s="8">
        <f>IF(Q2549&lt;&gt;0,Q2549+H2549+L2549,0)</f>
        <v/>
      </c>
      <c r="S2549" s="9">
        <f>VLOOKUP(OPERAC[[#This Row],[especie]],[1]!ESPECIES[#Data],9,FALSE)</f>
        <v/>
      </c>
    </row>
    <row r="2550">
      <c r="A2550" s="4" t="n">
        <v>18663</v>
      </c>
      <c r="B2550" s="5" t="n">
        <v>44670</v>
      </c>
      <c r="C2550" s="13" t="inlineStr">
        <is>
          <t>VTA</t>
        </is>
      </c>
      <c r="D2550" s="13" t="n">
        <v>41</v>
      </c>
      <c r="E2550" s="10">
        <f>IF(D2550&gt;0,VLOOKUP(OPERAC[[#This Row],[COD CART]],[1]!MatrizCortoLargoCyl[#All],3,0),"")</f>
        <v/>
      </c>
      <c r="F2550" s="13" t="inlineStr">
        <is>
          <t>HMY</t>
        </is>
      </c>
      <c r="G2550" s="6" t="n">
        <v>100</v>
      </c>
      <c r="H2550" s="6" t="n">
        <v>-464.414</v>
      </c>
      <c r="I2550" s="7">
        <f>-H2550/G2550</f>
        <v/>
      </c>
      <c r="J2550" s="11" t="n"/>
      <c r="K2550" s="6" t="n"/>
      <c r="L2550" s="6" t="n"/>
      <c r="M2550" s="7">
        <f>IF(N2550=0,+L2550+H2550,0)</f>
        <v/>
      </c>
      <c r="N2550" s="7">
        <f>IF((+G2550-K2550)=0,0,+G2550-K2550)</f>
        <v/>
      </c>
      <c r="O2550" s="7">
        <f>IF(N2550=0,0,(L2550+H2550)/-N2550)</f>
        <v/>
      </c>
      <c r="P2550" s="7">
        <f>VLOOKUP(OPERAC[[#This Row],[especie]],[1]!ESPECIES[#All],6,0)</f>
        <v/>
      </c>
      <c r="Q2550" s="7">
        <f>IF(N2550&lt;&gt;0,P2550*N2550,0)</f>
        <v/>
      </c>
      <c r="R2550" s="8">
        <f>IF(Q2550&lt;&gt;0,Q2550+H2550+L2550,0)</f>
        <v/>
      </c>
      <c r="S2550" s="9">
        <f>VLOOKUP(OPERAC[[#This Row],[especie]],[1]!ESPECIES[#Data],9,FALSE)</f>
        <v/>
      </c>
    </row>
    <row r="2551">
      <c r="A2551" s="4" t="n">
        <v>13253</v>
      </c>
      <c r="B2551" s="5" t="n">
        <v>44670</v>
      </c>
      <c r="C2551" s="13" t="inlineStr">
        <is>
          <t>VTA</t>
        </is>
      </c>
      <c r="D2551" s="13" t="n">
        <v>41</v>
      </c>
      <c r="E2551" s="10">
        <f>IF(D2551&gt;0,VLOOKUP(OPERAC[[#This Row],[COD CART]],[1]!MatrizCortoLargoCyl[#All],3,0),"")</f>
        <v/>
      </c>
      <c r="F2551" s="13" t="inlineStr">
        <is>
          <t>HMY</t>
        </is>
      </c>
      <c r="G2551" s="6" t="n">
        <v>100</v>
      </c>
      <c r="H2551" s="6" t="n">
        <v>-464.414</v>
      </c>
      <c r="I2551" s="7">
        <f>-H2551/G2551</f>
        <v/>
      </c>
      <c r="J2551" s="11" t="n"/>
      <c r="K2551" s="6" t="n"/>
      <c r="L2551" s="6" t="n"/>
      <c r="M2551" s="7">
        <f>IF(N2551=0,+L2551+H2551,0)</f>
        <v/>
      </c>
      <c r="N2551" s="7">
        <f>IF((+G2551-K2551)=0,0,+G2551-K2551)</f>
        <v/>
      </c>
      <c r="O2551" s="7">
        <f>IF(N2551=0,0,(L2551+H2551)/-N2551)</f>
        <v/>
      </c>
      <c r="P2551" s="7">
        <f>VLOOKUP(OPERAC[[#This Row],[especie]],[1]!ESPECIES[#All],6,0)</f>
        <v/>
      </c>
      <c r="Q2551" s="7">
        <f>IF(N2551&lt;&gt;0,P2551*N2551,0)</f>
        <v/>
      </c>
      <c r="R2551" s="8">
        <f>IF(Q2551&lt;&gt;0,Q2551+H2551+L2551,0)</f>
        <v/>
      </c>
      <c r="S2551" s="9">
        <f>VLOOKUP(OPERAC[[#This Row],[especie]],[1]!ESPECIES[#Data],9,FALSE)</f>
        <v/>
      </c>
    </row>
    <row r="2552">
      <c r="A2552" s="4" t="n">
        <v>3852</v>
      </c>
      <c r="B2552" s="5" t="n">
        <v>44622</v>
      </c>
      <c r="C2552" s="13" t="inlineStr">
        <is>
          <t>VTA</t>
        </is>
      </c>
      <c r="D2552" s="13" t="n">
        <v>32</v>
      </c>
      <c r="E2552" s="10">
        <f>IF(D2552&gt;0,VLOOKUP(OPERAC[[#This Row],[COD CART]],[1]!MatrizCortoLargoCyl[#All],3,0),"")</f>
        <v/>
      </c>
      <c r="F2552" s="13" t="inlineStr">
        <is>
          <t>HMY/CYL/5,00/18-03-22</t>
        </is>
      </c>
      <c r="G2552" s="6" t="n">
        <v>100</v>
      </c>
      <c r="H2552" s="6" t="n">
        <v>-465.004</v>
      </c>
      <c r="I2552" s="7">
        <f>-H2552/G2552</f>
        <v/>
      </c>
      <c r="J2552" s="11" t="n">
        <v>44637</v>
      </c>
      <c r="K2552" s="6">
        <f>+OPERAC[[#This Row],[cantidad]]</f>
        <v/>
      </c>
      <c r="L2552" s="6">
        <f>4.85553*OPERAC[[#This Row],[cantidad venta]]</f>
        <v/>
      </c>
      <c r="M2552" s="7">
        <f>IF(N2552=0,+L2552+H2552,0)</f>
        <v/>
      </c>
      <c r="N2552" s="7">
        <f>IF((+G2552-K2552)=0,0,+G2552-K2552)</f>
        <v/>
      </c>
      <c r="O2552" s="7">
        <f>IF(N2552=0,0,(L2552+H2552)/-N2552)</f>
        <v/>
      </c>
      <c r="P2552" s="7">
        <f>VLOOKUP(OPERAC[[#This Row],[especie]],[1]!ESPECIES[#All],6,0)</f>
        <v/>
      </c>
      <c r="Q2552" s="7">
        <f>IF(N2552&lt;&gt;0,P2552*N2552,0)</f>
        <v/>
      </c>
      <c r="R2552" s="8">
        <f>IF(Q2552&lt;&gt;0,Q2552+H2552+L2552,0)</f>
        <v/>
      </c>
      <c r="S2552" s="9">
        <f>VLOOKUP(OPERAC[[#This Row],[especie]],[1]!ESPECIES[#Data],9,FALSE)</f>
        <v/>
      </c>
    </row>
    <row r="2553">
      <c r="A2553" s="4" t="n">
        <v>6628</v>
      </c>
      <c r="B2553" s="5" t="n">
        <v>44494</v>
      </c>
      <c r="C2553" s="13" t="inlineStr">
        <is>
          <t>VTA</t>
        </is>
      </c>
      <c r="D2553" s="13" t="n">
        <v>40</v>
      </c>
      <c r="E2553" s="10">
        <f>IF(D2553&gt;0,VLOOKUP(OPERAC[[#This Row],[COD CART]],[1]!MatrizCortoLargoCyl[#All],3,0),"")</f>
        <v/>
      </c>
      <c r="F2553" s="13" t="inlineStr">
        <is>
          <t>YPF</t>
        </is>
      </c>
      <c r="G2553" s="6" t="n">
        <v>100</v>
      </c>
      <c r="H2553" s="6" t="n">
        <v>-465.272</v>
      </c>
      <c r="I2553" s="7">
        <f>-H2553/G2553</f>
        <v/>
      </c>
      <c r="J2553" s="11" t="n">
        <v>44606</v>
      </c>
      <c r="K2553" s="6">
        <f>+OPERAC[[#This Row],[cantidad]]</f>
        <v/>
      </c>
      <c r="L2553" s="6">
        <f>+OPERAC[[#This Row],[cantidad venta]]*4.161</f>
        <v/>
      </c>
      <c r="M2553" s="7">
        <f>IF(N2553=0,+L2553+H2553,0)</f>
        <v/>
      </c>
      <c r="N2553" s="7">
        <f>IF((+G2553-K2553)=0,0,+G2553-K2553)</f>
        <v/>
      </c>
      <c r="O2553" s="7">
        <f>IF(N2553=0,0,(L2553+H2553)/-N2553)</f>
        <v/>
      </c>
      <c r="P2553" s="7">
        <f>VLOOKUP(OPERAC[[#This Row],[especie]],[1]!ESPECIES[#All],6,0)</f>
        <v/>
      </c>
      <c r="Q2553" s="7">
        <f>IF(N2553&lt;&gt;0,P2553*N2553,0)</f>
        <v/>
      </c>
      <c r="R2553" s="8">
        <f>IF(Q2553&lt;&gt;0,Q2553+H2553+L2553,0)</f>
        <v/>
      </c>
      <c r="S2553" s="9">
        <f>VLOOKUP(OPERAC[[#This Row],[especie]],[1]!ESPECIES[#Data],9,FALSE)</f>
        <v/>
      </c>
    </row>
    <row r="2554">
      <c r="A2554" s="4" t="n">
        <v>18661</v>
      </c>
      <c r="B2554" s="5" t="n">
        <v>44494</v>
      </c>
      <c r="C2554" s="13" t="inlineStr">
        <is>
          <t>VTA</t>
        </is>
      </c>
      <c r="D2554" s="13" t="n">
        <v>40</v>
      </c>
      <c r="E2554" s="10">
        <f>IF(D2554&gt;0,VLOOKUP(OPERAC[[#This Row],[COD CART]],[1]!MatrizCortoLargoCyl[#All],3,0),"")</f>
        <v/>
      </c>
      <c r="F2554" s="13" t="inlineStr">
        <is>
          <t>YPF</t>
        </is>
      </c>
      <c r="G2554" s="6" t="n">
        <v>100</v>
      </c>
      <c r="H2554" s="6" t="n">
        <v>-465.272</v>
      </c>
      <c r="I2554" s="7">
        <f>-H2554/G2554</f>
        <v/>
      </c>
      <c r="J2554" s="11" t="n">
        <v>44582</v>
      </c>
      <c r="K2554" s="6" t="n">
        <v>100</v>
      </c>
      <c r="L2554" s="6" t="n">
        <v>382.42</v>
      </c>
      <c r="M2554" s="7">
        <f>IF(N2554=0,+L2554+H2554,0)</f>
        <v/>
      </c>
      <c r="N2554" s="7">
        <f>IF((+G2554-K2554)=0,0,+G2554-K2554)</f>
        <v/>
      </c>
      <c r="O2554" s="7">
        <f>IF(N2554=0,0,(L2554+H2554)/-N2554)</f>
        <v/>
      </c>
      <c r="P2554" s="7">
        <f>VLOOKUP(OPERAC[[#This Row],[especie]],[1]!ESPECIES[#All],6,0)</f>
        <v/>
      </c>
      <c r="Q2554" s="7">
        <f>IF(N2554&lt;&gt;0,P2554*N2554,0)</f>
        <v/>
      </c>
      <c r="R2554" s="8">
        <f>IF(Q2554&lt;&gt;0,Q2554+H2554+L2554,0)</f>
        <v/>
      </c>
      <c r="S2554" s="9">
        <f>VLOOKUP(OPERAC[[#This Row],[especie]],[1]!ESPECIES[#Data],9,FALSE)</f>
        <v/>
      </c>
    </row>
    <row r="2555">
      <c r="A2555" s="4" t="n">
        <v>18713</v>
      </c>
      <c r="B2555" s="5" t="n">
        <v>44494</v>
      </c>
      <c r="C2555" s="13" t="inlineStr">
        <is>
          <t>VTA</t>
        </is>
      </c>
      <c r="D2555" s="13" t="n">
        <v>40</v>
      </c>
      <c r="E2555" s="10">
        <f>IF(D2555&gt;0,VLOOKUP(OPERAC[[#This Row],[COD CART]],[1]!MatrizCortoLargoCyl[#All],3,0),"")</f>
        <v/>
      </c>
      <c r="F2555" s="13" t="inlineStr">
        <is>
          <t>YPF</t>
        </is>
      </c>
      <c r="G2555" s="6" t="n">
        <v>100</v>
      </c>
      <c r="H2555" s="6" t="n">
        <v>-465.272</v>
      </c>
      <c r="I2555" s="7">
        <f>-H2555/G2555</f>
        <v/>
      </c>
      <c r="J2555" s="11" t="n">
        <v>44606</v>
      </c>
      <c r="K2555" s="6">
        <f>+OPERAC[[#This Row],[cantidad]]</f>
        <v/>
      </c>
      <c r="L2555" s="6">
        <f>+OPERAC[[#This Row],[cantidad venta]]*4.161</f>
        <v/>
      </c>
      <c r="M2555" s="7">
        <f>IF(N2555=0,+L2555+H2555,0)</f>
        <v/>
      </c>
      <c r="N2555" s="7">
        <f>IF((+G2555-K2555)=0,0,+G2555-K2555)</f>
        <v/>
      </c>
      <c r="O2555" s="7">
        <f>IF(N2555=0,0,(L2555+H2555)/-N2555)</f>
        <v/>
      </c>
      <c r="P2555" s="7">
        <f>VLOOKUP(OPERAC[[#This Row],[especie]],[1]!ESPECIES[#All],6,0)</f>
        <v/>
      </c>
      <c r="Q2555" s="7">
        <f>IF(N2555&lt;&gt;0,P2555*N2555,0)</f>
        <v/>
      </c>
      <c r="R2555" s="8">
        <f>IF(Q2555&lt;&gt;0,Q2555+H2555+L2555,0)</f>
        <v/>
      </c>
      <c r="S2555" s="9">
        <f>VLOOKUP(OPERAC[[#This Row],[especie]],[1]!ESPECIES[#Data],9,FALSE)</f>
        <v/>
      </c>
    </row>
    <row r="2556">
      <c r="A2556" s="4" t="n">
        <v>22407</v>
      </c>
      <c r="B2556" s="5" t="n">
        <v>44494</v>
      </c>
      <c r="C2556" s="13" t="inlineStr">
        <is>
          <t>VTA</t>
        </is>
      </c>
      <c r="D2556" s="13" t="n">
        <v>40</v>
      </c>
      <c r="E2556" s="10">
        <f>IF(D2556&gt;0,VLOOKUP(OPERAC[[#This Row],[COD CART]],[1]!MatrizCortoLargoCyl[#All],3,0),"")</f>
        <v/>
      </c>
      <c r="F2556" s="13" t="inlineStr">
        <is>
          <t>YPF</t>
        </is>
      </c>
      <c r="G2556" s="6" t="n">
        <v>100</v>
      </c>
      <c r="H2556" s="6" t="n">
        <v>-465.272</v>
      </c>
      <c r="I2556" s="7">
        <f>-H2556/G2556</f>
        <v/>
      </c>
      <c r="J2556" s="11" t="n">
        <v>44606</v>
      </c>
      <c r="K2556" s="6">
        <f>+OPERAC[[#This Row],[cantidad]]</f>
        <v/>
      </c>
      <c r="L2556" s="6">
        <f>+OPERAC[[#This Row],[cantidad venta]]*4.161</f>
        <v/>
      </c>
      <c r="M2556" s="7">
        <f>IF(N2556=0,+L2556+H2556,0)</f>
        <v/>
      </c>
      <c r="N2556" s="7">
        <f>IF((+G2556-K2556)=0,0,+G2556-K2556)</f>
        <v/>
      </c>
      <c r="O2556" s="7">
        <f>IF(N2556=0,0,(L2556+H2556)/-N2556)</f>
        <v/>
      </c>
      <c r="P2556" s="7">
        <f>VLOOKUP(OPERAC[[#This Row],[especie]],[1]!ESPECIES[#All],6,0)</f>
        <v/>
      </c>
      <c r="Q2556" s="7">
        <f>IF(N2556&lt;&gt;0,P2556*N2556,0)</f>
        <v/>
      </c>
      <c r="R2556" s="8">
        <f>IF(Q2556&lt;&gt;0,Q2556+H2556+L2556,0)</f>
        <v/>
      </c>
      <c r="S2556" s="9">
        <f>VLOOKUP(OPERAC[[#This Row],[especie]],[1]!ESPECIES[#Data],9,FALSE)</f>
        <v/>
      </c>
    </row>
    <row r="2557">
      <c r="A2557" s="4" t="n">
        <v>2289</v>
      </c>
      <c r="B2557" s="5" t="n">
        <v>44649</v>
      </c>
      <c r="C2557" s="13" t="inlineStr">
        <is>
          <t>VTA</t>
        </is>
      </c>
      <c r="D2557" s="13" t="n">
        <v>42</v>
      </c>
      <c r="E2557" s="10">
        <f>IF(D2557&gt;0,VLOOKUP(OPERAC[[#This Row],[COD CART]],[1]!MatrizCortoLargoCyl[#All],3,0),"")</f>
        <v/>
      </c>
      <c r="F2557" s="13" t="inlineStr">
        <is>
          <t>FB</t>
        </is>
      </c>
      <c r="G2557" s="6" t="n">
        <v>2</v>
      </c>
      <c r="H2557" s="6" t="n">
        <v>-465.27288</v>
      </c>
      <c r="I2557" s="7">
        <f>-H2557/G2557</f>
        <v/>
      </c>
      <c r="J2557" s="11" t="n">
        <v>44671</v>
      </c>
      <c r="K2557" s="6">
        <f>+OPERAC[[#This Row],[cantidad]]</f>
        <v/>
      </c>
      <c r="L2557" s="6">
        <f>+OPERAC[[#This Row],[cantidad venta]]*213.173</f>
        <v/>
      </c>
      <c r="M2557" s="7">
        <f>IF(N2557=0,+L2557+H2557,0)</f>
        <v/>
      </c>
      <c r="N2557" s="7">
        <f>IF((+G2557-K2557)=0,0,+G2557-K2557)</f>
        <v/>
      </c>
      <c r="O2557" s="7">
        <f>IF(N2557=0,0,(L2557+H2557)/-N2557)</f>
        <v/>
      </c>
      <c r="P2557" s="7">
        <f>VLOOKUP(OPERAC[[#This Row],[especie]],[1]!ESPECIES[#All],6,0)</f>
        <v/>
      </c>
      <c r="Q2557" s="7">
        <f>IF(N2557&lt;&gt;0,P2557*N2557,0)</f>
        <v/>
      </c>
      <c r="R2557" s="8">
        <f>IF(Q2557&lt;&gt;0,Q2557+H2557+L2557,0)</f>
        <v/>
      </c>
      <c r="S2557" s="9">
        <f>VLOOKUP(OPERAC[[#This Row],[especie]],[1]!ESPECIES[#Data],9,FALSE)</f>
        <v/>
      </c>
    </row>
    <row r="2558">
      <c r="A2558" s="4" t="n">
        <v>3838</v>
      </c>
      <c r="B2558" s="5" t="n">
        <v>44649</v>
      </c>
      <c r="C2558" s="13" t="inlineStr">
        <is>
          <t>VTA</t>
        </is>
      </c>
      <c r="D2558" s="13" t="n">
        <v>42</v>
      </c>
      <c r="E2558" s="10">
        <f>IF(D2558&gt;0,VLOOKUP(OPERAC[[#This Row],[COD CART]],[1]!MatrizCortoLargoCyl[#All],3,0),"")</f>
        <v/>
      </c>
      <c r="F2558" s="13" t="inlineStr">
        <is>
          <t>FB</t>
        </is>
      </c>
      <c r="G2558" s="6" t="n">
        <v>2</v>
      </c>
      <c r="H2558" s="6" t="n">
        <v>-465.27288</v>
      </c>
      <c r="I2558" s="7">
        <f>-H2558/G2558</f>
        <v/>
      </c>
      <c r="J2558" s="11" t="n">
        <v>44671</v>
      </c>
      <c r="K2558" s="6">
        <f>+OPERAC[[#This Row],[cantidad]]</f>
        <v/>
      </c>
      <c r="L2558" s="6">
        <f>+OPERAC[[#This Row],[cantidad venta]]*213.173</f>
        <v/>
      </c>
      <c r="M2558" s="7">
        <f>IF(N2558=0,+L2558+H2558,0)</f>
        <v/>
      </c>
      <c r="N2558" s="7">
        <f>IF((+G2558-K2558)=0,0,+G2558-K2558)</f>
        <v/>
      </c>
      <c r="O2558" s="7">
        <f>IF(N2558=0,0,(L2558+H2558)/-N2558)</f>
        <v/>
      </c>
      <c r="P2558" s="7">
        <f>VLOOKUP(OPERAC[[#This Row],[especie]],[1]!ESPECIES[#All],6,0)</f>
        <v/>
      </c>
      <c r="Q2558" s="7">
        <f>IF(N2558&lt;&gt;0,P2558*N2558,0)</f>
        <v/>
      </c>
      <c r="R2558" s="8">
        <f>IF(Q2558&lt;&gt;0,Q2558+H2558+L2558,0)</f>
        <v/>
      </c>
      <c r="S2558" s="9">
        <f>VLOOKUP(OPERAC[[#This Row],[especie]],[1]!ESPECIES[#Data],9,FALSE)</f>
        <v/>
      </c>
    </row>
    <row r="2559">
      <c r="A2559" s="4" t="n">
        <v>19878</v>
      </c>
      <c r="B2559" s="5" t="n">
        <v>44650</v>
      </c>
      <c r="C2559" s="13" t="inlineStr">
        <is>
          <t>VTA</t>
        </is>
      </c>
      <c r="D2559" s="13" t="n">
        <v>42</v>
      </c>
      <c r="E2559" s="10">
        <f>IF(D2559&gt;0,VLOOKUP(OPERAC[[#This Row],[COD CART]],[1]!MatrizCortoLargoCyl[#All],3,0),"")</f>
        <v/>
      </c>
      <c r="F2559" s="13" t="inlineStr">
        <is>
          <t>ADBE</t>
        </is>
      </c>
      <c r="G2559" s="6" t="n">
        <v>1</v>
      </c>
      <c r="H2559" s="6" t="n">
        <v>-465.3878</v>
      </c>
      <c r="I2559" s="7">
        <f>-H2559/G2559</f>
        <v/>
      </c>
      <c r="J2559" s="11" t="n">
        <v>44687</v>
      </c>
      <c r="K2559" s="6">
        <f>+OPERAC[[#This Row],[cantidad]]</f>
        <v/>
      </c>
      <c r="L2559" s="6" t="n">
        <v>386.42</v>
      </c>
      <c r="M2559" s="7">
        <f>IF(N2559=0,+L2559+H2559,0)</f>
        <v/>
      </c>
      <c r="N2559" s="7">
        <f>IF((+G2559-K2559)=0,0,+G2559-K2559)</f>
        <v/>
      </c>
      <c r="O2559" s="7">
        <f>IF(N2559=0,0,(L2559+H2559)/-N2559)</f>
        <v/>
      </c>
      <c r="P2559" s="7">
        <f>VLOOKUP(OPERAC[[#This Row],[especie]],[1]!ESPECIES[#All],6,0)</f>
        <v/>
      </c>
      <c r="Q2559" s="7">
        <f>IF(N2559&lt;&gt;0,P2559*N2559,0)</f>
        <v/>
      </c>
      <c r="R2559" s="8">
        <f>IF(Q2559&lt;&gt;0,Q2559+H2559+L2559,0)</f>
        <v/>
      </c>
      <c r="S2559" s="9">
        <f>VLOOKUP(OPERAC[[#This Row],[especie]],[1]!ESPECIES[#Data],9,FALSE)</f>
        <v/>
      </c>
    </row>
    <row r="2560">
      <c r="A2560" s="4" t="n">
        <v>13271</v>
      </c>
      <c r="B2560" s="5" t="n">
        <v>44718</v>
      </c>
      <c r="C2560" s="13" t="inlineStr">
        <is>
          <t>VTA</t>
        </is>
      </c>
      <c r="D2560" s="13" t="n">
        <v>42</v>
      </c>
      <c r="E2560" s="10">
        <f>IF(D2560&gt;0,VLOOKUP(OPERAC[[#This Row],[COD CART]],[1]!MatrizCortoLargoCyl[#All],3,0),"")</f>
        <v/>
      </c>
      <c r="F2560" s="13" t="inlineStr">
        <is>
          <t>KWEB</t>
        </is>
      </c>
      <c r="G2560" s="6" t="n">
        <v>15</v>
      </c>
      <c r="H2560" s="6" t="n">
        <v>-466.25082</v>
      </c>
      <c r="I2560" s="7">
        <f>-H2560/G2560</f>
        <v/>
      </c>
      <c r="J2560" s="5" t="n"/>
      <c r="K2560" s="6" t="n"/>
      <c r="L2560" s="6" t="n"/>
      <c r="M2560" s="7">
        <f>IF(N2560=0,+L2560+H2560,0)</f>
        <v/>
      </c>
      <c r="N2560" s="7">
        <f>IF((+G2560-K2560)=0,0,+G2560-K2560)</f>
        <v/>
      </c>
      <c r="O2560" s="7">
        <f>IF(N2560=0,0,(L2560+H2560)/-N2560)</f>
        <v/>
      </c>
      <c r="P2560" s="7">
        <f>VLOOKUP(OPERAC[[#This Row],[especie]],[1]!ESPECIES[#All],6,0)</f>
        <v/>
      </c>
      <c r="Q2560" s="7">
        <f>IF(N2560&lt;&gt;0,P2560*N2560,0)</f>
        <v/>
      </c>
      <c r="R2560" s="8">
        <f>IF(Q2560&lt;&gt;0,Q2560+H2560+L2560,0)</f>
        <v/>
      </c>
      <c r="S2560" s="9">
        <f>VLOOKUP(OPERAC[[#This Row],[especie]],[1]!ESPECIES[#Data],9,FALSE)</f>
        <v/>
      </c>
    </row>
    <row r="2561">
      <c r="A2561" s="4" t="n">
        <v>11168</v>
      </c>
      <c r="B2561" s="5" t="n">
        <v>44650</v>
      </c>
      <c r="C2561" s="13" t="inlineStr">
        <is>
          <t>VTA</t>
        </is>
      </c>
      <c r="D2561" s="13" t="n">
        <v>42</v>
      </c>
      <c r="E2561" s="10">
        <f>IF(D2561&gt;0,VLOOKUP(OPERAC[[#This Row],[COD CART]],[1]!MatrizCortoLargoCyl[#All],3,0),"")</f>
        <v/>
      </c>
      <c r="F2561" s="13" t="inlineStr">
        <is>
          <t>ADBE</t>
        </is>
      </c>
      <c r="G2561" s="6" t="n">
        <v>1</v>
      </c>
      <c r="H2561" s="6" t="n">
        <v>-466.3129</v>
      </c>
      <c r="I2561" s="7">
        <f>-H2561/G2561</f>
        <v/>
      </c>
      <c r="J2561" s="11" t="n">
        <v>44687</v>
      </c>
      <c r="K2561" s="6">
        <f>+OPERAC[[#This Row],[cantidad]]</f>
        <v/>
      </c>
      <c r="L2561" s="6" t="n">
        <v>386.42</v>
      </c>
      <c r="M2561" s="7">
        <f>IF(N2561=0,+L2561+H2561,0)</f>
        <v/>
      </c>
      <c r="N2561" s="7">
        <f>IF((+G2561-K2561)=0,0,+G2561-K2561)</f>
        <v/>
      </c>
      <c r="O2561" s="7">
        <f>IF(N2561=0,0,(L2561+H2561)/-N2561)</f>
        <v/>
      </c>
      <c r="P2561" s="7">
        <f>VLOOKUP(OPERAC[[#This Row],[especie]],[1]!ESPECIES[#All],6,0)</f>
        <v/>
      </c>
      <c r="Q2561" s="7">
        <f>IF(N2561&lt;&gt;0,P2561*N2561,0)</f>
        <v/>
      </c>
      <c r="R2561" s="8">
        <f>IF(Q2561&lt;&gt;0,Q2561+H2561+L2561,0)</f>
        <v/>
      </c>
      <c r="S2561" s="9">
        <f>VLOOKUP(OPERAC[[#This Row],[especie]],[1]!ESPECIES[#Data],9,FALSE)</f>
        <v/>
      </c>
    </row>
    <row r="2562">
      <c r="A2562" s="4" t="n">
        <v>16818</v>
      </c>
      <c r="B2562" s="5" t="n">
        <v>44622</v>
      </c>
      <c r="C2562" s="13" t="inlineStr">
        <is>
          <t>VTA</t>
        </is>
      </c>
      <c r="D2562" s="13" t="n">
        <v>32</v>
      </c>
      <c r="E2562" s="10">
        <f>IF(D2562&gt;0,VLOOKUP(OPERAC[[#This Row],[COD CART]],[1]!MatrizCortoLargoCyl[#All],3,0),"")</f>
        <v/>
      </c>
      <c r="F2562" s="13" t="inlineStr">
        <is>
          <t>HMY/CYL/5,00/18-03-22</t>
        </is>
      </c>
      <c r="G2562" s="6" t="n">
        <v>100</v>
      </c>
      <c r="H2562" s="6" t="n">
        <v>-466.516</v>
      </c>
      <c r="I2562" s="7">
        <f>-H2562/G2562</f>
        <v/>
      </c>
      <c r="J2562" s="11" t="n">
        <v>44637</v>
      </c>
      <c r="K2562" s="6">
        <f>+OPERAC[[#This Row],[cantidad]]</f>
        <v/>
      </c>
      <c r="L2562" s="6">
        <f>4.85553*OPERAC[[#This Row],[cantidad venta]]</f>
        <v/>
      </c>
      <c r="M2562" s="7">
        <f>IF(N2562=0,+L2562+H2562,0)</f>
        <v/>
      </c>
      <c r="N2562" s="7">
        <f>IF((+G2562-K2562)=0,0,+G2562-K2562)</f>
        <v/>
      </c>
      <c r="O2562" s="7">
        <f>IF(N2562=0,0,(L2562+H2562)/-N2562)</f>
        <v/>
      </c>
      <c r="P2562" s="7">
        <f>VLOOKUP(OPERAC[[#This Row],[especie]],[1]!ESPECIES[#All],6,0)</f>
        <v/>
      </c>
      <c r="Q2562" s="7">
        <f>IF(N2562&lt;&gt;0,P2562*N2562,0)</f>
        <v/>
      </c>
      <c r="R2562" s="8">
        <f>IF(Q2562&lt;&gt;0,Q2562+H2562+L2562,0)</f>
        <v/>
      </c>
      <c r="S2562" s="9">
        <f>VLOOKUP(OPERAC[[#This Row],[especie]],[1]!ESPECIES[#Data],9,FALSE)</f>
        <v/>
      </c>
    </row>
    <row r="2563">
      <c r="A2563" s="4" t="n">
        <v>2218</v>
      </c>
      <c r="B2563" s="5" t="n">
        <v>44553</v>
      </c>
      <c r="C2563" s="13" t="inlineStr">
        <is>
          <t>VTA</t>
        </is>
      </c>
      <c r="D2563" s="13" t="n">
        <v>40</v>
      </c>
      <c r="E2563" s="10">
        <f>IF(D2563&gt;0,VLOOKUP(OPERAC[[#This Row],[COD CART]],[1]!MatrizCortoLargoCyl[#All],3,0),"")</f>
        <v/>
      </c>
      <c r="F2563" s="13" t="inlineStr">
        <is>
          <t>ON</t>
        </is>
      </c>
      <c r="G2563" s="6" t="n">
        <v>7</v>
      </c>
      <c r="H2563" s="6" t="n">
        <v>-466.5330319999999</v>
      </c>
      <c r="I2563" s="7">
        <f>-H2563/G2563</f>
        <v/>
      </c>
      <c r="J2563" s="11" t="n">
        <v>44606</v>
      </c>
      <c r="K2563" s="6">
        <f>+OPERAC[[#This Row],[cantidad]]</f>
        <v/>
      </c>
      <c r="L2563" s="6">
        <f>+OPERAC[[#This Row],[cantidad venta]]*58.449</f>
        <v/>
      </c>
      <c r="M2563" s="7">
        <f>IF(N2563=0,+L2563+H2563,0)</f>
        <v/>
      </c>
      <c r="N2563" s="7">
        <f>IF((+G2563-K2563)=0,0,+G2563-K2563)</f>
        <v/>
      </c>
      <c r="O2563" s="7">
        <f>IF(N2563=0,0,(L2563+H2563)/-N2563)</f>
        <v/>
      </c>
      <c r="P2563" s="7">
        <f>VLOOKUP(OPERAC[[#This Row],[especie]],[1]!ESPECIES[#All],6,0)</f>
        <v/>
      </c>
      <c r="Q2563" s="7">
        <f>IF(N2563&lt;&gt;0,P2563*N2563,0)</f>
        <v/>
      </c>
      <c r="R2563" s="8">
        <f>IF(Q2563&lt;&gt;0,Q2563+H2563+L2563,0)</f>
        <v/>
      </c>
      <c r="S2563" s="9">
        <f>VLOOKUP(OPERAC[[#This Row],[especie]],[1]!ESPECIES[#Data],9,FALSE)</f>
        <v/>
      </c>
    </row>
    <row r="2564">
      <c r="A2564" s="4" t="n">
        <v>18663</v>
      </c>
      <c r="B2564" s="5" t="n">
        <v>44495</v>
      </c>
      <c r="C2564" s="13" t="inlineStr">
        <is>
          <t>VTA</t>
        </is>
      </c>
      <c r="D2564" s="13" t="n">
        <v>41</v>
      </c>
      <c r="E2564" s="10">
        <f>IF(D2564&gt;0,VLOOKUP(OPERAC[[#This Row],[COD CART]],[1]!MatrizCortoLargoCyl[#All],3,0),"")</f>
        <v/>
      </c>
      <c r="F2564" s="13" t="inlineStr">
        <is>
          <t>EWZ</t>
        </is>
      </c>
      <c r="G2564" s="6" t="n">
        <v>15</v>
      </c>
      <c r="H2564" s="6" t="n">
        <v>-467.074</v>
      </c>
      <c r="I2564" s="7">
        <f>-H2564/G2564</f>
        <v/>
      </c>
      <c r="J2564" s="11" t="n"/>
      <c r="K2564" s="6" t="n"/>
      <c r="L2564" s="6" t="n"/>
      <c r="M2564" s="7">
        <f>IF(N2564=0,+L2564+H2564,0)</f>
        <v/>
      </c>
      <c r="N2564" s="7">
        <f>IF((+G2564-K2564)=0,0,+G2564-K2564)</f>
        <v/>
      </c>
      <c r="O2564" s="7">
        <f>IF(N2564=0,0,(L2564+H2564)/-N2564)</f>
        <v/>
      </c>
      <c r="P2564" s="7">
        <f>VLOOKUP(OPERAC[[#This Row],[especie]],[1]!ESPECIES[#All],6,0)</f>
        <v/>
      </c>
      <c r="Q2564" s="7">
        <f>IF(N2564&lt;&gt;0,P2564*N2564,0)</f>
        <v/>
      </c>
      <c r="R2564" s="8">
        <f>IF(Q2564&lt;&gt;0,Q2564+H2564+L2564,0)</f>
        <v/>
      </c>
      <c r="S2564" s="9">
        <f>VLOOKUP(OPERAC[[#This Row],[especie]],[1]!ESPECIES[#Data],9,FALSE)</f>
        <v/>
      </c>
    </row>
    <row r="2565">
      <c r="A2565" s="4" t="n">
        <v>3820</v>
      </c>
      <c r="B2565" s="5" t="n">
        <v>44622</v>
      </c>
      <c r="C2565" s="13" t="inlineStr">
        <is>
          <t>VTA</t>
        </is>
      </c>
      <c r="D2565" s="13" t="n">
        <v>32</v>
      </c>
      <c r="E2565" s="10">
        <f>IF(D2565&gt;0,VLOOKUP(OPERAC[[#This Row],[COD CART]],[1]!MatrizCortoLargoCyl[#All],3,0),"")</f>
        <v/>
      </c>
      <c r="F2565" s="13" t="inlineStr">
        <is>
          <t>HMY/CYL/5,00/18-03-22</t>
        </is>
      </c>
      <c r="G2565" s="6" t="n">
        <v>100</v>
      </c>
      <c r="H2565" s="6" t="n">
        <v>-467.524</v>
      </c>
      <c r="I2565" s="7">
        <f>-H2565/G2565</f>
        <v/>
      </c>
      <c r="J2565" s="11" t="n">
        <v>44637</v>
      </c>
      <c r="K2565" s="6">
        <f>+OPERAC[[#This Row],[cantidad]]</f>
        <v/>
      </c>
      <c r="L2565" s="6">
        <f>4.85553*OPERAC[[#This Row],[cantidad venta]]</f>
        <v/>
      </c>
      <c r="M2565" s="7">
        <f>IF(N2565=0,+L2565+H2565,0)</f>
        <v/>
      </c>
      <c r="N2565" s="7">
        <f>IF((+G2565-K2565)=0,0,+G2565-K2565)</f>
        <v/>
      </c>
      <c r="O2565" s="7">
        <f>IF(N2565=0,0,(L2565+H2565)/-N2565)</f>
        <v/>
      </c>
      <c r="P2565" s="7">
        <f>VLOOKUP(OPERAC[[#This Row],[especie]],[1]!ESPECIES[#All],6,0)</f>
        <v/>
      </c>
      <c r="Q2565" s="7">
        <f>IF(N2565&lt;&gt;0,P2565*N2565,0)</f>
        <v/>
      </c>
      <c r="R2565" s="8">
        <f>IF(Q2565&lt;&gt;0,Q2565+H2565+L2565,0)</f>
        <v/>
      </c>
      <c r="S2565" s="9">
        <f>VLOOKUP(OPERAC[[#This Row],[especie]],[1]!ESPECIES[#Data],9,FALSE)</f>
        <v/>
      </c>
    </row>
    <row r="2566">
      <c r="A2566" s="4" t="n">
        <v>1792</v>
      </c>
      <c r="B2566" s="5" t="n">
        <v>44622</v>
      </c>
      <c r="C2566" s="13" t="inlineStr">
        <is>
          <t>VTA</t>
        </is>
      </c>
      <c r="D2566" s="13" t="n">
        <v>32</v>
      </c>
      <c r="E2566" s="10">
        <f>IF(D2566&gt;0,VLOOKUP(OPERAC[[#This Row],[COD CART]],[1]!MatrizCortoLargoCyl[#All],3,0),"")</f>
        <v/>
      </c>
      <c r="F2566" s="13" t="inlineStr">
        <is>
          <t>HMY/CYL/5,00/18-03-22</t>
        </is>
      </c>
      <c r="G2566" s="6" t="n">
        <v>100</v>
      </c>
      <c r="H2566" s="6" t="n">
        <v>-468.532</v>
      </c>
      <c r="I2566" s="7">
        <f>-H2566/G2566</f>
        <v/>
      </c>
      <c r="J2566" s="11" t="n">
        <v>44637</v>
      </c>
      <c r="K2566" s="6">
        <f>+OPERAC[[#This Row],[cantidad]]</f>
        <v/>
      </c>
      <c r="L2566" s="6">
        <f>4.85553*OPERAC[[#This Row],[cantidad venta]]</f>
        <v/>
      </c>
      <c r="M2566" s="7">
        <f>IF(N2566=0,+L2566+H2566,0)</f>
        <v/>
      </c>
      <c r="N2566" s="7">
        <f>IF((+G2566-K2566)=0,0,+G2566-K2566)</f>
        <v/>
      </c>
      <c r="O2566" s="7">
        <f>IF(N2566=0,0,(L2566+H2566)/-N2566)</f>
        <v/>
      </c>
      <c r="P2566" s="7">
        <f>VLOOKUP(OPERAC[[#This Row],[especie]],[1]!ESPECIES[#All],6,0)</f>
        <v/>
      </c>
      <c r="Q2566" s="7">
        <f>IF(N2566&lt;&gt;0,P2566*N2566,0)</f>
        <v/>
      </c>
      <c r="R2566" s="8">
        <f>IF(Q2566&lt;&gt;0,Q2566+H2566+L2566,0)</f>
        <v/>
      </c>
      <c r="S2566" s="9">
        <f>VLOOKUP(OPERAC[[#This Row],[especie]],[1]!ESPECIES[#Data],9,FALSE)</f>
        <v/>
      </c>
    </row>
    <row r="2567">
      <c r="A2567" s="4" t="n">
        <v>1807</v>
      </c>
      <c r="B2567" s="5" t="n">
        <v>44622</v>
      </c>
      <c r="C2567" s="13" t="inlineStr">
        <is>
          <t>VTA</t>
        </is>
      </c>
      <c r="D2567" s="13" t="n">
        <v>32</v>
      </c>
      <c r="E2567" s="10">
        <f>IF(D2567&gt;0,VLOOKUP(OPERAC[[#This Row],[COD CART]],[1]!MatrizCortoLargoCyl[#All],3,0),"")</f>
        <v/>
      </c>
      <c r="F2567" s="13" t="inlineStr">
        <is>
          <t>HMY/CYL/5,00/18-03-22</t>
        </is>
      </c>
      <c r="G2567" s="6" t="n">
        <v>100</v>
      </c>
      <c r="H2567" s="6" t="n">
        <v>-468.532</v>
      </c>
      <c r="I2567" s="7">
        <f>-H2567/G2567</f>
        <v/>
      </c>
      <c r="J2567" s="11" t="n">
        <v>44637</v>
      </c>
      <c r="K2567" s="6">
        <f>+OPERAC[[#This Row],[cantidad]]</f>
        <v/>
      </c>
      <c r="L2567" s="6">
        <f>4.85553*OPERAC[[#This Row],[cantidad venta]]</f>
        <v/>
      </c>
      <c r="M2567" s="7">
        <f>IF(N2567=0,+L2567+H2567,0)</f>
        <v/>
      </c>
      <c r="N2567" s="7">
        <f>IF((+G2567-K2567)=0,0,+G2567-K2567)</f>
        <v/>
      </c>
      <c r="O2567" s="7">
        <f>IF(N2567=0,0,(L2567+H2567)/-N2567)</f>
        <v/>
      </c>
      <c r="P2567" s="7">
        <f>VLOOKUP(OPERAC[[#This Row],[especie]],[1]!ESPECIES[#All],6,0)</f>
        <v/>
      </c>
      <c r="Q2567" s="7">
        <f>IF(N2567&lt;&gt;0,P2567*N2567,0)</f>
        <v/>
      </c>
      <c r="R2567" s="8">
        <f>IF(Q2567&lt;&gt;0,Q2567+H2567+L2567,0)</f>
        <v/>
      </c>
      <c r="S2567" s="9">
        <f>VLOOKUP(OPERAC[[#This Row],[especie]],[1]!ESPECIES[#Data],9,FALSE)</f>
        <v/>
      </c>
    </row>
    <row r="2568">
      <c r="A2568" s="4" t="n">
        <v>2211</v>
      </c>
      <c r="B2568" s="5" t="n">
        <v>44622</v>
      </c>
      <c r="C2568" s="13" t="inlineStr">
        <is>
          <t>CPR</t>
        </is>
      </c>
      <c r="D2568" s="13" t="n">
        <v>32</v>
      </c>
      <c r="E2568" s="10">
        <f>IF(D2568&gt;0,VLOOKUP(OPERAC[[#This Row],[COD CART]],[1]!MatrizCortoLargoCyl[#All],3,0),"")</f>
        <v/>
      </c>
      <c r="F2568" s="13" t="inlineStr">
        <is>
          <t>HMY/CYL/5,00/18-03-22</t>
        </is>
      </c>
      <c r="G2568" s="6" t="n">
        <v>100</v>
      </c>
      <c r="H2568" s="6" t="n">
        <v>-468.532</v>
      </c>
      <c r="I2568" s="7">
        <f>-H2568/G2568</f>
        <v/>
      </c>
      <c r="J2568" s="11" t="n">
        <v>44637</v>
      </c>
      <c r="K2568" s="6">
        <f>+OPERAC[[#This Row],[cantidad]]</f>
        <v/>
      </c>
      <c r="L2568" s="6">
        <f>4.85553*OPERAC[[#This Row],[cantidad venta]]</f>
        <v/>
      </c>
      <c r="M2568" s="7">
        <f>IF(N2568=0,+L2568+H2568,0)</f>
        <v/>
      </c>
      <c r="N2568" s="7">
        <f>IF((+G2568-K2568)=0,0,+G2568-K2568)</f>
        <v/>
      </c>
      <c r="O2568" s="7">
        <f>IF(N2568=0,0,(L2568+H2568)/-N2568)</f>
        <v/>
      </c>
      <c r="P2568" s="7">
        <f>VLOOKUP(OPERAC[[#This Row],[especie]],[1]!ESPECIES[#All],6,0)</f>
        <v/>
      </c>
      <c r="Q2568" s="7">
        <f>IF(N2568&lt;&gt;0,P2568*N2568,0)</f>
        <v/>
      </c>
      <c r="R2568" s="8">
        <f>IF(Q2568&lt;&gt;0,Q2568+H2568+L2568,0)</f>
        <v/>
      </c>
      <c r="S2568" s="9">
        <f>VLOOKUP(OPERAC[[#This Row],[especie]],[1]!ESPECIES[#Data],9,FALSE)</f>
        <v/>
      </c>
    </row>
    <row r="2569">
      <c r="A2569" s="4" t="n">
        <v>2279</v>
      </c>
      <c r="B2569" s="5" t="n">
        <v>44622</v>
      </c>
      <c r="C2569" s="13" t="inlineStr">
        <is>
          <t>CPR</t>
        </is>
      </c>
      <c r="D2569" s="13" t="n">
        <v>32</v>
      </c>
      <c r="E2569" s="10">
        <f>IF(D2569&gt;0,VLOOKUP(OPERAC[[#This Row],[COD CART]],[1]!MatrizCortoLargoCyl[#All],3,0),"")</f>
        <v/>
      </c>
      <c r="F2569" s="13" t="inlineStr">
        <is>
          <t>HMY/CYL/5,00/18-03-22</t>
        </is>
      </c>
      <c r="G2569" s="6" t="n">
        <v>100</v>
      </c>
      <c r="H2569" s="6" t="n">
        <v>-468.532</v>
      </c>
      <c r="I2569" s="7">
        <f>-H2569/G2569</f>
        <v/>
      </c>
      <c r="J2569" s="11" t="n">
        <v>44637</v>
      </c>
      <c r="K2569" s="6">
        <f>+OPERAC[[#This Row],[cantidad]]</f>
        <v/>
      </c>
      <c r="L2569" s="6">
        <f>4.85553*OPERAC[[#This Row],[cantidad venta]]</f>
        <v/>
      </c>
      <c r="M2569" s="7">
        <f>IF(N2569=0,+L2569+H2569,0)</f>
        <v/>
      </c>
      <c r="N2569" s="7">
        <f>IF((+G2569-K2569)=0,0,+G2569-K2569)</f>
        <v/>
      </c>
      <c r="O2569" s="7">
        <f>IF(N2569=0,0,(L2569+H2569)/-N2569)</f>
        <v/>
      </c>
      <c r="P2569" s="7">
        <f>VLOOKUP(OPERAC[[#This Row],[especie]],[1]!ESPECIES[#All],6,0)</f>
        <v/>
      </c>
      <c r="Q2569" s="7">
        <f>IF(N2569&lt;&gt;0,P2569*N2569,0)</f>
        <v/>
      </c>
      <c r="R2569" s="8">
        <f>IF(Q2569&lt;&gt;0,Q2569+H2569+L2569,0)</f>
        <v/>
      </c>
      <c r="S2569" s="9">
        <f>VLOOKUP(OPERAC[[#This Row],[especie]],[1]!ESPECIES[#Data],9,FALSE)</f>
        <v/>
      </c>
    </row>
    <row r="2570">
      <c r="A2570" s="4" t="n">
        <v>2305</v>
      </c>
      <c r="B2570" s="5" t="n">
        <v>44622</v>
      </c>
      <c r="C2570" s="13" t="inlineStr">
        <is>
          <t>CPR</t>
        </is>
      </c>
      <c r="D2570" s="13" t="n">
        <v>32</v>
      </c>
      <c r="E2570" s="10">
        <f>IF(D2570&gt;0,VLOOKUP(OPERAC[[#This Row],[COD CART]],[1]!MatrizCortoLargoCyl[#All],3,0),"")</f>
        <v/>
      </c>
      <c r="F2570" s="13" t="inlineStr">
        <is>
          <t>HMY/CYL/5,00/18-03-22</t>
        </is>
      </c>
      <c r="G2570" s="6" t="n">
        <v>100</v>
      </c>
      <c r="H2570" s="6" t="n">
        <v>-468.532</v>
      </c>
      <c r="I2570" s="7">
        <f>-H2570/G2570</f>
        <v/>
      </c>
      <c r="J2570" s="11" t="n">
        <v>44637</v>
      </c>
      <c r="K2570" s="6">
        <f>+OPERAC[[#This Row],[cantidad]]</f>
        <v/>
      </c>
      <c r="L2570" s="6">
        <f>4.85553*OPERAC[[#This Row],[cantidad venta]]</f>
        <v/>
      </c>
      <c r="M2570" s="7">
        <f>IF(N2570=0,+L2570+H2570,0)</f>
        <v/>
      </c>
      <c r="N2570" s="7">
        <f>IF((+G2570-K2570)=0,0,+G2570-K2570)</f>
        <v/>
      </c>
      <c r="O2570" s="7">
        <f>IF(N2570=0,0,(L2570+H2570)/-N2570)</f>
        <v/>
      </c>
      <c r="P2570" s="7">
        <f>VLOOKUP(OPERAC[[#This Row],[especie]],[1]!ESPECIES[#All],6,0)</f>
        <v/>
      </c>
      <c r="Q2570" s="7">
        <f>IF(N2570&lt;&gt;0,P2570*N2570,0)</f>
        <v/>
      </c>
      <c r="R2570" s="8">
        <f>IF(Q2570&lt;&gt;0,Q2570+H2570+L2570,0)</f>
        <v/>
      </c>
      <c r="S2570" s="9">
        <f>VLOOKUP(OPERAC[[#This Row],[especie]],[1]!ESPECIES[#Data],9,FALSE)</f>
        <v/>
      </c>
    </row>
    <row r="2571">
      <c r="A2571" s="4" t="n">
        <v>3823</v>
      </c>
      <c r="B2571" s="5" t="n">
        <v>44622</v>
      </c>
      <c r="C2571" s="13" t="inlineStr">
        <is>
          <t>CPR</t>
        </is>
      </c>
      <c r="D2571" s="13" t="n">
        <v>32</v>
      </c>
      <c r="E2571" s="10">
        <f>IF(D2571&gt;0,VLOOKUP(OPERAC[[#This Row],[COD CART]],[1]!MatrizCortoLargoCyl[#All],3,0),"")</f>
        <v/>
      </c>
      <c r="F2571" s="13" t="inlineStr">
        <is>
          <t>HMY/CYL/5,00/18-03-22</t>
        </is>
      </c>
      <c r="G2571" s="6" t="n">
        <v>100</v>
      </c>
      <c r="H2571" s="6" t="n">
        <v>-468.532</v>
      </c>
      <c r="I2571" s="7">
        <f>-H2571/G2571</f>
        <v/>
      </c>
      <c r="J2571" s="11" t="n">
        <v>44637</v>
      </c>
      <c r="K2571" s="6">
        <f>+OPERAC[[#This Row],[cantidad]]</f>
        <v/>
      </c>
      <c r="L2571" s="6">
        <f>4.85553*OPERAC[[#This Row],[cantidad venta]]</f>
        <v/>
      </c>
      <c r="M2571" s="7">
        <f>IF(N2571=0,+L2571+H2571,0)</f>
        <v/>
      </c>
      <c r="N2571" s="7">
        <f>IF((+G2571-K2571)=0,0,+G2571-K2571)</f>
        <v/>
      </c>
      <c r="O2571" s="7">
        <f>IF(N2571=0,0,(L2571+H2571)/-N2571)</f>
        <v/>
      </c>
      <c r="P2571" s="7">
        <f>VLOOKUP(OPERAC[[#This Row],[especie]],[1]!ESPECIES[#All],6,0)</f>
        <v/>
      </c>
      <c r="Q2571" s="7">
        <f>IF(N2571&lt;&gt;0,P2571*N2571,0)</f>
        <v/>
      </c>
      <c r="R2571" s="8">
        <f>IF(Q2571&lt;&gt;0,Q2571+H2571+L2571,0)</f>
        <v/>
      </c>
      <c r="S2571" s="9">
        <f>VLOOKUP(OPERAC[[#This Row],[especie]],[1]!ESPECIES[#Data],9,FALSE)</f>
        <v/>
      </c>
    </row>
    <row r="2572">
      <c r="A2572" s="4" t="n">
        <v>3867</v>
      </c>
      <c r="B2572" s="5" t="n">
        <v>44622</v>
      </c>
      <c r="C2572" s="13" t="inlineStr">
        <is>
          <t>CPR</t>
        </is>
      </c>
      <c r="D2572" s="13" t="n">
        <v>32</v>
      </c>
      <c r="E2572" s="10">
        <f>IF(D2572&gt;0,VLOOKUP(OPERAC[[#This Row],[COD CART]],[1]!MatrizCortoLargoCyl[#All],3,0),"")</f>
        <v/>
      </c>
      <c r="F2572" s="13" t="inlineStr">
        <is>
          <t>HMY/CYL/5,00/18-03-22</t>
        </is>
      </c>
      <c r="G2572" s="6" t="n">
        <v>100</v>
      </c>
      <c r="H2572" s="6" t="n">
        <v>-468.532</v>
      </c>
      <c r="I2572" s="7">
        <f>-H2572/G2572</f>
        <v/>
      </c>
      <c r="J2572" s="11" t="n">
        <v>44637</v>
      </c>
      <c r="K2572" s="6">
        <f>+OPERAC[[#This Row],[cantidad]]</f>
        <v/>
      </c>
      <c r="L2572" s="6">
        <f>4.85553*OPERAC[[#This Row],[cantidad venta]]</f>
        <v/>
      </c>
      <c r="M2572" s="7">
        <f>IF(N2572=0,+L2572+H2572,0)</f>
        <v/>
      </c>
      <c r="N2572" s="7">
        <f>IF((+G2572-K2572)=0,0,+G2572-K2572)</f>
        <v/>
      </c>
      <c r="O2572" s="7">
        <f>IF(N2572=0,0,(L2572+H2572)/-N2572)</f>
        <v/>
      </c>
      <c r="P2572" s="7">
        <f>VLOOKUP(OPERAC[[#This Row],[especie]],[1]!ESPECIES[#All],6,0)</f>
        <v/>
      </c>
      <c r="Q2572" s="7">
        <f>IF(N2572&lt;&gt;0,P2572*N2572,0)</f>
        <v/>
      </c>
      <c r="R2572" s="8">
        <f>IF(Q2572&lt;&gt;0,Q2572+H2572+L2572,0)</f>
        <v/>
      </c>
      <c r="S2572" s="9">
        <f>VLOOKUP(OPERAC[[#This Row],[especie]],[1]!ESPECIES[#Data],9,FALSE)</f>
        <v/>
      </c>
    </row>
    <row r="2573">
      <c r="A2573" s="4" t="n">
        <v>6578</v>
      </c>
      <c r="B2573" s="5" t="n">
        <v>44622</v>
      </c>
      <c r="C2573" s="13" t="inlineStr">
        <is>
          <t>CPR</t>
        </is>
      </c>
      <c r="D2573" s="13" t="n">
        <v>32</v>
      </c>
      <c r="E2573" s="10">
        <f>IF(D2573&gt;0,VLOOKUP(OPERAC[[#This Row],[COD CART]],[1]!MatrizCortoLargoCyl[#All],3,0),"")</f>
        <v/>
      </c>
      <c r="F2573" s="13" t="inlineStr">
        <is>
          <t>HMY/CYL/5,00/18-03-22</t>
        </is>
      </c>
      <c r="G2573" s="6" t="n">
        <v>100</v>
      </c>
      <c r="H2573" s="6" t="n">
        <v>-468.532</v>
      </c>
      <c r="I2573" s="7">
        <f>-H2573/G2573</f>
        <v/>
      </c>
      <c r="J2573" s="11" t="n">
        <v>44637</v>
      </c>
      <c r="K2573" s="6">
        <f>+OPERAC[[#This Row],[cantidad]]</f>
        <v/>
      </c>
      <c r="L2573" s="6">
        <f>4.85553*OPERAC[[#This Row],[cantidad venta]]</f>
        <v/>
      </c>
      <c r="M2573" s="7">
        <f>IF(N2573=0,+L2573+H2573,0)</f>
        <v/>
      </c>
      <c r="N2573" s="7">
        <f>IF((+G2573-K2573)=0,0,+G2573-K2573)</f>
        <v/>
      </c>
      <c r="O2573" s="7">
        <f>IF(N2573=0,0,(L2573+H2573)/-N2573)</f>
        <v/>
      </c>
      <c r="P2573" s="7">
        <f>VLOOKUP(OPERAC[[#This Row],[especie]],[1]!ESPECIES[#All],6,0)</f>
        <v/>
      </c>
      <c r="Q2573" s="7">
        <f>IF(N2573&lt;&gt;0,P2573*N2573,0)</f>
        <v/>
      </c>
      <c r="R2573" s="8">
        <f>IF(Q2573&lt;&gt;0,Q2573+H2573+L2573,0)</f>
        <v/>
      </c>
      <c r="S2573" s="9">
        <f>VLOOKUP(OPERAC[[#This Row],[especie]],[1]!ESPECIES[#Data],9,FALSE)</f>
        <v/>
      </c>
    </row>
    <row r="2574">
      <c r="A2574" s="4" t="n">
        <v>6579</v>
      </c>
      <c r="B2574" s="5" t="n">
        <v>44622</v>
      </c>
      <c r="C2574" s="13" t="inlineStr">
        <is>
          <t>CPR</t>
        </is>
      </c>
      <c r="D2574" s="13" t="n">
        <v>32</v>
      </c>
      <c r="E2574" s="10">
        <f>IF(D2574&gt;0,VLOOKUP(OPERAC[[#This Row],[COD CART]],[1]!MatrizCortoLargoCyl[#All],3,0),"")</f>
        <v/>
      </c>
      <c r="F2574" s="13" t="inlineStr">
        <is>
          <t>HMY/CYL/5,00/18-03-22</t>
        </is>
      </c>
      <c r="G2574" s="6" t="n">
        <v>100</v>
      </c>
      <c r="H2574" s="6" t="n">
        <v>-468.532</v>
      </c>
      <c r="I2574" s="7">
        <f>-H2574/G2574</f>
        <v/>
      </c>
      <c r="J2574" s="11" t="n">
        <v>44637</v>
      </c>
      <c r="K2574" s="6">
        <f>+OPERAC[[#This Row],[cantidad]]</f>
        <v/>
      </c>
      <c r="L2574" s="6">
        <f>4.85553*OPERAC[[#This Row],[cantidad venta]]</f>
        <v/>
      </c>
      <c r="M2574" s="7">
        <f>IF(N2574=0,+L2574+H2574,0)</f>
        <v/>
      </c>
      <c r="N2574" s="7">
        <f>IF((+G2574-K2574)=0,0,+G2574-K2574)</f>
        <v/>
      </c>
      <c r="O2574" s="7">
        <f>IF(N2574=0,0,(L2574+H2574)/-N2574)</f>
        <v/>
      </c>
      <c r="P2574" s="7">
        <f>VLOOKUP(OPERAC[[#This Row],[especie]],[1]!ESPECIES[#All],6,0)</f>
        <v/>
      </c>
      <c r="Q2574" s="7">
        <f>IF(N2574&lt;&gt;0,P2574*N2574,0)</f>
        <v/>
      </c>
      <c r="R2574" s="8">
        <f>IF(Q2574&lt;&gt;0,Q2574+H2574+L2574,0)</f>
        <v/>
      </c>
      <c r="S2574" s="9">
        <f>VLOOKUP(OPERAC[[#This Row],[especie]],[1]!ESPECIES[#Data],9,FALSE)</f>
        <v/>
      </c>
    </row>
    <row r="2575">
      <c r="A2575" s="4" t="n">
        <v>6628</v>
      </c>
      <c r="B2575" s="5" t="n">
        <v>44622</v>
      </c>
      <c r="C2575" s="13" t="inlineStr">
        <is>
          <t>CPR</t>
        </is>
      </c>
      <c r="D2575" s="13" t="n">
        <v>32</v>
      </c>
      <c r="E2575" s="10">
        <f>IF(D2575&gt;0,VLOOKUP(OPERAC[[#This Row],[COD CART]],[1]!MatrizCortoLargoCyl[#All],3,0),"")</f>
        <v/>
      </c>
      <c r="F2575" s="13" t="inlineStr">
        <is>
          <t>HMY/CYL/5,00/18-03-22</t>
        </is>
      </c>
      <c r="G2575" s="6" t="n">
        <v>100</v>
      </c>
      <c r="H2575" s="6" t="n">
        <v>-468.532</v>
      </c>
      <c r="I2575" s="7">
        <f>-H2575/G2575</f>
        <v/>
      </c>
      <c r="J2575" s="11" t="n">
        <v>44637</v>
      </c>
      <c r="K2575" s="6">
        <f>+OPERAC[[#This Row],[cantidad]]</f>
        <v/>
      </c>
      <c r="L2575" s="6">
        <f>4.85553*OPERAC[[#This Row],[cantidad venta]]</f>
        <v/>
      </c>
      <c r="M2575" s="7">
        <f>IF(N2575=0,+L2575+H2575,0)</f>
        <v/>
      </c>
      <c r="N2575" s="7">
        <f>IF((+G2575-K2575)=0,0,+G2575-K2575)</f>
        <v/>
      </c>
      <c r="O2575" s="7">
        <f>IF(N2575=0,0,(L2575+H2575)/-N2575)</f>
        <v/>
      </c>
      <c r="P2575" s="7">
        <f>VLOOKUP(OPERAC[[#This Row],[especie]],[1]!ESPECIES[#All],6,0)</f>
        <v/>
      </c>
      <c r="Q2575" s="7">
        <f>IF(N2575&lt;&gt;0,P2575*N2575,0)</f>
        <v/>
      </c>
      <c r="R2575" s="8">
        <f>IF(Q2575&lt;&gt;0,Q2575+H2575+L2575,0)</f>
        <v/>
      </c>
      <c r="S2575" s="9">
        <f>VLOOKUP(OPERAC[[#This Row],[especie]],[1]!ESPECIES[#Data],9,FALSE)</f>
        <v/>
      </c>
    </row>
    <row r="2576">
      <c r="A2576" s="4" t="n">
        <v>7867</v>
      </c>
      <c r="B2576" s="5" t="n">
        <v>44622</v>
      </c>
      <c r="C2576" s="13" t="inlineStr">
        <is>
          <t>CPR</t>
        </is>
      </c>
      <c r="D2576" s="13" t="n">
        <v>32</v>
      </c>
      <c r="E2576" s="10">
        <f>IF(D2576&gt;0,VLOOKUP(OPERAC[[#This Row],[COD CART]],[1]!MatrizCortoLargoCyl[#All],3,0),"")</f>
        <v/>
      </c>
      <c r="F2576" s="13" t="inlineStr">
        <is>
          <t>HMY/CYL/5,00/18-03-22</t>
        </is>
      </c>
      <c r="G2576" s="6" t="n">
        <v>100</v>
      </c>
      <c r="H2576" s="6" t="n">
        <v>-468.532</v>
      </c>
      <c r="I2576" s="7">
        <f>-H2576/G2576</f>
        <v/>
      </c>
      <c r="J2576" s="11" t="n">
        <v>44637</v>
      </c>
      <c r="K2576" s="6">
        <f>+OPERAC[[#This Row],[cantidad]]</f>
        <v/>
      </c>
      <c r="L2576" s="6">
        <f>4.85553*OPERAC[[#This Row],[cantidad venta]]</f>
        <v/>
      </c>
      <c r="M2576" s="7">
        <f>IF(N2576=0,+L2576+H2576,0)</f>
        <v/>
      </c>
      <c r="N2576" s="7">
        <f>IF((+G2576-K2576)=0,0,+G2576-K2576)</f>
        <v/>
      </c>
      <c r="O2576" s="7">
        <f>IF(N2576=0,0,(L2576+H2576)/-N2576)</f>
        <v/>
      </c>
      <c r="P2576" s="7">
        <f>VLOOKUP(OPERAC[[#This Row],[especie]],[1]!ESPECIES[#All],6,0)</f>
        <v/>
      </c>
      <c r="Q2576" s="7">
        <f>IF(N2576&lt;&gt;0,P2576*N2576,0)</f>
        <v/>
      </c>
      <c r="R2576" s="8">
        <f>IF(Q2576&lt;&gt;0,Q2576+H2576+L2576,0)</f>
        <v/>
      </c>
      <c r="S2576" s="9">
        <f>VLOOKUP(OPERAC[[#This Row],[especie]],[1]!ESPECIES[#Data],9,FALSE)</f>
        <v/>
      </c>
    </row>
    <row r="2577">
      <c r="A2577" s="4" t="n">
        <v>8066</v>
      </c>
      <c r="B2577" s="5" t="n">
        <v>44622</v>
      </c>
      <c r="C2577" s="13" t="inlineStr">
        <is>
          <t>CPR</t>
        </is>
      </c>
      <c r="D2577" s="13" t="n">
        <v>32</v>
      </c>
      <c r="E2577" s="10">
        <f>IF(D2577&gt;0,VLOOKUP(OPERAC[[#This Row],[COD CART]],[1]!MatrizCortoLargoCyl[#All],3,0),"")</f>
        <v/>
      </c>
      <c r="F2577" s="13" t="inlineStr">
        <is>
          <t>HMY/CYL/5,00/18-03-22</t>
        </is>
      </c>
      <c r="G2577" s="6" t="n">
        <v>100</v>
      </c>
      <c r="H2577" s="6" t="n">
        <v>-468.532</v>
      </c>
      <c r="I2577" s="7">
        <f>-H2577/G2577</f>
        <v/>
      </c>
      <c r="J2577" s="11" t="n">
        <v>44637</v>
      </c>
      <c r="K2577" s="6">
        <f>+OPERAC[[#This Row],[cantidad]]</f>
        <v/>
      </c>
      <c r="L2577" s="6">
        <f>4.85553*OPERAC[[#This Row],[cantidad venta]]</f>
        <v/>
      </c>
      <c r="M2577" s="7">
        <f>IF(N2577=0,+L2577+H2577,0)</f>
        <v/>
      </c>
      <c r="N2577" s="7">
        <f>IF((+G2577-K2577)=0,0,+G2577-K2577)</f>
        <v/>
      </c>
      <c r="O2577" s="7">
        <f>IF(N2577=0,0,(L2577+H2577)/-N2577)</f>
        <v/>
      </c>
      <c r="P2577" s="7">
        <f>VLOOKUP(OPERAC[[#This Row],[especie]],[1]!ESPECIES[#All],6,0)</f>
        <v/>
      </c>
      <c r="Q2577" s="7">
        <f>IF(N2577&lt;&gt;0,P2577*N2577,0)</f>
        <v/>
      </c>
      <c r="R2577" s="8">
        <f>IF(Q2577&lt;&gt;0,Q2577+H2577+L2577,0)</f>
        <v/>
      </c>
      <c r="S2577" s="9">
        <f>VLOOKUP(OPERAC[[#This Row],[especie]],[1]!ESPECIES[#Data],9,FALSE)</f>
        <v/>
      </c>
    </row>
    <row r="2578">
      <c r="A2578" s="4" t="n">
        <v>11164</v>
      </c>
      <c r="B2578" s="5" t="n">
        <v>44622</v>
      </c>
      <c r="C2578" s="13" t="inlineStr">
        <is>
          <t>CPR</t>
        </is>
      </c>
      <c r="D2578" s="13" t="n">
        <v>32</v>
      </c>
      <c r="E2578" s="10">
        <f>IF(D2578&gt;0,VLOOKUP(OPERAC[[#This Row],[COD CART]],[1]!MatrizCortoLargoCyl[#All],3,0),"")</f>
        <v/>
      </c>
      <c r="F2578" s="13" t="inlineStr">
        <is>
          <t>HMY/CYL/5,00/18-03-22</t>
        </is>
      </c>
      <c r="G2578" s="6" t="n">
        <v>100</v>
      </c>
      <c r="H2578" s="6" t="n">
        <v>-468.532</v>
      </c>
      <c r="I2578" s="7">
        <f>-H2578/G2578</f>
        <v/>
      </c>
      <c r="J2578" s="11" t="n">
        <v>44637</v>
      </c>
      <c r="K2578" s="6">
        <f>+OPERAC[[#This Row],[cantidad]]</f>
        <v/>
      </c>
      <c r="L2578" s="6">
        <f>4.85553*OPERAC[[#This Row],[cantidad venta]]</f>
        <v/>
      </c>
      <c r="M2578" s="7">
        <f>IF(N2578=0,+L2578+H2578,0)</f>
        <v/>
      </c>
      <c r="N2578" s="7">
        <f>IF((+G2578-K2578)=0,0,+G2578-K2578)</f>
        <v/>
      </c>
      <c r="O2578" s="7">
        <f>IF(N2578=0,0,(L2578+H2578)/-N2578)</f>
        <v/>
      </c>
      <c r="P2578" s="7">
        <f>VLOOKUP(OPERAC[[#This Row],[especie]],[1]!ESPECIES[#All],6,0)</f>
        <v/>
      </c>
      <c r="Q2578" s="7">
        <f>IF(N2578&lt;&gt;0,P2578*N2578,0)</f>
        <v/>
      </c>
      <c r="R2578" s="8">
        <f>IF(Q2578&lt;&gt;0,Q2578+H2578+L2578,0)</f>
        <v/>
      </c>
      <c r="S2578" s="9">
        <f>VLOOKUP(OPERAC[[#This Row],[especie]],[1]!ESPECIES[#Data],9,FALSE)</f>
        <v/>
      </c>
    </row>
    <row r="2579">
      <c r="A2579" s="4" t="n">
        <v>11170</v>
      </c>
      <c r="B2579" s="5" t="n">
        <v>44622</v>
      </c>
      <c r="C2579" s="13" t="inlineStr">
        <is>
          <t>CPR</t>
        </is>
      </c>
      <c r="D2579" s="13" t="n">
        <v>32</v>
      </c>
      <c r="E2579" s="10">
        <f>IF(D2579&gt;0,VLOOKUP(OPERAC[[#This Row],[COD CART]],[1]!MatrizCortoLargoCyl[#All],3,0),"")</f>
        <v/>
      </c>
      <c r="F2579" s="13" t="inlineStr">
        <is>
          <t>HMY/CYL/5,00/18-03-22</t>
        </is>
      </c>
      <c r="G2579" s="6" t="n">
        <v>100</v>
      </c>
      <c r="H2579" s="6" t="n">
        <v>-468.532</v>
      </c>
      <c r="I2579" s="7">
        <f>-H2579/G2579</f>
        <v/>
      </c>
      <c r="J2579" s="11" t="n">
        <v>44637</v>
      </c>
      <c r="K2579" s="6">
        <f>+OPERAC[[#This Row],[cantidad]]</f>
        <v/>
      </c>
      <c r="L2579" s="6">
        <f>4.85553*OPERAC[[#This Row],[cantidad venta]]</f>
        <v/>
      </c>
      <c r="M2579" s="7">
        <f>IF(N2579=0,+L2579+H2579,0)</f>
        <v/>
      </c>
      <c r="N2579" s="7">
        <f>IF((+G2579-K2579)=0,0,+G2579-K2579)</f>
        <v/>
      </c>
      <c r="O2579" s="7">
        <f>IF(N2579=0,0,(L2579+H2579)/-N2579)</f>
        <v/>
      </c>
      <c r="P2579" s="7">
        <f>VLOOKUP(OPERAC[[#This Row],[especie]],[1]!ESPECIES[#All],6,0)</f>
        <v/>
      </c>
      <c r="Q2579" s="7">
        <f>IF(N2579&lt;&gt;0,P2579*N2579,0)</f>
        <v/>
      </c>
      <c r="R2579" s="8">
        <f>IF(Q2579&lt;&gt;0,Q2579+H2579+L2579,0)</f>
        <v/>
      </c>
      <c r="S2579" s="9">
        <f>VLOOKUP(OPERAC[[#This Row],[especie]],[1]!ESPECIES[#Data],9,FALSE)</f>
        <v/>
      </c>
    </row>
    <row r="2580">
      <c r="A2580" s="4" t="n">
        <v>12686</v>
      </c>
      <c r="B2580" s="5" t="n">
        <v>44622</v>
      </c>
      <c r="C2580" s="13" t="inlineStr">
        <is>
          <t>CPR</t>
        </is>
      </c>
      <c r="D2580" s="13" t="n">
        <v>32</v>
      </c>
      <c r="E2580" s="10">
        <f>IF(D2580&gt;0,VLOOKUP(OPERAC[[#This Row],[COD CART]],[1]!MatrizCortoLargoCyl[#All],3,0),"")</f>
        <v/>
      </c>
      <c r="F2580" s="13" t="inlineStr">
        <is>
          <t>HMY/CYL/5,00/18-03-22</t>
        </is>
      </c>
      <c r="G2580" s="6" t="n">
        <v>100</v>
      </c>
      <c r="H2580" s="6" t="n">
        <v>-468.532</v>
      </c>
      <c r="I2580" s="7">
        <f>-H2580/G2580</f>
        <v/>
      </c>
      <c r="J2580" s="11" t="n">
        <v>44637</v>
      </c>
      <c r="K2580" s="6">
        <f>+OPERAC[[#This Row],[cantidad]]</f>
        <v/>
      </c>
      <c r="L2580" s="6">
        <f>4.85553*OPERAC[[#This Row],[cantidad venta]]</f>
        <v/>
      </c>
      <c r="M2580" s="7">
        <f>IF(N2580=0,+L2580+H2580,0)</f>
        <v/>
      </c>
      <c r="N2580" s="7">
        <f>IF((+G2580-K2580)=0,0,+G2580-K2580)</f>
        <v/>
      </c>
      <c r="O2580" s="7">
        <f>IF(N2580=0,0,(L2580+H2580)/-N2580)</f>
        <v/>
      </c>
      <c r="P2580" s="7">
        <f>VLOOKUP(OPERAC[[#This Row],[especie]],[1]!ESPECIES[#All],6,0)</f>
        <v/>
      </c>
      <c r="Q2580" s="7">
        <f>IF(N2580&lt;&gt;0,P2580*N2580,0)</f>
        <v/>
      </c>
      <c r="R2580" s="8">
        <f>IF(Q2580&lt;&gt;0,Q2580+H2580+L2580,0)</f>
        <v/>
      </c>
      <c r="S2580" s="9">
        <f>VLOOKUP(OPERAC[[#This Row],[especie]],[1]!ESPECIES[#Data],9,FALSE)</f>
        <v/>
      </c>
    </row>
    <row r="2581">
      <c r="A2581" s="4" t="n">
        <v>12688</v>
      </c>
      <c r="B2581" s="5" t="n">
        <v>44622</v>
      </c>
      <c r="C2581" s="13" t="inlineStr">
        <is>
          <t>CPR</t>
        </is>
      </c>
      <c r="D2581" s="13" t="n">
        <v>32</v>
      </c>
      <c r="E2581" s="10">
        <f>IF(D2581&gt;0,VLOOKUP(OPERAC[[#This Row],[COD CART]],[1]!MatrizCortoLargoCyl[#All],3,0),"")</f>
        <v/>
      </c>
      <c r="F2581" s="13" t="inlineStr">
        <is>
          <t>HMY/CYL/5,00/18-03-22</t>
        </is>
      </c>
      <c r="G2581" s="6" t="n">
        <v>100</v>
      </c>
      <c r="H2581" s="6" t="n">
        <v>-468.532</v>
      </c>
      <c r="I2581" s="7">
        <f>-H2581/G2581</f>
        <v/>
      </c>
      <c r="J2581" s="11" t="n">
        <v>44637</v>
      </c>
      <c r="K2581" s="6">
        <f>+OPERAC[[#This Row],[cantidad]]</f>
        <v/>
      </c>
      <c r="L2581" s="6">
        <f>4.85553*OPERAC[[#This Row],[cantidad venta]]</f>
        <v/>
      </c>
      <c r="M2581" s="7">
        <f>IF(N2581=0,+L2581+H2581,0)</f>
        <v/>
      </c>
      <c r="N2581" s="7">
        <f>IF((+G2581-K2581)=0,0,+G2581-K2581)</f>
        <v/>
      </c>
      <c r="O2581" s="7">
        <f>IF(N2581=0,0,(L2581+H2581)/-N2581)</f>
        <v/>
      </c>
      <c r="P2581" s="7">
        <f>VLOOKUP(OPERAC[[#This Row],[especie]],[1]!ESPECIES[#All],6,0)</f>
        <v/>
      </c>
      <c r="Q2581" s="7">
        <f>IF(N2581&lt;&gt;0,P2581*N2581,0)</f>
        <v/>
      </c>
      <c r="R2581" s="8">
        <f>IF(Q2581&lt;&gt;0,Q2581+H2581+L2581,0)</f>
        <v/>
      </c>
      <c r="S2581" s="9">
        <f>VLOOKUP(OPERAC[[#This Row],[especie]],[1]!ESPECIES[#Data],9,FALSE)</f>
        <v/>
      </c>
    </row>
    <row r="2582">
      <c r="A2582" s="4" t="n">
        <v>13269</v>
      </c>
      <c r="B2582" s="5" t="n">
        <v>44622</v>
      </c>
      <c r="C2582" s="13" t="inlineStr">
        <is>
          <t>CPR</t>
        </is>
      </c>
      <c r="D2582" s="13" t="n">
        <v>32</v>
      </c>
      <c r="E2582" s="10">
        <f>IF(D2582&gt;0,VLOOKUP(OPERAC[[#This Row],[COD CART]],[1]!MatrizCortoLargoCyl[#All],3,0),"")</f>
        <v/>
      </c>
      <c r="F2582" s="13" t="inlineStr">
        <is>
          <t>HMY/CYL/5,00/18-03-22</t>
        </is>
      </c>
      <c r="G2582" s="6" t="n">
        <v>100</v>
      </c>
      <c r="H2582" s="6" t="n">
        <v>-468.532</v>
      </c>
      <c r="I2582" s="7">
        <f>-H2582/G2582</f>
        <v/>
      </c>
      <c r="J2582" s="11" t="n">
        <v>44637</v>
      </c>
      <c r="K2582" s="6">
        <f>+OPERAC[[#This Row],[cantidad]]</f>
        <v/>
      </c>
      <c r="L2582" s="6">
        <f>4.85553*OPERAC[[#This Row],[cantidad venta]]</f>
        <v/>
      </c>
      <c r="M2582" s="7">
        <f>IF(N2582=0,+L2582+H2582,0)</f>
        <v/>
      </c>
      <c r="N2582" s="7">
        <f>IF((+G2582-K2582)=0,0,+G2582-K2582)</f>
        <v/>
      </c>
      <c r="O2582" s="7">
        <f>IF(N2582=0,0,(L2582+H2582)/-N2582)</f>
        <v/>
      </c>
      <c r="P2582" s="7">
        <f>VLOOKUP(OPERAC[[#This Row],[especie]],[1]!ESPECIES[#All],6,0)</f>
        <v/>
      </c>
      <c r="Q2582" s="7">
        <f>IF(N2582&lt;&gt;0,P2582*N2582,0)</f>
        <v/>
      </c>
      <c r="R2582" s="8">
        <f>IF(Q2582&lt;&gt;0,Q2582+H2582+L2582,0)</f>
        <v/>
      </c>
      <c r="S2582" s="9">
        <f>VLOOKUP(OPERAC[[#This Row],[especie]],[1]!ESPECIES[#Data],9,FALSE)</f>
        <v/>
      </c>
    </row>
    <row r="2583">
      <c r="A2583" s="4" t="n">
        <v>13273</v>
      </c>
      <c r="B2583" s="5" t="n">
        <v>44622</v>
      </c>
      <c r="C2583" s="13" t="inlineStr">
        <is>
          <t>CPR</t>
        </is>
      </c>
      <c r="D2583" s="13" t="n">
        <v>32</v>
      </c>
      <c r="E2583" s="10">
        <f>IF(D2583&gt;0,VLOOKUP(OPERAC[[#This Row],[COD CART]],[1]!MatrizCortoLargoCyl[#All],3,0),"")</f>
        <v/>
      </c>
      <c r="F2583" s="13" t="inlineStr">
        <is>
          <t>HMY/CYL/5,00/18-03-22</t>
        </is>
      </c>
      <c r="G2583" s="6" t="n">
        <v>100</v>
      </c>
      <c r="H2583" s="6" t="n">
        <v>-468.532</v>
      </c>
      <c r="I2583" s="7">
        <f>-H2583/G2583</f>
        <v/>
      </c>
      <c r="J2583" s="11" t="n">
        <v>44637</v>
      </c>
      <c r="K2583" s="6">
        <f>+OPERAC[[#This Row],[cantidad]]</f>
        <v/>
      </c>
      <c r="L2583" s="6">
        <f>4.85553*OPERAC[[#This Row],[cantidad venta]]</f>
        <v/>
      </c>
      <c r="M2583" s="7">
        <f>IF(N2583=0,+L2583+H2583,0)</f>
        <v/>
      </c>
      <c r="N2583" s="7">
        <f>IF((+G2583-K2583)=0,0,+G2583-K2583)</f>
        <v/>
      </c>
      <c r="O2583" s="7">
        <f>IF(N2583=0,0,(L2583+H2583)/-N2583)</f>
        <v/>
      </c>
      <c r="P2583" s="7">
        <f>VLOOKUP(OPERAC[[#This Row],[especie]],[1]!ESPECIES[#All],6,0)</f>
        <v/>
      </c>
      <c r="Q2583" s="7">
        <f>IF(N2583&lt;&gt;0,P2583*N2583,0)</f>
        <v/>
      </c>
      <c r="R2583" s="8">
        <f>IF(Q2583&lt;&gt;0,Q2583+H2583+L2583,0)</f>
        <v/>
      </c>
      <c r="S2583" s="9">
        <f>VLOOKUP(OPERAC[[#This Row],[especie]],[1]!ESPECIES[#Data],9,FALSE)</f>
        <v/>
      </c>
    </row>
    <row r="2584">
      <c r="A2584" s="4" t="n">
        <v>18677</v>
      </c>
      <c r="B2584" s="5" t="n">
        <v>44622</v>
      </c>
      <c r="C2584" s="13" t="inlineStr">
        <is>
          <t>CPR</t>
        </is>
      </c>
      <c r="D2584" s="13" t="n">
        <v>32</v>
      </c>
      <c r="E2584" s="10">
        <f>IF(D2584&gt;0,VLOOKUP(OPERAC[[#This Row],[COD CART]],[1]!MatrizCortoLargoCyl[#All],3,0),"")</f>
        <v/>
      </c>
      <c r="F2584" s="13" t="inlineStr">
        <is>
          <t>HMY/CYL/5,00/18-03-22</t>
        </is>
      </c>
      <c r="G2584" s="6" t="n">
        <v>100</v>
      </c>
      <c r="H2584" s="6" t="n">
        <v>-468.532</v>
      </c>
      <c r="I2584" s="7">
        <f>-H2584/G2584</f>
        <v/>
      </c>
      <c r="J2584" s="11" t="n">
        <v>44637</v>
      </c>
      <c r="K2584" s="6">
        <f>+OPERAC[[#This Row],[cantidad]]</f>
        <v/>
      </c>
      <c r="L2584" s="6">
        <f>4.85553*OPERAC[[#This Row],[cantidad venta]]</f>
        <v/>
      </c>
      <c r="M2584" s="7">
        <f>IF(N2584=0,+L2584+H2584,0)</f>
        <v/>
      </c>
      <c r="N2584" s="7">
        <f>IF((+G2584-K2584)=0,0,+G2584-K2584)</f>
        <v/>
      </c>
      <c r="O2584" s="7">
        <f>IF(N2584=0,0,(L2584+H2584)/-N2584)</f>
        <v/>
      </c>
      <c r="P2584" s="7">
        <f>VLOOKUP(OPERAC[[#This Row],[especie]],[1]!ESPECIES[#All],6,0)</f>
        <v/>
      </c>
      <c r="Q2584" s="7">
        <f>IF(N2584&lt;&gt;0,P2584*N2584,0)</f>
        <v/>
      </c>
      <c r="R2584" s="8">
        <f>IF(Q2584&lt;&gt;0,Q2584+H2584+L2584,0)</f>
        <v/>
      </c>
      <c r="S2584" s="9">
        <f>VLOOKUP(OPERAC[[#This Row],[especie]],[1]!ESPECIES[#Data],9,FALSE)</f>
        <v/>
      </c>
    </row>
    <row r="2585">
      <c r="A2585" s="4" t="n">
        <v>18713</v>
      </c>
      <c r="B2585" s="5" t="n">
        <v>44622</v>
      </c>
      <c r="C2585" s="13" t="inlineStr">
        <is>
          <t>CPR</t>
        </is>
      </c>
      <c r="D2585" s="13" t="n">
        <v>32</v>
      </c>
      <c r="E2585" s="10">
        <f>IF(D2585&gt;0,VLOOKUP(OPERAC[[#This Row],[COD CART]],[1]!MatrizCortoLargoCyl[#All],3,0),"")</f>
        <v/>
      </c>
      <c r="F2585" s="13" t="inlineStr">
        <is>
          <t>HMY/CYL/5,00/18-03-22</t>
        </is>
      </c>
      <c r="G2585" s="6" t="n">
        <v>100</v>
      </c>
      <c r="H2585" s="6" t="n">
        <v>-468.532</v>
      </c>
      <c r="I2585" s="7">
        <f>-H2585/G2585</f>
        <v/>
      </c>
      <c r="J2585" s="11" t="n">
        <v>44637</v>
      </c>
      <c r="K2585" s="6">
        <f>+OPERAC[[#This Row],[cantidad]]</f>
        <v/>
      </c>
      <c r="L2585" s="6">
        <f>4.85553*OPERAC[[#This Row],[cantidad venta]]</f>
        <v/>
      </c>
      <c r="M2585" s="7">
        <f>IF(N2585=0,+L2585+H2585,0)</f>
        <v/>
      </c>
      <c r="N2585" s="7">
        <f>IF((+G2585-K2585)=0,0,+G2585-K2585)</f>
        <v/>
      </c>
      <c r="O2585" s="7">
        <f>IF(N2585=0,0,(L2585+H2585)/-N2585)</f>
        <v/>
      </c>
      <c r="P2585" s="7">
        <f>VLOOKUP(OPERAC[[#This Row],[especie]],[1]!ESPECIES[#All],6,0)</f>
        <v/>
      </c>
      <c r="Q2585" s="7">
        <f>IF(N2585&lt;&gt;0,P2585*N2585,0)</f>
        <v/>
      </c>
      <c r="R2585" s="8">
        <f>IF(Q2585&lt;&gt;0,Q2585+H2585+L2585,0)</f>
        <v/>
      </c>
      <c r="S2585" s="9">
        <f>VLOOKUP(OPERAC[[#This Row],[especie]],[1]!ESPECIES[#Data],9,FALSE)</f>
        <v/>
      </c>
    </row>
    <row r="2586">
      <c r="A2586" s="4" t="n">
        <v>18724</v>
      </c>
      <c r="B2586" s="5" t="n">
        <v>44622</v>
      </c>
      <c r="C2586" s="13" t="inlineStr">
        <is>
          <t>CPR</t>
        </is>
      </c>
      <c r="D2586" s="13" t="n">
        <v>32</v>
      </c>
      <c r="E2586" s="10">
        <f>IF(D2586&gt;0,VLOOKUP(OPERAC[[#This Row],[COD CART]],[1]!MatrizCortoLargoCyl[#All],3,0),"")</f>
        <v/>
      </c>
      <c r="F2586" s="13" t="inlineStr">
        <is>
          <t>HMY/CYL/5,00/18-03-22</t>
        </is>
      </c>
      <c r="G2586" s="6" t="n">
        <v>100</v>
      </c>
      <c r="H2586" s="6" t="n">
        <v>-468.532</v>
      </c>
      <c r="I2586" s="7">
        <f>-H2586/G2586</f>
        <v/>
      </c>
      <c r="J2586" s="11" t="n">
        <v>44637</v>
      </c>
      <c r="K2586" s="6">
        <f>+OPERAC[[#This Row],[cantidad]]</f>
        <v/>
      </c>
      <c r="L2586" s="6">
        <f>4.85553*OPERAC[[#This Row],[cantidad venta]]</f>
        <v/>
      </c>
      <c r="M2586" s="7">
        <f>IF(N2586=0,+L2586+H2586,0)</f>
        <v/>
      </c>
      <c r="N2586" s="7">
        <f>IF((+G2586-K2586)=0,0,+G2586-K2586)</f>
        <v/>
      </c>
      <c r="O2586" s="7">
        <f>IF(N2586=0,0,(L2586+H2586)/-N2586)</f>
        <v/>
      </c>
      <c r="P2586" s="7">
        <f>VLOOKUP(OPERAC[[#This Row],[especie]],[1]!ESPECIES[#All],6,0)</f>
        <v/>
      </c>
      <c r="Q2586" s="7">
        <f>IF(N2586&lt;&gt;0,P2586*N2586,0)</f>
        <v/>
      </c>
      <c r="R2586" s="8">
        <f>IF(Q2586&lt;&gt;0,Q2586+H2586+L2586,0)</f>
        <v/>
      </c>
      <c r="S2586" s="9">
        <f>VLOOKUP(OPERAC[[#This Row],[especie]],[1]!ESPECIES[#Data],9,FALSE)</f>
        <v/>
      </c>
    </row>
    <row r="2587">
      <c r="A2587" s="4" t="n">
        <v>20317</v>
      </c>
      <c r="B2587" s="5" t="n">
        <v>44622</v>
      </c>
      <c r="C2587" s="13" t="inlineStr">
        <is>
          <t>CPR</t>
        </is>
      </c>
      <c r="D2587" s="13" t="n">
        <v>32</v>
      </c>
      <c r="E2587" s="10">
        <f>IF(D2587&gt;0,VLOOKUP(OPERAC[[#This Row],[COD CART]],[1]!MatrizCortoLargoCyl[#All],3,0),"")</f>
        <v/>
      </c>
      <c r="F2587" s="13" t="inlineStr">
        <is>
          <t>HMY/CYL/5,00/18-03-22</t>
        </is>
      </c>
      <c r="G2587" s="6" t="n">
        <v>100</v>
      </c>
      <c r="H2587" s="6" t="n">
        <v>-468.532</v>
      </c>
      <c r="I2587" s="7">
        <f>-H2587/G2587</f>
        <v/>
      </c>
      <c r="J2587" s="11" t="n">
        <v>44637</v>
      </c>
      <c r="K2587" s="6">
        <f>+OPERAC[[#This Row],[cantidad]]</f>
        <v/>
      </c>
      <c r="L2587" s="6">
        <f>4.85553*OPERAC[[#This Row],[cantidad venta]]</f>
        <v/>
      </c>
      <c r="M2587" s="7">
        <f>IF(N2587=0,+L2587+H2587,0)</f>
        <v/>
      </c>
      <c r="N2587" s="7">
        <f>IF((+G2587-K2587)=0,0,+G2587-K2587)</f>
        <v/>
      </c>
      <c r="O2587" s="7">
        <f>IF(N2587=0,0,(L2587+H2587)/-N2587)</f>
        <v/>
      </c>
      <c r="P2587" s="7">
        <f>VLOOKUP(OPERAC[[#This Row],[especie]],[1]!ESPECIES[#All],6,0)</f>
        <v/>
      </c>
      <c r="Q2587" s="7">
        <f>IF(N2587&lt;&gt;0,P2587*N2587,0)</f>
        <v/>
      </c>
      <c r="R2587" s="8">
        <f>IF(Q2587&lt;&gt;0,Q2587+H2587+L2587,0)</f>
        <v/>
      </c>
      <c r="S2587" s="9">
        <f>VLOOKUP(OPERAC[[#This Row],[especie]],[1]!ESPECIES[#Data],9,FALSE)</f>
        <v/>
      </c>
    </row>
    <row r="2588">
      <c r="A2588" s="4" t="n">
        <v>22393</v>
      </c>
      <c r="B2588" s="5" t="n">
        <v>44622</v>
      </c>
      <c r="C2588" s="13" t="inlineStr">
        <is>
          <t>CPR</t>
        </is>
      </c>
      <c r="D2588" s="13" t="n">
        <v>32</v>
      </c>
      <c r="E2588" s="10">
        <f>IF(D2588&gt;0,VLOOKUP(OPERAC[[#This Row],[COD CART]],[1]!MatrizCortoLargoCyl[#All],3,0),"")</f>
        <v/>
      </c>
      <c r="F2588" s="13" t="inlineStr">
        <is>
          <t>HMY/CYL/5,00/18-03-22</t>
        </is>
      </c>
      <c r="G2588" s="6" t="n">
        <v>100</v>
      </c>
      <c r="H2588" s="6" t="n">
        <v>-468.532</v>
      </c>
      <c r="I2588" s="7">
        <f>-H2588/G2588</f>
        <v/>
      </c>
      <c r="J2588" s="11" t="n">
        <v>44637</v>
      </c>
      <c r="K2588" s="6">
        <f>+OPERAC[[#This Row],[cantidad]]</f>
        <v/>
      </c>
      <c r="L2588" s="6">
        <f>4.85553*OPERAC[[#This Row],[cantidad venta]]</f>
        <v/>
      </c>
      <c r="M2588" s="7">
        <f>IF(N2588=0,+L2588+H2588,0)</f>
        <v/>
      </c>
      <c r="N2588" s="7">
        <f>IF((+G2588-K2588)=0,0,+G2588-K2588)</f>
        <v/>
      </c>
      <c r="O2588" s="7">
        <f>IF(N2588=0,0,(L2588+H2588)/-N2588)</f>
        <v/>
      </c>
      <c r="P2588" s="7">
        <f>VLOOKUP(OPERAC[[#This Row],[especie]],[1]!ESPECIES[#All],6,0)</f>
        <v/>
      </c>
      <c r="Q2588" s="7">
        <f>IF(N2588&lt;&gt;0,P2588*N2588,0)</f>
        <v/>
      </c>
      <c r="R2588" s="8">
        <f>IF(Q2588&lt;&gt;0,Q2588+H2588+L2588,0)</f>
        <v/>
      </c>
      <c r="S2588" s="9">
        <f>VLOOKUP(OPERAC[[#This Row],[especie]],[1]!ESPECIES[#Data],9,FALSE)</f>
        <v/>
      </c>
    </row>
    <row r="2589">
      <c r="A2589" s="4" t="n">
        <v>22407</v>
      </c>
      <c r="B2589" s="5" t="n">
        <v>44655</v>
      </c>
      <c r="C2589" s="13" t="inlineStr">
        <is>
          <t>CPR</t>
        </is>
      </c>
      <c r="D2589" s="13" t="n">
        <v>42</v>
      </c>
      <c r="E2589" s="10">
        <f>IF(D2589&gt;0,VLOOKUP(OPERAC[[#This Row],[COD CART]],[1]!MatrizCortoLargoCyl[#All],3,0),"")</f>
        <v/>
      </c>
      <c r="F2589" s="13" t="inlineStr">
        <is>
          <t>FB</t>
        </is>
      </c>
      <c r="G2589" s="6" t="n">
        <v>2</v>
      </c>
      <c r="H2589" s="6" t="n">
        <v>-468.89344</v>
      </c>
      <c r="I2589" s="7">
        <f>-H2589/G2589</f>
        <v/>
      </c>
      <c r="J2589" s="11" t="n">
        <v>44671</v>
      </c>
      <c r="K2589" s="6">
        <f>+OPERAC[[#This Row],[cantidad]]</f>
        <v/>
      </c>
      <c r="L2589" s="6">
        <f>+OPERAC[[#This Row],[cantidad venta]]*213.173</f>
        <v/>
      </c>
      <c r="M2589" s="7">
        <f>IF(N2589=0,+L2589+H2589,0)</f>
        <v/>
      </c>
      <c r="N2589" s="7">
        <f>IF((+G2589-K2589)=0,0,+G2589-K2589)</f>
        <v/>
      </c>
      <c r="O2589" s="7">
        <f>IF(N2589=0,0,(L2589+H2589)/-N2589)</f>
        <v/>
      </c>
      <c r="P2589" s="7">
        <f>VLOOKUP(OPERAC[[#This Row],[especie]],[1]!ESPECIES[#All],6,0)</f>
        <v/>
      </c>
      <c r="Q2589" s="7">
        <f>IF(N2589&lt;&gt;0,P2589*N2589,0)</f>
        <v/>
      </c>
      <c r="R2589" s="8">
        <f>IF(Q2589&lt;&gt;0,Q2589+H2589+L2589,0)</f>
        <v/>
      </c>
      <c r="S2589" s="9">
        <f>VLOOKUP(OPERAC[[#This Row],[especie]],[1]!ESPECIES[#Data],9,FALSE)</f>
        <v/>
      </c>
    </row>
    <row r="2590">
      <c r="A2590" s="4" t="n">
        <v>13253</v>
      </c>
      <c r="B2590" s="5" t="n">
        <v>44559</v>
      </c>
      <c r="C2590" s="13" t="inlineStr">
        <is>
          <t>CPR</t>
        </is>
      </c>
      <c r="D2590" s="13" t="n">
        <v>41</v>
      </c>
      <c r="E2590" s="10">
        <f>IF(D2590&gt;0,VLOOKUP(OPERAC[[#This Row],[COD CART]],[1]!MatrizCortoLargoCyl[#All],3,0),"")</f>
        <v/>
      </c>
      <c r="F2590" s="13" t="inlineStr">
        <is>
          <t>DIS</t>
        </is>
      </c>
      <c r="G2590" s="6" t="n">
        <v>3</v>
      </c>
      <c r="H2590" s="6" t="n">
        <v>-469.055</v>
      </c>
      <c r="I2590" s="7">
        <f>-H2590/G2590</f>
        <v/>
      </c>
      <c r="J2590" s="11" t="n"/>
      <c r="K2590" s="6" t="n"/>
      <c r="L2590" s="6" t="n"/>
      <c r="M2590" s="7">
        <f>IF(N2590=0,+L2590+H2590,0)</f>
        <v/>
      </c>
      <c r="N2590" s="7">
        <f>IF((+G2590-K2590)=0,0,+G2590-K2590)</f>
        <v/>
      </c>
      <c r="O2590" s="7">
        <f>IF(N2590=0,0,(L2590+H2590)/-N2590)</f>
        <v/>
      </c>
      <c r="P2590" s="7">
        <f>VLOOKUP(OPERAC[[#This Row],[especie]],[1]!ESPECIES[#All],6,0)</f>
        <v/>
      </c>
      <c r="Q2590" s="7">
        <f>IF(N2590&lt;&gt;0,P2590*N2590,0)</f>
        <v/>
      </c>
      <c r="R2590" s="8">
        <f>IF(Q2590&lt;&gt;0,Q2590+H2590+L2590,0)</f>
        <v/>
      </c>
      <c r="S2590" s="9">
        <f>VLOOKUP(OPERAC[[#This Row],[especie]],[1]!ESPECIES[#Data],9,FALSE)</f>
        <v/>
      </c>
    </row>
    <row r="2591">
      <c r="A2591" s="4" t="n">
        <v>2194</v>
      </c>
      <c r="B2591" s="5" t="n">
        <v>44553</v>
      </c>
      <c r="C2591" s="13" t="inlineStr">
        <is>
          <t>CPR</t>
        </is>
      </c>
      <c r="D2591" s="13" t="n">
        <v>40</v>
      </c>
      <c r="E2591" s="10">
        <f>IF(D2591&gt;0,VLOOKUP(OPERAC[[#This Row],[COD CART]],[1]!MatrizCortoLargoCyl[#All],3,0),"")</f>
        <v/>
      </c>
      <c r="F2591" s="13" t="inlineStr">
        <is>
          <t>ON</t>
        </is>
      </c>
      <c r="G2591" s="6" t="n">
        <v>7</v>
      </c>
      <c r="H2591" s="6" t="n">
        <v>-469.7952559999999</v>
      </c>
      <c r="I2591" s="7">
        <f>-H2591/G2591</f>
        <v/>
      </c>
      <c r="J2591" s="11" t="n">
        <v>44606</v>
      </c>
      <c r="K2591" s="6">
        <f>+OPERAC[[#This Row],[cantidad]]</f>
        <v/>
      </c>
      <c r="L2591" s="6">
        <f>+OPERAC[[#This Row],[cantidad venta]]*58.449</f>
        <v/>
      </c>
      <c r="M2591" s="7">
        <f>IF(N2591=0,+L2591+H2591,0)</f>
        <v/>
      </c>
      <c r="N2591" s="7">
        <f>IF((+G2591-K2591)=0,0,+G2591-K2591)</f>
        <v/>
      </c>
      <c r="O2591" s="7">
        <f>IF(N2591=0,0,(L2591+H2591)/-N2591)</f>
        <v/>
      </c>
      <c r="P2591" s="7">
        <f>VLOOKUP(OPERAC[[#This Row],[especie]],[1]!ESPECIES[#All],6,0)</f>
        <v/>
      </c>
      <c r="Q2591" s="7">
        <f>IF(N2591&lt;&gt;0,P2591*N2591,0)</f>
        <v/>
      </c>
      <c r="R2591" s="8">
        <f>IF(Q2591&lt;&gt;0,Q2591+H2591+L2591,0)</f>
        <v/>
      </c>
      <c r="S2591" s="9">
        <f>VLOOKUP(OPERAC[[#This Row],[especie]],[1]!ESPECIES[#Data],9,FALSE)</f>
        <v/>
      </c>
    </row>
    <row r="2592">
      <c r="A2592" s="4" t="n">
        <v>15195</v>
      </c>
      <c r="B2592" s="5" t="n">
        <v>44553</v>
      </c>
      <c r="C2592" s="13" t="inlineStr">
        <is>
          <t>CPR</t>
        </is>
      </c>
      <c r="D2592" s="13" t="n">
        <v>40</v>
      </c>
      <c r="E2592" s="10">
        <f>IF(D2592&gt;0,VLOOKUP(OPERAC[[#This Row],[COD CART]],[1]!MatrizCortoLargoCyl[#All],3,0),"")</f>
        <v/>
      </c>
      <c r="F2592" s="13" t="inlineStr">
        <is>
          <t>ON</t>
        </is>
      </c>
      <c r="G2592" s="6" t="n">
        <v>7</v>
      </c>
      <c r="H2592" s="6" t="n">
        <v>-469.7952559999999</v>
      </c>
      <c r="I2592" s="7">
        <f>-H2592/G2592</f>
        <v/>
      </c>
      <c r="J2592" s="11" t="n">
        <v>44564</v>
      </c>
      <c r="K2592" s="6">
        <f>5+2</f>
        <v/>
      </c>
      <c r="L2592" s="6">
        <f>341.116+116.898</f>
        <v/>
      </c>
      <c r="M2592" s="7">
        <f>IF(N2592=0,+L2592+H2592,0)</f>
        <v/>
      </c>
      <c r="N2592" s="7">
        <f>IF((+G2592-K2592)=0,0,+G2592-K2592)</f>
        <v/>
      </c>
      <c r="O2592" s="7">
        <f>IF(N2592=0,0,(L2592+H2592)/-N2592)</f>
        <v/>
      </c>
      <c r="P2592" s="7">
        <f>VLOOKUP(OPERAC[[#This Row],[especie]],[1]!ESPECIES[#All],6,0)</f>
        <v/>
      </c>
      <c r="Q2592" s="7">
        <f>IF(N2592&lt;&gt;0,P2592*N2592,0)</f>
        <v/>
      </c>
      <c r="R2592" s="8">
        <f>IF(Q2592&lt;&gt;0,Q2592+H2592+L2592,0)</f>
        <v/>
      </c>
      <c r="S2592" s="9">
        <f>VLOOKUP(OPERAC[[#This Row],[especie]],[1]!ESPECIES[#Data],9,FALSE)</f>
        <v/>
      </c>
    </row>
    <row r="2593">
      <c r="A2593" s="4" t="n">
        <v>19867</v>
      </c>
      <c r="B2593" s="5" t="n">
        <v>44553</v>
      </c>
      <c r="C2593" s="13" t="inlineStr">
        <is>
          <t>CPR</t>
        </is>
      </c>
      <c r="D2593" s="13" t="n">
        <v>40</v>
      </c>
      <c r="E2593" s="10">
        <f>IF(D2593&gt;0,VLOOKUP(OPERAC[[#This Row],[COD CART]],[1]!MatrizCortoLargoCyl[#All],3,0),"")</f>
        <v/>
      </c>
      <c r="F2593" s="13" t="inlineStr">
        <is>
          <t>ON</t>
        </is>
      </c>
      <c r="G2593" s="6" t="n">
        <v>7</v>
      </c>
      <c r="H2593" s="6" t="n">
        <v>-469.7952559999999</v>
      </c>
      <c r="I2593" s="7">
        <f>-H2593/G2593</f>
        <v/>
      </c>
      <c r="J2593" s="11" t="n">
        <v>44606</v>
      </c>
      <c r="K2593" s="6">
        <f>+OPERAC[[#This Row],[cantidad]]</f>
        <v/>
      </c>
      <c r="L2593" s="6">
        <f>+OPERAC[[#This Row],[cantidad venta]]*58.449</f>
        <v/>
      </c>
      <c r="M2593" s="7">
        <f>IF(N2593=0,+L2593+H2593,0)</f>
        <v/>
      </c>
      <c r="N2593" s="7">
        <f>IF((+G2593-K2593)=0,0,+G2593-K2593)</f>
        <v/>
      </c>
      <c r="O2593" s="7">
        <f>IF(N2593=0,0,(L2593+H2593)/-N2593)</f>
        <v/>
      </c>
      <c r="P2593" s="7">
        <f>VLOOKUP(OPERAC[[#This Row],[especie]],[1]!ESPECIES[#All],6,0)</f>
        <v/>
      </c>
      <c r="Q2593" s="7">
        <f>IF(N2593&lt;&gt;0,P2593*N2593,0)</f>
        <v/>
      </c>
      <c r="R2593" s="8">
        <f>IF(Q2593&lt;&gt;0,Q2593+H2593+L2593,0)</f>
        <v/>
      </c>
      <c r="S2593" s="9">
        <f>VLOOKUP(OPERAC[[#This Row],[especie]],[1]!ESPECIES[#Data],9,FALSE)</f>
        <v/>
      </c>
    </row>
    <row r="2594">
      <c r="A2594" s="4" t="n">
        <v>19920</v>
      </c>
      <c r="B2594" s="5" t="n">
        <v>44553</v>
      </c>
      <c r="C2594" s="13" t="inlineStr">
        <is>
          <t>CPR</t>
        </is>
      </c>
      <c r="D2594" s="13" t="n">
        <v>40</v>
      </c>
      <c r="E2594" s="10">
        <f>IF(D2594&gt;0,VLOOKUP(OPERAC[[#This Row],[COD CART]],[1]!MatrizCortoLargoCyl[#All],3,0),"")</f>
        <v/>
      </c>
      <c r="F2594" s="13" t="inlineStr">
        <is>
          <t>ON</t>
        </is>
      </c>
      <c r="G2594" s="6" t="n">
        <v>7</v>
      </c>
      <c r="H2594" s="6" t="n">
        <v>-469.7952559999999</v>
      </c>
      <c r="I2594" s="7">
        <f>-H2594/G2594</f>
        <v/>
      </c>
      <c r="J2594" s="11" t="n">
        <v>44606</v>
      </c>
      <c r="K2594" s="6">
        <f>+OPERAC[[#This Row],[cantidad]]</f>
        <v/>
      </c>
      <c r="L2594" s="6">
        <f>+OPERAC[[#This Row],[cantidad venta]]*58.449</f>
        <v/>
      </c>
      <c r="M2594" s="7">
        <f>IF(N2594=0,+L2594+H2594,0)</f>
        <v/>
      </c>
      <c r="N2594" s="7">
        <f>IF((+G2594-K2594)=0,0,+G2594-K2594)</f>
        <v/>
      </c>
      <c r="O2594" s="7">
        <f>IF(N2594=0,0,(L2594+H2594)/-N2594)</f>
        <v/>
      </c>
      <c r="P2594" s="7">
        <f>VLOOKUP(OPERAC[[#This Row],[especie]],[1]!ESPECIES[#All],6,0)</f>
        <v/>
      </c>
      <c r="Q2594" s="7">
        <f>IF(N2594&lt;&gt;0,P2594*N2594,0)</f>
        <v/>
      </c>
      <c r="R2594" s="8">
        <f>IF(Q2594&lt;&gt;0,Q2594+H2594+L2594,0)</f>
        <v/>
      </c>
      <c r="S2594" s="9">
        <f>VLOOKUP(OPERAC[[#This Row],[especie]],[1]!ESPECIES[#Data],9,FALSE)</f>
        <v/>
      </c>
    </row>
    <row r="2595">
      <c r="A2595" s="4" t="n">
        <v>19932</v>
      </c>
      <c r="B2595" s="5" t="n">
        <v>44553</v>
      </c>
      <c r="C2595" s="13" t="inlineStr">
        <is>
          <t>CPR</t>
        </is>
      </c>
      <c r="D2595" s="13" t="n">
        <v>40</v>
      </c>
      <c r="E2595" s="10">
        <f>IF(D2595&gt;0,VLOOKUP(OPERAC[[#This Row],[COD CART]],[1]!MatrizCortoLargoCyl[#All],3,0),"")</f>
        <v/>
      </c>
      <c r="F2595" s="13" t="inlineStr">
        <is>
          <t>ON</t>
        </is>
      </c>
      <c r="G2595" s="6" t="n">
        <v>7</v>
      </c>
      <c r="H2595" s="6" t="n">
        <v>-469.7952559999999</v>
      </c>
      <c r="I2595" s="7">
        <f>-H2595/G2595</f>
        <v/>
      </c>
      <c r="J2595" s="11" t="n">
        <v>44606</v>
      </c>
      <c r="K2595" s="6">
        <f>+OPERAC[[#This Row],[cantidad]]</f>
        <v/>
      </c>
      <c r="L2595" s="6">
        <f>+OPERAC[[#This Row],[cantidad venta]]*58.449</f>
        <v/>
      </c>
      <c r="M2595" s="7">
        <f>IF(N2595=0,+L2595+H2595,0)</f>
        <v/>
      </c>
      <c r="N2595" s="7">
        <f>IF((+G2595-K2595)=0,0,+G2595-K2595)</f>
        <v/>
      </c>
      <c r="O2595" s="7">
        <f>IF(N2595=0,0,(L2595+H2595)/-N2595)</f>
        <v/>
      </c>
      <c r="P2595" s="7">
        <f>VLOOKUP(OPERAC[[#This Row],[especie]],[1]!ESPECIES[#All],6,0)</f>
        <v/>
      </c>
      <c r="Q2595" s="7">
        <f>IF(N2595&lt;&gt;0,P2595*N2595,0)</f>
        <v/>
      </c>
      <c r="R2595" s="8">
        <f>IF(Q2595&lt;&gt;0,Q2595+H2595+L2595,0)</f>
        <v/>
      </c>
      <c r="S2595" s="9">
        <f>VLOOKUP(OPERAC[[#This Row],[especie]],[1]!ESPECIES[#Data],9,FALSE)</f>
        <v/>
      </c>
    </row>
    <row r="2596">
      <c r="A2596" s="4" t="n">
        <v>22407</v>
      </c>
      <c r="B2596" s="5" t="n">
        <v>44553</v>
      </c>
      <c r="C2596" s="13" t="inlineStr">
        <is>
          <t>CPR</t>
        </is>
      </c>
      <c r="D2596" s="13" t="n">
        <v>40</v>
      </c>
      <c r="E2596" s="10">
        <f>IF(D2596&gt;0,VLOOKUP(OPERAC[[#This Row],[COD CART]],[1]!MatrizCortoLargoCyl[#All],3,0),"")</f>
        <v/>
      </c>
      <c r="F2596" s="13" t="inlineStr">
        <is>
          <t>ON</t>
        </is>
      </c>
      <c r="G2596" s="6" t="n">
        <v>7</v>
      </c>
      <c r="H2596" s="6" t="n">
        <v>-469.7952559999999</v>
      </c>
      <c r="I2596" s="7">
        <f>-H2596/G2596</f>
        <v/>
      </c>
      <c r="J2596" s="11" t="n">
        <v>44606</v>
      </c>
      <c r="K2596" s="6">
        <f>+OPERAC[[#This Row],[cantidad]]</f>
        <v/>
      </c>
      <c r="L2596" s="6">
        <f>+OPERAC[[#This Row],[cantidad venta]]*58.449</f>
        <v/>
      </c>
      <c r="M2596" s="7">
        <f>IF(N2596=0,+L2596+H2596,0)</f>
        <v/>
      </c>
      <c r="N2596" s="7">
        <f>IF((+G2596-K2596)=0,0,+G2596-K2596)</f>
        <v/>
      </c>
      <c r="O2596" s="7">
        <f>IF(N2596=0,0,(L2596+H2596)/-N2596)</f>
        <v/>
      </c>
      <c r="P2596" s="7">
        <f>VLOOKUP(OPERAC[[#This Row],[especie]],[1]!ESPECIES[#All],6,0)</f>
        <v/>
      </c>
      <c r="Q2596" s="7">
        <f>IF(N2596&lt;&gt;0,P2596*N2596,0)</f>
        <v/>
      </c>
      <c r="R2596" s="8">
        <f>IF(Q2596&lt;&gt;0,Q2596+H2596+L2596,0)</f>
        <v/>
      </c>
      <c r="S2596" s="9">
        <f>VLOOKUP(OPERAC[[#This Row],[especie]],[1]!ESPECIES[#Data],9,FALSE)</f>
        <v/>
      </c>
    </row>
    <row r="2597">
      <c r="A2597" s="4" t="n">
        <v>12655</v>
      </c>
      <c r="B2597" s="5" t="n">
        <v>44649</v>
      </c>
      <c r="C2597" s="13" t="inlineStr">
        <is>
          <t>CPR</t>
        </is>
      </c>
      <c r="D2597" s="13" t="n">
        <v>42</v>
      </c>
      <c r="E2597" s="10">
        <f>IF(D2597&gt;0,VLOOKUP(OPERAC[[#This Row],[COD CART]],[1]!MatrizCortoLargoCyl[#All],3,0),"")</f>
        <v/>
      </c>
      <c r="F2597" s="13" t="inlineStr">
        <is>
          <t>ADBE</t>
        </is>
      </c>
      <c r="G2597" s="6" t="n">
        <v>1</v>
      </c>
      <c r="H2597" s="6" t="n">
        <v>-469.95584</v>
      </c>
      <c r="I2597" s="7">
        <f>-H2597/G2597</f>
        <v/>
      </c>
      <c r="J2597" s="11" t="n">
        <v>44687</v>
      </c>
      <c r="K2597" s="6">
        <f>+OPERAC[[#This Row],[cantidad]]</f>
        <v/>
      </c>
      <c r="L2597" s="6" t="n">
        <v>386.42</v>
      </c>
      <c r="M2597" s="7">
        <f>IF(N2597=0,+L2597+H2597,0)</f>
        <v/>
      </c>
      <c r="N2597" s="7">
        <f>IF((+G2597-K2597)=0,0,+G2597-K2597)</f>
        <v/>
      </c>
      <c r="O2597" s="7">
        <f>IF(N2597=0,0,(L2597+H2597)/-N2597)</f>
        <v/>
      </c>
      <c r="P2597" s="7">
        <f>VLOOKUP(OPERAC[[#This Row],[especie]],[1]!ESPECIES[#All],6,0)</f>
        <v/>
      </c>
      <c r="Q2597" s="7">
        <f>IF(N2597&lt;&gt;0,P2597*N2597,0)</f>
        <v/>
      </c>
      <c r="R2597" s="8">
        <f>IF(Q2597&lt;&gt;0,Q2597+H2597+L2597,0)</f>
        <v/>
      </c>
      <c r="S2597" s="9">
        <f>VLOOKUP(OPERAC[[#This Row],[especie]],[1]!ESPECIES[#Data],9,FALSE)</f>
        <v/>
      </c>
    </row>
    <row r="2598">
      <c r="A2598" s="4" t="n">
        <v>13190</v>
      </c>
      <c r="B2598" s="5" t="n">
        <v>44649</v>
      </c>
      <c r="C2598" s="13" t="inlineStr">
        <is>
          <t>CPR</t>
        </is>
      </c>
      <c r="D2598" s="13" t="n">
        <v>42</v>
      </c>
      <c r="E2598" s="10">
        <f>IF(D2598&gt;0,VLOOKUP(OPERAC[[#This Row],[COD CART]],[1]!MatrizCortoLargoCyl[#All],3,0),"")</f>
        <v/>
      </c>
      <c r="F2598" s="13" t="inlineStr">
        <is>
          <t>ADBE</t>
        </is>
      </c>
      <c r="G2598" s="6" t="n">
        <v>1</v>
      </c>
      <c r="H2598" s="6" t="n">
        <v>-469.95584</v>
      </c>
      <c r="I2598" s="7">
        <f>-H2598/G2598</f>
        <v/>
      </c>
      <c r="J2598" s="11" t="n">
        <v>44687</v>
      </c>
      <c r="K2598" s="6">
        <f>+OPERAC[[#This Row],[cantidad]]</f>
        <v/>
      </c>
      <c r="L2598" s="6" t="n">
        <v>386.42</v>
      </c>
      <c r="M2598" s="7">
        <f>IF(N2598=0,+L2598+H2598,0)</f>
        <v/>
      </c>
      <c r="N2598" s="7">
        <f>IF((+G2598-K2598)=0,0,+G2598-K2598)</f>
        <v/>
      </c>
      <c r="O2598" s="7">
        <f>IF(N2598=0,0,(L2598+H2598)/-N2598)</f>
        <v/>
      </c>
      <c r="P2598" s="7">
        <f>VLOOKUP(OPERAC[[#This Row],[especie]],[1]!ESPECIES[#All],6,0)</f>
        <v/>
      </c>
      <c r="Q2598" s="7">
        <f>IF(N2598&lt;&gt;0,P2598*N2598,0)</f>
        <v/>
      </c>
      <c r="R2598" s="8">
        <f>IF(Q2598&lt;&gt;0,Q2598+H2598+L2598,0)</f>
        <v/>
      </c>
      <c r="S2598" s="9">
        <f>VLOOKUP(OPERAC[[#This Row],[especie]],[1]!ESPECIES[#Data],9,FALSE)</f>
        <v/>
      </c>
    </row>
    <row r="2599">
      <c r="A2599" s="4" t="n">
        <v>18663</v>
      </c>
      <c r="B2599" s="5" t="n">
        <v>44243</v>
      </c>
      <c r="C2599" s="13" t="inlineStr">
        <is>
          <t>CPR</t>
        </is>
      </c>
      <c r="D2599" s="13" t="n">
        <v>41</v>
      </c>
      <c r="E2599" s="10">
        <f>IF(D2599&gt;0,VLOOKUP(OPERAC[[#This Row],[COD CART]],[1]!MatrizCortoLargoCyl[#All],3,0),"")</f>
        <v/>
      </c>
      <c r="F2599" s="13" t="inlineStr">
        <is>
          <t>BEP</t>
        </is>
      </c>
      <c r="G2599" s="6" t="n">
        <v>10</v>
      </c>
      <c r="H2599" s="6" t="n">
        <v>-470.62</v>
      </c>
      <c r="I2599" s="7">
        <f>-H2599/G2599</f>
        <v/>
      </c>
      <c r="J2599" s="11" t="n"/>
      <c r="K2599" s="6" t="n"/>
      <c r="L2599" s="6" t="n"/>
      <c r="M2599" s="7">
        <f>IF(N2599=0,+L2599+H2599,0)</f>
        <v/>
      </c>
      <c r="N2599" s="7">
        <f>IF((+G2599-K2599)=0,0,+G2599-K2599)</f>
        <v/>
      </c>
      <c r="O2599" s="7">
        <f>IF(N2599=0,0,(L2599+H2599)/-N2599)</f>
        <v/>
      </c>
      <c r="P2599" s="7">
        <f>VLOOKUP(OPERAC[[#This Row],[especie]],[1]!ESPECIES[#All],6,0)</f>
        <v/>
      </c>
      <c r="Q2599" s="7">
        <f>IF(N2599&lt;&gt;0,P2599*N2599,0)</f>
        <v/>
      </c>
      <c r="R2599" s="8">
        <f>IF(Q2599&lt;&gt;0,Q2599+H2599+L2599,0)</f>
        <v/>
      </c>
      <c r="S2599" s="9">
        <f>VLOOKUP(OPERAC[[#This Row],[especie]],[1]!ESPECIES[#Data],9,FALSE)</f>
        <v/>
      </c>
    </row>
    <row r="2600">
      <c r="A2600" s="4" t="n">
        <v>6578</v>
      </c>
      <c r="B2600" s="5" t="n">
        <v>44489</v>
      </c>
      <c r="C2600" s="13" t="inlineStr">
        <is>
          <t>CPR</t>
        </is>
      </c>
      <c r="D2600" s="13" t="n">
        <v>43</v>
      </c>
      <c r="E2600" s="10">
        <f>IF(D2600&gt;0,VLOOKUP(OPERAC[[#This Row],[COD CART]],[1]!MatrizCortoLargoCyl[#All],3,0),"")</f>
        <v/>
      </c>
      <c r="F2600" s="13" t="inlineStr">
        <is>
          <t>SESN/CYL-PUT/1,00/19-01-24</t>
        </is>
      </c>
      <c r="G2600" s="6" t="n">
        <v>2500</v>
      </c>
      <c r="H2600" s="6">
        <f>-0.1885*OPERAC[[#This Row],[cantidad]]</f>
        <v/>
      </c>
      <c r="I2600" s="7">
        <f>-H2600/G2600</f>
        <v/>
      </c>
      <c r="J2600" s="11" t="n">
        <v>44614</v>
      </c>
      <c r="K2600" s="6" t="n">
        <v>2500</v>
      </c>
      <c r="L2600" s="6" t="n">
        <v>665.17</v>
      </c>
      <c r="M2600" s="7">
        <f>IF(N2600=0,+L2600+H2600,0)</f>
        <v/>
      </c>
      <c r="N2600" s="7">
        <f>IF((+G2600-K2600)=0,0,+G2600-K2600)</f>
        <v/>
      </c>
      <c r="O2600" s="7">
        <f>IF(N2600=0,0,(L2600+H2600)/-N2600)</f>
        <v/>
      </c>
      <c r="P2600" s="7">
        <f>VLOOKUP(OPERAC[[#This Row],[especie]],[1]!ESPECIES[#All],6,0)</f>
        <v/>
      </c>
      <c r="Q2600" s="7">
        <f>IF(N2600&lt;&gt;0,P2600*N2600,0)</f>
        <v/>
      </c>
      <c r="R2600" s="8">
        <f>IF(Q2600&lt;&gt;0,Q2600+H2600+L2600,0)</f>
        <v/>
      </c>
      <c r="S2600" s="9">
        <f>VLOOKUP(OPERAC[[#This Row],[especie]],[1]!ESPECIES[#Data],9,FALSE)</f>
        <v/>
      </c>
    </row>
    <row r="2601">
      <c r="A2601" s="4" t="n">
        <v>22407</v>
      </c>
      <c r="B2601" s="5" t="n">
        <v>44655</v>
      </c>
      <c r="C2601" s="13" t="inlineStr">
        <is>
          <t>CPR</t>
        </is>
      </c>
      <c r="D2601" s="13" t="n">
        <v>31</v>
      </c>
      <c r="E2601" s="10">
        <f>IF(D2601&gt;0,VLOOKUP(OPERAC[[#This Row],[COD CART]],[1]!MatrizCortoLargoCyl[#All],3,0),"")</f>
        <v/>
      </c>
      <c r="F2601" s="13" t="inlineStr">
        <is>
          <t>BABA</t>
        </is>
      </c>
      <c r="G2601" s="6" t="n">
        <v>4</v>
      </c>
      <c r="H2601" s="6" t="n">
        <v>-471.3328</v>
      </c>
      <c r="I2601" s="7">
        <f>-H2601/G2601</f>
        <v/>
      </c>
      <c r="J2601" s="11" t="n"/>
      <c r="K2601" s="6" t="n"/>
      <c r="L2601" s="6" t="n"/>
      <c r="M2601" s="7">
        <f>IF(N2601=0,+L2601+H2601,0)</f>
        <v/>
      </c>
      <c r="N2601" s="7">
        <f>IF((+G2601-K2601)=0,0,+G2601-K2601)</f>
        <v/>
      </c>
      <c r="O2601" s="7">
        <f>IF(N2601=0,0,(L2601+H2601)/-N2601)</f>
        <v/>
      </c>
      <c r="P2601" s="7">
        <f>VLOOKUP(OPERAC[[#This Row],[especie]],[1]!ESPECIES[#All],6,0)</f>
        <v/>
      </c>
      <c r="Q2601" s="7">
        <f>IF(N2601&lt;&gt;0,P2601*N2601,0)</f>
        <v/>
      </c>
      <c r="R2601" s="8">
        <f>IF(Q2601&lt;&gt;0,Q2601+H2601+L2601,0)</f>
        <v/>
      </c>
      <c r="S2601" s="9">
        <f>VLOOKUP(OPERAC[[#This Row],[especie]],[1]!ESPECIES[#Data],9,FALSE)</f>
        <v/>
      </c>
    </row>
    <row r="2602">
      <c r="A2602" s="4" t="n">
        <v>26137</v>
      </c>
      <c r="B2602" s="5" t="n">
        <v>44655</v>
      </c>
      <c r="C2602" s="13" t="inlineStr">
        <is>
          <t>CPR</t>
        </is>
      </c>
      <c r="D2602" s="13" t="n">
        <v>42</v>
      </c>
      <c r="E2602" s="10">
        <f>IF(D2602&gt;0,VLOOKUP(OPERAC[[#This Row],[COD CART]],[1]!MatrizCortoLargoCyl[#All],3,0),"")</f>
        <v/>
      </c>
      <c r="F2602" s="13" t="inlineStr">
        <is>
          <t>ADBE</t>
        </is>
      </c>
      <c r="G2602" s="6" t="n">
        <v>1</v>
      </c>
      <c r="H2602" s="6" t="n">
        <v>-471.6204</v>
      </c>
      <c r="I2602" s="7">
        <f>-H2602/G2602</f>
        <v/>
      </c>
      <c r="J2602" s="11" t="n">
        <v>44687</v>
      </c>
      <c r="K2602" s="6">
        <f>+OPERAC[[#This Row],[cantidad]]</f>
        <v/>
      </c>
      <c r="L2602" s="6" t="n">
        <v>386.42</v>
      </c>
      <c r="M2602" s="7">
        <f>IF(N2602=0,+L2602+H2602,0)</f>
        <v/>
      </c>
      <c r="N2602" s="7">
        <f>IF((+G2602-K2602)=0,0,+G2602-K2602)</f>
        <v/>
      </c>
      <c r="O2602" s="7">
        <f>IF(N2602=0,0,(L2602+H2602)/-N2602)</f>
        <v/>
      </c>
      <c r="P2602" s="7">
        <f>VLOOKUP(OPERAC[[#This Row],[especie]],[1]!ESPECIES[#All],6,0)</f>
        <v/>
      </c>
      <c r="Q2602" s="7">
        <f>IF(N2602&lt;&gt;0,P2602*N2602,0)</f>
        <v/>
      </c>
      <c r="R2602" s="8">
        <f>IF(Q2602&lt;&gt;0,Q2602+H2602+L2602,0)</f>
        <v/>
      </c>
      <c r="S2602" s="9">
        <f>VLOOKUP(OPERAC[[#This Row],[especie]],[1]!ESPECIES[#Data],9,FALSE)</f>
        <v/>
      </c>
    </row>
    <row r="2603">
      <c r="A2603" s="4" t="n">
        <v>7493</v>
      </c>
      <c r="B2603" s="5" t="n">
        <v>44655</v>
      </c>
      <c r="C2603" s="13" t="inlineStr">
        <is>
          <t>CPR</t>
        </is>
      </c>
      <c r="D2603" s="13" t="n">
        <v>42</v>
      </c>
      <c r="E2603" s="10">
        <f>IF(D2603&gt;0,VLOOKUP(OPERAC[[#This Row],[COD CART]],[1]!MatrizCortoLargoCyl[#All],3,0),"")</f>
        <v/>
      </c>
      <c r="F2603" s="13" t="inlineStr">
        <is>
          <t>ADBE</t>
        </is>
      </c>
      <c r="G2603" s="6" t="n">
        <v>1</v>
      </c>
      <c r="H2603" s="6" t="n">
        <v>-471.6204</v>
      </c>
      <c r="I2603" s="7">
        <f>-H2603/G2603</f>
        <v/>
      </c>
      <c r="J2603" s="11" t="n">
        <v>44687</v>
      </c>
      <c r="K2603" s="6">
        <f>+OPERAC[[#This Row],[cantidad]]</f>
        <v/>
      </c>
      <c r="L2603" s="6" t="n">
        <v>386.42</v>
      </c>
      <c r="M2603" s="7">
        <f>IF(N2603=0,+L2603+H2603,0)</f>
        <v/>
      </c>
      <c r="N2603" s="7">
        <f>IF((+G2603-K2603)=0,0,+G2603-K2603)</f>
        <v/>
      </c>
      <c r="O2603" s="7">
        <f>IF(N2603=0,0,(L2603+H2603)/-N2603)</f>
        <v/>
      </c>
      <c r="P2603" s="7">
        <f>VLOOKUP(OPERAC[[#This Row],[especie]],[1]!ESPECIES[#All],6,0)</f>
        <v/>
      </c>
      <c r="Q2603" s="7">
        <f>IF(N2603&lt;&gt;0,P2603*N2603,0)</f>
        <v/>
      </c>
      <c r="R2603" s="8">
        <f>IF(Q2603&lt;&gt;0,Q2603+H2603+L2603,0)</f>
        <v/>
      </c>
      <c r="S2603" s="9">
        <f>VLOOKUP(OPERAC[[#This Row],[especie]],[1]!ESPECIES[#Data],9,FALSE)</f>
        <v/>
      </c>
    </row>
    <row r="2604">
      <c r="A2604" s="4" t="n">
        <v>3853</v>
      </c>
      <c r="B2604" s="5" t="n">
        <v>44655</v>
      </c>
      <c r="C2604" s="13" t="inlineStr">
        <is>
          <t>CPR</t>
        </is>
      </c>
      <c r="D2604" s="13" t="n">
        <v>42</v>
      </c>
      <c r="E2604" s="10">
        <f>IF(D2604&gt;0,VLOOKUP(OPERAC[[#This Row],[COD CART]],[1]!MatrizCortoLargoCyl[#All],3,0),"")</f>
        <v/>
      </c>
      <c r="F2604" s="13" t="inlineStr">
        <is>
          <t>ADBE</t>
        </is>
      </c>
      <c r="G2604" s="6" t="n">
        <v>1</v>
      </c>
      <c r="H2604" s="6" t="n">
        <v>-471.6204</v>
      </c>
      <c r="I2604" s="7">
        <f>-H2604/G2604</f>
        <v/>
      </c>
      <c r="J2604" s="11" t="n">
        <v>44687</v>
      </c>
      <c r="K2604" s="6">
        <f>+OPERAC[[#This Row],[cantidad]]</f>
        <v/>
      </c>
      <c r="L2604" s="6" t="n">
        <v>386.42</v>
      </c>
      <c r="M2604" s="7">
        <f>IF(N2604=0,+L2604+H2604,0)</f>
        <v/>
      </c>
      <c r="N2604" s="7">
        <f>IF((+G2604-K2604)=0,0,+G2604-K2604)</f>
        <v/>
      </c>
      <c r="O2604" s="7">
        <f>IF(N2604=0,0,(L2604+H2604)/-N2604)</f>
        <v/>
      </c>
      <c r="P2604" s="7">
        <f>VLOOKUP(OPERAC[[#This Row],[especie]],[1]!ESPECIES[#All],6,0)</f>
        <v/>
      </c>
      <c r="Q2604" s="7">
        <f>IF(N2604&lt;&gt;0,P2604*N2604,0)</f>
        <v/>
      </c>
      <c r="R2604" s="8">
        <f>IF(Q2604&lt;&gt;0,Q2604+H2604+L2604,0)</f>
        <v/>
      </c>
      <c r="S2604" s="9">
        <f>VLOOKUP(OPERAC[[#This Row],[especie]],[1]!ESPECIES[#Data],9,FALSE)</f>
        <v/>
      </c>
    </row>
    <row r="2605">
      <c r="A2605" s="4" t="n">
        <v>3021</v>
      </c>
      <c r="B2605" s="5" t="n">
        <v>44641</v>
      </c>
      <c r="C2605" s="13" t="inlineStr">
        <is>
          <t>CPR</t>
        </is>
      </c>
      <c r="D2605" s="13" t="n">
        <v>32</v>
      </c>
      <c r="E2605" s="10">
        <f>IF(D2605&gt;0,VLOOKUP(OPERAC[[#This Row],[COD CART]],[1]!MatrizCortoLargoCyl[#All],3,0),"")</f>
        <v/>
      </c>
      <c r="F2605" s="13" t="inlineStr">
        <is>
          <t>HMY</t>
        </is>
      </c>
      <c r="G2605" s="6" t="n">
        <v>100</v>
      </c>
      <c r="H2605" s="6" t="n">
        <v>-472.0518</v>
      </c>
      <c r="I2605" s="7">
        <f>-H2605/G2605</f>
        <v/>
      </c>
      <c r="J2605" s="11" t="n">
        <v>44669</v>
      </c>
      <c r="K2605" s="6">
        <f>+OPERAC[[#This Row],[cantidad]]</f>
        <v/>
      </c>
      <c r="L2605" s="6">
        <f>4.925*OPERAC[[#This Row],[cantidad venta]]</f>
        <v/>
      </c>
      <c r="M2605" s="7">
        <f>IF(N2605=0,+L2605+H2605,0)</f>
        <v/>
      </c>
      <c r="N2605" s="7">
        <f>IF((+G2605-K2605)=0,0,+G2605-K2605)</f>
        <v/>
      </c>
      <c r="O2605" s="7">
        <f>IF(N2605=0,0,(L2605+H2605)/-N2605)</f>
        <v/>
      </c>
      <c r="P2605" s="7">
        <f>VLOOKUP(OPERAC[[#This Row],[especie]],[1]!ESPECIES[#All],6,0)</f>
        <v/>
      </c>
      <c r="Q2605" s="7">
        <f>IF(N2605&lt;&gt;0,P2605*N2605,0)</f>
        <v/>
      </c>
      <c r="R2605" s="8">
        <f>IF(Q2605&lt;&gt;0,Q2605+H2605+L2605,0)</f>
        <v/>
      </c>
      <c r="S2605" s="9">
        <f>VLOOKUP(OPERAC[[#This Row],[especie]],[1]!ESPECIES[#Data],9,FALSE)</f>
        <v/>
      </c>
    </row>
    <row r="2606">
      <c r="A2606" s="4" t="n">
        <v>22407</v>
      </c>
      <c r="B2606" s="5" t="n">
        <v>44655</v>
      </c>
      <c r="C2606" s="13" t="inlineStr">
        <is>
          <t>CPR</t>
        </is>
      </c>
      <c r="D2606" s="13" t="n">
        <v>42</v>
      </c>
      <c r="E2606" s="10">
        <f>IF(D2606&gt;0,VLOOKUP(OPERAC[[#This Row],[COD CART]],[1]!MatrizCortoLargoCyl[#All],3,0),"")</f>
        <v/>
      </c>
      <c r="F2606" s="13" t="inlineStr">
        <is>
          <t>ADBE</t>
        </is>
      </c>
      <c r="G2606" s="6" t="n">
        <v>1</v>
      </c>
      <c r="H2606" s="6" t="n">
        <v>-472.10896</v>
      </c>
      <c r="I2606" s="7">
        <f>-H2606/G2606</f>
        <v/>
      </c>
      <c r="J2606" s="11" t="n">
        <v>44687</v>
      </c>
      <c r="K2606" s="6">
        <f>+OPERAC[[#This Row],[cantidad]]</f>
        <v/>
      </c>
      <c r="L2606" s="6" t="n">
        <v>386.42</v>
      </c>
      <c r="M2606" s="7">
        <f>IF(N2606=0,+L2606+H2606,0)</f>
        <v/>
      </c>
      <c r="N2606" s="7">
        <f>IF((+G2606-K2606)=0,0,+G2606-K2606)</f>
        <v/>
      </c>
      <c r="O2606" s="7">
        <f>IF(N2606=0,0,(L2606+H2606)/-N2606)</f>
        <v/>
      </c>
      <c r="P2606" s="7">
        <f>VLOOKUP(OPERAC[[#This Row],[especie]],[1]!ESPECIES[#All],6,0)</f>
        <v/>
      </c>
      <c r="Q2606" s="7">
        <f>IF(N2606&lt;&gt;0,P2606*N2606,0)</f>
        <v/>
      </c>
      <c r="R2606" s="8">
        <f>IF(Q2606&lt;&gt;0,Q2606+H2606+L2606,0)</f>
        <v/>
      </c>
      <c r="S2606" s="9">
        <f>VLOOKUP(OPERAC[[#This Row],[especie]],[1]!ESPECIES[#Data],9,FALSE)</f>
        <v/>
      </c>
    </row>
    <row r="2607">
      <c r="A2607" s="4" t="n">
        <v>2203</v>
      </c>
      <c r="B2607" s="5" t="n">
        <v>44697</v>
      </c>
      <c r="C2607" s="13" t="inlineStr">
        <is>
          <t>CPR</t>
        </is>
      </c>
      <c r="D2607" s="13" t="n">
        <v>32</v>
      </c>
      <c r="E2607" s="10">
        <f>IF(D2607&gt;0,VLOOKUP(OPERAC[[#This Row],[COD CART]],[1]!MatrizCortoLargoCyl[#All],3,0),"")</f>
        <v/>
      </c>
      <c r="F2607" s="13" t="inlineStr">
        <is>
          <t>TLRY/CYL/5,50/17-06-22</t>
        </is>
      </c>
      <c r="G2607" s="6" t="n">
        <v>100</v>
      </c>
      <c r="H2607" s="6">
        <f>-484.256+11.898</f>
        <v/>
      </c>
      <c r="I2607" s="7">
        <f>-H2607/G2607</f>
        <v/>
      </c>
      <c r="J2607" s="11" t="n"/>
      <c r="K2607" s="6" t="n"/>
      <c r="L2607" s="6" t="n"/>
      <c r="M2607" s="7">
        <f>IF(N2607=0,+L2607+H2607,0)</f>
        <v/>
      </c>
      <c r="N2607" s="7">
        <f>IF((+G2607-K2607)=0,0,+G2607-K2607)</f>
        <v/>
      </c>
      <c r="O2607" s="7">
        <f>IF(N2607=0,0,(L2607+H2607)/-N2607)</f>
        <v/>
      </c>
      <c r="P2607" s="7">
        <f>VLOOKUP(OPERAC[[#This Row],[especie]],[1]!ESPECIES[#All],6,0)</f>
        <v/>
      </c>
      <c r="Q2607" s="7">
        <f>IF(N2607&lt;&gt;0,P2607*N2607,0)</f>
        <v/>
      </c>
      <c r="R2607" s="8">
        <f>IF(Q2607&lt;&gt;0,Q2607+H2607+L2607,0)</f>
        <v/>
      </c>
      <c r="S2607" s="9">
        <f>VLOOKUP(OPERAC[[#This Row],[especie]],[1]!ESPECIES[#Data],9,FALSE)</f>
        <v/>
      </c>
    </row>
    <row r="2608">
      <c r="A2608" s="4" t="n">
        <v>2306</v>
      </c>
      <c r="B2608" s="5" t="n">
        <v>44697</v>
      </c>
      <c r="C2608" s="13" t="inlineStr">
        <is>
          <t>CPR</t>
        </is>
      </c>
      <c r="D2608" s="13" t="n">
        <v>32</v>
      </c>
      <c r="E2608" s="10">
        <f>IF(D2608&gt;0,VLOOKUP(OPERAC[[#This Row],[COD CART]],[1]!MatrizCortoLargoCyl[#All],3,0),"")</f>
        <v/>
      </c>
      <c r="F2608" s="13" t="inlineStr">
        <is>
          <t>TLRY/CYL/5,50/17-06-22</t>
        </is>
      </c>
      <c r="G2608" s="6" t="n">
        <v>100</v>
      </c>
      <c r="H2608" s="6">
        <f>-484.256+11.898</f>
        <v/>
      </c>
      <c r="I2608" s="7">
        <f>-H2608/G2608</f>
        <v/>
      </c>
      <c r="J2608" s="11" t="n"/>
      <c r="K2608" s="6" t="n"/>
      <c r="L2608" s="6" t="n"/>
      <c r="M2608" s="7">
        <f>IF(N2608=0,+L2608+H2608,0)</f>
        <v/>
      </c>
      <c r="N2608" s="7">
        <f>IF((+G2608-K2608)=0,0,+G2608-K2608)</f>
        <v/>
      </c>
      <c r="O2608" s="7">
        <f>IF(N2608=0,0,(L2608+H2608)/-N2608)</f>
        <v/>
      </c>
      <c r="P2608" s="7">
        <f>VLOOKUP(OPERAC[[#This Row],[especie]],[1]!ESPECIES[#All],6,0)</f>
        <v/>
      </c>
      <c r="Q2608" s="7">
        <f>IF(N2608&lt;&gt;0,P2608*N2608,0)</f>
        <v/>
      </c>
      <c r="R2608" s="8">
        <f>IF(Q2608&lt;&gt;0,Q2608+H2608+L2608,0)</f>
        <v/>
      </c>
      <c r="S2608" s="9">
        <f>VLOOKUP(OPERAC[[#This Row],[especie]],[1]!ESPECIES[#Data],9,FALSE)</f>
        <v/>
      </c>
    </row>
    <row r="2609">
      <c r="A2609" s="4" t="n">
        <v>3787</v>
      </c>
      <c r="B2609" s="5" t="n">
        <v>44697</v>
      </c>
      <c r="C2609" s="13" t="inlineStr">
        <is>
          <t>CPR</t>
        </is>
      </c>
      <c r="D2609" s="13" t="n">
        <v>32</v>
      </c>
      <c r="E2609" s="10">
        <f>IF(D2609&gt;0,VLOOKUP(OPERAC[[#This Row],[COD CART]],[1]!MatrizCortoLargoCyl[#All],3,0),"")</f>
        <v/>
      </c>
      <c r="F2609" s="13" t="inlineStr">
        <is>
          <t>TLRY/CYL/5,50/17-06-22</t>
        </is>
      </c>
      <c r="G2609" s="6" t="n">
        <v>100</v>
      </c>
      <c r="H2609" s="6">
        <f>-484.256+11.898</f>
        <v/>
      </c>
      <c r="I2609" s="7">
        <f>-H2609/G2609</f>
        <v/>
      </c>
      <c r="J2609" s="11" t="n"/>
      <c r="K2609" s="6" t="n"/>
      <c r="L2609" s="6" t="n"/>
      <c r="M2609" s="7">
        <f>IF(N2609=0,+L2609+H2609,0)</f>
        <v/>
      </c>
      <c r="N2609" s="7">
        <f>IF((+G2609-K2609)=0,0,+G2609-K2609)</f>
        <v/>
      </c>
      <c r="O2609" s="7">
        <f>IF(N2609=0,0,(L2609+H2609)/-N2609)</f>
        <v/>
      </c>
      <c r="P2609" s="7">
        <f>VLOOKUP(OPERAC[[#This Row],[especie]],[1]!ESPECIES[#All],6,0)</f>
        <v/>
      </c>
      <c r="Q2609" s="7">
        <f>IF(N2609&lt;&gt;0,P2609*N2609,0)</f>
        <v/>
      </c>
      <c r="R2609" s="8">
        <f>IF(Q2609&lt;&gt;0,Q2609+H2609+L2609,0)</f>
        <v/>
      </c>
      <c r="S2609" s="9">
        <f>VLOOKUP(OPERAC[[#This Row],[especie]],[1]!ESPECIES[#Data],9,FALSE)</f>
        <v/>
      </c>
    </row>
    <row r="2610">
      <c r="A2610" s="4" t="n">
        <v>7916</v>
      </c>
      <c r="B2610" s="5" t="n">
        <v>44697</v>
      </c>
      <c r="C2610" s="13" t="inlineStr">
        <is>
          <t>CPR</t>
        </is>
      </c>
      <c r="D2610" s="13" t="n">
        <v>32</v>
      </c>
      <c r="E2610" s="10">
        <f>IF(D2610&gt;0,VLOOKUP(OPERAC[[#This Row],[COD CART]],[1]!MatrizCortoLargoCyl[#All],3,0),"")</f>
        <v/>
      </c>
      <c r="F2610" s="13" t="inlineStr">
        <is>
          <t>TLRY/CYL/5,50/17-06-22</t>
        </is>
      </c>
      <c r="G2610" s="6" t="n">
        <v>100</v>
      </c>
      <c r="H2610" s="6">
        <f>-484.256+11.898</f>
        <v/>
      </c>
      <c r="I2610" s="7">
        <f>-H2610/G2610</f>
        <v/>
      </c>
      <c r="J2610" s="11" t="n"/>
      <c r="K2610" s="6" t="n"/>
      <c r="L2610" s="6" t="n"/>
      <c r="M2610" s="7">
        <f>IF(N2610=0,+L2610+H2610,0)</f>
        <v/>
      </c>
      <c r="N2610" s="7">
        <f>IF((+G2610-K2610)=0,0,+G2610-K2610)</f>
        <v/>
      </c>
      <c r="O2610" s="7">
        <f>IF(N2610=0,0,(L2610+H2610)/-N2610)</f>
        <v/>
      </c>
      <c r="P2610" s="7">
        <f>VLOOKUP(OPERAC[[#This Row],[especie]],[1]!ESPECIES[#All],6,0)</f>
        <v/>
      </c>
      <c r="Q2610" s="7">
        <f>IF(N2610&lt;&gt;0,P2610*N2610,0)</f>
        <v/>
      </c>
      <c r="R2610" s="8">
        <f>IF(Q2610&lt;&gt;0,Q2610+H2610+L2610,0)</f>
        <v/>
      </c>
      <c r="S2610" s="9">
        <f>VLOOKUP(OPERAC[[#This Row],[especie]],[1]!ESPECIES[#Data],9,FALSE)</f>
        <v/>
      </c>
    </row>
    <row r="2611">
      <c r="A2611" s="4" t="n">
        <v>10079</v>
      </c>
      <c r="B2611" s="5" t="n">
        <v>44697</v>
      </c>
      <c r="C2611" s="13" t="inlineStr">
        <is>
          <t>CPR</t>
        </is>
      </c>
      <c r="D2611" s="13" t="n">
        <v>32</v>
      </c>
      <c r="E2611" s="10">
        <f>IF(D2611&gt;0,VLOOKUP(OPERAC[[#This Row],[COD CART]],[1]!MatrizCortoLargoCyl[#All],3,0),"")</f>
        <v/>
      </c>
      <c r="F2611" s="13" t="inlineStr">
        <is>
          <t>TLRY/CYL/5,50/17-06-22</t>
        </is>
      </c>
      <c r="G2611" s="6" t="n">
        <v>100</v>
      </c>
      <c r="H2611" s="6">
        <f>-484.256+11.898</f>
        <v/>
      </c>
      <c r="I2611" s="7">
        <f>-H2611/G2611</f>
        <v/>
      </c>
      <c r="J2611" s="11" t="n"/>
      <c r="K2611" s="6" t="n"/>
      <c r="L2611" s="6" t="n"/>
      <c r="M2611" s="7">
        <f>IF(N2611=0,+L2611+H2611,0)</f>
        <v/>
      </c>
      <c r="N2611" s="7">
        <f>IF((+G2611-K2611)=0,0,+G2611-K2611)</f>
        <v/>
      </c>
      <c r="O2611" s="7">
        <f>IF(N2611=0,0,(L2611+H2611)/-N2611)</f>
        <v/>
      </c>
      <c r="P2611" s="7">
        <f>VLOOKUP(OPERAC[[#This Row],[especie]],[1]!ESPECIES[#All],6,0)</f>
        <v/>
      </c>
      <c r="Q2611" s="7">
        <f>IF(N2611&lt;&gt;0,P2611*N2611,0)</f>
        <v/>
      </c>
      <c r="R2611" s="8">
        <f>IF(Q2611&lt;&gt;0,Q2611+H2611+L2611,0)</f>
        <v/>
      </c>
      <c r="S2611" s="9">
        <f>VLOOKUP(OPERAC[[#This Row],[especie]],[1]!ESPECIES[#Data],9,FALSE)</f>
        <v/>
      </c>
    </row>
    <row r="2612">
      <c r="A2612" s="4" t="n">
        <v>12022</v>
      </c>
      <c r="B2612" s="5" t="n">
        <v>44697</v>
      </c>
      <c r="C2612" s="13" t="inlineStr">
        <is>
          <t>CPR</t>
        </is>
      </c>
      <c r="D2612" s="13" t="n">
        <v>32</v>
      </c>
      <c r="E2612" s="10">
        <f>IF(D2612&gt;0,VLOOKUP(OPERAC[[#This Row],[COD CART]],[1]!MatrizCortoLargoCyl[#All],3,0),"")</f>
        <v/>
      </c>
      <c r="F2612" s="13" t="inlineStr">
        <is>
          <t>TLRY/CYL/5,50/17-06-22</t>
        </is>
      </c>
      <c r="G2612" s="6" t="n">
        <v>100</v>
      </c>
      <c r="H2612" s="6">
        <f>-484.256+11.898</f>
        <v/>
      </c>
      <c r="I2612" s="7">
        <f>-H2612/G2612</f>
        <v/>
      </c>
      <c r="J2612" s="11" t="n"/>
      <c r="K2612" s="6" t="n"/>
      <c r="L2612" s="6" t="n"/>
      <c r="M2612" s="7">
        <f>IF(N2612=0,+L2612+H2612,0)</f>
        <v/>
      </c>
      <c r="N2612" s="7">
        <f>IF((+G2612-K2612)=0,0,+G2612-K2612)</f>
        <v/>
      </c>
      <c r="O2612" s="7">
        <f>IF(N2612=0,0,(L2612+H2612)/-N2612)</f>
        <v/>
      </c>
      <c r="P2612" s="7">
        <f>VLOOKUP(OPERAC[[#This Row],[especie]],[1]!ESPECIES[#All],6,0)</f>
        <v/>
      </c>
      <c r="Q2612" s="7">
        <f>IF(N2612&lt;&gt;0,P2612*N2612,0)</f>
        <v/>
      </c>
      <c r="R2612" s="8">
        <f>IF(Q2612&lt;&gt;0,Q2612+H2612+L2612,0)</f>
        <v/>
      </c>
      <c r="S2612" s="9">
        <f>VLOOKUP(OPERAC[[#This Row],[especie]],[1]!ESPECIES[#Data],9,FALSE)</f>
        <v/>
      </c>
    </row>
    <row r="2613">
      <c r="A2613" s="4" t="n">
        <v>12627</v>
      </c>
      <c r="B2613" s="5" t="n">
        <v>44697</v>
      </c>
      <c r="C2613" s="13" t="inlineStr">
        <is>
          <t>CPR</t>
        </is>
      </c>
      <c r="D2613" s="13" t="n">
        <v>32</v>
      </c>
      <c r="E2613" s="10">
        <f>IF(D2613&gt;0,VLOOKUP(OPERAC[[#This Row],[COD CART]],[1]!MatrizCortoLargoCyl[#All],3,0),"")</f>
        <v/>
      </c>
      <c r="F2613" s="13" t="inlineStr">
        <is>
          <t>TLRY/CYL/5,50/17-06-22</t>
        </is>
      </c>
      <c r="G2613" s="6" t="n">
        <v>100</v>
      </c>
      <c r="H2613" s="6">
        <f>-484.256+11.898</f>
        <v/>
      </c>
      <c r="I2613" s="7">
        <f>-H2613/G2613</f>
        <v/>
      </c>
      <c r="J2613" s="11" t="n"/>
      <c r="K2613" s="6" t="n"/>
      <c r="L2613" s="6" t="n"/>
      <c r="M2613" s="7">
        <f>IF(N2613=0,+L2613+H2613,0)</f>
        <v/>
      </c>
      <c r="N2613" s="7">
        <f>IF((+G2613-K2613)=0,0,+G2613-K2613)</f>
        <v/>
      </c>
      <c r="O2613" s="7">
        <f>IF(N2613=0,0,(L2613+H2613)/-N2613)</f>
        <v/>
      </c>
      <c r="P2613" s="7">
        <f>VLOOKUP(OPERAC[[#This Row],[especie]],[1]!ESPECIES[#All],6,0)</f>
        <v/>
      </c>
      <c r="Q2613" s="7">
        <f>IF(N2613&lt;&gt;0,P2613*N2613,0)</f>
        <v/>
      </c>
      <c r="R2613" s="8">
        <f>IF(Q2613&lt;&gt;0,Q2613+H2613+L2613,0)</f>
        <v/>
      </c>
      <c r="S2613" s="9">
        <f>VLOOKUP(OPERAC[[#This Row],[especie]],[1]!ESPECIES[#Data],9,FALSE)</f>
        <v/>
      </c>
    </row>
    <row r="2614">
      <c r="A2614" s="4" t="n">
        <v>12672</v>
      </c>
      <c r="B2614" s="5" t="n">
        <v>44697</v>
      </c>
      <c r="C2614" s="13" t="inlineStr">
        <is>
          <t>CPR</t>
        </is>
      </c>
      <c r="D2614" s="13" t="n">
        <v>32</v>
      </c>
      <c r="E2614" s="10">
        <f>IF(D2614&gt;0,VLOOKUP(OPERAC[[#This Row],[COD CART]],[1]!MatrizCortoLargoCyl[#All],3,0),"")</f>
        <v/>
      </c>
      <c r="F2614" s="13" t="inlineStr">
        <is>
          <t>TLRY/CYL/5,50/17-06-22</t>
        </is>
      </c>
      <c r="G2614" s="6" t="n">
        <v>100</v>
      </c>
      <c r="H2614" s="6">
        <f>-484.256+11.898</f>
        <v/>
      </c>
      <c r="I2614" s="7">
        <f>-H2614/G2614</f>
        <v/>
      </c>
      <c r="J2614" s="11" t="n"/>
      <c r="K2614" s="6" t="n"/>
      <c r="L2614" s="6" t="n"/>
      <c r="M2614" s="7">
        <f>IF(N2614=0,+L2614+H2614,0)</f>
        <v/>
      </c>
      <c r="N2614" s="7">
        <f>IF((+G2614-K2614)=0,0,+G2614-K2614)</f>
        <v/>
      </c>
      <c r="O2614" s="7">
        <f>IF(N2614=0,0,(L2614+H2614)/-N2614)</f>
        <v/>
      </c>
      <c r="P2614" s="7">
        <f>VLOOKUP(OPERAC[[#This Row],[especie]],[1]!ESPECIES[#All],6,0)</f>
        <v/>
      </c>
      <c r="Q2614" s="7">
        <f>IF(N2614&lt;&gt;0,P2614*N2614,0)</f>
        <v/>
      </c>
      <c r="R2614" s="8">
        <f>IF(Q2614&lt;&gt;0,Q2614+H2614+L2614,0)</f>
        <v/>
      </c>
      <c r="S2614" s="9">
        <f>VLOOKUP(OPERAC[[#This Row],[especie]],[1]!ESPECIES[#Data],9,FALSE)</f>
        <v/>
      </c>
    </row>
    <row r="2615">
      <c r="A2615" s="4" t="n">
        <v>13185</v>
      </c>
      <c r="B2615" s="5" t="n">
        <v>44697</v>
      </c>
      <c r="C2615" s="13" t="inlineStr">
        <is>
          <t>CPR</t>
        </is>
      </c>
      <c r="D2615" s="13" t="n">
        <v>32</v>
      </c>
      <c r="E2615" s="10">
        <f>IF(D2615&gt;0,VLOOKUP(OPERAC[[#This Row],[COD CART]],[1]!MatrizCortoLargoCyl[#All],3,0),"")</f>
        <v/>
      </c>
      <c r="F2615" s="13" t="inlineStr">
        <is>
          <t>TLRY/CYL/5,50/17-06-22</t>
        </is>
      </c>
      <c r="G2615" s="6" t="n">
        <v>100</v>
      </c>
      <c r="H2615" s="6">
        <f>-484.256+11.898</f>
        <v/>
      </c>
      <c r="I2615" s="7">
        <f>-H2615/G2615</f>
        <v/>
      </c>
      <c r="J2615" s="11" t="n"/>
      <c r="K2615" s="6" t="n"/>
      <c r="L2615" s="6" t="n"/>
      <c r="M2615" s="7">
        <f>IF(N2615=0,+L2615+H2615,0)</f>
        <v/>
      </c>
      <c r="N2615" s="7">
        <f>IF((+G2615-K2615)=0,0,+G2615-K2615)</f>
        <v/>
      </c>
      <c r="O2615" s="7">
        <f>IF(N2615=0,0,(L2615+H2615)/-N2615)</f>
        <v/>
      </c>
      <c r="P2615" s="7">
        <f>VLOOKUP(OPERAC[[#This Row],[especie]],[1]!ESPECIES[#All],6,0)</f>
        <v/>
      </c>
      <c r="Q2615" s="7">
        <f>IF(N2615&lt;&gt;0,P2615*N2615,0)</f>
        <v/>
      </c>
      <c r="R2615" s="8">
        <f>IF(Q2615&lt;&gt;0,Q2615+H2615+L2615,0)</f>
        <v/>
      </c>
      <c r="S2615" s="9">
        <f>VLOOKUP(OPERAC[[#This Row],[especie]],[1]!ESPECIES[#Data],9,FALSE)</f>
        <v/>
      </c>
    </row>
    <row r="2616">
      <c r="A2616" s="4" t="n">
        <v>2255</v>
      </c>
      <c r="B2616" s="5" t="n">
        <v>44697</v>
      </c>
      <c r="C2616" s="13" t="inlineStr">
        <is>
          <t>CPR</t>
        </is>
      </c>
      <c r="D2616" s="13" t="n">
        <v>32</v>
      </c>
      <c r="E2616" s="10">
        <f>IF(D2616&gt;0,VLOOKUP(OPERAC[[#This Row],[COD CART]],[1]!MatrizCortoLargoCyl[#All],3,0),"")</f>
        <v/>
      </c>
      <c r="F2616" s="13" t="inlineStr">
        <is>
          <t>TLRY/CYL/5,50/17-06-22</t>
        </is>
      </c>
      <c r="G2616" s="6" t="n">
        <v>100</v>
      </c>
      <c r="H2616" s="6">
        <f>-484.256+11.898</f>
        <v/>
      </c>
      <c r="I2616" s="7">
        <f>-H2616/G2616</f>
        <v/>
      </c>
      <c r="J2616" s="11" t="n"/>
      <c r="K2616" s="6" t="n"/>
      <c r="L2616" s="6" t="n"/>
      <c r="M2616" s="7">
        <f>IF(N2616=0,+L2616+H2616,0)</f>
        <v/>
      </c>
      <c r="N2616" s="7">
        <f>IF((+G2616-K2616)=0,0,+G2616-K2616)</f>
        <v/>
      </c>
      <c r="O2616" s="7">
        <f>IF(N2616=0,0,(L2616+H2616)/-N2616)</f>
        <v/>
      </c>
      <c r="P2616" s="7">
        <f>VLOOKUP(OPERAC[[#This Row],[especie]],[1]!ESPECIES[#All],6,0)</f>
        <v/>
      </c>
      <c r="Q2616" s="7">
        <f>IF(N2616&lt;&gt;0,P2616*N2616,0)</f>
        <v/>
      </c>
      <c r="R2616" s="8">
        <f>IF(Q2616&lt;&gt;0,Q2616+H2616+L2616,0)</f>
        <v/>
      </c>
      <c r="S2616" s="9">
        <f>VLOOKUP(OPERAC[[#This Row],[especie]],[1]!ESPECIES[#Data],9,FALSE)</f>
        <v/>
      </c>
    </row>
    <row r="2617">
      <c r="A2617" s="4" t="n">
        <v>4543</v>
      </c>
      <c r="B2617" s="5" t="n">
        <v>44658</v>
      </c>
      <c r="C2617" s="13" t="inlineStr">
        <is>
          <t>CPR</t>
        </is>
      </c>
      <c r="D2617" s="13" t="n">
        <v>41</v>
      </c>
      <c r="E2617" s="10">
        <f>IF(D2617&gt;0,VLOOKUP(OPERAC[[#This Row],[COD CART]],[1]!MatrizCortoLargoCyl[#All],3,0),"")</f>
        <v/>
      </c>
      <c r="F2617" s="13" t="inlineStr">
        <is>
          <t>CRESY</t>
        </is>
      </c>
      <c r="G2617" s="6" t="n">
        <v>60</v>
      </c>
      <c r="H2617" s="6" t="n">
        <v>-472.744</v>
      </c>
      <c r="I2617" s="7">
        <f>-H2617/G2617</f>
        <v/>
      </c>
      <c r="J2617" s="11" t="n"/>
      <c r="K2617" s="6" t="n"/>
      <c r="L2617" s="6" t="n"/>
      <c r="M2617" s="7">
        <f>IF(N2617=0,+L2617+H2617,0)</f>
        <v/>
      </c>
      <c r="N2617" s="7">
        <f>IF((+G2617-K2617)=0,0,+G2617-K2617)</f>
        <v/>
      </c>
      <c r="O2617" s="7">
        <f>IF(N2617=0,0,(L2617+H2617)/-N2617)</f>
        <v/>
      </c>
      <c r="P2617" s="7">
        <f>VLOOKUP(OPERAC[[#This Row],[especie]],[1]!ESPECIES[#All],6,0)</f>
        <v/>
      </c>
      <c r="Q2617" s="7">
        <f>IF(N2617&lt;&gt;0,P2617*N2617,0)</f>
        <v/>
      </c>
      <c r="R2617" s="8">
        <f>IF(Q2617&lt;&gt;0,Q2617+H2617+L2617,0)</f>
        <v/>
      </c>
      <c r="S2617" s="9">
        <f>VLOOKUP(OPERAC[[#This Row],[especie]],[1]!ESPECIES[#Data],9,FALSE)</f>
        <v/>
      </c>
    </row>
    <row r="2618">
      <c r="A2618" s="4" t="n">
        <v>3835</v>
      </c>
      <c r="B2618" s="5" t="n">
        <v>44680</v>
      </c>
      <c r="C2618" s="13" t="inlineStr">
        <is>
          <t>CPR</t>
        </is>
      </c>
      <c r="D2618" s="13" t="n">
        <v>42</v>
      </c>
      <c r="E2618" s="10">
        <f>IF(D2618&gt;0,VLOOKUP(OPERAC[[#This Row],[COD CART]],[1]!MatrizCortoLargoCyl[#All],3,0),"")</f>
        <v/>
      </c>
      <c r="F2618" s="14" t="inlineStr">
        <is>
          <t>XLP</t>
        </is>
      </c>
      <c r="G2618" s="6" t="n">
        <v>6</v>
      </c>
      <c r="H2618" s="6" t="n">
        <v>-473.0625900000001</v>
      </c>
      <c r="I2618" s="7">
        <f>-H2618/G2618</f>
        <v/>
      </c>
      <c r="J2618" s="11" t="n">
        <v>44707</v>
      </c>
      <c r="K2618" s="6" t="n">
        <v>6</v>
      </c>
      <c r="L2618" s="6" t="n">
        <v>445.324</v>
      </c>
      <c r="M2618" s="7">
        <f>IF(N2618=0,+L2618+H2618,0)</f>
        <v/>
      </c>
      <c r="N2618" s="7">
        <f>IF((+G2618-K2618)=0,0,+G2618-K2618)</f>
        <v/>
      </c>
      <c r="O2618" s="7">
        <f>IF(N2618=0,0,(L2618+H2618)/-N2618)</f>
        <v/>
      </c>
      <c r="P2618" s="7">
        <f>VLOOKUP(OPERAC[[#This Row],[especie]],[1]!ESPECIES[#All],6,0)</f>
        <v/>
      </c>
      <c r="Q2618" s="7">
        <f>IF(N2618&lt;&gt;0,P2618*N2618,0)</f>
        <v/>
      </c>
      <c r="R2618" s="8">
        <f>IF(Q2618&lt;&gt;0,Q2618+H2618+L2618,0)</f>
        <v/>
      </c>
      <c r="S2618" s="9">
        <f>VLOOKUP(OPERAC[[#This Row],[especie]],[1]!ESPECIES[#Data],9,FALSE)</f>
        <v/>
      </c>
    </row>
    <row r="2619">
      <c r="A2619" s="4" t="n">
        <v>19920</v>
      </c>
      <c r="B2619" s="5" t="n">
        <v>44637</v>
      </c>
      <c r="C2619" s="13" t="inlineStr">
        <is>
          <t>CPR</t>
        </is>
      </c>
      <c r="D2619" s="13" t="n">
        <v>31</v>
      </c>
      <c r="E2619" s="10">
        <f>IF(D2619&gt;0,VLOOKUP(OPERAC[[#This Row],[COD CART]],[1]!MatrizCortoLargoCyl[#All],3,0),"")</f>
        <v/>
      </c>
      <c r="F2619" s="13" t="inlineStr">
        <is>
          <t>BIOX</t>
        </is>
      </c>
      <c r="G2619" s="6" t="n">
        <v>35</v>
      </c>
      <c r="H2619" s="6" t="n">
        <v>-474.1048</v>
      </c>
      <c r="I2619" s="7">
        <f>-H2619/G2619</f>
        <v/>
      </c>
      <c r="J2619" s="11" t="n"/>
      <c r="K2619" s="6" t="n"/>
      <c r="L2619" s="6" t="n"/>
      <c r="M2619" s="7">
        <f>IF(N2619=0,+L2619+H2619,0)</f>
        <v/>
      </c>
      <c r="N2619" s="7">
        <f>IF((+G2619-K2619)=0,0,+G2619-K2619)</f>
        <v/>
      </c>
      <c r="O2619" s="7">
        <f>IF(N2619=0,0,(L2619+H2619)/-N2619)</f>
        <v/>
      </c>
      <c r="P2619" s="7">
        <f>VLOOKUP(OPERAC[[#This Row],[especie]],[1]!ESPECIES[#All],6,0)</f>
        <v/>
      </c>
      <c r="Q2619" s="7">
        <f>IF(N2619&lt;&gt;0,P2619*N2619,0)</f>
        <v/>
      </c>
      <c r="R2619" s="8">
        <f>IF(Q2619&lt;&gt;0,Q2619+H2619+L2619,0)</f>
        <v/>
      </c>
      <c r="S2619" s="9">
        <f>VLOOKUP(OPERAC[[#This Row],[especie]],[1]!ESPECIES[#Data],9,FALSE)</f>
        <v/>
      </c>
    </row>
    <row r="2620">
      <c r="A2620" s="4" t="n">
        <v>13269</v>
      </c>
      <c r="B2620" s="5" t="n">
        <v>44650</v>
      </c>
      <c r="C2620" s="13" t="inlineStr">
        <is>
          <t>CPR</t>
        </is>
      </c>
      <c r="D2620" s="13" t="n">
        <v>42</v>
      </c>
      <c r="E2620" s="10">
        <f>IF(D2620&gt;0,VLOOKUP(OPERAC[[#This Row],[COD CART]],[1]!MatrizCortoLargoCyl[#All],3,0),"")</f>
        <v/>
      </c>
      <c r="F2620" s="13" t="inlineStr">
        <is>
          <t>BBAR</t>
        </is>
      </c>
      <c r="G2620" s="6" t="n">
        <v>130</v>
      </c>
      <c r="H2620" s="6" t="n">
        <v>-475.0148</v>
      </c>
      <c r="I2620" s="7">
        <f>-H2620/G2620</f>
        <v/>
      </c>
      <c r="J2620" s="11" t="n"/>
      <c r="K2620" s="6" t="n"/>
      <c r="L2620" s="6" t="n"/>
      <c r="M2620" s="7">
        <f>IF(N2620=0,+L2620+H2620,0)</f>
        <v/>
      </c>
      <c r="N2620" s="7">
        <f>IF((+G2620-K2620)=0,0,+G2620-K2620)</f>
        <v/>
      </c>
      <c r="O2620" s="7">
        <f>IF(N2620=0,0,(L2620+H2620)/-N2620)</f>
        <v/>
      </c>
      <c r="P2620" s="7">
        <f>VLOOKUP(OPERAC[[#This Row],[especie]],[1]!ESPECIES[#All],6,0)</f>
        <v/>
      </c>
      <c r="Q2620" s="7">
        <f>IF(N2620&lt;&gt;0,P2620*N2620,0)</f>
        <v/>
      </c>
      <c r="R2620" s="8">
        <f>IF(Q2620&lt;&gt;0,Q2620+H2620+L2620,0)</f>
        <v/>
      </c>
      <c r="S2620" s="9">
        <f>VLOOKUP(OPERAC[[#This Row],[especie]],[1]!ESPECIES[#Data],9,FALSE)</f>
        <v/>
      </c>
    </row>
    <row r="2621">
      <c r="A2621" s="4" t="n">
        <v>18726</v>
      </c>
      <c r="B2621" s="5" t="n">
        <v>44641</v>
      </c>
      <c r="C2621" s="13" t="inlineStr">
        <is>
          <t>CPR</t>
        </is>
      </c>
      <c r="D2621" s="13" t="n">
        <v>32</v>
      </c>
      <c r="E2621" s="10">
        <f>IF(D2621&gt;0,VLOOKUP(OPERAC[[#This Row],[COD CART]],[1]!MatrizCortoLargoCyl[#All],3,0),"")</f>
        <v/>
      </c>
      <c r="F2621" s="13" t="inlineStr">
        <is>
          <t>HMY</t>
        </is>
      </c>
      <c r="G2621" s="6" t="n">
        <v>100</v>
      </c>
      <c r="H2621" s="6" t="n">
        <v>-475.9039</v>
      </c>
      <c r="I2621" s="7">
        <f>-H2621/G2621</f>
        <v/>
      </c>
      <c r="J2621" s="11" t="n">
        <v>44669</v>
      </c>
      <c r="K2621" s="6">
        <f>+OPERAC[[#This Row],[cantidad]]</f>
        <v/>
      </c>
      <c r="L2621" s="6">
        <f>4.925*OPERAC[[#This Row],[cantidad venta]]</f>
        <v/>
      </c>
      <c r="M2621" s="7">
        <f>IF(N2621=0,+L2621+H2621,0)</f>
        <v/>
      </c>
      <c r="N2621" s="7">
        <f>IF((+G2621-K2621)=0,0,+G2621-K2621)</f>
        <v/>
      </c>
      <c r="O2621" s="7">
        <f>IF(N2621=0,0,(L2621+H2621)/-N2621)</f>
        <v/>
      </c>
      <c r="P2621" s="7">
        <f>VLOOKUP(OPERAC[[#This Row],[especie]],[1]!ESPECIES[#All],6,0)</f>
        <v/>
      </c>
      <c r="Q2621" s="7">
        <f>IF(N2621&lt;&gt;0,P2621*N2621,0)</f>
        <v/>
      </c>
      <c r="R2621" s="8">
        <f>IF(Q2621&lt;&gt;0,Q2621+H2621+L2621,0)</f>
        <v/>
      </c>
      <c r="S2621" s="9">
        <f>VLOOKUP(OPERAC[[#This Row],[especie]],[1]!ESPECIES[#Data],9,FALSE)</f>
        <v/>
      </c>
    </row>
    <row r="2622">
      <c r="A2622" s="4" t="n">
        <v>13188</v>
      </c>
      <c r="B2622" s="5" t="n">
        <v>43831</v>
      </c>
      <c r="C2622" s="13" t="inlineStr">
        <is>
          <t>VTA</t>
        </is>
      </c>
      <c r="D2622" s="13" t="n">
        <v>41</v>
      </c>
      <c r="E2622" s="10">
        <f>IF(D2622&gt;0,VLOOKUP(OPERAC[[#This Row],[COD CART]],[1]!MatrizCortoLargoCyl[#All],3,0),"")</f>
        <v/>
      </c>
      <c r="F2622" s="13" t="inlineStr">
        <is>
          <t>IPIX</t>
        </is>
      </c>
      <c r="G2622" s="6" t="n">
        <v>5720</v>
      </c>
      <c r="H2622" s="6" t="n">
        <v>-476.476</v>
      </c>
      <c r="I2622" s="7" t="n">
        <v>0.0833</v>
      </c>
      <c r="J2622" s="5" t="n"/>
      <c r="K2622" s="6" t="n"/>
      <c r="L2622" s="6" t="n"/>
      <c r="M2622" s="7">
        <f>IF(N2622=0,+L2622+H2622,0)</f>
        <v/>
      </c>
      <c r="N2622" s="7">
        <f>IF((+G2622-K2622)=0,0,+G2622-K2622)</f>
        <v/>
      </c>
      <c r="O2622" s="7">
        <f>IF(N2622=0,0,(L2622+H2622)/-N2622)</f>
        <v/>
      </c>
      <c r="P2622" s="7">
        <f>VLOOKUP(OPERAC[[#This Row],[especie]],[1]!ESPECIES[#All],6,0)</f>
        <v/>
      </c>
      <c r="Q2622" s="7">
        <f>IF(N2622&lt;&gt;0,P2622*N2622,0)</f>
        <v/>
      </c>
      <c r="R2622" s="8">
        <f>IF(Q2622&lt;&gt;0,Q2622+H2622+L2622,0)</f>
        <v/>
      </c>
      <c r="S2622" s="9">
        <f>VLOOKUP(OPERAC[[#This Row],[especie]],[1]!ESPECIES[#Data],9,FALSE)</f>
        <v/>
      </c>
    </row>
    <row r="2623">
      <c r="A2623" s="4" t="n">
        <v>13281</v>
      </c>
      <c r="B2623" s="5" t="n">
        <v>44565</v>
      </c>
      <c r="C2623" s="13" t="inlineStr">
        <is>
          <t>CPR</t>
        </is>
      </c>
      <c r="D2623" s="13" t="n">
        <v>41</v>
      </c>
      <c r="E2623" s="10">
        <f>IF(D2623&gt;0,VLOOKUP(OPERAC[[#This Row],[COD CART]],[1]!MatrizCortoLargoCyl[#All],3,0),"")</f>
        <v/>
      </c>
      <c r="F2623" s="13" t="inlineStr">
        <is>
          <t>ACB</t>
        </is>
      </c>
      <c r="G2623" s="6" t="n">
        <v>84</v>
      </c>
      <c r="H2623" s="6" t="n">
        <v>-476.6280256</v>
      </c>
      <c r="I2623" s="7">
        <f>-H2623/G2623</f>
        <v/>
      </c>
      <c r="J2623" s="11" t="n"/>
      <c r="K2623" s="6" t="n"/>
      <c r="L2623" s="6" t="n"/>
      <c r="M2623" s="7">
        <f>IF(N2623=0,+L2623+H2623,0)</f>
        <v/>
      </c>
      <c r="N2623" s="7">
        <f>IF((+G2623-K2623)=0,0,+G2623-K2623)</f>
        <v/>
      </c>
      <c r="O2623" s="7">
        <f>IF(N2623=0,0,(L2623+H2623)/-N2623)</f>
        <v/>
      </c>
      <c r="P2623" s="7">
        <f>VLOOKUP(OPERAC[[#This Row],[especie]],[1]!ESPECIES[#All],6,0)</f>
        <v/>
      </c>
      <c r="Q2623" s="7">
        <f>IF(N2623&lt;&gt;0,P2623*N2623,0)</f>
        <v/>
      </c>
      <c r="R2623" s="8">
        <f>IF(Q2623&lt;&gt;0,Q2623+H2623+L2623,0)</f>
        <v/>
      </c>
      <c r="S2623" s="9">
        <f>VLOOKUP(OPERAC[[#This Row],[especie]],[1]!ESPECIES[#Data],9,FALSE)</f>
        <v/>
      </c>
    </row>
    <row r="2624">
      <c r="A2624" s="4" t="n">
        <v>2255</v>
      </c>
      <c r="B2624" s="5" t="n">
        <v>44599</v>
      </c>
      <c r="C2624" s="13" t="inlineStr">
        <is>
          <t>CPR</t>
        </is>
      </c>
      <c r="D2624" s="13" t="n">
        <v>40</v>
      </c>
      <c r="E2624" s="10">
        <f>IF(D2624&gt;0,VLOOKUP(OPERAC[[#This Row],[COD CART]],[1]!MatrizCortoLargoCyl[#All],3,0),"")</f>
        <v/>
      </c>
      <c r="F2624" s="13" t="inlineStr">
        <is>
          <t>FB</t>
        </is>
      </c>
      <c r="G2624" s="6" t="n">
        <v>2</v>
      </c>
      <c r="H2624" s="6" t="n">
        <v>-476.92</v>
      </c>
      <c r="I2624" s="7">
        <f>-H2624/G2624</f>
        <v/>
      </c>
      <c r="J2624" s="11" t="n">
        <v>44616</v>
      </c>
      <c r="K2624" s="6">
        <f>+OPERAC[[#This Row],[cantidad]]</f>
        <v/>
      </c>
      <c r="L2624" s="6">
        <f>200.299*OPERAC[[#This Row],[cantidad venta]]</f>
        <v/>
      </c>
      <c r="M2624" s="7">
        <f>IF(N2624=0,+L2624+H2624,0)</f>
        <v/>
      </c>
      <c r="N2624" s="7">
        <f>IF((+G2624-K2624)=0,0,+G2624-K2624)</f>
        <v/>
      </c>
      <c r="O2624" s="7">
        <f>IF(N2624=0,0,(L2624+H2624)/-N2624)</f>
        <v/>
      </c>
      <c r="P2624" s="7">
        <f>VLOOKUP(OPERAC[[#This Row],[especie]],[1]!ESPECIES[#All],6,0)</f>
        <v/>
      </c>
      <c r="Q2624" s="7">
        <f>IF(N2624&lt;&gt;0,P2624*N2624,0)</f>
        <v/>
      </c>
      <c r="R2624" s="8">
        <f>IF(Q2624&lt;&gt;0,Q2624+H2624+L2624,0)</f>
        <v/>
      </c>
      <c r="S2624" s="9">
        <f>VLOOKUP(OPERAC[[#This Row],[especie]],[1]!ESPECIES[#Data],9,FALSE)</f>
        <v/>
      </c>
    </row>
    <row r="2625">
      <c r="A2625" s="4" t="n">
        <v>2257</v>
      </c>
      <c r="B2625" s="5" t="n">
        <v>44599</v>
      </c>
      <c r="C2625" s="13" t="inlineStr">
        <is>
          <t>CPR</t>
        </is>
      </c>
      <c r="D2625" s="13" t="n">
        <v>40</v>
      </c>
      <c r="E2625" s="10">
        <f>IF(D2625&gt;0,VLOOKUP(OPERAC[[#This Row],[COD CART]],[1]!MatrizCortoLargoCyl[#All],3,0),"")</f>
        <v/>
      </c>
      <c r="F2625" s="13" t="inlineStr">
        <is>
          <t>FB</t>
        </is>
      </c>
      <c r="G2625" s="6" t="n">
        <v>2</v>
      </c>
      <c r="H2625" s="6" t="n">
        <v>-476.92</v>
      </c>
      <c r="I2625" s="7">
        <f>-H2625/G2625</f>
        <v/>
      </c>
      <c r="J2625" s="11" t="n">
        <v>44616</v>
      </c>
      <c r="K2625" s="6">
        <f>+OPERAC[[#This Row],[cantidad]]</f>
        <v/>
      </c>
      <c r="L2625" s="6">
        <f>200.299*OPERAC[[#This Row],[cantidad venta]]</f>
        <v/>
      </c>
      <c r="M2625" s="7">
        <f>IF(N2625=0,+L2625+H2625,0)</f>
        <v/>
      </c>
      <c r="N2625" s="7">
        <f>IF((+G2625-K2625)=0,0,+G2625-K2625)</f>
        <v/>
      </c>
      <c r="O2625" s="7">
        <f>IF(N2625=0,0,(L2625+H2625)/-N2625)</f>
        <v/>
      </c>
      <c r="P2625" s="7">
        <f>VLOOKUP(OPERAC[[#This Row],[especie]],[1]!ESPECIES[#All],6,0)</f>
        <v/>
      </c>
      <c r="Q2625" s="7">
        <f>IF(N2625&lt;&gt;0,P2625*N2625,0)</f>
        <v/>
      </c>
      <c r="R2625" s="8">
        <f>IF(Q2625&lt;&gt;0,Q2625+H2625+L2625,0)</f>
        <v/>
      </c>
      <c r="S2625" s="9">
        <f>VLOOKUP(OPERAC[[#This Row],[especie]],[1]!ESPECIES[#Data],9,FALSE)</f>
        <v/>
      </c>
    </row>
    <row r="2626">
      <c r="A2626" s="4" t="n">
        <v>3832</v>
      </c>
      <c r="B2626" s="5" t="n">
        <v>44599</v>
      </c>
      <c r="C2626" s="13" t="inlineStr">
        <is>
          <t>CPR</t>
        </is>
      </c>
      <c r="D2626" s="13" t="n">
        <v>40</v>
      </c>
      <c r="E2626" s="10">
        <f>IF(D2626&gt;0,VLOOKUP(OPERAC[[#This Row],[COD CART]],[1]!MatrizCortoLargoCyl[#All],3,0),"")</f>
        <v/>
      </c>
      <c r="F2626" s="13" t="inlineStr">
        <is>
          <t>FB</t>
        </is>
      </c>
      <c r="G2626" s="6" t="n">
        <v>2</v>
      </c>
      <c r="H2626" s="6" t="n">
        <v>-476.92</v>
      </c>
      <c r="I2626" s="7">
        <f>-H2626/G2626</f>
        <v/>
      </c>
      <c r="J2626" s="11" t="n">
        <v>44616</v>
      </c>
      <c r="K2626" s="6">
        <f>+OPERAC[[#This Row],[cantidad]]</f>
        <v/>
      </c>
      <c r="L2626" s="6">
        <f>200.299*OPERAC[[#This Row],[cantidad venta]]</f>
        <v/>
      </c>
      <c r="M2626" s="7">
        <f>IF(N2626=0,+L2626+H2626,0)</f>
        <v/>
      </c>
      <c r="N2626" s="7">
        <f>IF((+G2626-K2626)=0,0,+G2626-K2626)</f>
        <v/>
      </c>
      <c r="O2626" s="7">
        <f>IF(N2626=0,0,(L2626+H2626)/-N2626)</f>
        <v/>
      </c>
      <c r="P2626" s="7">
        <f>VLOOKUP(OPERAC[[#This Row],[especie]],[1]!ESPECIES[#All],6,0)</f>
        <v/>
      </c>
      <c r="Q2626" s="7">
        <f>IF(N2626&lt;&gt;0,P2626*N2626,0)</f>
        <v/>
      </c>
      <c r="R2626" s="8">
        <f>IF(Q2626&lt;&gt;0,Q2626+H2626+L2626,0)</f>
        <v/>
      </c>
      <c r="S2626" s="9">
        <f>VLOOKUP(OPERAC[[#This Row],[especie]],[1]!ESPECIES[#Data],9,FALSE)</f>
        <v/>
      </c>
    </row>
    <row r="2627">
      <c r="A2627" s="4" t="n">
        <v>4561</v>
      </c>
      <c r="B2627" s="5" t="n">
        <v>44599</v>
      </c>
      <c r="C2627" s="13" t="inlineStr">
        <is>
          <t>CPR</t>
        </is>
      </c>
      <c r="D2627" s="13" t="n">
        <v>40</v>
      </c>
      <c r="E2627" s="10">
        <f>IF(D2627&gt;0,VLOOKUP(OPERAC[[#This Row],[COD CART]],[1]!MatrizCortoLargoCyl[#All],3,0),"")</f>
        <v/>
      </c>
      <c r="F2627" s="13" t="inlineStr">
        <is>
          <t>FB</t>
        </is>
      </c>
      <c r="G2627" s="6" t="n">
        <v>2</v>
      </c>
      <c r="H2627" s="6" t="n">
        <v>-476.92</v>
      </c>
      <c r="I2627" s="7">
        <f>-H2627/G2627</f>
        <v/>
      </c>
      <c r="J2627" s="11" t="n">
        <v>44614</v>
      </c>
      <c r="K2627" s="6" t="n">
        <v>2</v>
      </c>
      <c r="L2627" s="6" t="n">
        <v>410</v>
      </c>
      <c r="M2627" s="7">
        <f>IF(N2627=0,+L2627+H2627,0)</f>
        <v/>
      </c>
      <c r="N2627" s="7">
        <f>IF((+G2627-K2627)=0,0,+G2627-K2627)</f>
        <v/>
      </c>
      <c r="O2627" s="7">
        <f>IF(N2627=0,0,(L2627+H2627)/-N2627)</f>
        <v/>
      </c>
      <c r="P2627" s="7">
        <f>VLOOKUP(OPERAC[[#This Row],[especie]],[1]!ESPECIES[#All],6,0)</f>
        <v/>
      </c>
      <c r="Q2627" s="7">
        <f>IF(N2627&lt;&gt;0,P2627*N2627,0)</f>
        <v/>
      </c>
      <c r="R2627" s="8">
        <f>IF(Q2627&lt;&gt;0,Q2627+H2627+L2627,0)</f>
        <v/>
      </c>
      <c r="S2627" s="9">
        <f>VLOOKUP(OPERAC[[#This Row],[especie]],[1]!ESPECIES[#Data],9,FALSE)</f>
        <v/>
      </c>
    </row>
    <row r="2628">
      <c r="A2628" s="4" t="n">
        <v>2305</v>
      </c>
      <c r="B2628" s="5" t="n">
        <v>44657</v>
      </c>
      <c r="C2628" s="13" t="inlineStr">
        <is>
          <t>CPR</t>
        </is>
      </c>
      <c r="D2628" s="13" t="n">
        <v>41</v>
      </c>
      <c r="E2628" s="10">
        <f>IF(D2628&gt;0,VLOOKUP(OPERAC[[#This Row],[COD CART]],[1]!MatrizCortoLargoCyl[#All],3,0),"")</f>
        <v/>
      </c>
      <c r="F2628" s="13" t="inlineStr">
        <is>
          <t>HYDR</t>
        </is>
      </c>
      <c r="G2628" s="6" t="n">
        <v>25</v>
      </c>
      <c r="H2628" s="6" t="n">
        <v>-477.9725</v>
      </c>
      <c r="I2628" s="7">
        <f>-H2628/G2628</f>
        <v/>
      </c>
      <c r="J2628" s="11" t="n">
        <v>44693</v>
      </c>
      <c r="K2628" s="6">
        <f>+OPERAC[[#This Row],[cantidad]]</f>
        <v/>
      </c>
      <c r="L2628" s="6">
        <f>+OPERAC[[#This Row],[cantidad venta]]*12.027</f>
        <v/>
      </c>
      <c r="M2628" s="7">
        <f>IF(N2628=0,+L2628+H2628,0)</f>
        <v/>
      </c>
      <c r="N2628" s="7">
        <f>IF((+G2628-K2628)=0,0,+G2628-K2628)</f>
        <v/>
      </c>
      <c r="O2628" s="7">
        <f>IF(N2628=0,0,(L2628+H2628)/-N2628)</f>
        <v/>
      </c>
      <c r="P2628" s="7">
        <f>VLOOKUP(OPERAC[[#This Row],[especie]],[1]!ESPECIES[#All],6,0)</f>
        <v/>
      </c>
      <c r="Q2628" s="7">
        <f>IF(N2628&lt;&gt;0,P2628*N2628,0)</f>
        <v/>
      </c>
      <c r="R2628" s="8">
        <f>IF(Q2628&lt;&gt;0,Q2628+H2628+L2628,0)</f>
        <v/>
      </c>
      <c r="S2628" s="9">
        <f>VLOOKUP(OPERAC[[#This Row],[especie]],[1]!ESPECIES[#Data],9,FALSE)</f>
        <v/>
      </c>
    </row>
    <row r="2629">
      <c r="A2629" s="4" t="n">
        <v>2305</v>
      </c>
      <c r="B2629" s="5" t="n">
        <v>44657</v>
      </c>
      <c r="C2629" s="13" t="inlineStr">
        <is>
          <t>CPR</t>
        </is>
      </c>
      <c r="D2629" s="13" t="n">
        <v>32</v>
      </c>
      <c r="E2629" s="10">
        <f>IF(D2629&gt;0,VLOOKUP(OPERAC[[#This Row],[COD CART]],[1]!MatrizCortoLargoCyl[#All],3,0),"")</f>
        <v/>
      </c>
      <c r="F2629" s="13" t="inlineStr">
        <is>
          <t>HMY</t>
        </is>
      </c>
      <c r="G2629" s="6" t="n">
        <v>100</v>
      </c>
      <c r="H2629" s="6" t="n">
        <v>-478.385</v>
      </c>
      <c r="I2629" s="7">
        <f>-H2629/G2629</f>
        <v/>
      </c>
      <c r="J2629" s="11" t="n">
        <v>44669</v>
      </c>
      <c r="K2629" s="6">
        <f>+OPERAC[[#This Row],[cantidad]]</f>
        <v/>
      </c>
      <c r="L2629" s="6">
        <f>4.925*OPERAC[[#This Row],[cantidad venta]]</f>
        <v/>
      </c>
      <c r="M2629" s="7">
        <f>IF(N2629=0,+L2629+H2629,0)</f>
        <v/>
      </c>
      <c r="N2629" s="7">
        <f>IF((+G2629-K2629)=0,0,+G2629-K2629)</f>
        <v/>
      </c>
      <c r="O2629" s="7">
        <f>IF(N2629=0,0,(L2629+H2629)/-N2629)</f>
        <v/>
      </c>
      <c r="P2629" s="7">
        <f>VLOOKUP(OPERAC[[#This Row],[especie]],[1]!ESPECIES[#All],6,0)</f>
        <v/>
      </c>
      <c r="Q2629" s="7">
        <f>IF(N2629&lt;&gt;0,P2629*N2629,0)</f>
        <v/>
      </c>
      <c r="R2629" s="8">
        <f>IF(Q2629&lt;&gt;0,Q2629+H2629+L2629,0)</f>
        <v/>
      </c>
      <c r="S2629" s="9">
        <f>VLOOKUP(OPERAC[[#This Row],[especie]],[1]!ESPECIES[#Data],9,FALSE)</f>
        <v/>
      </c>
    </row>
    <row r="2630">
      <c r="A2630" s="4" t="n">
        <v>13188</v>
      </c>
      <c r="B2630" s="5" t="n">
        <v>43831</v>
      </c>
      <c r="C2630" s="13" t="inlineStr">
        <is>
          <t>CPR</t>
        </is>
      </c>
      <c r="D2630" s="13" t="n">
        <v>41</v>
      </c>
      <c r="E2630" s="10">
        <f>IF(D2630&gt;0,VLOOKUP(OPERAC[[#This Row],[COD CART]],[1]!MatrizCortoLargoCyl[#All],3,0),"")</f>
        <v/>
      </c>
      <c r="F2630" s="13" t="inlineStr">
        <is>
          <t>TGS</t>
        </is>
      </c>
      <c r="G2630" s="6" t="n">
        <v>52</v>
      </c>
      <c r="H2630" s="6" t="n">
        <v>-478.4</v>
      </c>
      <c r="I2630" s="7" t="n">
        <v>9.199999999999999</v>
      </c>
      <c r="J2630" s="5" t="n"/>
      <c r="K2630" s="6" t="n"/>
      <c r="L2630" s="6" t="n"/>
      <c r="M2630" s="7">
        <f>IF(N2630=0,+L2630+H2630,0)</f>
        <v/>
      </c>
      <c r="N2630" s="7">
        <f>IF((+G2630-K2630)=0,0,+G2630-K2630)</f>
        <v/>
      </c>
      <c r="O2630" s="7">
        <f>IF(N2630=0,0,(L2630+H2630)/-N2630)</f>
        <v/>
      </c>
      <c r="P2630" s="7">
        <f>VLOOKUP(OPERAC[[#This Row],[especie]],[1]!ESPECIES[#All],6,0)</f>
        <v/>
      </c>
      <c r="Q2630" s="7">
        <f>IF(N2630&lt;&gt;0,P2630*N2630,0)</f>
        <v/>
      </c>
      <c r="R2630" s="8">
        <f>IF(Q2630&lt;&gt;0,Q2630+H2630+L2630,0)</f>
        <v/>
      </c>
      <c r="S2630" s="9">
        <f>VLOOKUP(OPERAC[[#This Row],[especie]],[1]!ESPECIES[#Data],9,FALSE)</f>
        <v/>
      </c>
    </row>
    <row r="2631">
      <c r="A2631" s="4" t="n">
        <v>13188</v>
      </c>
      <c r="B2631" s="5" t="n">
        <v>43831</v>
      </c>
      <c r="C2631" s="13" t="inlineStr">
        <is>
          <t>CPR</t>
        </is>
      </c>
      <c r="D2631" s="13" t="n">
        <v>41</v>
      </c>
      <c r="E2631" s="10">
        <f>IF(D2631&gt;0,VLOOKUP(OPERAC[[#This Row],[COD CART]],[1]!MatrizCortoLargoCyl[#All],3,0),"")</f>
        <v/>
      </c>
      <c r="F2631" s="13" t="inlineStr">
        <is>
          <t>BBAR</t>
        </is>
      </c>
      <c r="G2631" s="6" t="n">
        <v>100</v>
      </c>
      <c r="H2631" s="6" t="n">
        <v>-480</v>
      </c>
      <c r="I2631" s="7" t="n">
        <v>4.8</v>
      </c>
      <c r="J2631" s="5" t="n"/>
      <c r="K2631" s="6" t="n"/>
      <c r="L2631" s="6" t="n"/>
      <c r="M2631" s="7">
        <f>IF(N2631=0,+L2631+H2631,0)</f>
        <v/>
      </c>
      <c r="N2631" s="7">
        <f>IF((+G2631-K2631)=0,0,+G2631-K2631)</f>
        <v/>
      </c>
      <c r="O2631" s="7">
        <f>IF(N2631=0,0,(L2631+H2631)/-N2631)</f>
        <v/>
      </c>
      <c r="P2631" s="7">
        <f>VLOOKUP(OPERAC[[#This Row],[especie]],[1]!ESPECIES[#All],6,0)</f>
        <v/>
      </c>
      <c r="Q2631" s="7">
        <f>IF(N2631&lt;&gt;0,P2631*N2631,0)</f>
        <v/>
      </c>
      <c r="R2631" s="8">
        <f>IF(Q2631&lt;&gt;0,Q2631+H2631+L2631,0)</f>
        <v/>
      </c>
      <c r="S2631" s="9">
        <f>VLOOKUP(OPERAC[[#This Row],[especie]],[1]!ESPECIES[#Data],9,FALSE)</f>
        <v/>
      </c>
    </row>
    <row r="2632">
      <c r="A2632" s="4" t="n">
        <v>2306</v>
      </c>
      <c r="B2632" s="5" t="n">
        <v>44649</v>
      </c>
      <c r="C2632" s="13" t="inlineStr">
        <is>
          <t>CPR</t>
        </is>
      </c>
      <c r="D2632" s="13" t="n">
        <v>32</v>
      </c>
      <c r="E2632" s="10">
        <f>IF(D2632&gt;0,VLOOKUP(OPERAC[[#This Row],[COD CART]],[1]!MatrizCortoLargoCyl[#All],3,0),"")</f>
        <v/>
      </c>
      <c r="F2632" s="13" t="inlineStr">
        <is>
          <t>HMY</t>
        </is>
      </c>
      <c r="G2632" s="6" t="n">
        <v>100</v>
      </c>
      <c r="H2632" s="6" t="n">
        <v>-480.605</v>
      </c>
      <c r="I2632" s="7">
        <f>-H2632/G2632</f>
        <v/>
      </c>
      <c r="J2632" s="11" t="n">
        <v>44669</v>
      </c>
      <c r="K2632" s="6">
        <f>+OPERAC[[#This Row],[cantidad]]</f>
        <v/>
      </c>
      <c r="L2632" s="6">
        <f>4.925*OPERAC[[#This Row],[cantidad venta]]</f>
        <v/>
      </c>
      <c r="M2632" s="7">
        <f>IF(N2632=0,+L2632+H2632,0)</f>
        <v/>
      </c>
      <c r="N2632" s="7">
        <f>IF((+G2632-K2632)=0,0,+G2632-K2632)</f>
        <v/>
      </c>
      <c r="O2632" s="7">
        <f>IF(N2632=0,0,(L2632+H2632)/-N2632)</f>
        <v/>
      </c>
      <c r="P2632" s="7">
        <f>VLOOKUP(OPERAC[[#This Row],[especie]],[1]!ESPECIES[#All],6,0)</f>
        <v/>
      </c>
      <c r="Q2632" s="7">
        <f>IF(N2632&lt;&gt;0,P2632*N2632,0)</f>
        <v/>
      </c>
      <c r="R2632" s="8">
        <f>IF(Q2632&lt;&gt;0,Q2632+H2632+L2632,0)</f>
        <v/>
      </c>
      <c r="S2632" s="9">
        <f>VLOOKUP(OPERAC[[#This Row],[especie]],[1]!ESPECIES[#Data],9,FALSE)</f>
        <v/>
      </c>
    </row>
    <row r="2633">
      <c r="A2633" s="4" t="n">
        <v>19972</v>
      </c>
      <c r="B2633" s="5" t="n">
        <v>44419</v>
      </c>
      <c r="C2633" s="13" t="inlineStr">
        <is>
          <t>CPR</t>
        </is>
      </c>
      <c r="D2633" s="13" t="n">
        <v>31</v>
      </c>
      <c r="E2633" s="10">
        <f>IF(D2633&gt;0,VLOOKUP(OPERAC[[#This Row],[COD CART]],[1]!MatrizCortoLargoCyl[#All],3,0),"")</f>
        <v/>
      </c>
      <c r="F2633" s="13" t="inlineStr">
        <is>
          <t>NTTHF</t>
        </is>
      </c>
      <c r="G2633" s="6" t="n">
        <v>150</v>
      </c>
      <c r="H2633" s="6" t="n">
        <v>-480.8925</v>
      </c>
      <c r="I2633" s="7">
        <f>-H2633/G2633</f>
        <v/>
      </c>
      <c r="J2633" s="11" t="n">
        <v>44603</v>
      </c>
      <c r="K2633" s="6" t="n">
        <v>150</v>
      </c>
      <c r="L2633" s="6" t="n">
        <v>762.8</v>
      </c>
      <c r="M2633" s="7">
        <f>IF(N2633=0,+L2633+H2633,0)</f>
        <v/>
      </c>
      <c r="N2633" s="7">
        <f>IF((+G2633-K2633)=0,0,+G2633-K2633)</f>
        <v/>
      </c>
      <c r="O2633" s="7">
        <f>IF(N2633=0,0,(L2633+H2633)/-N2633)</f>
        <v/>
      </c>
      <c r="P2633" s="7">
        <f>VLOOKUP(OPERAC[[#This Row],[especie]],[1]!ESPECIES[#All],6,0)</f>
        <v/>
      </c>
      <c r="Q2633" s="7">
        <f>IF(N2633&lt;&gt;0,P2633*N2633,0)</f>
        <v/>
      </c>
      <c r="R2633" s="8">
        <f>IF(Q2633&lt;&gt;0,Q2633+H2633+L2633,0)</f>
        <v/>
      </c>
      <c r="S2633" s="9">
        <f>VLOOKUP(OPERAC[[#This Row],[especie]],[1]!ESPECIES[#Data],9,FALSE)</f>
        <v/>
      </c>
    </row>
    <row r="2634">
      <c r="A2634" s="4" t="n">
        <v>2255</v>
      </c>
      <c r="B2634" s="5" t="n">
        <v>44586</v>
      </c>
      <c r="C2634" s="13" t="inlineStr">
        <is>
          <t>CPR</t>
        </is>
      </c>
      <c r="D2634" s="13" t="n">
        <v>43</v>
      </c>
      <c r="E2634" s="10">
        <f>IF(D2634&gt;0,VLOOKUP(OPERAC[[#This Row],[COD CART]],[1]!MatrizCortoLargoCyl[#All],3,0),"")</f>
        <v/>
      </c>
      <c r="F2634" s="13" t="inlineStr">
        <is>
          <t>GMBL/CYL-PUT/2,50/20-01-23</t>
        </is>
      </c>
      <c r="G2634" s="6" t="n">
        <v>500</v>
      </c>
      <c r="H2634" s="6" t="n">
        <v>-481.4242999999999</v>
      </c>
      <c r="I2634" s="7">
        <f>-H2634/G2634</f>
        <v/>
      </c>
      <c r="J2634" s="11" t="n">
        <v>44636</v>
      </c>
      <c r="K2634" s="6" t="n">
        <v>500</v>
      </c>
      <c r="L2634" s="6">
        <f>-1.36*OPERAC[[#This Row],[cantidad venta]]</f>
        <v/>
      </c>
      <c r="M2634" s="7">
        <f>IF(N2634=0,+L2634+H2634,0)</f>
        <v/>
      </c>
      <c r="N2634" s="7">
        <f>IF((+G2634-K2634)=0,0,+G2634-K2634)</f>
        <v/>
      </c>
      <c r="O2634" s="7">
        <f>IF(N2634=0,0,(L2634+H2634)/-N2634)</f>
        <v/>
      </c>
      <c r="P2634" s="7">
        <f>VLOOKUP(OPERAC[[#This Row],[especie]],[1]!ESPECIES[#All],6,0)</f>
        <v/>
      </c>
      <c r="Q2634" s="7">
        <f>IF(N2634&lt;&gt;0,P2634*N2634,0)</f>
        <v/>
      </c>
      <c r="R2634" s="8">
        <f>IF(Q2634&lt;&gt;0,Q2634+H2634+L2634,0)</f>
        <v/>
      </c>
      <c r="S2634" s="9">
        <f>VLOOKUP(OPERAC[[#This Row],[especie]],[1]!ESPECIES[#Data],9,FALSE)</f>
        <v/>
      </c>
    </row>
    <row r="2635">
      <c r="A2635" s="4" t="n">
        <v>7925</v>
      </c>
      <c r="B2635" s="5" t="n">
        <v>44713</v>
      </c>
      <c r="C2635" s="13" t="inlineStr">
        <is>
          <t>CPR</t>
        </is>
      </c>
      <c r="D2635" s="13" t="n">
        <v>42</v>
      </c>
      <c r="E2635" s="10">
        <f>IF(D2635&gt;0,VLOOKUP(OPERAC[[#This Row],[COD CART]],[1]!MatrizCortoLargoCyl[#All],3,0),"")</f>
        <v/>
      </c>
      <c r="F2635" s="13" t="inlineStr">
        <is>
          <t>UPST</t>
        </is>
      </c>
      <c r="G2635" s="6" t="n">
        <v>10</v>
      </c>
      <c r="H2635" s="6" t="n">
        <v>-481.4682</v>
      </c>
      <c r="I2635" s="7">
        <f>-H2635/G2635</f>
        <v/>
      </c>
      <c r="J2635" s="5" t="n">
        <v>44714</v>
      </c>
      <c r="K2635" s="6">
        <f>+OPERAC[[#This Row],[cantidad]]</f>
        <v/>
      </c>
      <c r="L2635" s="6">
        <f>+OPERAC[[#This Row],[cantidad venta]]*49.312</f>
        <v/>
      </c>
      <c r="M2635" s="7">
        <f>IF(N2635=0,+L2635+H2635,0)</f>
        <v/>
      </c>
      <c r="N2635" s="7">
        <f>IF((+G2635-K2635)=0,0,+G2635-K2635)</f>
        <v/>
      </c>
      <c r="O2635" s="7">
        <f>IF(N2635=0,0,(L2635+H2635)/-N2635)</f>
        <v/>
      </c>
      <c r="P2635" s="7">
        <f>VLOOKUP(OPERAC[[#This Row],[especie]],[1]!ESPECIES[#All],6,0)</f>
        <v/>
      </c>
      <c r="Q2635" s="7">
        <f>IF(N2635&lt;&gt;0,P2635*N2635,0)</f>
        <v/>
      </c>
      <c r="R2635" s="8">
        <f>IF(Q2635&lt;&gt;0,Q2635+H2635+L2635,0)</f>
        <v/>
      </c>
      <c r="S2635" s="9">
        <f>VLOOKUP(OPERAC[[#This Row],[especie]],[1]!ESPECIES[#Data],9,FALSE)</f>
        <v/>
      </c>
    </row>
    <row r="2636">
      <c r="A2636" s="4" t="n">
        <v>2203</v>
      </c>
      <c r="B2636" s="5" t="n">
        <v>44652</v>
      </c>
      <c r="C2636" s="13" t="inlineStr">
        <is>
          <t>CPR</t>
        </is>
      </c>
      <c r="D2636" s="13" t="n">
        <v>42</v>
      </c>
      <c r="E2636" s="10">
        <f>IF(D2636&gt;0,VLOOKUP(OPERAC[[#This Row],[COD CART]],[1]!MatrizCortoLargoCyl[#All],3,0),"")</f>
        <v/>
      </c>
      <c r="F2636" s="13" t="inlineStr">
        <is>
          <t>GBTC</t>
        </is>
      </c>
      <c r="G2636" s="6" t="n">
        <v>15</v>
      </c>
      <c r="H2636" s="6" t="n">
        <v>-481.647</v>
      </c>
      <c r="I2636" s="7">
        <f>-H2636/G2636</f>
        <v/>
      </c>
      <c r="J2636" s="11" t="n">
        <v>44662</v>
      </c>
      <c r="K2636" s="6">
        <f>+OPERAC[[#This Row],[cantidad]]</f>
        <v/>
      </c>
      <c r="L2636" s="6">
        <f>27.99*OPERAC[[#This Row],[cantidad venta]]</f>
        <v/>
      </c>
      <c r="M2636" s="7">
        <f>IF(N2636=0,+L2636+H2636,0)</f>
        <v/>
      </c>
      <c r="N2636" s="7">
        <f>IF((+G2636-K2636)=0,0,+G2636-K2636)</f>
        <v/>
      </c>
      <c r="O2636" s="7">
        <f>IF(N2636=0,0,(L2636+H2636)/-N2636)</f>
        <v/>
      </c>
      <c r="P2636" s="7">
        <f>VLOOKUP(OPERAC[[#This Row],[especie]],[1]!ESPECIES[#All],6,0)</f>
        <v/>
      </c>
      <c r="Q2636" s="7">
        <f>IF(N2636&lt;&gt;0,P2636*N2636,0)</f>
        <v/>
      </c>
      <c r="R2636" s="8">
        <f>IF(Q2636&lt;&gt;0,Q2636+H2636+L2636,0)</f>
        <v/>
      </c>
      <c r="S2636" s="9">
        <f>VLOOKUP(OPERAC[[#This Row],[especie]],[1]!ESPECIES[#Data],9,FALSE)</f>
        <v/>
      </c>
    </row>
    <row r="2637">
      <c r="A2637" s="4" t="n">
        <v>19972</v>
      </c>
      <c r="B2637" s="5" t="n">
        <v>44419</v>
      </c>
      <c r="C2637" s="13" t="inlineStr">
        <is>
          <t>CPR</t>
        </is>
      </c>
      <c r="D2637" s="13" t="n">
        <v>41</v>
      </c>
      <c r="E2637" s="10">
        <f>IF(D2637&gt;0,VLOOKUP(OPERAC[[#This Row],[COD CART]],[1]!MatrizCortoLargoCyl[#All],3,0),"")</f>
        <v/>
      </c>
      <c r="F2637" s="13" t="inlineStr">
        <is>
          <t>TCNNF</t>
        </is>
      </c>
      <c r="G2637" s="6" t="n">
        <v>15</v>
      </c>
      <c r="H2637" s="6" t="n">
        <v>-483.4</v>
      </c>
      <c r="I2637" s="7">
        <f>-H2637/G2637</f>
        <v/>
      </c>
      <c r="J2637" s="11" t="n"/>
      <c r="K2637" s="6" t="n"/>
      <c r="L2637" s="6" t="n"/>
      <c r="M2637" s="7">
        <f>IF(N2637=0,+L2637+H2637,0)</f>
        <v/>
      </c>
      <c r="N2637" s="7">
        <f>IF((+G2637-K2637)=0,0,+G2637-K2637)</f>
        <v/>
      </c>
      <c r="O2637" s="7">
        <f>IF(N2637=0,0,(L2637+H2637)/-N2637)</f>
        <v/>
      </c>
      <c r="P2637" s="7">
        <f>VLOOKUP(OPERAC[[#This Row],[especie]],[1]!ESPECIES[#All],6,0)</f>
        <v/>
      </c>
      <c r="Q2637" s="7">
        <f>IF(N2637&lt;&gt;0,P2637*N2637,0)</f>
        <v/>
      </c>
      <c r="R2637" s="8">
        <f>IF(Q2637&lt;&gt;0,Q2637+H2637+L2637,0)</f>
        <v/>
      </c>
      <c r="S2637" s="9">
        <f>VLOOKUP(OPERAC[[#This Row],[especie]],[1]!ESPECIES[#Data],9,FALSE)</f>
        <v/>
      </c>
    </row>
    <row r="2638">
      <c r="A2638" s="4" t="n">
        <v>18663</v>
      </c>
      <c r="B2638" s="5" t="n">
        <v>43831</v>
      </c>
      <c r="C2638" s="13" t="inlineStr">
        <is>
          <t>CPR</t>
        </is>
      </c>
      <c r="D2638" s="13" t="n">
        <v>41</v>
      </c>
      <c r="E2638" s="10">
        <f>IF(D2638&gt;0,VLOOKUP(OPERAC[[#This Row],[COD CART]],[1]!MatrizCortoLargoCyl[#All],3,0),"")</f>
        <v/>
      </c>
      <c r="F2638" s="13" t="inlineStr">
        <is>
          <t>ACB</t>
        </is>
      </c>
      <c r="G2638" s="6" t="n">
        <v>18</v>
      </c>
      <c r="H2638" s="6" t="n">
        <v>-483.84</v>
      </c>
      <c r="I2638" s="7" t="n">
        <v>26.88</v>
      </c>
      <c r="J2638" s="5" t="n">
        <v>44141</v>
      </c>
      <c r="K2638" s="6" t="n">
        <v>10</v>
      </c>
      <c r="L2638" s="6" t="n">
        <v>104.1</v>
      </c>
      <c r="M2638" s="7">
        <f>IF(N2638=0,+L2638+H2638,0)</f>
        <v/>
      </c>
      <c r="N2638" s="7">
        <f>IF((+G2638-K2638)=0,0,+G2638-K2638)</f>
        <v/>
      </c>
      <c r="O2638" s="7">
        <f>IF(N2638=0,0,(L2638+H2638)/-N2638)</f>
        <v/>
      </c>
      <c r="P2638" s="7">
        <f>VLOOKUP(OPERAC[[#This Row],[especie]],[1]!ESPECIES[#All],6,0)</f>
        <v/>
      </c>
      <c r="Q2638" s="7">
        <f>IF(N2638&lt;&gt;0,P2638*N2638,0)</f>
        <v/>
      </c>
      <c r="R2638" s="8">
        <f>IF(Q2638&lt;&gt;0,Q2638+H2638+L2638,0)</f>
        <v/>
      </c>
      <c r="S2638" s="9">
        <f>VLOOKUP(OPERAC[[#This Row],[especie]],[1]!ESPECIES[#Data],9,FALSE)</f>
        <v/>
      </c>
    </row>
    <row r="2639">
      <c r="A2639" s="4" t="n">
        <v>13253</v>
      </c>
      <c r="B2639" s="5" t="n">
        <v>44221</v>
      </c>
      <c r="C2639" s="13" t="inlineStr">
        <is>
          <t>CPR</t>
        </is>
      </c>
      <c r="D2639" s="13" t="n">
        <v>41</v>
      </c>
      <c r="E2639" s="10">
        <f>IF(D2639&gt;0,VLOOKUP(OPERAC[[#This Row],[COD CART]],[1]!MatrizCortoLargoCyl[#All],3,0),"")</f>
        <v/>
      </c>
      <c r="F2639" s="13" t="inlineStr">
        <is>
          <t>BEP</t>
        </is>
      </c>
      <c r="G2639" s="6" t="n">
        <v>10</v>
      </c>
      <c r="H2639" s="6" t="n">
        <v>-483.9</v>
      </c>
      <c r="I2639" s="7">
        <f>-H2639/G2639</f>
        <v/>
      </c>
      <c r="J2639" s="11" t="n"/>
      <c r="K2639" s="6" t="n"/>
      <c r="L2639" s="6" t="n"/>
      <c r="M2639" s="7">
        <f>IF(N2639=0,+L2639+H2639,0)</f>
        <v/>
      </c>
      <c r="N2639" s="7">
        <f>IF((+G2639-K2639)=0,0,+G2639-K2639)</f>
        <v/>
      </c>
      <c r="O2639" s="7">
        <f>IF(N2639=0,0,(L2639+H2639)/-N2639)</f>
        <v/>
      </c>
      <c r="P2639" s="7">
        <f>VLOOKUP(OPERAC[[#This Row],[especie]],[1]!ESPECIES[#All],6,0)</f>
        <v/>
      </c>
      <c r="Q2639" s="7">
        <f>IF(N2639&lt;&gt;0,P2639*N2639,0)</f>
        <v/>
      </c>
      <c r="R2639" s="8">
        <f>IF(Q2639&lt;&gt;0,Q2639+H2639+L2639,0)</f>
        <v/>
      </c>
      <c r="S2639" s="9">
        <f>VLOOKUP(OPERAC[[#This Row],[especie]],[1]!ESPECIES[#Data],9,FALSE)</f>
        <v/>
      </c>
    </row>
    <row r="2640">
      <c r="A2640" s="4" t="n">
        <v>2257</v>
      </c>
      <c r="B2640" s="5" t="n">
        <v>44462</v>
      </c>
      <c r="C2640" s="13" t="inlineStr">
        <is>
          <t>CPR</t>
        </is>
      </c>
      <c r="D2640" s="13" t="n">
        <v>43</v>
      </c>
      <c r="E2640" s="10">
        <f>IF(D2640&gt;0,VLOOKUP(OPERAC[[#This Row],[COD CART]],[1]!MatrizCortoLargoCyl[#All],3,0),"")</f>
        <v/>
      </c>
      <c r="F2640" s="13" t="inlineStr">
        <is>
          <t>SOLO/CYL-PUT/4,00/16-09-22</t>
        </is>
      </c>
      <c r="G2640" s="6" t="n">
        <v>300</v>
      </c>
      <c r="H2640" s="6">
        <f>OPERAC[[#This Row],[cantidad]]*-2.54+0.32*OPERAC[[#This Row],[cantidad]]+0.387*OPERAC[[#This Row],[cantidad]]+0.22*OPERAC[[#This Row],[cantidad]]</f>
        <v/>
      </c>
      <c r="I2640" s="7">
        <f>-H2640/G2640</f>
        <v/>
      </c>
      <c r="J2640" s="11" t="n"/>
      <c r="K2640" s="6" t="n"/>
      <c r="L2640" s="6" t="n"/>
      <c r="M2640" s="7">
        <f>IF(N2640=0,+L2640+H2640,0)</f>
        <v/>
      </c>
      <c r="N2640" s="7">
        <f>IF((+G2640-K2640)=0,0,+G2640-K2640)</f>
        <v/>
      </c>
      <c r="O2640" s="7">
        <f>IF(N2640=0,0,(L2640+H2640)/-N2640)</f>
        <v/>
      </c>
      <c r="P2640" s="7">
        <f>VLOOKUP(OPERAC[[#This Row],[especie]],[1]!ESPECIES[#All],6,0)</f>
        <v/>
      </c>
      <c r="Q2640" s="7">
        <f>IF(N2640&lt;&gt;0,P2640*N2640,0)</f>
        <v/>
      </c>
      <c r="R2640" s="8">
        <f>IF(Q2640&lt;&gt;0,Q2640+H2640+L2640,0)</f>
        <v/>
      </c>
      <c r="S2640" s="9">
        <f>VLOOKUP(OPERAC[[#This Row],[especie]],[1]!ESPECIES[#Data],9,FALSE)</f>
        <v/>
      </c>
    </row>
    <row r="2641">
      <c r="A2641" s="4" t="n">
        <v>12662</v>
      </c>
      <c r="B2641" s="5" t="n">
        <v>44462</v>
      </c>
      <c r="C2641" s="13" t="inlineStr">
        <is>
          <t>CPR</t>
        </is>
      </c>
      <c r="D2641" s="13" t="n">
        <v>43</v>
      </c>
      <c r="E2641" s="10">
        <f>IF(D2641&gt;0,VLOOKUP(OPERAC[[#This Row],[COD CART]],[1]!MatrizCortoLargoCyl[#All],3,0),"")</f>
        <v/>
      </c>
      <c r="F2641" s="13" t="inlineStr">
        <is>
          <t>SOLO/CYL-PUT/4,00/16-09-22</t>
        </is>
      </c>
      <c r="G2641" s="6" t="n">
        <v>300</v>
      </c>
      <c r="H2641" s="6">
        <f>OPERAC[[#This Row],[cantidad]]*-2.54+0.32*OPERAC[[#This Row],[cantidad]]+0.387*OPERAC[[#This Row],[cantidad]]+0.22*OPERAC[[#This Row],[cantidad]]</f>
        <v/>
      </c>
      <c r="I2641" s="7">
        <f>-H2641/G2641</f>
        <v/>
      </c>
      <c r="J2641" s="11" t="n">
        <v>44551</v>
      </c>
      <c r="K2641" s="6" t="n">
        <v>200</v>
      </c>
      <c r="L2641" s="6">
        <f>+OPERAC[[#This Row],[cantidad venta]]*0.65175</f>
        <v/>
      </c>
      <c r="M2641" s="7">
        <f>IF(N2641=0,+L2641+H2641,0)</f>
        <v/>
      </c>
      <c r="N2641" s="7">
        <f>IF((+G2641-K2641)=0,0,+G2641-K2641)</f>
        <v/>
      </c>
      <c r="O2641" s="7">
        <f>IF(N2641=0,0,(L2641+H2641)/-N2641)</f>
        <v/>
      </c>
      <c r="P2641" s="7">
        <f>VLOOKUP(OPERAC[[#This Row],[especie]],[1]!ESPECIES[#All],6,0)</f>
        <v/>
      </c>
      <c r="Q2641" s="7">
        <f>IF(N2641&lt;&gt;0,P2641*N2641,0)</f>
        <v/>
      </c>
      <c r="R2641" s="8">
        <f>IF(Q2641&lt;&gt;0,Q2641+H2641+L2641,0)</f>
        <v/>
      </c>
      <c r="S2641" s="9">
        <f>VLOOKUP(OPERAC[[#This Row],[especie]],[1]!ESPECIES[#Data],9,FALSE)</f>
        <v/>
      </c>
    </row>
    <row r="2642">
      <c r="A2642" s="4" t="n">
        <v>12671</v>
      </c>
      <c r="B2642" s="5" t="n">
        <v>44649</v>
      </c>
      <c r="C2642" s="13" t="inlineStr">
        <is>
          <t>CPR</t>
        </is>
      </c>
      <c r="D2642" s="13" t="n">
        <v>42</v>
      </c>
      <c r="E2642" s="10">
        <f>IF(D2642&gt;0,VLOOKUP(OPERAC[[#This Row],[COD CART]],[1]!MatrizCortoLargoCyl[#All],3,0),"")</f>
        <v/>
      </c>
      <c r="F2642" s="13" t="inlineStr">
        <is>
          <t>CRESY</t>
        </is>
      </c>
      <c r="G2642" s="6" t="n">
        <v>60</v>
      </c>
      <c r="H2642" s="6" t="n">
        <v>-484.56828</v>
      </c>
      <c r="I2642" s="7">
        <f>-H2642/G2642</f>
        <v/>
      </c>
      <c r="J2642" s="11" t="n">
        <v>44657</v>
      </c>
      <c r="K2642" s="6">
        <f>+OPERAC[[#This Row],[cantidad]]</f>
        <v/>
      </c>
      <c r="L2642" s="6">
        <f>+OPERAC[[#This Row],[cantidad venta]]*7.664</f>
        <v/>
      </c>
      <c r="M2642" s="7">
        <f>IF(N2642=0,+L2642+H2642,0)</f>
        <v/>
      </c>
      <c r="N2642" s="7">
        <f>IF((+G2642-K2642)=0,0,+G2642-K2642)</f>
        <v/>
      </c>
      <c r="O2642" s="7">
        <f>IF(N2642=0,0,(L2642+H2642)/-N2642)</f>
        <v/>
      </c>
      <c r="P2642" s="7">
        <f>VLOOKUP(OPERAC[[#This Row],[especie]],[1]!ESPECIES[#All],6,0)</f>
        <v/>
      </c>
      <c r="Q2642" s="7">
        <f>IF(N2642&lt;&gt;0,P2642*N2642,0)</f>
        <v/>
      </c>
      <c r="R2642" s="8">
        <f>IF(Q2642&lt;&gt;0,Q2642+H2642+L2642,0)</f>
        <v/>
      </c>
      <c r="S2642" s="9">
        <f>VLOOKUP(OPERAC[[#This Row],[especie]],[1]!ESPECIES[#Data],9,FALSE)</f>
        <v/>
      </c>
    </row>
    <row r="2643">
      <c r="A2643" s="4" t="n">
        <v>2218</v>
      </c>
      <c r="B2643" s="5" t="n">
        <v>44536</v>
      </c>
      <c r="C2643" s="13" t="inlineStr">
        <is>
          <t>CPR</t>
        </is>
      </c>
      <c r="D2643" s="13" t="n">
        <v>43</v>
      </c>
      <c r="E2643" s="10">
        <f>IF(D2643&gt;0,VLOOKUP(OPERAC[[#This Row],[COD CART]],[1]!MatrizCortoLargoCyl[#All],3,0),"")</f>
        <v/>
      </c>
      <c r="F2643" s="13" t="inlineStr">
        <is>
          <t>HEXO/CYL-PUT/1,00/20-01-23</t>
        </is>
      </c>
      <c r="G2643" s="6" t="n">
        <v>2900</v>
      </c>
      <c r="H2643" s="6">
        <f>-0.1671*OPERAC[[#This Row],[cantidad]]</f>
        <v/>
      </c>
      <c r="I2643" s="7">
        <f>-H2643/G2643</f>
        <v/>
      </c>
      <c r="J2643" s="11" t="n">
        <v>44687</v>
      </c>
      <c r="K2643" s="6" t="n">
        <v>1000</v>
      </c>
      <c r="L2643" s="6" t="n">
        <v>-536.75</v>
      </c>
      <c r="M2643" s="7">
        <f>IF(N2643=0,+L2643+H2643,0)</f>
        <v/>
      </c>
      <c r="N2643" s="7">
        <f>IF((+G2643-K2643)=0,0,+G2643-K2643)</f>
        <v/>
      </c>
      <c r="O2643" s="7">
        <f>IF(N2643=0,0,(L2643+H2643)/-N2643)</f>
        <v/>
      </c>
      <c r="P2643" s="7">
        <f>VLOOKUP(OPERAC[[#This Row],[especie]],[1]!ESPECIES[#All],6,0)</f>
        <v/>
      </c>
      <c r="Q2643" s="7">
        <f>IF(N2643&lt;&gt;0,P2643*N2643,0)</f>
        <v/>
      </c>
      <c r="R2643" s="8">
        <f>IF(Q2643&lt;&gt;0,Q2643+H2643+L2643,0)</f>
        <v/>
      </c>
      <c r="S2643" s="9">
        <f>VLOOKUP(OPERAC[[#This Row],[especie]],[1]!ESPECIES[#Data],9,FALSE)</f>
        <v/>
      </c>
    </row>
    <row r="2644">
      <c r="A2644" s="4" t="n">
        <v>1792</v>
      </c>
      <c r="B2644" s="5" t="n">
        <v>44642</v>
      </c>
      <c r="C2644" s="13" t="inlineStr">
        <is>
          <t>CPR</t>
        </is>
      </c>
      <c r="D2644" s="13" t="n">
        <v>42</v>
      </c>
      <c r="E2644" s="10">
        <f>IF(D2644&gt;0,VLOOKUP(OPERAC[[#This Row],[COD CART]],[1]!MatrizCortoLargoCyl[#All],3,0),"")</f>
        <v/>
      </c>
      <c r="F2644" s="13" t="inlineStr">
        <is>
          <t>HYDR</t>
        </is>
      </c>
      <c r="G2644" s="6" t="n">
        <v>25</v>
      </c>
      <c r="H2644" s="6">
        <f>-19.39*OPERAC[[#This Row],[cantidad]]</f>
        <v/>
      </c>
      <c r="I2644" s="7">
        <f>-H2644/G2644</f>
        <v/>
      </c>
      <c r="J2644" s="11" t="n">
        <v>44693</v>
      </c>
      <c r="K2644" s="6" t="n">
        <v>25</v>
      </c>
      <c r="L2644" s="6" t="n">
        <v>290.745</v>
      </c>
      <c r="M2644" s="7">
        <f>IF(N2644=0,+L2644+H2644,0)</f>
        <v/>
      </c>
      <c r="N2644" s="7">
        <f>IF((+G2644-K2644)=0,0,+G2644-K2644)</f>
        <v/>
      </c>
      <c r="O2644" s="7">
        <f>IF(N2644=0,0,(L2644+H2644)/-N2644)</f>
        <v/>
      </c>
      <c r="P2644" s="7">
        <f>VLOOKUP(OPERAC[[#This Row],[especie]],[1]!ESPECIES[#All],6,0)</f>
        <v/>
      </c>
      <c r="Q2644" s="7">
        <f>IF(N2644&lt;&gt;0,P2644*N2644,0)</f>
        <v/>
      </c>
      <c r="R2644" s="8">
        <f>IF(Q2644&lt;&gt;0,Q2644+H2644+L2644,0)</f>
        <v/>
      </c>
      <c r="S2644" s="9">
        <f>VLOOKUP(OPERAC[[#This Row],[especie]],[1]!ESPECIES[#Data],9,FALSE)</f>
        <v/>
      </c>
    </row>
    <row r="2645">
      <c r="A2645" s="4" t="n">
        <v>4561</v>
      </c>
      <c r="B2645" s="5" t="n">
        <v>44642</v>
      </c>
      <c r="C2645" s="13" t="inlineStr">
        <is>
          <t>CPR</t>
        </is>
      </c>
      <c r="D2645" s="13" t="n">
        <v>42</v>
      </c>
      <c r="E2645" s="10">
        <f>IF(D2645&gt;0,VLOOKUP(OPERAC[[#This Row],[COD CART]],[1]!MatrizCortoLargoCyl[#All],3,0),"")</f>
        <v/>
      </c>
      <c r="F2645" s="13" t="inlineStr">
        <is>
          <t>HYDR</t>
        </is>
      </c>
      <c r="G2645" s="6" t="n">
        <v>25</v>
      </c>
      <c r="H2645" s="6">
        <f>-19.39*OPERAC[[#This Row],[cantidad]]</f>
        <v/>
      </c>
      <c r="I2645" s="7">
        <f>-H2645/G2645</f>
        <v/>
      </c>
      <c r="J2645" s="11" t="n">
        <v>44693</v>
      </c>
      <c r="K2645" s="6">
        <f>+OPERAC[[#This Row],[cantidad]]</f>
        <v/>
      </c>
      <c r="L2645" s="6">
        <f>+OPERAC[[#This Row],[cantidad venta]]*12.027</f>
        <v/>
      </c>
      <c r="M2645" s="7">
        <f>IF(N2645=0,+L2645+H2645,0)</f>
        <v/>
      </c>
      <c r="N2645" s="7">
        <f>IF((+G2645-K2645)=0,0,+G2645-K2645)</f>
        <v/>
      </c>
      <c r="O2645" s="7">
        <f>IF(N2645=0,0,(L2645+H2645)/-N2645)</f>
        <v/>
      </c>
      <c r="P2645" s="7">
        <f>VLOOKUP(OPERAC[[#This Row],[especie]],[1]!ESPECIES[#All],6,0)</f>
        <v/>
      </c>
      <c r="Q2645" s="7">
        <f>IF(N2645&lt;&gt;0,P2645*N2645,0)</f>
        <v/>
      </c>
      <c r="R2645" s="8">
        <f>IF(Q2645&lt;&gt;0,Q2645+H2645+L2645,0)</f>
        <v/>
      </c>
      <c r="S2645" s="9">
        <f>VLOOKUP(OPERAC[[#This Row],[especie]],[1]!ESPECIES[#Data],9,FALSE)</f>
        <v/>
      </c>
    </row>
    <row r="2646">
      <c r="A2646" s="4" t="n">
        <v>18677</v>
      </c>
      <c r="B2646" s="5" t="n">
        <v>44642</v>
      </c>
      <c r="C2646" s="13" t="inlineStr">
        <is>
          <t>CPR</t>
        </is>
      </c>
      <c r="D2646" s="13" t="n">
        <v>42</v>
      </c>
      <c r="E2646" s="10">
        <f>IF(D2646&gt;0,VLOOKUP(OPERAC[[#This Row],[COD CART]],[1]!MatrizCortoLargoCyl[#All],3,0),"")</f>
        <v/>
      </c>
      <c r="F2646" s="13" t="inlineStr">
        <is>
          <t>HYDR</t>
        </is>
      </c>
      <c r="G2646" s="6" t="n">
        <v>25</v>
      </c>
      <c r="H2646" s="6">
        <f>-19.39*OPERAC[[#This Row],[cantidad]]</f>
        <v/>
      </c>
      <c r="I2646" s="7">
        <f>-H2646/G2646</f>
        <v/>
      </c>
      <c r="J2646" s="11" t="n">
        <v>44693</v>
      </c>
      <c r="K2646" s="6">
        <f>+OPERAC[[#This Row],[cantidad]]</f>
        <v/>
      </c>
      <c r="L2646" s="6">
        <f>+OPERAC[[#This Row],[cantidad venta]]*11.986</f>
        <v/>
      </c>
      <c r="M2646" s="7">
        <f>IF(N2646=0,+L2646+H2646,0)</f>
        <v/>
      </c>
      <c r="N2646" s="7">
        <f>IF((+G2646-K2646)=0,0,+G2646-K2646)</f>
        <v/>
      </c>
      <c r="O2646" s="7">
        <f>IF(N2646=0,0,(L2646+H2646)/-N2646)</f>
        <v/>
      </c>
      <c r="P2646" s="7">
        <f>VLOOKUP(OPERAC[[#This Row],[especie]],[1]!ESPECIES[#All],6,0)</f>
        <v/>
      </c>
      <c r="Q2646" s="7">
        <f>IF(N2646&lt;&gt;0,P2646*N2646,0)</f>
        <v/>
      </c>
      <c r="R2646" s="8">
        <f>IF(Q2646&lt;&gt;0,Q2646+H2646+L2646,0)</f>
        <v/>
      </c>
      <c r="S2646" s="9">
        <f>VLOOKUP(OPERAC[[#This Row],[especie]],[1]!ESPECIES[#Data],9,FALSE)</f>
        <v/>
      </c>
    </row>
    <row r="2647">
      <c r="A2647" s="4" t="n">
        <v>7916</v>
      </c>
      <c r="B2647" s="5" t="n">
        <v>44649</v>
      </c>
      <c r="C2647" s="13" t="inlineStr">
        <is>
          <t>CPR</t>
        </is>
      </c>
      <c r="D2647" s="13" t="n">
        <v>42</v>
      </c>
      <c r="E2647" s="10">
        <f>IF(D2647&gt;0,VLOOKUP(OPERAC[[#This Row],[COD CART]],[1]!MatrizCortoLargoCyl[#All],3,0),"")</f>
        <v/>
      </c>
      <c r="F2647" s="13" t="inlineStr">
        <is>
          <t>CRESY</t>
        </is>
      </c>
      <c r="G2647" s="6" t="n">
        <v>60</v>
      </c>
      <c r="H2647" s="6" t="n">
        <v>-485.53104</v>
      </c>
      <c r="I2647" s="7">
        <f>-H2647/G2647</f>
        <v/>
      </c>
      <c r="J2647" s="11" t="n">
        <v>44657</v>
      </c>
      <c r="K2647" s="6">
        <f>+OPERAC[[#This Row],[cantidad]]</f>
        <v/>
      </c>
      <c r="L2647" s="6">
        <f>+OPERAC[[#This Row],[cantidad venta]]*7.664</f>
        <v/>
      </c>
      <c r="M2647" s="7">
        <f>IF(N2647=0,+L2647+H2647,0)</f>
        <v/>
      </c>
      <c r="N2647" s="7">
        <f>IF((+G2647-K2647)=0,0,+G2647-K2647)</f>
        <v/>
      </c>
      <c r="O2647" s="7">
        <f>IF(N2647=0,0,(L2647+H2647)/-N2647)</f>
        <v/>
      </c>
      <c r="P2647" s="7">
        <f>VLOOKUP(OPERAC[[#This Row],[especie]],[1]!ESPECIES[#All],6,0)</f>
        <v/>
      </c>
      <c r="Q2647" s="7">
        <f>IF(N2647&lt;&gt;0,P2647*N2647,0)</f>
        <v/>
      </c>
      <c r="R2647" s="8">
        <f>IF(Q2647&lt;&gt;0,Q2647+H2647+L2647,0)</f>
        <v/>
      </c>
      <c r="S2647" s="9">
        <f>VLOOKUP(OPERAC[[#This Row],[especie]],[1]!ESPECIES[#Data],9,FALSE)</f>
        <v/>
      </c>
    </row>
    <row r="2648">
      <c r="A2648" s="4" t="n">
        <v>7919</v>
      </c>
      <c r="B2648" s="5" t="n">
        <v>44649</v>
      </c>
      <c r="C2648" s="13" t="inlineStr">
        <is>
          <t>CPR</t>
        </is>
      </c>
      <c r="D2648" s="13" t="n">
        <v>42</v>
      </c>
      <c r="E2648" s="10">
        <f>IF(D2648&gt;0,VLOOKUP(OPERAC[[#This Row],[COD CART]],[1]!MatrizCortoLargoCyl[#All],3,0),"")</f>
        <v/>
      </c>
      <c r="F2648" s="13" t="inlineStr">
        <is>
          <t>CRESY</t>
        </is>
      </c>
      <c r="G2648" s="6" t="n">
        <v>60</v>
      </c>
      <c r="H2648" s="6" t="n">
        <v>-485.53104</v>
      </c>
      <c r="I2648" s="7">
        <f>-H2648/G2648</f>
        <v/>
      </c>
      <c r="J2648" s="11" t="n">
        <v>44657</v>
      </c>
      <c r="K2648" s="6">
        <f>+OPERAC[[#This Row],[cantidad]]</f>
        <v/>
      </c>
      <c r="L2648" s="6">
        <f>+OPERAC[[#This Row],[cantidad venta]]*7.664</f>
        <v/>
      </c>
      <c r="M2648" s="7">
        <f>IF(N2648=0,+L2648+H2648,0)</f>
        <v/>
      </c>
      <c r="N2648" s="7">
        <f>IF((+G2648-K2648)=0,0,+G2648-K2648)</f>
        <v/>
      </c>
      <c r="O2648" s="7">
        <f>IF(N2648=0,0,(L2648+H2648)/-N2648)</f>
        <v/>
      </c>
      <c r="P2648" s="7">
        <f>VLOOKUP(OPERAC[[#This Row],[especie]],[1]!ESPECIES[#All],6,0)</f>
        <v/>
      </c>
      <c r="Q2648" s="7">
        <f>IF(N2648&lt;&gt;0,P2648*N2648,0)</f>
        <v/>
      </c>
      <c r="R2648" s="8">
        <f>IF(Q2648&lt;&gt;0,Q2648+H2648+L2648,0)</f>
        <v/>
      </c>
      <c r="S2648" s="9">
        <f>VLOOKUP(OPERAC[[#This Row],[especie]],[1]!ESPECIES[#Data],9,FALSE)</f>
        <v/>
      </c>
    </row>
    <row r="2649">
      <c r="A2649" s="4" t="n">
        <v>12619</v>
      </c>
      <c r="B2649" s="5" t="n">
        <v>44649</v>
      </c>
      <c r="C2649" s="13" t="inlineStr">
        <is>
          <t>CPR</t>
        </is>
      </c>
      <c r="D2649" s="13" t="n">
        <v>42</v>
      </c>
      <c r="E2649" s="10">
        <f>IF(D2649&gt;0,VLOOKUP(OPERAC[[#This Row],[COD CART]],[1]!MatrizCortoLargoCyl[#All],3,0),"")</f>
        <v/>
      </c>
      <c r="F2649" s="13" t="inlineStr">
        <is>
          <t>CRESY</t>
        </is>
      </c>
      <c r="G2649" s="6" t="n">
        <v>60</v>
      </c>
      <c r="H2649" s="6" t="n">
        <v>-485.53104</v>
      </c>
      <c r="I2649" s="7">
        <f>-H2649/G2649</f>
        <v/>
      </c>
      <c r="J2649" s="11" t="n">
        <v>44657</v>
      </c>
      <c r="K2649" s="6">
        <f>+OPERAC[[#This Row],[cantidad]]</f>
        <v/>
      </c>
      <c r="L2649" s="6">
        <f>+OPERAC[[#This Row],[cantidad venta]]*7.664</f>
        <v/>
      </c>
      <c r="M2649" s="7">
        <f>IF(N2649=0,+L2649+H2649,0)</f>
        <v/>
      </c>
      <c r="N2649" s="7">
        <f>IF((+G2649-K2649)=0,0,+G2649-K2649)</f>
        <v/>
      </c>
      <c r="O2649" s="7">
        <f>IF(N2649=0,0,(L2649+H2649)/-N2649)</f>
        <v/>
      </c>
      <c r="P2649" s="7">
        <f>VLOOKUP(OPERAC[[#This Row],[especie]],[1]!ESPECIES[#All],6,0)</f>
        <v/>
      </c>
      <c r="Q2649" s="7">
        <f>IF(N2649&lt;&gt;0,P2649*N2649,0)</f>
        <v/>
      </c>
      <c r="R2649" s="8">
        <f>IF(Q2649&lt;&gt;0,Q2649+H2649+L2649,0)</f>
        <v/>
      </c>
      <c r="S2649" s="9">
        <f>VLOOKUP(OPERAC[[#This Row],[especie]],[1]!ESPECIES[#Data],9,FALSE)</f>
        <v/>
      </c>
    </row>
    <row r="2650">
      <c r="A2650" s="4" t="n">
        <v>13188</v>
      </c>
      <c r="B2650" s="5" t="n">
        <v>44649</v>
      </c>
      <c r="C2650" s="13" t="inlineStr">
        <is>
          <t>CPR</t>
        </is>
      </c>
      <c r="D2650" s="13" t="n">
        <v>42</v>
      </c>
      <c r="E2650" s="10">
        <f>IF(D2650&gt;0,VLOOKUP(OPERAC[[#This Row],[COD CART]],[1]!MatrizCortoLargoCyl[#All],3,0),"")</f>
        <v/>
      </c>
      <c r="F2650" s="13" t="inlineStr">
        <is>
          <t>CRESY</t>
        </is>
      </c>
      <c r="G2650" s="6" t="n">
        <v>60</v>
      </c>
      <c r="H2650" s="6" t="n">
        <v>-485.53104</v>
      </c>
      <c r="I2650" s="7">
        <f>-H2650/G2650</f>
        <v/>
      </c>
      <c r="J2650" s="11" t="n">
        <v>44657</v>
      </c>
      <c r="K2650" s="6">
        <f>+OPERAC[[#This Row],[cantidad]]</f>
        <v/>
      </c>
      <c r="L2650" s="6">
        <f>+OPERAC[[#This Row],[cantidad venta]]*7.664</f>
        <v/>
      </c>
      <c r="M2650" s="7">
        <f>IF(N2650=0,+L2650+H2650,0)</f>
        <v/>
      </c>
      <c r="N2650" s="7">
        <f>IF((+G2650-K2650)=0,0,+G2650-K2650)</f>
        <v/>
      </c>
      <c r="O2650" s="7">
        <f>IF(N2650=0,0,(L2650+H2650)/-N2650)</f>
        <v/>
      </c>
      <c r="P2650" s="7">
        <f>VLOOKUP(OPERAC[[#This Row],[especie]],[1]!ESPECIES[#All],6,0)</f>
        <v/>
      </c>
      <c r="Q2650" s="7">
        <f>IF(N2650&lt;&gt;0,P2650*N2650,0)</f>
        <v/>
      </c>
      <c r="R2650" s="8">
        <f>IF(Q2650&lt;&gt;0,Q2650+H2650+L2650,0)</f>
        <v/>
      </c>
      <c r="S2650" s="9">
        <f>VLOOKUP(OPERAC[[#This Row],[especie]],[1]!ESPECIES[#Data],9,FALSE)</f>
        <v/>
      </c>
    </row>
    <row r="2651">
      <c r="A2651" s="4" t="n">
        <v>13190</v>
      </c>
      <c r="B2651" s="5" t="n">
        <v>44649</v>
      </c>
      <c r="C2651" s="13" t="inlineStr">
        <is>
          <t>CPR</t>
        </is>
      </c>
      <c r="D2651" s="13" t="n">
        <v>42</v>
      </c>
      <c r="E2651" s="10">
        <f>IF(D2651&gt;0,VLOOKUP(OPERAC[[#This Row],[COD CART]],[1]!MatrizCortoLargoCyl[#All],3,0),"")</f>
        <v/>
      </c>
      <c r="F2651" s="13" t="inlineStr">
        <is>
          <t>CRESY</t>
        </is>
      </c>
      <c r="G2651" s="6" t="n">
        <v>60</v>
      </c>
      <c r="H2651" s="6" t="n">
        <v>-485.53104</v>
      </c>
      <c r="I2651" s="7">
        <f>-H2651/G2651</f>
        <v/>
      </c>
      <c r="J2651" s="11" t="n">
        <v>44657</v>
      </c>
      <c r="K2651" s="6">
        <f>+OPERAC[[#This Row],[cantidad]]</f>
        <v/>
      </c>
      <c r="L2651" s="6">
        <f>+OPERAC[[#This Row],[cantidad venta]]*7.664</f>
        <v/>
      </c>
      <c r="M2651" s="7">
        <f>IF(N2651=0,+L2651+H2651,0)</f>
        <v/>
      </c>
      <c r="N2651" s="7">
        <f>IF((+G2651-K2651)=0,0,+G2651-K2651)</f>
        <v/>
      </c>
      <c r="O2651" s="7">
        <f>IF(N2651=0,0,(L2651+H2651)/-N2651)</f>
        <v/>
      </c>
      <c r="P2651" s="7">
        <f>VLOOKUP(OPERAC[[#This Row],[especie]],[1]!ESPECIES[#All],6,0)</f>
        <v/>
      </c>
      <c r="Q2651" s="7">
        <f>IF(N2651&lt;&gt;0,P2651*N2651,0)</f>
        <v/>
      </c>
      <c r="R2651" s="8">
        <f>IF(Q2651&lt;&gt;0,Q2651+H2651+L2651,0)</f>
        <v/>
      </c>
      <c r="S2651" s="9">
        <f>VLOOKUP(OPERAC[[#This Row],[especie]],[1]!ESPECIES[#Data],9,FALSE)</f>
        <v/>
      </c>
    </row>
    <row r="2652">
      <c r="A2652" s="4" t="n">
        <v>19888</v>
      </c>
      <c r="B2652" s="5" t="n">
        <v>44649</v>
      </c>
      <c r="C2652" s="13" t="inlineStr">
        <is>
          <t>CPR</t>
        </is>
      </c>
      <c r="D2652" s="13" t="n">
        <v>42</v>
      </c>
      <c r="E2652" s="10">
        <f>IF(D2652&gt;0,VLOOKUP(OPERAC[[#This Row],[COD CART]],[1]!MatrizCortoLargoCyl[#All],3,0),"")</f>
        <v/>
      </c>
      <c r="F2652" s="13" t="inlineStr">
        <is>
          <t>CRESY</t>
        </is>
      </c>
      <c r="G2652" s="6" t="n">
        <v>60</v>
      </c>
      <c r="H2652" s="6" t="n">
        <v>-485.53104</v>
      </c>
      <c r="I2652" s="7">
        <f>-H2652/G2652</f>
        <v/>
      </c>
      <c r="J2652" s="11" t="n">
        <v>44657</v>
      </c>
      <c r="K2652" s="6">
        <f>+OPERAC[[#This Row],[cantidad]]</f>
        <v/>
      </c>
      <c r="L2652" s="6">
        <f>+OPERAC[[#This Row],[cantidad venta]]*7.664</f>
        <v/>
      </c>
      <c r="M2652" s="7">
        <f>IF(N2652=0,+L2652+H2652,0)</f>
        <v/>
      </c>
      <c r="N2652" s="7">
        <f>IF((+G2652-K2652)=0,0,+G2652-K2652)</f>
        <v/>
      </c>
      <c r="O2652" s="7">
        <f>IF(N2652=0,0,(L2652+H2652)/-N2652)</f>
        <v/>
      </c>
      <c r="P2652" s="7">
        <f>VLOOKUP(OPERAC[[#This Row],[especie]],[1]!ESPECIES[#All],6,0)</f>
        <v/>
      </c>
      <c r="Q2652" s="7">
        <f>IF(N2652&lt;&gt;0,P2652*N2652,0)</f>
        <v/>
      </c>
      <c r="R2652" s="8">
        <f>IF(Q2652&lt;&gt;0,Q2652+H2652+L2652,0)</f>
        <v/>
      </c>
      <c r="S2652" s="9">
        <f>VLOOKUP(OPERAC[[#This Row],[especie]],[1]!ESPECIES[#Data],9,FALSE)</f>
        <v/>
      </c>
    </row>
    <row r="2653">
      <c r="A2653" s="4" t="n">
        <v>1800</v>
      </c>
      <c r="B2653" s="5" t="n">
        <v>44707</v>
      </c>
      <c r="C2653" s="13" t="inlineStr">
        <is>
          <t>CPR</t>
        </is>
      </c>
      <c r="D2653" s="13" t="n">
        <v>42</v>
      </c>
      <c r="E2653" s="10">
        <f>IF(D2653&gt;0,VLOOKUP(OPERAC[[#This Row],[COD CART]],[1]!MatrizCortoLargoCyl[#All],3,0),"")</f>
        <v/>
      </c>
      <c r="F2653" s="13" t="inlineStr">
        <is>
          <t>PCT</t>
        </is>
      </c>
      <c r="G2653" s="6" t="n">
        <v>50</v>
      </c>
      <c r="H2653" s="6" t="n">
        <v>-486.5316635</v>
      </c>
      <c r="I2653" s="7">
        <f>-H2653/G2653</f>
        <v/>
      </c>
      <c r="J2653" s="5" t="n"/>
      <c r="K2653" s="6" t="n"/>
      <c r="L2653" s="6" t="n"/>
      <c r="M2653" s="7">
        <f>IF(N2653=0,+L2653+H2653,0)</f>
        <v/>
      </c>
      <c r="N2653" s="7">
        <f>IF((+G2653-K2653)=0,0,+G2653-K2653)</f>
        <v/>
      </c>
      <c r="O2653" s="7">
        <f>IF(N2653=0,0,(L2653+H2653)/-N2653)</f>
        <v/>
      </c>
      <c r="P2653" s="7">
        <f>VLOOKUP(OPERAC[[#This Row],[especie]],[1]!ESPECIES[#All],6,0)</f>
        <v/>
      </c>
      <c r="Q2653" s="7">
        <f>IF(N2653&lt;&gt;0,P2653*N2653,0)</f>
        <v/>
      </c>
      <c r="R2653" s="8">
        <f>IF(Q2653&lt;&gt;0,Q2653+H2653+L2653,0)</f>
        <v/>
      </c>
      <c r="S2653" s="9">
        <f>VLOOKUP(OPERAC[[#This Row],[especie]],[1]!ESPECIES[#Data],9,FALSE)</f>
        <v/>
      </c>
    </row>
    <row r="2654">
      <c r="A2654" s="4" t="n">
        <v>1801</v>
      </c>
      <c r="B2654" s="5" t="n">
        <v>44707</v>
      </c>
      <c r="C2654" s="13" t="inlineStr">
        <is>
          <t>CPR</t>
        </is>
      </c>
      <c r="D2654" s="13" t="n">
        <v>42</v>
      </c>
      <c r="E2654" s="10">
        <f>IF(D2654&gt;0,VLOOKUP(OPERAC[[#This Row],[COD CART]],[1]!MatrizCortoLargoCyl[#All],3,0),"")</f>
        <v/>
      </c>
      <c r="F2654" s="13" t="inlineStr">
        <is>
          <t>PCT</t>
        </is>
      </c>
      <c r="G2654" s="6" t="n">
        <v>50</v>
      </c>
      <c r="H2654" s="6" t="n">
        <v>-486.5316635</v>
      </c>
      <c r="I2654" s="7">
        <f>-H2654/G2654</f>
        <v/>
      </c>
      <c r="J2654" s="5" t="n"/>
      <c r="K2654" s="6" t="n"/>
      <c r="L2654" s="6" t="n"/>
      <c r="M2654" s="7">
        <f>IF(N2654=0,+L2654+H2654,0)</f>
        <v/>
      </c>
      <c r="N2654" s="7">
        <f>IF((+G2654-K2654)=0,0,+G2654-K2654)</f>
        <v/>
      </c>
      <c r="O2654" s="7">
        <f>IF(N2654=0,0,(L2654+H2654)/-N2654)</f>
        <v/>
      </c>
      <c r="P2654" s="7">
        <f>VLOOKUP(OPERAC[[#This Row],[especie]],[1]!ESPECIES[#All],6,0)</f>
        <v/>
      </c>
      <c r="Q2654" s="7">
        <f>IF(N2654&lt;&gt;0,P2654*N2654,0)</f>
        <v/>
      </c>
      <c r="R2654" s="8">
        <f>IF(Q2654&lt;&gt;0,Q2654+H2654+L2654,0)</f>
        <v/>
      </c>
      <c r="S2654" s="9">
        <f>VLOOKUP(OPERAC[[#This Row],[especie]],[1]!ESPECIES[#Data],9,FALSE)</f>
        <v/>
      </c>
    </row>
    <row r="2655">
      <c r="A2655" s="4" t="n">
        <v>2305</v>
      </c>
      <c r="B2655" s="5" t="n">
        <v>44707</v>
      </c>
      <c r="C2655" s="13" t="inlineStr">
        <is>
          <t>CPR</t>
        </is>
      </c>
      <c r="D2655" s="13" t="n">
        <v>42</v>
      </c>
      <c r="E2655" s="10">
        <f>IF(D2655&gt;0,VLOOKUP(OPERAC[[#This Row],[COD CART]],[1]!MatrizCortoLargoCyl[#All],3,0),"")</f>
        <v/>
      </c>
      <c r="F2655" s="13" t="inlineStr">
        <is>
          <t>PCT</t>
        </is>
      </c>
      <c r="G2655" s="6" t="n">
        <v>50</v>
      </c>
      <c r="H2655" s="6" t="n">
        <v>-486.5316635</v>
      </c>
      <c r="I2655" s="7">
        <f>-H2655/G2655</f>
        <v/>
      </c>
      <c r="J2655" s="5" t="n"/>
      <c r="K2655" s="6" t="n"/>
      <c r="L2655" s="6" t="n"/>
      <c r="M2655" s="7">
        <f>IF(N2655=0,+L2655+H2655,0)</f>
        <v/>
      </c>
      <c r="N2655" s="7">
        <f>IF((+G2655-K2655)=0,0,+G2655-K2655)</f>
        <v/>
      </c>
      <c r="O2655" s="7">
        <f>IF(N2655=0,0,(L2655+H2655)/-N2655)</f>
        <v/>
      </c>
      <c r="P2655" s="7">
        <f>VLOOKUP(OPERAC[[#This Row],[especie]],[1]!ESPECIES[#All],6,0)</f>
        <v/>
      </c>
      <c r="Q2655" s="7">
        <f>IF(N2655&lt;&gt;0,P2655*N2655,0)</f>
        <v/>
      </c>
      <c r="R2655" s="8">
        <f>IF(Q2655&lt;&gt;0,Q2655+H2655+L2655,0)</f>
        <v/>
      </c>
      <c r="S2655" s="9">
        <f>VLOOKUP(OPERAC[[#This Row],[especie]],[1]!ESPECIES[#Data],9,FALSE)</f>
        <v/>
      </c>
    </row>
    <row r="2656">
      <c r="A2656" s="4" t="n">
        <v>3853</v>
      </c>
      <c r="B2656" s="5" t="n">
        <v>44707</v>
      </c>
      <c r="C2656" s="13" t="inlineStr">
        <is>
          <t>CPR</t>
        </is>
      </c>
      <c r="D2656" s="13" t="n">
        <v>42</v>
      </c>
      <c r="E2656" s="10">
        <f>IF(D2656&gt;0,VLOOKUP(OPERAC[[#This Row],[COD CART]],[1]!MatrizCortoLargoCyl[#All],3,0),"")</f>
        <v/>
      </c>
      <c r="F2656" s="13" t="inlineStr">
        <is>
          <t>PCT</t>
        </is>
      </c>
      <c r="G2656" s="6" t="n">
        <v>50</v>
      </c>
      <c r="H2656" s="6" t="n">
        <v>-486.5316635</v>
      </c>
      <c r="I2656" s="7">
        <f>-H2656/G2656</f>
        <v/>
      </c>
      <c r="J2656" s="5" t="n"/>
      <c r="K2656" s="6" t="n"/>
      <c r="L2656" s="6" t="n"/>
      <c r="M2656" s="7">
        <f>IF(N2656=0,+L2656+H2656,0)</f>
        <v/>
      </c>
      <c r="N2656" s="7">
        <f>IF((+G2656-K2656)=0,0,+G2656-K2656)</f>
        <v/>
      </c>
      <c r="O2656" s="7">
        <f>IF(N2656=0,0,(L2656+H2656)/-N2656)</f>
        <v/>
      </c>
      <c r="P2656" s="7">
        <f>VLOOKUP(OPERAC[[#This Row],[especie]],[1]!ESPECIES[#All],6,0)</f>
        <v/>
      </c>
      <c r="Q2656" s="7">
        <f>IF(N2656&lt;&gt;0,P2656*N2656,0)</f>
        <v/>
      </c>
      <c r="R2656" s="8">
        <f>IF(Q2656&lt;&gt;0,Q2656+H2656+L2656,0)</f>
        <v/>
      </c>
      <c r="S2656" s="9">
        <f>VLOOKUP(OPERAC[[#This Row],[especie]],[1]!ESPECIES[#Data],9,FALSE)</f>
        <v/>
      </c>
    </row>
    <row r="2657">
      <c r="A2657" s="4" t="n">
        <v>1801</v>
      </c>
      <c r="B2657" s="5" t="n">
        <v>44579</v>
      </c>
      <c r="C2657" s="13" t="inlineStr">
        <is>
          <t>CPR</t>
        </is>
      </c>
      <c r="D2657" s="13" t="n">
        <v>40</v>
      </c>
      <c r="E2657" s="10">
        <f>IF(D2657&gt;0,VLOOKUP(OPERAC[[#This Row],[COD CART]],[1]!MatrizCortoLargoCyl[#All],3,0),"")</f>
        <v/>
      </c>
      <c r="F2657" s="13" t="inlineStr">
        <is>
          <t>GBTC</t>
        </is>
      </c>
      <c r="G2657" s="6" t="n">
        <v>17</v>
      </c>
      <c r="H2657" s="6" t="n">
        <v>-486.634</v>
      </c>
      <c r="I2657" s="7">
        <f>-H2657/G2657</f>
        <v/>
      </c>
      <c r="J2657" s="11" t="n">
        <v>44641</v>
      </c>
      <c r="K2657" s="6" t="n">
        <v>17</v>
      </c>
      <c r="L2657" s="6" t="n">
        <v>467.651</v>
      </c>
      <c r="M2657" s="7">
        <f>IF(N2657=0,+L2657+H2657,0)</f>
        <v/>
      </c>
      <c r="N2657" s="7">
        <f>IF((+G2657-K2657)=0,0,+G2657-K2657)</f>
        <v/>
      </c>
      <c r="O2657" s="7">
        <f>IF(N2657=0,0,(L2657+H2657)/-N2657)</f>
        <v/>
      </c>
      <c r="P2657" s="7">
        <f>VLOOKUP(OPERAC[[#This Row],[especie]],[1]!ESPECIES[#All],6,0)</f>
        <v/>
      </c>
      <c r="Q2657" s="7">
        <f>IF(N2657&lt;&gt;0,P2657*N2657,0)</f>
        <v/>
      </c>
      <c r="R2657" s="8">
        <f>IF(Q2657&lt;&gt;0,Q2657+H2657+L2657,0)</f>
        <v/>
      </c>
      <c r="S2657" s="9">
        <f>VLOOKUP(OPERAC[[#This Row],[especie]],[1]!ESPECIES[#Data],9,FALSE)</f>
        <v/>
      </c>
    </row>
    <row r="2658">
      <c r="A2658" s="4" t="n">
        <v>1000</v>
      </c>
      <c r="B2658" s="5" t="n">
        <v>44518</v>
      </c>
      <c r="C2658" s="13" t="inlineStr">
        <is>
          <t>CPR</t>
        </is>
      </c>
      <c r="D2658" s="13" t="n">
        <v>41</v>
      </c>
      <c r="E2658" s="10">
        <f>IF(D2658&gt;0,VLOOKUP(OPERAC[[#This Row],[COD CART]],[1]!MatrizCortoLargoCyl[#All],3,0),"")</f>
        <v/>
      </c>
      <c r="F2658" s="13" t="inlineStr">
        <is>
          <t>TWTR</t>
        </is>
      </c>
      <c r="G2658" s="6" t="n">
        <v>10</v>
      </c>
      <c r="H2658" s="6" t="n">
        <v>-486.7</v>
      </c>
      <c r="I2658" s="7">
        <f>-H2658/G2658</f>
        <v/>
      </c>
      <c r="J2658" s="11" t="n">
        <v>44572</v>
      </c>
      <c r="K2658" s="6" t="n">
        <v>10</v>
      </c>
      <c r="L2658" s="6" t="n">
        <v>405.2</v>
      </c>
      <c r="M2658" s="7">
        <f>IF(N2658=0,+L2658+H2658,0)</f>
        <v/>
      </c>
      <c r="N2658" s="7">
        <f>IF((+G2658-K2658)=0,0,+G2658-K2658)</f>
        <v/>
      </c>
      <c r="O2658" s="7">
        <f>IF(N2658=0,0,(L2658+H2658)/-N2658)</f>
        <v/>
      </c>
      <c r="P2658" s="7">
        <f>VLOOKUP(OPERAC[[#This Row],[especie]],[1]!ESPECIES[#All],6,0)</f>
        <v/>
      </c>
      <c r="Q2658" s="7">
        <f>IF(N2658&lt;&gt;0,P2658*N2658,0)</f>
        <v/>
      </c>
      <c r="R2658" s="8">
        <f>IF(Q2658&lt;&gt;0,Q2658+H2658+L2658,0)</f>
        <v/>
      </c>
      <c r="S2658" s="9">
        <f>VLOOKUP(OPERAC[[#This Row],[especie]],[1]!ESPECIES[#Data],9,FALSE)</f>
        <v/>
      </c>
    </row>
    <row r="2659">
      <c r="A2659" s="4" t="n">
        <v>2203</v>
      </c>
      <c r="B2659" s="5" t="n">
        <v>44656</v>
      </c>
      <c r="C2659" s="13" t="inlineStr">
        <is>
          <t>CPR</t>
        </is>
      </c>
      <c r="D2659" s="13" t="n">
        <v>32</v>
      </c>
      <c r="E2659" s="10">
        <f>IF(D2659&gt;0,VLOOKUP(OPERAC[[#This Row],[COD CART]],[1]!MatrizCortoLargoCyl[#All],3,0),"")</f>
        <v/>
      </c>
      <c r="F2659" s="13" t="inlineStr">
        <is>
          <t>HMY</t>
        </is>
      </c>
      <c r="G2659" s="6" t="n">
        <v>100</v>
      </c>
      <c r="H2659" s="6" t="n">
        <v>-487.753</v>
      </c>
      <c r="I2659" s="7">
        <f>-H2659/G2659</f>
        <v/>
      </c>
      <c r="J2659" s="11" t="n">
        <v>44669</v>
      </c>
      <c r="K2659" s="6">
        <f>+OPERAC[[#This Row],[cantidad]]</f>
        <v/>
      </c>
      <c r="L2659" s="6">
        <f>4.925*OPERAC[[#This Row],[cantidad venta]]</f>
        <v/>
      </c>
      <c r="M2659" s="7">
        <f>IF(N2659=0,+L2659+H2659,0)</f>
        <v/>
      </c>
      <c r="N2659" s="7">
        <f>IF((+G2659-K2659)=0,0,+G2659-K2659)</f>
        <v/>
      </c>
      <c r="O2659" s="7">
        <f>IF(N2659=0,0,(L2659+H2659)/-N2659)</f>
        <v/>
      </c>
      <c r="P2659" s="7">
        <f>VLOOKUP(OPERAC[[#This Row],[especie]],[1]!ESPECIES[#All],6,0)</f>
        <v/>
      </c>
      <c r="Q2659" s="7">
        <f>IF(N2659&lt;&gt;0,P2659*N2659,0)</f>
        <v/>
      </c>
      <c r="R2659" s="8">
        <f>IF(Q2659&lt;&gt;0,Q2659+H2659+L2659,0)</f>
        <v/>
      </c>
      <c r="S2659" s="9">
        <f>VLOOKUP(OPERAC[[#This Row],[especie]],[1]!ESPECIES[#Data],9,FALSE)</f>
        <v/>
      </c>
    </row>
    <row r="2660">
      <c r="A2660" s="4" t="n">
        <v>3728</v>
      </c>
      <c r="B2660" s="5" t="n">
        <v>44656</v>
      </c>
      <c r="C2660" s="13" t="inlineStr">
        <is>
          <t>CPR</t>
        </is>
      </c>
      <c r="D2660" s="13" t="n">
        <v>32</v>
      </c>
      <c r="E2660" s="10">
        <f>IF(D2660&gt;0,VLOOKUP(OPERAC[[#This Row],[COD CART]],[1]!MatrizCortoLargoCyl[#All],3,0),"")</f>
        <v/>
      </c>
      <c r="F2660" s="13" t="inlineStr">
        <is>
          <t>HMY</t>
        </is>
      </c>
      <c r="G2660" s="6" t="n">
        <v>100</v>
      </c>
      <c r="H2660" s="6" t="n">
        <v>-487.753</v>
      </c>
      <c r="I2660" s="7">
        <f>-H2660/G2660</f>
        <v/>
      </c>
      <c r="J2660" s="11" t="n">
        <v>44669</v>
      </c>
      <c r="K2660" s="6">
        <f>+OPERAC[[#This Row],[cantidad]]</f>
        <v/>
      </c>
      <c r="L2660" s="6">
        <f>4.925*OPERAC[[#This Row],[cantidad venta]]</f>
        <v/>
      </c>
      <c r="M2660" s="7">
        <f>IF(N2660=0,+L2660+H2660,0)</f>
        <v/>
      </c>
      <c r="N2660" s="7">
        <f>IF((+G2660-K2660)=0,0,+G2660-K2660)</f>
        <v/>
      </c>
      <c r="O2660" s="7">
        <f>IF(N2660=0,0,(L2660+H2660)/-N2660)</f>
        <v/>
      </c>
      <c r="P2660" s="7">
        <f>VLOOKUP(OPERAC[[#This Row],[especie]],[1]!ESPECIES[#All],6,0)</f>
        <v/>
      </c>
      <c r="Q2660" s="7">
        <f>IF(N2660&lt;&gt;0,P2660*N2660,0)</f>
        <v/>
      </c>
      <c r="R2660" s="8">
        <f>IF(Q2660&lt;&gt;0,Q2660+H2660+L2660,0)</f>
        <v/>
      </c>
      <c r="S2660" s="9">
        <f>VLOOKUP(OPERAC[[#This Row],[especie]],[1]!ESPECIES[#Data],9,FALSE)</f>
        <v/>
      </c>
    </row>
    <row r="2661">
      <c r="A2661" s="4" t="n">
        <v>7895</v>
      </c>
      <c r="B2661" s="5" t="n">
        <v>44656</v>
      </c>
      <c r="C2661" s="13" t="inlineStr">
        <is>
          <t>CPR</t>
        </is>
      </c>
      <c r="D2661" s="13" t="n">
        <v>32</v>
      </c>
      <c r="E2661" s="10">
        <f>IF(D2661&gt;0,VLOOKUP(OPERAC[[#This Row],[COD CART]],[1]!MatrizCortoLargoCyl[#All],3,0),"")</f>
        <v/>
      </c>
      <c r="F2661" s="13" t="inlineStr">
        <is>
          <t>HMY</t>
        </is>
      </c>
      <c r="G2661" s="6" t="n">
        <v>100</v>
      </c>
      <c r="H2661" s="6" t="n">
        <v>-487.753</v>
      </c>
      <c r="I2661" s="7">
        <f>-H2661/G2661</f>
        <v/>
      </c>
      <c r="J2661" s="11" t="n">
        <v>44669</v>
      </c>
      <c r="K2661" s="6">
        <f>+OPERAC[[#This Row],[cantidad]]</f>
        <v/>
      </c>
      <c r="L2661" s="6">
        <f>4.925*OPERAC[[#This Row],[cantidad venta]]</f>
        <v/>
      </c>
      <c r="M2661" s="7">
        <f>IF(N2661=0,+L2661+H2661,0)</f>
        <v/>
      </c>
      <c r="N2661" s="7">
        <f>IF((+G2661-K2661)=0,0,+G2661-K2661)</f>
        <v/>
      </c>
      <c r="O2661" s="7">
        <f>IF(N2661=0,0,(L2661+H2661)/-N2661)</f>
        <v/>
      </c>
      <c r="P2661" s="7">
        <f>VLOOKUP(OPERAC[[#This Row],[especie]],[1]!ESPECIES[#All],6,0)</f>
        <v/>
      </c>
      <c r="Q2661" s="7">
        <f>IF(N2661&lt;&gt;0,P2661*N2661,0)</f>
        <v/>
      </c>
      <c r="R2661" s="8">
        <f>IF(Q2661&lt;&gt;0,Q2661+H2661+L2661,0)</f>
        <v/>
      </c>
      <c r="S2661" s="9">
        <f>VLOOKUP(OPERAC[[#This Row],[especie]],[1]!ESPECIES[#Data],9,FALSE)</f>
        <v/>
      </c>
    </row>
    <row r="2662">
      <c r="A2662" s="4" t="n">
        <v>11168</v>
      </c>
      <c r="B2662" s="5" t="n">
        <v>44656</v>
      </c>
      <c r="C2662" s="13" t="inlineStr">
        <is>
          <t>CPR</t>
        </is>
      </c>
      <c r="D2662" s="13" t="n">
        <v>32</v>
      </c>
      <c r="E2662" s="10">
        <f>IF(D2662&gt;0,VLOOKUP(OPERAC[[#This Row],[COD CART]],[1]!MatrizCortoLargoCyl[#All],3,0),"")</f>
        <v/>
      </c>
      <c r="F2662" s="13" t="inlineStr">
        <is>
          <t>HMY</t>
        </is>
      </c>
      <c r="G2662" s="6" t="n">
        <v>100</v>
      </c>
      <c r="H2662" s="6" t="n">
        <v>-487.753</v>
      </c>
      <c r="I2662" s="7">
        <f>-H2662/G2662</f>
        <v/>
      </c>
      <c r="J2662" s="11" t="n">
        <v>44669</v>
      </c>
      <c r="K2662" s="6">
        <f>+OPERAC[[#This Row],[cantidad]]</f>
        <v/>
      </c>
      <c r="L2662" s="6">
        <f>4.925*OPERAC[[#This Row],[cantidad venta]]</f>
        <v/>
      </c>
      <c r="M2662" s="7">
        <f>IF(N2662=0,+L2662+H2662,0)</f>
        <v/>
      </c>
      <c r="N2662" s="7">
        <f>IF((+G2662-K2662)=0,0,+G2662-K2662)</f>
        <v/>
      </c>
      <c r="O2662" s="7">
        <f>IF(N2662=0,0,(L2662+H2662)/-N2662)</f>
        <v/>
      </c>
      <c r="P2662" s="7">
        <f>VLOOKUP(OPERAC[[#This Row],[especie]],[1]!ESPECIES[#All],6,0)</f>
        <v/>
      </c>
      <c r="Q2662" s="7">
        <f>IF(N2662&lt;&gt;0,P2662*N2662,0)</f>
        <v/>
      </c>
      <c r="R2662" s="8">
        <f>IF(Q2662&lt;&gt;0,Q2662+H2662+L2662,0)</f>
        <v/>
      </c>
      <c r="S2662" s="9">
        <f>VLOOKUP(OPERAC[[#This Row],[especie]],[1]!ESPECIES[#Data],9,FALSE)</f>
        <v/>
      </c>
    </row>
    <row r="2663">
      <c r="A2663" s="4" t="n">
        <v>12671</v>
      </c>
      <c r="B2663" s="5" t="n">
        <v>44656</v>
      </c>
      <c r="C2663" s="13" t="inlineStr">
        <is>
          <t>CPR</t>
        </is>
      </c>
      <c r="D2663" s="13" t="n">
        <v>32</v>
      </c>
      <c r="E2663" s="10">
        <f>IF(D2663&gt;0,VLOOKUP(OPERAC[[#This Row],[COD CART]],[1]!MatrizCortoLargoCyl[#All],3,0),"")</f>
        <v/>
      </c>
      <c r="F2663" s="13" t="inlineStr">
        <is>
          <t>HMY</t>
        </is>
      </c>
      <c r="G2663" s="6" t="n">
        <v>100</v>
      </c>
      <c r="H2663" s="6" t="n">
        <v>-487.753</v>
      </c>
      <c r="I2663" s="7">
        <f>-H2663/G2663</f>
        <v/>
      </c>
      <c r="J2663" s="11" t="n">
        <v>44669</v>
      </c>
      <c r="K2663" s="6">
        <f>+OPERAC[[#This Row],[cantidad]]</f>
        <v/>
      </c>
      <c r="L2663" s="6">
        <f>4.925*OPERAC[[#This Row],[cantidad venta]]</f>
        <v/>
      </c>
      <c r="M2663" s="7">
        <f>IF(N2663=0,+L2663+H2663,0)</f>
        <v/>
      </c>
      <c r="N2663" s="7">
        <f>IF((+G2663-K2663)=0,0,+G2663-K2663)</f>
        <v/>
      </c>
      <c r="O2663" s="7">
        <f>IF(N2663=0,0,(L2663+H2663)/-N2663)</f>
        <v/>
      </c>
      <c r="P2663" s="7">
        <f>VLOOKUP(OPERAC[[#This Row],[especie]],[1]!ESPECIES[#All],6,0)</f>
        <v/>
      </c>
      <c r="Q2663" s="7">
        <f>IF(N2663&lt;&gt;0,P2663*N2663,0)</f>
        <v/>
      </c>
      <c r="R2663" s="8">
        <f>IF(Q2663&lt;&gt;0,Q2663+H2663+L2663,0)</f>
        <v/>
      </c>
      <c r="S2663" s="9">
        <f>VLOOKUP(OPERAC[[#This Row],[especie]],[1]!ESPECIES[#Data],9,FALSE)</f>
        <v/>
      </c>
    </row>
    <row r="2664">
      <c r="A2664" s="4" t="n">
        <v>22393</v>
      </c>
      <c r="B2664" s="5" t="n">
        <v>44656</v>
      </c>
      <c r="C2664" s="13" t="inlineStr">
        <is>
          <t>CPR</t>
        </is>
      </c>
      <c r="D2664" s="13" t="n">
        <v>32</v>
      </c>
      <c r="E2664" s="10">
        <f>IF(D2664&gt;0,VLOOKUP(OPERAC[[#This Row],[COD CART]],[1]!MatrizCortoLargoCyl[#All],3,0),"")</f>
        <v/>
      </c>
      <c r="F2664" s="13" t="inlineStr">
        <is>
          <t>HMY</t>
        </is>
      </c>
      <c r="G2664" s="6" t="n">
        <v>100</v>
      </c>
      <c r="H2664" s="6" t="n">
        <v>-487.753</v>
      </c>
      <c r="I2664" s="7">
        <f>-H2664/G2664</f>
        <v/>
      </c>
      <c r="J2664" s="11" t="n">
        <v>44669</v>
      </c>
      <c r="K2664" s="6">
        <f>+OPERAC[[#This Row],[cantidad]]</f>
        <v/>
      </c>
      <c r="L2664" s="6">
        <f>4.925*OPERAC[[#This Row],[cantidad venta]]</f>
        <v/>
      </c>
      <c r="M2664" s="7">
        <f>IF(N2664=0,+L2664+H2664,0)</f>
        <v/>
      </c>
      <c r="N2664" s="7">
        <f>IF((+G2664-K2664)=0,0,+G2664-K2664)</f>
        <v/>
      </c>
      <c r="O2664" s="7">
        <f>IF(N2664=0,0,(L2664+H2664)/-N2664)</f>
        <v/>
      </c>
      <c r="P2664" s="7">
        <f>VLOOKUP(OPERAC[[#This Row],[especie]],[1]!ESPECIES[#All],6,0)</f>
        <v/>
      </c>
      <c r="Q2664" s="7">
        <f>IF(N2664&lt;&gt;0,P2664*N2664,0)</f>
        <v/>
      </c>
      <c r="R2664" s="8">
        <f>IF(Q2664&lt;&gt;0,Q2664+H2664+L2664,0)</f>
        <v/>
      </c>
      <c r="S2664" s="9">
        <f>VLOOKUP(OPERAC[[#This Row],[especie]],[1]!ESPECIES[#Data],9,FALSE)</f>
        <v/>
      </c>
    </row>
    <row r="2665">
      <c r="A2665" s="4" t="n">
        <v>22407</v>
      </c>
      <c r="B2665" s="5" t="n">
        <v>44655</v>
      </c>
      <c r="C2665" s="13" t="inlineStr">
        <is>
          <t>CPR</t>
        </is>
      </c>
      <c r="D2665" s="13" t="n">
        <v>31</v>
      </c>
      <c r="E2665" s="10">
        <f>IF(D2665&gt;0,VLOOKUP(OPERAC[[#This Row],[COD CART]],[1]!MatrizCortoLargoCyl[#All],3,0),"")</f>
        <v/>
      </c>
      <c r="F2665" s="13" t="inlineStr">
        <is>
          <t>BBAR</t>
        </is>
      </c>
      <c r="G2665" s="6" t="n">
        <v>130</v>
      </c>
      <c r="H2665" s="6" t="n">
        <v>-487.8136</v>
      </c>
      <c r="I2665" s="7">
        <f>-H2665/G2665</f>
        <v/>
      </c>
      <c r="J2665" s="11" t="n"/>
      <c r="K2665" s="6" t="n"/>
      <c r="L2665" s="6" t="n"/>
      <c r="M2665" s="7">
        <f>IF(N2665=0,+L2665+H2665,0)</f>
        <v/>
      </c>
      <c r="N2665" s="7">
        <f>IF((+G2665-K2665)=0,0,+G2665-K2665)</f>
        <v/>
      </c>
      <c r="O2665" s="7">
        <f>IF(N2665=0,0,(L2665+H2665)/-N2665)</f>
        <v/>
      </c>
      <c r="P2665" s="7">
        <f>VLOOKUP(OPERAC[[#This Row],[especie]],[1]!ESPECIES[#All],6,0)</f>
        <v/>
      </c>
      <c r="Q2665" s="7">
        <f>IF(N2665&lt;&gt;0,P2665*N2665,0)</f>
        <v/>
      </c>
      <c r="R2665" s="8">
        <f>IF(Q2665&lt;&gt;0,Q2665+H2665+L2665,0)</f>
        <v/>
      </c>
      <c r="S2665" s="9">
        <f>VLOOKUP(OPERAC[[#This Row],[especie]],[1]!ESPECIES[#Data],9,FALSE)</f>
        <v/>
      </c>
    </row>
    <row r="2666">
      <c r="A2666" s="4" t="n">
        <v>13174</v>
      </c>
      <c r="B2666" s="5" t="n">
        <v>44369</v>
      </c>
      <c r="C2666" s="13" t="inlineStr">
        <is>
          <t>CPR</t>
        </is>
      </c>
      <c r="D2666" s="13" t="n">
        <v>40</v>
      </c>
      <c r="E2666" s="10">
        <f>IF(D2666&gt;0,VLOOKUP(OPERAC[[#This Row],[COD CART]],[1]!MatrizCortoLargoCyl[#All],3,0),"")</f>
        <v/>
      </c>
      <c r="F2666" s="13" t="inlineStr">
        <is>
          <t>ATOS</t>
        </is>
      </c>
      <c r="G2666" s="6" t="n">
        <v>100</v>
      </c>
      <c r="H2666" s="6">
        <f>-4.88*OPERAC[[#This Row],[cantidad]]</f>
        <v/>
      </c>
      <c r="I2666" s="7">
        <f>-H2666/G2666</f>
        <v/>
      </c>
      <c r="J2666" s="11" t="n"/>
      <c r="K2666" s="6" t="n"/>
      <c r="L2666" s="6" t="n"/>
      <c r="M2666" s="7">
        <f>IF(N2666=0,+L2666+H2666,0)</f>
        <v/>
      </c>
      <c r="N2666" s="7">
        <f>IF((+G2666-K2666)=0,0,+G2666-K2666)</f>
        <v/>
      </c>
      <c r="O2666" s="7">
        <f>IF(N2666=0,0,(L2666+H2666)/-N2666)</f>
        <v/>
      </c>
      <c r="P2666" s="7">
        <f>VLOOKUP(OPERAC[[#This Row],[especie]],[1]!ESPECIES[#All],6,0)</f>
        <v/>
      </c>
      <c r="Q2666" s="7">
        <f>IF(N2666&lt;&gt;0,P2666*N2666,0)</f>
        <v/>
      </c>
      <c r="R2666" s="8">
        <f>IF(Q2666&lt;&gt;0,Q2666+H2666+L2666,0)</f>
        <v/>
      </c>
      <c r="S2666" s="9">
        <f>VLOOKUP(OPERAC[[#This Row],[especie]],[1]!ESPECIES[#Data],9,FALSE)</f>
        <v/>
      </c>
    </row>
    <row r="2667">
      <c r="A2667" s="4" t="n">
        <v>18669</v>
      </c>
      <c r="B2667" s="5" t="n">
        <v>44369</v>
      </c>
      <c r="C2667" s="13" t="inlineStr">
        <is>
          <t>CPR</t>
        </is>
      </c>
      <c r="D2667" s="13" t="n">
        <v>41</v>
      </c>
      <c r="E2667" s="10">
        <f>IF(D2667&gt;0,VLOOKUP(OPERAC[[#This Row],[COD CART]],[1]!MatrizCortoLargoCyl[#All],3,0),"")</f>
        <v/>
      </c>
      <c r="F2667" s="13" t="inlineStr">
        <is>
          <t>ATOS</t>
        </is>
      </c>
      <c r="G2667" s="6" t="n">
        <v>100</v>
      </c>
      <c r="H2667" s="6">
        <f>-4.88*OPERAC[[#This Row],[cantidad]]</f>
        <v/>
      </c>
      <c r="I2667" s="7">
        <f>-H2667/G2667</f>
        <v/>
      </c>
      <c r="J2667" s="11" t="n"/>
      <c r="K2667" s="6" t="n"/>
      <c r="L2667" s="6" t="n"/>
      <c r="M2667" s="7">
        <f>IF(N2667=0,+L2667+H2667,0)</f>
        <v/>
      </c>
      <c r="N2667" s="7">
        <f>IF((+G2667-K2667)=0,0,+G2667-K2667)</f>
        <v/>
      </c>
      <c r="O2667" s="7">
        <f>IF(N2667=0,0,(L2667+H2667)/-N2667)</f>
        <v/>
      </c>
      <c r="P2667" s="7">
        <f>VLOOKUP(OPERAC[[#This Row],[especie]],[1]!ESPECIES[#All],6,0)</f>
        <v/>
      </c>
      <c r="Q2667" s="7">
        <f>IF(N2667&lt;&gt;0,P2667*N2667,0)</f>
        <v/>
      </c>
      <c r="R2667" s="8">
        <f>IF(Q2667&lt;&gt;0,Q2667+H2667+L2667,0)</f>
        <v/>
      </c>
      <c r="S2667" s="9">
        <f>VLOOKUP(OPERAC[[#This Row],[especie]],[1]!ESPECIES[#Data],9,FALSE)</f>
        <v/>
      </c>
    </row>
    <row r="2668">
      <c r="A2668" s="4" t="n">
        <v>13253</v>
      </c>
      <c r="B2668" s="5" t="n">
        <v>44200</v>
      </c>
      <c r="C2668" s="13" t="inlineStr">
        <is>
          <t>CPR</t>
        </is>
      </c>
      <c r="D2668" s="13" t="n">
        <v>41</v>
      </c>
      <c r="E2668" s="10">
        <f>IF(D2668&gt;0,VLOOKUP(OPERAC[[#This Row],[COD CART]],[1]!MatrizCortoLargoCyl[#All],3,0),"")</f>
        <v/>
      </c>
      <c r="F2668" s="13" t="inlineStr">
        <is>
          <t>STOR</t>
        </is>
      </c>
      <c r="G2668" s="6" t="n">
        <v>15</v>
      </c>
      <c r="H2668" s="6" t="n">
        <v>-489.6784</v>
      </c>
      <c r="I2668" s="7">
        <f>-H2668/G2668</f>
        <v/>
      </c>
      <c r="J2668" s="11" t="n"/>
      <c r="K2668" s="6" t="n"/>
      <c r="L2668" s="6" t="n"/>
      <c r="M2668" s="7">
        <f>IF(N2668=0,+L2668+H2668,0)</f>
        <v/>
      </c>
      <c r="N2668" s="7">
        <f>IF((+G2668-K2668)=0,0,+G2668-K2668)</f>
        <v/>
      </c>
      <c r="O2668" s="7">
        <f>IF(N2668=0,0,(L2668+H2668)/-N2668)</f>
        <v/>
      </c>
      <c r="P2668" s="7">
        <f>VLOOKUP(OPERAC[[#This Row],[especie]],[1]!ESPECIES[#All],6,0)</f>
        <v/>
      </c>
      <c r="Q2668" s="7">
        <f>IF(N2668&lt;&gt;0,P2668*N2668,0)</f>
        <v/>
      </c>
      <c r="R2668" s="8">
        <f>IF(Q2668&lt;&gt;0,Q2668+H2668+L2668,0)</f>
        <v/>
      </c>
      <c r="S2668" s="9">
        <f>VLOOKUP(OPERAC[[#This Row],[especie]],[1]!ESPECIES[#Data],9,FALSE)</f>
        <v/>
      </c>
    </row>
    <row r="2669">
      <c r="A2669" s="4" t="n">
        <v>13188</v>
      </c>
      <c r="B2669" s="5" t="n">
        <v>44636</v>
      </c>
      <c r="C2669" s="13" t="inlineStr">
        <is>
          <t>CPR</t>
        </is>
      </c>
      <c r="D2669" s="13" t="n">
        <v>43</v>
      </c>
      <c r="E2669" s="10">
        <f>IF(D2669&gt;0,VLOOKUP(OPERAC[[#This Row],[COD CART]],[1]!MatrizCortoLargoCyl[#All],3,0),"")</f>
        <v/>
      </c>
      <c r="F2669" s="13" t="inlineStr">
        <is>
          <t>GMBL/CYL-PUT/1,00/20-01-23</t>
        </is>
      </c>
      <c r="G2669" s="6" t="n">
        <v>3000</v>
      </c>
      <c r="H2669" s="6" t="n">
        <v>-490.1659499999996</v>
      </c>
      <c r="I2669" s="7">
        <f>-H2669/G2669</f>
        <v/>
      </c>
      <c r="J2669" s="11" t="n"/>
      <c r="K2669" s="6" t="n"/>
      <c r="L2669" s="6" t="n"/>
      <c r="M2669" s="7">
        <f>IF(N2669=0,+L2669+H2669,0)</f>
        <v/>
      </c>
      <c r="N2669" s="7">
        <f>IF((+G2669-K2669)=0,0,+G2669-K2669)</f>
        <v/>
      </c>
      <c r="O2669" s="7">
        <f>IF(N2669=0,0,(L2669+H2669)/-N2669)</f>
        <v/>
      </c>
      <c r="P2669" s="7">
        <f>VLOOKUP(OPERAC[[#This Row],[especie]],[1]!ESPECIES[#All],6,0)</f>
        <v/>
      </c>
      <c r="Q2669" s="7">
        <f>IF(N2669&lt;&gt;0,P2669*N2669,0)</f>
        <v/>
      </c>
      <c r="R2669" s="8">
        <f>IF(Q2669&lt;&gt;0,Q2669+H2669+L2669,0)</f>
        <v/>
      </c>
      <c r="S2669" s="9">
        <f>VLOOKUP(OPERAC[[#This Row],[especie]],[1]!ESPECIES[#Data],9,FALSE)</f>
        <v/>
      </c>
    </row>
    <row r="2670">
      <c r="A2670" s="4" t="n">
        <v>16786</v>
      </c>
      <c r="B2670" s="5" t="n">
        <v>44636</v>
      </c>
      <c r="C2670" s="13" t="inlineStr">
        <is>
          <t>CPR</t>
        </is>
      </c>
      <c r="D2670" s="13" t="n">
        <v>43</v>
      </c>
      <c r="E2670" s="10">
        <f>IF(D2670&gt;0,VLOOKUP(OPERAC[[#This Row],[COD CART]],[1]!MatrizCortoLargoCyl[#All],3,0),"")</f>
        <v/>
      </c>
      <c r="F2670" s="13" t="inlineStr">
        <is>
          <t>GMBL/CYL-PUT/1,00/20-01-23</t>
        </is>
      </c>
      <c r="G2670" s="6" t="n">
        <v>3000</v>
      </c>
      <c r="H2670" s="6" t="n">
        <v>-490.1659499999996</v>
      </c>
      <c r="I2670" s="7">
        <f>-H2670/G2670</f>
        <v/>
      </c>
      <c r="J2670" s="11" t="n">
        <v>44705</v>
      </c>
      <c r="K2670" s="6">
        <f>2000+1000</f>
        <v/>
      </c>
      <c r="L2670" s="6">
        <f>-719.55+416.529-100.85</f>
        <v/>
      </c>
      <c r="M2670" s="7">
        <f>IF(N2670=0,+L2670+H2670,0)</f>
        <v/>
      </c>
      <c r="N2670" s="7">
        <f>IF((+G2670-K2670)=0,0,+G2670-K2670)</f>
        <v/>
      </c>
      <c r="O2670" s="7">
        <f>IF(N2670=0,0,(L2670+H2670)/-N2670)</f>
        <v/>
      </c>
      <c r="P2670" s="7">
        <f>VLOOKUP(OPERAC[[#This Row],[especie]],[1]!ESPECIES[#All],6,0)</f>
        <v/>
      </c>
      <c r="Q2670" s="7">
        <f>IF(N2670&lt;&gt;0,P2670*N2670,0)</f>
        <v/>
      </c>
      <c r="R2670" s="8">
        <f>IF(Q2670&lt;&gt;0,Q2670+H2670+L2670,0)</f>
        <v/>
      </c>
      <c r="S2670" s="9">
        <f>VLOOKUP(OPERAC[[#This Row],[especie]],[1]!ESPECIES[#Data],9,FALSE)</f>
        <v/>
      </c>
    </row>
    <row r="2671">
      <c r="A2671" s="4" t="n">
        <v>3021</v>
      </c>
      <c r="B2671" s="5" t="n">
        <v>44664</v>
      </c>
      <c r="C2671" s="13" t="inlineStr">
        <is>
          <t>CPR</t>
        </is>
      </c>
      <c r="D2671" s="13" t="n">
        <v>42</v>
      </c>
      <c r="E2671" s="10">
        <f>IF(D2671&gt;0,VLOOKUP(OPERAC[[#This Row],[COD CART]],[1]!MatrizCortoLargoCyl[#All],3,0),"")</f>
        <v/>
      </c>
      <c r="F2671" s="13" t="inlineStr">
        <is>
          <t>AMD</t>
        </is>
      </c>
      <c r="G2671" s="6" t="n">
        <v>5</v>
      </c>
      <c r="H2671" s="6" t="n">
        <v>-490.1805909</v>
      </c>
      <c r="I2671" s="7">
        <f>-H2671/G2671</f>
        <v/>
      </c>
      <c r="J2671" s="11" t="n">
        <v>44691</v>
      </c>
      <c r="K2671" s="6" t="n">
        <v>5</v>
      </c>
      <c r="L2671" s="6" t="n">
        <v>437.412</v>
      </c>
      <c r="M2671" s="7">
        <f>IF(N2671=0,+L2671+H2671,0)</f>
        <v/>
      </c>
      <c r="N2671" s="7">
        <f>IF((+G2671-K2671)=0,0,+G2671-K2671)</f>
        <v/>
      </c>
      <c r="O2671" s="7">
        <f>IF(N2671=0,0,(L2671+H2671)/-N2671)</f>
        <v/>
      </c>
      <c r="P2671" s="7">
        <f>VLOOKUP(OPERAC[[#This Row],[especie]],[1]!ESPECIES[#All],6,0)</f>
        <v/>
      </c>
      <c r="Q2671" s="7">
        <f>IF(N2671&lt;&gt;0,P2671*N2671,0)</f>
        <v/>
      </c>
      <c r="R2671" s="8">
        <f>IF(Q2671&lt;&gt;0,Q2671+H2671+L2671,0)</f>
        <v/>
      </c>
      <c r="S2671" s="9">
        <f>VLOOKUP(OPERAC[[#This Row],[especie]],[1]!ESPECIES[#Data],9,FALSE)</f>
        <v/>
      </c>
    </row>
    <row r="2672">
      <c r="A2672" s="4" t="n">
        <v>2279</v>
      </c>
      <c r="B2672" s="5" t="n">
        <v>44671</v>
      </c>
      <c r="C2672" s="13" t="inlineStr">
        <is>
          <t>CPR</t>
        </is>
      </c>
      <c r="D2672" s="13" t="n">
        <v>42</v>
      </c>
      <c r="E2672" s="10">
        <f>IF(D2672&gt;0,VLOOKUP(OPERAC[[#This Row],[COD CART]],[1]!MatrizCortoLargoCyl[#All],3,0),"")</f>
        <v/>
      </c>
      <c r="F2672" s="13" t="inlineStr">
        <is>
          <t>TLT</t>
        </is>
      </c>
      <c r="G2672" s="6" t="n">
        <v>4</v>
      </c>
      <c r="H2672" s="6" t="n">
        <v>-490.252</v>
      </c>
      <c r="I2672" s="7">
        <f>-H2672/G2672</f>
        <v/>
      </c>
      <c r="J2672" s="11" t="n"/>
      <c r="K2672" s="6" t="n"/>
      <c r="L2672" s="6" t="n"/>
      <c r="M2672" s="7">
        <f>IF(N2672=0,+L2672+H2672,0)</f>
        <v/>
      </c>
      <c r="N2672" s="7">
        <f>IF((+G2672-K2672)=0,0,+G2672-K2672)</f>
        <v/>
      </c>
      <c r="O2672" s="7">
        <f>IF(N2672=0,0,(L2672+H2672)/-N2672)</f>
        <v/>
      </c>
      <c r="P2672" s="7">
        <f>VLOOKUP(OPERAC[[#This Row],[especie]],[1]!ESPECIES[#All],6,0)</f>
        <v/>
      </c>
      <c r="Q2672" s="7">
        <f>IF(N2672&lt;&gt;0,P2672*N2672,0)</f>
        <v/>
      </c>
      <c r="R2672" s="8">
        <f>IF(Q2672&lt;&gt;0,Q2672+H2672+L2672,0)</f>
        <v/>
      </c>
      <c r="S2672" s="9">
        <f>VLOOKUP(OPERAC[[#This Row],[especie]],[1]!ESPECIES[#Data],9,FALSE)</f>
        <v/>
      </c>
    </row>
    <row r="2673">
      <c r="A2673" s="4" t="n">
        <v>4543</v>
      </c>
      <c r="B2673" s="5" t="n">
        <v>44671</v>
      </c>
      <c r="C2673" s="13" t="inlineStr">
        <is>
          <t>CPR</t>
        </is>
      </c>
      <c r="D2673" s="13" t="n">
        <v>42</v>
      </c>
      <c r="E2673" s="10">
        <f>IF(D2673&gt;0,VLOOKUP(OPERAC[[#This Row],[COD CART]],[1]!MatrizCortoLargoCyl[#All],3,0),"")</f>
        <v/>
      </c>
      <c r="F2673" s="13" t="inlineStr">
        <is>
          <t>TLT</t>
        </is>
      </c>
      <c r="G2673" s="6" t="n">
        <v>4</v>
      </c>
      <c r="H2673" s="6" t="n">
        <v>-490.25202</v>
      </c>
      <c r="I2673" s="7">
        <f>-H2673/G2673</f>
        <v/>
      </c>
      <c r="J2673" s="11" t="n"/>
      <c r="K2673" s="6" t="n"/>
      <c r="L2673" s="6" t="n"/>
      <c r="M2673" s="7">
        <f>IF(N2673=0,+L2673+H2673,0)</f>
        <v/>
      </c>
      <c r="N2673" s="7">
        <f>IF((+G2673-K2673)=0,0,+G2673-K2673)</f>
        <v/>
      </c>
      <c r="O2673" s="7">
        <f>IF(N2673=0,0,(L2673+H2673)/-N2673)</f>
        <v/>
      </c>
      <c r="P2673" s="7">
        <f>VLOOKUP(OPERAC[[#This Row],[especie]],[1]!ESPECIES[#All],6,0)</f>
        <v/>
      </c>
      <c r="Q2673" s="7">
        <f>IF(N2673&lt;&gt;0,P2673*N2673,0)</f>
        <v/>
      </c>
      <c r="R2673" s="8">
        <f>IF(Q2673&lt;&gt;0,Q2673+H2673+L2673,0)</f>
        <v/>
      </c>
      <c r="S2673" s="9">
        <f>VLOOKUP(OPERAC[[#This Row],[especie]],[1]!ESPECIES[#Data],9,FALSE)</f>
        <v/>
      </c>
    </row>
    <row r="2674">
      <c r="A2674" s="4" t="n">
        <v>19934</v>
      </c>
      <c r="B2674" s="5" t="n">
        <v>44671</v>
      </c>
      <c r="C2674" s="13" t="inlineStr">
        <is>
          <t>CPR</t>
        </is>
      </c>
      <c r="D2674" s="13" t="n">
        <v>42</v>
      </c>
      <c r="E2674" s="10">
        <f>IF(D2674&gt;0,VLOOKUP(OPERAC[[#This Row],[COD CART]],[1]!MatrizCortoLargoCyl[#All],3,0),"")</f>
        <v/>
      </c>
      <c r="F2674" s="13" t="inlineStr">
        <is>
          <t>TLT</t>
        </is>
      </c>
      <c r="G2674" s="6" t="n">
        <v>4</v>
      </c>
      <c r="H2674" s="6" t="n">
        <v>-490.25202</v>
      </c>
      <c r="I2674" s="7">
        <f>-H2674/G2674</f>
        <v/>
      </c>
      <c r="J2674" s="11" t="n"/>
      <c r="K2674" s="6" t="n"/>
      <c r="L2674" s="6" t="n"/>
      <c r="M2674" s="7">
        <f>IF(N2674=0,+L2674+H2674,0)</f>
        <v/>
      </c>
      <c r="N2674" s="7">
        <f>IF((+G2674-K2674)=0,0,+G2674-K2674)</f>
        <v/>
      </c>
      <c r="O2674" s="7">
        <f>IF(N2674=0,0,(L2674+H2674)/-N2674)</f>
        <v/>
      </c>
      <c r="P2674" s="7">
        <f>VLOOKUP(OPERAC[[#This Row],[especie]],[1]!ESPECIES[#All],6,0)</f>
        <v/>
      </c>
      <c r="Q2674" s="7">
        <f>IF(N2674&lt;&gt;0,P2674*N2674,0)</f>
        <v/>
      </c>
      <c r="R2674" s="8">
        <f>IF(Q2674&lt;&gt;0,Q2674+H2674+L2674,0)</f>
        <v/>
      </c>
      <c r="S2674" s="9">
        <f>VLOOKUP(OPERAC[[#This Row],[especie]],[1]!ESPECIES[#Data],9,FALSE)</f>
        <v/>
      </c>
    </row>
    <row r="2675">
      <c r="A2675" s="4" t="n">
        <v>13185</v>
      </c>
      <c r="B2675" s="5" t="n">
        <v>44671</v>
      </c>
      <c r="C2675" s="13" t="inlineStr">
        <is>
          <t>CPR</t>
        </is>
      </c>
      <c r="D2675" s="13" t="n">
        <v>42</v>
      </c>
      <c r="E2675" s="10">
        <f>IF(D2675&gt;0,VLOOKUP(OPERAC[[#This Row],[COD CART]],[1]!MatrizCortoLargoCyl[#All],3,0),"")</f>
        <v/>
      </c>
      <c r="F2675" s="13" t="inlineStr">
        <is>
          <t>TLT</t>
        </is>
      </c>
      <c r="G2675" s="6" t="n">
        <v>4</v>
      </c>
      <c r="H2675" s="6" t="n">
        <v>-490.25202</v>
      </c>
      <c r="I2675" s="7">
        <f>-H2675/G2675</f>
        <v/>
      </c>
      <c r="J2675" s="11" t="n">
        <v>44704</v>
      </c>
      <c r="K2675" s="6" t="n">
        <v>4</v>
      </c>
      <c r="L2675" s="6">
        <f>+OPERAC[[#This Row],[cantidad venta]]*115.779</f>
        <v/>
      </c>
      <c r="M2675" s="7">
        <f>IF(N2675=0,+L2675+H2675,0)</f>
        <v/>
      </c>
      <c r="N2675" s="7">
        <f>IF((+G2675-K2675)=0,0,+G2675-K2675)</f>
        <v/>
      </c>
      <c r="O2675" s="7">
        <f>IF(N2675=0,0,(L2675+H2675)/-N2675)</f>
        <v/>
      </c>
      <c r="P2675" s="7">
        <f>VLOOKUP(OPERAC[[#This Row],[especie]],[1]!ESPECIES[#All],6,0)</f>
        <v/>
      </c>
      <c r="Q2675" s="7">
        <f>IF(N2675&lt;&gt;0,P2675*N2675,0)</f>
        <v/>
      </c>
      <c r="R2675" s="8">
        <f>IF(Q2675&lt;&gt;0,Q2675+H2675+L2675,0)</f>
        <v/>
      </c>
      <c r="S2675" s="9">
        <f>VLOOKUP(OPERAC[[#This Row],[especie]],[1]!ESPECIES[#Data],9,FALSE)</f>
        <v/>
      </c>
    </row>
    <row r="2676">
      <c r="A2676" s="4" t="n">
        <v>1800</v>
      </c>
      <c r="B2676" s="5" t="n">
        <v>44671</v>
      </c>
      <c r="C2676" s="13" t="inlineStr">
        <is>
          <t>CPR</t>
        </is>
      </c>
      <c r="D2676" s="13" t="n">
        <v>42</v>
      </c>
      <c r="E2676" s="10">
        <f>IF(D2676&gt;0,VLOOKUP(OPERAC[[#This Row],[COD CART]],[1]!MatrizCortoLargoCyl[#All],3,0),"")</f>
        <v/>
      </c>
      <c r="F2676" s="13" t="inlineStr">
        <is>
          <t>TLT</t>
        </is>
      </c>
      <c r="G2676" s="6" t="n">
        <v>4</v>
      </c>
      <c r="H2676" s="6" t="n">
        <v>-490.25202</v>
      </c>
      <c r="I2676" s="7">
        <f>-H2676/G2676</f>
        <v/>
      </c>
      <c r="J2676" s="11" t="n">
        <v>44704</v>
      </c>
      <c r="K2676" s="6" t="n">
        <v>4</v>
      </c>
      <c r="L2676" s="6" t="n">
        <v>466.322</v>
      </c>
      <c r="M2676" s="7">
        <f>IF(N2676=0,+L2676+H2676,0)</f>
        <v/>
      </c>
      <c r="N2676" s="7">
        <f>IF((+G2676-K2676)=0,0,+G2676-K2676)</f>
        <v/>
      </c>
      <c r="O2676" s="7">
        <f>IF(N2676=0,0,(L2676+H2676)/-N2676)</f>
        <v/>
      </c>
      <c r="P2676" s="7">
        <f>VLOOKUP(OPERAC[[#This Row],[especie]],[1]!ESPECIES[#All],6,0)</f>
        <v/>
      </c>
      <c r="Q2676" s="7">
        <f>IF(N2676&lt;&gt;0,P2676*N2676,0)</f>
        <v/>
      </c>
      <c r="R2676" s="8">
        <f>IF(Q2676&lt;&gt;0,Q2676+H2676+L2676,0)</f>
        <v/>
      </c>
      <c r="S2676" s="9">
        <f>VLOOKUP(OPERAC[[#This Row],[especie]],[1]!ESPECIES[#Data],9,FALSE)</f>
        <v/>
      </c>
    </row>
    <row r="2677">
      <c r="A2677" s="4" t="n">
        <v>2289</v>
      </c>
      <c r="B2677" s="5" t="n">
        <v>44671</v>
      </c>
      <c r="C2677" s="13" t="inlineStr">
        <is>
          <t>CPR</t>
        </is>
      </c>
      <c r="D2677" s="13" t="n">
        <v>42</v>
      </c>
      <c r="E2677" s="10">
        <f>IF(D2677&gt;0,VLOOKUP(OPERAC[[#This Row],[COD CART]],[1]!MatrizCortoLargoCyl[#All],3,0),"")</f>
        <v/>
      </c>
      <c r="F2677" s="13" t="inlineStr">
        <is>
          <t>TLT</t>
        </is>
      </c>
      <c r="G2677" s="6" t="n">
        <v>4</v>
      </c>
      <c r="H2677" s="6" t="n">
        <v>-490.25202</v>
      </c>
      <c r="I2677" s="7">
        <f>-H2677/G2677</f>
        <v/>
      </c>
      <c r="J2677" s="11" t="n"/>
      <c r="K2677" s="6" t="n"/>
      <c r="L2677" s="6" t="n"/>
      <c r="M2677" s="7">
        <f>IF(N2677=0,+L2677+H2677,0)</f>
        <v/>
      </c>
      <c r="N2677" s="7">
        <f>IF((+G2677-K2677)=0,0,+G2677-K2677)</f>
        <v/>
      </c>
      <c r="O2677" s="7">
        <f>IF(N2677=0,0,(L2677+H2677)/-N2677)</f>
        <v/>
      </c>
      <c r="P2677" s="7">
        <f>VLOOKUP(OPERAC[[#This Row],[especie]],[1]!ESPECIES[#All],6,0)</f>
        <v/>
      </c>
      <c r="Q2677" s="7">
        <f>IF(N2677&lt;&gt;0,P2677*N2677,0)</f>
        <v/>
      </c>
      <c r="R2677" s="8">
        <f>IF(Q2677&lt;&gt;0,Q2677+H2677+L2677,0)</f>
        <v/>
      </c>
      <c r="S2677" s="9">
        <f>VLOOKUP(OPERAC[[#This Row],[especie]],[1]!ESPECIES[#Data],9,FALSE)</f>
        <v/>
      </c>
    </row>
    <row r="2678">
      <c r="A2678" s="4" t="n">
        <v>3838</v>
      </c>
      <c r="B2678" s="5" t="n">
        <v>44671</v>
      </c>
      <c r="C2678" s="13" t="inlineStr">
        <is>
          <t>CPR</t>
        </is>
      </c>
      <c r="D2678" s="13" t="n">
        <v>42</v>
      </c>
      <c r="E2678" s="10">
        <f>IF(D2678&gt;0,VLOOKUP(OPERAC[[#This Row],[COD CART]],[1]!MatrizCortoLargoCyl[#All],3,0),"")</f>
        <v/>
      </c>
      <c r="F2678" s="13" t="inlineStr">
        <is>
          <t>TLT</t>
        </is>
      </c>
      <c r="G2678" s="6" t="n">
        <v>4</v>
      </c>
      <c r="H2678" s="6" t="n">
        <v>-490.25202</v>
      </c>
      <c r="I2678" s="7">
        <f>-H2678/G2678</f>
        <v/>
      </c>
      <c r="J2678" s="11" t="n">
        <v>44677</v>
      </c>
      <c r="K2678" s="6" t="n">
        <v>4</v>
      </c>
      <c r="L2678" s="6" t="n">
        <v>485.518</v>
      </c>
      <c r="M2678" s="7">
        <f>IF(N2678=0,+L2678+H2678,0)</f>
        <v/>
      </c>
      <c r="N2678" s="7">
        <f>IF((+G2678-K2678)=0,0,+G2678-K2678)</f>
        <v/>
      </c>
      <c r="O2678" s="7">
        <f>IF(N2678=0,0,(L2678+H2678)/-N2678)</f>
        <v/>
      </c>
      <c r="P2678" s="7">
        <f>VLOOKUP(OPERAC[[#This Row],[especie]],[1]!ESPECIES[#All],6,0)</f>
        <v/>
      </c>
      <c r="Q2678" s="7">
        <f>IF(N2678&lt;&gt;0,P2678*N2678,0)</f>
        <v/>
      </c>
      <c r="R2678" s="8">
        <f>IF(Q2678&lt;&gt;0,Q2678+H2678+L2678,0)</f>
        <v/>
      </c>
      <c r="S2678" s="9">
        <f>VLOOKUP(OPERAC[[#This Row],[especie]],[1]!ESPECIES[#Data],9,FALSE)</f>
        <v/>
      </c>
    </row>
    <row r="2679">
      <c r="A2679" s="4" t="n">
        <v>22399</v>
      </c>
      <c r="B2679" s="5" t="n">
        <v>44671</v>
      </c>
      <c r="C2679" s="13" t="inlineStr">
        <is>
          <t>CPR</t>
        </is>
      </c>
      <c r="D2679" s="13" t="n">
        <v>42</v>
      </c>
      <c r="E2679" s="10">
        <f>IF(D2679&gt;0,VLOOKUP(OPERAC[[#This Row],[COD CART]],[1]!MatrizCortoLargoCyl[#All],3,0),"")</f>
        <v/>
      </c>
      <c r="F2679" s="13" t="inlineStr">
        <is>
          <t>TLT</t>
        </is>
      </c>
      <c r="G2679" s="6" t="n">
        <v>4</v>
      </c>
      <c r="H2679" s="6" t="n">
        <v>-490.25202</v>
      </c>
      <c r="I2679" s="7">
        <f>-H2679/G2679</f>
        <v/>
      </c>
      <c r="J2679" s="11" t="n"/>
      <c r="K2679" s="6" t="n"/>
      <c r="L2679" s="6" t="n"/>
      <c r="M2679" s="7">
        <f>IF(N2679=0,+L2679+H2679,0)</f>
        <v/>
      </c>
      <c r="N2679" s="7">
        <f>IF((+G2679-K2679)=0,0,+G2679-K2679)</f>
        <v/>
      </c>
      <c r="O2679" s="7">
        <f>IF(N2679=0,0,(L2679+H2679)/-N2679)</f>
        <v/>
      </c>
      <c r="P2679" s="7">
        <f>VLOOKUP(OPERAC[[#This Row],[especie]],[1]!ESPECIES[#All],6,0)</f>
        <v/>
      </c>
      <c r="Q2679" s="7">
        <f>IF(N2679&lt;&gt;0,P2679*N2679,0)</f>
        <v/>
      </c>
      <c r="R2679" s="8">
        <f>IF(Q2679&lt;&gt;0,Q2679+H2679+L2679,0)</f>
        <v/>
      </c>
      <c r="S2679" s="9">
        <f>VLOOKUP(OPERAC[[#This Row],[especie]],[1]!ESPECIES[#Data],9,FALSE)</f>
        <v/>
      </c>
    </row>
    <row r="2680">
      <c r="A2680" s="4" t="n">
        <v>11168</v>
      </c>
      <c r="B2680" s="5" t="n">
        <v>44536</v>
      </c>
      <c r="C2680" s="13" t="inlineStr">
        <is>
          <t>CPR</t>
        </is>
      </c>
      <c r="D2680" s="13" t="n">
        <v>43</v>
      </c>
      <c r="E2680" s="10">
        <f>IF(D2680&gt;0,VLOOKUP(OPERAC[[#This Row],[COD CART]],[1]!MatrizCortoLargoCyl[#All],3,0),"")</f>
        <v/>
      </c>
      <c r="F2680" s="13" t="inlineStr">
        <is>
          <t>XSPA/CYL-PUT/1,50/20-01-23</t>
        </is>
      </c>
      <c r="G2680" s="6" t="n">
        <v>1100</v>
      </c>
      <c r="H2680" s="6">
        <f>-0.4462*OPERAC[[#This Row],[cantidad]]</f>
        <v/>
      </c>
      <c r="I2680" s="7">
        <f>-H2680/G2680</f>
        <v/>
      </c>
      <c r="J2680" s="11" t="n">
        <v>44712</v>
      </c>
      <c r="K2680" s="6" t="n">
        <v>1100</v>
      </c>
      <c r="L2680" s="6" t="n">
        <v>655.075</v>
      </c>
      <c r="M2680" s="7">
        <f>IF(N2680=0,+L2680+H2680,0)</f>
        <v/>
      </c>
      <c r="N2680" s="7">
        <f>IF((+G2680-K2680)=0,0,+G2680-K2680)</f>
        <v/>
      </c>
      <c r="O2680" s="7">
        <f>IF(N2680=0,0,(L2680+H2680)/-N2680)</f>
        <v/>
      </c>
      <c r="P2680" s="7">
        <f>VLOOKUP(OPERAC[[#This Row],[especie]],[1]!ESPECIES[#All],6,0)</f>
        <v/>
      </c>
      <c r="Q2680" s="7">
        <f>IF(N2680&lt;&gt;0,P2680*N2680,0)</f>
        <v/>
      </c>
      <c r="R2680" s="8">
        <f>IF(Q2680&lt;&gt;0,Q2680+H2680+L2680,0)</f>
        <v/>
      </c>
      <c r="S2680" s="9">
        <f>VLOOKUP(OPERAC[[#This Row],[especie]],[1]!ESPECIES[#Data],9,FALSE)</f>
        <v/>
      </c>
    </row>
    <row r="2681">
      <c r="A2681" s="4" t="n">
        <v>3818</v>
      </c>
      <c r="B2681" s="5" t="n">
        <v>44587</v>
      </c>
      <c r="C2681" s="13" t="inlineStr">
        <is>
          <t>CPR</t>
        </is>
      </c>
      <c r="D2681" s="13" t="n">
        <v>40</v>
      </c>
      <c r="E2681" s="10">
        <f>IF(D2681&gt;0,VLOOKUP(OPERAC[[#This Row],[COD CART]],[1]!MatrizCortoLargoCyl[#All],3,0),"")</f>
        <v/>
      </c>
      <c r="F2681" s="13" t="inlineStr">
        <is>
          <t>AAPL</t>
        </is>
      </c>
      <c r="G2681" s="6" t="n">
        <v>3</v>
      </c>
      <c r="H2681" s="6" t="n">
        <v>-492.16326</v>
      </c>
      <c r="I2681" s="7">
        <f>-H2681/G2681</f>
        <v/>
      </c>
      <c r="J2681" s="11" t="n">
        <v>44600</v>
      </c>
      <c r="K2681" s="6" t="n">
        <v>3</v>
      </c>
      <c r="L2681" s="6">
        <f>172*3</f>
        <v/>
      </c>
      <c r="M2681" s="7">
        <f>IF(N2681=0,+L2681+H2681,0)</f>
        <v/>
      </c>
      <c r="N2681" s="7">
        <f>IF((+G2681-K2681)=0,0,+G2681-K2681)</f>
        <v/>
      </c>
      <c r="O2681" s="7">
        <f>IF(N2681=0,0,(L2681+H2681)/-N2681)</f>
        <v/>
      </c>
      <c r="P2681" s="7">
        <f>VLOOKUP(OPERAC[[#This Row],[especie]],[1]!ESPECIES[#All],6,0)</f>
        <v/>
      </c>
      <c r="Q2681" s="7">
        <f>IF(N2681&lt;&gt;0,P2681*N2681,0)</f>
        <v/>
      </c>
      <c r="R2681" s="8">
        <f>IF(Q2681&lt;&gt;0,Q2681+H2681+L2681,0)</f>
        <v/>
      </c>
      <c r="S2681" s="9">
        <f>VLOOKUP(OPERAC[[#This Row],[especie]],[1]!ESPECIES[#Data],9,FALSE)</f>
        <v/>
      </c>
    </row>
    <row r="2682">
      <c r="A2682" s="4" t="n">
        <v>16833</v>
      </c>
      <c r="B2682" s="5" t="n">
        <v>44587</v>
      </c>
      <c r="C2682" s="13" t="inlineStr">
        <is>
          <t>CPR</t>
        </is>
      </c>
      <c r="D2682" s="13" t="n">
        <v>40</v>
      </c>
      <c r="E2682" s="10">
        <f>IF(D2682&gt;0,VLOOKUP(OPERAC[[#This Row],[COD CART]],[1]!MatrizCortoLargoCyl[#All],3,0),"")</f>
        <v/>
      </c>
      <c r="F2682" s="13" t="inlineStr">
        <is>
          <t>AAPL</t>
        </is>
      </c>
      <c r="G2682" s="6" t="n">
        <v>3</v>
      </c>
      <c r="H2682" s="6" t="n">
        <v>-492.16326</v>
      </c>
      <c r="I2682" s="7">
        <f>-H2682/G2682</f>
        <v/>
      </c>
      <c r="J2682" s="11" t="n">
        <v>44601</v>
      </c>
      <c r="K2682" s="6" t="n">
        <v>3</v>
      </c>
      <c r="L2682" s="6">
        <f>175.66*OPERAC[[#This Row],[cantidad venta]]</f>
        <v/>
      </c>
      <c r="M2682" s="7">
        <f>IF(N2682=0,+L2682+H2682,0)</f>
        <v/>
      </c>
      <c r="N2682" s="7">
        <f>IF((+G2682-K2682)=0,0,+G2682-K2682)</f>
        <v/>
      </c>
      <c r="O2682" s="7">
        <f>IF(N2682=0,0,(L2682+H2682)/-N2682)</f>
        <v/>
      </c>
      <c r="P2682" s="7">
        <f>VLOOKUP(OPERAC[[#This Row],[especie]],[1]!ESPECIES[#All],6,0)</f>
        <v/>
      </c>
      <c r="Q2682" s="7">
        <f>IF(N2682&lt;&gt;0,P2682*N2682,0)</f>
        <v/>
      </c>
      <c r="R2682" s="8">
        <f>IF(Q2682&lt;&gt;0,Q2682+H2682+L2682,0)</f>
        <v/>
      </c>
      <c r="S2682" s="9">
        <f>VLOOKUP(OPERAC[[#This Row],[especie]],[1]!ESPECIES[#Data],9,FALSE)</f>
        <v/>
      </c>
    </row>
    <row r="2683">
      <c r="A2683" s="4" t="n">
        <v>11168</v>
      </c>
      <c r="B2683" s="5" t="n">
        <v>44587</v>
      </c>
      <c r="C2683" s="13" t="inlineStr">
        <is>
          <t>CPR</t>
        </is>
      </c>
      <c r="D2683" s="13" t="n">
        <v>40</v>
      </c>
      <c r="E2683" s="10">
        <f>IF(D2683&gt;0,VLOOKUP(OPERAC[[#This Row],[COD CART]],[1]!MatrizCortoLargoCyl[#All],3,0),"")</f>
        <v/>
      </c>
      <c r="F2683" s="13" t="inlineStr">
        <is>
          <t>AAPL</t>
        </is>
      </c>
      <c r="G2683" s="6" t="n">
        <v>3</v>
      </c>
      <c r="H2683" s="6" t="n">
        <v>-492.16326</v>
      </c>
      <c r="I2683" s="7">
        <f>-H2683/G2683</f>
        <v/>
      </c>
      <c r="J2683" s="11" t="n">
        <v>44601</v>
      </c>
      <c r="K2683" s="6" t="n">
        <v>3</v>
      </c>
      <c r="L2683" s="6">
        <f>175.66*OPERAC[[#This Row],[cantidad venta]]</f>
        <v/>
      </c>
      <c r="M2683" s="7">
        <f>IF(N2683=0,+L2683+H2683,0)</f>
        <v/>
      </c>
      <c r="N2683" s="7">
        <f>IF((+G2683-K2683)=0,0,+G2683-K2683)</f>
        <v/>
      </c>
      <c r="O2683" s="7">
        <f>IF(N2683=0,0,(L2683+H2683)/-N2683)</f>
        <v/>
      </c>
      <c r="P2683" s="7">
        <f>VLOOKUP(OPERAC[[#This Row],[especie]],[1]!ESPECIES[#All],6,0)</f>
        <v/>
      </c>
      <c r="Q2683" s="7">
        <f>IF(N2683&lt;&gt;0,P2683*N2683,0)</f>
        <v/>
      </c>
      <c r="R2683" s="8">
        <f>IF(Q2683&lt;&gt;0,Q2683+H2683+L2683,0)</f>
        <v/>
      </c>
      <c r="S2683" s="9">
        <f>VLOOKUP(OPERAC[[#This Row],[especie]],[1]!ESPECIES[#Data],9,FALSE)</f>
        <v/>
      </c>
    </row>
    <row r="2684">
      <c r="A2684" s="4" t="n">
        <v>12022</v>
      </c>
      <c r="B2684" s="5" t="n">
        <v>44623</v>
      </c>
      <c r="C2684" s="13" t="inlineStr">
        <is>
          <t>CPR</t>
        </is>
      </c>
      <c r="D2684" s="13" t="n">
        <v>41</v>
      </c>
      <c r="E2684" s="10">
        <f>IF(D2684&gt;0,VLOOKUP(OPERAC[[#This Row],[COD CART]],[1]!MatrizCortoLargoCyl[#All],3,0),"")</f>
        <v/>
      </c>
      <c r="F2684" s="13" t="inlineStr">
        <is>
          <t>ERUS</t>
        </is>
      </c>
      <c r="G2684" s="6" t="n">
        <v>65</v>
      </c>
      <c r="H2684" s="6" t="n">
        <v>-493.383</v>
      </c>
      <c r="I2684" s="7">
        <f>-H2684/G2684</f>
        <v/>
      </c>
      <c r="J2684" s="11" t="n"/>
      <c r="K2684" s="6" t="n"/>
      <c r="L2684" s="6" t="n"/>
      <c r="M2684" s="7">
        <f>IF(N2684=0,+L2684+H2684,0)</f>
        <v/>
      </c>
      <c r="N2684" s="7">
        <f>IF((+G2684-K2684)=0,0,+G2684-K2684)</f>
        <v/>
      </c>
      <c r="O2684" s="7">
        <f>IF(N2684=0,0,(L2684+H2684)/-N2684)</f>
        <v/>
      </c>
      <c r="P2684" s="7">
        <f>VLOOKUP(OPERAC[[#This Row],[especie]],[1]!ESPECIES[#All],6,0)</f>
        <v/>
      </c>
      <c r="Q2684" s="7">
        <f>IF(N2684&lt;&gt;0,P2684*N2684,0)</f>
        <v/>
      </c>
      <c r="R2684" s="8">
        <f>IF(Q2684&lt;&gt;0,Q2684+H2684+L2684,0)</f>
        <v/>
      </c>
      <c r="S2684" s="9">
        <f>VLOOKUP(OPERAC[[#This Row],[especie]],[1]!ESPECIES[#Data],9,FALSE)</f>
        <v/>
      </c>
    </row>
    <row r="2685">
      <c r="A2685" s="4" t="n">
        <v>2194</v>
      </c>
      <c r="B2685" s="5" t="n">
        <v>44664</v>
      </c>
      <c r="C2685" s="13" t="inlineStr">
        <is>
          <t>CPR</t>
        </is>
      </c>
      <c r="D2685" s="13" t="n">
        <v>42</v>
      </c>
      <c r="E2685" s="10">
        <f>IF(D2685&gt;0,VLOOKUP(OPERAC[[#This Row],[COD CART]],[1]!MatrizCortoLargoCyl[#All],3,0),"")</f>
        <v/>
      </c>
      <c r="F2685" s="13" t="inlineStr">
        <is>
          <t>AMD</t>
        </is>
      </c>
      <c r="G2685" s="6" t="n">
        <v>5</v>
      </c>
      <c r="H2685" s="6" t="n">
        <v>-493.85327265</v>
      </c>
      <c r="I2685" s="7">
        <f>-H2685/G2685</f>
        <v/>
      </c>
      <c r="J2685" s="11" t="n">
        <v>44686</v>
      </c>
      <c r="K2685" s="6" t="n">
        <v>5</v>
      </c>
      <c r="L2685" s="6">
        <f>+OPERAC[[#This Row],[cantidad venta]]*95.353</f>
        <v/>
      </c>
      <c r="M2685" s="7">
        <f>IF(N2685=0,+L2685+H2685,0)</f>
        <v/>
      </c>
      <c r="N2685" s="7">
        <f>IF((+G2685-K2685)=0,0,+G2685-K2685)</f>
        <v/>
      </c>
      <c r="O2685" s="7">
        <f>IF(N2685=0,0,(L2685+H2685)/-N2685)</f>
        <v/>
      </c>
      <c r="P2685" s="7">
        <f>VLOOKUP(OPERAC[[#This Row],[especie]],[1]!ESPECIES[#All],6,0)</f>
        <v/>
      </c>
      <c r="Q2685" s="7">
        <f>IF(N2685&lt;&gt;0,P2685*N2685,0)</f>
        <v/>
      </c>
      <c r="R2685" s="8">
        <f>IF(Q2685&lt;&gt;0,Q2685+H2685+L2685,0)</f>
        <v/>
      </c>
      <c r="S2685" s="9">
        <f>VLOOKUP(OPERAC[[#This Row],[especie]],[1]!ESPECIES[#Data],9,FALSE)</f>
        <v/>
      </c>
    </row>
    <row r="2686">
      <c r="A2686" s="4" t="n">
        <v>2217</v>
      </c>
      <c r="B2686" s="5" t="n">
        <v>44664</v>
      </c>
      <c r="C2686" s="13" t="inlineStr">
        <is>
          <t>CPR</t>
        </is>
      </c>
      <c r="D2686" s="13" t="n">
        <v>42</v>
      </c>
      <c r="E2686" s="10">
        <f>IF(D2686&gt;0,VLOOKUP(OPERAC[[#This Row],[COD CART]],[1]!MatrizCortoLargoCyl[#All],3,0),"")</f>
        <v/>
      </c>
      <c r="F2686" s="13" t="inlineStr">
        <is>
          <t>AMD</t>
        </is>
      </c>
      <c r="G2686" s="6" t="n">
        <v>5</v>
      </c>
      <c r="H2686" s="6" t="n">
        <v>-493.85327265</v>
      </c>
      <c r="I2686" s="7">
        <f>-H2686/G2686</f>
        <v/>
      </c>
      <c r="J2686" s="11" t="n">
        <v>44693</v>
      </c>
      <c r="K2686" s="6" t="n">
        <v>5</v>
      </c>
      <c r="L2686" s="6">
        <f>+OPERAC[[#This Row],[cantidad venta]]*83.148</f>
        <v/>
      </c>
      <c r="M2686" s="7">
        <f>IF(N2686=0,+L2686+H2686,0)</f>
        <v/>
      </c>
      <c r="N2686" s="7">
        <f>IF((+G2686-K2686)=0,0,+G2686-K2686)</f>
        <v/>
      </c>
      <c r="O2686" s="7">
        <f>IF(N2686=0,0,(L2686+H2686)/-N2686)</f>
        <v/>
      </c>
      <c r="P2686" s="7">
        <f>VLOOKUP(OPERAC[[#This Row],[especie]],[1]!ESPECIES[#All],6,0)</f>
        <v/>
      </c>
      <c r="Q2686" s="7">
        <f>IF(N2686&lt;&gt;0,P2686*N2686,0)</f>
        <v/>
      </c>
      <c r="R2686" s="8">
        <f>IF(Q2686&lt;&gt;0,Q2686+H2686+L2686,0)</f>
        <v/>
      </c>
      <c r="S2686" s="9">
        <f>VLOOKUP(OPERAC[[#This Row],[especie]],[1]!ESPECIES[#Data],9,FALSE)</f>
        <v/>
      </c>
    </row>
    <row r="2687">
      <c r="A2687" s="4" t="n">
        <v>2257</v>
      </c>
      <c r="B2687" s="5" t="n">
        <v>44664</v>
      </c>
      <c r="C2687" s="13" t="inlineStr">
        <is>
          <t>CPR</t>
        </is>
      </c>
      <c r="D2687" s="13" t="n">
        <v>42</v>
      </c>
      <c r="E2687" s="10">
        <f>IF(D2687&gt;0,VLOOKUP(OPERAC[[#This Row],[COD CART]],[1]!MatrizCortoLargoCyl[#All],3,0),"")</f>
        <v/>
      </c>
      <c r="F2687" s="13" t="inlineStr">
        <is>
          <t>AMD</t>
        </is>
      </c>
      <c r="G2687" s="6" t="n">
        <v>5</v>
      </c>
      <c r="H2687" s="6" t="n">
        <v>-493.85327265</v>
      </c>
      <c r="I2687" s="7">
        <f>-H2687/G2687</f>
        <v/>
      </c>
      <c r="J2687" s="11" t="n">
        <v>44693</v>
      </c>
      <c r="K2687" s="6" t="n">
        <v>5</v>
      </c>
      <c r="L2687" s="6" t="n">
        <v>415.74</v>
      </c>
      <c r="M2687" s="7">
        <f>IF(N2687=0,+L2687+H2687,0)</f>
        <v/>
      </c>
      <c r="N2687" s="7">
        <f>IF((+G2687-K2687)=0,0,+G2687-K2687)</f>
        <v/>
      </c>
      <c r="O2687" s="7">
        <f>IF(N2687=0,0,(L2687+H2687)/-N2687)</f>
        <v/>
      </c>
      <c r="P2687" s="7">
        <f>VLOOKUP(OPERAC[[#This Row],[especie]],[1]!ESPECIES[#All],6,0)</f>
        <v/>
      </c>
      <c r="Q2687" s="7">
        <f>IF(N2687&lt;&gt;0,P2687*N2687,0)</f>
        <v/>
      </c>
      <c r="R2687" s="8">
        <f>IF(Q2687&lt;&gt;0,Q2687+H2687+L2687,0)</f>
        <v/>
      </c>
      <c r="S2687" s="9">
        <f>VLOOKUP(OPERAC[[#This Row],[especie]],[1]!ESPECIES[#Data],9,FALSE)</f>
        <v/>
      </c>
    </row>
    <row r="2688">
      <c r="A2688" s="4" t="n">
        <v>4543</v>
      </c>
      <c r="B2688" s="5" t="n">
        <v>44664</v>
      </c>
      <c r="C2688" s="13" t="inlineStr">
        <is>
          <t>CPR</t>
        </is>
      </c>
      <c r="D2688" s="13" t="n">
        <v>42</v>
      </c>
      <c r="E2688" s="10">
        <f>IF(D2688&gt;0,VLOOKUP(OPERAC[[#This Row],[COD CART]],[1]!MatrizCortoLargoCyl[#All],3,0),"")</f>
        <v/>
      </c>
      <c r="F2688" s="13" t="inlineStr">
        <is>
          <t>AMD</t>
        </is>
      </c>
      <c r="G2688" s="6" t="n">
        <v>5</v>
      </c>
      <c r="H2688" s="6" t="n">
        <v>-493.85327265</v>
      </c>
      <c r="I2688" s="7">
        <f>-H2688/G2688</f>
        <v/>
      </c>
      <c r="J2688" s="11" t="n">
        <v>44693</v>
      </c>
      <c r="K2688" s="6" t="n">
        <v>5</v>
      </c>
      <c r="L2688" s="6" t="n">
        <v>424.587</v>
      </c>
      <c r="M2688" s="7">
        <f>IF(N2688=0,+L2688+H2688,0)</f>
        <v/>
      </c>
      <c r="N2688" s="7">
        <f>IF((+G2688-K2688)=0,0,+G2688-K2688)</f>
        <v/>
      </c>
      <c r="O2688" s="7">
        <f>IF(N2688=0,0,(L2688+H2688)/-N2688)</f>
        <v/>
      </c>
      <c r="P2688" s="7">
        <f>VLOOKUP(OPERAC[[#This Row],[especie]],[1]!ESPECIES[#All],6,0)</f>
        <v/>
      </c>
      <c r="Q2688" s="7">
        <f>IF(N2688&lt;&gt;0,P2688*N2688,0)</f>
        <v/>
      </c>
      <c r="R2688" s="8">
        <f>IF(Q2688&lt;&gt;0,Q2688+H2688+L2688,0)</f>
        <v/>
      </c>
      <c r="S2688" s="9">
        <f>VLOOKUP(OPERAC[[#This Row],[especie]],[1]!ESPECIES[#Data],9,FALSE)</f>
        <v/>
      </c>
    </row>
    <row r="2689">
      <c r="A2689" s="4" t="n">
        <v>6628</v>
      </c>
      <c r="B2689" s="5" t="n">
        <v>44664</v>
      </c>
      <c r="C2689" s="13" t="inlineStr">
        <is>
          <t>CPR</t>
        </is>
      </c>
      <c r="D2689" s="13" t="n">
        <v>42</v>
      </c>
      <c r="E2689" s="10">
        <f>IF(D2689&gt;0,VLOOKUP(OPERAC[[#This Row],[COD CART]],[1]!MatrizCortoLargoCyl[#All],3,0),"")</f>
        <v/>
      </c>
      <c r="F2689" s="13" t="inlineStr">
        <is>
          <t>AMD</t>
        </is>
      </c>
      <c r="G2689" s="6" t="n">
        <v>5</v>
      </c>
      <c r="H2689" s="6" t="n">
        <v>-493.85327265</v>
      </c>
      <c r="I2689" s="7">
        <f>-H2689/G2689</f>
        <v/>
      </c>
      <c r="J2689" s="11" t="n">
        <v>44693</v>
      </c>
      <c r="K2689" s="6" t="n">
        <v>5</v>
      </c>
      <c r="L2689" s="6" t="n">
        <v>424.587</v>
      </c>
      <c r="M2689" s="7">
        <f>IF(N2689=0,+L2689+H2689,0)</f>
        <v/>
      </c>
      <c r="N2689" s="7">
        <f>IF((+G2689-K2689)=0,0,+G2689-K2689)</f>
        <v/>
      </c>
      <c r="O2689" s="7">
        <f>IF(N2689=0,0,(L2689+H2689)/-N2689)</f>
        <v/>
      </c>
      <c r="P2689" s="7">
        <f>VLOOKUP(OPERAC[[#This Row],[especie]],[1]!ESPECIES[#All],6,0)</f>
        <v/>
      </c>
      <c r="Q2689" s="7">
        <f>IF(N2689&lt;&gt;0,P2689*N2689,0)</f>
        <v/>
      </c>
      <c r="R2689" s="8">
        <f>IF(Q2689&lt;&gt;0,Q2689+H2689+L2689,0)</f>
        <v/>
      </c>
      <c r="S2689" s="9">
        <f>VLOOKUP(OPERAC[[#This Row],[especie]],[1]!ESPECIES[#Data],9,FALSE)</f>
        <v/>
      </c>
    </row>
    <row r="2690">
      <c r="A2690" s="4" t="n">
        <v>7895</v>
      </c>
      <c r="B2690" s="5" t="n">
        <v>44664</v>
      </c>
      <c r="C2690" s="13" t="inlineStr">
        <is>
          <t>CPR</t>
        </is>
      </c>
      <c r="D2690" s="13" t="n">
        <v>42</v>
      </c>
      <c r="E2690" s="10">
        <f>IF(D2690&gt;0,VLOOKUP(OPERAC[[#This Row],[COD CART]],[1]!MatrizCortoLargoCyl[#All],3,0),"")</f>
        <v/>
      </c>
      <c r="F2690" s="13" t="inlineStr">
        <is>
          <t>AMD</t>
        </is>
      </c>
      <c r="G2690" s="6" t="n">
        <v>5</v>
      </c>
      <c r="H2690" s="6" t="n">
        <v>-493.85327265</v>
      </c>
      <c r="I2690" s="7">
        <f>-H2690/G2690</f>
        <v/>
      </c>
      <c r="J2690" s="11" t="n">
        <v>44693</v>
      </c>
      <c r="K2690" s="6" t="n">
        <v>5</v>
      </c>
      <c r="L2690" s="6" t="n">
        <v>424.587</v>
      </c>
      <c r="M2690" s="7">
        <f>IF(N2690=0,+L2690+H2690,0)</f>
        <v/>
      </c>
      <c r="N2690" s="7">
        <f>IF((+G2690-K2690)=0,0,+G2690-K2690)</f>
        <v/>
      </c>
      <c r="O2690" s="7">
        <f>IF(N2690=0,0,(L2690+H2690)/-N2690)</f>
        <v/>
      </c>
      <c r="P2690" s="7">
        <f>VLOOKUP(OPERAC[[#This Row],[especie]],[1]!ESPECIES[#All],6,0)</f>
        <v/>
      </c>
      <c r="Q2690" s="7">
        <f>IF(N2690&lt;&gt;0,P2690*N2690,0)</f>
        <v/>
      </c>
      <c r="R2690" s="8">
        <f>IF(Q2690&lt;&gt;0,Q2690+H2690+L2690,0)</f>
        <v/>
      </c>
      <c r="S2690" s="9">
        <f>VLOOKUP(OPERAC[[#This Row],[especie]],[1]!ESPECIES[#Data],9,FALSE)</f>
        <v/>
      </c>
    </row>
    <row r="2691">
      <c r="A2691" s="4" t="n">
        <v>7916</v>
      </c>
      <c r="B2691" s="5" t="n">
        <v>44664</v>
      </c>
      <c r="C2691" s="13" t="inlineStr">
        <is>
          <t>CPR</t>
        </is>
      </c>
      <c r="D2691" s="13" t="n">
        <v>42</v>
      </c>
      <c r="E2691" s="10">
        <f>IF(D2691&gt;0,VLOOKUP(OPERAC[[#This Row],[COD CART]],[1]!MatrizCortoLargoCyl[#All],3,0),"")</f>
        <v/>
      </c>
      <c r="F2691" s="13" t="inlineStr">
        <is>
          <t>AMD</t>
        </is>
      </c>
      <c r="G2691" s="6" t="n">
        <v>5</v>
      </c>
      <c r="H2691" s="6" t="n">
        <v>-493.85327265</v>
      </c>
      <c r="I2691" s="7">
        <f>-H2691/G2691</f>
        <v/>
      </c>
      <c r="J2691" s="11" t="n">
        <v>44693</v>
      </c>
      <c r="K2691" s="6" t="n">
        <v>5</v>
      </c>
      <c r="L2691" s="6">
        <f>+OPERAC[[#This Row],[cantidad venta]]*85.265</f>
        <v/>
      </c>
      <c r="M2691" s="7">
        <f>IF(N2691=0,+L2691+H2691,0)</f>
        <v/>
      </c>
      <c r="N2691" s="7">
        <f>IF((+G2691-K2691)=0,0,+G2691-K2691)</f>
        <v/>
      </c>
      <c r="O2691" s="7">
        <f>IF(N2691=0,0,(L2691+H2691)/-N2691)</f>
        <v/>
      </c>
      <c r="P2691" s="7">
        <f>VLOOKUP(OPERAC[[#This Row],[especie]],[1]!ESPECIES[#All],6,0)</f>
        <v/>
      </c>
      <c r="Q2691" s="7">
        <f>IF(N2691&lt;&gt;0,P2691*N2691,0)</f>
        <v/>
      </c>
      <c r="R2691" s="8">
        <f>IF(Q2691&lt;&gt;0,Q2691+H2691+L2691,0)</f>
        <v/>
      </c>
      <c r="S2691" s="9">
        <f>VLOOKUP(OPERAC[[#This Row],[especie]],[1]!ESPECIES[#Data],9,FALSE)</f>
        <v/>
      </c>
    </row>
    <row r="2692">
      <c r="A2692" s="4" t="n">
        <v>13269</v>
      </c>
      <c r="B2692" s="5" t="n">
        <v>44664</v>
      </c>
      <c r="C2692" s="13" t="inlineStr">
        <is>
          <t>CPR</t>
        </is>
      </c>
      <c r="D2692" s="13" t="n">
        <v>42</v>
      </c>
      <c r="E2692" s="10">
        <f>IF(D2692&gt;0,VLOOKUP(OPERAC[[#This Row],[COD CART]],[1]!MatrizCortoLargoCyl[#All],3,0),"")</f>
        <v/>
      </c>
      <c r="F2692" s="13" t="inlineStr">
        <is>
          <t>AMD</t>
        </is>
      </c>
      <c r="G2692" s="6" t="n">
        <v>5</v>
      </c>
      <c r="H2692" s="6" t="n">
        <v>-493.85327265</v>
      </c>
      <c r="I2692" s="7">
        <f>-H2692/G2692</f>
        <v/>
      </c>
      <c r="J2692" s="11" t="n">
        <v>44693</v>
      </c>
      <c r="K2692" s="6">
        <f>+OPERAC[[#This Row],[cantidad]]</f>
        <v/>
      </c>
      <c r="L2692" s="6">
        <f>+OPERAC[[#This Row],[cantidad venta]]*85.26</f>
        <v/>
      </c>
      <c r="M2692" s="7">
        <f>IF(N2692=0,+L2692+H2692,0)</f>
        <v/>
      </c>
      <c r="N2692" s="7">
        <f>IF((+G2692-K2692)=0,0,+G2692-K2692)</f>
        <v/>
      </c>
      <c r="O2692" s="7">
        <f>IF(N2692=0,0,(L2692+H2692)/-N2692)</f>
        <v/>
      </c>
      <c r="P2692" s="7">
        <f>VLOOKUP(OPERAC[[#This Row],[especie]],[1]!ESPECIES[#All],6,0)</f>
        <v/>
      </c>
      <c r="Q2692" s="7">
        <f>IF(N2692&lt;&gt;0,P2692*N2692,0)</f>
        <v/>
      </c>
      <c r="R2692" s="8">
        <f>IF(Q2692&lt;&gt;0,Q2692+H2692+L2692,0)</f>
        <v/>
      </c>
      <c r="S2692" s="9">
        <f>VLOOKUP(OPERAC[[#This Row],[especie]],[1]!ESPECIES[#Data],9,FALSE)</f>
        <v/>
      </c>
    </row>
    <row r="2693">
      <c r="A2693" s="4" t="n">
        <v>16786</v>
      </c>
      <c r="B2693" s="5" t="n">
        <v>44664</v>
      </c>
      <c r="C2693" s="13" t="inlineStr">
        <is>
          <t>CPR</t>
        </is>
      </c>
      <c r="D2693" s="13" t="n">
        <v>42</v>
      </c>
      <c r="E2693" s="10">
        <f>IF(D2693&gt;0,VLOOKUP(OPERAC[[#This Row],[COD CART]],[1]!MatrizCortoLargoCyl[#All],3,0),"")</f>
        <v/>
      </c>
      <c r="F2693" s="13" t="inlineStr">
        <is>
          <t>AMD</t>
        </is>
      </c>
      <c r="G2693" s="6" t="n">
        <v>5</v>
      </c>
      <c r="H2693" s="6" t="n">
        <v>-493.85327265</v>
      </c>
      <c r="I2693" s="7">
        <f>-H2693/G2693</f>
        <v/>
      </c>
      <c r="J2693" s="11" t="n">
        <v>44693</v>
      </c>
      <c r="K2693" s="6">
        <f>+OPERAC[[#This Row],[cantidad]]</f>
        <v/>
      </c>
      <c r="L2693" s="6">
        <f>+OPERAC[[#This Row],[cantidad venta]]*85.26</f>
        <v/>
      </c>
      <c r="M2693" s="7">
        <f>IF(N2693=0,+L2693+H2693,0)</f>
        <v/>
      </c>
      <c r="N2693" s="7">
        <f>IF((+G2693-K2693)=0,0,+G2693-K2693)</f>
        <v/>
      </c>
      <c r="O2693" s="7">
        <f>IF(N2693=0,0,(L2693+H2693)/-N2693)</f>
        <v/>
      </c>
      <c r="P2693" s="7">
        <f>VLOOKUP(OPERAC[[#This Row],[especie]],[1]!ESPECIES[#All],6,0)</f>
        <v/>
      </c>
      <c r="Q2693" s="7">
        <f>IF(N2693&lt;&gt;0,P2693*N2693,0)</f>
        <v/>
      </c>
      <c r="R2693" s="8">
        <f>IF(Q2693&lt;&gt;0,Q2693+H2693+L2693,0)</f>
        <v/>
      </c>
      <c r="S2693" s="9">
        <f>VLOOKUP(OPERAC[[#This Row],[especie]],[1]!ESPECIES[#Data],9,FALSE)</f>
        <v/>
      </c>
    </row>
    <row r="2694">
      <c r="A2694" s="4" t="n">
        <v>18662</v>
      </c>
      <c r="B2694" s="5" t="n">
        <v>44664</v>
      </c>
      <c r="C2694" s="13" t="inlineStr">
        <is>
          <t>CPR</t>
        </is>
      </c>
      <c r="D2694" s="13" t="n">
        <v>42</v>
      </c>
      <c r="E2694" s="10">
        <f>IF(D2694&gt;0,VLOOKUP(OPERAC[[#This Row],[COD CART]],[1]!MatrizCortoLargoCyl[#All],3,0),"")</f>
        <v/>
      </c>
      <c r="F2694" s="13" t="inlineStr">
        <is>
          <t>AMD</t>
        </is>
      </c>
      <c r="G2694" s="6" t="n">
        <v>5</v>
      </c>
      <c r="H2694" s="6" t="n">
        <v>-493.85327265</v>
      </c>
      <c r="I2694" s="7">
        <f>-H2694/G2694</f>
        <v/>
      </c>
      <c r="J2694" s="11" t="n">
        <v>44713</v>
      </c>
      <c r="K2694" s="6" t="n">
        <v>5</v>
      </c>
      <c r="L2694" s="6">
        <f>100.792*3</f>
        <v/>
      </c>
      <c r="M2694" s="7">
        <f>IF(N2694=0,+L2694+H2694,0)</f>
        <v/>
      </c>
      <c r="N2694" s="7">
        <f>IF((+G2694-K2694)=0,0,+G2694-K2694)</f>
        <v/>
      </c>
      <c r="O2694" s="7">
        <f>IF(N2694=0,0,(L2694+H2694)/-N2694)</f>
        <v/>
      </c>
      <c r="P2694" s="7">
        <f>VLOOKUP(OPERAC[[#This Row],[especie]],[1]!ESPECIES[#All],6,0)</f>
        <v/>
      </c>
      <c r="Q2694" s="7">
        <f>IF(N2694&lt;&gt;0,P2694*N2694,0)</f>
        <v/>
      </c>
      <c r="R2694" s="8">
        <f>IF(Q2694&lt;&gt;0,Q2694+H2694+L2694,0)</f>
        <v/>
      </c>
      <c r="S2694" s="9">
        <f>VLOOKUP(OPERAC[[#This Row],[especie]],[1]!ESPECIES[#Data],9,FALSE)</f>
        <v/>
      </c>
    </row>
    <row r="2695">
      <c r="A2695" s="4" t="n">
        <v>22407</v>
      </c>
      <c r="B2695" s="5" t="n">
        <v>44664</v>
      </c>
      <c r="C2695" s="13" t="inlineStr">
        <is>
          <t>CPR</t>
        </is>
      </c>
      <c r="D2695" s="13" t="n">
        <v>42</v>
      </c>
      <c r="E2695" s="10">
        <f>IF(D2695&gt;0,VLOOKUP(OPERAC[[#This Row],[COD CART]],[1]!MatrizCortoLargoCyl[#All],3,0),"")</f>
        <v/>
      </c>
      <c r="F2695" s="13" t="inlineStr">
        <is>
          <t>AMD</t>
        </is>
      </c>
      <c r="G2695" s="6" t="n">
        <v>5</v>
      </c>
      <c r="H2695" s="6" t="n">
        <v>-493.85327265</v>
      </c>
      <c r="I2695" s="7">
        <f>-H2695/G2695</f>
        <v/>
      </c>
      <c r="J2695" s="11" t="n"/>
      <c r="K2695" s="6" t="n"/>
      <c r="L2695" s="6" t="n"/>
      <c r="M2695" s="7">
        <f>IF(N2695=0,+L2695+H2695,0)</f>
        <v/>
      </c>
      <c r="N2695" s="7">
        <f>IF((+G2695-K2695)=0,0,+G2695-K2695)</f>
        <v/>
      </c>
      <c r="O2695" s="7">
        <f>IF(N2695=0,0,(L2695+H2695)/-N2695)</f>
        <v/>
      </c>
      <c r="P2695" s="7">
        <f>VLOOKUP(OPERAC[[#This Row],[especie]],[1]!ESPECIES[#All],6,0)</f>
        <v/>
      </c>
      <c r="Q2695" s="7">
        <f>IF(N2695&lt;&gt;0,P2695*N2695,0)</f>
        <v/>
      </c>
      <c r="R2695" s="8">
        <f>IF(Q2695&lt;&gt;0,Q2695+H2695+L2695,0)</f>
        <v/>
      </c>
      <c r="S2695" s="9">
        <f>VLOOKUP(OPERAC[[#This Row],[especie]],[1]!ESPECIES[#Data],9,FALSE)</f>
        <v/>
      </c>
    </row>
    <row r="2696">
      <c r="A2696" s="4" t="n">
        <v>25070</v>
      </c>
      <c r="B2696" s="5" t="n">
        <v>44664</v>
      </c>
      <c r="C2696" s="13" t="inlineStr">
        <is>
          <t>CPR</t>
        </is>
      </c>
      <c r="D2696" s="13" t="n">
        <v>42</v>
      </c>
      <c r="E2696" s="10">
        <f>IF(D2696&gt;0,VLOOKUP(OPERAC[[#This Row],[COD CART]],[1]!MatrizCortoLargoCyl[#All],3,0),"")</f>
        <v/>
      </c>
      <c r="F2696" s="13" t="inlineStr">
        <is>
          <t>AMD</t>
        </is>
      </c>
      <c r="G2696" s="6" t="n">
        <v>5</v>
      </c>
      <c r="H2696" s="6" t="n">
        <v>-493.85327265</v>
      </c>
      <c r="I2696" s="7">
        <f>-H2696/G2696</f>
        <v/>
      </c>
      <c r="J2696" s="11" t="n">
        <v>44697</v>
      </c>
      <c r="K2696" s="6" t="n">
        <v>5</v>
      </c>
      <c r="L2696" s="6" t="n">
        <v>463.229</v>
      </c>
      <c r="M2696" s="7">
        <f>IF(N2696=0,+L2696+H2696,0)</f>
        <v/>
      </c>
      <c r="N2696" s="7">
        <f>IF((+G2696-K2696)=0,0,+G2696-K2696)</f>
        <v/>
      </c>
      <c r="O2696" s="7">
        <f>IF(N2696=0,0,(L2696+H2696)/-N2696)</f>
        <v/>
      </c>
      <c r="P2696" s="7">
        <f>VLOOKUP(OPERAC[[#This Row],[especie]],[1]!ESPECIES[#All],6,0)</f>
        <v/>
      </c>
      <c r="Q2696" s="7">
        <f>IF(N2696&lt;&gt;0,P2696*N2696,0)</f>
        <v/>
      </c>
      <c r="R2696" s="8">
        <f>IF(Q2696&lt;&gt;0,Q2696+H2696+L2696,0)</f>
        <v/>
      </c>
      <c r="S2696" s="9">
        <f>VLOOKUP(OPERAC[[#This Row],[especie]],[1]!ESPECIES[#Data],9,FALSE)</f>
        <v/>
      </c>
    </row>
    <row r="2697">
      <c r="A2697" s="4" t="n">
        <v>26138</v>
      </c>
      <c r="B2697" s="5" t="n">
        <v>44664</v>
      </c>
      <c r="C2697" s="13" t="inlineStr">
        <is>
          <t>CPR</t>
        </is>
      </c>
      <c r="D2697" s="13" t="n">
        <v>42</v>
      </c>
      <c r="E2697" s="10">
        <f>IF(D2697&gt;0,VLOOKUP(OPERAC[[#This Row],[COD CART]],[1]!MatrizCortoLargoCyl[#All],3,0),"")</f>
        <v/>
      </c>
      <c r="F2697" s="13" t="inlineStr">
        <is>
          <t>AMD</t>
        </is>
      </c>
      <c r="G2697" s="6" t="n">
        <v>5</v>
      </c>
      <c r="H2697" s="6" t="n">
        <v>-493.85327265</v>
      </c>
      <c r="I2697" s="7">
        <f>-H2697/G2697</f>
        <v/>
      </c>
      <c r="J2697" s="11" t="n">
        <v>44693</v>
      </c>
      <c r="K2697" s="6">
        <f>+OPERAC[[#This Row],[cantidad]]</f>
        <v/>
      </c>
      <c r="L2697" s="6">
        <f>+OPERAC[[#This Row],[cantidad venta]]*85.26</f>
        <v/>
      </c>
      <c r="M2697" s="7">
        <f>IF(N2697=0,+L2697+H2697,0)</f>
        <v/>
      </c>
      <c r="N2697" s="7">
        <f>IF((+G2697-K2697)=0,0,+G2697-K2697)</f>
        <v/>
      </c>
      <c r="O2697" s="7">
        <f>IF(N2697=0,0,(L2697+H2697)/-N2697)</f>
        <v/>
      </c>
      <c r="P2697" s="7">
        <f>VLOOKUP(OPERAC[[#This Row],[especie]],[1]!ESPECIES[#All],6,0)</f>
        <v/>
      </c>
      <c r="Q2697" s="7">
        <f>IF(N2697&lt;&gt;0,P2697*N2697,0)</f>
        <v/>
      </c>
      <c r="R2697" s="8">
        <f>IF(Q2697&lt;&gt;0,Q2697+H2697+L2697,0)</f>
        <v/>
      </c>
      <c r="S2697" s="9">
        <f>VLOOKUP(OPERAC[[#This Row],[especie]],[1]!ESPECIES[#Data],9,FALSE)</f>
        <v/>
      </c>
    </row>
    <row r="2698">
      <c r="A2698" s="4" t="n">
        <v>26140</v>
      </c>
      <c r="B2698" s="5" t="n">
        <v>44664</v>
      </c>
      <c r="C2698" s="13" t="inlineStr">
        <is>
          <t>CPR</t>
        </is>
      </c>
      <c r="D2698" s="13" t="n">
        <v>42</v>
      </c>
      <c r="E2698" s="10">
        <f>IF(D2698&gt;0,VLOOKUP(OPERAC[[#This Row],[COD CART]],[1]!MatrizCortoLargoCyl[#All],3,0),"")</f>
        <v/>
      </c>
      <c r="F2698" s="13" t="inlineStr">
        <is>
          <t>AMD</t>
        </is>
      </c>
      <c r="G2698" s="6" t="n">
        <v>5</v>
      </c>
      <c r="H2698" s="6" t="n">
        <v>-493.85327265</v>
      </c>
      <c r="I2698" s="7">
        <f>-H2698/G2698</f>
        <v/>
      </c>
      <c r="J2698" s="11" t="n">
        <v>44693</v>
      </c>
      <c r="K2698" s="6">
        <f>+OPERAC[[#This Row],[cantidad]]</f>
        <v/>
      </c>
      <c r="L2698" s="6">
        <f>+OPERAC[[#This Row],[cantidad venta]]*85.26</f>
        <v/>
      </c>
      <c r="M2698" s="7">
        <f>IF(N2698=0,+L2698+H2698,0)</f>
        <v/>
      </c>
      <c r="N2698" s="7">
        <f>IF((+G2698-K2698)=0,0,+G2698-K2698)</f>
        <v/>
      </c>
      <c r="O2698" s="7">
        <f>IF(N2698=0,0,(L2698+H2698)/-N2698)</f>
        <v/>
      </c>
      <c r="P2698" s="7">
        <f>VLOOKUP(OPERAC[[#This Row],[especie]],[1]!ESPECIES[#All],6,0)</f>
        <v/>
      </c>
      <c r="Q2698" s="7">
        <f>IF(N2698&lt;&gt;0,P2698*N2698,0)</f>
        <v/>
      </c>
      <c r="R2698" s="8">
        <f>IF(Q2698&lt;&gt;0,Q2698+H2698+L2698,0)</f>
        <v/>
      </c>
      <c r="S2698" s="9">
        <f>VLOOKUP(OPERAC[[#This Row],[especie]],[1]!ESPECIES[#Data],9,FALSE)</f>
        <v/>
      </c>
    </row>
    <row r="2699">
      <c r="A2699" s="4" t="n">
        <v>18705</v>
      </c>
      <c r="B2699" s="5" t="n">
        <v>44515</v>
      </c>
      <c r="C2699" s="13" t="inlineStr">
        <is>
          <t>CPR</t>
        </is>
      </c>
      <c r="D2699" s="13" t="n">
        <v>41</v>
      </c>
      <c r="E2699" s="10">
        <f>IF(D2699&gt;0,VLOOKUP(OPERAC[[#This Row],[COD CART]],[1]!MatrizCortoLargoCyl[#All],3,0),"")</f>
        <v/>
      </c>
      <c r="F2699" s="13" t="inlineStr">
        <is>
          <t>JO</t>
        </is>
      </c>
      <c r="G2699" s="6" t="n">
        <v>8</v>
      </c>
      <c r="H2699" s="6" t="n">
        <v>-494.92</v>
      </c>
      <c r="I2699" s="7">
        <f>-H2699/G2699</f>
        <v/>
      </c>
      <c r="J2699" s="11" t="n">
        <v>44610</v>
      </c>
      <c r="K2699" s="6" t="n">
        <v>4</v>
      </c>
      <c r="L2699" s="6" t="n">
        <v>261.642</v>
      </c>
      <c r="M2699" s="7">
        <f>IF(N2699=0,+L2699+H2699,0)</f>
        <v/>
      </c>
      <c r="N2699" s="7">
        <f>IF((+G2699-K2699)=0,0,+G2699-K2699)</f>
        <v/>
      </c>
      <c r="O2699" s="7">
        <f>IF(N2699=0,0,(L2699+H2699)/-N2699)</f>
        <v/>
      </c>
      <c r="P2699" s="7">
        <f>VLOOKUP(OPERAC[[#This Row],[especie]],[1]!ESPECIES[#All],6,0)</f>
        <v/>
      </c>
      <c r="Q2699" s="7">
        <f>IF(N2699&lt;&gt;0,P2699*N2699,0)</f>
        <v/>
      </c>
      <c r="R2699" s="8">
        <f>IF(Q2699&lt;&gt;0,Q2699+H2699+L2699,0)</f>
        <v/>
      </c>
      <c r="S2699" s="9">
        <f>VLOOKUP(OPERAC[[#This Row],[especie]],[1]!ESPECIES[#Data],9,FALSE)</f>
        <v/>
      </c>
    </row>
    <row r="2700">
      <c r="A2700" s="4" t="n">
        <v>22407</v>
      </c>
      <c r="B2700" s="5" t="n">
        <v>44655</v>
      </c>
      <c r="C2700" s="13" t="inlineStr">
        <is>
          <t>CPR</t>
        </is>
      </c>
      <c r="D2700" s="13" t="n">
        <v>31</v>
      </c>
      <c r="E2700" s="10">
        <f>IF(D2700&gt;0,VLOOKUP(OPERAC[[#This Row],[COD CART]],[1]!MatrizCortoLargoCyl[#All],3,0),"")</f>
        <v/>
      </c>
      <c r="F2700" s="13" t="inlineStr">
        <is>
          <t>CRESY</t>
        </is>
      </c>
      <c r="G2700" s="6" t="n">
        <v>60</v>
      </c>
      <c r="H2700" s="6" t="n">
        <v>-494.9583039999999</v>
      </c>
      <c r="I2700" s="7">
        <f>-H2700/G2700</f>
        <v/>
      </c>
      <c r="J2700" s="11" t="n"/>
      <c r="K2700" s="6" t="n"/>
      <c r="L2700" s="6" t="n"/>
      <c r="M2700" s="7">
        <f>IF(N2700=0,+L2700+H2700,0)</f>
        <v/>
      </c>
      <c r="N2700" s="7">
        <f>IF((+G2700-K2700)=0,0,+G2700-K2700)</f>
        <v/>
      </c>
      <c r="O2700" s="7">
        <f>IF(N2700=0,0,(L2700+H2700)/-N2700)</f>
        <v/>
      </c>
      <c r="P2700" s="7">
        <f>VLOOKUP(OPERAC[[#This Row],[especie]],[1]!ESPECIES[#All],6,0)</f>
        <v/>
      </c>
      <c r="Q2700" s="7">
        <f>IF(N2700&lt;&gt;0,P2700*N2700,0)</f>
        <v/>
      </c>
      <c r="R2700" s="8">
        <f>IF(Q2700&lt;&gt;0,Q2700+H2700+L2700,0)</f>
        <v/>
      </c>
      <c r="S2700" s="9">
        <f>VLOOKUP(OPERAC[[#This Row],[especie]],[1]!ESPECIES[#Data],9,FALSE)</f>
        <v/>
      </c>
    </row>
    <row r="2701">
      <c r="A2701" s="4" t="n">
        <v>19920</v>
      </c>
      <c r="B2701" s="5" t="n">
        <v>44637</v>
      </c>
      <c r="C2701" s="13" t="inlineStr">
        <is>
          <t>CPR</t>
        </is>
      </c>
      <c r="D2701" s="13" t="n">
        <v>31</v>
      </c>
      <c r="E2701" s="10">
        <f>IF(D2701&gt;0,VLOOKUP(OPERAC[[#This Row],[COD CART]],[1]!MatrizCortoLargoCyl[#All],3,0),"")</f>
        <v/>
      </c>
      <c r="F2701" s="13" t="inlineStr">
        <is>
          <t>IRS</t>
        </is>
      </c>
      <c r="G2701" s="6" t="n">
        <v>100</v>
      </c>
      <c r="H2701" s="6" t="n">
        <v>-496.936</v>
      </c>
      <c r="I2701" s="7">
        <f>-H2701/G2701</f>
        <v/>
      </c>
      <c r="J2701" s="11" t="n">
        <v>44693</v>
      </c>
      <c r="K2701" s="6" t="n">
        <v>100</v>
      </c>
      <c r="L2701" s="6" t="n">
        <v>428.414</v>
      </c>
      <c r="M2701" s="7">
        <f>IF(N2701=0,+L2701+H2701,0)</f>
        <v/>
      </c>
      <c r="N2701" s="7">
        <f>IF((+G2701-K2701)=0,0,+G2701-K2701)</f>
        <v/>
      </c>
      <c r="O2701" s="7">
        <f>IF(N2701=0,0,(L2701+H2701)/-N2701)</f>
        <v/>
      </c>
      <c r="P2701" s="7">
        <f>VLOOKUP(OPERAC[[#This Row],[especie]],[1]!ESPECIES[#All],6,0)</f>
        <v/>
      </c>
      <c r="Q2701" s="7">
        <f>IF(N2701&lt;&gt;0,P2701*N2701,0)</f>
        <v/>
      </c>
      <c r="R2701" s="8">
        <f>IF(Q2701&lt;&gt;0,Q2701+H2701+L2701,0)</f>
        <v/>
      </c>
      <c r="S2701" s="9">
        <f>VLOOKUP(OPERAC[[#This Row],[especie]],[1]!ESPECIES[#Data],9,FALSE)</f>
        <v/>
      </c>
    </row>
    <row r="2702">
      <c r="A2702" s="4" t="n">
        <v>18690</v>
      </c>
      <c r="B2702" s="5" t="n">
        <v>44637</v>
      </c>
      <c r="C2702" s="13" t="inlineStr">
        <is>
          <t>CPR</t>
        </is>
      </c>
      <c r="D2702" s="13" t="n">
        <v>31</v>
      </c>
      <c r="E2702" s="10">
        <f>IF(D2702&gt;0,VLOOKUP(OPERAC[[#This Row],[COD CART]],[1]!MatrizCortoLargoCyl[#All],3,0),"")</f>
        <v/>
      </c>
      <c r="F2702" s="13" t="inlineStr">
        <is>
          <t>IRS</t>
        </is>
      </c>
      <c r="G2702" s="6" t="n">
        <v>100</v>
      </c>
      <c r="H2702" s="6" t="n">
        <v>-496.936</v>
      </c>
      <c r="I2702" s="7">
        <f>-H2702/G2702</f>
        <v/>
      </c>
      <c r="J2702" s="11" t="n"/>
      <c r="K2702" s="6" t="n"/>
      <c r="L2702" s="6" t="n"/>
      <c r="M2702" s="7">
        <f>IF(N2702=0,+L2702+H2702,0)</f>
        <v/>
      </c>
      <c r="N2702" s="7">
        <f>IF((+G2702-K2702)=0,0,+G2702-K2702)</f>
        <v/>
      </c>
      <c r="O2702" s="7">
        <f>IF(N2702=0,0,(L2702+H2702)/-N2702)</f>
        <v/>
      </c>
      <c r="P2702" s="7">
        <f>VLOOKUP(OPERAC[[#This Row],[especie]],[1]!ESPECIES[#All],6,0)</f>
        <v/>
      </c>
      <c r="Q2702" s="7">
        <f>IF(N2702&lt;&gt;0,P2702*N2702,0)</f>
        <v/>
      </c>
      <c r="R2702" s="8">
        <f>IF(Q2702&lt;&gt;0,Q2702+H2702+L2702,0)</f>
        <v/>
      </c>
      <c r="S2702" s="9">
        <f>VLOOKUP(OPERAC[[#This Row],[especie]],[1]!ESPECIES[#Data],9,FALSE)</f>
        <v/>
      </c>
    </row>
    <row r="2703">
      <c r="A2703" s="4" t="n">
        <v>3853</v>
      </c>
      <c r="B2703" s="5" t="n">
        <v>44664</v>
      </c>
      <c r="C2703" s="13" t="inlineStr">
        <is>
          <t>CPR</t>
        </is>
      </c>
      <c r="D2703" s="13" t="n">
        <v>42</v>
      </c>
      <c r="E2703" s="10">
        <f>IF(D2703&gt;0,VLOOKUP(OPERAC[[#This Row],[COD CART]],[1]!MatrizCortoLargoCyl[#All],3,0),"")</f>
        <v/>
      </c>
      <c r="F2703" s="13" t="inlineStr">
        <is>
          <t>PSQ</t>
        </is>
      </c>
      <c r="G2703" s="6" t="n">
        <v>40</v>
      </c>
      <c r="H2703" s="6" t="n">
        <v>-497.30288724</v>
      </c>
      <c r="I2703" s="7">
        <f>-H2703/G2703</f>
        <v/>
      </c>
      <c r="J2703" s="11" t="n">
        <v>44680</v>
      </c>
      <c r="K2703" s="6">
        <f>+OPERAC[[#This Row],[cantidad]]</f>
        <v/>
      </c>
      <c r="L2703" s="6">
        <f>12.848*OPERAC[[#This Row],[cantidad venta]]</f>
        <v/>
      </c>
      <c r="M2703" s="7">
        <f>IF(N2703=0,+L2703+H2703,0)</f>
        <v/>
      </c>
      <c r="N2703" s="7">
        <f>IF((+G2703-K2703)=0,0,+G2703-K2703)</f>
        <v/>
      </c>
      <c r="O2703" s="7">
        <f>IF(N2703=0,0,(L2703+H2703)/-N2703)</f>
        <v/>
      </c>
      <c r="P2703" s="7">
        <f>VLOOKUP(OPERAC[[#This Row],[especie]],[1]!ESPECIES[#All],6,0)</f>
        <v/>
      </c>
      <c r="Q2703" s="7">
        <f>IF(N2703&lt;&gt;0,P2703*N2703,0)</f>
        <v/>
      </c>
      <c r="R2703" s="8">
        <f>IF(Q2703&lt;&gt;0,Q2703+H2703+L2703,0)</f>
        <v/>
      </c>
      <c r="S2703" s="9">
        <f>VLOOKUP(OPERAC[[#This Row],[especie]],[1]!ESPECIES[#Data],9,FALSE)</f>
        <v/>
      </c>
    </row>
    <row r="2704">
      <c r="A2704" s="4" t="n">
        <v>11168</v>
      </c>
      <c r="B2704" s="5" t="n">
        <v>44664</v>
      </c>
      <c r="C2704" s="13" t="inlineStr">
        <is>
          <t>CPR</t>
        </is>
      </c>
      <c r="D2704" s="13" t="n">
        <v>42</v>
      </c>
      <c r="E2704" s="10">
        <f>IF(D2704&gt;0,VLOOKUP(OPERAC[[#This Row],[COD CART]],[1]!MatrizCortoLargoCyl[#All],3,0),"")</f>
        <v/>
      </c>
      <c r="F2704" s="13" t="inlineStr">
        <is>
          <t>PSQ</t>
        </is>
      </c>
      <c r="G2704" s="6" t="n">
        <v>40</v>
      </c>
      <c r="H2704" s="6" t="n">
        <v>-497.30288724</v>
      </c>
      <c r="I2704" s="7">
        <f>-H2704/G2704</f>
        <v/>
      </c>
      <c r="J2704" s="11" t="n">
        <v>44680</v>
      </c>
      <c r="K2704" s="6">
        <f>+OPERAC[[#This Row],[cantidad]]</f>
        <v/>
      </c>
      <c r="L2704" s="6">
        <f>12.848*OPERAC[[#This Row],[cantidad venta]]</f>
        <v/>
      </c>
      <c r="M2704" s="7">
        <f>IF(N2704=0,+L2704+H2704,0)</f>
        <v/>
      </c>
      <c r="N2704" s="7">
        <f>IF((+G2704-K2704)=0,0,+G2704-K2704)</f>
        <v/>
      </c>
      <c r="O2704" s="7">
        <f>IF(N2704=0,0,(L2704+H2704)/-N2704)</f>
        <v/>
      </c>
      <c r="P2704" s="7">
        <f>VLOOKUP(OPERAC[[#This Row],[especie]],[1]!ESPECIES[#All],6,0)</f>
        <v/>
      </c>
      <c r="Q2704" s="7">
        <f>IF(N2704&lt;&gt;0,P2704*N2704,0)</f>
        <v/>
      </c>
      <c r="R2704" s="8">
        <f>IF(Q2704&lt;&gt;0,Q2704+H2704+L2704,0)</f>
        <v/>
      </c>
      <c r="S2704" s="9">
        <f>VLOOKUP(OPERAC[[#This Row],[especie]],[1]!ESPECIES[#Data],9,FALSE)</f>
        <v/>
      </c>
    </row>
    <row r="2705">
      <c r="A2705" s="4" t="n">
        <v>18662</v>
      </c>
      <c r="B2705" s="5" t="n">
        <v>44664</v>
      </c>
      <c r="C2705" s="13" t="inlineStr">
        <is>
          <t>CPR</t>
        </is>
      </c>
      <c r="D2705" s="13" t="n">
        <v>42</v>
      </c>
      <c r="E2705" s="10">
        <f>IF(D2705&gt;0,VLOOKUP(OPERAC[[#This Row],[COD CART]],[1]!MatrizCortoLargoCyl[#All],3,0),"")</f>
        <v/>
      </c>
      <c r="F2705" s="13" t="inlineStr">
        <is>
          <t>PSQ</t>
        </is>
      </c>
      <c r="G2705" s="6" t="n">
        <v>40</v>
      </c>
      <c r="H2705" s="6" t="n">
        <v>-497.30288724</v>
      </c>
      <c r="I2705" s="7">
        <f>-H2705/G2705</f>
        <v/>
      </c>
      <c r="J2705" s="11" t="n">
        <v>44680</v>
      </c>
      <c r="K2705" s="6">
        <f>+OPERAC[[#This Row],[cantidad]]</f>
        <v/>
      </c>
      <c r="L2705" s="6">
        <f>12.848*OPERAC[[#This Row],[cantidad venta]]</f>
        <v/>
      </c>
      <c r="M2705" s="7">
        <f>IF(N2705=0,+L2705+H2705,0)</f>
        <v/>
      </c>
      <c r="N2705" s="7">
        <f>IF((+G2705-K2705)=0,0,+G2705-K2705)</f>
        <v/>
      </c>
      <c r="O2705" s="7">
        <f>IF(N2705=0,0,(L2705+H2705)/-N2705)</f>
        <v/>
      </c>
      <c r="P2705" s="7">
        <f>VLOOKUP(OPERAC[[#This Row],[especie]],[1]!ESPECIES[#All],6,0)</f>
        <v/>
      </c>
      <c r="Q2705" s="7">
        <f>IF(N2705&lt;&gt;0,P2705*N2705,0)</f>
        <v/>
      </c>
      <c r="R2705" s="8">
        <f>IF(Q2705&lt;&gt;0,Q2705+H2705+L2705,0)</f>
        <v/>
      </c>
      <c r="S2705" s="9">
        <f>VLOOKUP(OPERAC[[#This Row],[especie]],[1]!ESPECIES[#Data],9,FALSE)</f>
        <v/>
      </c>
    </row>
    <row r="2706">
      <c r="A2706" s="4" t="n">
        <v>16824</v>
      </c>
      <c r="B2706" s="5" t="n">
        <v>44616</v>
      </c>
      <c r="C2706" s="13" t="inlineStr">
        <is>
          <t>CPR</t>
        </is>
      </c>
      <c r="D2706" s="13" t="n">
        <v>41</v>
      </c>
      <c r="E2706" s="10">
        <f>IF(D2706&gt;0,VLOOKUP(OPERAC[[#This Row],[COD CART]],[1]!MatrizCortoLargoCyl[#All],3,0),"")</f>
        <v/>
      </c>
      <c r="F2706" s="13" t="inlineStr">
        <is>
          <t>CORN</t>
        </is>
      </c>
      <c r="G2706" s="6" t="n">
        <v>20</v>
      </c>
      <c r="H2706" s="6" t="n">
        <v>-497.3392000000001</v>
      </c>
      <c r="I2706" s="7">
        <f>-H2706/G2706</f>
        <v/>
      </c>
      <c r="J2706" s="11" t="n"/>
      <c r="K2706" s="6" t="n"/>
      <c r="L2706" s="6" t="n"/>
      <c r="M2706" s="7">
        <f>IF(N2706=0,+L2706+H2706,0)</f>
        <v/>
      </c>
      <c r="N2706" s="7">
        <f>IF((+G2706-K2706)=0,0,+G2706-K2706)</f>
        <v/>
      </c>
      <c r="O2706" s="7">
        <f>IF(N2706=0,0,(L2706+H2706)/-N2706)</f>
        <v/>
      </c>
      <c r="P2706" s="7">
        <f>VLOOKUP(OPERAC[[#This Row],[especie]],[1]!ESPECIES[#All],6,0)</f>
        <v/>
      </c>
      <c r="Q2706" s="7">
        <f>IF(N2706&lt;&gt;0,P2706*N2706,0)</f>
        <v/>
      </c>
      <c r="R2706" s="8">
        <f>IF(Q2706&lt;&gt;0,Q2706+H2706+L2706,0)</f>
        <v/>
      </c>
      <c r="S2706" s="9">
        <f>VLOOKUP(OPERAC[[#This Row],[especie]],[1]!ESPECIES[#Data],9,FALSE)</f>
        <v/>
      </c>
    </row>
    <row r="2707">
      <c r="A2707" s="4" t="n">
        <v>18663</v>
      </c>
      <c r="B2707" s="5" t="n">
        <v>44057</v>
      </c>
      <c r="C2707" s="13" t="inlineStr">
        <is>
          <t>CPR</t>
        </is>
      </c>
      <c r="D2707" s="13" t="n">
        <v>41</v>
      </c>
      <c r="E2707" s="10">
        <f>IF(D2707&gt;0,VLOOKUP(OPERAC[[#This Row],[COD CART]],[1]!MatrizCortoLargoCyl[#All],3,0),"")</f>
        <v/>
      </c>
      <c r="F2707" s="13" t="inlineStr">
        <is>
          <t>NRZ</t>
        </is>
      </c>
      <c r="G2707" s="6" t="n">
        <v>48</v>
      </c>
      <c r="H2707" s="6" t="n">
        <v>-499</v>
      </c>
      <c r="I2707" s="7">
        <f>-H2707/G2707</f>
        <v/>
      </c>
      <c r="J2707" s="5" t="n"/>
      <c r="K2707" s="6" t="n"/>
      <c r="L2707" s="6" t="n"/>
      <c r="M2707" s="7">
        <f>IF(N2707=0,+L2707+H2707,0)</f>
        <v/>
      </c>
      <c r="N2707" s="7">
        <f>IF((+G2707-K2707)=0,0,+G2707-K2707)</f>
        <v/>
      </c>
      <c r="O2707" s="7">
        <f>IF(N2707=0,0,(L2707+H2707)/-N2707)</f>
        <v/>
      </c>
      <c r="P2707" s="7">
        <f>VLOOKUP(OPERAC[[#This Row],[especie]],[1]!ESPECIES[#All],6,0)</f>
        <v/>
      </c>
      <c r="Q2707" s="7">
        <f>IF(N2707&lt;&gt;0,P2707*N2707,0)</f>
        <v/>
      </c>
      <c r="R2707" s="8">
        <f>IF(Q2707&lt;&gt;0,Q2707+H2707+L2707,0)</f>
        <v/>
      </c>
      <c r="S2707" s="9">
        <f>VLOOKUP(OPERAC[[#This Row],[especie]],[1]!ESPECIES[#Data],9,FALSE)</f>
        <v/>
      </c>
    </row>
    <row r="2708">
      <c r="A2708" s="4" t="n">
        <v>2276</v>
      </c>
      <c r="B2708" s="5" t="n">
        <v>44691</v>
      </c>
      <c r="C2708" s="13" t="inlineStr">
        <is>
          <t>CPR</t>
        </is>
      </c>
      <c r="D2708" s="13" t="n">
        <v>41</v>
      </c>
      <c r="E2708" s="10">
        <f>IF(D2708&gt;0,VLOOKUP(OPERAC[[#This Row],[COD CART]],[1]!MatrizCortoLargoCyl[#All],3,0),"")</f>
        <v/>
      </c>
      <c r="F2708" s="13" t="inlineStr">
        <is>
          <t>ZUMZ</t>
        </is>
      </c>
      <c r="G2708" s="6" t="n">
        <v>15</v>
      </c>
      <c r="H2708" s="6" t="n">
        <v>-499.19</v>
      </c>
      <c r="I2708" s="7">
        <f>-H2708/G2708</f>
        <v/>
      </c>
      <c r="J2708" s="11" t="n"/>
      <c r="K2708" s="6" t="n"/>
      <c r="L2708" s="6" t="n"/>
      <c r="M2708" s="7">
        <f>IF(N2708=0,+L2708+H2708,0)</f>
        <v/>
      </c>
      <c r="N2708" s="7">
        <f>IF((+G2708-K2708)=0,0,+G2708-K2708)</f>
        <v/>
      </c>
      <c r="O2708" s="7">
        <f>IF(N2708=0,0,(L2708+H2708)/-N2708)</f>
        <v/>
      </c>
      <c r="P2708" s="7">
        <f>VLOOKUP(OPERAC[[#This Row],[especie]],[1]!ESPECIES[#All],6,0)</f>
        <v/>
      </c>
      <c r="Q2708" s="7">
        <f>IF(N2708&lt;&gt;0,P2708*N2708,0)</f>
        <v/>
      </c>
      <c r="R2708" s="8">
        <f>IF(Q2708&lt;&gt;0,Q2708+H2708+L2708,0)</f>
        <v/>
      </c>
      <c r="S2708" s="9">
        <f>VLOOKUP(OPERAC[[#This Row],[especie]],[1]!ESPECIES[#Data],9,FALSE)</f>
        <v/>
      </c>
    </row>
    <row r="2709">
      <c r="A2709" s="4" t="n">
        <v>13188</v>
      </c>
      <c r="B2709" s="5" t="n">
        <v>43929</v>
      </c>
      <c r="C2709" s="13" t="inlineStr">
        <is>
          <t>CPR</t>
        </is>
      </c>
      <c r="D2709" s="13" t="n">
        <v>31</v>
      </c>
      <c r="E2709" s="10">
        <f>IF(D2709&gt;0,VLOOKUP(OPERAC[[#This Row],[COD CART]],[1]!MatrizCortoLargoCyl[#All],3,0),"")</f>
        <v/>
      </c>
      <c r="F2709" s="13" t="inlineStr">
        <is>
          <t>VIST</t>
        </is>
      </c>
      <c r="G2709" s="6" t="n">
        <v>210</v>
      </c>
      <c r="H2709" s="6" t="n">
        <v>-499.6236</v>
      </c>
      <c r="I2709" s="7" t="n">
        <v>2.37916</v>
      </c>
      <c r="J2709" s="5" t="n">
        <v>44357</v>
      </c>
      <c r="K2709" s="6">
        <f>10+200</f>
        <v/>
      </c>
      <c r="L2709" s="6">
        <f>38.212+1539.943</f>
        <v/>
      </c>
      <c r="M2709" s="7">
        <f>IF(N2709=0,+L2709+H2709,0)</f>
        <v/>
      </c>
      <c r="N2709" s="7">
        <f>IF((+G2709-K2709)=0,0,+G2709-K2709)</f>
        <v/>
      </c>
      <c r="O2709" s="7">
        <f>IF(N2709=0,0,(L2709+H2709)/-N2709)</f>
        <v/>
      </c>
      <c r="P2709" s="7">
        <f>VLOOKUP(OPERAC[[#This Row],[especie]],[1]!ESPECIES[#All],6,0)</f>
        <v/>
      </c>
      <c r="Q2709" s="7">
        <f>IF(N2709&lt;&gt;0,P2709*N2709,0)</f>
        <v/>
      </c>
      <c r="R2709" s="8">
        <f>IF(Q2709&lt;&gt;0,Q2709+H2709+L2709,0)</f>
        <v/>
      </c>
      <c r="S2709" s="9">
        <f>VLOOKUP(OPERAC[[#This Row],[especie]],[1]!ESPECIES[#Data],9,FALSE)</f>
        <v/>
      </c>
    </row>
    <row r="2710">
      <c r="A2710" s="4" t="n">
        <v>13253</v>
      </c>
      <c r="B2710" s="5" t="n">
        <v>44616</v>
      </c>
      <c r="C2710" s="13" t="inlineStr">
        <is>
          <t>CPR</t>
        </is>
      </c>
      <c r="D2710" s="13" t="n">
        <v>41</v>
      </c>
      <c r="E2710" s="10">
        <f>IF(D2710&gt;0,VLOOKUP(OPERAC[[#This Row],[COD CART]],[1]!MatrizCortoLargoCyl[#All],3,0),"")</f>
        <v/>
      </c>
      <c r="F2710" s="13" t="inlineStr">
        <is>
          <t>NRZ</t>
        </is>
      </c>
      <c r="G2710" s="6" t="n">
        <v>50</v>
      </c>
      <c r="H2710" s="6" t="n">
        <v>-499.708</v>
      </c>
      <c r="I2710" s="7">
        <f>-H2710/G2710</f>
        <v/>
      </c>
      <c r="J2710" s="11" t="n"/>
      <c r="K2710" s="6" t="n"/>
      <c r="L2710" s="6" t="n"/>
      <c r="M2710" s="7">
        <f>IF(N2710=0,+L2710+H2710,0)</f>
        <v/>
      </c>
      <c r="N2710" s="7">
        <f>IF((+G2710-K2710)=0,0,+G2710-K2710)</f>
        <v/>
      </c>
      <c r="O2710" s="7">
        <f>IF(N2710=0,0,(L2710+H2710)/-N2710)</f>
        <v/>
      </c>
      <c r="P2710" s="7">
        <f>VLOOKUP(OPERAC[[#This Row],[especie]],[1]!ESPECIES[#All],6,0)</f>
        <v/>
      </c>
      <c r="Q2710" s="7">
        <f>IF(N2710&lt;&gt;0,P2710*N2710,0)</f>
        <v/>
      </c>
      <c r="R2710" s="8">
        <f>IF(Q2710&lt;&gt;0,Q2710+H2710+L2710,0)</f>
        <v/>
      </c>
      <c r="S2710" s="9">
        <f>VLOOKUP(OPERAC[[#This Row],[especie]],[1]!ESPECIES[#Data],9,FALSE)</f>
        <v/>
      </c>
    </row>
    <row r="2711">
      <c r="A2711" s="4" t="n">
        <v>18705</v>
      </c>
      <c r="B2711" s="5" t="n">
        <v>44616</v>
      </c>
      <c r="C2711" s="13" t="inlineStr">
        <is>
          <t>CPR</t>
        </is>
      </c>
      <c r="D2711" s="13" t="n">
        <v>41</v>
      </c>
      <c r="E2711" s="10">
        <f>IF(D2711&gt;0,VLOOKUP(OPERAC[[#This Row],[COD CART]],[1]!MatrizCortoLargoCyl[#All],3,0),"")</f>
        <v/>
      </c>
      <c r="F2711" s="13" t="inlineStr">
        <is>
          <t>CORN</t>
        </is>
      </c>
      <c r="G2711" s="6" t="n">
        <v>20</v>
      </c>
      <c r="H2711" s="6" t="n">
        <v>-501.1696</v>
      </c>
      <c r="I2711" s="7">
        <f>-H2711/G2711</f>
        <v/>
      </c>
      <c r="J2711" s="11" t="n"/>
      <c r="K2711" s="6" t="n"/>
      <c r="L2711" s="6" t="n"/>
      <c r="M2711" s="7">
        <f>IF(N2711=0,+L2711+H2711,0)</f>
        <v/>
      </c>
      <c r="N2711" s="7">
        <f>IF((+G2711-K2711)=0,0,+G2711-K2711)</f>
        <v/>
      </c>
      <c r="O2711" s="7">
        <f>IF(N2711=0,0,(L2711+H2711)/-N2711)</f>
        <v/>
      </c>
      <c r="P2711" s="7">
        <f>VLOOKUP(OPERAC[[#This Row],[especie]],[1]!ESPECIES[#All],6,0)</f>
        <v/>
      </c>
      <c r="Q2711" s="7">
        <f>IF(N2711&lt;&gt;0,P2711*N2711,0)</f>
        <v/>
      </c>
      <c r="R2711" s="8">
        <f>IF(Q2711&lt;&gt;0,Q2711+H2711+L2711,0)</f>
        <v/>
      </c>
      <c r="S2711" s="9">
        <f>VLOOKUP(OPERAC[[#This Row],[especie]],[1]!ESPECIES[#Data],9,FALSE)</f>
        <v/>
      </c>
    </row>
    <row r="2712">
      <c r="A2712" s="4" t="n">
        <v>1760</v>
      </c>
      <c r="B2712" s="5" t="n">
        <v>44536</v>
      </c>
      <c r="C2712" s="13" t="inlineStr">
        <is>
          <t>CPR</t>
        </is>
      </c>
      <c r="D2712" s="13" t="n">
        <v>43</v>
      </c>
      <c r="E2712" s="10">
        <f>IF(D2712&gt;0,VLOOKUP(OPERAC[[#This Row],[COD CART]],[1]!MatrizCortoLargoCyl[#All],3,0),"")</f>
        <v/>
      </c>
      <c r="F2712" s="13" t="inlineStr">
        <is>
          <t>HEXO/CYL-PUT/1,00/20-01-23</t>
        </is>
      </c>
      <c r="G2712" s="6" t="n">
        <v>3000</v>
      </c>
      <c r="H2712" s="6">
        <f>-0.1671*OPERAC[[#This Row],[cantidad]]</f>
        <v/>
      </c>
      <c r="I2712" s="7">
        <f>-H2712/G2712</f>
        <v/>
      </c>
      <c r="J2712" s="11" t="n"/>
      <c r="K2712" s="6" t="n"/>
      <c r="L2712" s="6" t="n"/>
      <c r="M2712" s="7">
        <f>IF(N2712=0,+L2712+H2712,0)</f>
        <v/>
      </c>
      <c r="N2712" s="7">
        <f>IF((+G2712-K2712)=0,0,+G2712-K2712)</f>
        <v/>
      </c>
      <c r="O2712" s="7">
        <f>IF(N2712=0,0,(L2712+H2712)/-N2712)</f>
        <v/>
      </c>
      <c r="P2712" s="7">
        <f>VLOOKUP(OPERAC[[#This Row],[especie]],[1]!ESPECIES[#All],6,0)</f>
        <v/>
      </c>
      <c r="Q2712" s="7">
        <f>IF(N2712&lt;&gt;0,P2712*N2712,0)</f>
        <v/>
      </c>
      <c r="R2712" s="8">
        <f>IF(Q2712&lt;&gt;0,Q2712+H2712+L2712,0)</f>
        <v/>
      </c>
      <c r="S2712" s="9">
        <f>VLOOKUP(OPERAC[[#This Row],[especie]],[1]!ESPECIES[#Data],9,FALSE)</f>
        <v/>
      </c>
    </row>
    <row r="2713">
      <c r="A2713" s="4" t="n">
        <v>2203</v>
      </c>
      <c r="B2713" s="5" t="n">
        <v>44536</v>
      </c>
      <c r="C2713" s="13" t="inlineStr">
        <is>
          <t>CPR</t>
        </is>
      </c>
      <c r="D2713" s="13" t="n">
        <v>43</v>
      </c>
      <c r="E2713" s="10">
        <f>IF(D2713&gt;0,VLOOKUP(OPERAC[[#This Row],[COD CART]],[1]!MatrizCortoLargoCyl[#All],3,0),"")</f>
        <v/>
      </c>
      <c r="F2713" s="13" t="inlineStr">
        <is>
          <t>HEXO/CYL-PUT/1,00/20-01-23</t>
        </is>
      </c>
      <c r="G2713" s="6" t="n">
        <v>3000</v>
      </c>
      <c r="H2713" s="6">
        <f>-0.1671*OPERAC[[#This Row],[cantidad]]</f>
        <v/>
      </c>
      <c r="I2713" s="7">
        <f>-H2713/G2713</f>
        <v/>
      </c>
      <c r="J2713" s="11" t="n">
        <v>44617</v>
      </c>
      <c r="K2713" s="6" t="n">
        <v>1000</v>
      </c>
      <c r="L2713" s="6" t="n">
        <v>326.13</v>
      </c>
      <c r="M2713" s="7">
        <f>IF(N2713=0,+L2713+H2713,0)</f>
        <v/>
      </c>
      <c r="N2713" s="7">
        <f>IF((+G2713-K2713)=0,0,+G2713-K2713)</f>
        <v/>
      </c>
      <c r="O2713" s="7">
        <f>IF(N2713=0,0,(L2713+H2713)/-N2713)</f>
        <v/>
      </c>
      <c r="P2713" s="7">
        <f>VLOOKUP(OPERAC[[#This Row],[especie]],[1]!ESPECIES[#All],6,0)</f>
        <v/>
      </c>
      <c r="Q2713" s="7">
        <f>IF(N2713&lt;&gt;0,P2713*N2713,0)</f>
        <v/>
      </c>
      <c r="R2713" s="8">
        <f>IF(Q2713&lt;&gt;0,Q2713+H2713+L2713,0)</f>
        <v/>
      </c>
      <c r="S2713" s="9">
        <f>VLOOKUP(OPERAC[[#This Row],[especie]],[1]!ESPECIES[#Data],9,FALSE)</f>
        <v/>
      </c>
    </row>
    <row r="2714">
      <c r="A2714" s="4" t="n">
        <v>2255</v>
      </c>
      <c r="B2714" s="5" t="n">
        <v>44511</v>
      </c>
      <c r="C2714" s="13" t="inlineStr">
        <is>
          <t>CPR</t>
        </is>
      </c>
      <c r="D2714" s="13" t="n">
        <v>31</v>
      </c>
      <c r="E2714" s="10">
        <f>IF(D2714&gt;0,VLOOKUP(OPERAC[[#This Row],[COD CART]],[1]!MatrizCortoLargoCyl[#All],3,0),"")</f>
        <v/>
      </c>
      <c r="F2714" s="13" t="inlineStr">
        <is>
          <t>IPIX</t>
        </is>
      </c>
      <c r="G2714" s="6" t="n">
        <v>5000</v>
      </c>
      <c r="H2714" s="6" t="n">
        <v>-501.768</v>
      </c>
      <c r="I2714" s="7">
        <f>-H2714/G2714</f>
        <v/>
      </c>
      <c r="J2714" s="11" t="n"/>
      <c r="K2714" s="6" t="n"/>
      <c r="L2714" s="6" t="n"/>
      <c r="M2714" s="7">
        <f>IF(N2714=0,+L2714+H2714,0)</f>
        <v/>
      </c>
      <c r="N2714" s="7">
        <f>IF((+G2714-K2714)=0,0,+G2714-K2714)</f>
        <v/>
      </c>
      <c r="O2714" s="7">
        <f>IF(N2714=0,0,(L2714+H2714)/-N2714)</f>
        <v/>
      </c>
      <c r="P2714" s="7">
        <f>VLOOKUP(OPERAC[[#This Row],[especie]],[1]!ESPECIES[#All],6,0)</f>
        <v/>
      </c>
      <c r="Q2714" s="7">
        <f>IF(N2714&lt;&gt;0,P2714*N2714,0)</f>
        <v/>
      </c>
      <c r="R2714" s="8">
        <f>IF(Q2714&lt;&gt;0,Q2714+H2714+L2714,0)</f>
        <v/>
      </c>
      <c r="S2714" s="9">
        <f>VLOOKUP(OPERAC[[#This Row],[especie]],[1]!ESPECIES[#Data],9,FALSE)</f>
        <v/>
      </c>
    </row>
    <row r="2715">
      <c r="A2715" s="4" t="n">
        <v>19972</v>
      </c>
      <c r="B2715" s="5" t="n">
        <v>44419</v>
      </c>
      <c r="C2715" s="13" t="inlineStr">
        <is>
          <t>CPR</t>
        </is>
      </c>
      <c r="D2715" s="13" t="n">
        <v>40</v>
      </c>
      <c r="E2715" s="10">
        <f>IF(D2715&gt;0,VLOOKUP(OPERAC[[#This Row],[COD CART]],[1]!MatrizCortoLargoCyl[#All],3,0),"")</f>
        <v/>
      </c>
      <c r="F2715" s="13" t="inlineStr">
        <is>
          <t>AGEN</t>
        </is>
      </c>
      <c r="G2715" s="6" t="n">
        <v>100</v>
      </c>
      <c r="H2715" s="6" t="n">
        <v>-502.29</v>
      </c>
      <c r="I2715" s="7">
        <f>-H2715/G2715</f>
        <v/>
      </c>
      <c r="J2715" s="11" t="n">
        <v>44606</v>
      </c>
      <c r="K2715" s="6" t="n">
        <v>100</v>
      </c>
      <c r="L2715" s="6" t="n">
        <v>236.078</v>
      </c>
      <c r="M2715" s="7">
        <f>IF(N2715=0,+L2715+H2715,0)</f>
        <v/>
      </c>
      <c r="N2715" s="7">
        <f>IF((+G2715-K2715)=0,0,+G2715-K2715)</f>
        <v/>
      </c>
      <c r="O2715" s="7">
        <f>IF(N2715=0,0,(L2715+H2715)/-N2715)</f>
        <v/>
      </c>
      <c r="P2715" s="7">
        <f>VLOOKUP(OPERAC[[#This Row],[especie]],[1]!ESPECIES[#All],6,0)</f>
        <v/>
      </c>
      <c r="Q2715" s="7">
        <f>IF(N2715&lt;&gt;0,P2715*N2715,0)</f>
        <v/>
      </c>
      <c r="R2715" s="8">
        <f>IF(Q2715&lt;&gt;0,Q2715+H2715+L2715,0)</f>
        <v/>
      </c>
      <c r="S2715" s="9">
        <f>VLOOKUP(OPERAC[[#This Row],[especie]],[1]!ESPECIES[#Data],9,FALSE)</f>
        <v/>
      </c>
    </row>
    <row r="2716">
      <c r="A2716" s="4" t="n">
        <v>18663</v>
      </c>
      <c r="B2716" s="5" t="n">
        <v>43831</v>
      </c>
      <c r="C2716" s="13" t="inlineStr">
        <is>
          <t>CPR</t>
        </is>
      </c>
      <c r="D2716" s="13" t="n">
        <v>41</v>
      </c>
      <c r="E2716" s="10">
        <f>IF(D2716&gt;0,VLOOKUP(OPERAC[[#This Row],[COD CART]],[1]!MatrizCortoLargoCyl[#All],3,0),"")</f>
        <v/>
      </c>
      <c r="F2716" s="13" t="inlineStr">
        <is>
          <t>MPW</t>
        </is>
      </c>
      <c r="G2716" s="6" t="n">
        <v>24</v>
      </c>
      <c r="H2716" s="6" t="n">
        <v>-502.32</v>
      </c>
      <c r="I2716" s="7" t="n">
        <v>20.93</v>
      </c>
      <c r="J2716" s="5" t="n"/>
      <c r="K2716" s="6" t="n"/>
      <c r="L2716" s="6" t="n"/>
      <c r="M2716" s="7">
        <f>IF(N2716=0,+L2716+H2716,0)</f>
        <v/>
      </c>
      <c r="N2716" s="7">
        <f>IF((+G2716-K2716)=0,0,+G2716-K2716)</f>
        <v/>
      </c>
      <c r="O2716" s="7">
        <f>IF(N2716=0,0,(L2716+H2716)/-N2716)</f>
        <v/>
      </c>
      <c r="P2716" s="7">
        <f>VLOOKUP(OPERAC[[#This Row],[especie]],[1]!ESPECIES[#All],6,0)</f>
        <v/>
      </c>
      <c r="Q2716" s="7">
        <f>IF(N2716&lt;&gt;0,P2716*N2716,0)</f>
        <v/>
      </c>
      <c r="R2716" s="8">
        <f>IF(Q2716&lt;&gt;0,Q2716+H2716+L2716,0)</f>
        <v/>
      </c>
      <c r="S2716" s="9">
        <f>VLOOKUP(OPERAC[[#This Row],[especie]],[1]!ESPECIES[#Data],9,FALSE)</f>
        <v/>
      </c>
    </row>
    <row r="2717">
      <c r="A2717" s="4" t="n">
        <v>19972</v>
      </c>
      <c r="B2717" s="5" t="n">
        <v>44419</v>
      </c>
      <c r="C2717" s="13" t="inlineStr">
        <is>
          <t>CPR</t>
        </is>
      </c>
      <c r="D2717" s="13" t="n">
        <v>31</v>
      </c>
      <c r="E2717" s="10">
        <f>IF(D2717&gt;0,VLOOKUP(OPERAC[[#This Row],[COD CART]],[1]!MatrizCortoLargoCyl[#All],3,0),"")</f>
        <v/>
      </c>
      <c r="F2717" s="13" t="inlineStr">
        <is>
          <t>HEOFF</t>
        </is>
      </c>
      <c r="G2717" s="6" t="n">
        <v>250</v>
      </c>
      <c r="H2717" s="6" t="n">
        <v>-503.75</v>
      </c>
      <c r="I2717" s="7">
        <f>-H2717/G2717</f>
        <v/>
      </c>
      <c r="J2717" s="11" t="n"/>
      <c r="K2717" s="6" t="n"/>
      <c r="L2717" s="6" t="n"/>
      <c r="M2717" s="7">
        <f>IF(N2717=0,+L2717+H2717,0)</f>
        <v/>
      </c>
      <c r="N2717" s="7">
        <f>IF((+G2717-K2717)=0,0,+G2717-K2717)</f>
        <v/>
      </c>
      <c r="O2717" s="7">
        <f>IF(N2717=0,0,(L2717+H2717)/-N2717)</f>
        <v/>
      </c>
      <c r="P2717" s="7">
        <f>VLOOKUP(OPERAC[[#This Row],[especie]],[1]!ESPECIES[#All],6,0)</f>
        <v/>
      </c>
      <c r="Q2717" s="7">
        <f>IF(N2717&lt;&gt;0,P2717*N2717,0)</f>
        <v/>
      </c>
      <c r="R2717" s="8">
        <f>IF(Q2717&lt;&gt;0,Q2717+H2717+L2717,0)</f>
        <v/>
      </c>
      <c r="S2717" s="9">
        <f>VLOOKUP(OPERAC[[#This Row],[especie]],[1]!ESPECIES[#Data],9,FALSE)</f>
        <v/>
      </c>
    </row>
    <row r="2718">
      <c r="A2718" s="4" t="n">
        <v>2209</v>
      </c>
      <c r="B2718" s="5" t="n">
        <v>44453</v>
      </c>
      <c r="C2718" s="13" t="inlineStr">
        <is>
          <t>CPR</t>
        </is>
      </c>
      <c r="D2718" s="13" t="n">
        <v>41</v>
      </c>
      <c r="E2718" s="10">
        <f>IF(D2718&gt;0,VLOOKUP(OPERAC[[#This Row],[COD CART]],[1]!MatrizCortoLargoCyl[#All],3,0),"")</f>
        <v/>
      </c>
      <c r="F2718" s="13" t="inlineStr">
        <is>
          <t>MJ</t>
        </is>
      </c>
      <c r="G2718" s="6" t="n">
        <v>33</v>
      </c>
      <c r="H2718" s="6" t="n">
        <v>-503.785</v>
      </c>
      <c r="I2718" s="7">
        <f>-H2718/G2718</f>
        <v/>
      </c>
      <c r="J2718" s="11" t="n"/>
      <c r="K2718" s="6" t="n"/>
      <c r="L2718" s="6" t="n"/>
      <c r="M2718" s="7">
        <f>IF(N2718=0,+L2718+H2718,0)</f>
        <v/>
      </c>
      <c r="N2718" s="7">
        <f>IF((+G2718-K2718)=0,0,+G2718-K2718)</f>
        <v/>
      </c>
      <c r="O2718" s="7">
        <f>IF(N2718=0,0,(L2718+H2718)/-N2718)</f>
        <v/>
      </c>
      <c r="P2718" s="7">
        <f>VLOOKUP(OPERAC[[#This Row],[especie]],[1]!ESPECIES[#All],6,0)</f>
        <v/>
      </c>
      <c r="Q2718" s="7">
        <f>IF(N2718&lt;&gt;0,P2718*N2718,0)</f>
        <v/>
      </c>
      <c r="R2718" s="8">
        <f>IF(Q2718&lt;&gt;0,Q2718+H2718+L2718,0)</f>
        <v/>
      </c>
      <c r="S2718" s="9">
        <f>VLOOKUP(OPERAC[[#This Row],[especie]],[1]!ESPECIES[#Data],9,FALSE)</f>
        <v/>
      </c>
    </row>
    <row r="2719">
      <c r="A2719" s="4" t="n">
        <v>19972</v>
      </c>
      <c r="B2719" s="5" t="n">
        <v>44686</v>
      </c>
      <c r="C2719" s="13" t="inlineStr">
        <is>
          <t>CPR</t>
        </is>
      </c>
      <c r="D2719" s="13" t="n">
        <v>41</v>
      </c>
      <c r="E2719" s="10">
        <f>IF(D2719&gt;0,VLOOKUP(OPERAC[[#This Row],[COD CART]],[1]!MatrizCortoLargoCyl[#All],3,0),"")</f>
        <v/>
      </c>
      <c r="F2719" s="13" t="inlineStr">
        <is>
          <t>SQM</t>
        </is>
      </c>
      <c r="G2719" s="6" t="n">
        <v>6</v>
      </c>
      <c r="H2719" s="6" t="n">
        <v>-504.1961099999999</v>
      </c>
      <c r="I2719" s="7">
        <f>-H2719/G2719</f>
        <v/>
      </c>
      <c r="J2719" s="11" t="n"/>
      <c r="K2719" s="6" t="n"/>
      <c r="L2719" s="6" t="n"/>
      <c r="M2719" s="7">
        <f>IF(N2719=0,+L2719+H2719,0)</f>
        <v/>
      </c>
      <c r="N2719" s="7">
        <f>IF((+G2719-K2719)=0,0,+G2719-K2719)</f>
        <v/>
      </c>
      <c r="O2719" s="7">
        <f>IF(N2719=0,0,(L2719+H2719)/-N2719)</f>
        <v/>
      </c>
      <c r="P2719" s="7">
        <f>VLOOKUP(OPERAC[[#This Row],[especie]],[1]!ESPECIES[#All],6,0)</f>
        <v/>
      </c>
      <c r="Q2719" s="7">
        <f>IF(N2719&lt;&gt;0,P2719*N2719,0)</f>
        <v/>
      </c>
      <c r="R2719" s="8">
        <f>IF(Q2719&lt;&gt;0,Q2719+H2719+L2719,0)</f>
        <v/>
      </c>
      <c r="S2719" s="9">
        <f>VLOOKUP(OPERAC[[#This Row],[especie]],[1]!ESPECIES[#Data],9,FALSE)</f>
        <v/>
      </c>
    </row>
    <row r="2720">
      <c r="A2720" s="4" t="n">
        <v>25070</v>
      </c>
      <c r="B2720" s="5" t="n">
        <v>44698</v>
      </c>
      <c r="C2720" s="13" t="inlineStr">
        <is>
          <t>CPR</t>
        </is>
      </c>
      <c r="D2720" s="13" t="n">
        <v>39</v>
      </c>
      <c r="E2720" s="10">
        <f>IF(D2720&gt;0,VLOOKUP(OPERAC[[#This Row],[COD CART]],[1]!MatrizCortoLargoCyl[#All],3,0),"")</f>
        <v/>
      </c>
      <c r="F2720" s="13" t="inlineStr">
        <is>
          <t>NTLA/C/65,00/15-07-22</t>
        </is>
      </c>
      <c r="G2720" s="6" t="n">
        <v>200</v>
      </c>
      <c r="H2720" s="6" t="n">
        <v>-504.25</v>
      </c>
      <c r="I2720" s="7">
        <f>-H2720/G2720</f>
        <v/>
      </c>
      <c r="J2720" s="11" t="n"/>
      <c r="K2720" s="6" t="n"/>
      <c r="L2720" s="6" t="n"/>
      <c r="M2720" s="7">
        <f>IF(N2720=0,+L2720+H2720,0)</f>
        <v/>
      </c>
      <c r="N2720" s="7">
        <f>IF((+G2720-K2720)=0,0,+G2720-K2720)</f>
        <v/>
      </c>
      <c r="O2720" s="7">
        <f>IF(N2720=0,0,(L2720+H2720)/-N2720)</f>
        <v/>
      </c>
      <c r="P2720" s="7">
        <f>VLOOKUP(OPERAC[[#This Row],[especie]],[1]!ESPECIES[#All],6,0)</f>
        <v/>
      </c>
      <c r="Q2720" s="7">
        <f>IF(N2720&lt;&gt;0,P2720*N2720,0)</f>
        <v/>
      </c>
      <c r="R2720" s="8">
        <f>IF(Q2720&lt;&gt;0,Q2720+H2720+L2720,0)</f>
        <v/>
      </c>
      <c r="S2720" s="9">
        <f>VLOOKUP(OPERAC[[#This Row],[especie]],[1]!ESPECIES[#Data],9,FALSE)</f>
        <v/>
      </c>
    </row>
    <row r="2721">
      <c r="A2721" s="4" t="n">
        <v>19888</v>
      </c>
      <c r="B2721" s="5" t="n">
        <v>44698</v>
      </c>
      <c r="C2721" s="13" t="inlineStr">
        <is>
          <t>CPR</t>
        </is>
      </c>
      <c r="D2721" s="13" t="n">
        <v>39</v>
      </c>
      <c r="E2721" s="10">
        <f>IF(D2721&gt;0,VLOOKUP(OPERAC[[#This Row],[COD CART]],[1]!MatrizCortoLargoCyl[#All],3,0),"")</f>
        <v/>
      </c>
      <c r="F2721" s="13" t="inlineStr">
        <is>
          <t>NTLA/C/65,00/15-07-22</t>
        </is>
      </c>
      <c r="G2721" s="6" t="n">
        <v>200</v>
      </c>
      <c r="H2721" s="6" t="n">
        <v>-504.25</v>
      </c>
      <c r="I2721" s="7">
        <f>-H2721/G2721</f>
        <v/>
      </c>
      <c r="J2721" s="11" t="n"/>
      <c r="K2721" s="6" t="n"/>
      <c r="L2721" s="6" t="n"/>
      <c r="M2721" s="7">
        <f>IF(N2721=0,+L2721+H2721,0)</f>
        <v/>
      </c>
      <c r="N2721" s="7">
        <f>IF((+G2721-K2721)=0,0,+G2721-K2721)</f>
        <v/>
      </c>
      <c r="O2721" s="7">
        <f>IF(N2721=0,0,(L2721+H2721)/-N2721)</f>
        <v/>
      </c>
      <c r="P2721" s="7">
        <f>VLOOKUP(OPERAC[[#This Row],[especie]],[1]!ESPECIES[#All],6,0)</f>
        <v/>
      </c>
      <c r="Q2721" s="7">
        <f>IF(N2721&lt;&gt;0,P2721*N2721,0)</f>
        <v/>
      </c>
      <c r="R2721" s="8">
        <f>IF(Q2721&lt;&gt;0,Q2721+H2721+L2721,0)</f>
        <v/>
      </c>
      <c r="S2721" s="9">
        <f>VLOOKUP(OPERAC[[#This Row],[especie]],[1]!ESPECIES[#Data],9,FALSE)</f>
        <v/>
      </c>
    </row>
    <row r="2722">
      <c r="A2722" s="4" t="n">
        <v>18690</v>
      </c>
      <c r="B2722" s="5" t="n">
        <v>44698</v>
      </c>
      <c r="C2722" s="13" t="inlineStr">
        <is>
          <t>CPR</t>
        </is>
      </c>
      <c r="D2722" s="13" t="n">
        <v>39</v>
      </c>
      <c r="E2722" s="10">
        <f>IF(D2722&gt;0,VLOOKUP(OPERAC[[#This Row],[COD CART]],[1]!MatrizCortoLargoCyl[#All],3,0),"")</f>
        <v/>
      </c>
      <c r="F2722" s="13" t="inlineStr">
        <is>
          <t>NTLA/C/65,00/15-07-22</t>
        </is>
      </c>
      <c r="G2722" s="6" t="n">
        <v>200</v>
      </c>
      <c r="H2722" s="6" t="n">
        <v>-504.25</v>
      </c>
      <c r="I2722" s="7">
        <f>-H2722/G2722</f>
        <v/>
      </c>
      <c r="J2722" s="11" t="n"/>
      <c r="K2722" s="6" t="n"/>
      <c r="L2722" s="6" t="n"/>
      <c r="M2722" s="7">
        <f>IF(N2722=0,+L2722+H2722,0)</f>
        <v/>
      </c>
      <c r="N2722" s="7">
        <f>IF((+G2722-K2722)=0,0,+G2722-K2722)</f>
        <v/>
      </c>
      <c r="O2722" s="7">
        <f>IF(N2722=0,0,(L2722+H2722)/-N2722)</f>
        <v/>
      </c>
      <c r="P2722" s="7">
        <f>VLOOKUP(OPERAC[[#This Row],[especie]],[1]!ESPECIES[#All],6,0)</f>
        <v/>
      </c>
      <c r="Q2722" s="7">
        <f>IF(N2722&lt;&gt;0,P2722*N2722,0)</f>
        <v/>
      </c>
      <c r="R2722" s="8">
        <f>IF(Q2722&lt;&gt;0,Q2722+H2722+L2722,0)</f>
        <v/>
      </c>
      <c r="S2722" s="9">
        <f>VLOOKUP(OPERAC[[#This Row],[especie]],[1]!ESPECIES[#Data],9,FALSE)</f>
        <v/>
      </c>
    </row>
    <row r="2723">
      <c r="A2723" s="4" t="n">
        <v>13240</v>
      </c>
      <c r="B2723" s="5" t="n">
        <v>44698</v>
      </c>
      <c r="C2723" s="13" t="inlineStr">
        <is>
          <t>CPR</t>
        </is>
      </c>
      <c r="D2723" s="13" t="n">
        <v>39</v>
      </c>
      <c r="E2723" s="10">
        <f>IF(D2723&gt;0,VLOOKUP(OPERAC[[#This Row],[COD CART]],[1]!MatrizCortoLargoCyl[#All],3,0),"")</f>
        <v/>
      </c>
      <c r="F2723" s="13" t="inlineStr">
        <is>
          <t>NTLA/C/65,00/15-07-22</t>
        </is>
      </c>
      <c r="G2723" s="6" t="n">
        <v>200</v>
      </c>
      <c r="H2723" s="6" t="n">
        <v>-504.25</v>
      </c>
      <c r="I2723" s="7">
        <f>-H2723/G2723</f>
        <v/>
      </c>
      <c r="J2723" s="11" t="n"/>
      <c r="K2723" s="6" t="n"/>
      <c r="L2723" s="6" t="n"/>
      <c r="M2723" s="7">
        <f>IF(N2723=0,+L2723+H2723,0)</f>
        <v/>
      </c>
      <c r="N2723" s="7">
        <f>IF((+G2723-K2723)=0,0,+G2723-K2723)</f>
        <v/>
      </c>
      <c r="O2723" s="7">
        <f>IF(N2723=0,0,(L2723+H2723)/-N2723)</f>
        <v/>
      </c>
      <c r="P2723" s="7">
        <f>VLOOKUP(OPERAC[[#This Row],[especie]],[1]!ESPECIES[#All],6,0)</f>
        <v/>
      </c>
      <c r="Q2723" s="7">
        <f>IF(N2723&lt;&gt;0,P2723*N2723,0)</f>
        <v/>
      </c>
      <c r="R2723" s="8">
        <f>IF(Q2723&lt;&gt;0,Q2723+H2723+L2723,0)</f>
        <v/>
      </c>
      <c r="S2723" s="9">
        <f>VLOOKUP(OPERAC[[#This Row],[especie]],[1]!ESPECIES[#Data],9,FALSE)</f>
        <v/>
      </c>
    </row>
    <row r="2724">
      <c r="A2724" s="4" t="n">
        <v>15194</v>
      </c>
      <c r="B2724" s="5" t="n">
        <v>44698</v>
      </c>
      <c r="C2724" s="13" t="inlineStr">
        <is>
          <t>CPR</t>
        </is>
      </c>
      <c r="D2724" s="13" t="n">
        <v>39</v>
      </c>
      <c r="E2724" s="10">
        <f>IF(D2724&gt;0,VLOOKUP(OPERAC[[#This Row],[COD CART]],[1]!MatrizCortoLargoCyl[#All],3,0),"")</f>
        <v/>
      </c>
      <c r="F2724" s="13" t="inlineStr">
        <is>
          <t>NTLA/C/65,00/15-07-22</t>
        </is>
      </c>
      <c r="G2724" s="6" t="n">
        <v>200</v>
      </c>
      <c r="H2724" s="6" t="n">
        <v>-504.25</v>
      </c>
      <c r="I2724" s="7">
        <f>-H2724/G2724</f>
        <v/>
      </c>
      <c r="J2724" s="11" t="n"/>
      <c r="K2724" s="6" t="n"/>
      <c r="L2724" s="6" t="n"/>
      <c r="M2724" s="7">
        <f>IF(N2724=0,+L2724+H2724,0)</f>
        <v/>
      </c>
      <c r="N2724" s="7">
        <f>IF((+G2724-K2724)=0,0,+G2724-K2724)</f>
        <v/>
      </c>
      <c r="O2724" s="7">
        <f>IF(N2724=0,0,(L2724+H2724)/-N2724)</f>
        <v/>
      </c>
      <c r="P2724" s="7">
        <f>VLOOKUP(OPERAC[[#This Row],[especie]],[1]!ESPECIES[#All],6,0)</f>
        <v/>
      </c>
      <c r="Q2724" s="7">
        <f>IF(N2724&lt;&gt;0,P2724*N2724,0)</f>
        <v/>
      </c>
      <c r="R2724" s="8">
        <f>IF(Q2724&lt;&gt;0,Q2724+H2724+L2724,0)</f>
        <v/>
      </c>
      <c r="S2724" s="9">
        <f>VLOOKUP(OPERAC[[#This Row],[especie]],[1]!ESPECIES[#Data],9,FALSE)</f>
        <v/>
      </c>
    </row>
    <row r="2725">
      <c r="A2725" s="4" t="n">
        <v>12655</v>
      </c>
      <c r="B2725" s="5" t="n">
        <v>44698</v>
      </c>
      <c r="C2725" s="13" t="inlineStr">
        <is>
          <t>CPR</t>
        </is>
      </c>
      <c r="D2725" s="13" t="n">
        <v>39</v>
      </c>
      <c r="E2725" s="10">
        <f>IF(D2725&gt;0,VLOOKUP(OPERAC[[#This Row],[COD CART]],[1]!MatrizCortoLargoCyl[#All],3,0),"")</f>
        <v/>
      </c>
      <c r="F2725" s="13" t="inlineStr">
        <is>
          <t>NTLA/C/65,00/15-07-22</t>
        </is>
      </c>
      <c r="G2725" s="6" t="n">
        <v>200</v>
      </c>
      <c r="H2725" s="6" t="n">
        <v>-504.25</v>
      </c>
      <c r="I2725" s="7">
        <f>-H2725/G2725</f>
        <v/>
      </c>
      <c r="J2725" s="11" t="n"/>
      <c r="K2725" s="6" t="n"/>
      <c r="L2725" s="6" t="n"/>
      <c r="M2725" s="7">
        <f>IF(N2725=0,+L2725+H2725,0)</f>
        <v/>
      </c>
      <c r="N2725" s="7">
        <f>IF((+G2725-K2725)=0,0,+G2725-K2725)</f>
        <v/>
      </c>
      <c r="O2725" s="7">
        <f>IF(N2725=0,0,(L2725+H2725)/-N2725)</f>
        <v/>
      </c>
      <c r="P2725" s="7">
        <f>VLOOKUP(OPERAC[[#This Row],[especie]],[1]!ESPECIES[#All],6,0)</f>
        <v/>
      </c>
      <c r="Q2725" s="7">
        <f>IF(N2725&lt;&gt;0,P2725*N2725,0)</f>
        <v/>
      </c>
      <c r="R2725" s="8">
        <f>IF(Q2725&lt;&gt;0,Q2725+H2725+L2725,0)</f>
        <v/>
      </c>
      <c r="S2725" s="9">
        <f>VLOOKUP(OPERAC[[#This Row],[especie]],[1]!ESPECIES[#Data],9,FALSE)</f>
        <v/>
      </c>
    </row>
    <row r="2726">
      <c r="A2726" s="4" t="n">
        <v>3852</v>
      </c>
      <c r="B2726" s="5" t="n">
        <v>44671</v>
      </c>
      <c r="C2726" s="13" t="inlineStr">
        <is>
          <t>CPR</t>
        </is>
      </c>
      <c r="D2726" s="13" t="n">
        <v>42</v>
      </c>
      <c r="E2726" s="10">
        <f>IF(D2726&gt;0,VLOOKUP(OPERAC[[#This Row],[COD CART]],[1]!MatrizCortoLargoCyl[#All],3,0),"")</f>
        <v/>
      </c>
      <c r="F2726" s="13" t="inlineStr">
        <is>
          <t>NFLX</t>
        </is>
      </c>
      <c r="G2726" s="6" t="n">
        <v>2</v>
      </c>
      <c r="H2726" s="6" t="n">
        <v>-505.22472</v>
      </c>
      <c r="I2726" s="7">
        <f>-H2726/G2726</f>
        <v/>
      </c>
      <c r="J2726" s="11" t="n"/>
      <c r="K2726" s="6" t="n"/>
      <c r="L2726" s="6" t="n"/>
      <c r="M2726" s="7">
        <f>IF(N2726=0,+L2726+H2726,0)</f>
        <v/>
      </c>
      <c r="N2726" s="7">
        <f>IF((+G2726-K2726)=0,0,+G2726-K2726)</f>
        <v/>
      </c>
      <c r="O2726" s="7">
        <f>IF(N2726=0,0,(L2726+H2726)/-N2726)</f>
        <v/>
      </c>
      <c r="P2726" s="7">
        <f>VLOOKUP(OPERAC[[#This Row],[especie]],[1]!ESPECIES[#All],6,0)</f>
        <v/>
      </c>
      <c r="Q2726" s="7">
        <f>IF(N2726&lt;&gt;0,P2726*N2726,0)</f>
        <v/>
      </c>
      <c r="R2726" s="8">
        <f>IF(Q2726&lt;&gt;0,Q2726+H2726+L2726,0)</f>
        <v/>
      </c>
      <c r="S2726" s="9">
        <f>VLOOKUP(OPERAC[[#This Row],[especie]],[1]!ESPECIES[#Data],9,FALSE)</f>
        <v/>
      </c>
    </row>
    <row r="2727">
      <c r="A2727" s="4" t="n">
        <v>19972</v>
      </c>
      <c r="B2727" s="5" t="n">
        <v>44419</v>
      </c>
      <c r="C2727" s="13" t="inlineStr">
        <is>
          <t>CPR</t>
        </is>
      </c>
      <c r="D2727" s="13" t="n">
        <v>40</v>
      </c>
      <c r="E2727" s="10">
        <f>IF(D2727&gt;0,VLOOKUP(OPERAC[[#This Row],[COD CART]],[1]!MatrizCortoLargoCyl[#All],3,0),"")</f>
        <v/>
      </c>
      <c r="F2727" s="13" t="inlineStr">
        <is>
          <t>SESN</t>
        </is>
      </c>
      <c r="G2727" s="6" t="n">
        <v>200</v>
      </c>
      <c r="H2727" s="6" t="n">
        <v>-506.099</v>
      </c>
      <c r="I2727" s="7">
        <f>-H2727/G2727</f>
        <v/>
      </c>
      <c r="J2727" s="11" t="n"/>
      <c r="K2727" s="6" t="n"/>
      <c r="L2727" s="6" t="n"/>
      <c r="M2727" s="7">
        <f>IF(N2727=0,+L2727+H2727,0)</f>
        <v/>
      </c>
      <c r="N2727" s="7">
        <f>IF((+G2727-K2727)=0,0,+G2727-K2727)</f>
        <v/>
      </c>
      <c r="O2727" s="7">
        <f>IF(N2727=0,0,(L2727+H2727)/-N2727)</f>
        <v/>
      </c>
      <c r="P2727" s="7">
        <f>VLOOKUP(OPERAC[[#This Row],[especie]],[1]!ESPECIES[#All],6,0)</f>
        <v/>
      </c>
      <c r="Q2727" s="7">
        <f>IF(N2727&lt;&gt;0,P2727*N2727,0)</f>
        <v/>
      </c>
      <c r="R2727" s="8">
        <f>IF(Q2727&lt;&gt;0,Q2727+H2727+L2727,0)</f>
        <v/>
      </c>
      <c r="S2727" s="9">
        <f>VLOOKUP(OPERAC[[#This Row],[especie]],[1]!ESPECIES[#Data],9,FALSE)</f>
        <v/>
      </c>
    </row>
    <row r="2728">
      <c r="A2728" s="4" t="n">
        <v>2209</v>
      </c>
      <c r="B2728" s="5" t="n">
        <v>44391</v>
      </c>
      <c r="C2728" s="13" t="inlineStr">
        <is>
          <t>CPR</t>
        </is>
      </c>
      <c r="D2728" s="13" t="n">
        <v>41</v>
      </c>
      <c r="E2728" s="10">
        <f>IF(D2728&gt;0,VLOOKUP(OPERAC[[#This Row],[COD CART]],[1]!MatrizCortoLargoCyl[#All],3,0),"")</f>
        <v/>
      </c>
      <c r="F2728" s="13" t="inlineStr">
        <is>
          <t>BSQR</t>
        </is>
      </c>
      <c r="G2728" s="6" t="n">
        <v>132</v>
      </c>
      <c r="H2728" s="6" t="n">
        <v>-506.62</v>
      </c>
      <c r="I2728" s="7">
        <f>-H2728/G2728</f>
        <v/>
      </c>
      <c r="J2728" s="11" t="n"/>
      <c r="K2728" s="6" t="n"/>
      <c r="L2728" s="6" t="n"/>
      <c r="M2728" s="7">
        <f>IF(N2728=0,+L2728+H2728,0)</f>
        <v/>
      </c>
      <c r="N2728" s="7">
        <f>IF((+G2728-K2728)=0,0,+G2728-K2728)</f>
        <v/>
      </c>
      <c r="O2728" s="7">
        <f>IF(N2728=0,0,(L2728+H2728)/-N2728)</f>
        <v/>
      </c>
      <c r="P2728" s="7">
        <f>VLOOKUP(OPERAC[[#This Row],[especie]],[1]!ESPECIES[#All],6,0)</f>
        <v/>
      </c>
      <c r="Q2728" s="7">
        <f>IF(N2728&lt;&gt;0,P2728*N2728,0)</f>
        <v/>
      </c>
      <c r="R2728" s="8">
        <f>IF(Q2728&lt;&gt;0,Q2728+H2728+L2728,0)</f>
        <v/>
      </c>
      <c r="S2728" s="9">
        <f>VLOOKUP(OPERAC[[#This Row],[especie]],[1]!ESPECIES[#Data],9,FALSE)</f>
        <v/>
      </c>
    </row>
    <row r="2729">
      <c r="A2729" s="4" t="n">
        <v>1807</v>
      </c>
      <c r="B2729" s="5" t="n">
        <v>44628</v>
      </c>
      <c r="C2729" s="13" t="inlineStr">
        <is>
          <t>CPR</t>
        </is>
      </c>
      <c r="D2729" s="13" t="n">
        <v>42</v>
      </c>
      <c r="E2729" s="10">
        <f>IF(D2729&gt;0,VLOOKUP(OPERAC[[#This Row],[COD CART]],[1]!MatrizCortoLargoCyl[#All],3,0),"")</f>
        <v/>
      </c>
      <c r="F2729" s="13" t="inlineStr">
        <is>
          <t>COIN</t>
        </is>
      </c>
      <c r="G2729" s="6" t="n">
        <v>3</v>
      </c>
      <c r="H2729" s="6" t="n">
        <v>-506.764</v>
      </c>
      <c r="I2729" s="7">
        <f>-H2729/G2729</f>
        <v/>
      </c>
      <c r="J2729" s="11" t="n">
        <v>44642</v>
      </c>
      <c r="K2729" s="6">
        <f>1+2</f>
        <v/>
      </c>
      <c r="L2729" s="6">
        <f>179.544+395.8</f>
        <v/>
      </c>
      <c r="M2729" s="7">
        <f>IF(N2729=0,+L2729+H2729,0)</f>
        <v/>
      </c>
      <c r="N2729" s="7">
        <f>IF((+G2729-K2729)=0,0,+G2729-K2729)</f>
        <v/>
      </c>
      <c r="O2729" s="7">
        <f>IF(N2729=0,0,(L2729+H2729)/-N2729)</f>
        <v/>
      </c>
      <c r="P2729" s="7">
        <f>VLOOKUP(OPERAC[[#This Row],[especie]],[1]!ESPECIES[#All],6,0)</f>
        <v/>
      </c>
      <c r="Q2729" s="7">
        <f>IF(N2729&lt;&gt;0,P2729*N2729,0)</f>
        <v/>
      </c>
      <c r="R2729" s="8">
        <f>IF(Q2729&lt;&gt;0,Q2729+H2729+L2729,0)</f>
        <v/>
      </c>
      <c r="S2729" s="9">
        <f>VLOOKUP(OPERAC[[#This Row],[especie]],[1]!ESPECIES[#Data],9,FALSE)</f>
        <v/>
      </c>
    </row>
    <row r="2730">
      <c r="A2730" s="4" t="n">
        <v>2276</v>
      </c>
      <c r="B2730" s="5" t="n">
        <v>44438</v>
      </c>
      <c r="C2730" s="13" t="inlineStr">
        <is>
          <t>CPR</t>
        </is>
      </c>
      <c r="D2730" s="13" t="n">
        <v>41</v>
      </c>
      <c r="E2730" s="10">
        <f>IF(D2730&gt;0,VLOOKUP(OPERAC[[#This Row],[COD CART]],[1]!MatrizCortoLargoCyl[#All],3,0),"")</f>
        <v/>
      </c>
      <c r="F2730" s="13" t="inlineStr">
        <is>
          <t>XERS</t>
        </is>
      </c>
      <c r="G2730" s="6" t="n">
        <v>180</v>
      </c>
      <c r="H2730" s="6" t="n">
        <v>-507.118</v>
      </c>
      <c r="I2730" s="7">
        <f>-H2730/G2730</f>
        <v/>
      </c>
      <c r="J2730" s="11" t="n"/>
      <c r="K2730" s="6" t="n"/>
      <c r="L2730" s="6" t="n"/>
      <c r="M2730" s="7">
        <f>IF(N2730=0,+L2730+H2730,0)</f>
        <v/>
      </c>
      <c r="N2730" s="7">
        <f>IF((+G2730-K2730)=0,0,+G2730-K2730)</f>
        <v/>
      </c>
      <c r="O2730" s="7">
        <f>IF(N2730=0,0,(L2730+H2730)/-N2730)</f>
        <v/>
      </c>
      <c r="P2730" s="7">
        <f>VLOOKUP(OPERAC[[#This Row],[especie]],[1]!ESPECIES[#All],6,0)</f>
        <v/>
      </c>
      <c r="Q2730" s="7">
        <f>IF(N2730&lt;&gt;0,P2730*N2730,0)</f>
        <v/>
      </c>
      <c r="R2730" s="8">
        <f>IF(Q2730&lt;&gt;0,Q2730+H2730+L2730,0)</f>
        <v/>
      </c>
      <c r="S2730" s="9">
        <f>VLOOKUP(OPERAC[[#This Row],[especie]],[1]!ESPECIES[#Data],9,FALSE)</f>
        <v/>
      </c>
    </row>
    <row r="2731">
      <c r="A2731" s="4" t="n">
        <v>3820</v>
      </c>
      <c r="B2731" s="5" t="n">
        <v>44671</v>
      </c>
      <c r="C2731" s="13" t="inlineStr">
        <is>
          <t>CPR</t>
        </is>
      </c>
      <c r="D2731" s="13" t="n">
        <v>42</v>
      </c>
      <c r="E2731" s="10">
        <f>IF(D2731&gt;0,VLOOKUP(OPERAC[[#This Row],[COD CART]],[1]!MatrizCortoLargoCyl[#All],3,0),"")</f>
        <v/>
      </c>
      <c r="F2731" s="13" t="inlineStr">
        <is>
          <t>NFLX</t>
        </is>
      </c>
      <c r="G2731" s="6" t="n">
        <v>2</v>
      </c>
      <c r="H2731" s="6" t="n">
        <v>-508.00068</v>
      </c>
      <c r="I2731" s="7">
        <f>-H2731/G2731</f>
        <v/>
      </c>
      <c r="J2731" s="11" t="n">
        <v>44693</v>
      </c>
      <c r="K2731" s="6">
        <f>+OPERAC[[#This Row],[cantidad]]</f>
        <v/>
      </c>
      <c r="L2731" s="6">
        <f>+OPERAC[[#This Row],[cantidad venta]]*169.079</f>
        <v/>
      </c>
      <c r="M2731" s="7">
        <f>IF(N2731=0,+L2731+H2731,0)</f>
        <v/>
      </c>
      <c r="N2731" s="7">
        <f>IF((+G2731-K2731)=0,0,+G2731-K2731)</f>
        <v/>
      </c>
      <c r="O2731" s="7">
        <f>IF(N2731=0,0,(L2731+H2731)/-N2731)</f>
        <v/>
      </c>
      <c r="P2731" s="7">
        <f>VLOOKUP(OPERAC[[#This Row],[especie]],[1]!ESPECIES[#All],6,0)</f>
        <v/>
      </c>
      <c r="Q2731" s="7">
        <f>IF(N2731&lt;&gt;0,P2731*N2731,0)</f>
        <v/>
      </c>
      <c r="R2731" s="8">
        <f>IF(Q2731&lt;&gt;0,Q2731+H2731+L2731,0)</f>
        <v/>
      </c>
      <c r="S2731" s="9">
        <f>VLOOKUP(OPERAC[[#This Row],[especie]],[1]!ESPECIES[#Data],9,FALSE)</f>
        <v/>
      </c>
    </row>
    <row r="2732">
      <c r="A2732" s="4" t="n">
        <v>12671</v>
      </c>
      <c r="B2732" s="5" t="n">
        <v>44671</v>
      </c>
      <c r="C2732" s="13" t="inlineStr">
        <is>
          <t>CPR</t>
        </is>
      </c>
      <c r="D2732" s="13" t="n">
        <v>42</v>
      </c>
      <c r="E2732" s="10">
        <f>IF(D2732&gt;0,VLOOKUP(OPERAC[[#This Row],[COD CART]],[1]!MatrizCortoLargoCyl[#All],3,0),"")</f>
        <v/>
      </c>
      <c r="F2732" s="13" t="inlineStr">
        <is>
          <t>NFLX</t>
        </is>
      </c>
      <c r="G2732" s="6" t="n">
        <v>2</v>
      </c>
      <c r="H2732" s="6" t="n">
        <v>-508.00068</v>
      </c>
      <c r="I2732" s="7">
        <f>-H2732/G2732</f>
        <v/>
      </c>
      <c r="J2732" s="11" t="n">
        <v>44693</v>
      </c>
      <c r="K2732" s="6">
        <f>+OPERAC[[#This Row],[cantidad]]</f>
        <v/>
      </c>
      <c r="L2732" s="6">
        <f>+OPERAC[[#This Row],[cantidad venta]]*169.079</f>
        <v/>
      </c>
      <c r="M2732" s="7">
        <f>IF(N2732=0,+L2732+H2732,0)</f>
        <v/>
      </c>
      <c r="N2732" s="7">
        <f>IF((+G2732-K2732)=0,0,+G2732-K2732)</f>
        <v/>
      </c>
      <c r="O2732" s="7">
        <f>IF(N2732=0,0,(L2732+H2732)/-N2732)</f>
        <v/>
      </c>
      <c r="P2732" s="7">
        <f>VLOOKUP(OPERAC[[#This Row],[especie]],[1]!ESPECIES[#All],6,0)</f>
        <v/>
      </c>
      <c r="Q2732" s="7">
        <f>IF(N2732&lt;&gt;0,P2732*N2732,0)</f>
        <v/>
      </c>
      <c r="R2732" s="8">
        <f>IF(Q2732&lt;&gt;0,Q2732+H2732+L2732,0)</f>
        <v/>
      </c>
      <c r="S2732" s="9">
        <f>VLOOKUP(OPERAC[[#This Row],[especie]],[1]!ESPECIES[#Data],9,FALSE)</f>
        <v/>
      </c>
    </row>
    <row r="2733">
      <c r="A2733" s="4" t="n">
        <v>2253</v>
      </c>
      <c r="B2733" s="5" t="n">
        <v>44586</v>
      </c>
      <c r="C2733" s="13" t="inlineStr">
        <is>
          <t>CPR</t>
        </is>
      </c>
      <c r="D2733" s="13" t="n">
        <v>43</v>
      </c>
      <c r="E2733" s="10">
        <f>IF(D2733&gt;0,VLOOKUP(OPERAC[[#This Row],[COD CART]],[1]!MatrizCortoLargoCyl[#All],3,0),"")</f>
        <v/>
      </c>
      <c r="F2733" s="13" t="inlineStr">
        <is>
          <t>GMBL/CYL-PUT/2,50/20-01-23</t>
        </is>
      </c>
      <c r="G2733" s="6" t="n">
        <v>500</v>
      </c>
      <c r="H2733" s="6" t="n">
        <v>-508.0223</v>
      </c>
      <c r="I2733" s="7">
        <f>-H2733/G2733</f>
        <v/>
      </c>
      <c r="J2733" s="11" t="n">
        <v>44636</v>
      </c>
      <c r="K2733" s="6" t="n">
        <v>500</v>
      </c>
      <c r="L2733" s="6">
        <f>-1.36*OPERAC[[#This Row],[cantidad venta]]</f>
        <v/>
      </c>
      <c r="M2733" s="7">
        <f>IF(N2733=0,+L2733+H2733,0)</f>
        <v/>
      </c>
      <c r="N2733" s="7">
        <f>IF((+G2733-K2733)=0,0,+G2733-K2733)</f>
        <v/>
      </c>
      <c r="O2733" s="7">
        <f>IF(N2733=0,0,(L2733+H2733)/-N2733)</f>
        <v/>
      </c>
      <c r="P2733" s="7">
        <f>VLOOKUP(OPERAC[[#This Row],[especie]],[1]!ESPECIES[#All],6,0)</f>
        <v/>
      </c>
      <c r="Q2733" s="7">
        <f>IF(N2733&lt;&gt;0,P2733*N2733,0)</f>
        <v/>
      </c>
      <c r="R2733" s="8">
        <f>IF(Q2733&lt;&gt;0,Q2733+H2733+L2733,0)</f>
        <v/>
      </c>
      <c r="S2733" s="9">
        <f>VLOOKUP(OPERAC[[#This Row],[especie]],[1]!ESPECIES[#Data],9,FALSE)</f>
        <v/>
      </c>
    </row>
    <row r="2734">
      <c r="A2734" s="4" t="n">
        <v>3853</v>
      </c>
      <c r="B2734" s="5" t="n">
        <v>44586</v>
      </c>
      <c r="C2734" s="13" t="inlineStr">
        <is>
          <t>CPR</t>
        </is>
      </c>
      <c r="D2734" s="13" t="n">
        <v>43</v>
      </c>
      <c r="E2734" s="10">
        <f>IF(D2734&gt;0,VLOOKUP(OPERAC[[#This Row],[COD CART]],[1]!MatrizCortoLargoCyl[#All],3,0),"")</f>
        <v/>
      </c>
      <c r="F2734" s="13" t="inlineStr">
        <is>
          <t>GMBL/CYL-PUT/2,50/20-01-23</t>
        </is>
      </c>
      <c r="G2734" s="6" t="n">
        <v>500</v>
      </c>
      <c r="H2734" s="6" t="n">
        <v>-508.0223</v>
      </c>
      <c r="I2734" s="7">
        <f>-H2734/G2734</f>
        <v/>
      </c>
      <c r="J2734" s="11" t="n">
        <v>44636</v>
      </c>
      <c r="K2734" s="6" t="n">
        <v>500</v>
      </c>
      <c r="L2734" s="6">
        <f>-1.36*OPERAC[[#This Row],[cantidad venta]]</f>
        <v/>
      </c>
      <c r="M2734" s="7">
        <f>IF(N2734=0,+L2734+H2734,0)</f>
        <v/>
      </c>
      <c r="N2734" s="7">
        <f>IF((+G2734-K2734)=0,0,+G2734-K2734)</f>
        <v/>
      </c>
      <c r="O2734" s="7">
        <f>IF(N2734=0,0,(L2734+H2734)/-N2734)</f>
        <v/>
      </c>
      <c r="P2734" s="7">
        <f>VLOOKUP(OPERAC[[#This Row],[especie]],[1]!ESPECIES[#All],6,0)</f>
        <v/>
      </c>
      <c r="Q2734" s="7">
        <f>IF(N2734&lt;&gt;0,P2734*N2734,0)</f>
        <v/>
      </c>
      <c r="R2734" s="8">
        <f>IF(Q2734&lt;&gt;0,Q2734+H2734+L2734,0)</f>
        <v/>
      </c>
      <c r="S2734" s="9">
        <f>VLOOKUP(OPERAC[[#This Row],[especie]],[1]!ESPECIES[#Data],9,FALSE)</f>
        <v/>
      </c>
    </row>
    <row r="2735">
      <c r="A2735" s="4" t="n">
        <v>6579</v>
      </c>
      <c r="B2735" s="5" t="n">
        <v>44586</v>
      </c>
      <c r="C2735" s="13" t="inlineStr">
        <is>
          <t>CPR</t>
        </is>
      </c>
      <c r="D2735" s="13" t="n">
        <v>43</v>
      </c>
      <c r="E2735" s="10">
        <f>IF(D2735&gt;0,VLOOKUP(OPERAC[[#This Row],[COD CART]],[1]!MatrizCortoLargoCyl[#All],3,0),"")</f>
        <v/>
      </c>
      <c r="F2735" s="13" t="inlineStr">
        <is>
          <t>GMBL/CYL-PUT/2,50/20-01-23</t>
        </is>
      </c>
      <c r="G2735" s="6" t="n">
        <v>500</v>
      </c>
      <c r="H2735" s="6" t="n">
        <v>-508.0223</v>
      </c>
      <c r="I2735" s="7">
        <f>-H2735/G2735</f>
        <v/>
      </c>
      <c r="J2735" s="11" t="n">
        <v>44636</v>
      </c>
      <c r="K2735" s="6" t="n">
        <v>500</v>
      </c>
      <c r="L2735" s="6">
        <f>-1.36*OPERAC[[#This Row],[cantidad venta]]</f>
        <v/>
      </c>
      <c r="M2735" s="7">
        <f>IF(N2735=0,+L2735+H2735,0)</f>
        <v/>
      </c>
      <c r="N2735" s="7">
        <f>IF((+G2735-K2735)=0,0,+G2735-K2735)</f>
        <v/>
      </c>
      <c r="O2735" s="7">
        <f>IF(N2735=0,0,(L2735+H2735)/-N2735)</f>
        <v/>
      </c>
      <c r="P2735" s="7">
        <f>VLOOKUP(OPERAC[[#This Row],[especie]],[1]!ESPECIES[#All],6,0)</f>
        <v/>
      </c>
      <c r="Q2735" s="7">
        <f>IF(N2735&lt;&gt;0,P2735*N2735,0)</f>
        <v/>
      </c>
      <c r="R2735" s="8">
        <f>IF(Q2735&lt;&gt;0,Q2735+H2735+L2735,0)</f>
        <v/>
      </c>
      <c r="S2735" s="9">
        <f>VLOOKUP(OPERAC[[#This Row],[especie]],[1]!ESPECIES[#Data],9,FALSE)</f>
        <v/>
      </c>
    </row>
    <row r="2736">
      <c r="A2736" s="4" t="n">
        <v>7493</v>
      </c>
      <c r="B2736" s="5" t="n">
        <v>44586</v>
      </c>
      <c r="C2736" s="13" t="inlineStr">
        <is>
          <t>CPR</t>
        </is>
      </c>
      <c r="D2736" s="13" t="n">
        <v>43</v>
      </c>
      <c r="E2736" s="10">
        <f>IF(D2736&gt;0,VLOOKUP(OPERAC[[#This Row],[COD CART]],[1]!MatrizCortoLargoCyl[#All],3,0),"")</f>
        <v/>
      </c>
      <c r="F2736" s="13" t="inlineStr">
        <is>
          <t>GMBL/CYL-PUT/2,50/20-01-23</t>
        </is>
      </c>
      <c r="G2736" s="6" t="n">
        <v>500</v>
      </c>
      <c r="H2736" s="6" t="n">
        <v>-508.0223</v>
      </c>
      <c r="I2736" s="7">
        <f>-H2736/G2736</f>
        <v/>
      </c>
      <c r="J2736" s="11" t="n">
        <v>44712</v>
      </c>
      <c r="K2736" s="6" t="n">
        <v>500</v>
      </c>
      <c r="L2736" s="6" t="n">
        <v>-889.456</v>
      </c>
      <c r="M2736" s="7">
        <f>IF(N2736=0,+L2736+H2736,0)</f>
        <v/>
      </c>
      <c r="N2736" s="7">
        <f>IF((+G2736-K2736)=0,0,+G2736-K2736)</f>
        <v/>
      </c>
      <c r="O2736" s="7">
        <f>IF(N2736=0,0,(L2736+H2736)/-N2736)</f>
        <v/>
      </c>
      <c r="P2736" s="7">
        <f>VLOOKUP(OPERAC[[#This Row],[especie]],[1]!ESPECIES[#All],6,0)</f>
        <v/>
      </c>
      <c r="Q2736" s="7">
        <f>IF(N2736&lt;&gt;0,P2736*N2736,0)</f>
        <v/>
      </c>
      <c r="R2736" s="8">
        <f>IF(Q2736&lt;&gt;0,Q2736+H2736+L2736,0)</f>
        <v/>
      </c>
      <c r="S2736" s="9">
        <f>VLOOKUP(OPERAC[[#This Row],[especie]],[1]!ESPECIES[#Data],9,FALSE)</f>
        <v/>
      </c>
    </row>
    <row r="2737">
      <c r="A2737" s="4" t="n">
        <v>7867</v>
      </c>
      <c r="B2737" s="5" t="n">
        <v>44586</v>
      </c>
      <c r="C2737" s="13" t="inlineStr">
        <is>
          <t>CPR</t>
        </is>
      </c>
      <c r="D2737" s="13" t="n">
        <v>43</v>
      </c>
      <c r="E2737" s="10">
        <f>IF(D2737&gt;0,VLOOKUP(OPERAC[[#This Row],[COD CART]],[1]!MatrizCortoLargoCyl[#All],3,0),"")</f>
        <v/>
      </c>
      <c r="F2737" s="13" t="inlineStr">
        <is>
          <t>GMBL/CYL-PUT/2,50/20-01-23</t>
        </is>
      </c>
      <c r="G2737" s="6" t="n">
        <v>500</v>
      </c>
      <c r="H2737" s="6" t="n">
        <v>-508.0223</v>
      </c>
      <c r="I2737" s="7">
        <f>-H2737/G2737</f>
        <v/>
      </c>
      <c r="J2737" s="11" t="n">
        <v>44705</v>
      </c>
      <c r="K2737" s="6" t="n">
        <v>500</v>
      </c>
      <c r="L2737" s="6" t="n">
        <v>-924.336</v>
      </c>
      <c r="M2737" s="7">
        <f>IF(N2737=0,+L2737+H2737,0)</f>
        <v/>
      </c>
      <c r="N2737" s="7">
        <f>IF((+G2737-K2737)=0,0,+G2737-K2737)</f>
        <v/>
      </c>
      <c r="O2737" s="7">
        <f>IF(N2737=0,0,(L2737+H2737)/-N2737)</f>
        <v/>
      </c>
      <c r="P2737" s="7">
        <f>VLOOKUP(OPERAC[[#This Row],[especie]],[1]!ESPECIES[#All],6,0)</f>
        <v/>
      </c>
      <c r="Q2737" s="7">
        <f>IF(N2737&lt;&gt;0,P2737*N2737,0)</f>
        <v/>
      </c>
      <c r="R2737" s="8">
        <f>IF(Q2737&lt;&gt;0,Q2737+H2737+L2737,0)</f>
        <v/>
      </c>
      <c r="S2737" s="9">
        <f>VLOOKUP(OPERAC[[#This Row],[especie]],[1]!ESPECIES[#Data],9,FALSE)</f>
        <v/>
      </c>
    </row>
    <row r="2738">
      <c r="A2738" s="4" t="n">
        <v>12619</v>
      </c>
      <c r="B2738" s="5" t="n">
        <v>44586</v>
      </c>
      <c r="C2738" s="13" t="inlineStr">
        <is>
          <t>CPR</t>
        </is>
      </c>
      <c r="D2738" s="13" t="n">
        <v>43</v>
      </c>
      <c r="E2738" s="10">
        <f>IF(D2738&gt;0,VLOOKUP(OPERAC[[#This Row],[COD CART]],[1]!MatrizCortoLargoCyl[#All],3,0),"")</f>
        <v/>
      </c>
      <c r="F2738" s="13" t="inlineStr">
        <is>
          <t>GMBL/CYL-PUT/2,50/20-01-23</t>
        </is>
      </c>
      <c r="G2738" s="6" t="n">
        <v>500</v>
      </c>
      <c r="H2738" s="6" t="n">
        <v>-508.0223</v>
      </c>
      <c r="I2738" s="7">
        <f>-H2738/G2738</f>
        <v/>
      </c>
      <c r="J2738" s="11" t="n">
        <v>44636</v>
      </c>
      <c r="K2738" s="6" t="n">
        <v>500</v>
      </c>
      <c r="L2738" s="6">
        <f>-1.36*OPERAC[[#This Row],[cantidad venta]]</f>
        <v/>
      </c>
      <c r="M2738" s="7">
        <f>IF(N2738=0,+L2738+H2738,0)</f>
        <v/>
      </c>
      <c r="N2738" s="7">
        <f>IF((+G2738-K2738)=0,0,+G2738-K2738)</f>
        <v/>
      </c>
      <c r="O2738" s="7">
        <f>IF(N2738=0,0,(L2738+H2738)/-N2738)</f>
        <v/>
      </c>
      <c r="P2738" s="7">
        <f>VLOOKUP(OPERAC[[#This Row],[especie]],[1]!ESPECIES[#All],6,0)</f>
        <v/>
      </c>
      <c r="Q2738" s="7">
        <f>IF(N2738&lt;&gt;0,P2738*N2738,0)</f>
        <v/>
      </c>
      <c r="R2738" s="8">
        <f>IF(Q2738&lt;&gt;0,Q2738+H2738+L2738,0)</f>
        <v/>
      </c>
      <c r="S2738" s="9">
        <f>VLOOKUP(OPERAC[[#This Row],[especie]],[1]!ESPECIES[#Data],9,FALSE)</f>
        <v/>
      </c>
    </row>
    <row r="2739">
      <c r="A2739" s="4" t="n">
        <v>12627</v>
      </c>
      <c r="B2739" s="5" t="n">
        <v>44586</v>
      </c>
      <c r="C2739" s="13" t="inlineStr">
        <is>
          <t>CPR</t>
        </is>
      </c>
      <c r="D2739" s="13" t="n">
        <v>43</v>
      </c>
      <c r="E2739" s="10">
        <f>IF(D2739&gt;0,VLOOKUP(OPERAC[[#This Row],[COD CART]],[1]!MatrizCortoLargoCyl[#All],3,0),"")</f>
        <v/>
      </c>
      <c r="F2739" s="13" t="inlineStr">
        <is>
          <t>GMBL/CYL-PUT/2,50/20-01-23</t>
        </is>
      </c>
      <c r="G2739" s="6" t="n">
        <v>500</v>
      </c>
      <c r="H2739" s="6" t="n">
        <v>-508.0223</v>
      </c>
      <c r="I2739" s="7">
        <f>-H2739/G2739</f>
        <v/>
      </c>
      <c r="J2739" s="11" t="n">
        <v>44636</v>
      </c>
      <c r="K2739" s="6" t="n">
        <v>500</v>
      </c>
      <c r="L2739" s="6">
        <f>-1.36*OPERAC[[#This Row],[cantidad venta]]</f>
        <v/>
      </c>
      <c r="M2739" s="7">
        <f>IF(N2739=0,+L2739+H2739,0)</f>
        <v/>
      </c>
      <c r="N2739" s="7">
        <f>IF((+G2739-K2739)=0,0,+G2739-K2739)</f>
        <v/>
      </c>
      <c r="O2739" s="7">
        <f>IF(N2739=0,0,(L2739+H2739)/-N2739)</f>
        <v/>
      </c>
      <c r="P2739" s="7">
        <f>VLOOKUP(OPERAC[[#This Row],[especie]],[1]!ESPECIES[#All],6,0)</f>
        <v/>
      </c>
      <c r="Q2739" s="7">
        <f>IF(N2739&lt;&gt;0,P2739*N2739,0)</f>
        <v/>
      </c>
      <c r="R2739" s="8">
        <f>IF(Q2739&lt;&gt;0,Q2739+H2739+L2739,0)</f>
        <v/>
      </c>
      <c r="S2739" s="9">
        <f>VLOOKUP(OPERAC[[#This Row],[especie]],[1]!ESPECIES[#Data],9,FALSE)</f>
        <v/>
      </c>
    </row>
    <row r="2740">
      <c r="A2740" s="4" t="n">
        <v>12652</v>
      </c>
      <c r="B2740" s="5" t="n">
        <v>44586</v>
      </c>
      <c r="C2740" s="13" t="inlineStr">
        <is>
          <t>CPR</t>
        </is>
      </c>
      <c r="D2740" s="13" t="n">
        <v>43</v>
      </c>
      <c r="E2740" s="10">
        <f>IF(D2740&gt;0,VLOOKUP(OPERAC[[#This Row],[COD CART]],[1]!MatrizCortoLargoCyl[#All],3,0),"")</f>
        <v/>
      </c>
      <c r="F2740" s="13" t="inlineStr">
        <is>
          <t>GMBL/CYL-PUT/2,50/20-01-23</t>
        </is>
      </c>
      <c r="G2740" s="6" t="n">
        <v>500</v>
      </c>
      <c r="H2740" s="6" t="n">
        <v>-508.0223</v>
      </c>
      <c r="I2740" s="7">
        <f>-H2740/G2740</f>
        <v/>
      </c>
      <c r="J2740" s="11" t="n">
        <v>44636</v>
      </c>
      <c r="K2740" s="6" t="n">
        <v>500</v>
      </c>
      <c r="L2740" s="6">
        <f>-1.36*OPERAC[[#This Row],[cantidad venta]]</f>
        <v/>
      </c>
      <c r="M2740" s="7">
        <f>IF(N2740=0,+L2740+H2740,0)</f>
        <v/>
      </c>
      <c r="N2740" s="7">
        <f>IF((+G2740-K2740)=0,0,+G2740-K2740)</f>
        <v/>
      </c>
      <c r="O2740" s="7">
        <f>IF(N2740=0,0,(L2740+H2740)/-N2740)</f>
        <v/>
      </c>
      <c r="P2740" s="7">
        <f>VLOOKUP(OPERAC[[#This Row],[especie]],[1]!ESPECIES[#All],6,0)</f>
        <v/>
      </c>
      <c r="Q2740" s="7">
        <f>IF(N2740&lt;&gt;0,P2740*N2740,0)</f>
        <v/>
      </c>
      <c r="R2740" s="8">
        <f>IF(Q2740&lt;&gt;0,Q2740+H2740+L2740,0)</f>
        <v/>
      </c>
      <c r="S2740" s="9">
        <f>VLOOKUP(OPERAC[[#This Row],[especie]],[1]!ESPECIES[#Data],9,FALSE)</f>
        <v/>
      </c>
    </row>
    <row r="2741">
      <c r="A2741" s="4" t="n">
        <v>12655</v>
      </c>
      <c r="B2741" s="5" t="n">
        <v>44586</v>
      </c>
      <c r="C2741" s="13" t="inlineStr">
        <is>
          <t>CPR</t>
        </is>
      </c>
      <c r="D2741" s="13" t="n">
        <v>43</v>
      </c>
      <c r="E2741" s="10">
        <f>IF(D2741&gt;0,VLOOKUP(OPERAC[[#This Row],[COD CART]],[1]!MatrizCortoLargoCyl[#All],3,0),"")</f>
        <v/>
      </c>
      <c r="F2741" s="13" t="inlineStr">
        <is>
          <t>GMBL/CYL-PUT/2,50/20-01-23</t>
        </is>
      </c>
      <c r="G2741" s="6" t="n">
        <v>500</v>
      </c>
      <c r="H2741" s="6" t="n">
        <v>-508.0223</v>
      </c>
      <c r="I2741" s="7">
        <f>-H2741/G2741</f>
        <v/>
      </c>
      <c r="J2741" s="11" t="n">
        <v>44636</v>
      </c>
      <c r="K2741" s="6" t="n">
        <v>500</v>
      </c>
      <c r="L2741" s="6">
        <f>-1.36*OPERAC[[#This Row],[cantidad venta]]</f>
        <v/>
      </c>
      <c r="M2741" s="7">
        <f>IF(N2741=0,+L2741+H2741,0)</f>
        <v/>
      </c>
      <c r="N2741" s="7">
        <f>IF((+G2741-K2741)=0,0,+G2741-K2741)</f>
        <v/>
      </c>
      <c r="O2741" s="7">
        <f>IF(N2741=0,0,(L2741+H2741)/-N2741)</f>
        <v/>
      </c>
      <c r="P2741" s="7">
        <f>VLOOKUP(OPERAC[[#This Row],[especie]],[1]!ESPECIES[#All],6,0)</f>
        <v/>
      </c>
      <c r="Q2741" s="7">
        <f>IF(N2741&lt;&gt;0,P2741*N2741,0)</f>
        <v/>
      </c>
      <c r="R2741" s="8">
        <f>IF(Q2741&lt;&gt;0,Q2741+H2741+L2741,0)</f>
        <v/>
      </c>
      <c r="S2741" s="9">
        <f>VLOOKUP(OPERAC[[#This Row],[especie]],[1]!ESPECIES[#Data],9,FALSE)</f>
        <v/>
      </c>
    </row>
    <row r="2742">
      <c r="A2742" s="4" t="n">
        <v>13271</v>
      </c>
      <c r="B2742" s="5" t="n">
        <v>44586</v>
      </c>
      <c r="C2742" s="13" t="inlineStr">
        <is>
          <t>CPR</t>
        </is>
      </c>
      <c r="D2742" s="13" t="n">
        <v>43</v>
      </c>
      <c r="E2742" s="10">
        <f>IF(D2742&gt;0,VLOOKUP(OPERAC[[#This Row],[COD CART]],[1]!MatrizCortoLargoCyl[#All],3,0),"")</f>
        <v/>
      </c>
      <c r="F2742" s="13" t="inlineStr">
        <is>
          <t>GMBL/CYL-PUT/2,50/20-01-23</t>
        </is>
      </c>
      <c r="G2742" s="6" t="n">
        <v>500</v>
      </c>
      <c r="H2742" s="6" t="n">
        <v>-508.0223000000001</v>
      </c>
      <c r="I2742" s="7">
        <f>-H2742/G2742</f>
        <v/>
      </c>
      <c r="J2742" s="11" t="n">
        <v>44636</v>
      </c>
      <c r="K2742" s="6" t="n">
        <v>500</v>
      </c>
      <c r="L2742" s="6">
        <f>-1.36*OPERAC[[#This Row],[cantidad venta]]</f>
        <v/>
      </c>
      <c r="M2742" s="7">
        <f>IF(N2742=0,+L2742+H2742,0)</f>
        <v/>
      </c>
      <c r="N2742" s="7">
        <f>IF((+G2742-K2742)=0,0,+G2742-K2742)</f>
        <v/>
      </c>
      <c r="O2742" s="7">
        <f>IF(N2742=0,0,(L2742+H2742)/-N2742)</f>
        <v/>
      </c>
      <c r="P2742" s="7">
        <f>VLOOKUP(OPERAC[[#This Row],[especie]],[1]!ESPECIES[#All],6,0)</f>
        <v/>
      </c>
      <c r="Q2742" s="7">
        <f>IF(N2742&lt;&gt;0,P2742*N2742,0)</f>
        <v/>
      </c>
      <c r="R2742" s="8">
        <f>IF(Q2742&lt;&gt;0,Q2742+H2742+L2742,0)</f>
        <v/>
      </c>
      <c r="S2742" s="9">
        <f>VLOOKUP(OPERAC[[#This Row],[especie]],[1]!ESPECIES[#Data],9,FALSE)</f>
        <v/>
      </c>
    </row>
    <row r="2743">
      <c r="A2743" s="4" t="n">
        <v>13273</v>
      </c>
      <c r="B2743" s="5" t="n">
        <v>44586</v>
      </c>
      <c r="C2743" s="13" t="inlineStr">
        <is>
          <t>CPR</t>
        </is>
      </c>
      <c r="D2743" s="13" t="n">
        <v>43</v>
      </c>
      <c r="E2743" s="10">
        <f>IF(D2743&gt;0,VLOOKUP(OPERAC[[#This Row],[COD CART]],[1]!MatrizCortoLargoCyl[#All],3,0),"")</f>
        <v/>
      </c>
      <c r="F2743" s="13" t="inlineStr">
        <is>
          <t>GMBL/CYL-PUT/2,50/20-01-23</t>
        </is>
      </c>
      <c r="G2743" s="6" t="n">
        <v>500</v>
      </c>
      <c r="H2743" s="6" t="n">
        <v>-508.0223000000001</v>
      </c>
      <c r="I2743" s="7">
        <f>-H2743/G2743</f>
        <v/>
      </c>
      <c r="J2743" s="11" t="n">
        <v>44636</v>
      </c>
      <c r="K2743" s="6" t="n">
        <v>500</v>
      </c>
      <c r="L2743" s="6">
        <f>-1.36*OPERAC[[#This Row],[cantidad venta]]</f>
        <v/>
      </c>
      <c r="M2743" s="7">
        <f>IF(N2743=0,+L2743+H2743,0)</f>
        <v/>
      </c>
      <c r="N2743" s="7">
        <f>IF((+G2743-K2743)=0,0,+G2743-K2743)</f>
        <v/>
      </c>
      <c r="O2743" s="7">
        <f>IF(N2743=0,0,(L2743+H2743)/-N2743)</f>
        <v/>
      </c>
      <c r="P2743" s="7">
        <f>VLOOKUP(OPERAC[[#This Row],[especie]],[1]!ESPECIES[#All],6,0)</f>
        <v/>
      </c>
      <c r="Q2743" s="7">
        <f>IF(N2743&lt;&gt;0,P2743*N2743,0)</f>
        <v/>
      </c>
      <c r="R2743" s="8">
        <f>IF(Q2743&lt;&gt;0,Q2743+H2743+L2743,0)</f>
        <v/>
      </c>
      <c r="S2743" s="9">
        <f>VLOOKUP(OPERAC[[#This Row],[especie]],[1]!ESPECIES[#Data],9,FALSE)</f>
        <v/>
      </c>
    </row>
    <row r="2744">
      <c r="A2744" s="4" t="n">
        <v>16833</v>
      </c>
      <c r="B2744" s="5" t="n">
        <v>44586</v>
      </c>
      <c r="C2744" s="13" t="inlineStr">
        <is>
          <t>CPR</t>
        </is>
      </c>
      <c r="D2744" s="13" t="n">
        <v>43</v>
      </c>
      <c r="E2744" s="10">
        <f>IF(D2744&gt;0,VLOOKUP(OPERAC[[#This Row],[COD CART]],[1]!MatrizCortoLargoCyl[#All],3,0),"")</f>
        <v/>
      </c>
      <c r="F2744" s="13" t="inlineStr">
        <is>
          <t>GMBL/CYL-PUT/2,50/20-01-23</t>
        </is>
      </c>
      <c r="G2744" s="6" t="n">
        <v>500</v>
      </c>
      <c r="H2744" s="6" t="n">
        <v>-508.0223000000001</v>
      </c>
      <c r="I2744" s="7">
        <f>-H2744/G2744</f>
        <v/>
      </c>
      <c r="J2744" s="11" t="n">
        <v>44643</v>
      </c>
      <c r="K2744" s="6">
        <f>200+300</f>
        <v/>
      </c>
      <c r="L2744" s="6">
        <f>-224.969-537.26</f>
        <v/>
      </c>
      <c r="M2744" s="7">
        <f>IF(N2744=0,+L2744+H2744,0)</f>
        <v/>
      </c>
      <c r="N2744" s="7">
        <f>IF((+G2744-K2744)=0,0,+G2744-K2744)</f>
        <v/>
      </c>
      <c r="O2744" s="7">
        <f>IF(N2744=0,0,(L2744+H2744)/-N2744)</f>
        <v/>
      </c>
      <c r="P2744" s="7">
        <f>VLOOKUP(OPERAC[[#This Row],[especie]],[1]!ESPECIES[#All],6,0)</f>
        <v/>
      </c>
      <c r="Q2744" s="7">
        <f>IF(N2744&lt;&gt;0,P2744*N2744,0)</f>
        <v/>
      </c>
      <c r="R2744" s="8">
        <f>IF(Q2744&lt;&gt;0,Q2744+H2744+L2744,0)</f>
        <v/>
      </c>
      <c r="S2744" s="9">
        <f>VLOOKUP(OPERAC[[#This Row],[especie]],[1]!ESPECIES[#Data],9,FALSE)</f>
        <v/>
      </c>
    </row>
    <row r="2745">
      <c r="A2745" s="4" t="n">
        <v>18713</v>
      </c>
      <c r="B2745" s="5" t="n">
        <v>44586</v>
      </c>
      <c r="C2745" s="13" t="inlineStr">
        <is>
          <t>CPR</t>
        </is>
      </c>
      <c r="D2745" s="13" t="n">
        <v>43</v>
      </c>
      <c r="E2745" s="10">
        <f>IF(D2745&gt;0,VLOOKUP(OPERAC[[#This Row],[COD CART]],[1]!MatrizCortoLargoCyl[#All],3,0),"")</f>
        <v/>
      </c>
      <c r="F2745" s="13" t="inlineStr">
        <is>
          <t>GMBL/CYL-PUT/2,50/20-01-23</t>
        </is>
      </c>
      <c r="G2745" s="6" t="n">
        <v>500</v>
      </c>
      <c r="H2745" s="6" t="n">
        <v>-508.0223000000001</v>
      </c>
      <c r="I2745" s="7">
        <f>-H2745/G2745</f>
        <v/>
      </c>
      <c r="J2745" s="11" t="n">
        <v>44697</v>
      </c>
      <c r="K2745" s="6" t="n">
        <v>500</v>
      </c>
      <c r="L2745" s="6" t="n">
        <v>-859.51</v>
      </c>
      <c r="M2745" s="7">
        <f>IF(N2745=0,+L2745+H2745,0)</f>
        <v/>
      </c>
      <c r="N2745" s="7">
        <f>IF((+G2745-K2745)=0,0,+G2745-K2745)</f>
        <v/>
      </c>
      <c r="O2745" s="7">
        <f>IF(N2745=0,0,(L2745+H2745)/-N2745)</f>
        <v/>
      </c>
      <c r="P2745" s="7">
        <f>VLOOKUP(OPERAC[[#This Row],[especie]],[1]!ESPECIES[#All],6,0)</f>
        <v/>
      </c>
      <c r="Q2745" s="7">
        <f>IF(N2745&lt;&gt;0,P2745*N2745,0)</f>
        <v/>
      </c>
      <c r="R2745" s="8">
        <f>IF(Q2745&lt;&gt;0,Q2745+H2745+L2745,0)</f>
        <v/>
      </c>
      <c r="S2745" s="9">
        <f>VLOOKUP(OPERAC[[#This Row],[especie]],[1]!ESPECIES[#Data],9,FALSE)</f>
        <v/>
      </c>
    </row>
    <row r="2746">
      <c r="A2746" s="4" t="n">
        <v>18726</v>
      </c>
      <c r="B2746" s="5" t="n">
        <v>44586</v>
      </c>
      <c r="C2746" s="13" t="inlineStr">
        <is>
          <t>CPR</t>
        </is>
      </c>
      <c r="D2746" s="13" t="n">
        <v>43</v>
      </c>
      <c r="E2746" s="10">
        <f>IF(D2746&gt;0,VLOOKUP(OPERAC[[#This Row],[COD CART]],[1]!MatrizCortoLargoCyl[#All],3,0),"")</f>
        <v/>
      </c>
      <c r="F2746" s="13" t="inlineStr">
        <is>
          <t>GMBL/CYL-PUT/2,50/20-01-23</t>
        </is>
      </c>
      <c r="G2746" s="6" t="n">
        <v>500</v>
      </c>
      <c r="H2746" s="6" t="n">
        <v>-508.0223000000001</v>
      </c>
      <c r="I2746" s="7">
        <f>-H2746/G2746</f>
        <v/>
      </c>
      <c r="J2746" s="11" t="n"/>
      <c r="K2746" s="6" t="n"/>
      <c r="L2746" s="6" t="n"/>
      <c r="M2746" s="7">
        <f>IF(N2746=0,+L2746+H2746,0)</f>
        <v/>
      </c>
      <c r="N2746" s="7">
        <f>IF((+G2746-K2746)=0,0,+G2746-K2746)</f>
        <v/>
      </c>
      <c r="O2746" s="7">
        <f>IF(N2746=0,0,(L2746+H2746)/-N2746)</f>
        <v/>
      </c>
      <c r="P2746" s="7">
        <f>VLOOKUP(OPERAC[[#This Row],[especie]],[1]!ESPECIES[#All],6,0)</f>
        <v/>
      </c>
      <c r="Q2746" s="7">
        <f>IF(N2746&lt;&gt;0,P2746*N2746,0)</f>
        <v/>
      </c>
      <c r="R2746" s="8">
        <f>IF(Q2746&lt;&gt;0,Q2746+H2746+L2746,0)</f>
        <v/>
      </c>
      <c r="S2746" s="9">
        <f>VLOOKUP(OPERAC[[#This Row],[especie]],[1]!ESPECIES[#Data],9,FALSE)</f>
        <v/>
      </c>
    </row>
    <row r="2747">
      <c r="A2747" s="4" t="n">
        <v>22431</v>
      </c>
      <c r="B2747" s="5" t="n">
        <v>44586</v>
      </c>
      <c r="C2747" s="13" t="inlineStr">
        <is>
          <t>CPR</t>
        </is>
      </c>
      <c r="D2747" s="13" t="n">
        <v>43</v>
      </c>
      <c r="E2747" s="10">
        <f>IF(D2747&gt;0,VLOOKUP(OPERAC[[#This Row],[COD CART]],[1]!MatrizCortoLargoCyl[#All],3,0),"")</f>
        <v/>
      </c>
      <c r="F2747" s="13" t="inlineStr">
        <is>
          <t>GMBL/CYL-PUT/2,50/20-01-23</t>
        </is>
      </c>
      <c r="G2747" s="6" t="n">
        <v>500</v>
      </c>
      <c r="H2747" s="6" t="n">
        <v>-508.0223000000001</v>
      </c>
      <c r="I2747" s="7">
        <f>-H2747/G2747</f>
        <v/>
      </c>
      <c r="J2747" s="11" t="n">
        <v>44698</v>
      </c>
      <c r="K2747" s="6" t="n">
        <v>500</v>
      </c>
      <c r="L2747" s="6" t="n">
        <v>-861.9400000000001</v>
      </c>
      <c r="M2747" s="7">
        <f>IF(N2747=0,+L2747+H2747,0)</f>
        <v/>
      </c>
      <c r="N2747" s="7">
        <f>IF((+G2747-K2747)=0,0,+G2747-K2747)</f>
        <v/>
      </c>
      <c r="O2747" s="7">
        <f>IF(N2747=0,0,(L2747+H2747)/-N2747)</f>
        <v/>
      </c>
      <c r="P2747" s="7">
        <f>VLOOKUP(OPERAC[[#This Row],[especie]],[1]!ESPECIES[#All],6,0)</f>
        <v/>
      </c>
      <c r="Q2747" s="7">
        <f>IF(N2747&lt;&gt;0,P2747*N2747,0)</f>
        <v/>
      </c>
      <c r="R2747" s="8">
        <f>IF(Q2747&lt;&gt;0,Q2747+H2747+L2747,0)</f>
        <v/>
      </c>
      <c r="S2747" s="9">
        <f>VLOOKUP(OPERAC[[#This Row],[especie]],[1]!ESPECIES[#Data],9,FALSE)</f>
        <v/>
      </c>
    </row>
    <row r="2748">
      <c r="A2748" s="4" t="n">
        <v>1792</v>
      </c>
      <c r="B2748" s="5" t="n">
        <v>44671</v>
      </c>
      <c r="C2748" s="13" t="inlineStr">
        <is>
          <t>CPR</t>
        </is>
      </c>
      <c r="D2748" s="13" t="n">
        <v>42</v>
      </c>
      <c r="E2748" s="10">
        <f>IF(D2748&gt;0,VLOOKUP(OPERAC[[#This Row],[COD CART]],[1]!MatrizCortoLargoCyl[#All],3,0),"")</f>
        <v/>
      </c>
      <c r="F2748" s="13" t="inlineStr">
        <is>
          <t>NFLX</t>
        </is>
      </c>
      <c r="G2748" s="6" t="n">
        <v>2</v>
      </c>
      <c r="H2748" s="6" t="n">
        <v>-509.01012</v>
      </c>
      <c r="I2748" s="7">
        <f>-H2748/G2748</f>
        <v/>
      </c>
      <c r="J2748" s="11" t="n">
        <v>44693</v>
      </c>
      <c r="K2748" s="6">
        <f>+OPERAC[[#This Row],[cantidad]]</f>
        <v/>
      </c>
      <c r="L2748" s="6">
        <f>+OPERAC[[#This Row],[cantidad venta]]*164.905</f>
        <v/>
      </c>
      <c r="M2748" s="7">
        <f>IF(N2748=0,+L2748+H2748,0)</f>
        <v/>
      </c>
      <c r="N2748" s="7">
        <f>IF((+G2748-K2748)=0,0,+G2748-K2748)</f>
        <v/>
      </c>
      <c r="O2748" s="7">
        <f>IF(N2748=0,0,(L2748+H2748)/-N2748)</f>
        <v/>
      </c>
      <c r="P2748" s="7">
        <f>VLOOKUP(OPERAC[[#This Row],[especie]],[1]!ESPECIES[#All],6,0)</f>
        <v/>
      </c>
      <c r="Q2748" s="7">
        <f>IF(N2748&lt;&gt;0,P2748*N2748,0)</f>
        <v/>
      </c>
      <c r="R2748" s="8">
        <f>IF(Q2748&lt;&gt;0,Q2748+H2748+L2748,0)</f>
        <v/>
      </c>
      <c r="S2748" s="9">
        <f>VLOOKUP(OPERAC[[#This Row],[especie]],[1]!ESPECIES[#Data],9,FALSE)</f>
        <v/>
      </c>
    </row>
    <row r="2749">
      <c r="A2749" s="4" t="n">
        <v>1801</v>
      </c>
      <c r="B2749" s="5" t="n">
        <v>44671</v>
      </c>
      <c r="C2749" s="13" t="inlineStr">
        <is>
          <t>CPR</t>
        </is>
      </c>
      <c r="D2749" s="13" t="n">
        <v>42</v>
      </c>
      <c r="E2749" s="10">
        <f>IF(D2749&gt;0,VLOOKUP(OPERAC[[#This Row],[COD CART]],[1]!MatrizCortoLargoCyl[#All],3,0),"")</f>
        <v/>
      </c>
      <c r="F2749" s="13" t="inlineStr">
        <is>
          <t>NFLX</t>
        </is>
      </c>
      <c r="G2749" s="6" t="n">
        <v>2</v>
      </c>
      <c r="H2749" s="6" t="n">
        <v>-509.01012</v>
      </c>
      <c r="I2749" s="7">
        <f>-H2749/G2749</f>
        <v/>
      </c>
      <c r="J2749" s="11" t="n">
        <v>44704</v>
      </c>
      <c r="K2749" s="6" t="n">
        <v>2</v>
      </c>
      <c r="L2749" s="6" t="n">
        <v>363.98</v>
      </c>
      <c r="M2749" s="7">
        <f>IF(N2749=0,+L2749+H2749,0)</f>
        <v/>
      </c>
      <c r="N2749" s="7">
        <f>IF((+G2749-K2749)=0,0,+G2749-K2749)</f>
        <v/>
      </c>
      <c r="O2749" s="7">
        <f>IF(N2749=0,0,(L2749+H2749)/-N2749)</f>
        <v/>
      </c>
      <c r="P2749" s="7">
        <f>VLOOKUP(OPERAC[[#This Row],[especie]],[1]!ESPECIES[#All],6,0)</f>
        <v/>
      </c>
      <c r="Q2749" s="7">
        <f>IF(N2749&lt;&gt;0,P2749*N2749,0)</f>
        <v/>
      </c>
      <c r="R2749" s="8">
        <f>IF(Q2749&lt;&gt;0,Q2749+H2749+L2749,0)</f>
        <v/>
      </c>
      <c r="S2749" s="9">
        <f>VLOOKUP(OPERAC[[#This Row],[especie]],[1]!ESPECIES[#Data],9,FALSE)</f>
        <v/>
      </c>
    </row>
    <row r="2750">
      <c r="A2750" s="4" t="n">
        <v>1807</v>
      </c>
      <c r="B2750" s="5" t="n">
        <v>44671</v>
      </c>
      <c r="C2750" s="13" t="inlineStr">
        <is>
          <t>CPR</t>
        </is>
      </c>
      <c r="D2750" s="13" t="n">
        <v>42</v>
      </c>
      <c r="E2750" s="10">
        <f>IF(D2750&gt;0,VLOOKUP(OPERAC[[#This Row],[COD CART]],[1]!MatrizCortoLargoCyl[#All],3,0),"")</f>
        <v/>
      </c>
      <c r="F2750" s="13" t="inlineStr">
        <is>
          <t>NFLX</t>
        </is>
      </c>
      <c r="G2750" s="6" t="n">
        <v>2</v>
      </c>
      <c r="H2750" s="6" t="n">
        <v>-509.01012</v>
      </c>
      <c r="I2750" s="7">
        <f>-H2750/G2750</f>
        <v/>
      </c>
      <c r="J2750" s="11" t="n">
        <v>44693</v>
      </c>
      <c r="K2750" s="6">
        <f>+OPERAC[[#This Row],[cantidad]]</f>
        <v/>
      </c>
      <c r="L2750" s="6">
        <f>+OPERAC[[#This Row],[cantidad venta]]*164.905</f>
        <v/>
      </c>
      <c r="M2750" s="7">
        <f>IF(N2750=0,+L2750+H2750,0)</f>
        <v/>
      </c>
      <c r="N2750" s="7">
        <f>IF((+G2750-K2750)=0,0,+G2750-K2750)</f>
        <v/>
      </c>
      <c r="O2750" s="7">
        <f>IF(N2750=0,0,(L2750+H2750)/-N2750)</f>
        <v/>
      </c>
      <c r="P2750" s="7">
        <f>VLOOKUP(OPERAC[[#This Row],[especie]],[1]!ESPECIES[#All],6,0)</f>
        <v/>
      </c>
      <c r="Q2750" s="7">
        <f>IF(N2750&lt;&gt;0,P2750*N2750,0)</f>
        <v/>
      </c>
      <c r="R2750" s="8">
        <f>IF(Q2750&lt;&gt;0,Q2750+H2750+L2750,0)</f>
        <v/>
      </c>
      <c r="S2750" s="9">
        <f>VLOOKUP(OPERAC[[#This Row],[especie]],[1]!ESPECIES[#Data],9,FALSE)</f>
        <v/>
      </c>
    </row>
    <row r="2751">
      <c r="A2751" s="4" t="n">
        <v>2279</v>
      </c>
      <c r="B2751" s="5" t="n">
        <v>44671</v>
      </c>
      <c r="C2751" s="13" t="inlineStr">
        <is>
          <t>CPR</t>
        </is>
      </c>
      <c r="D2751" s="13" t="n">
        <v>42</v>
      </c>
      <c r="E2751" s="10">
        <f>IF(D2751&gt;0,VLOOKUP(OPERAC[[#This Row],[COD CART]],[1]!MatrizCortoLargoCyl[#All],3,0),"")</f>
        <v/>
      </c>
      <c r="F2751" s="13" t="inlineStr">
        <is>
          <t>NFLX</t>
        </is>
      </c>
      <c r="G2751" s="6" t="n">
        <v>2</v>
      </c>
      <c r="H2751" s="6" t="n">
        <v>-509.01012</v>
      </c>
      <c r="I2751" s="7">
        <f>-H2751/G2751</f>
        <v/>
      </c>
      <c r="J2751" s="11" t="n">
        <v>44693</v>
      </c>
      <c r="K2751" s="6">
        <f>+OPERAC[[#This Row],[cantidad]]</f>
        <v/>
      </c>
      <c r="L2751" s="6">
        <f>+OPERAC[[#This Row],[cantidad venta]]*164.905</f>
        <v/>
      </c>
      <c r="M2751" s="7">
        <f>IF(N2751=0,+L2751+H2751,0)</f>
        <v/>
      </c>
      <c r="N2751" s="7">
        <f>IF((+G2751-K2751)=0,0,+G2751-K2751)</f>
        <v/>
      </c>
      <c r="O2751" s="7">
        <f>IF(N2751=0,0,(L2751+H2751)/-N2751)</f>
        <v/>
      </c>
      <c r="P2751" s="7">
        <f>VLOOKUP(OPERAC[[#This Row],[especie]],[1]!ESPECIES[#All],6,0)</f>
        <v/>
      </c>
      <c r="Q2751" s="7">
        <f>IF(N2751&lt;&gt;0,P2751*N2751,0)</f>
        <v/>
      </c>
      <c r="R2751" s="8">
        <f>IF(Q2751&lt;&gt;0,Q2751+H2751+L2751,0)</f>
        <v/>
      </c>
      <c r="S2751" s="9">
        <f>VLOOKUP(OPERAC[[#This Row],[especie]],[1]!ESPECIES[#Data],9,FALSE)</f>
        <v/>
      </c>
    </row>
    <row r="2752">
      <c r="A2752" s="4" t="n">
        <v>2289</v>
      </c>
      <c r="B2752" s="5" t="n">
        <v>44671</v>
      </c>
      <c r="C2752" s="13" t="inlineStr">
        <is>
          <t>CPR</t>
        </is>
      </c>
      <c r="D2752" s="13" t="n">
        <v>42</v>
      </c>
      <c r="E2752" s="10">
        <f>IF(D2752&gt;0,VLOOKUP(OPERAC[[#This Row],[COD CART]],[1]!MatrizCortoLargoCyl[#All],3,0),"")</f>
        <v/>
      </c>
      <c r="F2752" s="13" t="inlineStr">
        <is>
          <t>NFLX</t>
        </is>
      </c>
      <c r="G2752" s="6" t="n">
        <v>2</v>
      </c>
      <c r="H2752" s="6" t="n">
        <v>-509.01012</v>
      </c>
      <c r="I2752" s="7">
        <f>-H2752/G2752</f>
        <v/>
      </c>
      <c r="J2752" s="11" t="n">
        <v>44693</v>
      </c>
      <c r="K2752" s="6">
        <f>+OPERAC[[#This Row],[cantidad]]</f>
        <v/>
      </c>
      <c r="L2752" s="6">
        <f>+OPERAC[[#This Row],[cantidad venta]]*164.905</f>
        <v/>
      </c>
      <c r="M2752" s="7">
        <f>IF(N2752=0,+L2752+H2752,0)</f>
        <v/>
      </c>
      <c r="N2752" s="7">
        <f>IF((+G2752-K2752)=0,0,+G2752-K2752)</f>
        <v/>
      </c>
      <c r="O2752" s="7">
        <f>IF(N2752=0,0,(L2752+H2752)/-N2752)</f>
        <v/>
      </c>
      <c r="P2752" s="7">
        <f>VLOOKUP(OPERAC[[#This Row],[especie]],[1]!ESPECIES[#All],6,0)</f>
        <v/>
      </c>
      <c r="Q2752" s="7">
        <f>IF(N2752&lt;&gt;0,P2752*N2752,0)</f>
        <v/>
      </c>
      <c r="R2752" s="8">
        <f>IF(Q2752&lt;&gt;0,Q2752+H2752+L2752,0)</f>
        <v/>
      </c>
      <c r="S2752" s="9">
        <f>VLOOKUP(OPERAC[[#This Row],[especie]],[1]!ESPECIES[#Data],9,FALSE)</f>
        <v/>
      </c>
    </row>
    <row r="2753">
      <c r="A2753" s="4" t="n">
        <v>2305</v>
      </c>
      <c r="B2753" s="5" t="n">
        <v>44671</v>
      </c>
      <c r="C2753" s="13" t="inlineStr">
        <is>
          <t>CPR</t>
        </is>
      </c>
      <c r="D2753" s="13" t="n">
        <v>42</v>
      </c>
      <c r="E2753" s="10">
        <f>IF(D2753&gt;0,VLOOKUP(OPERAC[[#This Row],[COD CART]],[1]!MatrizCortoLargoCyl[#All],3,0),"")</f>
        <v/>
      </c>
      <c r="F2753" s="13" t="inlineStr">
        <is>
          <t>NFLX</t>
        </is>
      </c>
      <c r="G2753" s="6" t="n">
        <v>2</v>
      </c>
      <c r="H2753" s="6" t="n">
        <v>-509.01012</v>
      </c>
      <c r="I2753" s="7">
        <f>-H2753/G2753</f>
        <v/>
      </c>
      <c r="J2753" s="11" t="n">
        <v>44693</v>
      </c>
      <c r="K2753" s="6">
        <f>+OPERAC[[#This Row],[cantidad]]</f>
        <v/>
      </c>
      <c r="L2753" s="6">
        <f>+OPERAC[[#This Row],[cantidad venta]]*169.079</f>
        <v/>
      </c>
      <c r="M2753" s="7">
        <f>IF(N2753=0,+L2753+H2753,0)</f>
        <v/>
      </c>
      <c r="N2753" s="7">
        <f>IF((+G2753-K2753)=0,0,+G2753-K2753)</f>
        <v/>
      </c>
      <c r="O2753" s="7">
        <f>IF(N2753=0,0,(L2753+H2753)/-N2753)</f>
        <v/>
      </c>
      <c r="P2753" s="7">
        <f>VLOOKUP(OPERAC[[#This Row],[especie]],[1]!ESPECIES[#All],6,0)</f>
        <v/>
      </c>
      <c r="Q2753" s="7">
        <f>IF(N2753&lt;&gt;0,P2753*N2753,0)</f>
        <v/>
      </c>
      <c r="R2753" s="8">
        <f>IF(Q2753&lt;&gt;0,Q2753+H2753+L2753,0)</f>
        <v/>
      </c>
      <c r="S2753" s="9">
        <f>VLOOKUP(OPERAC[[#This Row],[especie]],[1]!ESPECIES[#Data],9,FALSE)</f>
        <v/>
      </c>
    </row>
    <row r="2754">
      <c r="A2754" s="4" t="n">
        <v>2306</v>
      </c>
      <c r="B2754" s="5" t="n">
        <v>44671</v>
      </c>
      <c r="C2754" s="13" t="inlineStr">
        <is>
          <t>CPR</t>
        </is>
      </c>
      <c r="D2754" s="13" t="n">
        <v>42</v>
      </c>
      <c r="E2754" s="10">
        <f>IF(D2754&gt;0,VLOOKUP(OPERAC[[#This Row],[COD CART]],[1]!MatrizCortoLargoCyl[#All],3,0),"")</f>
        <v/>
      </c>
      <c r="F2754" s="13" t="inlineStr">
        <is>
          <t>NFLX</t>
        </is>
      </c>
      <c r="G2754" s="6" t="n">
        <v>2</v>
      </c>
      <c r="H2754" s="6" t="n">
        <v>-509.01012</v>
      </c>
      <c r="I2754" s="7">
        <f>-H2754/G2754</f>
        <v/>
      </c>
      <c r="J2754" s="11" t="n">
        <v>44693</v>
      </c>
      <c r="K2754" s="6">
        <f>+OPERAC[[#This Row],[cantidad]]</f>
        <v/>
      </c>
      <c r="L2754" s="6">
        <f>+OPERAC[[#This Row],[cantidad venta]]*169.079</f>
        <v/>
      </c>
      <c r="M2754" s="7">
        <f>IF(N2754=0,+L2754+H2754,0)</f>
        <v/>
      </c>
      <c r="N2754" s="7">
        <f>IF((+G2754-K2754)=0,0,+G2754-K2754)</f>
        <v/>
      </c>
      <c r="O2754" s="7">
        <f>IF(N2754=0,0,(L2754+H2754)/-N2754)</f>
        <v/>
      </c>
      <c r="P2754" s="7">
        <f>VLOOKUP(OPERAC[[#This Row],[especie]],[1]!ESPECIES[#All],6,0)</f>
        <v/>
      </c>
      <c r="Q2754" s="7">
        <f>IF(N2754&lt;&gt;0,P2754*N2754,0)</f>
        <v/>
      </c>
      <c r="R2754" s="8">
        <f>IF(Q2754&lt;&gt;0,Q2754+H2754+L2754,0)</f>
        <v/>
      </c>
      <c r="S2754" s="9">
        <f>VLOOKUP(OPERAC[[#This Row],[especie]],[1]!ESPECIES[#Data],9,FALSE)</f>
        <v/>
      </c>
    </row>
    <row r="2755">
      <c r="A2755" s="4" t="n">
        <v>3823</v>
      </c>
      <c r="B2755" s="5" t="n">
        <v>44671</v>
      </c>
      <c r="C2755" s="13" t="inlineStr">
        <is>
          <t>CPR</t>
        </is>
      </c>
      <c r="D2755" s="13" t="n">
        <v>42</v>
      </c>
      <c r="E2755" s="10">
        <f>IF(D2755&gt;0,VLOOKUP(OPERAC[[#This Row],[COD CART]],[1]!MatrizCortoLargoCyl[#All],3,0),"")</f>
        <v/>
      </c>
      <c r="F2755" s="13" t="inlineStr">
        <is>
          <t>NFLX</t>
        </is>
      </c>
      <c r="G2755" s="6" t="n">
        <v>2</v>
      </c>
      <c r="H2755" s="6" t="n">
        <v>-509.01012</v>
      </c>
      <c r="I2755" s="7">
        <f>-H2755/G2755</f>
        <v/>
      </c>
      <c r="J2755" s="11" t="n">
        <v>44693</v>
      </c>
      <c r="K2755" s="6">
        <f>+OPERAC[[#This Row],[cantidad]]</f>
        <v/>
      </c>
      <c r="L2755" s="6">
        <f>+OPERAC[[#This Row],[cantidad venta]]*169.079</f>
        <v/>
      </c>
      <c r="M2755" s="7">
        <f>IF(N2755=0,+L2755+H2755,0)</f>
        <v/>
      </c>
      <c r="N2755" s="7">
        <f>IF((+G2755-K2755)=0,0,+G2755-K2755)</f>
        <v/>
      </c>
      <c r="O2755" s="7">
        <f>IF(N2755=0,0,(L2755+H2755)/-N2755)</f>
        <v/>
      </c>
      <c r="P2755" s="7">
        <f>VLOOKUP(OPERAC[[#This Row],[especie]],[1]!ESPECIES[#All],6,0)</f>
        <v/>
      </c>
      <c r="Q2755" s="7">
        <f>IF(N2755&lt;&gt;0,P2755*N2755,0)</f>
        <v/>
      </c>
      <c r="R2755" s="8">
        <f>IF(Q2755&lt;&gt;0,Q2755+H2755+L2755,0)</f>
        <v/>
      </c>
      <c r="S2755" s="9">
        <f>VLOOKUP(OPERAC[[#This Row],[especie]],[1]!ESPECIES[#Data],9,FALSE)</f>
        <v/>
      </c>
    </row>
    <row r="2756">
      <c r="A2756" s="4" t="n">
        <v>3838</v>
      </c>
      <c r="B2756" s="5" t="n">
        <v>44671</v>
      </c>
      <c r="C2756" s="13" t="inlineStr">
        <is>
          <t>CPR</t>
        </is>
      </c>
      <c r="D2756" s="13" t="n">
        <v>42</v>
      </c>
      <c r="E2756" s="10">
        <f>IF(D2756&gt;0,VLOOKUP(OPERAC[[#This Row],[COD CART]],[1]!MatrizCortoLargoCyl[#All],3,0),"")</f>
        <v/>
      </c>
      <c r="F2756" s="13" t="inlineStr">
        <is>
          <t>NFLX</t>
        </is>
      </c>
      <c r="G2756" s="6" t="n">
        <v>2</v>
      </c>
      <c r="H2756" s="6" t="n">
        <v>-509.01012</v>
      </c>
      <c r="I2756" s="7">
        <f>-H2756/G2756</f>
        <v/>
      </c>
      <c r="J2756" s="11" t="n">
        <v>44704</v>
      </c>
      <c r="K2756" s="6" t="n">
        <v>2</v>
      </c>
      <c r="L2756" s="6" t="n">
        <v>363.98</v>
      </c>
      <c r="M2756" s="7">
        <f>IF(N2756=0,+L2756+H2756,0)</f>
        <v/>
      </c>
      <c r="N2756" s="7">
        <f>IF((+G2756-K2756)=0,0,+G2756-K2756)</f>
        <v/>
      </c>
      <c r="O2756" s="7">
        <f>IF(N2756=0,0,(L2756+H2756)/-N2756)</f>
        <v/>
      </c>
      <c r="P2756" s="7">
        <f>VLOOKUP(OPERAC[[#This Row],[especie]],[1]!ESPECIES[#All],6,0)</f>
        <v/>
      </c>
      <c r="Q2756" s="7">
        <f>IF(N2756&lt;&gt;0,P2756*N2756,0)</f>
        <v/>
      </c>
      <c r="R2756" s="8">
        <f>IF(Q2756&lt;&gt;0,Q2756+H2756+L2756,0)</f>
        <v/>
      </c>
      <c r="S2756" s="9">
        <f>VLOOKUP(OPERAC[[#This Row],[especie]],[1]!ESPECIES[#Data],9,FALSE)</f>
        <v/>
      </c>
    </row>
    <row r="2757">
      <c r="A2757" s="4" t="n">
        <v>6628</v>
      </c>
      <c r="B2757" s="5" t="n">
        <v>44671</v>
      </c>
      <c r="C2757" s="13" t="inlineStr">
        <is>
          <t>CPR</t>
        </is>
      </c>
      <c r="D2757" s="13" t="n">
        <v>42</v>
      </c>
      <c r="E2757" s="10">
        <f>IF(D2757&gt;0,VLOOKUP(OPERAC[[#This Row],[COD CART]],[1]!MatrizCortoLargoCyl[#All],3,0),"")</f>
        <v/>
      </c>
      <c r="F2757" s="13" t="inlineStr">
        <is>
          <t>NFLX</t>
        </is>
      </c>
      <c r="G2757" s="6" t="n">
        <v>2</v>
      </c>
      <c r="H2757" s="6" t="n">
        <v>-509.01012</v>
      </c>
      <c r="I2757" s="7">
        <f>-H2757/G2757</f>
        <v/>
      </c>
      <c r="J2757" s="11" t="n">
        <v>44693</v>
      </c>
      <c r="K2757" s="6">
        <f>+OPERAC[[#This Row],[cantidad]]</f>
        <v/>
      </c>
      <c r="L2757" s="6">
        <f>+OPERAC[[#This Row],[cantidad venta]]*169.079</f>
        <v/>
      </c>
      <c r="M2757" s="7">
        <f>IF(N2757=0,+L2757+H2757,0)</f>
        <v/>
      </c>
      <c r="N2757" s="7">
        <f>IF((+G2757-K2757)=0,0,+G2757-K2757)</f>
        <v/>
      </c>
      <c r="O2757" s="7">
        <f>IF(N2757=0,0,(L2757+H2757)/-N2757)</f>
        <v/>
      </c>
      <c r="P2757" s="7">
        <f>VLOOKUP(OPERAC[[#This Row],[especie]],[1]!ESPECIES[#All],6,0)</f>
        <v/>
      </c>
      <c r="Q2757" s="7">
        <f>IF(N2757&lt;&gt;0,P2757*N2757,0)</f>
        <v/>
      </c>
      <c r="R2757" s="8">
        <f>IF(Q2757&lt;&gt;0,Q2757+H2757+L2757,0)</f>
        <v/>
      </c>
      <c r="S2757" s="9">
        <f>VLOOKUP(OPERAC[[#This Row],[especie]],[1]!ESPECIES[#Data],9,FALSE)</f>
        <v/>
      </c>
    </row>
    <row r="2758">
      <c r="A2758" s="4" t="n">
        <v>7919</v>
      </c>
      <c r="B2758" s="5" t="n">
        <v>44671</v>
      </c>
      <c r="C2758" s="13" t="inlineStr">
        <is>
          <t>CPR</t>
        </is>
      </c>
      <c r="D2758" s="13" t="n">
        <v>42</v>
      </c>
      <c r="E2758" s="10">
        <f>IF(D2758&gt;0,VLOOKUP(OPERAC[[#This Row],[COD CART]],[1]!MatrizCortoLargoCyl[#All],3,0),"")</f>
        <v/>
      </c>
      <c r="F2758" s="13" t="inlineStr">
        <is>
          <t>NFLX</t>
        </is>
      </c>
      <c r="G2758" s="6" t="n">
        <v>2</v>
      </c>
      <c r="H2758" s="6" t="n">
        <v>-509.01012</v>
      </c>
      <c r="I2758" s="7">
        <f>-H2758/G2758</f>
        <v/>
      </c>
      <c r="J2758" s="11" t="n">
        <v>44693</v>
      </c>
      <c r="K2758" s="6">
        <f>+OPERAC[[#This Row],[cantidad]]</f>
        <v/>
      </c>
      <c r="L2758" s="6">
        <f>+OPERAC[[#This Row],[cantidad venta]]*169.079</f>
        <v/>
      </c>
      <c r="M2758" s="7">
        <f>IF(N2758=0,+L2758+H2758,0)</f>
        <v/>
      </c>
      <c r="N2758" s="7">
        <f>IF((+G2758-K2758)=0,0,+G2758-K2758)</f>
        <v/>
      </c>
      <c r="O2758" s="7">
        <f>IF(N2758=0,0,(L2758+H2758)/-N2758)</f>
        <v/>
      </c>
      <c r="P2758" s="7">
        <f>VLOOKUP(OPERAC[[#This Row],[especie]],[1]!ESPECIES[#All],6,0)</f>
        <v/>
      </c>
      <c r="Q2758" s="7">
        <f>IF(N2758&lt;&gt;0,P2758*N2758,0)</f>
        <v/>
      </c>
      <c r="R2758" s="8">
        <f>IF(Q2758&lt;&gt;0,Q2758+H2758+L2758,0)</f>
        <v/>
      </c>
      <c r="S2758" s="9">
        <f>VLOOKUP(OPERAC[[#This Row],[especie]],[1]!ESPECIES[#Data],9,FALSE)</f>
        <v/>
      </c>
    </row>
    <row r="2759">
      <c r="A2759" s="4" t="n">
        <v>7925</v>
      </c>
      <c r="B2759" s="5" t="n">
        <v>44671</v>
      </c>
      <c r="C2759" s="13" t="inlineStr">
        <is>
          <t>CPR</t>
        </is>
      </c>
      <c r="D2759" s="13" t="n">
        <v>42</v>
      </c>
      <c r="E2759" s="10">
        <f>IF(D2759&gt;0,VLOOKUP(OPERAC[[#This Row],[COD CART]],[1]!MatrizCortoLargoCyl[#All],3,0),"")</f>
        <v/>
      </c>
      <c r="F2759" s="13" t="inlineStr">
        <is>
          <t>NFLX</t>
        </is>
      </c>
      <c r="G2759" s="6" t="n">
        <v>2</v>
      </c>
      <c r="H2759" s="6" t="n">
        <v>-509.01012</v>
      </c>
      <c r="I2759" s="7">
        <f>-H2759/G2759</f>
        <v/>
      </c>
      <c r="J2759" s="11" t="n">
        <v>44690</v>
      </c>
      <c r="K2759" s="6" t="n">
        <v>2</v>
      </c>
      <c r="L2759" s="6" t="n">
        <v>345.379</v>
      </c>
      <c r="M2759" s="7">
        <f>IF(N2759=0,+L2759+H2759,0)</f>
        <v/>
      </c>
      <c r="N2759" s="7">
        <f>IF((+G2759-K2759)=0,0,+G2759-K2759)</f>
        <v/>
      </c>
      <c r="O2759" s="7">
        <f>IF(N2759=0,0,(L2759+H2759)/-N2759)</f>
        <v/>
      </c>
      <c r="P2759" s="7">
        <f>VLOOKUP(OPERAC[[#This Row],[especie]],[1]!ESPECIES[#All],6,0)</f>
        <v/>
      </c>
      <c r="Q2759" s="7">
        <f>IF(N2759&lt;&gt;0,P2759*N2759,0)</f>
        <v/>
      </c>
      <c r="R2759" s="8">
        <f>IF(Q2759&lt;&gt;0,Q2759+H2759+L2759,0)</f>
        <v/>
      </c>
      <c r="S2759" s="9">
        <f>VLOOKUP(OPERAC[[#This Row],[especie]],[1]!ESPECIES[#Data],9,FALSE)</f>
        <v/>
      </c>
    </row>
    <row r="2760">
      <c r="A2760" s="4" t="n">
        <v>8066</v>
      </c>
      <c r="B2760" s="5" t="n">
        <v>44671</v>
      </c>
      <c r="C2760" s="13" t="inlineStr">
        <is>
          <t>CPR</t>
        </is>
      </c>
      <c r="D2760" s="13" t="n">
        <v>42</v>
      </c>
      <c r="E2760" s="10">
        <f>IF(D2760&gt;0,VLOOKUP(OPERAC[[#This Row],[COD CART]],[1]!MatrizCortoLargoCyl[#All],3,0),"")</f>
        <v/>
      </c>
      <c r="F2760" s="13" t="inlineStr">
        <is>
          <t>NFLX</t>
        </is>
      </c>
      <c r="G2760" s="6" t="n">
        <v>2</v>
      </c>
      <c r="H2760" s="6" t="n">
        <v>-509.01012</v>
      </c>
      <c r="I2760" s="7">
        <f>-H2760/G2760</f>
        <v/>
      </c>
      <c r="J2760" s="11" t="n">
        <v>44693</v>
      </c>
      <c r="K2760" s="6">
        <f>+OPERAC[[#This Row],[cantidad]]</f>
        <v/>
      </c>
      <c r="L2760" s="6">
        <f>+OPERAC[[#This Row],[cantidad venta]]*169.079</f>
        <v/>
      </c>
      <c r="M2760" s="7">
        <f>IF(N2760=0,+L2760+H2760,0)</f>
        <v/>
      </c>
      <c r="N2760" s="7">
        <f>IF((+G2760-K2760)=0,0,+G2760-K2760)</f>
        <v/>
      </c>
      <c r="O2760" s="7">
        <f>IF(N2760=0,0,(L2760+H2760)/-N2760)</f>
        <v/>
      </c>
      <c r="P2760" s="7">
        <f>VLOOKUP(OPERAC[[#This Row],[especie]],[1]!ESPECIES[#All],6,0)</f>
        <v/>
      </c>
      <c r="Q2760" s="7">
        <f>IF(N2760&lt;&gt;0,P2760*N2760,0)</f>
        <v/>
      </c>
      <c r="R2760" s="8">
        <f>IF(Q2760&lt;&gt;0,Q2760+H2760+L2760,0)</f>
        <v/>
      </c>
      <c r="S2760" s="9">
        <f>VLOOKUP(OPERAC[[#This Row],[especie]],[1]!ESPECIES[#Data],9,FALSE)</f>
        <v/>
      </c>
    </row>
    <row r="2761">
      <c r="A2761" s="4" t="n">
        <v>11164</v>
      </c>
      <c r="B2761" s="5" t="n">
        <v>44671</v>
      </c>
      <c r="C2761" s="13" t="inlineStr">
        <is>
          <t>CPR</t>
        </is>
      </c>
      <c r="D2761" s="13" t="n">
        <v>42</v>
      </c>
      <c r="E2761" s="10">
        <f>IF(D2761&gt;0,VLOOKUP(OPERAC[[#This Row],[COD CART]],[1]!MatrizCortoLargoCyl[#All],3,0),"")</f>
        <v/>
      </c>
      <c r="F2761" s="13" t="inlineStr">
        <is>
          <t>NFLX</t>
        </is>
      </c>
      <c r="G2761" s="6" t="n">
        <v>2</v>
      </c>
      <c r="H2761" s="6" t="n">
        <v>-509.01012</v>
      </c>
      <c r="I2761" s="7">
        <f>-H2761/G2761</f>
        <v/>
      </c>
      <c r="J2761" s="11" t="n">
        <v>44691</v>
      </c>
      <c r="K2761" s="6" t="n">
        <v>2</v>
      </c>
      <c r="L2761" s="6" t="n">
        <v>348.79</v>
      </c>
      <c r="M2761" s="7">
        <f>IF(N2761=0,+L2761+H2761,0)</f>
        <v/>
      </c>
      <c r="N2761" s="7">
        <f>IF((+G2761-K2761)=0,0,+G2761-K2761)</f>
        <v/>
      </c>
      <c r="O2761" s="7">
        <f>IF(N2761=0,0,(L2761+H2761)/-N2761)</f>
        <v/>
      </c>
      <c r="P2761" s="7">
        <f>VLOOKUP(OPERAC[[#This Row],[especie]],[1]!ESPECIES[#All],6,0)</f>
        <v/>
      </c>
      <c r="Q2761" s="7">
        <f>IF(N2761&lt;&gt;0,P2761*N2761,0)</f>
        <v/>
      </c>
      <c r="R2761" s="8">
        <f>IF(Q2761&lt;&gt;0,Q2761+H2761+L2761,0)</f>
        <v/>
      </c>
      <c r="S2761" s="9">
        <f>VLOOKUP(OPERAC[[#This Row],[especie]],[1]!ESPECIES[#Data],9,FALSE)</f>
        <v/>
      </c>
    </row>
    <row r="2762">
      <c r="A2762" s="4" t="n">
        <v>11170</v>
      </c>
      <c r="B2762" s="5" t="n">
        <v>44671</v>
      </c>
      <c r="C2762" s="13" t="inlineStr">
        <is>
          <t>CPR</t>
        </is>
      </c>
      <c r="D2762" s="13" t="n">
        <v>42</v>
      </c>
      <c r="E2762" s="10">
        <f>IF(D2762&gt;0,VLOOKUP(OPERAC[[#This Row],[COD CART]],[1]!MatrizCortoLargoCyl[#All],3,0),"")</f>
        <v/>
      </c>
      <c r="F2762" s="13" t="inlineStr">
        <is>
          <t>NFLX</t>
        </is>
      </c>
      <c r="G2762" s="6" t="n">
        <v>2</v>
      </c>
      <c r="H2762" s="6" t="n">
        <v>-509.01012</v>
      </c>
      <c r="I2762" s="7">
        <f>-H2762/G2762</f>
        <v/>
      </c>
      <c r="J2762" s="11" t="n">
        <v>44683</v>
      </c>
      <c r="K2762" s="6">
        <f>1+1</f>
        <v/>
      </c>
      <c r="L2762" s="6">
        <f>196.208+173.969</f>
        <v/>
      </c>
      <c r="M2762" s="7">
        <f>IF(N2762=0,+L2762+H2762,0)</f>
        <v/>
      </c>
      <c r="N2762" s="7">
        <f>IF((+G2762-K2762)=0,0,+G2762-K2762)</f>
        <v/>
      </c>
      <c r="O2762" s="7">
        <f>IF(N2762=0,0,(L2762+H2762)/-N2762)</f>
        <v/>
      </c>
      <c r="P2762" s="7">
        <f>VLOOKUP(OPERAC[[#This Row],[especie]],[1]!ESPECIES[#All],6,0)</f>
        <v/>
      </c>
      <c r="Q2762" s="7">
        <f>IF(N2762&lt;&gt;0,P2762*N2762,0)</f>
        <v/>
      </c>
      <c r="R2762" s="8">
        <f>IF(Q2762&lt;&gt;0,Q2762+H2762+L2762,0)</f>
        <v/>
      </c>
      <c r="S2762" s="9">
        <f>VLOOKUP(OPERAC[[#This Row],[especie]],[1]!ESPECIES[#Data],9,FALSE)</f>
        <v/>
      </c>
    </row>
    <row r="2763">
      <c r="A2763" s="4" t="n">
        <v>12655</v>
      </c>
      <c r="B2763" s="5" t="n">
        <v>44671</v>
      </c>
      <c r="C2763" s="13" t="inlineStr">
        <is>
          <t>CPR</t>
        </is>
      </c>
      <c r="D2763" s="13" t="n">
        <v>42</v>
      </c>
      <c r="E2763" s="10">
        <f>IF(D2763&gt;0,VLOOKUP(OPERAC[[#This Row],[COD CART]],[1]!MatrizCortoLargoCyl[#All],3,0),"")</f>
        <v/>
      </c>
      <c r="F2763" s="13" t="inlineStr">
        <is>
          <t>NFLX</t>
        </is>
      </c>
      <c r="G2763" s="6" t="n">
        <v>2</v>
      </c>
      <c r="H2763" s="6" t="n">
        <v>-509.01012</v>
      </c>
      <c r="I2763" s="7">
        <f>-H2763/G2763</f>
        <v/>
      </c>
      <c r="J2763" s="11" t="n">
        <v>44693</v>
      </c>
      <c r="K2763" s="6">
        <f>+OPERAC[[#This Row],[cantidad]]</f>
        <v/>
      </c>
      <c r="L2763" s="6">
        <f>+OPERAC[[#This Row],[cantidad venta]]*169.079</f>
        <v/>
      </c>
      <c r="M2763" s="7">
        <f>IF(N2763=0,+L2763+H2763,0)</f>
        <v/>
      </c>
      <c r="N2763" s="7">
        <f>IF((+G2763-K2763)=0,0,+G2763-K2763)</f>
        <v/>
      </c>
      <c r="O2763" s="7">
        <f>IF(N2763=0,0,(L2763+H2763)/-N2763)</f>
        <v/>
      </c>
      <c r="P2763" s="7">
        <f>VLOOKUP(OPERAC[[#This Row],[especie]],[1]!ESPECIES[#All],6,0)</f>
        <v/>
      </c>
      <c r="Q2763" s="7">
        <f>IF(N2763&lt;&gt;0,P2763*N2763,0)</f>
        <v/>
      </c>
      <c r="R2763" s="8">
        <f>IF(Q2763&lt;&gt;0,Q2763+H2763+L2763,0)</f>
        <v/>
      </c>
      <c r="S2763" s="9">
        <f>VLOOKUP(OPERAC[[#This Row],[especie]],[1]!ESPECIES[#Data],9,FALSE)</f>
        <v/>
      </c>
    </row>
    <row r="2764">
      <c r="A2764" s="4" t="n">
        <v>12662</v>
      </c>
      <c r="B2764" s="5" t="n">
        <v>44671</v>
      </c>
      <c r="C2764" s="13" t="inlineStr">
        <is>
          <t>CPR</t>
        </is>
      </c>
      <c r="D2764" s="13" t="n">
        <v>42</v>
      </c>
      <c r="E2764" s="10">
        <f>IF(D2764&gt;0,VLOOKUP(OPERAC[[#This Row],[COD CART]],[1]!MatrizCortoLargoCyl[#All],3,0),"")</f>
        <v/>
      </c>
      <c r="F2764" s="13" t="inlineStr">
        <is>
          <t>NFLX</t>
        </is>
      </c>
      <c r="G2764" s="6" t="n">
        <v>2</v>
      </c>
      <c r="H2764" s="6" t="n">
        <v>-509.01012</v>
      </c>
      <c r="I2764" s="7">
        <f>-H2764/G2764</f>
        <v/>
      </c>
      <c r="J2764" s="11" t="n">
        <v>44693</v>
      </c>
      <c r="K2764" s="6">
        <f>+OPERAC[[#This Row],[cantidad]]</f>
        <v/>
      </c>
      <c r="L2764" s="6">
        <f>+OPERAC[[#This Row],[cantidad venta]]*169.079</f>
        <v/>
      </c>
      <c r="M2764" s="7">
        <f>IF(N2764=0,+L2764+H2764,0)</f>
        <v/>
      </c>
      <c r="N2764" s="7">
        <f>IF((+G2764-K2764)=0,0,+G2764-K2764)</f>
        <v/>
      </c>
      <c r="O2764" s="7">
        <f>IF(N2764=0,0,(L2764+H2764)/-N2764)</f>
        <v/>
      </c>
      <c r="P2764" s="7">
        <f>VLOOKUP(OPERAC[[#This Row],[especie]],[1]!ESPECIES[#All],6,0)</f>
        <v/>
      </c>
      <c r="Q2764" s="7">
        <f>IF(N2764&lt;&gt;0,P2764*N2764,0)</f>
        <v/>
      </c>
      <c r="R2764" s="8">
        <f>IF(Q2764&lt;&gt;0,Q2764+H2764+L2764,0)</f>
        <v/>
      </c>
      <c r="S2764" s="9">
        <f>VLOOKUP(OPERAC[[#This Row],[especie]],[1]!ESPECIES[#Data],9,FALSE)</f>
        <v/>
      </c>
    </row>
    <row r="2765">
      <c r="A2765" s="4" t="n">
        <v>12684</v>
      </c>
      <c r="B2765" s="5" t="n">
        <v>44671</v>
      </c>
      <c r="C2765" s="13" t="inlineStr">
        <is>
          <t>CPR</t>
        </is>
      </c>
      <c r="D2765" s="13" t="n">
        <v>42</v>
      </c>
      <c r="E2765" s="10">
        <f>IF(D2765&gt;0,VLOOKUP(OPERAC[[#This Row],[COD CART]],[1]!MatrizCortoLargoCyl[#All],3,0),"")</f>
        <v/>
      </c>
      <c r="F2765" s="13" t="inlineStr">
        <is>
          <t>NFLX</t>
        </is>
      </c>
      <c r="G2765" s="6" t="n">
        <v>2</v>
      </c>
      <c r="H2765" s="6" t="n">
        <v>-509.01012</v>
      </c>
      <c r="I2765" s="7">
        <f>-H2765/G2765</f>
        <v/>
      </c>
      <c r="J2765" s="11" t="n">
        <v>44691</v>
      </c>
      <c r="K2765" s="6" t="n">
        <v>2</v>
      </c>
      <c r="L2765" s="6" t="n">
        <v>359.101</v>
      </c>
      <c r="M2765" s="7">
        <f>IF(N2765=0,+L2765+H2765,0)</f>
        <v/>
      </c>
      <c r="N2765" s="7">
        <f>IF((+G2765-K2765)=0,0,+G2765-K2765)</f>
        <v/>
      </c>
      <c r="O2765" s="7">
        <f>IF(N2765=0,0,(L2765+H2765)/-N2765)</f>
        <v/>
      </c>
      <c r="P2765" s="7">
        <f>VLOOKUP(OPERAC[[#This Row],[especie]],[1]!ESPECIES[#All],6,0)</f>
        <v/>
      </c>
      <c r="Q2765" s="7">
        <f>IF(N2765&lt;&gt;0,P2765*N2765,0)</f>
        <v/>
      </c>
      <c r="R2765" s="8">
        <f>IF(Q2765&lt;&gt;0,Q2765+H2765+L2765,0)</f>
        <v/>
      </c>
      <c r="S2765" s="9">
        <f>VLOOKUP(OPERAC[[#This Row],[especie]],[1]!ESPECIES[#Data],9,FALSE)</f>
        <v/>
      </c>
    </row>
    <row r="2766">
      <c r="A2766" s="4" t="n">
        <v>12686</v>
      </c>
      <c r="B2766" s="5" t="n">
        <v>44671</v>
      </c>
      <c r="C2766" s="13" t="inlineStr">
        <is>
          <t>CPR</t>
        </is>
      </c>
      <c r="D2766" s="13" t="n">
        <v>42</v>
      </c>
      <c r="E2766" s="10">
        <f>IF(D2766&gt;0,VLOOKUP(OPERAC[[#This Row],[COD CART]],[1]!MatrizCortoLargoCyl[#All],3,0),"")</f>
        <v/>
      </c>
      <c r="F2766" s="13" t="inlineStr">
        <is>
          <t>NFLX</t>
        </is>
      </c>
      <c r="G2766" s="6" t="n">
        <v>2</v>
      </c>
      <c r="H2766" s="6" t="n">
        <v>-509.01012</v>
      </c>
      <c r="I2766" s="7">
        <f>-H2766/G2766</f>
        <v/>
      </c>
      <c r="J2766" s="11" t="n">
        <v>44693</v>
      </c>
      <c r="K2766" s="6">
        <f>+OPERAC[[#This Row],[cantidad]]</f>
        <v/>
      </c>
      <c r="L2766" s="6">
        <f>+OPERAC[[#This Row],[cantidad venta]]*169.079</f>
        <v/>
      </c>
      <c r="M2766" s="7">
        <f>IF(N2766=0,+L2766+H2766,0)</f>
        <v/>
      </c>
      <c r="N2766" s="7">
        <f>IF((+G2766-K2766)=0,0,+G2766-K2766)</f>
        <v/>
      </c>
      <c r="O2766" s="7">
        <f>IF(N2766=0,0,(L2766+H2766)/-N2766)</f>
        <v/>
      </c>
      <c r="P2766" s="7">
        <f>VLOOKUP(OPERAC[[#This Row],[especie]],[1]!ESPECIES[#All],6,0)</f>
        <v/>
      </c>
      <c r="Q2766" s="7">
        <f>IF(N2766&lt;&gt;0,P2766*N2766,0)</f>
        <v/>
      </c>
      <c r="R2766" s="8">
        <f>IF(Q2766&lt;&gt;0,Q2766+H2766+L2766,0)</f>
        <v/>
      </c>
      <c r="S2766" s="9">
        <f>VLOOKUP(OPERAC[[#This Row],[especie]],[1]!ESPECIES[#Data],9,FALSE)</f>
        <v/>
      </c>
    </row>
    <row r="2767">
      <c r="A2767" s="4" t="n">
        <v>13204</v>
      </c>
      <c r="B2767" s="5" t="n">
        <v>44671</v>
      </c>
      <c r="C2767" s="13" t="inlineStr">
        <is>
          <t>CPR</t>
        </is>
      </c>
      <c r="D2767" s="13" t="n">
        <v>42</v>
      </c>
      <c r="E2767" s="10">
        <f>IF(D2767&gt;0,VLOOKUP(OPERAC[[#This Row],[COD CART]],[1]!MatrizCortoLargoCyl[#All],3,0),"")</f>
        <v/>
      </c>
      <c r="F2767" s="13" t="inlineStr">
        <is>
          <t>NFLX</t>
        </is>
      </c>
      <c r="G2767" s="6" t="n">
        <v>2</v>
      </c>
      <c r="H2767" s="6" t="n">
        <v>-509.01012</v>
      </c>
      <c r="I2767" s="7">
        <f>-H2767/G2767</f>
        <v/>
      </c>
      <c r="J2767" s="11" t="n">
        <v>44693</v>
      </c>
      <c r="K2767" s="6">
        <f>+OPERAC[[#This Row],[cantidad]]</f>
        <v/>
      </c>
      <c r="L2767" s="6">
        <f>+OPERAC[[#This Row],[cantidad venta]]*169.079</f>
        <v/>
      </c>
      <c r="M2767" s="7">
        <f>IF(N2767=0,+L2767+H2767,0)</f>
        <v/>
      </c>
      <c r="N2767" s="7">
        <f>IF((+G2767-K2767)=0,0,+G2767-K2767)</f>
        <v/>
      </c>
      <c r="O2767" s="7">
        <f>IF(N2767=0,0,(L2767+H2767)/-N2767)</f>
        <v/>
      </c>
      <c r="P2767" s="7">
        <f>VLOOKUP(OPERAC[[#This Row],[especie]],[1]!ESPECIES[#All],6,0)</f>
        <v/>
      </c>
      <c r="Q2767" s="7">
        <f>IF(N2767&lt;&gt;0,P2767*N2767,0)</f>
        <v/>
      </c>
      <c r="R2767" s="8">
        <f>IF(Q2767&lt;&gt;0,Q2767+H2767+L2767,0)</f>
        <v/>
      </c>
      <c r="S2767" s="9">
        <f>VLOOKUP(OPERAC[[#This Row],[especie]],[1]!ESPECIES[#Data],9,FALSE)</f>
        <v/>
      </c>
    </row>
    <row r="2768">
      <c r="A2768" s="4" t="n">
        <v>13230</v>
      </c>
      <c r="B2768" s="5" t="n">
        <v>44671</v>
      </c>
      <c r="C2768" s="13" t="inlineStr">
        <is>
          <t>CPR</t>
        </is>
      </c>
      <c r="D2768" s="13" t="n">
        <v>42</v>
      </c>
      <c r="E2768" s="10">
        <f>IF(D2768&gt;0,VLOOKUP(OPERAC[[#This Row],[COD CART]],[1]!MatrizCortoLargoCyl[#All],3,0),"")</f>
        <v/>
      </c>
      <c r="F2768" s="13" t="inlineStr">
        <is>
          <t>NFLX</t>
        </is>
      </c>
      <c r="G2768" s="6" t="n">
        <v>2</v>
      </c>
      <c r="H2768" s="6" t="n">
        <v>-509.01012</v>
      </c>
      <c r="I2768" s="7">
        <f>-H2768/G2768</f>
        <v/>
      </c>
      <c r="J2768" s="11" t="n">
        <v>44693</v>
      </c>
      <c r="K2768" s="6">
        <f>+OPERAC[[#This Row],[cantidad]]</f>
        <v/>
      </c>
      <c r="L2768" s="6">
        <f>+OPERAC[[#This Row],[cantidad venta]]*169.079</f>
        <v/>
      </c>
      <c r="M2768" s="7">
        <f>IF(N2768=0,+L2768+H2768,0)</f>
        <v/>
      </c>
      <c r="N2768" s="7">
        <f>IF((+G2768-K2768)=0,0,+G2768-K2768)</f>
        <v/>
      </c>
      <c r="O2768" s="7">
        <f>IF(N2768=0,0,(L2768+H2768)/-N2768)</f>
        <v/>
      </c>
      <c r="P2768" s="7">
        <f>VLOOKUP(OPERAC[[#This Row],[especie]],[1]!ESPECIES[#All],6,0)</f>
        <v/>
      </c>
      <c r="Q2768" s="7">
        <f>IF(N2768&lt;&gt;0,P2768*N2768,0)</f>
        <v/>
      </c>
      <c r="R2768" s="8">
        <f>IF(Q2768&lt;&gt;0,Q2768+H2768+L2768,0)</f>
        <v/>
      </c>
      <c r="S2768" s="9">
        <f>VLOOKUP(OPERAC[[#This Row],[especie]],[1]!ESPECIES[#Data],9,FALSE)</f>
        <v/>
      </c>
    </row>
    <row r="2769">
      <c r="A2769" s="4" t="n">
        <v>13238</v>
      </c>
      <c r="B2769" s="5" t="n">
        <v>44671</v>
      </c>
      <c r="C2769" s="13" t="inlineStr">
        <is>
          <t>CPR</t>
        </is>
      </c>
      <c r="D2769" s="13" t="n">
        <v>42</v>
      </c>
      <c r="E2769" s="10">
        <f>IF(D2769&gt;0,VLOOKUP(OPERAC[[#This Row],[COD CART]],[1]!MatrizCortoLargoCyl[#All],3,0),"")</f>
        <v/>
      </c>
      <c r="F2769" s="13" t="inlineStr">
        <is>
          <t>NFLX</t>
        </is>
      </c>
      <c r="G2769" s="6" t="n">
        <v>2</v>
      </c>
      <c r="H2769" s="6" t="n">
        <v>-509.01012</v>
      </c>
      <c r="I2769" s="7">
        <f>-H2769/G2769</f>
        <v/>
      </c>
      <c r="J2769" s="11" t="n">
        <v>44693</v>
      </c>
      <c r="K2769" s="6">
        <f>+OPERAC[[#This Row],[cantidad]]</f>
        <v/>
      </c>
      <c r="L2769" s="6">
        <f>+OPERAC[[#This Row],[cantidad venta]]*169.079</f>
        <v/>
      </c>
      <c r="M2769" s="7">
        <f>IF(N2769=0,+L2769+H2769,0)</f>
        <v/>
      </c>
      <c r="N2769" s="7">
        <f>IF((+G2769-K2769)=0,0,+G2769-K2769)</f>
        <v/>
      </c>
      <c r="O2769" s="7">
        <f>IF(N2769=0,0,(L2769+H2769)/-N2769)</f>
        <v/>
      </c>
      <c r="P2769" s="7">
        <f>VLOOKUP(OPERAC[[#This Row],[especie]],[1]!ESPECIES[#All],6,0)</f>
        <v/>
      </c>
      <c r="Q2769" s="7">
        <f>IF(N2769&lt;&gt;0,P2769*N2769,0)</f>
        <v/>
      </c>
      <c r="R2769" s="8">
        <f>IF(Q2769&lt;&gt;0,Q2769+H2769+L2769,0)</f>
        <v/>
      </c>
      <c r="S2769" s="9">
        <f>VLOOKUP(OPERAC[[#This Row],[especie]],[1]!ESPECIES[#Data],9,FALSE)</f>
        <v/>
      </c>
    </row>
    <row r="2770">
      <c r="A2770" s="4" t="n">
        <v>16833</v>
      </c>
      <c r="B2770" s="5" t="n">
        <v>44671</v>
      </c>
      <c r="C2770" s="13" t="inlineStr">
        <is>
          <t>CPR</t>
        </is>
      </c>
      <c r="D2770" s="13" t="n">
        <v>42</v>
      </c>
      <c r="E2770" s="10">
        <f>IF(D2770&gt;0,VLOOKUP(OPERAC[[#This Row],[COD CART]],[1]!MatrizCortoLargoCyl[#All],3,0),"")</f>
        <v/>
      </c>
      <c r="F2770" s="13" t="inlineStr">
        <is>
          <t>NFLX</t>
        </is>
      </c>
      <c r="G2770" s="6" t="n">
        <v>2</v>
      </c>
      <c r="H2770" s="6" t="n">
        <v>-509.01012</v>
      </c>
      <c r="I2770" s="7">
        <f>-H2770/G2770</f>
        <v/>
      </c>
      <c r="J2770" s="11" t="n">
        <v>44693</v>
      </c>
      <c r="K2770" s="6">
        <f>+OPERAC[[#This Row],[cantidad]]</f>
        <v/>
      </c>
      <c r="L2770" s="6">
        <f>+OPERAC[[#This Row],[cantidad venta]]*169.089</f>
        <v/>
      </c>
      <c r="M2770" s="7">
        <f>IF(N2770=0,+L2770+H2770,0)</f>
        <v/>
      </c>
      <c r="N2770" s="7">
        <f>IF((+G2770-K2770)=0,0,+G2770-K2770)</f>
        <v/>
      </c>
      <c r="O2770" s="7">
        <f>IF(N2770=0,0,(L2770+H2770)/-N2770)</f>
        <v/>
      </c>
      <c r="P2770" s="7">
        <f>VLOOKUP(OPERAC[[#This Row],[especie]],[1]!ESPECIES[#All],6,0)</f>
        <v/>
      </c>
      <c r="Q2770" s="7">
        <f>IF(N2770&lt;&gt;0,P2770*N2770,0)</f>
        <v/>
      </c>
      <c r="R2770" s="8">
        <f>IF(Q2770&lt;&gt;0,Q2770+H2770+L2770,0)</f>
        <v/>
      </c>
      <c r="S2770" s="9">
        <f>VLOOKUP(OPERAC[[#This Row],[especie]],[1]!ESPECIES[#Data],9,FALSE)</f>
        <v/>
      </c>
    </row>
    <row r="2771">
      <c r="A2771" s="4" t="n">
        <v>18668</v>
      </c>
      <c r="B2771" s="5" t="n">
        <v>44671</v>
      </c>
      <c r="C2771" s="13" t="inlineStr">
        <is>
          <t>CPR</t>
        </is>
      </c>
      <c r="D2771" s="13" t="n">
        <v>42</v>
      </c>
      <c r="E2771" s="10">
        <f>IF(D2771&gt;0,VLOOKUP(OPERAC[[#This Row],[COD CART]],[1]!MatrizCortoLargoCyl[#All],3,0),"")</f>
        <v/>
      </c>
      <c r="F2771" s="13" t="inlineStr">
        <is>
          <t>NFLX</t>
        </is>
      </c>
      <c r="G2771" s="6" t="n">
        <v>2</v>
      </c>
      <c r="H2771" s="6" t="n">
        <v>-509.01012</v>
      </c>
      <c r="I2771" s="7">
        <f>-H2771/G2771</f>
        <v/>
      </c>
      <c r="J2771" s="11" t="n"/>
      <c r="K2771" s="6" t="n"/>
      <c r="L2771" s="6" t="n"/>
      <c r="M2771" s="7">
        <f>IF(N2771=0,+L2771+H2771,0)</f>
        <v/>
      </c>
      <c r="N2771" s="7">
        <f>IF((+G2771-K2771)=0,0,+G2771-K2771)</f>
        <v/>
      </c>
      <c r="O2771" s="7">
        <f>IF(N2771=0,0,(L2771+H2771)/-N2771)</f>
        <v/>
      </c>
      <c r="P2771" s="7">
        <f>VLOOKUP(OPERAC[[#This Row],[especie]],[1]!ESPECIES[#All],6,0)</f>
        <v/>
      </c>
      <c r="Q2771" s="7">
        <f>IF(N2771&lt;&gt;0,P2771*N2771,0)</f>
        <v/>
      </c>
      <c r="R2771" s="8">
        <f>IF(Q2771&lt;&gt;0,Q2771+H2771+L2771,0)</f>
        <v/>
      </c>
      <c r="S2771" s="9">
        <f>VLOOKUP(OPERAC[[#This Row],[especie]],[1]!ESPECIES[#Data],9,FALSE)</f>
        <v/>
      </c>
    </row>
    <row r="2772">
      <c r="A2772" s="4" t="n">
        <v>18697</v>
      </c>
      <c r="B2772" s="5" t="n">
        <v>44671</v>
      </c>
      <c r="C2772" s="13" t="inlineStr">
        <is>
          <t>CPR</t>
        </is>
      </c>
      <c r="D2772" s="13" t="n">
        <v>42</v>
      </c>
      <c r="E2772" s="10">
        <f>IF(D2772&gt;0,VLOOKUP(OPERAC[[#This Row],[COD CART]],[1]!MatrizCortoLargoCyl[#All],3,0),"")</f>
        <v/>
      </c>
      <c r="F2772" s="13" t="inlineStr">
        <is>
          <t>NFLX</t>
        </is>
      </c>
      <c r="G2772" s="6" t="n">
        <v>2</v>
      </c>
      <c r="H2772" s="6" t="n">
        <v>-509.01012</v>
      </c>
      <c r="I2772" s="7">
        <f>-H2772/G2772</f>
        <v/>
      </c>
      <c r="J2772" s="11" t="n">
        <v>44693</v>
      </c>
      <c r="K2772" s="6">
        <f>+OPERAC[[#This Row],[cantidad]]</f>
        <v/>
      </c>
      <c r="L2772" s="6">
        <f>+OPERAC[[#This Row],[cantidad venta]]*169.089</f>
        <v/>
      </c>
      <c r="M2772" s="7">
        <f>IF(N2772=0,+L2772+H2772,0)</f>
        <v/>
      </c>
      <c r="N2772" s="7">
        <f>IF((+G2772-K2772)=0,0,+G2772-K2772)</f>
        <v/>
      </c>
      <c r="O2772" s="7">
        <f>IF(N2772=0,0,(L2772+H2772)/-N2772)</f>
        <v/>
      </c>
      <c r="P2772" s="7">
        <f>VLOOKUP(OPERAC[[#This Row],[especie]],[1]!ESPECIES[#All],6,0)</f>
        <v/>
      </c>
      <c r="Q2772" s="7">
        <f>IF(N2772&lt;&gt;0,P2772*N2772,0)</f>
        <v/>
      </c>
      <c r="R2772" s="8">
        <f>IF(Q2772&lt;&gt;0,Q2772+H2772+L2772,0)</f>
        <v/>
      </c>
      <c r="S2772" s="9">
        <f>VLOOKUP(OPERAC[[#This Row],[especie]],[1]!ESPECIES[#Data],9,FALSE)</f>
        <v/>
      </c>
    </row>
    <row r="2773">
      <c r="A2773" s="4" t="n">
        <v>18713</v>
      </c>
      <c r="B2773" s="5" t="n">
        <v>44671</v>
      </c>
      <c r="C2773" s="13" t="inlineStr">
        <is>
          <t>CPR</t>
        </is>
      </c>
      <c r="D2773" s="13" t="n">
        <v>42</v>
      </c>
      <c r="E2773" s="10">
        <f>IF(D2773&gt;0,VLOOKUP(OPERAC[[#This Row],[COD CART]],[1]!MatrizCortoLargoCyl[#All],3,0),"")</f>
        <v/>
      </c>
      <c r="F2773" s="13" t="inlineStr">
        <is>
          <t>NFLX</t>
        </is>
      </c>
      <c r="G2773" s="6" t="n">
        <v>2</v>
      </c>
      <c r="H2773" s="6" t="n">
        <v>-509.01012</v>
      </c>
      <c r="I2773" s="7">
        <f>-H2773/G2773</f>
        <v/>
      </c>
      <c r="J2773" s="11" t="n">
        <v>44693</v>
      </c>
      <c r="K2773" s="6">
        <f>+OPERAC[[#This Row],[cantidad]]</f>
        <v/>
      </c>
      <c r="L2773" s="6">
        <f>+OPERAC[[#This Row],[cantidad venta]]*169.089</f>
        <v/>
      </c>
      <c r="M2773" s="7">
        <f>IF(N2773=0,+L2773+H2773,0)</f>
        <v/>
      </c>
      <c r="N2773" s="7">
        <f>IF((+G2773-K2773)=0,0,+G2773-K2773)</f>
        <v/>
      </c>
      <c r="O2773" s="7">
        <f>IF(N2773=0,0,(L2773+H2773)/-N2773)</f>
        <v/>
      </c>
      <c r="P2773" s="7">
        <f>VLOOKUP(OPERAC[[#This Row],[especie]],[1]!ESPECIES[#All],6,0)</f>
        <v/>
      </c>
      <c r="Q2773" s="7">
        <f>IF(N2773&lt;&gt;0,P2773*N2773,0)</f>
        <v/>
      </c>
      <c r="R2773" s="8">
        <f>IF(Q2773&lt;&gt;0,Q2773+H2773+L2773,0)</f>
        <v/>
      </c>
      <c r="S2773" s="9">
        <f>VLOOKUP(OPERAC[[#This Row],[especie]],[1]!ESPECIES[#Data],9,FALSE)</f>
        <v/>
      </c>
    </row>
    <row r="2774">
      <c r="A2774" s="4" t="n">
        <v>19897</v>
      </c>
      <c r="B2774" s="5" t="n">
        <v>44671</v>
      </c>
      <c r="C2774" s="13" t="inlineStr">
        <is>
          <t>CPR</t>
        </is>
      </c>
      <c r="D2774" s="13" t="n">
        <v>42</v>
      </c>
      <c r="E2774" s="10">
        <f>IF(D2774&gt;0,VLOOKUP(OPERAC[[#This Row],[COD CART]],[1]!MatrizCortoLargoCyl[#All],3,0),"")</f>
        <v/>
      </c>
      <c r="F2774" s="13" t="inlineStr">
        <is>
          <t>NFLX</t>
        </is>
      </c>
      <c r="G2774" s="6" t="n">
        <v>2</v>
      </c>
      <c r="H2774" s="6" t="n">
        <v>-509.01012</v>
      </c>
      <c r="I2774" s="7">
        <f>-H2774/G2774</f>
        <v/>
      </c>
      <c r="J2774" s="11" t="n">
        <v>44693</v>
      </c>
      <c r="K2774" s="6">
        <f>+OPERAC[[#This Row],[cantidad]]</f>
        <v/>
      </c>
      <c r="L2774" s="6">
        <f>+OPERAC[[#This Row],[cantidad venta]]*169.089</f>
        <v/>
      </c>
      <c r="M2774" s="7">
        <f>IF(N2774=0,+L2774+H2774,0)</f>
        <v/>
      </c>
      <c r="N2774" s="7">
        <f>IF((+G2774-K2774)=0,0,+G2774-K2774)</f>
        <v/>
      </c>
      <c r="O2774" s="7">
        <f>IF(N2774=0,0,(L2774+H2774)/-N2774)</f>
        <v/>
      </c>
      <c r="P2774" s="7">
        <f>VLOOKUP(OPERAC[[#This Row],[especie]],[1]!ESPECIES[#All],6,0)</f>
        <v/>
      </c>
      <c r="Q2774" s="7">
        <f>IF(N2774&lt;&gt;0,P2774*N2774,0)</f>
        <v/>
      </c>
      <c r="R2774" s="8">
        <f>IF(Q2774&lt;&gt;0,Q2774+H2774+L2774,0)</f>
        <v/>
      </c>
      <c r="S2774" s="9">
        <f>VLOOKUP(OPERAC[[#This Row],[especie]],[1]!ESPECIES[#Data],9,FALSE)</f>
        <v/>
      </c>
    </row>
    <row r="2775">
      <c r="A2775" s="4" t="n">
        <v>22433</v>
      </c>
      <c r="B2775" s="5" t="n">
        <v>44671</v>
      </c>
      <c r="C2775" s="13" t="inlineStr">
        <is>
          <t>CPR</t>
        </is>
      </c>
      <c r="D2775" s="13" t="n">
        <v>42</v>
      </c>
      <c r="E2775" s="10">
        <f>IF(D2775&gt;0,VLOOKUP(OPERAC[[#This Row],[COD CART]],[1]!MatrizCortoLargoCyl[#All],3,0),"")</f>
        <v/>
      </c>
      <c r="F2775" s="13" t="inlineStr">
        <is>
          <t>NFLX</t>
        </is>
      </c>
      <c r="G2775" s="6" t="n">
        <v>2</v>
      </c>
      <c r="H2775" s="6" t="n">
        <v>-509.01012</v>
      </c>
      <c r="I2775" s="7">
        <f>-H2775/G2775</f>
        <v/>
      </c>
      <c r="J2775" s="11" t="n">
        <v>44693</v>
      </c>
      <c r="K2775" s="6">
        <f>+OPERAC[[#This Row],[cantidad]]</f>
        <v/>
      </c>
      <c r="L2775" s="6">
        <f>+OPERAC[[#This Row],[cantidad venta]]*169.089</f>
        <v/>
      </c>
      <c r="M2775" s="7">
        <f>IF(N2775=0,+L2775+H2775,0)</f>
        <v/>
      </c>
      <c r="N2775" s="7">
        <f>IF((+G2775-K2775)=0,0,+G2775-K2775)</f>
        <v/>
      </c>
      <c r="O2775" s="7">
        <f>IF(N2775=0,0,(L2775+H2775)/-N2775)</f>
        <v/>
      </c>
      <c r="P2775" s="7">
        <f>VLOOKUP(OPERAC[[#This Row],[especie]],[1]!ESPECIES[#All],6,0)</f>
        <v/>
      </c>
      <c r="Q2775" s="7">
        <f>IF(N2775&lt;&gt;0,P2775*N2775,0)</f>
        <v/>
      </c>
      <c r="R2775" s="8">
        <f>IF(Q2775&lt;&gt;0,Q2775+H2775+L2775,0)</f>
        <v/>
      </c>
      <c r="S2775" s="9">
        <f>VLOOKUP(OPERAC[[#This Row],[especie]],[1]!ESPECIES[#Data],9,FALSE)</f>
        <v/>
      </c>
    </row>
    <row r="2776">
      <c r="A2776" s="4" t="n">
        <v>26137</v>
      </c>
      <c r="B2776" s="5" t="n">
        <v>44671</v>
      </c>
      <c r="C2776" s="13" t="inlineStr">
        <is>
          <t>CPR</t>
        </is>
      </c>
      <c r="D2776" s="13" t="n">
        <v>42</v>
      </c>
      <c r="E2776" s="10">
        <f>IF(D2776&gt;0,VLOOKUP(OPERAC[[#This Row],[COD CART]],[1]!MatrizCortoLargoCyl[#All],3,0),"")</f>
        <v/>
      </c>
      <c r="F2776" s="13" t="inlineStr">
        <is>
          <t>NFLX</t>
        </is>
      </c>
      <c r="G2776" s="6" t="n">
        <v>2</v>
      </c>
      <c r="H2776" s="6" t="n">
        <v>-509.01012</v>
      </c>
      <c r="I2776" s="7">
        <f>-H2776/G2776</f>
        <v/>
      </c>
      <c r="J2776" s="11" t="n">
        <v>44693</v>
      </c>
      <c r="K2776" s="6">
        <f>+OPERAC[[#This Row],[cantidad]]</f>
        <v/>
      </c>
      <c r="L2776" s="6">
        <f>+OPERAC[[#This Row],[cantidad venta]]*169.089</f>
        <v/>
      </c>
      <c r="M2776" s="7">
        <f>IF(N2776=0,+L2776+H2776,0)</f>
        <v/>
      </c>
      <c r="N2776" s="7">
        <f>IF((+G2776-K2776)=0,0,+G2776-K2776)</f>
        <v/>
      </c>
      <c r="O2776" s="7">
        <f>IF(N2776=0,0,(L2776+H2776)/-N2776)</f>
        <v/>
      </c>
      <c r="P2776" s="7">
        <f>VLOOKUP(OPERAC[[#This Row],[especie]],[1]!ESPECIES[#All],6,0)</f>
        <v/>
      </c>
      <c r="Q2776" s="7">
        <f>IF(N2776&lt;&gt;0,P2776*N2776,0)</f>
        <v/>
      </c>
      <c r="R2776" s="8">
        <f>IF(Q2776&lt;&gt;0,Q2776+H2776+L2776,0)</f>
        <v/>
      </c>
      <c r="S2776" s="9">
        <f>VLOOKUP(OPERAC[[#This Row],[especie]],[1]!ESPECIES[#Data],9,FALSE)</f>
        <v/>
      </c>
    </row>
    <row r="2777">
      <c r="A2777" s="4" t="n">
        <v>2209</v>
      </c>
      <c r="B2777" s="5" t="n">
        <v>44517</v>
      </c>
      <c r="C2777" s="13" t="inlineStr">
        <is>
          <t>CPR</t>
        </is>
      </c>
      <c r="D2777" s="13" t="n">
        <v>41</v>
      </c>
      <c r="E2777" s="10">
        <f>IF(D2777&gt;0,VLOOKUP(OPERAC[[#This Row],[COD CART]],[1]!MatrizCortoLargoCyl[#All],3,0),"")</f>
        <v/>
      </c>
      <c r="F2777" s="13" t="inlineStr">
        <is>
          <t>SUPV</t>
        </is>
      </c>
      <c r="G2777" s="6" t="n">
        <v>250</v>
      </c>
      <c r="H2777" s="6" t="n">
        <v>-509.786</v>
      </c>
      <c r="I2777" s="7">
        <f>-H2777/G2777</f>
        <v/>
      </c>
      <c r="J2777" s="11" t="n"/>
      <c r="K2777" s="6" t="n"/>
      <c r="L2777" s="6" t="n"/>
      <c r="M2777" s="7">
        <f>IF(N2777=0,+L2777+H2777,0)</f>
        <v/>
      </c>
      <c r="N2777" s="7">
        <f>IF((+G2777-K2777)=0,0,+G2777-K2777)</f>
        <v/>
      </c>
      <c r="O2777" s="7">
        <f>IF(N2777=0,0,(L2777+H2777)/-N2777)</f>
        <v/>
      </c>
      <c r="P2777" s="7">
        <f>VLOOKUP(OPERAC[[#This Row],[especie]],[1]!ESPECIES[#All],6,0)</f>
        <v/>
      </c>
      <c r="Q2777" s="7">
        <f>IF(N2777&lt;&gt;0,P2777*N2777,0)</f>
        <v/>
      </c>
      <c r="R2777" s="8">
        <f>IF(Q2777&lt;&gt;0,Q2777+H2777+L2777,0)</f>
        <v/>
      </c>
      <c r="S2777" s="9">
        <f>VLOOKUP(OPERAC[[#This Row],[especie]],[1]!ESPECIES[#Data],9,FALSE)</f>
        <v/>
      </c>
    </row>
    <row r="2778">
      <c r="A2778" s="4" t="n">
        <v>18726</v>
      </c>
      <c r="B2778" s="5" t="n">
        <v>44572</v>
      </c>
      <c r="C2778" s="13" t="inlineStr">
        <is>
          <t>CPR</t>
        </is>
      </c>
      <c r="D2778" s="13" t="n">
        <v>40</v>
      </c>
      <c r="E2778" s="10">
        <f>IF(D2778&gt;0,VLOOKUP(OPERAC[[#This Row],[COD CART]],[1]!MatrizCortoLargoCyl[#All],3,0),"")</f>
        <v/>
      </c>
      <c r="F2778" s="13" t="inlineStr">
        <is>
          <t>GLOB</t>
        </is>
      </c>
      <c r="G2778" s="6" t="n">
        <v>2</v>
      </c>
      <c r="H2778" s="6" t="n">
        <v>-510.221</v>
      </c>
      <c r="I2778" s="7">
        <f>-H2778/G2778</f>
        <v/>
      </c>
      <c r="J2778" s="11" t="n">
        <v>44693</v>
      </c>
      <c r="K2778" s="6" t="n">
        <v>2</v>
      </c>
      <c r="L2778" s="6" t="n">
        <v>337.96</v>
      </c>
      <c r="M2778" s="7">
        <f>IF(N2778=0,+L2778+H2778,0)</f>
        <v/>
      </c>
      <c r="N2778" s="7">
        <f>IF((+G2778-K2778)=0,0,+G2778-K2778)</f>
        <v/>
      </c>
      <c r="O2778" s="7">
        <f>IF(N2778=0,0,(L2778+H2778)/-N2778)</f>
        <v/>
      </c>
      <c r="P2778" s="7">
        <f>VLOOKUP(OPERAC[[#This Row],[especie]],[1]!ESPECIES[#All],6,0)</f>
        <v/>
      </c>
      <c r="Q2778" s="7">
        <f>IF(N2778&lt;&gt;0,P2778*N2778,0)</f>
        <v/>
      </c>
      <c r="R2778" s="8">
        <f>IF(Q2778&lt;&gt;0,Q2778+H2778+L2778,0)</f>
        <v/>
      </c>
      <c r="S2778" s="9">
        <f>VLOOKUP(OPERAC[[#This Row],[especie]],[1]!ESPECIES[#Data],9,FALSE)</f>
        <v/>
      </c>
    </row>
    <row r="2779">
      <c r="A2779" s="4" t="n">
        <v>18726</v>
      </c>
      <c r="B2779" s="5" t="n">
        <v>44572</v>
      </c>
      <c r="C2779" s="13" t="inlineStr">
        <is>
          <t>CPR</t>
        </is>
      </c>
      <c r="D2779" s="13" t="n">
        <v>31</v>
      </c>
      <c r="E2779" s="10">
        <f>IF(D2779&gt;0,VLOOKUP(OPERAC[[#This Row],[COD CART]],[1]!MatrizCortoLargoCyl[#All],3,0),"")</f>
        <v/>
      </c>
      <c r="F2779" s="13" t="inlineStr">
        <is>
          <t>GLD</t>
        </is>
      </c>
      <c r="G2779" s="6" t="n">
        <v>3</v>
      </c>
      <c r="H2779" s="6" t="n">
        <v>-510.722</v>
      </c>
      <c r="I2779" s="7">
        <f>-H2779/G2779</f>
        <v/>
      </c>
      <c r="J2779" s="11" t="n">
        <v>44693</v>
      </c>
      <c r="K2779" s="6" t="n">
        <v>3</v>
      </c>
      <c r="L2779" s="6" t="n">
        <v>507.059</v>
      </c>
      <c r="M2779" s="7">
        <f>IF(N2779=0,+L2779+H2779,0)</f>
        <v/>
      </c>
      <c r="N2779" s="7">
        <f>IF((+G2779-K2779)=0,0,+G2779-K2779)</f>
        <v/>
      </c>
      <c r="O2779" s="7">
        <f>IF(N2779=0,0,(L2779+H2779)/-N2779)</f>
        <v/>
      </c>
      <c r="P2779" s="7">
        <f>VLOOKUP(OPERAC[[#This Row],[especie]],[1]!ESPECIES[#All],6,0)</f>
        <v/>
      </c>
      <c r="Q2779" s="7">
        <f>IF(N2779&lt;&gt;0,P2779*N2779,0)</f>
        <v/>
      </c>
      <c r="R2779" s="8">
        <f>IF(Q2779&lt;&gt;0,Q2779+H2779+L2779,0)</f>
        <v/>
      </c>
      <c r="S2779" s="9">
        <f>VLOOKUP(OPERAC[[#This Row],[especie]],[1]!ESPECIES[#Data],9,FALSE)</f>
        <v/>
      </c>
    </row>
    <row r="2780">
      <c r="A2780" s="4" t="n">
        <v>18668</v>
      </c>
      <c r="B2780" s="5" t="n">
        <v>43831</v>
      </c>
      <c r="C2780" s="13" t="inlineStr">
        <is>
          <t>CPR</t>
        </is>
      </c>
      <c r="D2780" s="13" t="n">
        <v>41</v>
      </c>
      <c r="E2780" s="10">
        <f>IF(D2780&gt;0,VLOOKUP(OPERAC[[#This Row],[COD CART]],[1]!MatrizCortoLargoCyl[#All],3,0),"")</f>
        <v/>
      </c>
      <c r="F2780" s="13" t="inlineStr">
        <is>
          <t>BBAR</t>
        </is>
      </c>
      <c r="G2780" s="6" t="n">
        <v>100</v>
      </c>
      <c r="H2780" s="6" t="n">
        <v>-511.0000000000001</v>
      </c>
      <c r="I2780" s="7" t="n">
        <v>5.11</v>
      </c>
      <c r="J2780" s="5" t="n"/>
      <c r="K2780" s="6" t="n"/>
      <c r="L2780" s="6" t="n"/>
      <c r="M2780" s="7">
        <f>IF(N2780=0,+L2780+H2780,0)</f>
        <v/>
      </c>
      <c r="N2780" s="7">
        <f>IF((+G2780-K2780)=0,0,+G2780-K2780)</f>
        <v/>
      </c>
      <c r="O2780" s="7">
        <f>IF(N2780=0,0,(L2780+H2780)/-N2780)</f>
        <v/>
      </c>
      <c r="P2780" s="7">
        <f>VLOOKUP(OPERAC[[#This Row],[especie]],[1]!ESPECIES[#All],6,0)</f>
        <v/>
      </c>
      <c r="Q2780" s="7">
        <f>IF(N2780&lt;&gt;0,P2780*N2780,0)</f>
        <v/>
      </c>
      <c r="R2780" s="8">
        <f>IF(Q2780&lt;&gt;0,Q2780+H2780+L2780,0)</f>
        <v/>
      </c>
      <c r="S2780" s="9">
        <f>VLOOKUP(OPERAC[[#This Row],[especie]],[1]!ESPECIES[#Data],9,FALSE)</f>
        <v/>
      </c>
    </row>
    <row r="2781">
      <c r="A2781" s="4" t="n">
        <v>13253</v>
      </c>
      <c r="B2781" s="5" t="n">
        <v>44589</v>
      </c>
      <c r="C2781" s="13" t="inlineStr">
        <is>
          <t>CPR</t>
        </is>
      </c>
      <c r="D2781" s="13" t="n">
        <v>41</v>
      </c>
      <c r="E2781" s="10">
        <f>IF(D2781&gt;0,VLOOKUP(OPERAC[[#This Row],[COD CART]],[1]!MatrizCortoLargoCyl[#All],3,0),"")</f>
        <v/>
      </c>
      <c r="F2781" s="13" t="inlineStr">
        <is>
          <t>NRZ</t>
        </is>
      </c>
      <c r="G2781" s="6" t="n">
        <v>50</v>
      </c>
      <c r="H2781" s="6" t="n">
        <v>-513.064</v>
      </c>
      <c r="I2781" s="7">
        <f>-H2781/G2781</f>
        <v/>
      </c>
      <c r="J2781" s="11" t="n"/>
      <c r="K2781" s="6" t="n"/>
      <c r="L2781" s="6" t="n"/>
      <c r="M2781" s="7">
        <f>IF(N2781=0,+L2781+H2781,0)</f>
        <v/>
      </c>
      <c r="N2781" s="7">
        <f>IF((+G2781-K2781)=0,0,+G2781-K2781)</f>
        <v/>
      </c>
      <c r="O2781" s="7">
        <f>IF(N2781=0,0,(L2781+H2781)/-N2781)</f>
        <v/>
      </c>
      <c r="P2781" s="7">
        <f>VLOOKUP(OPERAC[[#This Row],[especie]],[1]!ESPECIES[#All],6,0)</f>
        <v/>
      </c>
      <c r="Q2781" s="7">
        <f>IF(N2781&lt;&gt;0,P2781*N2781,0)</f>
        <v/>
      </c>
      <c r="R2781" s="8">
        <f>IF(Q2781&lt;&gt;0,Q2781+H2781+L2781,0)</f>
        <v/>
      </c>
      <c r="S2781" s="9">
        <f>VLOOKUP(OPERAC[[#This Row],[especie]],[1]!ESPECIES[#Data],9,FALSE)</f>
        <v/>
      </c>
    </row>
    <row r="2782">
      <c r="A2782" s="4" t="n">
        <v>22393</v>
      </c>
      <c r="B2782" s="5" t="n">
        <v>44656</v>
      </c>
      <c r="C2782" s="13" t="inlineStr">
        <is>
          <t>CPR</t>
        </is>
      </c>
      <c r="D2782" s="13" t="n">
        <v>42</v>
      </c>
      <c r="E2782" s="10">
        <f>IF(D2782&gt;0,VLOOKUP(OPERAC[[#This Row],[COD CART]],[1]!MatrizCortoLargoCyl[#All],3,0),"")</f>
        <v/>
      </c>
      <c r="F2782" s="13" t="inlineStr">
        <is>
          <t>HYDR</t>
        </is>
      </c>
      <c r="G2782" s="6" t="n">
        <v>25</v>
      </c>
      <c r="H2782" s="6" t="n">
        <v>-513.4884999999999</v>
      </c>
      <c r="I2782" s="7">
        <f>-H2782/G2782</f>
        <v/>
      </c>
      <c r="J2782" s="11" t="n"/>
      <c r="K2782" s="6" t="n"/>
      <c r="L2782" s="6" t="n"/>
      <c r="M2782" s="7">
        <f>IF(N2782=0,+L2782+H2782,0)</f>
        <v/>
      </c>
      <c r="N2782" s="7">
        <f>IF((+G2782-K2782)=0,0,+G2782-K2782)</f>
        <v/>
      </c>
      <c r="O2782" s="7">
        <f>IF(N2782=0,0,(L2782+H2782)/-N2782)</f>
        <v/>
      </c>
      <c r="P2782" s="7">
        <f>VLOOKUP(OPERAC[[#This Row],[especie]],[1]!ESPECIES[#All],6,0)</f>
        <v/>
      </c>
      <c r="Q2782" s="7">
        <f>IF(N2782&lt;&gt;0,P2782*N2782,0)</f>
        <v/>
      </c>
      <c r="R2782" s="8">
        <f>IF(Q2782&lt;&gt;0,Q2782+H2782+L2782,0)</f>
        <v/>
      </c>
      <c r="S2782" s="9">
        <f>VLOOKUP(OPERAC[[#This Row],[especie]],[1]!ESPECIES[#Data],9,FALSE)</f>
        <v/>
      </c>
    </row>
    <row r="2783">
      <c r="A2783" s="4" t="n">
        <v>20312</v>
      </c>
      <c r="B2783" s="5" t="n">
        <v>44722</v>
      </c>
      <c r="C2783" s="13" t="inlineStr">
        <is>
          <t>CPR</t>
        </is>
      </c>
      <c r="D2783" s="13" t="n">
        <v>40</v>
      </c>
      <c r="E2783" s="10">
        <f>IF(D2783&gt;0,VLOOKUP(OPERAC[[#This Row],[COD CART]],[1]!MatrizCortoLargoCyl[#All],3,0),"")</f>
        <v/>
      </c>
      <c r="F2783" s="13" t="inlineStr">
        <is>
          <t>MSFT</t>
        </is>
      </c>
      <c r="G2783" s="6" t="n">
        <v>2</v>
      </c>
      <c r="H2783" s="6" t="n">
        <v>-514.0929599999999</v>
      </c>
      <c r="I2783" s="7">
        <f>-H2783/G2783</f>
        <v/>
      </c>
      <c r="J2783" s="5" t="n"/>
      <c r="K2783" s="6" t="n"/>
      <c r="L2783" s="6" t="n"/>
      <c r="M2783" s="7">
        <f>IF(N2783=0,+L2783+H2783,0)</f>
        <v/>
      </c>
      <c r="N2783" s="7">
        <f>IF((+G2783-K2783)=0,0,+G2783-K2783)</f>
        <v/>
      </c>
      <c r="O2783" s="7">
        <f>IF(N2783=0,0,(L2783+H2783)/-N2783)</f>
        <v/>
      </c>
      <c r="P2783" s="7">
        <f>VLOOKUP(OPERAC[[#This Row],[especie]],[1]!ESPECIES[#All],6,0)</f>
        <v/>
      </c>
      <c r="Q2783" s="7">
        <f>IF(N2783&lt;&gt;0,P2783*N2783,0)</f>
        <v/>
      </c>
      <c r="R2783" s="8">
        <f>IF(Q2783&lt;&gt;0,Q2783+H2783+L2783,0)</f>
        <v/>
      </c>
      <c r="S2783" s="9">
        <f>VLOOKUP(OPERAC[[#This Row],[especie]],[1]!ESPECIES[#Data],9,FALSE)</f>
        <v/>
      </c>
    </row>
    <row r="2784">
      <c r="A2784" s="4" t="n">
        <v>13281</v>
      </c>
      <c r="B2784" s="5" t="n">
        <v>44564</v>
      </c>
      <c r="C2784" s="13" t="inlineStr">
        <is>
          <t>CPR</t>
        </is>
      </c>
      <c r="D2784" s="13" t="n">
        <v>41</v>
      </c>
      <c r="E2784" s="10">
        <f>IF(D2784&gt;0,VLOOKUP(OPERAC[[#This Row],[COD CART]],[1]!MatrizCortoLargoCyl[#All],3,0),"")</f>
        <v/>
      </c>
      <c r="F2784" s="13" t="inlineStr">
        <is>
          <t>ACB</t>
        </is>
      </c>
      <c r="G2784" s="6" t="n">
        <v>88</v>
      </c>
      <c r="H2784" s="6" t="n">
        <v>-514.419</v>
      </c>
      <c r="I2784" s="7">
        <f>-H2784/G2784</f>
        <v/>
      </c>
      <c r="J2784" s="11" t="n"/>
      <c r="K2784" s="6" t="n"/>
      <c r="L2784" s="6" t="n"/>
      <c r="M2784" s="7">
        <f>IF(N2784=0,+L2784+H2784,0)</f>
        <v/>
      </c>
      <c r="N2784" s="7">
        <f>IF((+G2784-K2784)=0,0,+G2784-K2784)</f>
        <v/>
      </c>
      <c r="O2784" s="7">
        <f>IF(N2784=0,0,(L2784+H2784)/-N2784)</f>
        <v/>
      </c>
      <c r="P2784" s="7">
        <f>VLOOKUP(OPERAC[[#This Row],[especie]],[1]!ESPECIES[#All],6,0)</f>
        <v/>
      </c>
      <c r="Q2784" s="7">
        <f>IF(N2784&lt;&gt;0,P2784*N2784,0)</f>
        <v/>
      </c>
      <c r="R2784" s="8">
        <f>IF(Q2784&lt;&gt;0,Q2784+H2784+L2784,0)</f>
        <v/>
      </c>
      <c r="S2784" s="9">
        <f>VLOOKUP(OPERAC[[#This Row],[especie]],[1]!ESPECIES[#Data],9,FALSE)</f>
        <v/>
      </c>
    </row>
    <row r="2785">
      <c r="A2785" s="4" t="n">
        <v>1792</v>
      </c>
      <c r="B2785" s="5" t="n">
        <v>44539</v>
      </c>
      <c r="C2785" s="13" t="inlineStr">
        <is>
          <t>CPR</t>
        </is>
      </c>
      <c r="D2785" s="13" t="n">
        <v>40</v>
      </c>
      <c r="E2785" s="10">
        <f>IF(D2785&gt;0,VLOOKUP(OPERAC[[#This Row],[COD CART]],[1]!MatrizCortoLargoCyl[#All],3,0),"")</f>
        <v/>
      </c>
      <c r="F2785" s="13" t="inlineStr">
        <is>
          <t>ROKU</t>
        </is>
      </c>
      <c r="G2785" s="6" t="n">
        <v>2</v>
      </c>
      <c r="H2785" s="6" t="n">
        <v>-515.4407199999999</v>
      </c>
      <c r="I2785" s="7">
        <f>-H2785/G2785</f>
        <v/>
      </c>
      <c r="J2785" s="11" t="n">
        <v>44606</v>
      </c>
      <c r="K2785" s="6">
        <f>+OPERAC[[#This Row],[cantidad]]</f>
        <v/>
      </c>
      <c r="L2785" s="6">
        <f>+OPERAC[[#This Row],[cantidad venta]]*160.574</f>
        <v/>
      </c>
      <c r="M2785" s="7">
        <f>IF(N2785=0,+L2785+H2785,0)</f>
        <v/>
      </c>
      <c r="N2785" s="7">
        <f>IF((+G2785-K2785)=0,0,+G2785-K2785)</f>
        <v/>
      </c>
      <c r="O2785" s="7">
        <f>IF(N2785=0,0,(L2785+H2785)/-N2785)</f>
        <v/>
      </c>
      <c r="P2785" s="7">
        <f>VLOOKUP(OPERAC[[#This Row],[especie]],[1]!ESPECIES[#All],6,0)</f>
        <v/>
      </c>
      <c r="Q2785" s="7">
        <f>IF(N2785&lt;&gt;0,P2785*N2785,0)</f>
        <v/>
      </c>
      <c r="R2785" s="8">
        <f>IF(Q2785&lt;&gt;0,Q2785+H2785+L2785,0)</f>
        <v/>
      </c>
      <c r="S2785" s="9">
        <f>VLOOKUP(OPERAC[[#This Row],[especie]],[1]!ESPECIES[#Data],9,FALSE)</f>
        <v/>
      </c>
    </row>
    <row r="2786">
      <c r="A2786" s="4" t="n">
        <v>2217</v>
      </c>
      <c r="B2786" s="5" t="n">
        <v>44539</v>
      </c>
      <c r="C2786" s="13" t="inlineStr">
        <is>
          <t>CPR</t>
        </is>
      </c>
      <c r="D2786" s="13" t="n">
        <v>40</v>
      </c>
      <c r="E2786" s="10">
        <f>IF(D2786&gt;0,VLOOKUP(OPERAC[[#This Row],[COD CART]],[1]!MatrizCortoLargoCyl[#All],3,0),"")</f>
        <v/>
      </c>
      <c r="F2786" s="13" t="inlineStr">
        <is>
          <t>ROKU</t>
        </is>
      </c>
      <c r="G2786" s="6" t="n">
        <v>2</v>
      </c>
      <c r="H2786" s="6" t="n">
        <v>-515.4407199999999</v>
      </c>
      <c r="I2786" s="7">
        <f>-H2786/G2786</f>
        <v/>
      </c>
      <c r="J2786" s="11" t="n">
        <v>44606</v>
      </c>
      <c r="K2786" s="6">
        <f>+OPERAC[[#This Row],[cantidad]]</f>
        <v/>
      </c>
      <c r="L2786" s="6">
        <f>+OPERAC[[#This Row],[cantidad venta]]*160.574</f>
        <v/>
      </c>
      <c r="M2786" s="7">
        <f>IF(N2786=0,+L2786+H2786,0)</f>
        <v/>
      </c>
      <c r="N2786" s="7">
        <f>IF((+G2786-K2786)=0,0,+G2786-K2786)</f>
        <v/>
      </c>
      <c r="O2786" s="7">
        <f>IF(N2786=0,0,(L2786+H2786)/-N2786)</f>
        <v/>
      </c>
      <c r="P2786" s="7">
        <f>VLOOKUP(OPERAC[[#This Row],[especie]],[1]!ESPECIES[#All],6,0)</f>
        <v/>
      </c>
      <c r="Q2786" s="7">
        <f>IF(N2786&lt;&gt;0,P2786*N2786,0)</f>
        <v/>
      </c>
      <c r="R2786" s="8">
        <f>IF(Q2786&lt;&gt;0,Q2786+H2786+L2786,0)</f>
        <v/>
      </c>
      <c r="S2786" s="9">
        <f>VLOOKUP(OPERAC[[#This Row],[especie]],[1]!ESPECIES[#Data],9,FALSE)</f>
        <v/>
      </c>
    </row>
    <row r="2787">
      <c r="A2787" s="4" t="n">
        <v>2279</v>
      </c>
      <c r="B2787" s="5" t="n">
        <v>44539</v>
      </c>
      <c r="C2787" s="13" t="inlineStr">
        <is>
          <t>CPR</t>
        </is>
      </c>
      <c r="D2787" s="13" t="n">
        <v>40</v>
      </c>
      <c r="E2787" s="10">
        <f>IF(D2787&gt;0,VLOOKUP(OPERAC[[#This Row],[COD CART]],[1]!MatrizCortoLargoCyl[#All],3,0),"")</f>
        <v/>
      </c>
      <c r="F2787" s="13" t="inlineStr">
        <is>
          <t>ROKU</t>
        </is>
      </c>
      <c r="G2787" s="6" t="n">
        <v>2</v>
      </c>
      <c r="H2787" s="6" t="n">
        <v>-515.4407199999999</v>
      </c>
      <c r="I2787" s="7">
        <f>-H2787/G2787</f>
        <v/>
      </c>
      <c r="J2787" s="11" t="n">
        <v>44606</v>
      </c>
      <c r="K2787" s="6">
        <f>+OPERAC[[#This Row],[cantidad]]</f>
        <v/>
      </c>
      <c r="L2787" s="6">
        <f>+OPERAC[[#This Row],[cantidad venta]]*160.574</f>
        <v/>
      </c>
      <c r="M2787" s="7">
        <f>IF(N2787=0,+L2787+H2787,0)</f>
        <v/>
      </c>
      <c r="N2787" s="7">
        <f>IF((+G2787-K2787)=0,0,+G2787-K2787)</f>
        <v/>
      </c>
      <c r="O2787" s="7">
        <f>IF(N2787=0,0,(L2787+H2787)/-N2787)</f>
        <v/>
      </c>
      <c r="P2787" s="7">
        <f>VLOOKUP(OPERAC[[#This Row],[especie]],[1]!ESPECIES[#All],6,0)</f>
        <v/>
      </c>
      <c r="Q2787" s="7">
        <f>IF(N2787&lt;&gt;0,P2787*N2787,0)</f>
        <v/>
      </c>
      <c r="R2787" s="8">
        <f>IF(Q2787&lt;&gt;0,Q2787+H2787+L2787,0)</f>
        <v/>
      </c>
      <c r="S2787" s="9">
        <f>VLOOKUP(OPERAC[[#This Row],[especie]],[1]!ESPECIES[#Data],9,FALSE)</f>
        <v/>
      </c>
    </row>
    <row r="2788">
      <c r="A2788" s="4" t="n">
        <v>3021</v>
      </c>
      <c r="B2788" s="5" t="n">
        <v>44539</v>
      </c>
      <c r="C2788" s="13" t="inlineStr">
        <is>
          <t>CPR</t>
        </is>
      </c>
      <c r="D2788" s="13" t="n">
        <v>40</v>
      </c>
      <c r="E2788" s="10">
        <f>IF(D2788&gt;0,VLOOKUP(OPERAC[[#This Row],[COD CART]],[1]!MatrizCortoLargoCyl[#All],3,0),"")</f>
        <v/>
      </c>
      <c r="F2788" s="13" t="inlineStr">
        <is>
          <t>ROKU</t>
        </is>
      </c>
      <c r="G2788" s="6" t="n">
        <v>2</v>
      </c>
      <c r="H2788" s="6" t="n">
        <v>-515.4407199999999</v>
      </c>
      <c r="I2788" s="7">
        <f>-H2788/G2788</f>
        <v/>
      </c>
      <c r="J2788" s="11" t="n">
        <v>44606</v>
      </c>
      <c r="K2788" s="6">
        <f>+OPERAC[[#This Row],[cantidad]]</f>
        <v/>
      </c>
      <c r="L2788" s="6">
        <f>+OPERAC[[#This Row],[cantidad venta]]*160.574</f>
        <v/>
      </c>
      <c r="M2788" s="7">
        <f>IF(N2788=0,+L2788+H2788,0)</f>
        <v/>
      </c>
      <c r="N2788" s="7">
        <f>IF((+G2788-K2788)=0,0,+G2788-K2788)</f>
        <v/>
      </c>
      <c r="O2788" s="7">
        <f>IF(N2788=0,0,(L2788+H2788)/-N2788)</f>
        <v/>
      </c>
      <c r="P2788" s="7">
        <f>VLOOKUP(OPERAC[[#This Row],[especie]],[1]!ESPECIES[#All],6,0)</f>
        <v/>
      </c>
      <c r="Q2788" s="7">
        <f>IF(N2788&lt;&gt;0,P2788*N2788,0)</f>
        <v/>
      </c>
      <c r="R2788" s="8">
        <f>IF(Q2788&lt;&gt;0,Q2788+H2788+L2788,0)</f>
        <v/>
      </c>
      <c r="S2788" s="9">
        <f>VLOOKUP(OPERAC[[#This Row],[especie]],[1]!ESPECIES[#Data],9,FALSE)</f>
        <v/>
      </c>
    </row>
    <row r="2789">
      <c r="A2789" s="4" t="n">
        <v>3823</v>
      </c>
      <c r="B2789" s="5" t="n">
        <v>44539</v>
      </c>
      <c r="C2789" s="13" t="inlineStr">
        <is>
          <t>CPR</t>
        </is>
      </c>
      <c r="D2789" s="13" t="n">
        <v>40</v>
      </c>
      <c r="E2789" s="10">
        <f>IF(D2789&gt;0,VLOOKUP(OPERAC[[#This Row],[COD CART]],[1]!MatrizCortoLargoCyl[#All],3,0),"")</f>
        <v/>
      </c>
      <c r="F2789" s="13" t="inlineStr">
        <is>
          <t>ROKU</t>
        </is>
      </c>
      <c r="G2789" s="6" t="n">
        <v>2</v>
      </c>
      <c r="H2789" s="6" t="n">
        <v>-515.4407199999999</v>
      </c>
      <c r="I2789" s="7">
        <f>-H2789/G2789</f>
        <v/>
      </c>
      <c r="J2789" s="11" t="n">
        <v>44606</v>
      </c>
      <c r="K2789" s="6">
        <f>+OPERAC[[#This Row],[cantidad]]</f>
        <v/>
      </c>
      <c r="L2789" s="6">
        <f>+OPERAC[[#This Row],[cantidad venta]]*160.574</f>
        <v/>
      </c>
      <c r="M2789" s="7">
        <f>IF(N2789=0,+L2789+H2789,0)</f>
        <v/>
      </c>
      <c r="N2789" s="7">
        <f>IF((+G2789-K2789)=0,0,+G2789-K2789)</f>
        <v/>
      </c>
      <c r="O2789" s="7">
        <f>IF(N2789=0,0,(L2789+H2789)/-N2789)</f>
        <v/>
      </c>
      <c r="P2789" s="7">
        <f>VLOOKUP(OPERAC[[#This Row],[especie]],[1]!ESPECIES[#All],6,0)</f>
        <v/>
      </c>
      <c r="Q2789" s="7">
        <f>IF(N2789&lt;&gt;0,P2789*N2789,0)</f>
        <v/>
      </c>
      <c r="R2789" s="8">
        <f>IF(Q2789&lt;&gt;0,Q2789+H2789+L2789,0)</f>
        <v/>
      </c>
      <c r="S2789" s="9">
        <f>VLOOKUP(OPERAC[[#This Row],[especie]],[1]!ESPECIES[#Data],9,FALSE)</f>
        <v/>
      </c>
    </row>
    <row r="2790">
      <c r="A2790" s="4" t="n">
        <v>8066</v>
      </c>
      <c r="B2790" s="5" t="n">
        <v>44539</v>
      </c>
      <c r="C2790" s="13" t="inlineStr">
        <is>
          <t>CPR</t>
        </is>
      </c>
      <c r="D2790" s="13" t="n">
        <v>40</v>
      </c>
      <c r="E2790" s="10">
        <f>IF(D2790&gt;0,VLOOKUP(OPERAC[[#This Row],[COD CART]],[1]!MatrizCortoLargoCyl[#All],3,0),"")</f>
        <v/>
      </c>
      <c r="F2790" s="13" t="inlineStr">
        <is>
          <t>ROKU</t>
        </is>
      </c>
      <c r="G2790" s="6" t="n">
        <v>2</v>
      </c>
      <c r="H2790" s="6" t="n">
        <v>-515.4407199999999</v>
      </c>
      <c r="I2790" s="7">
        <f>-H2790/G2790</f>
        <v/>
      </c>
      <c r="J2790" s="11" t="n">
        <v>44606</v>
      </c>
      <c r="K2790" s="6">
        <f>+OPERAC[[#This Row],[cantidad]]</f>
        <v/>
      </c>
      <c r="L2790" s="6">
        <f>+OPERAC[[#This Row],[cantidad venta]]*160.574</f>
        <v/>
      </c>
      <c r="M2790" s="7">
        <f>IF(N2790=0,+L2790+H2790,0)</f>
        <v/>
      </c>
      <c r="N2790" s="7">
        <f>IF((+G2790-K2790)=0,0,+G2790-K2790)</f>
        <v/>
      </c>
      <c r="O2790" s="7">
        <f>IF(N2790=0,0,(L2790+H2790)/-N2790)</f>
        <v/>
      </c>
      <c r="P2790" s="7">
        <f>VLOOKUP(OPERAC[[#This Row],[especie]],[1]!ESPECIES[#All],6,0)</f>
        <v/>
      </c>
      <c r="Q2790" s="7">
        <f>IF(N2790&lt;&gt;0,P2790*N2790,0)</f>
        <v/>
      </c>
      <c r="R2790" s="8">
        <f>IF(Q2790&lt;&gt;0,Q2790+H2790+L2790,0)</f>
        <v/>
      </c>
      <c r="S2790" s="9">
        <f>VLOOKUP(OPERAC[[#This Row],[especie]],[1]!ESPECIES[#Data],9,FALSE)</f>
        <v/>
      </c>
    </row>
    <row r="2791">
      <c r="A2791" s="4" t="n">
        <v>11164</v>
      </c>
      <c r="B2791" s="5" t="n">
        <v>44539</v>
      </c>
      <c r="C2791" s="13" t="inlineStr">
        <is>
          <t>CPR</t>
        </is>
      </c>
      <c r="D2791" s="13" t="n">
        <v>40</v>
      </c>
      <c r="E2791" s="10">
        <f>IF(D2791&gt;0,VLOOKUP(OPERAC[[#This Row],[COD CART]],[1]!MatrizCortoLargoCyl[#All],3,0),"")</f>
        <v/>
      </c>
      <c r="F2791" s="13" t="inlineStr">
        <is>
          <t>ROKU</t>
        </is>
      </c>
      <c r="G2791" s="6" t="n">
        <v>2</v>
      </c>
      <c r="H2791" s="6" t="n">
        <v>-515.4407199999999</v>
      </c>
      <c r="I2791" s="7">
        <f>-H2791/G2791</f>
        <v/>
      </c>
      <c r="J2791" s="11" t="n">
        <v>44606</v>
      </c>
      <c r="K2791" s="6">
        <f>+OPERAC[[#This Row],[cantidad]]</f>
        <v/>
      </c>
      <c r="L2791" s="6">
        <f>+OPERAC[[#This Row],[cantidad venta]]*160.574</f>
        <v/>
      </c>
      <c r="M2791" s="7">
        <f>IF(N2791=0,+L2791+H2791,0)</f>
        <v/>
      </c>
      <c r="N2791" s="7">
        <f>IF((+G2791-K2791)=0,0,+G2791-K2791)</f>
        <v/>
      </c>
      <c r="O2791" s="7">
        <f>IF(N2791=0,0,(L2791+H2791)/-N2791)</f>
        <v/>
      </c>
      <c r="P2791" s="7">
        <f>VLOOKUP(OPERAC[[#This Row],[especie]],[1]!ESPECIES[#All],6,0)</f>
        <v/>
      </c>
      <c r="Q2791" s="7">
        <f>IF(N2791&lt;&gt;0,P2791*N2791,0)</f>
        <v/>
      </c>
      <c r="R2791" s="8">
        <f>IF(Q2791&lt;&gt;0,Q2791+H2791+L2791,0)</f>
        <v/>
      </c>
      <c r="S2791" s="9">
        <f>VLOOKUP(OPERAC[[#This Row],[especie]],[1]!ESPECIES[#Data],9,FALSE)</f>
        <v/>
      </c>
    </row>
    <row r="2792">
      <c r="A2792" s="4" t="n">
        <v>11168</v>
      </c>
      <c r="B2792" s="5" t="n">
        <v>44539</v>
      </c>
      <c r="C2792" s="13" t="inlineStr">
        <is>
          <t>CPR</t>
        </is>
      </c>
      <c r="D2792" s="13" t="n">
        <v>40</v>
      </c>
      <c r="E2792" s="10">
        <f>IF(D2792&gt;0,VLOOKUP(OPERAC[[#This Row],[COD CART]],[1]!MatrizCortoLargoCyl[#All],3,0),"")</f>
        <v/>
      </c>
      <c r="F2792" s="13" t="inlineStr">
        <is>
          <t>ROKU</t>
        </is>
      </c>
      <c r="G2792" s="6" t="n">
        <v>2</v>
      </c>
      <c r="H2792" s="6" t="n">
        <v>-515.4407199999999</v>
      </c>
      <c r="I2792" s="7">
        <f>-H2792/G2792</f>
        <v/>
      </c>
      <c r="J2792" s="11" t="n">
        <v>44606</v>
      </c>
      <c r="K2792" s="6">
        <f>+OPERAC[[#This Row],[cantidad]]</f>
        <v/>
      </c>
      <c r="L2792" s="6">
        <f>+OPERAC[[#This Row],[cantidad venta]]*160.574</f>
        <v/>
      </c>
      <c r="M2792" s="7">
        <f>IF(N2792=0,+L2792+H2792,0)</f>
        <v/>
      </c>
      <c r="N2792" s="7">
        <f>IF((+G2792-K2792)=0,0,+G2792-K2792)</f>
        <v/>
      </c>
      <c r="O2792" s="7">
        <f>IF(N2792=0,0,(L2792+H2792)/-N2792)</f>
        <v/>
      </c>
      <c r="P2792" s="7">
        <f>VLOOKUP(OPERAC[[#This Row],[especie]],[1]!ESPECIES[#All],6,0)</f>
        <v/>
      </c>
      <c r="Q2792" s="7">
        <f>IF(N2792&lt;&gt;0,P2792*N2792,0)</f>
        <v/>
      </c>
      <c r="R2792" s="8">
        <f>IF(Q2792&lt;&gt;0,Q2792+H2792+L2792,0)</f>
        <v/>
      </c>
      <c r="S2792" s="9">
        <f>VLOOKUP(OPERAC[[#This Row],[especie]],[1]!ESPECIES[#Data],9,FALSE)</f>
        <v/>
      </c>
    </row>
    <row r="2793">
      <c r="A2793" s="4" t="n">
        <v>12652</v>
      </c>
      <c r="B2793" s="5" t="n">
        <v>44539</v>
      </c>
      <c r="C2793" s="13" t="inlineStr">
        <is>
          <t>CPR</t>
        </is>
      </c>
      <c r="D2793" s="13" t="n">
        <v>40</v>
      </c>
      <c r="E2793" s="10">
        <f>IF(D2793&gt;0,VLOOKUP(OPERAC[[#This Row],[COD CART]],[1]!MatrizCortoLargoCyl[#All],3,0),"")</f>
        <v/>
      </c>
      <c r="F2793" s="13" t="inlineStr">
        <is>
          <t>ROKU</t>
        </is>
      </c>
      <c r="G2793" s="6" t="n">
        <v>2</v>
      </c>
      <c r="H2793" s="6" t="n">
        <v>-515.4407199999999</v>
      </c>
      <c r="I2793" s="7">
        <f>-H2793/G2793</f>
        <v/>
      </c>
      <c r="J2793" s="11" t="n">
        <v>44606</v>
      </c>
      <c r="K2793" s="6">
        <f>+OPERAC[[#This Row],[cantidad]]</f>
        <v/>
      </c>
      <c r="L2793" s="6">
        <f>+OPERAC[[#This Row],[cantidad venta]]*160.574</f>
        <v/>
      </c>
      <c r="M2793" s="7">
        <f>IF(N2793=0,+L2793+H2793,0)</f>
        <v/>
      </c>
      <c r="N2793" s="7">
        <f>IF((+G2793-K2793)=0,0,+G2793-K2793)</f>
        <v/>
      </c>
      <c r="O2793" s="7">
        <f>IF(N2793=0,0,(L2793+H2793)/-N2793)</f>
        <v/>
      </c>
      <c r="P2793" s="7">
        <f>VLOOKUP(OPERAC[[#This Row],[especie]],[1]!ESPECIES[#All],6,0)</f>
        <v/>
      </c>
      <c r="Q2793" s="7">
        <f>IF(N2793&lt;&gt;0,P2793*N2793,0)</f>
        <v/>
      </c>
      <c r="R2793" s="8">
        <f>IF(Q2793&lt;&gt;0,Q2793+H2793+L2793,0)</f>
        <v/>
      </c>
      <c r="S2793" s="9">
        <f>VLOOKUP(OPERAC[[#This Row],[especie]],[1]!ESPECIES[#Data],9,FALSE)</f>
        <v/>
      </c>
    </row>
    <row r="2794">
      <c r="A2794" s="4" t="n">
        <v>12662</v>
      </c>
      <c r="B2794" s="5" t="n">
        <v>44539</v>
      </c>
      <c r="C2794" s="13" t="inlineStr">
        <is>
          <t>CPR</t>
        </is>
      </c>
      <c r="D2794" s="13" t="n">
        <v>40</v>
      </c>
      <c r="E2794" s="10">
        <f>IF(D2794&gt;0,VLOOKUP(OPERAC[[#This Row],[COD CART]],[1]!MatrizCortoLargoCyl[#All],3,0),"")</f>
        <v/>
      </c>
      <c r="F2794" s="13" t="inlineStr">
        <is>
          <t>ROKU</t>
        </is>
      </c>
      <c r="G2794" s="6" t="n">
        <v>2</v>
      </c>
      <c r="H2794" s="6" t="n">
        <v>-515.4407199999999</v>
      </c>
      <c r="I2794" s="7">
        <f>-H2794/G2794</f>
        <v/>
      </c>
      <c r="J2794" s="11" t="n">
        <v>44606</v>
      </c>
      <c r="K2794" s="6">
        <f>+OPERAC[[#This Row],[cantidad]]</f>
        <v/>
      </c>
      <c r="L2794" s="6">
        <f>+OPERAC[[#This Row],[cantidad venta]]*160.574</f>
        <v/>
      </c>
      <c r="M2794" s="7">
        <f>IF(N2794=0,+L2794+H2794,0)</f>
        <v/>
      </c>
      <c r="N2794" s="7">
        <f>IF((+G2794-K2794)=0,0,+G2794-K2794)</f>
        <v/>
      </c>
      <c r="O2794" s="7">
        <f>IF(N2794=0,0,(L2794+H2794)/-N2794)</f>
        <v/>
      </c>
      <c r="P2794" s="7">
        <f>VLOOKUP(OPERAC[[#This Row],[especie]],[1]!ESPECIES[#All],6,0)</f>
        <v/>
      </c>
      <c r="Q2794" s="7">
        <f>IF(N2794&lt;&gt;0,P2794*N2794,0)</f>
        <v/>
      </c>
      <c r="R2794" s="8">
        <f>IF(Q2794&lt;&gt;0,Q2794+H2794+L2794,0)</f>
        <v/>
      </c>
      <c r="S2794" s="9">
        <f>VLOOKUP(OPERAC[[#This Row],[especie]],[1]!ESPECIES[#Data],9,FALSE)</f>
        <v/>
      </c>
    </row>
    <row r="2795">
      <c r="A2795" s="4" t="n">
        <v>12686</v>
      </c>
      <c r="B2795" s="5" t="n">
        <v>44539</v>
      </c>
      <c r="C2795" s="13" t="inlineStr">
        <is>
          <t>CPR</t>
        </is>
      </c>
      <c r="D2795" s="13" t="n">
        <v>40</v>
      </c>
      <c r="E2795" s="10">
        <f>IF(D2795&gt;0,VLOOKUP(OPERAC[[#This Row],[COD CART]],[1]!MatrizCortoLargoCyl[#All],3,0),"")</f>
        <v/>
      </c>
      <c r="F2795" s="13" t="inlineStr">
        <is>
          <t>ROKU</t>
        </is>
      </c>
      <c r="G2795" s="6" t="n">
        <v>2</v>
      </c>
      <c r="H2795" s="6" t="n">
        <v>-515.4407199999999</v>
      </c>
      <c r="I2795" s="7">
        <f>-H2795/G2795</f>
        <v/>
      </c>
      <c r="J2795" s="11" t="n">
        <v>44606</v>
      </c>
      <c r="K2795" s="6">
        <f>+OPERAC[[#This Row],[cantidad]]</f>
        <v/>
      </c>
      <c r="L2795" s="6">
        <f>+OPERAC[[#This Row],[cantidad venta]]*160.574</f>
        <v/>
      </c>
      <c r="M2795" s="7">
        <f>IF(N2795=0,+L2795+H2795,0)</f>
        <v/>
      </c>
      <c r="N2795" s="7">
        <f>IF((+G2795-K2795)=0,0,+G2795-K2795)</f>
        <v/>
      </c>
      <c r="O2795" s="7">
        <f>IF(N2795=0,0,(L2795+H2795)/-N2795)</f>
        <v/>
      </c>
      <c r="P2795" s="7">
        <f>VLOOKUP(OPERAC[[#This Row],[especie]],[1]!ESPECIES[#All],6,0)</f>
        <v/>
      </c>
      <c r="Q2795" s="7">
        <f>IF(N2795&lt;&gt;0,P2795*N2795,0)</f>
        <v/>
      </c>
      <c r="R2795" s="8">
        <f>IF(Q2795&lt;&gt;0,Q2795+H2795+L2795,0)</f>
        <v/>
      </c>
      <c r="S2795" s="9">
        <f>VLOOKUP(OPERAC[[#This Row],[especie]],[1]!ESPECIES[#Data],9,FALSE)</f>
        <v/>
      </c>
    </row>
    <row r="2796">
      <c r="A2796" s="4" t="n">
        <v>16786</v>
      </c>
      <c r="B2796" s="5" t="n">
        <v>44539</v>
      </c>
      <c r="C2796" s="13" t="inlineStr">
        <is>
          <t>CPR</t>
        </is>
      </c>
      <c r="D2796" s="13" t="n">
        <v>40</v>
      </c>
      <c r="E2796" s="10">
        <f>IF(D2796&gt;0,VLOOKUP(OPERAC[[#This Row],[COD CART]],[1]!MatrizCortoLargoCyl[#All],3,0),"")</f>
        <v/>
      </c>
      <c r="F2796" s="13" t="inlineStr">
        <is>
          <t>ROKU</t>
        </is>
      </c>
      <c r="G2796" s="6" t="n">
        <v>2</v>
      </c>
      <c r="H2796" s="6" t="n">
        <v>-515.4407199999999</v>
      </c>
      <c r="I2796" s="7">
        <f>-H2796/G2796</f>
        <v/>
      </c>
      <c r="J2796" s="11" t="n">
        <v>44606</v>
      </c>
      <c r="K2796" s="6">
        <f>+OPERAC[[#This Row],[cantidad]]</f>
        <v/>
      </c>
      <c r="L2796" s="6">
        <f>+OPERAC[[#This Row],[cantidad venta]]*160.574</f>
        <v/>
      </c>
      <c r="M2796" s="7">
        <f>IF(N2796=0,+L2796+H2796,0)</f>
        <v/>
      </c>
      <c r="N2796" s="7">
        <f>IF((+G2796-K2796)=0,0,+G2796-K2796)</f>
        <v/>
      </c>
      <c r="O2796" s="7">
        <f>IF(N2796=0,0,(L2796+H2796)/-N2796)</f>
        <v/>
      </c>
      <c r="P2796" s="7">
        <f>VLOOKUP(OPERAC[[#This Row],[especie]],[1]!ESPECIES[#All],6,0)</f>
        <v/>
      </c>
      <c r="Q2796" s="7">
        <f>IF(N2796&lt;&gt;0,P2796*N2796,0)</f>
        <v/>
      </c>
      <c r="R2796" s="8">
        <f>IF(Q2796&lt;&gt;0,Q2796+H2796+L2796,0)</f>
        <v/>
      </c>
      <c r="S2796" s="9">
        <f>VLOOKUP(OPERAC[[#This Row],[especie]],[1]!ESPECIES[#Data],9,FALSE)</f>
        <v/>
      </c>
    </row>
    <row r="2797">
      <c r="A2797" s="4" t="n">
        <v>16795</v>
      </c>
      <c r="B2797" s="5" t="n">
        <v>44539</v>
      </c>
      <c r="C2797" s="13" t="inlineStr">
        <is>
          <t>CPR</t>
        </is>
      </c>
      <c r="D2797" s="13" t="n">
        <v>40</v>
      </c>
      <c r="E2797" s="10">
        <f>IF(D2797&gt;0,VLOOKUP(OPERAC[[#This Row],[COD CART]],[1]!MatrizCortoLargoCyl[#All],3,0),"")</f>
        <v/>
      </c>
      <c r="F2797" s="13" t="inlineStr">
        <is>
          <t>ROKU</t>
        </is>
      </c>
      <c r="G2797" s="6" t="n">
        <v>2</v>
      </c>
      <c r="H2797" s="6" t="n">
        <v>-515.4407199999999</v>
      </c>
      <c r="I2797" s="7">
        <f>-H2797/G2797</f>
        <v/>
      </c>
      <c r="J2797" s="11" t="n">
        <v>44606</v>
      </c>
      <c r="K2797" s="6">
        <f>+OPERAC[[#This Row],[cantidad]]</f>
        <v/>
      </c>
      <c r="L2797" s="6">
        <f>+OPERAC[[#This Row],[cantidad venta]]*160.574</f>
        <v/>
      </c>
      <c r="M2797" s="7">
        <f>IF(N2797=0,+L2797+H2797,0)</f>
        <v/>
      </c>
      <c r="N2797" s="7">
        <f>IF((+G2797-K2797)=0,0,+G2797-K2797)</f>
        <v/>
      </c>
      <c r="O2797" s="7">
        <f>IF(N2797=0,0,(L2797+H2797)/-N2797)</f>
        <v/>
      </c>
      <c r="P2797" s="7">
        <f>VLOOKUP(OPERAC[[#This Row],[especie]],[1]!ESPECIES[#All],6,0)</f>
        <v/>
      </c>
      <c r="Q2797" s="7">
        <f>IF(N2797&lt;&gt;0,P2797*N2797,0)</f>
        <v/>
      </c>
      <c r="R2797" s="8">
        <f>IF(Q2797&lt;&gt;0,Q2797+H2797+L2797,0)</f>
        <v/>
      </c>
      <c r="S2797" s="9">
        <f>VLOOKUP(OPERAC[[#This Row],[especie]],[1]!ESPECIES[#Data],9,FALSE)</f>
        <v/>
      </c>
    </row>
    <row r="2798">
      <c r="A2798" s="4" t="n">
        <v>16833</v>
      </c>
      <c r="B2798" s="5" t="n">
        <v>44539</v>
      </c>
      <c r="C2798" s="13" t="inlineStr">
        <is>
          <t>CPR</t>
        </is>
      </c>
      <c r="D2798" s="13" t="n">
        <v>40</v>
      </c>
      <c r="E2798" s="10">
        <f>IF(D2798&gt;0,VLOOKUP(OPERAC[[#This Row],[COD CART]],[1]!MatrizCortoLargoCyl[#All],3,0),"")</f>
        <v/>
      </c>
      <c r="F2798" s="13" t="inlineStr">
        <is>
          <t>ROKU</t>
        </is>
      </c>
      <c r="G2798" s="6" t="n">
        <v>2</v>
      </c>
      <c r="H2798" s="6" t="n">
        <v>-515.4407199999999</v>
      </c>
      <c r="I2798" s="7">
        <f>-H2798/G2798</f>
        <v/>
      </c>
      <c r="J2798" s="11" t="n">
        <v>44606</v>
      </c>
      <c r="K2798" s="6">
        <f>+OPERAC[[#This Row],[cantidad]]</f>
        <v/>
      </c>
      <c r="L2798" s="6">
        <f>+OPERAC[[#This Row],[cantidad venta]]*160.574</f>
        <v/>
      </c>
      <c r="M2798" s="7">
        <f>IF(N2798=0,+L2798+H2798,0)</f>
        <v/>
      </c>
      <c r="N2798" s="7">
        <f>IF((+G2798-K2798)=0,0,+G2798-K2798)</f>
        <v/>
      </c>
      <c r="O2798" s="7">
        <f>IF(N2798=0,0,(L2798+H2798)/-N2798)</f>
        <v/>
      </c>
      <c r="P2798" s="7">
        <f>VLOOKUP(OPERAC[[#This Row],[especie]],[1]!ESPECIES[#All],6,0)</f>
        <v/>
      </c>
      <c r="Q2798" s="7">
        <f>IF(N2798&lt;&gt;0,P2798*N2798,0)</f>
        <v/>
      </c>
      <c r="R2798" s="8">
        <f>IF(Q2798&lt;&gt;0,Q2798+H2798+L2798,0)</f>
        <v/>
      </c>
      <c r="S2798" s="9">
        <f>VLOOKUP(OPERAC[[#This Row],[especie]],[1]!ESPECIES[#Data],9,FALSE)</f>
        <v/>
      </c>
    </row>
    <row r="2799">
      <c r="A2799" s="4" t="n">
        <v>18677</v>
      </c>
      <c r="B2799" s="5" t="n">
        <v>44539</v>
      </c>
      <c r="C2799" s="13" t="inlineStr">
        <is>
          <t>CPR</t>
        </is>
      </c>
      <c r="D2799" s="13" t="n">
        <v>40</v>
      </c>
      <c r="E2799" s="10">
        <f>IF(D2799&gt;0,VLOOKUP(OPERAC[[#This Row],[COD CART]],[1]!MatrizCortoLargoCyl[#All],3,0),"")</f>
        <v/>
      </c>
      <c r="F2799" s="13" t="inlineStr">
        <is>
          <t>ROKU</t>
        </is>
      </c>
      <c r="G2799" s="6" t="n">
        <v>2</v>
      </c>
      <c r="H2799" s="6" t="n">
        <v>-515.4407199999999</v>
      </c>
      <c r="I2799" s="7">
        <f>-H2799/G2799</f>
        <v/>
      </c>
      <c r="J2799" s="11" t="n">
        <v>44606</v>
      </c>
      <c r="K2799" s="6">
        <f>+OPERAC[[#This Row],[cantidad]]</f>
        <v/>
      </c>
      <c r="L2799" s="6">
        <f>+OPERAC[[#This Row],[cantidad venta]]*160.574</f>
        <v/>
      </c>
      <c r="M2799" s="7">
        <f>IF(N2799=0,+L2799+H2799,0)</f>
        <v/>
      </c>
      <c r="N2799" s="7">
        <f>IF((+G2799-K2799)=0,0,+G2799-K2799)</f>
        <v/>
      </c>
      <c r="O2799" s="7">
        <f>IF(N2799=0,0,(L2799+H2799)/-N2799)</f>
        <v/>
      </c>
      <c r="P2799" s="7">
        <f>VLOOKUP(OPERAC[[#This Row],[especie]],[1]!ESPECIES[#All],6,0)</f>
        <v/>
      </c>
      <c r="Q2799" s="7">
        <f>IF(N2799&lt;&gt;0,P2799*N2799,0)</f>
        <v/>
      </c>
      <c r="R2799" s="8">
        <f>IF(Q2799&lt;&gt;0,Q2799+H2799+L2799,0)</f>
        <v/>
      </c>
      <c r="S2799" s="9">
        <f>VLOOKUP(OPERAC[[#This Row],[especie]],[1]!ESPECIES[#Data],9,FALSE)</f>
        <v/>
      </c>
    </row>
    <row r="2800">
      <c r="A2800" s="4" t="n">
        <v>22421</v>
      </c>
      <c r="B2800" s="5" t="n">
        <v>44539</v>
      </c>
      <c r="C2800" s="13" t="inlineStr">
        <is>
          <t>CPR</t>
        </is>
      </c>
      <c r="D2800" s="13" t="n">
        <v>40</v>
      </c>
      <c r="E2800" s="10">
        <f>IF(D2800&gt;0,VLOOKUP(OPERAC[[#This Row],[COD CART]],[1]!MatrizCortoLargoCyl[#All],3,0),"")</f>
        <v/>
      </c>
      <c r="F2800" s="13" t="inlineStr">
        <is>
          <t>ROKU</t>
        </is>
      </c>
      <c r="G2800" s="6" t="n">
        <v>2</v>
      </c>
      <c r="H2800" s="6" t="n">
        <v>-515.4407199999999</v>
      </c>
      <c r="I2800" s="7">
        <f>-H2800/G2800</f>
        <v/>
      </c>
      <c r="J2800" s="11" t="n">
        <v>44606</v>
      </c>
      <c r="K2800" s="6">
        <f>+OPERAC[[#This Row],[cantidad]]</f>
        <v/>
      </c>
      <c r="L2800" s="6">
        <f>+OPERAC[[#This Row],[cantidad venta]]*160.574</f>
        <v/>
      </c>
      <c r="M2800" s="7">
        <f>IF(N2800=0,+L2800+H2800,0)</f>
        <v/>
      </c>
      <c r="N2800" s="7">
        <f>IF((+G2800-K2800)=0,0,+G2800-K2800)</f>
        <v/>
      </c>
      <c r="O2800" s="7">
        <f>IF(N2800=0,0,(L2800+H2800)/-N2800)</f>
        <v/>
      </c>
      <c r="P2800" s="7">
        <f>VLOOKUP(OPERAC[[#This Row],[especie]],[1]!ESPECIES[#All],6,0)</f>
        <v/>
      </c>
      <c r="Q2800" s="7">
        <f>IF(N2800&lt;&gt;0,P2800*N2800,0)</f>
        <v/>
      </c>
      <c r="R2800" s="8">
        <f>IF(Q2800&lt;&gt;0,Q2800+H2800+L2800,0)</f>
        <v/>
      </c>
      <c r="S2800" s="9">
        <f>VLOOKUP(OPERAC[[#This Row],[especie]],[1]!ESPECIES[#Data],9,FALSE)</f>
        <v/>
      </c>
    </row>
    <row r="2801">
      <c r="A2801" s="4" t="n">
        <v>22433</v>
      </c>
      <c r="B2801" s="5" t="n">
        <v>44539</v>
      </c>
      <c r="C2801" s="13" t="inlineStr">
        <is>
          <t>CPR</t>
        </is>
      </c>
      <c r="D2801" s="13" t="n">
        <v>40</v>
      </c>
      <c r="E2801" s="10">
        <f>IF(D2801&gt;0,VLOOKUP(OPERAC[[#This Row],[COD CART]],[1]!MatrizCortoLargoCyl[#All],3,0),"")</f>
        <v/>
      </c>
      <c r="F2801" s="13" t="inlineStr">
        <is>
          <t>ROKU</t>
        </is>
      </c>
      <c r="G2801" s="6" t="n">
        <v>2</v>
      </c>
      <c r="H2801" s="6" t="n">
        <v>-515.4407199999999</v>
      </c>
      <c r="I2801" s="7">
        <f>-H2801/G2801</f>
        <v/>
      </c>
      <c r="J2801" s="11" t="n">
        <v>44606</v>
      </c>
      <c r="K2801" s="6">
        <f>+OPERAC[[#This Row],[cantidad]]</f>
        <v/>
      </c>
      <c r="L2801" s="6">
        <f>+OPERAC[[#This Row],[cantidad venta]]*160.574</f>
        <v/>
      </c>
      <c r="M2801" s="7">
        <f>IF(N2801=0,+L2801+H2801,0)</f>
        <v/>
      </c>
      <c r="N2801" s="7">
        <f>IF((+G2801-K2801)=0,0,+G2801-K2801)</f>
        <v/>
      </c>
      <c r="O2801" s="7">
        <f>IF(N2801=0,0,(L2801+H2801)/-N2801)</f>
        <v/>
      </c>
      <c r="P2801" s="7">
        <f>VLOOKUP(OPERAC[[#This Row],[especie]],[1]!ESPECIES[#All],6,0)</f>
        <v/>
      </c>
      <c r="Q2801" s="7">
        <f>IF(N2801&lt;&gt;0,P2801*N2801,0)</f>
        <v/>
      </c>
      <c r="R2801" s="8">
        <f>IF(Q2801&lt;&gt;0,Q2801+H2801+L2801,0)</f>
        <v/>
      </c>
      <c r="S2801" s="9">
        <f>VLOOKUP(OPERAC[[#This Row],[especie]],[1]!ESPECIES[#Data],9,FALSE)</f>
        <v/>
      </c>
    </row>
    <row r="2802">
      <c r="A2802" s="4" t="n">
        <v>25070</v>
      </c>
      <c r="B2802" s="5" t="n">
        <v>44539</v>
      </c>
      <c r="C2802" s="13" t="inlineStr">
        <is>
          <t>VTA</t>
        </is>
      </c>
      <c r="D2802" s="13" t="n">
        <v>40</v>
      </c>
      <c r="E2802" s="10">
        <f>IF(D2802&gt;0,VLOOKUP(OPERAC[[#This Row],[COD CART]],[1]!MatrizCortoLargoCyl[#All],3,0),"")</f>
        <v/>
      </c>
      <c r="F2802" s="13" t="inlineStr">
        <is>
          <t>ROKU</t>
        </is>
      </c>
      <c r="G2802" s="6" t="n">
        <v>2</v>
      </c>
      <c r="H2802" s="6" t="n">
        <v>-515.4407199999999</v>
      </c>
      <c r="I2802" s="7">
        <f>-H2802/G2802</f>
        <v/>
      </c>
      <c r="J2802" s="11" t="n">
        <v>44606</v>
      </c>
      <c r="K2802" s="6">
        <f>+OPERAC[[#This Row],[cantidad]]</f>
        <v/>
      </c>
      <c r="L2802" s="6">
        <f>+OPERAC[[#This Row],[cantidad venta]]*160.574</f>
        <v/>
      </c>
      <c r="M2802" s="7">
        <f>IF(N2802=0,+L2802+H2802,0)</f>
        <v/>
      </c>
      <c r="N2802" s="7">
        <f>IF((+G2802-K2802)=0,0,+G2802-K2802)</f>
        <v/>
      </c>
      <c r="O2802" s="7">
        <f>IF(N2802=0,0,(L2802+H2802)/-N2802)</f>
        <v/>
      </c>
      <c r="P2802" s="7">
        <f>VLOOKUP(OPERAC[[#This Row],[especie]],[1]!ESPECIES[#All],6,0)</f>
        <v/>
      </c>
      <c r="Q2802" s="7">
        <f>IF(N2802&lt;&gt;0,P2802*N2802,0)</f>
        <v/>
      </c>
      <c r="R2802" s="8">
        <f>IF(Q2802&lt;&gt;0,Q2802+H2802+L2802,0)</f>
        <v/>
      </c>
      <c r="S2802" s="9">
        <f>VLOOKUP(OPERAC[[#This Row],[especie]],[1]!ESPECIES[#Data],9,FALSE)</f>
        <v/>
      </c>
    </row>
    <row r="2803">
      <c r="A2803" s="4" t="n">
        <v>26140</v>
      </c>
      <c r="B2803" s="5" t="n">
        <v>44539</v>
      </c>
      <c r="C2803" s="13" t="inlineStr">
        <is>
          <t>VTA</t>
        </is>
      </c>
      <c r="D2803" s="13" t="n">
        <v>40</v>
      </c>
      <c r="E2803" s="10">
        <f>IF(D2803&gt;0,VLOOKUP(OPERAC[[#This Row],[COD CART]],[1]!MatrizCortoLargoCyl[#All],3,0),"")</f>
        <v/>
      </c>
      <c r="F2803" s="13" t="inlineStr">
        <is>
          <t>ROKU</t>
        </is>
      </c>
      <c r="G2803" s="6" t="n">
        <v>2</v>
      </c>
      <c r="H2803" s="6" t="n">
        <v>-515.4407199999999</v>
      </c>
      <c r="I2803" s="7">
        <f>-H2803/G2803</f>
        <v/>
      </c>
      <c r="J2803" s="11" t="n">
        <v>44606</v>
      </c>
      <c r="K2803" s="6">
        <f>+OPERAC[[#This Row],[cantidad]]</f>
        <v/>
      </c>
      <c r="L2803" s="6">
        <f>+OPERAC[[#This Row],[cantidad venta]]*160.574</f>
        <v/>
      </c>
      <c r="M2803" s="7">
        <f>IF(N2803=0,+L2803+H2803,0)</f>
        <v/>
      </c>
      <c r="N2803" s="7">
        <f>IF((+G2803-K2803)=0,0,+G2803-K2803)</f>
        <v/>
      </c>
      <c r="O2803" s="7">
        <f>IF(N2803=0,0,(L2803+H2803)/-N2803)</f>
        <v/>
      </c>
      <c r="P2803" s="7">
        <f>VLOOKUP(OPERAC[[#This Row],[especie]],[1]!ESPECIES[#All],6,0)</f>
        <v/>
      </c>
      <c r="Q2803" s="7">
        <f>IF(N2803&lt;&gt;0,P2803*N2803,0)</f>
        <v/>
      </c>
      <c r="R2803" s="8">
        <f>IF(Q2803&lt;&gt;0,Q2803+H2803+L2803,0)</f>
        <v/>
      </c>
      <c r="S2803" s="9">
        <f>VLOOKUP(OPERAC[[#This Row],[especie]],[1]!ESPECIES[#Data],9,FALSE)</f>
        <v/>
      </c>
    </row>
    <row r="2804">
      <c r="A2804" s="4" t="n">
        <v>2253</v>
      </c>
      <c r="B2804" s="5" t="n">
        <v>44459</v>
      </c>
      <c r="C2804" s="13" t="inlineStr">
        <is>
          <t>VTA</t>
        </is>
      </c>
      <c r="D2804" s="13" t="n">
        <v>43</v>
      </c>
      <c r="E2804" s="10">
        <f>IF(D2804&gt;0,VLOOKUP(OPERAC[[#This Row],[COD CART]],[1]!MatrizCortoLargoCyl[#All],3,0),"")</f>
        <v/>
      </c>
      <c r="F2804" s="13" t="inlineStr">
        <is>
          <t>INO/CYL-PUT/7,00/21-01-22</t>
        </is>
      </c>
      <c r="G2804" s="6" t="n">
        <v>100</v>
      </c>
      <c r="H2804" s="6" t="n">
        <v>-515.45</v>
      </c>
      <c r="I2804" s="7">
        <f>-H2804/G2804</f>
        <v/>
      </c>
      <c r="J2804" s="11" t="n">
        <v>44581</v>
      </c>
      <c r="K2804" s="6" t="n">
        <v>100</v>
      </c>
      <c r="L2804" s="6" t="n">
        <v>125.796</v>
      </c>
      <c r="M2804" s="7">
        <f>IF(N2804=0,+L2804+H2804,0)</f>
        <v/>
      </c>
      <c r="N2804" s="7">
        <f>IF((+G2804-K2804)=0,0,+G2804-K2804)</f>
        <v/>
      </c>
      <c r="O2804" s="7">
        <f>IF(N2804=0,0,(L2804+H2804)/-N2804)</f>
        <v/>
      </c>
      <c r="P2804" s="7">
        <f>VLOOKUP(OPERAC[[#This Row],[especie]],[1]!ESPECIES[#All],6,0)</f>
        <v/>
      </c>
      <c r="Q2804" s="7">
        <f>IF(N2804&lt;&gt;0,P2804*N2804,0)</f>
        <v/>
      </c>
      <c r="R2804" s="8">
        <f>IF(Q2804&lt;&gt;0,Q2804+H2804+L2804,0)</f>
        <v/>
      </c>
      <c r="S2804" s="9">
        <f>VLOOKUP(OPERAC[[#This Row],[especie]],[1]!ESPECIES[#Data],9,FALSE)</f>
        <v/>
      </c>
    </row>
    <row r="2805">
      <c r="A2805" s="4" t="n">
        <v>2279</v>
      </c>
      <c r="B2805" s="5" t="n">
        <v>44459</v>
      </c>
      <c r="C2805" s="13" t="inlineStr">
        <is>
          <t>VTA</t>
        </is>
      </c>
      <c r="D2805" s="13" t="n">
        <v>43</v>
      </c>
      <c r="E2805" s="10">
        <f>IF(D2805&gt;0,VLOOKUP(OPERAC[[#This Row],[COD CART]],[1]!MatrizCortoLargoCyl[#All],3,0),"")</f>
        <v/>
      </c>
      <c r="F2805" s="13" t="inlineStr">
        <is>
          <t>INO/CYL-PUT/7,00/21-01-22</t>
        </is>
      </c>
      <c r="G2805" s="6" t="n">
        <v>100</v>
      </c>
      <c r="H2805" s="6" t="n">
        <v>-515.45</v>
      </c>
      <c r="I2805" s="7">
        <f>-H2805/G2805</f>
        <v/>
      </c>
      <c r="J2805" s="11" t="n">
        <v>44581</v>
      </c>
      <c r="K2805" s="6" t="n">
        <v>100</v>
      </c>
      <c r="L2805" s="6" t="n">
        <v>125.796</v>
      </c>
      <c r="M2805" s="7">
        <f>IF(N2805=0,+L2805+H2805,0)</f>
        <v/>
      </c>
      <c r="N2805" s="7">
        <f>IF((+G2805-K2805)=0,0,+G2805-K2805)</f>
        <v/>
      </c>
      <c r="O2805" s="7">
        <f>IF(N2805=0,0,(L2805+H2805)/-N2805)</f>
        <v/>
      </c>
      <c r="P2805" s="7">
        <f>VLOOKUP(OPERAC[[#This Row],[especie]],[1]!ESPECIES[#All],6,0)</f>
        <v/>
      </c>
      <c r="Q2805" s="7">
        <f>IF(N2805&lt;&gt;0,P2805*N2805,0)</f>
        <v/>
      </c>
      <c r="R2805" s="8">
        <f>IF(Q2805&lt;&gt;0,Q2805+H2805+L2805,0)</f>
        <v/>
      </c>
      <c r="S2805" s="9">
        <f>VLOOKUP(OPERAC[[#This Row],[especie]],[1]!ESPECIES[#Data],9,FALSE)</f>
        <v/>
      </c>
    </row>
    <row r="2806">
      <c r="A2806" s="4" t="n">
        <v>3832</v>
      </c>
      <c r="B2806" s="5" t="n">
        <v>44459</v>
      </c>
      <c r="C2806" s="13" t="inlineStr">
        <is>
          <t>VTA</t>
        </is>
      </c>
      <c r="D2806" s="13" t="n">
        <v>43</v>
      </c>
      <c r="E2806" s="10">
        <f>IF(D2806&gt;0,VLOOKUP(OPERAC[[#This Row],[COD CART]],[1]!MatrizCortoLargoCyl[#All],3,0),"")</f>
        <v/>
      </c>
      <c r="F2806" s="13" t="inlineStr">
        <is>
          <t>INO/CYL-PUT/7,00/21-01-22</t>
        </is>
      </c>
      <c r="G2806" s="6" t="n">
        <v>100</v>
      </c>
      <c r="H2806" s="6" t="n">
        <v>-515.45</v>
      </c>
      <c r="I2806" s="7">
        <f>-H2806/G2806</f>
        <v/>
      </c>
      <c r="J2806" s="11" t="n">
        <v>44581</v>
      </c>
      <c r="K2806" s="6" t="n">
        <v>100</v>
      </c>
      <c r="L2806" s="6" t="n">
        <v>125.796</v>
      </c>
      <c r="M2806" s="7">
        <f>IF(N2806=0,+L2806+H2806,0)</f>
        <v/>
      </c>
      <c r="N2806" s="7">
        <f>IF((+G2806-K2806)=0,0,+G2806-K2806)</f>
        <v/>
      </c>
      <c r="O2806" s="7">
        <f>IF(N2806=0,0,(L2806+H2806)/-N2806)</f>
        <v/>
      </c>
      <c r="P2806" s="7">
        <f>VLOOKUP(OPERAC[[#This Row],[especie]],[1]!ESPECIES[#All],6,0)</f>
        <v/>
      </c>
      <c r="Q2806" s="7">
        <f>IF(N2806&lt;&gt;0,P2806*N2806,0)</f>
        <v/>
      </c>
      <c r="R2806" s="8">
        <f>IF(Q2806&lt;&gt;0,Q2806+H2806+L2806,0)</f>
        <v/>
      </c>
      <c r="S2806" s="9">
        <f>VLOOKUP(OPERAC[[#This Row],[especie]],[1]!ESPECIES[#Data],9,FALSE)</f>
        <v/>
      </c>
    </row>
    <row r="2807">
      <c r="A2807" s="4" t="n">
        <v>9195</v>
      </c>
      <c r="B2807" s="5" t="n">
        <v>44459</v>
      </c>
      <c r="C2807" s="13" t="inlineStr">
        <is>
          <t>VTA</t>
        </is>
      </c>
      <c r="D2807" s="13" t="n">
        <v>43</v>
      </c>
      <c r="E2807" s="10">
        <f>IF(D2807&gt;0,VLOOKUP(OPERAC[[#This Row],[COD CART]],[1]!MatrizCortoLargoCyl[#All],3,0),"")</f>
        <v/>
      </c>
      <c r="F2807" s="13" t="inlineStr">
        <is>
          <t>INO/CYL-PUT/7,00/21-01-22</t>
        </is>
      </c>
      <c r="G2807" s="6" t="n">
        <v>100</v>
      </c>
      <c r="H2807" s="6" t="n">
        <v>-515.45</v>
      </c>
      <c r="I2807" s="7">
        <f>-H2807/G2807</f>
        <v/>
      </c>
      <c r="J2807" s="11" t="n">
        <v>44581</v>
      </c>
      <c r="K2807" s="6" t="n">
        <v>100</v>
      </c>
      <c r="L2807" s="6" t="n">
        <v>125.796</v>
      </c>
      <c r="M2807" s="7">
        <f>IF(N2807=0,+L2807+H2807,0)</f>
        <v/>
      </c>
      <c r="N2807" s="7">
        <f>IF((+G2807-K2807)=0,0,+G2807-K2807)</f>
        <v/>
      </c>
      <c r="O2807" s="7">
        <f>IF(N2807=0,0,(L2807+H2807)/-N2807)</f>
        <v/>
      </c>
      <c r="P2807" s="7">
        <f>VLOOKUP(OPERAC[[#This Row],[especie]],[1]!ESPECIES[#All],6,0)</f>
        <v/>
      </c>
      <c r="Q2807" s="7">
        <f>IF(N2807&lt;&gt;0,P2807*N2807,0)</f>
        <v/>
      </c>
      <c r="R2807" s="8">
        <f>IF(Q2807&lt;&gt;0,Q2807+H2807+L2807,0)</f>
        <v/>
      </c>
      <c r="S2807" s="9">
        <f>VLOOKUP(OPERAC[[#This Row],[especie]],[1]!ESPECIES[#Data],9,FALSE)</f>
        <v/>
      </c>
    </row>
    <row r="2808">
      <c r="A2808" s="4" t="n">
        <v>22399</v>
      </c>
      <c r="B2808" s="5" t="n">
        <v>44629</v>
      </c>
      <c r="C2808" s="13" t="inlineStr">
        <is>
          <t>VTA</t>
        </is>
      </c>
      <c r="D2808" s="13" t="n">
        <v>42</v>
      </c>
      <c r="E2808" s="10">
        <f>IF(D2808&gt;0,VLOOKUP(OPERAC[[#This Row],[COD CART]],[1]!MatrizCortoLargoCyl[#All],3,0),"")</f>
        <v/>
      </c>
      <c r="F2808" s="13" t="inlineStr">
        <is>
          <t>SMH</t>
        </is>
      </c>
      <c r="G2808" s="6" t="n">
        <v>2</v>
      </c>
      <c r="H2808" s="6" t="n">
        <v>-516.163</v>
      </c>
      <c r="I2808" s="7">
        <f>-H2808/G2808</f>
        <v/>
      </c>
      <c r="J2808" s="11" t="n">
        <v>44663</v>
      </c>
      <c r="K2808" s="6">
        <f>+OPERAC[[#This Row],[cantidad]]</f>
        <v/>
      </c>
      <c r="L2808" s="6">
        <f>+OPERAC[[#This Row],[cantidad venta]]*238.066</f>
        <v/>
      </c>
      <c r="M2808" s="7">
        <f>IF(N2808=0,+L2808+H2808,0)</f>
        <v/>
      </c>
      <c r="N2808" s="7">
        <f>IF((+G2808-K2808)=0,0,+G2808-K2808)</f>
        <v/>
      </c>
      <c r="O2808" s="7">
        <f>IF(N2808=0,0,(L2808+H2808)/-N2808)</f>
        <v/>
      </c>
      <c r="P2808" s="7">
        <f>VLOOKUP(OPERAC[[#This Row],[especie]],[1]!ESPECIES[#All],6,0)</f>
        <v/>
      </c>
      <c r="Q2808" s="7">
        <f>IF(N2808&lt;&gt;0,P2808*N2808,0)</f>
        <v/>
      </c>
      <c r="R2808" s="8">
        <f>IF(Q2808&lt;&gt;0,Q2808+H2808+L2808,0)</f>
        <v/>
      </c>
      <c r="S2808" s="9">
        <f>VLOOKUP(OPERAC[[#This Row],[especie]],[1]!ESPECIES[#Data],9,FALSE)</f>
        <v/>
      </c>
    </row>
    <row r="2809">
      <c r="A2809" s="4" t="n">
        <v>18663</v>
      </c>
      <c r="B2809" s="5" t="n">
        <v>44057</v>
      </c>
      <c r="C2809" s="13" t="inlineStr">
        <is>
          <t>VTA</t>
        </is>
      </c>
      <c r="D2809" s="13" t="n">
        <v>41</v>
      </c>
      <c r="E2809" s="10">
        <f>IF(D2809&gt;0,VLOOKUP(OPERAC[[#This Row],[COD CART]],[1]!MatrizCortoLargoCyl[#All],3,0),"")</f>
        <v/>
      </c>
      <c r="F2809" s="13" t="inlineStr">
        <is>
          <t>DIS</t>
        </is>
      </c>
      <c r="G2809" s="6" t="n">
        <v>5</v>
      </c>
      <c r="H2809" s="6" t="n">
        <v>-517</v>
      </c>
      <c r="I2809" s="7">
        <f>-H2809/G2809</f>
        <v/>
      </c>
      <c r="J2809" s="5" t="n"/>
      <c r="K2809" s="6" t="n"/>
      <c r="L2809" s="6" t="n"/>
      <c r="M2809" s="7">
        <f>IF(N2809=0,+L2809+H2809,0)</f>
        <v/>
      </c>
      <c r="N2809" s="7">
        <f>IF((+G2809-K2809)=0,0,+G2809-K2809)</f>
        <v/>
      </c>
      <c r="O2809" s="7">
        <f>IF(N2809=0,0,(L2809+H2809)/-N2809)</f>
        <v/>
      </c>
      <c r="P2809" s="7">
        <f>VLOOKUP(OPERAC[[#This Row],[especie]],[1]!ESPECIES[#All],6,0)</f>
        <v/>
      </c>
      <c r="Q2809" s="7">
        <f>IF(N2809&lt;&gt;0,P2809*N2809,0)</f>
        <v/>
      </c>
      <c r="R2809" s="8">
        <f>IF(Q2809&lt;&gt;0,Q2809+H2809+L2809,0)</f>
        <v/>
      </c>
      <c r="S2809" s="9">
        <f>VLOOKUP(OPERAC[[#This Row],[especie]],[1]!ESPECIES[#Data],9,FALSE)</f>
        <v/>
      </c>
    </row>
    <row r="2810">
      <c r="A2810" s="4" t="n">
        <v>26146</v>
      </c>
      <c r="B2810" s="5" t="n">
        <v>44658</v>
      </c>
      <c r="C2810" s="13" t="inlineStr">
        <is>
          <t>VTA</t>
        </is>
      </c>
      <c r="D2810" s="13" t="n">
        <v>41</v>
      </c>
      <c r="E2810" s="10">
        <f>IF(D2810&gt;0,VLOOKUP(OPERAC[[#This Row],[COD CART]],[1]!MatrizCortoLargoCyl[#All],3,0),"")</f>
        <v/>
      </c>
      <c r="F2810" s="13" t="inlineStr">
        <is>
          <t>GGAL</t>
        </is>
      </c>
      <c r="G2810" s="6" t="n">
        <v>50</v>
      </c>
      <c r="H2810" s="6" t="n">
        <v>-518.104</v>
      </c>
      <c r="I2810" s="7">
        <f>-H2810/G2810</f>
        <v/>
      </c>
      <c r="J2810" s="11" t="n"/>
      <c r="K2810" s="6" t="n"/>
      <c r="L2810" s="6" t="n"/>
      <c r="M2810" s="7">
        <f>IF(N2810=0,+L2810+H2810,0)</f>
        <v/>
      </c>
      <c r="N2810" s="7">
        <f>IF((+G2810-K2810)=0,0,+G2810-K2810)</f>
        <v/>
      </c>
      <c r="O2810" s="7">
        <f>IF(N2810=0,0,(L2810+H2810)/-N2810)</f>
        <v/>
      </c>
      <c r="P2810" s="7">
        <f>VLOOKUP(OPERAC[[#This Row],[especie]],[1]!ESPECIES[#All],6,0)</f>
        <v/>
      </c>
      <c r="Q2810" s="7">
        <f>IF(N2810&lt;&gt;0,P2810*N2810,0)</f>
        <v/>
      </c>
      <c r="R2810" s="8">
        <f>IF(Q2810&lt;&gt;0,Q2810+H2810+L2810,0)</f>
        <v/>
      </c>
      <c r="S2810" s="9">
        <f>VLOOKUP(OPERAC[[#This Row],[especie]],[1]!ESPECIES[#Data],9,FALSE)</f>
        <v/>
      </c>
    </row>
    <row r="2811">
      <c r="A2811" s="4" t="n">
        <v>7916</v>
      </c>
      <c r="B2811" s="5" t="n">
        <v>44537</v>
      </c>
      <c r="C2811" s="13" t="inlineStr">
        <is>
          <t>VTA</t>
        </is>
      </c>
      <c r="D2811" s="13" t="n">
        <v>43</v>
      </c>
      <c r="E2811" s="10">
        <f>IF(D2811&gt;0,VLOOKUP(OPERAC[[#This Row],[COD CART]],[1]!MatrizCortoLargoCyl[#All],3,0),"")</f>
        <v/>
      </c>
      <c r="F2811" s="13" t="inlineStr">
        <is>
          <t>XSPA/CYL-PUT/1,50/20-01-23</t>
        </is>
      </c>
      <c r="G2811" s="6" t="n">
        <v>1000</v>
      </c>
      <c r="H2811" s="6">
        <f>-0.52*OPERAC[[#This Row],[cantidad]]</f>
        <v/>
      </c>
      <c r="I2811" s="7">
        <f>-H2811/G2811</f>
        <v/>
      </c>
      <c r="J2811" s="11" t="n"/>
      <c r="K2811" s="6" t="n"/>
      <c r="L2811" s="6" t="n"/>
      <c r="M2811" s="7">
        <f>IF(N2811=0,+L2811+H2811,0)</f>
        <v/>
      </c>
      <c r="N2811" s="7">
        <f>IF((+G2811-K2811)=0,0,+G2811-K2811)</f>
        <v/>
      </c>
      <c r="O2811" s="7">
        <f>IF(N2811=0,0,(L2811+H2811)/-N2811)</f>
        <v/>
      </c>
      <c r="P2811" s="7">
        <f>VLOOKUP(OPERAC[[#This Row],[especie]],[1]!ESPECIES[#All],6,0)</f>
        <v/>
      </c>
      <c r="Q2811" s="7">
        <f>IF(N2811&lt;&gt;0,P2811*N2811,0)</f>
        <v/>
      </c>
      <c r="R2811" s="8">
        <f>IF(Q2811&lt;&gt;0,Q2811+H2811+L2811,0)</f>
        <v/>
      </c>
      <c r="S2811" s="9">
        <f>VLOOKUP(OPERAC[[#This Row],[especie]],[1]!ESPECIES[#Data],9,FALSE)</f>
        <v/>
      </c>
    </row>
    <row r="2812">
      <c r="A2812" s="4" t="n">
        <v>18661</v>
      </c>
      <c r="B2812" s="5" t="n">
        <v>44537</v>
      </c>
      <c r="C2812" s="13" t="inlineStr">
        <is>
          <t>VTA</t>
        </is>
      </c>
      <c r="D2812" s="13" t="n">
        <v>43</v>
      </c>
      <c r="E2812" s="10">
        <f>IF(D2812&gt;0,VLOOKUP(OPERAC[[#This Row],[COD CART]],[1]!MatrizCortoLargoCyl[#All],3,0),"")</f>
        <v/>
      </c>
      <c r="F2812" s="13" t="inlineStr">
        <is>
          <t>XSPA/CYL-PUT/1,50/20-01-23</t>
        </is>
      </c>
      <c r="G2812" s="6" t="n">
        <v>1000</v>
      </c>
      <c r="H2812" s="6">
        <f>-0.52*OPERAC[[#This Row],[cantidad]]</f>
        <v/>
      </c>
      <c r="I2812" s="7">
        <f>-H2812/G2812</f>
        <v/>
      </c>
      <c r="J2812" s="11" t="n"/>
      <c r="K2812" s="6" t="n"/>
      <c r="L2812" s="6" t="n"/>
      <c r="M2812" s="7">
        <f>IF(N2812=0,+L2812+H2812,0)</f>
        <v/>
      </c>
      <c r="N2812" s="7">
        <f>IF((+G2812-K2812)=0,0,+G2812-K2812)</f>
        <v/>
      </c>
      <c r="O2812" s="7">
        <f>IF(N2812=0,0,(L2812+H2812)/-N2812)</f>
        <v/>
      </c>
      <c r="P2812" s="7">
        <f>VLOOKUP(OPERAC[[#This Row],[especie]],[1]!ESPECIES[#All],6,0)</f>
        <v/>
      </c>
      <c r="Q2812" s="7">
        <f>IF(N2812&lt;&gt;0,P2812*N2812,0)</f>
        <v/>
      </c>
      <c r="R2812" s="8">
        <f>IF(Q2812&lt;&gt;0,Q2812+H2812+L2812,0)</f>
        <v/>
      </c>
      <c r="S2812" s="9">
        <f>VLOOKUP(OPERAC[[#This Row],[especie]],[1]!ESPECIES[#Data],9,FALSE)</f>
        <v/>
      </c>
    </row>
    <row r="2813">
      <c r="A2813" s="4" t="n">
        <v>22421</v>
      </c>
      <c r="B2813" s="5" t="n">
        <v>44601</v>
      </c>
      <c r="C2813" s="13" t="inlineStr">
        <is>
          <t>VTA</t>
        </is>
      </c>
      <c r="D2813" s="13" t="n">
        <v>43</v>
      </c>
      <c r="E2813" s="10">
        <f>IF(D2813&gt;0,VLOOKUP(OPERAC[[#This Row],[COD CART]],[1]!MatrizCortoLargoCyl[#All],3,0),"")</f>
        <v/>
      </c>
      <c r="F2813" s="13" t="inlineStr">
        <is>
          <t>GMBL/CYL-PUT/2,50/20-01-23</t>
        </is>
      </c>
      <c r="G2813" s="6" t="n">
        <v>400</v>
      </c>
      <c r="H2813" s="6">
        <f>-1.3*OPERAC[[#This Row],[cantidad]]</f>
        <v/>
      </c>
      <c r="I2813" s="7">
        <f>-H2813/G2813</f>
        <v/>
      </c>
      <c r="J2813" s="11" t="n">
        <v>44637</v>
      </c>
      <c r="K2813" s="6" t="n">
        <v>400</v>
      </c>
      <c r="L2813" s="6" t="n">
        <v>-496.258</v>
      </c>
      <c r="M2813" s="7">
        <f>IF(N2813=0,+L2813+H2813,0)</f>
        <v/>
      </c>
      <c r="N2813" s="7">
        <f>IF((+G2813-K2813)=0,0,+G2813-K2813)</f>
        <v/>
      </c>
      <c r="O2813" s="7">
        <f>IF(N2813=0,0,(L2813+H2813)/-N2813)</f>
        <v/>
      </c>
      <c r="P2813" s="7">
        <f>VLOOKUP(OPERAC[[#This Row],[especie]],[1]!ESPECIES[#All],6,0)</f>
        <v/>
      </c>
      <c r="Q2813" s="7">
        <f>IF(N2813&lt;&gt;0,P2813*N2813,0)</f>
        <v/>
      </c>
      <c r="R2813" s="8">
        <f>IF(Q2813&lt;&gt;0,Q2813+H2813+L2813,0)</f>
        <v/>
      </c>
      <c r="S2813" s="9">
        <f>VLOOKUP(OPERAC[[#This Row],[especie]],[1]!ESPECIES[#Data],9,FALSE)</f>
        <v/>
      </c>
    </row>
    <row r="2814">
      <c r="A2814" s="4" t="n">
        <v>4543</v>
      </c>
      <c r="B2814" s="5" t="n">
        <v>44658</v>
      </c>
      <c r="C2814" s="13" t="inlineStr">
        <is>
          <t>VTA</t>
        </is>
      </c>
      <c r="D2814" s="13" t="n">
        <v>41</v>
      </c>
      <c r="E2814" s="10">
        <f>IF(D2814&gt;0,VLOOKUP(OPERAC[[#This Row],[COD CART]],[1]!MatrizCortoLargoCyl[#All],3,0),"")</f>
        <v/>
      </c>
      <c r="F2814" s="13" t="inlineStr">
        <is>
          <t>GGAL</t>
        </is>
      </c>
      <c r="G2814" s="6" t="n">
        <v>50</v>
      </c>
      <c r="H2814" s="6" t="n">
        <v>-520.12</v>
      </c>
      <c r="I2814" s="7">
        <f>-H2814/G2814</f>
        <v/>
      </c>
      <c r="J2814" s="11" t="n"/>
      <c r="K2814" s="6" t="n"/>
      <c r="L2814" s="6" t="n"/>
      <c r="M2814" s="7">
        <f>IF(N2814=0,+L2814+H2814,0)</f>
        <v/>
      </c>
      <c r="N2814" s="7">
        <f>IF((+G2814-K2814)=0,0,+G2814-K2814)</f>
        <v/>
      </c>
      <c r="O2814" s="7">
        <f>IF(N2814=0,0,(L2814+H2814)/-N2814)</f>
        <v/>
      </c>
      <c r="P2814" s="7">
        <f>VLOOKUP(OPERAC[[#This Row],[especie]],[1]!ESPECIES[#All],6,0)</f>
        <v/>
      </c>
      <c r="Q2814" s="7">
        <f>IF(N2814&lt;&gt;0,P2814*N2814,0)</f>
        <v/>
      </c>
      <c r="R2814" s="8">
        <f>IF(Q2814&lt;&gt;0,Q2814+H2814+L2814,0)</f>
        <v/>
      </c>
      <c r="S2814" s="9">
        <f>VLOOKUP(OPERAC[[#This Row],[especie]],[1]!ESPECIES[#Data],9,FALSE)</f>
        <v/>
      </c>
    </row>
    <row r="2815">
      <c r="A2815" s="4" t="n">
        <v>13230</v>
      </c>
      <c r="B2815" s="5" t="n">
        <v>44461</v>
      </c>
      <c r="C2815" s="13" t="inlineStr">
        <is>
          <t>VTA</t>
        </is>
      </c>
      <c r="D2815" s="13" t="n">
        <v>40</v>
      </c>
      <c r="E2815" s="10">
        <f>IF(D2815&gt;0,VLOOKUP(OPERAC[[#This Row],[COD CART]],[1]!MatrizCortoLargoCyl[#All],3,0),"")</f>
        <v/>
      </c>
      <c r="F2815" s="13" t="inlineStr">
        <is>
          <t>EDU</t>
        </is>
      </c>
      <c r="G2815" s="6" t="n">
        <v>500</v>
      </c>
      <c r="H2815" s="6">
        <f>-1.0864*OPERAC[[#This Row],[cantidad]]+0.04*OPERAC[[#This Row],[cantidad]]</f>
        <v/>
      </c>
      <c r="I2815" s="7">
        <f>-H2815/G2815</f>
        <v/>
      </c>
      <c r="J2815" s="11" t="n">
        <v>44614</v>
      </c>
      <c r="K2815" s="6">
        <f>+OPERAC[[#This Row],[cantidad]]</f>
        <v/>
      </c>
      <c r="L2815" s="6">
        <f>1.483*OPERAC[[#This Row],[cantidad venta]]</f>
        <v/>
      </c>
      <c r="M2815" s="7">
        <f>IF(N2815=0,+L2815+H2815,0)</f>
        <v/>
      </c>
      <c r="N2815" s="7">
        <f>IF((+G2815-K2815)=0,0,+G2815-K2815)</f>
        <v/>
      </c>
      <c r="O2815" s="7">
        <f>IF(N2815=0,0,(L2815+H2815)/-N2815)</f>
        <v/>
      </c>
      <c r="P2815" s="7">
        <f>VLOOKUP(OPERAC[[#This Row],[especie]],[1]!ESPECIES[#All],6,0)</f>
        <v/>
      </c>
      <c r="Q2815" s="7">
        <f>IF(N2815&lt;&gt;0,P2815*N2815,0)</f>
        <v/>
      </c>
      <c r="R2815" s="8">
        <f>IF(Q2815&lt;&gt;0,Q2815+H2815+L2815,0)</f>
        <v/>
      </c>
      <c r="S2815" s="9">
        <f>VLOOKUP(OPERAC[[#This Row],[especie]],[1]!ESPECIES[#Data],9,FALSE)</f>
        <v/>
      </c>
    </row>
    <row r="2816">
      <c r="A2816" s="4" t="n">
        <v>16786</v>
      </c>
      <c r="B2816" s="5" t="n">
        <v>44461</v>
      </c>
      <c r="C2816" s="13" t="inlineStr">
        <is>
          <t>VTA</t>
        </is>
      </c>
      <c r="D2816" s="13" t="n">
        <v>40</v>
      </c>
      <c r="E2816" s="10">
        <f>IF(D2816&gt;0,VLOOKUP(OPERAC[[#This Row],[COD CART]],[1]!MatrizCortoLargoCyl[#All],3,0),"")</f>
        <v/>
      </c>
      <c r="F2816" s="13" t="inlineStr">
        <is>
          <t>EDU</t>
        </is>
      </c>
      <c r="G2816" s="6" t="n">
        <v>500</v>
      </c>
      <c r="H2816" s="6">
        <f>-1.0864*OPERAC[[#This Row],[cantidad]]+0.04*OPERAC[[#This Row],[cantidad]]</f>
        <v/>
      </c>
      <c r="I2816" s="7">
        <f>-H2816/G2816</f>
        <v/>
      </c>
      <c r="J2816" s="11" t="n">
        <v>44630</v>
      </c>
      <c r="K2816" s="6" t="n">
        <v>500</v>
      </c>
      <c r="L2816" s="6" t="n">
        <v>568.328</v>
      </c>
      <c r="M2816" s="7">
        <f>IF(N2816=0,+L2816+H2816,0)</f>
        <v/>
      </c>
      <c r="N2816" s="7">
        <f>IF((+G2816-K2816)=0,0,+G2816-K2816)</f>
        <v/>
      </c>
      <c r="O2816" s="7">
        <f>IF(N2816=0,0,(L2816+H2816)/-N2816)</f>
        <v/>
      </c>
      <c r="P2816" s="7">
        <f>VLOOKUP(OPERAC[[#This Row],[especie]],[1]!ESPECIES[#All],6,0)</f>
        <v/>
      </c>
      <c r="Q2816" s="7">
        <f>IF(N2816&lt;&gt;0,P2816*N2816,0)</f>
        <v/>
      </c>
      <c r="R2816" s="8">
        <f>IF(Q2816&lt;&gt;0,Q2816+H2816+L2816,0)</f>
        <v/>
      </c>
      <c r="S2816" s="9">
        <f>VLOOKUP(OPERAC[[#This Row],[especie]],[1]!ESPECIES[#Data],9,FALSE)</f>
        <v/>
      </c>
    </row>
    <row r="2817">
      <c r="A2817" s="4" t="n">
        <v>16795</v>
      </c>
      <c r="B2817" s="5" t="n">
        <v>44461</v>
      </c>
      <c r="C2817" s="13" t="inlineStr">
        <is>
          <t>VTA</t>
        </is>
      </c>
      <c r="D2817" s="13" t="n">
        <v>40</v>
      </c>
      <c r="E2817" s="10">
        <f>IF(D2817&gt;0,VLOOKUP(OPERAC[[#This Row],[COD CART]],[1]!MatrizCortoLargoCyl[#All],3,0),"")</f>
        <v/>
      </c>
      <c r="F2817" s="13" t="inlineStr">
        <is>
          <t>EDU</t>
        </is>
      </c>
      <c r="G2817" s="6" t="n">
        <v>500</v>
      </c>
      <c r="H2817" s="6">
        <f>-1.0864*OPERAC[[#This Row],[cantidad]]+0.04*OPERAC[[#This Row],[cantidad]]</f>
        <v/>
      </c>
      <c r="I2817" s="7">
        <f>-H2817/G2817</f>
        <v/>
      </c>
      <c r="J2817" s="11" t="n">
        <v>44630</v>
      </c>
      <c r="K2817" s="6" t="n">
        <v>500</v>
      </c>
      <c r="L2817" s="6" t="n">
        <v>568.328</v>
      </c>
      <c r="M2817" s="7">
        <f>IF(N2817=0,+L2817+H2817,0)</f>
        <v/>
      </c>
      <c r="N2817" s="7">
        <f>IF((+G2817-K2817)=0,0,+G2817-K2817)</f>
        <v/>
      </c>
      <c r="O2817" s="7">
        <f>IF(N2817=0,0,(L2817+H2817)/-N2817)</f>
        <v/>
      </c>
      <c r="P2817" s="7">
        <f>VLOOKUP(OPERAC[[#This Row],[especie]],[1]!ESPECIES[#All],6,0)</f>
        <v/>
      </c>
      <c r="Q2817" s="7">
        <f>IF(N2817&lt;&gt;0,P2817*N2817,0)</f>
        <v/>
      </c>
      <c r="R2817" s="8">
        <f>IF(Q2817&lt;&gt;0,Q2817+H2817+L2817,0)</f>
        <v/>
      </c>
      <c r="S2817" s="9">
        <f>VLOOKUP(OPERAC[[#This Row],[especie]],[1]!ESPECIES[#Data],9,FALSE)</f>
        <v/>
      </c>
    </row>
    <row r="2818">
      <c r="A2818" s="4" t="n">
        <v>18661</v>
      </c>
      <c r="B2818" s="5" t="n">
        <v>44461</v>
      </c>
      <c r="C2818" s="13" t="inlineStr">
        <is>
          <t>VTA</t>
        </is>
      </c>
      <c r="D2818" s="13" t="n">
        <v>40</v>
      </c>
      <c r="E2818" s="10">
        <f>IF(D2818&gt;0,VLOOKUP(OPERAC[[#This Row],[COD CART]],[1]!MatrizCortoLargoCyl[#All],3,0),"")</f>
        <v/>
      </c>
      <c r="F2818" s="13" t="inlineStr">
        <is>
          <t>EDU</t>
        </is>
      </c>
      <c r="G2818" s="6" t="n">
        <v>500</v>
      </c>
      <c r="H2818" s="6">
        <f>-1.0864*OPERAC[[#This Row],[cantidad]]+0.04*OPERAC[[#This Row],[cantidad]]</f>
        <v/>
      </c>
      <c r="I2818" s="7">
        <f>-H2818/G2818</f>
        <v/>
      </c>
      <c r="J2818" s="11" t="n">
        <v>44630</v>
      </c>
      <c r="K2818" s="6" t="n">
        <v>500</v>
      </c>
      <c r="L2818" s="6" t="n">
        <v>568.328</v>
      </c>
      <c r="M2818" s="7">
        <f>IF(N2818=0,+L2818+H2818,0)</f>
        <v/>
      </c>
      <c r="N2818" s="7">
        <f>IF((+G2818-K2818)=0,0,+G2818-K2818)</f>
        <v/>
      </c>
      <c r="O2818" s="7">
        <f>IF(N2818=0,0,(L2818+H2818)/-N2818)</f>
        <v/>
      </c>
      <c r="P2818" s="7">
        <f>VLOOKUP(OPERAC[[#This Row],[especie]],[1]!ESPECIES[#All],6,0)</f>
        <v/>
      </c>
      <c r="Q2818" s="7">
        <f>IF(N2818&lt;&gt;0,P2818*N2818,0)</f>
        <v/>
      </c>
      <c r="R2818" s="8">
        <f>IF(Q2818&lt;&gt;0,Q2818+H2818+L2818,0)</f>
        <v/>
      </c>
      <c r="S2818" s="9">
        <f>VLOOKUP(OPERAC[[#This Row],[especie]],[1]!ESPECIES[#Data],9,FALSE)</f>
        <v/>
      </c>
    </row>
    <row r="2819">
      <c r="A2819" s="4" t="n">
        <v>18677</v>
      </c>
      <c r="B2819" s="5" t="n">
        <v>44461</v>
      </c>
      <c r="C2819" s="13" t="inlineStr">
        <is>
          <t>VTA</t>
        </is>
      </c>
      <c r="D2819" s="13" t="n">
        <v>40</v>
      </c>
      <c r="E2819" s="10">
        <f>IF(D2819&gt;0,VLOOKUP(OPERAC[[#This Row],[COD CART]],[1]!MatrizCortoLargoCyl[#All],3,0),"")</f>
        <v/>
      </c>
      <c r="F2819" s="13" t="inlineStr">
        <is>
          <t>EDU</t>
        </is>
      </c>
      <c r="G2819" s="6" t="n">
        <v>500</v>
      </c>
      <c r="H2819" s="6">
        <f>-1.0864*OPERAC[[#This Row],[cantidad]]+0.04*OPERAC[[#This Row],[cantidad]]</f>
        <v/>
      </c>
      <c r="I2819" s="7">
        <f>-H2819/G2819</f>
        <v/>
      </c>
      <c r="J2819" s="11" t="n">
        <v>44615</v>
      </c>
      <c r="K2819" s="6" t="n">
        <v>500</v>
      </c>
      <c r="L2819" s="6">
        <f>+OPERAC[[#This Row],[cantidad venta]]*1.495</f>
        <v/>
      </c>
      <c r="M2819" s="7">
        <f>IF(N2819=0,+L2819+H2819,0)</f>
        <v/>
      </c>
      <c r="N2819" s="7">
        <f>IF((+G2819-K2819)=0,0,+G2819-K2819)</f>
        <v/>
      </c>
      <c r="O2819" s="7">
        <f>IF(N2819=0,0,(L2819+H2819)/-N2819)</f>
        <v/>
      </c>
      <c r="P2819" s="7">
        <f>VLOOKUP(OPERAC[[#This Row],[especie]],[1]!ESPECIES[#All],6,0)</f>
        <v/>
      </c>
      <c r="Q2819" s="7">
        <f>IF(N2819&lt;&gt;0,P2819*N2819,0)</f>
        <v/>
      </c>
      <c r="R2819" s="8">
        <f>IF(Q2819&lt;&gt;0,Q2819+H2819+L2819,0)</f>
        <v/>
      </c>
      <c r="S2819" s="9">
        <f>VLOOKUP(OPERAC[[#This Row],[especie]],[1]!ESPECIES[#Data],9,FALSE)</f>
        <v/>
      </c>
    </row>
    <row r="2820">
      <c r="A2820" s="4" t="n">
        <v>18711</v>
      </c>
      <c r="B2820" s="5" t="n">
        <v>44461</v>
      </c>
      <c r="C2820" s="13" t="inlineStr">
        <is>
          <t>VTA</t>
        </is>
      </c>
      <c r="D2820" s="13" t="n">
        <v>40</v>
      </c>
      <c r="E2820" s="10">
        <f>IF(D2820&gt;0,VLOOKUP(OPERAC[[#This Row],[COD CART]],[1]!MatrizCortoLargoCyl[#All],3,0),"")</f>
        <v/>
      </c>
      <c r="F2820" s="13" t="inlineStr">
        <is>
          <t>EDU</t>
        </is>
      </c>
      <c r="G2820" s="6" t="n">
        <v>500</v>
      </c>
      <c r="H2820" s="6">
        <f>-1.0864*OPERAC[[#This Row],[cantidad]]+0.04*OPERAC[[#This Row],[cantidad]]</f>
        <v/>
      </c>
      <c r="I2820" s="7">
        <f>-H2820/G2820</f>
        <v/>
      </c>
      <c r="J2820" s="11" t="n">
        <v>44614</v>
      </c>
      <c r="K2820" s="6">
        <f>+OPERAC[[#This Row],[cantidad]]</f>
        <v/>
      </c>
      <c r="L2820" s="6">
        <f>1.483*OPERAC[[#This Row],[cantidad venta]]</f>
        <v/>
      </c>
      <c r="M2820" s="7">
        <f>IF(N2820=0,+L2820+H2820,0)</f>
        <v/>
      </c>
      <c r="N2820" s="7">
        <f>IF((+G2820-K2820)=0,0,+G2820-K2820)</f>
        <v/>
      </c>
      <c r="O2820" s="7">
        <f>IF(N2820=0,0,(L2820+H2820)/-N2820)</f>
        <v/>
      </c>
      <c r="P2820" s="7">
        <f>VLOOKUP(OPERAC[[#This Row],[especie]],[1]!ESPECIES[#All],6,0)</f>
        <v/>
      </c>
      <c r="Q2820" s="7">
        <f>IF(N2820&lt;&gt;0,P2820*N2820,0)</f>
        <v/>
      </c>
      <c r="R2820" s="8">
        <f>IF(Q2820&lt;&gt;0,Q2820+H2820+L2820,0)</f>
        <v/>
      </c>
      <c r="S2820" s="9">
        <f>VLOOKUP(OPERAC[[#This Row],[especie]],[1]!ESPECIES[#Data],9,FALSE)</f>
        <v/>
      </c>
    </row>
    <row r="2821">
      <c r="A2821" s="4" t="n">
        <v>18713</v>
      </c>
      <c r="B2821" s="5" t="n">
        <v>44461</v>
      </c>
      <c r="C2821" s="13" t="inlineStr">
        <is>
          <t>VTA</t>
        </is>
      </c>
      <c r="D2821" s="13" t="n">
        <v>40</v>
      </c>
      <c r="E2821" s="10">
        <f>IF(D2821&gt;0,VLOOKUP(OPERAC[[#This Row],[COD CART]],[1]!MatrizCortoLargoCyl[#All],3,0),"")</f>
        <v/>
      </c>
      <c r="F2821" s="13" t="inlineStr">
        <is>
          <t>EDU</t>
        </is>
      </c>
      <c r="G2821" s="6" t="n">
        <v>500</v>
      </c>
      <c r="H2821" s="6">
        <f>-1.0864*OPERAC[[#This Row],[cantidad]]+0.04*OPERAC[[#This Row],[cantidad]]</f>
        <v/>
      </c>
      <c r="I2821" s="7">
        <f>-H2821/G2821</f>
        <v/>
      </c>
      <c r="J2821" s="11" t="n">
        <v>44614</v>
      </c>
      <c r="K2821" s="6">
        <f>+OPERAC[[#This Row],[cantidad]]</f>
        <v/>
      </c>
      <c r="L2821" s="6">
        <f>1.483*OPERAC[[#This Row],[cantidad venta]]</f>
        <v/>
      </c>
      <c r="M2821" s="7">
        <f>IF(N2821=0,+L2821+H2821,0)</f>
        <v/>
      </c>
      <c r="N2821" s="7">
        <f>IF((+G2821-K2821)=0,0,+G2821-K2821)</f>
        <v/>
      </c>
      <c r="O2821" s="7">
        <f>IF(N2821=0,0,(L2821+H2821)/-N2821)</f>
        <v/>
      </c>
      <c r="P2821" s="7">
        <f>VLOOKUP(OPERAC[[#This Row],[especie]],[1]!ESPECIES[#All],6,0)</f>
        <v/>
      </c>
      <c r="Q2821" s="7">
        <f>IF(N2821&lt;&gt;0,P2821*N2821,0)</f>
        <v/>
      </c>
      <c r="R2821" s="8">
        <f>IF(Q2821&lt;&gt;0,Q2821+H2821+L2821,0)</f>
        <v/>
      </c>
      <c r="S2821" s="9">
        <f>VLOOKUP(OPERAC[[#This Row],[especie]],[1]!ESPECIES[#Data],9,FALSE)</f>
        <v/>
      </c>
    </row>
    <row r="2822">
      <c r="A2822" s="4" t="n">
        <v>18716</v>
      </c>
      <c r="B2822" s="5" t="n">
        <v>44461</v>
      </c>
      <c r="C2822" s="13" t="inlineStr">
        <is>
          <t>VTA</t>
        </is>
      </c>
      <c r="D2822" s="13" t="n">
        <v>40</v>
      </c>
      <c r="E2822" s="10">
        <f>IF(D2822&gt;0,VLOOKUP(OPERAC[[#This Row],[COD CART]],[1]!MatrizCortoLargoCyl[#All],3,0),"")</f>
        <v/>
      </c>
      <c r="F2822" s="13" t="inlineStr">
        <is>
          <t>EDU</t>
        </is>
      </c>
      <c r="G2822" s="6" t="n">
        <v>500</v>
      </c>
      <c r="H2822" s="6">
        <f>-1.0864*OPERAC[[#This Row],[cantidad]]+0.04*OPERAC[[#This Row],[cantidad]]</f>
        <v/>
      </c>
      <c r="I2822" s="7">
        <f>-H2822/G2822</f>
        <v/>
      </c>
      <c r="J2822" s="11" t="n">
        <v>44606</v>
      </c>
      <c r="K2822" s="6" t="n">
        <v>500</v>
      </c>
      <c r="L2822" s="6" t="n">
        <v>727.5549999999999</v>
      </c>
      <c r="M2822" s="7">
        <f>IF(N2822=0,+L2822+H2822,0)</f>
        <v/>
      </c>
      <c r="N2822" s="7">
        <f>IF((+G2822-K2822)=0,0,+G2822-K2822)</f>
        <v/>
      </c>
      <c r="O2822" s="7">
        <f>IF(N2822=0,0,(L2822+H2822)/-N2822)</f>
        <v/>
      </c>
      <c r="P2822" s="7">
        <f>VLOOKUP(OPERAC[[#This Row],[especie]],[1]!ESPECIES[#All],6,0)</f>
        <v/>
      </c>
      <c r="Q2822" s="7">
        <f>IF(N2822&lt;&gt;0,P2822*N2822,0)</f>
        <v/>
      </c>
      <c r="R2822" s="8">
        <f>IF(Q2822&lt;&gt;0,Q2822+H2822+L2822,0)</f>
        <v/>
      </c>
      <c r="S2822" s="9">
        <f>VLOOKUP(OPERAC[[#This Row],[especie]],[1]!ESPECIES[#Data],9,FALSE)</f>
        <v/>
      </c>
    </row>
    <row r="2823">
      <c r="A2823" s="4" t="n">
        <v>19897</v>
      </c>
      <c r="B2823" s="5" t="n">
        <v>44461</v>
      </c>
      <c r="C2823" s="13" t="inlineStr">
        <is>
          <t>VTA</t>
        </is>
      </c>
      <c r="D2823" s="13" t="n">
        <v>40</v>
      </c>
      <c r="E2823" s="10">
        <f>IF(D2823&gt;0,VLOOKUP(OPERAC[[#This Row],[COD CART]],[1]!MatrizCortoLargoCyl[#All],3,0),"")</f>
        <v/>
      </c>
      <c r="F2823" s="13" t="inlineStr">
        <is>
          <t>EDU</t>
        </is>
      </c>
      <c r="G2823" s="6" t="n">
        <v>500</v>
      </c>
      <c r="H2823" s="6">
        <f>-1.0864*OPERAC[[#This Row],[cantidad]]+0.04*OPERAC[[#This Row],[cantidad]]</f>
        <v/>
      </c>
      <c r="I2823" s="7">
        <f>-H2823/G2823</f>
        <v/>
      </c>
      <c r="J2823" s="11" t="n">
        <v>44614</v>
      </c>
      <c r="K2823" s="6">
        <f>+OPERAC[[#This Row],[cantidad]]</f>
        <v/>
      </c>
      <c r="L2823" s="6">
        <f>1.483*OPERAC[[#This Row],[cantidad venta]]</f>
        <v/>
      </c>
      <c r="M2823" s="7">
        <f>IF(N2823=0,+L2823+H2823,0)</f>
        <v/>
      </c>
      <c r="N2823" s="7">
        <f>IF((+G2823-K2823)=0,0,+G2823-K2823)</f>
        <v/>
      </c>
      <c r="O2823" s="7">
        <f>IF(N2823=0,0,(L2823+H2823)/-N2823)</f>
        <v/>
      </c>
      <c r="P2823" s="7">
        <f>VLOOKUP(OPERAC[[#This Row],[especie]],[1]!ESPECIES[#All],6,0)</f>
        <v/>
      </c>
      <c r="Q2823" s="7">
        <f>IF(N2823&lt;&gt;0,P2823*N2823,0)</f>
        <v/>
      </c>
      <c r="R2823" s="8">
        <f>IF(Q2823&lt;&gt;0,Q2823+H2823+L2823,0)</f>
        <v/>
      </c>
      <c r="S2823" s="9">
        <f>VLOOKUP(OPERAC[[#This Row],[especie]],[1]!ESPECIES[#Data],9,FALSE)</f>
        <v/>
      </c>
    </row>
    <row r="2824">
      <c r="A2824" s="4" t="n">
        <v>19934</v>
      </c>
      <c r="B2824" s="5" t="n">
        <v>44461</v>
      </c>
      <c r="C2824" s="13" t="inlineStr">
        <is>
          <t>VTA</t>
        </is>
      </c>
      <c r="D2824" s="13" t="n">
        <v>40</v>
      </c>
      <c r="E2824" s="10">
        <f>IF(D2824&gt;0,VLOOKUP(OPERAC[[#This Row],[COD CART]],[1]!MatrizCortoLargoCyl[#All],3,0),"")</f>
        <v/>
      </c>
      <c r="F2824" s="13" t="inlineStr">
        <is>
          <t>EDU</t>
        </is>
      </c>
      <c r="G2824" s="6" t="n">
        <v>500</v>
      </c>
      <c r="H2824" s="6">
        <f>-1.0864*OPERAC[[#This Row],[cantidad]]+0.04*OPERAC[[#This Row],[cantidad]]</f>
        <v/>
      </c>
      <c r="I2824" s="7">
        <f>-H2824/G2824</f>
        <v/>
      </c>
      <c r="J2824" s="11" t="n">
        <v>44615</v>
      </c>
      <c r="K2824" s="6" t="n">
        <v>500</v>
      </c>
      <c r="L2824" s="6">
        <f>+OPERAC[[#This Row],[cantidad venta]]*1.495</f>
        <v/>
      </c>
      <c r="M2824" s="7">
        <f>IF(N2824=0,+L2824+H2824,0)</f>
        <v/>
      </c>
      <c r="N2824" s="7">
        <f>IF((+G2824-K2824)=0,0,+G2824-K2824)</f>
        <v/>
      </c>
      <c r="O2824" s="7">
        <f>IF(N2824=0,0,(L2824+H2824)/-N2824)</f>
        <v/>
      </c>
      <c r="P2824" s="7">
        <f>VLOOKUP(OPERAC[[#This Row],[especie]],[1]!ESPECIES[#All],6,0)</f>
        <v/>
      </c>
      <c r="Q2824" s="7">
        <f>IF(N2824&lt;&gt;0,P2824*N2824,0)</f>
        <v/>
      </c>
      <c r="R2824" s="8">
        <f>IF(Q2824&lt;&gt;0,Q2824+H2824+L2824,0)</f>
        <v/>
      </c>
      <c r="S2824" s="9">
        <f>VLOOKUP(OPERAC[[#This Row],[especie]],[1]!ESPECIES[#Data],9,FALSE)</f>
        <v/>
      </c>
    </row>
    <row r="2825">
      <c r="A2825" s="4" t="n">
        <v>20234</v>
      </c>
      <c r="B2825" s="5" t="n">
        <v>44461</v>
      </c>
      <c r="C2825" s="13" t="inlineStr">
        <is>
          <t>VTA</t>
        </is>
      </c>
      <c r="D2825" s="13" t="n">
        <v>40</v>
      </c>
      <c r="E2825" s="10">
        <f>IF(D2825&gt;0,VLOOKUP(OPERAC[[#This Row],[COD CART]],[1]!MatrizCortoLargoCyl[#All],3,0),"")</f>
        <v/>
      </c>
      <c r="F2825" s="13" t="inlineStr">
        <is>
          <t>EDU</t>
        </is>
      </c>
      <c r="G2825" s="6" t="n">
        <v>500</v>
      </c>
      <c r="H2825" s="6">
        <f>-1.0864*OPERAC[[#This Row],[cantidad]]+0.04*OPERAC[[#This Row],[cantidad]]</f>
        <v/>
      </c>
      <c r="I2825" s="7">
        <f>-H2825/G2825</f>
        <v/>
      </c>
      <c r="J2825" s="11" t="n">
        <v>44614</v>
      </c>
      <c r="K2825" s="6">
        <f>+OPERAC[[#This Row],[cantidad]]</f>
        <v/>
      </c>
      <c r="L2825" s="6">
        <f>1.483*OPERAC[[#This Row],[cantidad venta]]</f>
        <v/>
      </c>
      <c r="M2825" s="7">
        <f>IF(N2825=0,+L2825+H2825,0)</f>
        <v/>
      </c>
      <c r="N2825" s="7">
        <f>IF((+G2825-K2825)=0,0,+G2825-K2825)</f>
        <v/>
      </c>
      <c r="O2825" s="7">
        <f>IF(N2825=0,0,(L2825+H2825)/-N2825)</f>
        <v/>
      </c>
      <c r="P2825" s="7">
        <f>VLOOKUP(OPERAC[[#This Row],[especie]],[1]!ESPECIES[#All],6,0)</f>
        <v/>
      </c>
      <c r="Q2825" s="7">
        <f>IF(N2825&lt;&gt;0,P2825*N2825,0)</f>
        <v/>
      </c>
      <c r="R2825" s="8">
        <f>IF(Q2825&lt;&gt;0,Q2825+H2825+L2825,0)</f>
        <v/>
      </c>
      <c r="S2825" s="9">
        <f>VLOOKUP(OPERAC[[#This Row],[especie]],[1]!ESPECIES[#Data],9,FALSE)</f>
        <v/>
      </c>
    </row>
    <row r="2826">
      <c r="A2826" s="4" t="n">
        <v>22421</v>
      </c>
      <c r="B2826" s="5" t="n">
        <v>44461</v>
      </c>
      <c r="C2826" s="13" t="inlineStr">
        <is>
          <t>VTA</t>
        </is>
      </c>
      <c r="D2826" s="13" t="n">
        <v>40</v>
      </c>
      <c r="E2826" s="10">
        <f>IF(D2826&gt;0,VLOOKUP(OPERAC[[#This Row],[COD CART]],[1]!MatrizCortoLargoCyl[#All],3,0),"")</f>
        <v/>
      </c>
      <c r="F2826" s="13" t="inlineStr">
        <is>
          <t>EDU</t>
        </is>
      </c>
      <c r="G2826" s="6" t="n">
        <v>500</v>
      </c>
      <c r="H2826" s="6">
        <f>-1.0864*OPERAC[[#This Row],[cantidad]]+0.04*OPERAC[[#This Row],[cantidad]]</f>
        <v/>
      </c>
      <c r="I2826" s="7">
        <f>-H2826/G2826</f>
        <v/>
      </c>
      <c r="J2826" s="11" t="n">
        <v>44614</v>
      </c>
      <c r="K2826" s="6">
        <f>+OPERAC[[#This Row],[cantidad]]</f>
        <v/>
      </c>
      <c r="L2826" s="6">
        <f>1.483*OPERAC[[#This Row],[cantidad venta]]</f>
        <v/>
      </c>
      <c r="M2826" s="7">
        <f>IF(N2826=0,+L2826+H2826,0)</f>
        <v/>
      </c>
      <c r="N2826" s="7">
        <f>IF((+G2826-K2826)=0,0,+G2826-K2826)</f>
        <v/>
      </c>
      <c r="O2826" s="7">
        <f>IF(N2826=0,0,(L2826+H2826)/-N2826)</f>
        <v/>
      </c>
      <c r="P2826" s="7">
        <f>VLOOKUP(OPERAC[[#This Row],[especie]],[1]!ESPECIES[#All],6,0)</f>
        <v/>
      </c>
      <c r="Q2826" s="7">
        <f>IF(N2826&lt;&gt;0,P2826*N2826,0)</f>
        <v/>
      </c>
      <c r="R2826" s="8">
        <f>IF(Q2826&lt;&gt;0,Q2826+H2826+L2826,0)</f>
        <v/>
      </c>
      <c r="S2826" s="9">
        <f>VLOOKUP(OPERAC[[#This Row],[especie]],[1]!ESPECIES[#Data],9,FALSE)</f>
        <v/>
      </c>
    </row>
    <row r="2827">
      <c r="A2827" s="4" t="n">
        <v>22433</v>
      </c>
      <c r="B2827" s="5" t="n">
        <v>44461</v>
      </c>
      <c r="C2827" s="13" t="inlineStr">
        <is>
          <t>VTA</t>
        </is>
      </c>
      <c r="D2827" s="13" t="n">
        <v>40</v>
      </c>
      <c r="E2827" s="10">
        <f>IF(D2827&gt;0,VLOOKUP(OPERAC[[#This Row],[COD CART]],[1]!MatrizCortoLargoCyl[#All],3,0),"")</f>
        <v/>
      </c>
      <c r="F2827" s="13" t="inlineStr">
        <is>
          <t>EDU</t>
        </is>
      </c>
      <c r="G2827" s="6" t="n">
        <v>500</v>
      </c>
      <c r="H2827" s="6">
        <f>-1.0864*OPERAC[[#This Row],[cantidad]]+0.04*OPERAC[[#This Row],[cantidad]]</f>
        <v/>
      </c>
      <c r="I2827" s="7">
        <f>-H2827/G2827</f>
        <v/>
      </c>
      <c r="J2827" s="11" t="n">
        <v>44629</v>
      </c>
      <c r="K2827" s="6" t="n">
        <v>500</v>
      </c>
      <c r="L2827" s="6">
        <f>+OPERAC[[#This Row],[cantidad venta]]*1.27</f>
        <v/>
      </c>
      <c r="M2827" s="7">
        <f>IF(N2827=0,+L2827+H2827,0)</f>
        <v/>
      </c>
      <c r="N2827" s="7">
        <f>IF((+G2827-K2827)=0,0,+G2827-K2827)</f>
        <v/>
      </c>
      <c r="O2827" s="7">
        <f>IF(N2827=0,0,(L2827+H2827)/-N2827)</f>
        <v/>
      </c>
      <c r="P2827" s="7">
        <f>VLOOKUP(OPERAC[[#This Row],[especie]],[1]!ESPECIES[#All],6,0)</f>
        <v/>
      </c>
      <c r="Q2827" s="7">
        <f>IF(N2827&lt;&gt;0,P2827*N2827,0)</f>
        <v/>
      </c>
      <c r="R2827" s="8">
        <f>IF(Q2827&lt;&gt;0,Q2827+H2827+L2827,0)</f>
        <v/>
      </c>
      <c r="S2827" s="9">
        <f>VLOOKUP(OPERAC[[#This Row],[especie]],[1]!ESPECIES[#Data],9,FALSE)</f>
        <v/>
      </c>
    </row>
    <row r="2828">
      <c r="A2828" s="4" t="n">
        <v>22439</v>
      </c>
      <c r="B2828" s="5" t="n">
        <v>44461</v>
      </c>
      <c r="C2828" s="13" t="inlineStr">
        <is>
          <t>VTA</t>
        </is>
      </c>
      <c r="D2828" s="13" t="n">
        <v>40</v>
      </c>
      <c r="E2828" s="10">
        <f>IF(D2828&gt;0,VLOOKUP(OPERAC[[#This Row],[COD CART]],[1]!MatrizCortoLargoCyl[#All],3,0),"")</f>
        <v/>
      </c>
      <c r="F2828" s="13" t="inlineStr">
        <is>
          <t>EDU</t>
        </is>
      </c>
      <c r="G2828" s="6" t="n">
        <v>500</v>
      </c>
      <c r="H2828" s="6">
        <f>-1.0864*OPERAC[[#This Row],[cantidad]]+0.04*OPERAC[[#This Row],[cantidad]]</f>
        <v/>
      </c>
      <c r="I2828" s="7">
        <f>-H2828/G2828</f>
        <v/>
      </c>
      <c r="J2828" s="11" t="n">
        <v>44614</v>
      </c>
      <c r="K2828" s="6">
        <f>+OPERAC[[#This Row],[cantidad]]</f>
        <v/>
      </c>
      <c r="L2828" s="6">
        <f>1.483*OPERAC[[#This Row],[cantidad venta]]</f>
        <v/>
      </c>
      <c r="M2828" s="7">
        <f>IF(N2828=0,+L2828+H2828,0)</f>
        <v/>
      </c>
      <c r="N2828" s="7">
        <f>IF((+G2828-K2828)=0,0,+G2828-K2828)</f>
        <v/>
      </c>
      <c r="O2828" s="7">
        <f>IF(N2828=0,0,(L2828+H2828)/-N2828)</f>
        <v/>
      </c>
      <c r="P2828" s="7">
        <f>VLOOKUP(OPERAC[[#This Row],[especie]],[1]!ESPECIES[#All],6,0)</f>
        <v/>
      </c>
      <c r="Q2828" s="7">
        <f>IF(N2828&lt;&gt;0,P2828*N2828,0)</f>
        <v/>
      </c>
      <c r="R2828" s="8">
        <f>IF(Q2828&lt;&gt;0,Q2828+H2828+L2828,0)</f>
        <v/>
      </c>
      <c r="S2828" s="9">
        <f>VLOOKUP(OPERAC[[#This Row],[especie]],[1]!ESPECIES[#Data],9,FALSE)</f>
        <v/>
      </c>
    </row>
    <row r="2829">
      <c r="A2829" s="4" t="n">
        <v>22431</v>
      </c>
      <c r="B2829" s="5" t="n">
        <v>44461</v>
      </c>
      <c r="C2829" s="13" t="inlineStr">
        <is>
          <t>VTA</t>
        </is>
      </c>
      <c r="D2829" s="13" t="n">
        <v>40</v>
      </c>
      <c r="E2829" s="10">
        <f>IF(D2829&gt;0,VLOOKUP(OPERAC[[#This Row],[COD CART]],[1]!MatrizCortoLargoCyl[#All],3,0),"")</f>
        <v/>
      </c>
      <c r="F2829" s="13" t="inlineStr">
        <is>
          <t>EDU</t>
        </is>
      </c>
      <c r="G2829" s="6" t="n">
        <v>500</v>
      </c>
      <c r="H2829" s="6">
        <f>-1.0864*OPERAC[[#This Row],[cantidad]]+0.04*OPERAC[[#This Row],[cantidad]]</f>
        <v/>
      </c>
      <c r="I2829" s="7">
        <f>-H2829/G2829</f>
        <v/>
      </c>
      <c r="J2829" s="11" t="n">
        <v>44630</v>
      </c>
      <c r="K2829" s="6" t="n">
        <v>500</v>
      </c>
      <c r="L2829" s="6" t="n">
        <v>568.328</v>
      </c>
      <c r="M2829" s="7">
        <f>IF(N2829=0,+L2829+H2829,0)</f>
        <v/>
      </c>
      <c r="N2829" s="7">
        <f>IF((+G2829-K2829)=0,0,+G2829-K2829)</f>
        <v/>
      </c>
      <c r="O2829" s="7">
        <f>IF(N2829=0,0,(L2829+H2829)/-N2829)</f>
        <v/>
      </c>
      <c r="P2829" s="7">
        <f>VLOOKUP(OPERAC[[#This Row],[especie]],[1]!ESPECIES[#All],6,0)</f>
        <v/>
      </c>
      <c r="Q2829" s="7">
        <f>IF(N2829&lt;&gt;0,P2829*N2829,0)</f>
        <v/>
      </c>
      <c r="R2829" s="8">
        <f>IF(Q2829&lt;&gt;0,Q2829+H2829+L2829,0)</f>
        <v/>
      </c>
      <c r="S2829" s="9">
        <f>VLOOKUP(OPERAC[[#This Row],[especie]],[1]!ESPECIES[#Data],9,FALSE)</f>
        <v/>
      </c>
    </row>
    <row r="2830">
      <c r="A2830" s="4" t="n">
        <v>20317</v>
      </c>
      <c r="B2830" s="5" t="n">
        <v>44104</v>
      </c>
      <c r="C2830" s="13" t="inlineStr">
        <is>
          <t>VTA</t>
        </is>
      </c>
      <c r="D2830" s="13" t="n">
        <v>41</v>
      </c>
      <c r="E2830" s="10">
        <f>IF(D2830&gt;0,VLOOKUP(OPERAC[[#This Row],[COD CART]],[1]!MatrizCortoLargoCyl[#All],3,0),"")</f>
        <v/>
      </c>
      <c r="F2830" s="13" t="inlineStr">
        <is>
          <t>DHT</t>
        </is>
      </c>
      <c r="G2830" s="6" t="n">
        <v>100</v>
      </c>
      <c r="H2830" s="6" t="n">
        <v>-525.664</v>
      </c>
      <c r="I2830" s="7">
        <f>-H2830/G2830</f>
        <v/>
      </c>
      <c r="J2830" s="5" t="n"/>
      <c r="K2830" s="6" t="n"/>
      <c r="L2830" s="6" t="n"/>
      <c r="M2830" s="7">
        <f>IF(N2830=0,+L2830+H2830,0)</f>
        <v/>
      </c>
      <c r="N2830" s="7">
        <f>IF((+G2830-K2830)=0,0,+G2830-K2830)</f>
        <v/>
      </c>
      <c r="O2830" s="7">
        <f>IF(N2830=0,0,(L2830+H2830)/-N2830)</f>
        <v/>
      </c>
      <c r="P2830" s="7">
        <f>VLOOKUP(OPERAC[[#This Row],[especie]],[1]!ESPECIES[#All],6,0)</f>
        <v/>
      </c>
      <c r="Q2830" s="7">
        <f>IF(N2830&lt;&gt;0,P2830*N2830,0)</f>
        <v/>
      </c>
      <c r="R2830" s="8">
        <f>IF(Q2830&lt;&gt;0,Q2830+H2830+L2830,0)</f>
        <v/>
      </c>
      <c r="S2830" s="9">
        <f>VLOOKUP(OPERAC[[#This Row],[especie]],[1]!ESPECIES[#Data],9,FALSE)</f>
        <v/>
      </c>
    </row>
    <row r="2831">
      <c r="A2831" s="4" t="n">
        <v>6599</v>
      </c>
      <c r="B2831" s="5" t="n">
        <v>44523</v>
      </c>
      <c r="C2831" s="13" t="inlineStr">
        <is>
          <t>VTA</t>
        </is>
      </c>
      <c r="D2831" s="13" t="n">
        <v>40</v>
      </c>
      <c r="E2831" s="10">
        <f>IF(D2831&gt;0,VLOOKUP(OPERAC[[#This Row],[COD CART]],[1]!MatrizCortoLargoCyl[#All],3,0),"")</f>
        <v/>
      </c>
      <c r="F2831" s="13" t="inlineStr">
        <is>
          <t>EDU</t>
        </is>
      </c>
      <c r="G2831" s="6" t="n">
        <v>300</v>
      </c>
      <c r="H2831" s="6">
        <f>-533.847+0.026*OPERAC[[#This Row],[cantidad]]</f>
        <v/>
      </c>
      <c r="I2831" s="7">
        <f>-H2831/G2831</f>
        <v/>
      </c>
      <c r="J2831" s="11" t="n">
        <v>44617</v>
      </c>
      <c r="K2831" s="6" t="n">
        <v>300</v>
      </c>
      <c r="L2831" s="6" t="n">
        <v>410.636</v>
      </c>
      <c r="M2831" s="7">
        <f>IF(N2831=0,+L2831+H2831,0)</f>
        <v/>
      </c>
      <c r="N2831" s="7">
        <f>IF((+G2831-K2831)=0,0,+G2831-K2831)</f>
        <v/>
      </c>
      <c r="O2831" s="7">
        <f>IF(N2831=0,0,(L2831+H2831)/-N2831)</f>
        <v/>
      </c>
      <c r="P2831" s="7">
        <f>VLOOKUP(OPERAC[[#This Row],[especie]],[1]!ESPECIES[#All],6,0)</f>
        <v/>
      </c>
      <c r="Q2831" s="7">
        <f>IF(N2831&lt;&gt;0,P2831*N2831,0)</f>
        <v/>
      </c>
      <c r="R2831" s="8">
        <f>IF(Q2831&lt;&gt;0,Q2831+H2831+L2831,0)</f>
        <v/>
      </c>
      <c r="S2831" s="9">
        <f>VLOOKUP(OPERAC[[#This Row],[especie]],[1]!ESPECIES[#Data],9,FALSE)</f>
        <v/>
      </c>
    </row>
    <row r="2832">
      <c r="A2832" s="4" t="n">
        <v>12671</v>
      </c>
      <c r="B2832" s="5" t="n">
        <v>44523</v>
      </c>
      <c r="C2832" s="13" t="inlineStr">
        <is>
          <t>VTA</t>
        </is>
      </c>
      <c r="D2832" s="13" t="n">
        <v>40</v>
      </c>
      <c r="E2832" s="10">
        <f>IF(D2832&gt;0,VLOOKUP(OPERAC[[#This Row],[COD CART]],[1]!MatrizCortoLargoCyl[#All],3,0),"")</f>
        <v/>
      </c>
      <c r="F2832" s="13" t="inlineStr">
        <is>
          <t>EDU</t>
        </is>
      </c>
      <c r="G2832" s="6" t="n">
        <v>300</v>
      </c>
      <c r="H2832" s="6">
        <f>-533.847+0.026*OPERAC[[#This Row],[cantidad]]</f>
        <v/>
      </c>
      <c r="I2832" s="7">
        <f>-H2832/G2832</f>
        <v/>
      </c>
      <c r="J2832" s="11" t="n">
        <v>44630</v>
      </c>
      <c r="K2832" s="6" t="n">
        <v>300</v>
      </c>
      <c r="L2832" s="6" t="n">
        <v>345.863</v>
      </c>
      <c r="M2832" s="7">
        <f>IF(N2832=0,+L2832+H2832,0)</f>
        <v/>
      </c>
      <c r="N2832" s="7">
        <f>IF((+G2832-K2832)=0,0,+G2832-K2832)</f>
        <v/>
      </c>
      <c r="O2832" s="7">
        <f>IF(N2832=0,0,(L2832+H2832)/-N2832)</f>
        <v/>
      </c>
      <c r="P2832" s="7">
        <f>VLOOKUP(OPERAC[[#This Row],[especie]],[1]!ESPECIES[#All],6,0)</f>
        <v/>
      </c>
      <c r="Q2832" s="7">
        <f>IF(N2832&lt;&gt;0,P2832*N2832,0)</f>
        <v/>
      </c>
      <c r="R2832" s="8">
        <f>IF(Q2832&lt;&gt;0,Q2832+H2832+L2832,0)</f>
        <v/>
      </c>
      <c r="S2832" s="9">
        <f>VLOOKUP(OPERAC[[#This Row],[especie]],[1]!ESPECIES[#Data],9,FALSE)</f>
        <v/>
      </c>
    </row>
    <row r="2833">
      <c r="A2833" s="4" t="n">
        <v>12674</v>
      </c>
      <c r="B2833" s="5" t="n">
        <v>44523</v>
      </c>
      <c r="C2833" s="13" t="inlineStr">
        <is>
          <t>VTA</t>
        </is>
      </c>
      <c r="D2833" s="13" t="n">
        <v>40</v>
      </c>
      <c r="E2833" s="10">
        <f>IF(D2833&gt;0,VLOOKUP(OPERAC[[#This Row],[COD CART]],[1]!MatrizCortoLargoCyl[#All],3,0),"")</f>
        <v/>
      </c>
      <c r="F2833" s="13" t="inlineStr">
        <is>
          <t>EDU</t>
        </is>
      </c>
      <c r="G2833" s="6" t="n">
        <v>300</v>
      </c>
      <c r="H2833" s="6">
        <f>-533.847+0.026*OPERAC[[#This Row],[cantidad]]</f>
        <v/>
      </c>
      <c r="I2833" s="7">
        <f>-H2833/G2833</f>
        <v/>
      </c>
      <c r="J2833" s="11" t="n">
        <v>44630</v>
      </c>
      <c r="K2833" s="6" t="n">
        <v>300</v>
      </c>
      <c r="L2833" s="6" t="n">
        <v>340.997</v>
      </c>
      <c r="M2833" s="7">
        <f>IF(N2833=0,+L2833+H2833,0)</f>
        <v/>
      </c>
      <c r="N2833" s="7">
        <f>IF((+G2833-K2833)=0,0,+G2833-K2833)</f>
        <v/>
      </c>
      <c r="O2833" s="7">
        <f>IF(N2833=0,0,(L2833+H2833)/-N2833)</f>
        <v/>
      </c>
      <c r="P2833" s="7">
        <f>VLOOKUP(OPERAC[[#This Row],[especie]],[1]!ESPECIES[#All],6,0)</f>
        <v/>
      </c>
      <c r="Q2833" s="7">
        <f>IF(N2833&lt;&gt;0,P2833*N2833,0)</f>
        <v/>
      </c>
      <c r="R2833" s="8">
        <f>IF(Q2833&lt;&gt;0,Q2833+H2833+L2833,0)</f>
        <v/>
      </c>
      <c r="S2833" s="9">
        <f>VLOOKUP(OPERAC[[#This Row],[especie]],[1]!ESPECIES[#Data],9,FALSE)</f>
        <v/>
      </c>
    </row>
    <row r="2834">
      <c r="A2834" s="4" t="n">
        <v>1800</v>
      </c>
      <c r="B2834" s="5" t="n">
        <v>44608</v>
      </c>
      <c r="C2834" s="13" t="inlineStr">
        <is>
          <t>VTA</t>
        </is>
      </c>
      <c r="D2834" s="13" t="n">
        <v>40</v>
      </c>
      <c r="E2834" s="10">
        <f>IF(D2834&gt;0,VLOOKUP(OPERAC[[#This Row],[COD CART]],[1]!MatrizCortoLargoCyl[#All],3,0),"")</f>
        <v/>
      </c>
      <c r="F2834" s="13" t="inlineStr">
        <is>
          <t>NVDA</t>
        </is>
      </c>
      <c r="G2834" s="6" t="n">
        <v>2</v>
      </c>
      <c r="H2834" s="6" t="n">
        <v>-527.0279999999999</v>
      </c>
      <c r="I2834" s="7">
        <f>-H2834/G2834</f>
        <v/>
      </c>
      <c r="J2834" s="11" t="n">
        <v>44616</v>
      </c>
      <c r="K2834" s="6">
        <f>+OPERAC[[#This Row],[cantidad]]</f>
        <v/>
      </c>
      <c r="L2834" s="6">
        <f>+OPERAC[[#This Row],[cantidad venta]]*224.117</f>
        <v/>
      </c>
      <c r="M2834" s="7">
        <f>IF(N2834=0,+L2834+H2834,0)</f>
        <v/>
      </c>
      <c r="N2834" s="7">
        <f>IF((+G2834-K2834)=0,0,+G2834-K2834)</f>
        <v/>
      </c>
      <c r="O2834" s="7">
        <f>IF(N2834=0,0,(L2834+H2834)/-N2834)</f>
        <v/>
      </c>
      <c r="P2834" s="7">
        <f>VLOOKUP(OPERAC[[#This Row],[especie]],[1]!ESPECIES[#All],6,0)</f>
        <v/>
      </c>
      <c r="Q2834" s="7">
        <f>IF(N2834&lt;&gt;0,P2834*N2834,0)</f>
        <v/>
      </c>
      <c r="R2834" s="8">
        <f>IF(Q2834&lt;&gt;0,Q2834+H2834+L2834,0)</f>
        <v/>
      </c>
      <c r="S2834" s="9">
        <f>VLOOKUP(OPERAC[[#This Row],[especie]],[1]!ESPECIES[#Data],9,FALSE)</f>
        <v/>
      </c>
    </row>
    <row r="2835">
      <c r="A2835" s="4" t="n">
        <v>2203</v>
      </c>
      <c r="B2835" s="5" t="n">
        <v>44608</v>
      </c>
      <c r="C2835" s="13" t="inlineStr">
        <is>
          <t>VTA</t>
        </is>
      </c>
      <c r="D2835" s="13" t="n">
        <v>40</v>
      </c>
      <c r="E2835" s="10">
        <f>IF(D2835&gt;0,VLOOKUP(OPERAC[[#This Row],[COD CART]],[1]!MatrizCortoLargoCyl[#All],3,0),"")</f>
        <v/>
      </c>
      <c r="F2835" s="13" t="inlineStr">
        <is>
          <t>NVDA</t>
        </is>
      </c>
      <c r="G2835" s="6" t="n">
        <v>2</v>
      </c>
      <c r="H2835" s="6" t="n">
        <v>-527.0279999999999</v>
      </c>
      <c r="I2835" s="7">
        <f>-H2835/G2835</f>
        <v/>
      </c>
      <c r="J2835" s="11" t="n">
        <v>44616</v>
      </c>
      <c r="K2835" s="6">
        <f>+OPERAC[[#This Row],[cantidad]]</f>
        <v/>
      </c>
      <c r="L2835" s="6">
        <f>+OPERAC[[#This Row],[cantidad venta]]*224.117</f>
        <v/>
      </c>
      <c r="M2835" s="7">
        <f>IF(N2835=0,+L2835+H2835,0)</f>
        <v/>
      </c>
      <c r="N2835" s="7">
        <f>IF((+G2835-K2835)=0,0,+G2835-K2835)</f>
        <v/>
      </c>
      <c r="O2835" s="7">
        <f>IF(N2835=0,0,(L2835+H2835)/-N2835)</f>
        <v/>
      </c>
      <c r="P2835" s="7">
        <f>VLOOKUP(OPERAC[[#This Row],[especie]],[1]!ESPECIES[#All],6,0)</f>
        <v/>
      </c>
      <c r="Q2835" s="7">
        <f>IF(N2835&lt;&gt;0,P2835*N2835,0)</f>
        <v/>
      </c>
      <c r="R2835" s="8">
        <f>IF(Q2835&lt;&gt;0,Q2835+H2835+L2835,0)</f>
        <v/>
      </c>
      <c r="S2835" s="9">
        <f>VLOOKUP(OPERAC[[#This Row],[especie]],[1]!ESPECIES[#Data],9,FALSE)</f>
        <v/>
      </c>
    </row>
    <row r="2836">
      <c r="A2836" s="4" t="n">
        <v>2217</v>
      </c>
      <c r="B2836" s="5" t="n">
        <v>44608</v>
      </c>
      <c r="C2836" s="13" t="inlineStr">
        <is>
          <t>VTA</t>
        </is>
      </c>
      <c r="D2836" s="13" t="n">
        <v>40</v>
      </c>
      <c r="E2836" s="10">
        <f>IF(D2836&gt;0,VLOOKUP(OPERAC[[#This Row],[COD CART]],[1]!MatrizCortoLargoCyl[#All],3,0),"")</f>
        <v/>
      </c>
      <c r="F2836" s="13" t="inlineStr">
        <is>
          <t>NVDA</t>
        </is>
      </c>
      <c r="G2836" s="6" t="n">
        <v>2</v>
      </c>
      <c r="H2836" s="6" t="n">
        <v>-527.0279999999999</v>
      </c>
      <c r="I2836" s="7">
        <f>-H2836/G2836</f>
        <v/>
      </c>
      <c r="J2836" s="11" t="n">
        <v>44616</v>
      </c>
      <c r="K2836" s="6">
        <f>+OPERAC[[#This Row],[cantidad]]</f>
        <v/>
      </c>
      <c r="L2836" s="6">
        <f>+OPERAC[[#This Row],[cantidad venta]]*224.117</f>
        <v/>
      </c>
      <c r="M2836" s="7">
        <f>IF(N2836=0,+L2836+H2836,0)</f>
        <v/>
      </c>
      <c r="N2836" s="7">
        <f>IF((+G2836-K2836)=0,0,+G2836-K2836)</f>
        <v/>
      </c>
      <c r="O2836" s="7">
        <f>IF(N2836=0,0,(L2836+H2836)/-N2836)</f>
        <v/>
      </c>
      <c r="P2836" s="7">
        <f>VLOOKUP(OPERAC[[#This Row],[especie]],[1]!ESPECIES[#All],6,0)</f>
        <v/>
      </c>
      <c r="Q2836" s="7">
        <f>IF(N2836&lt;&gt;0,P2836*N2836,0)</f>
        <v/>
      </c>
      <c r="R2836" s="8">
        <f>IF(Q2836&lt;&gt;0,Q2836+H2836+L2836,0)</f>
        <v/>
      </c>
      <c r="S2836" s="9">
        <f>VLOOKUP(OPERAC[[#This Row],[especie]],[1]!ESPECIES[#Data],9,FALSE)</f>
        <v/>
      </c>
    </row>
    <row r="2837">
      <c r="A2837" s="4" t="n">
        <v>3820</v>
      </c>
      <c r="B2837" s="5" t="n">
        <v>44608</v>
      </c>
      <c r="C2837" s="13" t="inlineStr">
        <is>
          <t>VTA</t>
        </is>
      </c>
      <c r="D2837" s="13" t="n">
        <v>40</v>
      </c>
      <c r="E2837" s="10">
        <f>IF(D2837&gt;0,VLOOKUP(OPERAC[[#This Row],[COD CART]],[1]!MatrizCortoLargoCyl[#All],3,0),"")</f>
        <v/>
      </c>
      <c r="F2837" s="13" t="inlineStr">
        <is>
          <t>NVDA</t>
        </is>
      </c>
      <c r="G2837" s="6" t="n">
        <v>2</v>
      </c>
      <c r="H2837" s="6" t="n">
        <v>-527.0279999999999</v>
      </c>
      <c r="I2837" s="7">
        <f>-H2837/G2837</f>
        <v/>
      </c>
      <c r="J2837" s="11" t="n">
        <v>44616</v>
      </c>
      <c r="K2837" s="6">
        <f>+OPERAC[[#This Row],[cantidad]]</f>
        <v/>
      </c>
      <c r="L2837" s="6">
        <f>+OPERAC[[#This Row],[cantidad venta]]*224.117</f>
        <v/>
      </c>
      <c r="M2837" s="7">
        <f>IF(N2837=0,+L2837+H2837,0)</f>
        <v/>
      </c>
      <c r="N2837" s="7">
        <f>IF((+G2837-K2837)=0,0,+G2837-K2837)</f>
        <v/>
      </c>
      <c r="O2837" s="7">
        <f>IF(N2837=0,0,(L2837+H2837)/-N2837)</f>
        <v/>
      </c>
      <c r="P2837" s="7">
        <f>VLOOKUP(OPERAC[[#This Row],[especie]],[1]!ESPECIES[#All],6,0)</f>
        <v/>
      </c>
      <c r="Q2837" s="7">
        <f>IF(N2837&lt;&gt;0,P2837*N2837,0)</f>
        <v/>
      </c>
      <c r="R2837" s="8">
        <f>IF(Q2837&lt;&gt;0,Q2837+H2837+L2837,0)</f>
        <v/>
      </c>
      <c r="S2837" s="9">
        <f>VLOOKUP(OPERAC[[#This Row],[especie]],[1]!ESPECIES[#Data],9,FALSE)</f>
        <v/>
      </c>
    </row>
    <row r="2838">
      <c r="A2838" s="4" t="n">
        <v>3823</v>
      </c>
      <c r="B2838" s="5" t="n">
        <v>44608</v>
      </c>
      <c r="C2838" s="13" t="inlineStr">
        <is>
          <t>VTA</t>
        </is>
      </c>
      <c r="D2838" s="13" t="n">
        <v>40</v>
      </c>
      <c r="E2838" s="10">
        <f>IF(D2838&gt;0,VLOOKUP(OPERAC[[#This Row],[COD CART]],[1]!MatrizCortoLargoCyl[#All],3,0),"")</f>
        <v/>
      </c>
      <c r="F2838" s="13" t="inlineStr">
        <is>
          <t>NVDA</t>
        </is>
      </c>
      <c r="G2838" s="6" t="n">
        <v>2</v>
      </c>
      <c r="H2838" s="6" t="n">
        <v>-527.0279999999999</v>
      </c>
      <c r="I2838" s="7">
        <f>-H2838/G2838</f>
        <v/>
      </c>
      <c r="J2838" s="11" t="n">
        <v>44616</v>
      </c>
      <c r="K2838" s="6">
        <f>+OPERAC[[#This Row],[cantidad]]</f>
        <v/>
      </c>
      <c r="L2838" s="6">
        <f>+OPERAC[[#This Row],[cantidad venta]]*224.117</f>
        <v/>
      </c>
      <c r="M2838" s="7">
        <f>IF(N2838=0,+L2838+H2838,0)</f>
        <v/>
      </c>
      <c r="N2838" s="7">
        <f>IF((+G2838-K2838)=0,0,+G2838-K2838)</f>
        <v/>
      </c>
      <c r="O2838" s="7">
        <f>IF(N2838=0,0,(L2838+H2838)/-N2838)</f>
        <v/>
      </c>
      <c r="P2838" s="7">
        <f>VLOOKUP(OPERAC[[#This Row],[especie]],[1]!ESPECIES[#All],6,0)</f>
        <v/>
      </c>
      <c r="Q2838" s="7">
        <f>IF(N2838&lt;&gt;0,P2838*N2838,0)</f>
        <v/>
      </c>
      <c r="R2838" s="8">
        <f>IF(Q2838&lt;&gt;0,Q2838+H2838+L2838,0)</f>
        <v/>
      </c>
      <c r="S2838" s="9">
        <f>VLOOKUP(OPERAC[[#This Row],[especie]],[1]!ESPECIES[#Data],9,FALSE)</f>
        <v/>
      </c>
    </row>
    <row r="2839">
      <c r="A2839" s="4" t="n">
        <v>4543</v>
      </c>
      <c r="B2839" s="5" t="n">
        <v>44608</v>
      </c>
      <c r="C2839" s="13" t="inlineStr">
        <is>
          <t>VTA</t>
        </is>
      </c>
      <c r="D2839" s="13" t="n">
        <v>40</v>
      </c>
      <c r="E2839" s="10">
        <f>IF(D2839&gt;0,VLOOKUP(OPERAC[[#This Row],[COD CART]],[1]!MatrizCortoLargoCyl[#All],3,0),"")</f>
        <v/>
      </c>
      <c r="F2839" s="13" t="inlineStr">
        <is>
          <t>NVDA</t>
        </is>
      </c>
      <c r="G2839" s="6" t="n">
        <v>2</v>
      </c>
      <c r="H2839" s="6" t="n">
        <v>-527.0279999999999</v>
      </c>
      <c r="I2839" s="7">
        <f>-H2839/G2839</f>
        <v/>
      </c>
      <c r="J2839" s="11" t="n">
        <v>44616</v>
      </c>
      <c r="K2839" s="6">
        <f>+OPERAC[[#This Row],[cantidad]]</f>
        <v/>
      </c>
      <c r="L2839" s="6">
        <f>+OPERAC[[#This Row],[cantidad venta]]*224.117</f>
        <v/>
      </c>
      <c r="M2839" s="7">
        <f>IF(N2839=0,+L2839+H2839,0)</f>
        <v/>
      </c>
      <c r="N2839" s="7">
        <f>IF((+G2839-K2839)=0,0,+G2839-K2839)</f>
        <v/>
      </c>
      <c r="O2839" s="7">
        <f>IF(N2839=0,0,(L2839+H2839)/-N2839)</f>
        <v/>
      </c>
      <c r="P2839" s="7">
        <f>VLOOKUP(OPERAC[[#This Row],[especie]],[1]!ESPECIES[#All],6,0)</f>
        <v/>
      </c>
      <c r="Q2839" s="7">
        <f>IF(N2839&lt;&gt;0,P2839*N2839,0)</f>
        <v/>
      </c>
      <c r="R2839" s="8">
        <f>IF(Q2839&lt;&gt;0,Q2839+H2839+L2839,0)</f>
        <v/>
      </c>
      <c r="S2839" s="9">
        <f>VLOOKUP(OPERAC[[#This Row],[especie]],[1]!ESPECIES[#Data],9,FALSE)</f>
        <v/>
      </c>
    </row>
    <row r="2840">
      <c r="A2840" s="4" t="n">
        <v>6578</v>
      </c>
      <c r="B2840" s="5" t="n">
        <v>44608</v>
      </c>
      <c r="C2840" s="13" t="inlineStr">
        <is>
          <t>VTA</t>
        </is>
      </c>
      <c r="D2840" s="13" t="n">
        <v>40</v>
      </c>
      <c r="E2840" s="10">
        <f>IF(D2840&gt;0,VLOOKUP(OPERAC[[#This Row],[COD CART]],[1]!MatrizCortoLargoCyl[#All],3,0),"")</f>
        <v/>
      </c>
      <c r="F2840" s="13" t="inlineStr">
        <is>
          <t>NVDA</t>
        </is>
      </c>
      <c r="G2840" s="6" t="n">
        <v>2</v>
      </c>
      <c r="H2840" s="6" t="n">
        <v>-527.0279999999999</v>
      </c>
      <c r="I2840" s="7">
        <f>-H2840/G2840</f>
        <v/>
      </c>
      <c r="J2840" s="11" t="n">
        <v>44616</v>
      </c>
      <c r="K2840" s="6">
        <f>+OPERAC[[#This Row],[cantidad]]</f>
        <v/>
      </c>
      <c r="L2840" s="6">
        <f>+OPERAC[[#This Row],[cantidad venta]]*224.117</f>
        <v/>
      </c>
      <c r="M2840" s="7">
        <f>IF(N2840=0,+L2840+H2840,0)</f>
        <v/>
      </c>
      <c r="N2840" s="7">
        <f>IF((+G2840-K2840)=0,0,+G2840-K2840)</f>
        <v/>
      </c>
      <c r="O2840" s="7">
        <f>IF(N2840=0,0,(L2840+H2840)/-N2840)</f>
        <v/>
      </c>
      <c r="P2840" s="7">
        <f>VLOOKUP(OPERAC[[#This Row],[especie]],[1]!ESPECIES[#All],6,0)</f>
        <v/>
      </c>
      <c r="Q2840" s="7">
        <f>IF(N2840&lt;&gt;0,P2840*N2840,0)</f>
        <v/>
      </c>
      <c r="R2840" s="8">
        <f>IF(Q2840&lt;&gt;0,Q2840+H2840+L2840,0)</f>
        <v/>
      </c>
      <c r="S2840" s="9">
        <f>VLOOKUP(OPERAC[[#This Row],[especie]],[1]!ESPECIES[#Data],9,FALSE)</f>
        <v/>
      </c>
    </row>
    <row r="2841">
      <c r="A2841" s="4" t="n">
        <v>6579</v>
      </c>
      <c r="B2841" s="5" t="n">
        <v>44608</v>
      </c>
      <c r="C2841" s="13" t="inlineStr">
        <is>
          <t>VTA</t>
        </is>
      </c>
      <c r="D2841" s="13" t="n">
        <v>40</v>
      </c>
      <c r="E2841" s="10">
        <f>IF(D2841&gt;0,VLOOKUP(OPERAC[[#This Row],[COD CART]],[1]!MatrizCortoLargoCyl[#All],3,0),"")</f>
        <v/>
      </c>
      <c r="F2841" s="13" t="inlineStr">
        <is>
          <t>NVDA</t>
        </is>
      </c>
      <c r="G2841" s="6" t="n">
        <v>2</v>
      </c>
      <c r="H2841" s="6" t="n">
        <v>-527.0279999999999</v>
      </c>
      <c r="I2841" s="7">
        <f>-H2841/G2841</f>
        <v/>
      </c>
      <c r="J2841" s="11" t="n">
        <v>44616</v>
      </c>
      <c r="K2841" s="6">
        <f>+OPERAC[[#This Row],[cantidad]]</f>
        <v/>
      </c>
      <c r="L2841" s="6">
        <f>+OPERAC[[#This Row],[cantidad venta]]*224.117</f>
        <v/>
      </c>
      <c r="M2841" s="7">
        <f>IF(N2841=0,+L2841+H2841,0)</f>
        <v/>
      </c>
      <c r="N2841" s="7">
        <f>IF((+G2841-K2841)=0,0,+G2841-K2841)</f>
        <v/>
      </c>
      <c r="O2841" s="7">
        <f>IF(N2841=0,0,(L2841+H2841)/-N2841)</f>
        <v/>
      </c>
      <c r="P2841" s="7">
        <f>VLOOKUP(OPERAC[[#This Row],[especie]],[1]!ESPECIES[#All],6,0)</f>
        <v/>
      </c>
      <c r="Q2841" s="7">
        <f>IF(N2841&lt;&gt;0,P2841*N2841,0)</f>
        <v/>
      </c>
      <c r="R2841" s="8">
        <f>IF(Q2841&lt;&gt;0,Q2841+H2841+L2841,0)</f>
        <v/>
      </c>
      <c r="S2841" s="9">
        <f>VLOOKUP(OPERAC[[#This Row],[especie]],[1]!ESPECIES[#Data],9,FALSE)</f>
        <v/>
      </c>
    </row>
    <row r="2842">
      <c r="A2842" s="4" t="n">
        <v>7867</v>
      </c>
      <c r="B2842" s="5" t="n">
        <v>44608</v>
      </c>
      <c r="C2842" s="13" t="inlineStr">
        <is>
          <t>VTA</t>
        </is>
      </c>
      <c r="D2842" s="13" t="n">
        <v>40</v>
      </c>
      <c r="E2842" s="10">
        <f>IF(D2842&gt;0,VLOOKUP(OPERAC[[#This Row],[COD CART]],[1]!MatrizCortoLargoCyl[#All],3,0),"")</f>
        <v/>
      </c>
      <c r="F2842" s="13" t="inlineStr">
        <is>
          <t>NVDA</t>
        </is>
      </c>
      <c r="G2842" s="6" t="n">
        <v>2</v>
      </c>
      <c r="H2842" s="6" t="n">
        <v>-527.0279999999999</v>
      </c>
      <c r="I2842" s="7">
        <f>-H2842/G2842</f>
        <v/>
      </c>
      <c r="J2842" s="11" t="n">
        <v>44616</v>
      </c>
      <c r="K2842" s="6">
        <f>+OPERAC[[#This Row],[cantidad]]</f>
        <v/>
      </c>
      <c r="L2842" s="6">
        <f>+OPERAC[[#This Row],[cantidad venta]]*224.117</f>
        <v/>
      </c>
      <c r="M2842" s="7">
        <f>IF(N2842=0,+L2842+H2842,0)</f>
        <v/>
      </c>
      <c r="N2842" s="7">
        <f>IF((+G2842-K2842)=0,0,+G2842-K2842)</f>
        <v/>
      </c>
      <c r="O2842" s="7">
        <f>IF(N2842=0,0,(L2842+H2842)/-N2842)</f>
        <v/>
      </c>
      <c r="P2842" s="7">
        <f>VLOOKUP(OPERAC[[#This Row],[especie]],[1]!ESPECIES[#All],6,0)</f>
        <v/>
      </c>
      <c r="Q2842" s="7">
        <f>IF(N2842&lt;&gt;0,P2842*N2842,0)</f>
        <v/>
      </c>
      <c r="R2842" s="8">
        <f>IF(Q2842&lt;&gt;0,Q2842+H2842+L2842,0)</f>
        <v/>
      </c>
      <c r="S2842" s="9">
        <f>VLOOKUP(OPERAC[[#This Row],[especie]],[1]!ESPECIES[#Data],9,FALSE)</f>
        <v/>
      </c>
    </row>
    <row r="2843">
      <c r="A2843" s="4" t="n">
        <v>7895</v>
      </c>
      <c r="B2843" s="5" t="n">
        <v>44608</v>
      </c>
      <c r="C2843" s="13" t="inlineStr">
        <is>
          <t>VTA</t>
        </is>
      </c>
      <c r="D2843" s="13" t="n">
        <v>40</v>
      </c>
      <c r="E2843" s="10">
        <f>IF(D2843&gt;0,VLOOKUP(OPERAC[[#This Row],[COD CART]],[1]!MatrizCortoLargoCyl[#All],3,0),"")</f>
        <v/>
      </c>
      <c r="F2843" s="13" t="inlineStr">
        <is>
          <t>NVDA</t>
        </is>
      </c>
      <c r="G2843" s="6" t="n">
        <v>2</v>
      </c>
      <c r="H2843" s="6" t="n">
        <v>-527.0279999999999</v>
      </c>
      <c r="I2843" s="7">
        <f>-H2843/G2843</f>
        <v/>
      </c>
      <c r="J2843" s="11" t="n">
        <v>44616</v>
      </c>
      <c r="K2843" s="6">
        <f>+OPERAC[[#This Row],[cantidad]]</f>
        <v/>
      </c>
      <c r="L2843" s="6">
        <f>+OPERAC[[#This Row],[cantidad venta]]*224.117</f>
        <v/>
      </c>
      <c r="M2843" s="7">
        <f>IF(N2843=0,+L2843+H2843,0)</f>
        <v/>
      </c>
      <c r="N2843" s="7">
        <f>IF((+G2843-K2843)=0,0,+G2843-K2843)</f>
        <v/>
      </c>
      <c r="O2843" s="7">
        <f>IF(N2843=0,0,(L2843+H2843)/-N2843)</f>
        <v/>
      </c>
      <c r="P2843" s="7">
        <f>VLOOKUP(OPERAC[[#This Row],[especie]],[1]!ESPECIES[#All],6,0)</f>
        <v/>
      </c>
      <c r="Q2843" s="7">
        <f>IF(N2843&lt;&gt;0,P2843*N2843,0)</f>
        <v/>
      </c>
      <c r="R2843" s="8">
        <f>IF(Q2843&lt;&gt;0,Q2843+H2843+L2843,0)</f>
        <v/>
      </c>
      <c r="S2843" s="9">
        <f>VLOOKUP(OPERAC[[#This Row],[especie]],[1]!ESPECIES[#Data],9,FALSE)</f>
        <v/>
      </c>
    </row>
    <row r="2844">
      <c r="A2844" s="4" t="n">
        <v>7919</v>
      </c>
      <c r="B2844" s="5" t="n">
        <v>44608</v>
      </c>
      <c r="C2844" s="13" t="inlineStr">
        <is>
          <t>VTA</t>
        </is>
      </c>
      <c r="D2844" s="13" t="n">
        <v>40</v>
      </c>
      <c r="E2844" s="10">
        <f>IF(D2844&gt;0,VLOOKUP(OPERAC[[#This Row],[COD CART]],[1]!MatrizCortoLargoCyl[#All],3,0),"")</f>
        <v/>
      </c>
      <c r="F2844" s="13" t="inlineStr">
        <is>
          <t>NVDA</t>
        </is>
      </c>
      <c r="G2844" s="6" t="n">
        <v>2</v>
      </c>
      <c r="H2844" s="6" t="n">
        <v>-527.0279999999999</v>
      </c>
      <c r="I2844" s="7">
        <f>-H2844/G2844</f>
        <v/>
      </c>
      <c r="J2844" s="11" t="n">
        <v>44616</v>
      </c>
      <c r="K2844" s="6">
        <f>+OPERAC[[#This Row],[cantidad]]</f>
        <v/>
      </c>
      <c r="L2844" s="6">
        <f>+OPERAC[[#This Row],[cantidad venta]]*224.117</f>
        <v/>
      </c>
      <c r="M2844" s="7">
        <f>IF(N2844=0,+L2844+H2844,0)</f>
        <v/>
      </c>
      <c r="N2844" s="7">
        <f>IF((+G2844-K2844)=0,0,+G2844-K2844)</f>
        <v/>
      </c>
      <c r="O2844" s="7">
        <f>IF(N2844=0,0,(L2844+H2844)/-N2844)</f>
        <v/>
      </c>
      <c r="P2844" s="7">
        <f>VLOOKUP(OPERAC[[#This Row],[especie]],[1]!ESPECIES[#All],6,0)</f>
        <v/>
      </c>
      <c r="Q2844" s="7">
        <f>IF(N2844&lt;&gt;0,P2844*N2844,0)</f>
        <v/>
      </c>
      <c r="R2844" s="8">
        <f>IF(Q2844&lt;&gt;0,Q2844+H2844+L2844,0)</f>
        <v/>
      </c>
      <c r="S2844" s="9">
        <f>VLOOKUP(OPERAC[[#This Row],[especie]],[1]!ESPECIES[#Data],9,FALSE)</f>
        <v/>
      </c>
    </row>
    <row r="2845">
      <c r="A2845" s="4" t="n">
        <v>12627</v>
      </c>
      <c r="B2845" s="5" t="n">
        <v>44608</v>
      </c>
      <c r="C2845" s="13" t="inlineStr">
        <is>
          <t>VTA</t>
        </is>
      </c>
      <c r="D2845" s="13" t="n">
        <v>40</v>
      </c>
      <c r="E2845" s="10">
        <f>IF(D2845&gt;0,VLOOKUP(OPERAC[[#This Row],[COD CART]],[1]!MatrizCortoLargoCyl[#All],3,0),"")</f>
        <v/>
      </c>
      <c r="F2845" s="13" t="inlineStr">
        <is>
          <t>NVDA</t>
        </is>
      </c>
      <c r="G2845" s="6" t="n">
        <v>2</v>
      </c>
      <c r="H2845" s="6" t="n">
        <v>-527.0279999999999</v>
      </c>
      <c r="I2845" s="7">
        <f>-H2845/G2845</f>
        <v/>
      </c>
      <c r="J2845" s="11" t="n">
        <v>44616</v>
      </c>
      <c r="K2845" s="6">
        <f>+OPERAC[[#This Row],[cantidad]]</f>
        <v/>
      </c>
      <c r="L2845" s="6">
        <f>+OPERAC[[#This Row],[cantidad venta]]*224.117</f>
        <v/>
      </c>
      <c r="M2845" s="7">
        <f>IF(N2845=0,+L2845+H2845,0)</f>
        <v/>
      </c>
      <c r="N2845" s="7">
        <f>IF((+G2845-K2845)=0,0,+G2845-K2845)</f>
        <v/>
      </c>
      <c r="O2845" s="7">
        <f>IF(N2845=0,0,(L2845+H2845)/-N2845)</f>
        <v/>
      </c>
      <c r="P2845" s="7">
        <f>VLOOKUP(OPERAC[[#This Row],[especie]],[1]!ESPECIES[#All],6,0)</f>
        <v/>
      </c>
      <c r="Q2845" s="7">
        <f>IF(N2845&lt;&gt;0,P2845*N2845,0)</f>
        <v/>
      </c>
      <c r="R2845" s="8">
        <f>IF(Q2845&lt;&gt;0,Q2845+H2845+L2845,0)</f>
        <v/>
      </c>
      <c r="S2845" s="9">
        <f>VLOOKUP(OPERAC[[#This Row],[especie]],[1]!ESPECIES[#Data],9,FALSE)</f>
        <v/>
      </c>
    </row>
    <row r="2846">
      <c r="A2846" s="4" t="n">
        <v>12652</v>
      </c>
      <c r="B2846" s="5" t="n">
        <v>44608</v>
      </c>
      <c r="C2846" s="13" t="inlineStr">
        <is>
          <t>VTA</t>
        </is>
      </c>
      <c r="D2846" s="13" t="n">
        <v>40</v>
      </c>
      <c r="E2846" s="10">
        <f>IF(D2846&gt;0,VLOOKUP(OPERAC[[#This Row],[COD CART]],[1]!MatrizCortoLargoCyl[#All],3,0),"")</f>
        <v/>
      </c>
      <c r="F2846" s="13" t="inlineStr">
        <is>
          <t>NVDA</t>
        </is>
      </c>
      <c r="G2846" s="6" t="n">
        <v>2</v>
      </c>
      <c r="H2846" s="6" t="n">
        <v>-527.0279999999999</v>
      </c>
      <c r="I2846" s="7">
        <f>-H2846/G2846</f>
        <v/>
      </c>
      <c r="J2846" s="11" t="n">
        <v>44616</v>
      </c>
      <c r="K2846" s="6">
        <f>+OPERAC[[#This Row],[cantidad]]</f>
        <v/>
      </c>
      <c r="L2846" s="6">
        <f>+OPERAC[[#This Row],[cantidad venta]]*224.117</f>
        <v/>
      </c>
      <c r="M2846" s="7">
        <f>IF(N2846=0,+L2846+H2846,0)</f>
        <v/>
      </c>
      <c r="N2846" s="7">
        <f>IF((+G2846-K2846)=0,0,+G2846-K2846)</f>
        <v/>
      </c>
      <c r="O2846" s="7">
        <f>IF(N2846=0,0,(L2846+H2846)/-N2846)</f>
        <v/>
      </c>
      <c r="P2846" s="7">
        <f>VLOOKUP(OPERAC[[#This Row],[especie]],[1]!ESPECIES[#All],6,0)</f>
        <v/>
      </c>
      <c r="Q2846" s="7">
        <f>IF(N2846&lt;&gt;0,P2846*N2846,0)</f>
        <v/>
      </c>
      <c r="R2846" s="8">
        <f>IF(Q2846&lt;&gt;0,Q2846+H2846+L2846,0)</f>
        <v/>
      </c>
      <c r="S2846" s="9">
        <f>VLOOKUP(OPERAC[[#This Row],[especie]],[1]!ESPECIES[#Data],9,FALSE)</f>
        <v/>
      </c>
    </row>
    <row r="2847">
      <c r="A2847" s="4" t="n">
        <v>12671</v>
      </c>
      <c r="B2847" s="5" t="n">
        <v>44608</v>
      </c>
      <c r="C2847" s="13" t="inlineStr">
        <is>
          <t>VTA</t>
        </is>
      </c>
      <c r="D2847" s="13" t="n">
        <v>40</v>
      </c>
      <c r="E2847" s="10">
        <f>IF(D2847&gt;0,VLOOKUP(OPERAC[[#This Row],[COD CART]],[1]!MatrizCortoLargoCyl[#All],3,0),"")</f>
        <v/>
      </c>
      <c r="F2847" s="13" t="inlineStr">
        <is>
          <t>NVDA</t>
        </is>
      </c>
      <c r="G2847" s="6" t="n">
        <v>2</v>
      </c>
      <c r="H2847" s="6" t="n">
        <v>-527.0279999999999</v>
      </c>
      <c r="I2847" s="7">
        <f>-H2847/G2847</f>
        <v/>
      </c>
      <c r="J2847" s="11" t="n">
        <v>44616</v>
      </c>
      <c r="K2847" s="6">
        <f>+OPERAC[[#This Row],[cantidad]]</f>
        <v/>
      </c>
      <c r="L2847" s="6">
        <f>+OPERAC[[#This Row],[cantidad venta]]*224.117</f>
        <v/>
      </c>
      <c r="M2847" s="7">
        <f>IF(N2847=0,+L2847+H2847,0)</f>
        <v/>
      </c>
      <c r="N2847" s="7">
        <f>IF((+G2847-K2847)=0,0,+G2847-K2847)</f>
        <v/>
      </c>
      <c r="O2847" s="7">
        <f>IF(N2847=0,0,(L2847+H2847)/-N2847)</f>
        <v/>
      </c>
      <c r="P2847" s="7">
        <f>VLOOKUP(OPERAC[[#This Row],[especie]],[1]!ESPECIES[#All],6,0)</f>
        <v/>
      </c>
      <c r="Q2847" s="7">
        <f>IF(N2847&lt;&gt;0,P2847*N2847,0)</f>
        <v/>
      </c>
      <c r="R2847" s="8">
        <f>IF(Q2847&lt;&gt;0,Q2847+H2847+L2847,0)</f>
        <v/>
      </c>
      <c r="S2847" s="9">
        <f>VLOOKUP(OPERAC[[#This Row],[especie]],[1]!ESPECIES[#Data],9,FALSE)</f>
        <v/>
      </c>
    </row>
    <row r="2848">
      <c r="A2848" s="4" t="n">
        <v>13240</v>
      </c>
      <c r="B2848" s="5" t="n">
        <v>44608</v>
      </c>
      <c r="C2848" s="13" t="inlineStr">
        <is>
          <t>VTA</t>
        </is>
      </c>
      <c r="D2848" s="13" t="n">
        <v>40</v>
      </c>
      <c r="E2848" s="10">
        <f>IF(D2848&gt;0,VLOOKUP(OPERAC[[#This Row],[COD CART]],[1]!MatrizCortoLargoCyl[#All],3,0),"")</f>
        <v/>
      </c>
      <c r="F2848" s="13" t="inlineStr">
        <is>
          <t>NVDA</t>
        </is>
      </c>
      <c r="G2848" s="6" t="n">
        <v>2</v>
      </c>
      <c r="H2848" s="6" t="n">
        <v>-527.0279999999999</v>
      </c>
      <c r="I2848" s="7">
        <f>-H2848/G2848</f>
        <v/>
      </c>
      <c r="J2848" s="11" t="n">
        <v>44616</v>
      </c>
      <c r="K2848" s="6">
        <f>+OPERAC[[#This Row],[cantidad]]</f>
        <v/>
      </c>
      <c r="L2848" s="6">
        <f>+OPERAC[[#This Row],[cantidad venta]]*224.117</f>
        <v/>
      </c>
      <c r="M2848" s="7">
        <f>IF(N2848=0,+L2848+H2848,0)</f>
        <v/>
      </c>
      <c r="N2848" s="7">
        <f>IF((+G2848-K2848)=0,0,+G2848-K2848)</f>
        <v/>
      </c>
      <c r="O2848" s="7">
        <f>IF(N2848=0,0,(L2848+H2848)/-N2848)</f>
        <v/>
      </c>
      <c r="P2848" s="7">
        <f>VLOOKUP(OPERAC[[#This Row],[especie]],[1]!ESPECIES[#All],6,0)</f>
        <v/>
      </c>
      <c r="Q2848" s="7">
        <f>IF(N2848&lt;&gt;0,P2848*N2848,0)</f>
        <v/>
      </c>
      <c r="R2848" s="8">
        <f>IF(Q2848&lt;&gt;0,Q2848+H2848+L2848,0)</f>
        <v/>
      </c>
      <c r="S2848" s="9">
        <f>VLOOKUP(OPERAC[[#This Row],[especie]],[1]!ESPECIES[#Data],9,FALSE)</f>
        <v/>
      </c>
    </row>
    <row r="2849">
      <c r="A2849" s="4" t="n">
        <v>16786</v>
      </c>
      <c r="B2849" s="5" t="n">
        <v>44608</v>
      </c>
      <c r="C2849" s="13" t="inlineStr">
        <is>
          <t>VTA</t>
        </is>
      </c>
      <c r="D2849" s="13" t="n">
        <v>40</v>
      </c>
      <c r="E2849" s="10">
        <f>IF(D2849&gt;0,VLOOKUP(OPERAC[[#This Row],[COD CART]],[1]!MatrizCortoLargoCyl[#All],3,0),"")</f>
        <v/>
      </c>
      <c r="F2849" s="13" t="inlineStr">
        <is>
          <t>NVDA</t>
        </is>
      </c>
      <c r="G2849" s="6" t="n">
        <v>2</v>
      </c>
      <c r="H2849" s="6" t="n">
        <v>-527.0279999999999</v>
      </c>
      <c r="I2849" s="7">
        <f>-H2849/G2849</f>
        <v/>
      </c>
      <c r="J2849" s="11" t="n">
        <v>44616</v>
      </c>
      <c r="K2849" s="6">
        <f>+OPERAC[[#This Row],[cantidad]]</f>
        <v/>
      </c>
      <c r="L2849" s="6">
        <f>+OPERAC[[#This Row],[cantidad venta]]*224.117</f>
        <v/>
      </c>
      <c r="M2849" s="7">
        <f>IF(N2849=0,+L2849+H2849,0)</f>
        <v/>
      </c>
      <c r="N2849" s="7">
        <f>IF((+G2849-K2849)=0,0,+G2849-K2849)</f>
        <v/>
      </c>
      <c r="O2849" s="7">
        <f>IF(N2849=0,0,(L2849+H2849)/-N2849)</f>
        <v/>
      </c>
      <c r="P2849" s="7">
        <f>VLOOKUP(OPERAC[[#This Row],[especie]],[1]!ESPECIES[#All],6,0)</f>
        <v/>
      </c>
      <c r="Q2849" s="7">
        <f>IF(N2849&lt;&gt;0,P2849*N2849,0)</f>
        <v/>
      </c>
      <c r="R2849" s="8">
        <f>IF(Q2849&lt;&gt;0,Q2849+H2849+L2849,0)</f>
        <v/>
      </c>
      <c r="S2849" s="9">
        <f>VLOOKUP(OPERAC[[#This Row],[especie]],[1]!ESPECIES[#Data],9,FALSE)</f>
        <v/>
      </c>
    </row>
    <row r="2850">
      <c r="A2850" s="4" t="n">
        <v>2194</v>
      </c>
      <c r="B2850" s="5" t="n">
        <v>44312</v>
      </c>
      <c r="C2850" s="13" t="inlineStr">
        <is>
          <t>VTA</t>
        </is>
      </c>
      <c r="D2850" s="13" t="n">
        <v>41</v>
      </c>
      <c r="E2850" s="10">
        <f>IF(D2850&gt;0,VLOOKUP(OPERAC[[#This Row],[COD CART]],[1]!MatrizCortoLargoCyl[#All],3,0),"")</f>
        <v/>
      </c>
      <c r="F2850" s="13" t="inlineStr">
        <is>
          <t>MSFT</t>
        </is>
      </c>
      <c r="G2850" s="6" t="n">
        <v>2</v>
      </c>
      <c r="H2850" s="6" t="n">
        <v>-527.8614399999999</v>
      </c>
      <c r="I2850" s="7">
        <f>-H2850/G2850</f>
        <v/>
      </c>
      <c r="J2850" s="11" t="n"/>
      <c r="K2850" s="6" t="n"/>
      <c r="L2850" s="6" t="n"/>
      <c r="M2850" s="7">
        <f>IF(N2850=0,+L2850+H2850,0)</f>
        <v/>
      </c>
      <c r="N2850" s="7">
        <f>IF((+G2850-K2850)=0,0,+G2850-K2850)</f>
        <v/>
      </c>
      <c r="O2850" s="7">
        <f>IF(N2850=0,0,(L2850+H2850)/-N2850)</f>
        <v/>
      </c>
      <c r="P2850" s="7">
        <f>VLOOKUP(OPERAC[[#This Row],[especie]],[1]!ESPECIES[#All],6,0)</f>
        <v/>
      </c>
      <c r="Q2850" s="7">
        <f>IF(N2850&lt;&gt;0,P2850*N2850,0)</f>
        <v/>
      </c>
      <c r="R2850" s="8">
        <f>IF(Q2850&lt;&gt;0,Q2850+H2850+L2850,0)</f>
        <v/>
      </c>
      <c r="S2850" s="9">
        <f>VLOOKUP(OPERAC[[#This Row],[especie]],[1]!ESPECIES[#Data],9,FALSE)</f>
        <v/>
      </c>
    </row>
    <row r="2851">
      <c r="A2851" s="4" t="n">
        <v>18705</v>
      </c>
      <c r="B2851" s="5" t="n">
        <v>44515</v>
      </c>
      <c r="C2851" s="13" t="inlineStr">
        <is>
          <t>VTA</t>
        </is>
      </c>
      <c r="D2851" s="13" t="n">
        <v>41</v>
      </c>
      <c r="E2851" s="10">
        <f>IF(D2851&gt;0,VLOOKUP(OPERAC[[#This Row],[COD CART]],[1]!MatrizCortoLargoCyl[#All],3,0),"")</f>
        <v/>
      </c>
      <c r="F2851" s="13" t="inlineStr">
        <is>
          <t>GLD</t>
        </is>
      </c>
      <c r="G2851" s="6" t="n">
        <v>3</v>
      </c>
      <c r="H2851" s="6" t="n">
        <v>-527.96224</v>
      </c>
      <c r="I2851" s="7">
        <f>-H2851/G2851</f>
        <v/>
      </c>
      <c r="J2851" s="11" t="n"/>
      <c r="K2851" s="6" t="n"/>
      <c r="L2851" s="6" t="n"/>
      <c r="M2851" s="7">
        <f>IF(N2851=0,+L2851+H2851,0)</f>
        <v/>
      </c>
      <c r="N2851" s="7">
        <f>IF((+G2851-K2851)=0,0,+G2851-K2851)</f>
        <v/>
      </c>
      <c r="O2851" s="7">
        <f>IF(N2851=0,0,(L2851+H2851)/-N2851)</f>
        <v/>
      </c>
      <c r="P2851" s="7">
        <f>VLOOKUP(OPERAC[[#This Row],[especie]],[1]!ESPECIES[#All],6,0)</f>
        <v/>
      </c>
      <c r="Q2851" s="7">
        <f>IF(N2851&lt;&gt;0,P2851*N2851,0)</f>
        <v/>
      </c>
      <c r="R2851" s="8">
        <f>IF(Q2851&lt;&gt;0,Q2851+H2851+L2851,0)</f>
        <v/>
      </c>
      <c r="S2851" s="9">
        <f>VLOOKUP(OPERAC[[#This Row],[especie]],[1]!ESPECIES[#Data],9,FALSE)</f>
        <v/>
      </c>
    </row>
    <row r="2852">
      <c r="A2852" s="4" t="n">
        <v>2255</v>
      </c>
      <c r="B2852" s="5" t="n">
        <v>44643</v>
      </c>
      <c r="C2852" s="13" t="inlineStr">
        <is>
          <t>VTA</t>
        </is>
      </c>
      <c r="D2852" s="13" t="n">
        <v>42</v>
      </c>
      <c r="E2852" s="10">
        <f>IF(D2852&gt;0,VLOOKUP(OPERAC[[#This Row],[COD CART]],[1]!MatrizCortoLargoCyl[#All],3,0),"")</f>
        <v/>
      </c>
      <c r="F2852" s="13" t="inlineStr">
        <is>
          <t>SMH</t>
        </is>
      </c>
      <c r="G2852" s="6" t="n">
        <v>2</v>
      </c>
      <c r="H2852" s="6" t="n">
        <v>-532.2055559999999</v>
      </c>
      <c r="I2852" s="7">
        <f>-H2852/G2852</f>
        <v/>
      </c>
      <c r="J2852" s="11" t="n">
        <v>44663</v>
      </c>
      <c r="K2852" s="6">
        <f>+OPERAC[[#This Row],[cantidad]]</f>
        <v/>
      </c>
      <c r="L2852" s="6">
        <f>+OPERAC[[#This Row],[cantidad venta]]*238.066</f>
        <v/>
      </c>
      <c r="M2852" s="7">
        <f>IF(N2852=0,+L2852+H2852,0)</f>
        <v/>
      </c>
      <c r="N2852" s="7">
        <f>IF((+G2852-K2852)=0,0,+G2852-K2852)</f>
        <v/>
      </c>
      <c r="O2852" s="7">
        <f>IF(N2852=0,0,(L2852+H2852)/-N2852)</f>
        <v/>
      </c>
      <c r="P2852" s="7">
        <f>VLOOKUP(OPERAC[[#This Row],[especie]],[1]!ESPECIES[#All],6,0)</f>
        <v/>
      </c>
      <c r="Q2852" s="7">
        <f>IF(N2852&lt;&gt;0,P2852*N2852,0)</f>
        <v/>
      </c>
      <c r="R2852" s="8">
        <f>IF(Q2852&lt;&gt;0,Q2852+H2852+L2852,0)</f>
        <v/>
      </c>
      <c r="S2852" s="9">
        <f>VLOOKUP(OPERAC[[#This Row],[especie]],[1]!ESPECIES[#Data],9,FALSE)</f>
        <v/>
      </c>
    </row>
    <row r="2853">
      <c r="A2853" s="4" t="n">
        <v>19878</v>
      </c>
      <c r="B2853" s="5" t="n">
        <v>44643</v>
      </c>
      <c r="C2853" s="13" t="inlineStr">
        <is>
          <t>VTA</t>
        </is>
      </c>
      <c r="D2853" s="13" t="n">
        <v>42</v>
      </c>
      <c r="E2853" s="10">
        <f>IF(D2853&gt;0,VLOOKUP(OPERAC[[#This Row],[COD CART]],[1]!MatrizCortoLargoCyl[#All],3,0),"")</f>
        <v/>
      </c>
      <c r="F2853" s="13" t="inlineStr">
        <is>
          <t>SMH</t>
        </is>
      </c>
      <c r="G2853" s="6" t="n">
        <v>2</v>
      </c>
      <c r="H2853" s="6" t="n">
        <v>-533.2656759999999</v>
      </c>
      <c r="I2853" s="7">
        <f>-H2853/G2853</f>
        <v/>
      </c>
      <c r="J2853" s="11" t="n">
        <v>44663</v>
      </c>
      <c r="K2853" s="6">
        <f>+OPERAC[[#This Row],[cantidad]]</f>
        <v/>
      </c>
      <c r="L2853" s="6">
        <f>+OPERAC[[#This Row],[cantidad venta]]*238.066</f>
        <v/>
      </c>
      <c r="M2853" s="7">
        <f>IF(N2853=0,+L2853+H2853,0)</f>
        <v/>
      </c>
      <c r="N2853" s="7">
        <f>IF((+G2853-K2853)=0,0,+G2853-K2853)</f>
        <v/>
      </c>
      <c r="O2853" s="7">
        <f>IF(N2853=0,0,(L2853+H2853)/-N2853)</f>
        <v/>
      </c>
      <c r="P2853" s="7">
        <f>VLOOKUP(OPERAC[[#This Row],[especie]],[1]!ESPECIES[#All],6,0)</f>
        <v/>
      </c>
      <c r="Q2853" s="7">
        <f>IF(N2853&lt;&gt;0,P2853*N2853,0)</f>
        <v/>
      </c>
      <c r="R2853" s="8">
        <f>IF(Q2853&lt;&gt;0,Q2853+H2853+L2853,0)</f>
        <v/>
      </c>
      <c r="S2853" s="9">
        <f>VLOOKUP(OPERAC[[#This Row],[especie]],[1]!ESPECIES[#Data],9,FALSE)</f>
        <v/>
      </c>
    </row>
    <row r="2854">
      <c r="A2854" s="4" t="n">
        <v>1800</v>
      </c>
      <c r="B2854" s="5" t="n">
        <v>44643</v>
      </c>
      <c r="C2854" s="13" t="inlineStr">
        <is>
          <t>VTA</t>
        </is>
      </c>
      <c r="D2854" s="13" t="n">
        <v>42</v>
      </c>
      <c r="E2854" s="10">
        <f>IF(D2854&gt;0,VLOOKUP(OPERAC[[#This Row],[COD CART]],[1]!MatrizCortoLargoCyl[#All],3,0),"")</f>
        <v/>
      </c>
      <c r="F2854" s="13" t="inlineStr">
        <is>
          <t>SMH</t>
        </is>
      </c>
      <c r="G2854" s="6" t="n">
        <v>2</v>
      </c>
      <c r="H2854" s="6" t="n">
        <v>-534.325796</v>
      </c>
      <c r="I2854" s="7">
        <f>-H2854/G2854</f>
        <v/>
      </c>
      <c r="J2854" s="11" t="n">
        <v>44663</v>
      </c>
      <c r="K2854" s="6">
        <f>+OPERAC[[#This Row],[cantidad]]</f>
        <v/>
      </c>
      <c r="L2854" s="6">
        <f>+OPERAC[[#This Row],[cantidad venta]]*238.066</f>
        <v/>
      </c>
      <c r="M2854" s="7">
        <f>IF(N2854=0,+L2854+H2854,0)</f>
        <v/>
      </c>
      <c r="N2854" s="7">
        <f>IF((+G2854-K2854)=0,0,+G2854-K2854)</f>
        <v/>
      </c>
      <c r="O2854" s="7">
        <f>IF(N2854=0,0,(L2854+H2854)/-N2854)</f>
        <v/>
      </c>
      <c r="P2854" s="7">
        <f>VLOOKUP(OPERAC[[#This Row],[especie]],[1]!ESPECIES[#All],6,0)</f>
        <v/>
      </c>
      <c r="Q2854" s="7">
        <f>IF(N2854&lt;&gt;0,P2854*N2854,0)</f>
        <v/>
      </c>
      <c r="R2854" s="8">
        <f>IF(Q2854&lt;&gt;0,Q2854+H2854+L2854,0)</f>
        <v/>
      </c>
      <c r="S2854" s="9">
        <f>VLOOKUP(OPERAC[[#This Row],[especie]],[1]!ESPECIES[#Data],9,FALSE)</f>
        <v/>
      </c>
    </row>
    <row r="2855">
      <c r="A2855" s="4" t="n">
        <v>2257</v>
      </c>
      <c r="B2855" s="5" t="n">
        <v>44643</v>
      </c>
      <c r="C2855" s="13" t="inlineStr">
        <is>
          <t>VTA</t>
        </is>
      </c>
      <c r="D2855" s="13" t="n">
        <v>42</v>
      </c>
      <c r="E2855" s="10">
        <f>IF(D2855&gt;0,VLOOKUP(OPERAC[[#This Row],[COD CART]],[1]!MatrizCortoLargoCyl[#All],3,0),"")</f>
        <v/>
      </c>
      <c r="F2855" s="13" t="inlineStr">
        <is>
          <t>SMH</t>
        </is>
      </c>
      <c r="G2855" s="6" t="n">
        <v>2</v>
      </c>
      <c r="H2855" s="6" t="n">
        <v>-534.325796</v>
      </c>
      <c r="I2855" s="7">
        <f>-H2855/G2855</f>
        <v/>
      </c>
      <c r="J2855" s="11" t="n">
        <v>44663</v>
      </c>
      <c r="K2855" s="6">
        <f>+OPERAC[[#This Row],[cantidad]]</f>
        <v/>
      </c>
      <c r="L2855" s="6">
        <f>+OPERAC[[#This Row],[cantidad venta]]*238.066</f>
        <v/>
      </c>
      <c r="M2855" s="7">
        <f>IF(N2855=0,+L2855+H2855,0)</f>
        <v/>
      </c>
      <c r="N2855" s="7">
        <f>IF((+G2855-K2855)=0,0,+G2855-K2855)</f>
        <v/>
      </c>
      <c r="O2855" s="7">
        <f>IF(N2855=0,0,(L2855+H2855)/-N2855)</f>
        <v/>
      </c>
      <c r="P2855" s="7">
        <f>VLOOKUP(OPERAC[[#This Row],[especie]],[1]!ESPECIES[#All],6,0)</f>
        <v/>
      </c>
      <c r="Q2855" s="7">
        <f>IF(N2855&lt;&gt;0,P2855*N2855,0)</f>
        <v/>
      </c>
      <c r="R2855" s="8">
        <f>IF(Q2855&lt;&gt;0,Q2855+H2855+L2855,0)</f>
        <v/>
      </c>
      <c r="S2855" s="9">
        <f>VLOOKUP(OPERAC[[#This Row],[especie]],[1]!ESPECIES[#Data],9,FALSE)</f>
        <v/>
      </c>
    </row>
    <row r="2856">
      <c r="A2856" s="4" t="n">
        <v>13204</v>
      </c>
      <c r="B2856" s="5" t="n">
        <v>44643</v>
      </c>
      <c r="C2856" s="13" t="inlineStr">
        <is>
          <t>VTA</t>
        </is>
      </c>
      <c r="D2856" s="13" t="n">
        <v>42</v>
      </c>
      <c r="E2856" s="10">
        <f>IF(D2856&gt;0,VLOOKUP(OPERAC[[#This Row],[COD CART]],[1]!MatrizCortoLargoCyl[#All],3,0),"")</f>
        <v/>
      </c>
      <c r="F2856" s="13" t="inlineStr">
        <is>
          <t>SMH</t>
        </is>
      </c>
      <c r="G2856" s="6" t="n">
        <v>2</v>
      </c>
      <c r="H2856" s="6" t="n">
        <v>-534.325796</v>
      </c>
      <c r="I2856" s="7">
        <f>-H2856/G2856</f>
        <v/>
      </c>
      <c r="J2856" s="11" t="n">
        <v>44663</v>
      </c>
      <c r="K2856" s="6">
        <f>+OPERAC[[#This Row],[cantidad]]</f>
        <v/>
      </c>
      <c r="L2856" s="6">
        <f>+OPERAC[[#This Row],[cantidad venta]]*238.066</f>
        <v/>
      </c>
      <c r="M2856" s="7">
        <f>IF(N2856=0,+L2856+H2856,0)</f>
        <v/>
      </c>
      <c r="N2856" s="7">
        <f>IF((+G2856-K2856)=0,0,+G2856-K2856)</f>
        <v/>
      </c>
      <c r="O2856" s="7">
        <f>IF(N2856=0,0,(L2856+H2856)/-N2856)</f>
        <v/>
      </c>
      <c r="P2856" s="7">
        <f>VLOOKUP(OPERAC[[#This Row],[especie]],[1]!ESPECIES[#All],6,0)</f>
        <v/>
      </c>
      <c r="Q2856" s="7">
        <f>IF(N2856&lt;&gt;0,P2856*N2856,0)</f>
        <v/>
      </c>
      <c r="R2856" s="8">
        <f>IF(Q2856&lt;&gt;0,Q2856+H2856+L2856,0)</f>
        <v/>
      </c>
      <c r="S2856" s="9">
        <f>VLOOKUP(OPERAC[[#This Row],[especie]],[1]!ESPECIES[#Data],9,FALSE)</f>
        <v/>
      </c>
    </row>
    <row r="2857">
      <c r="A2857" s="4" t="n">
        <v>20317</v>
      </c>
      <c r="B2857" s="5" t="n">
        <v>44643</v>
      </c>
      <c r="C2857" s="13" t="inlineStr">
        <is>
          <t>VTA</t>
        </is>
      </c>
      <c r="D2857" s="13" t="n">
        <v>42</v>
      </c>
      <c r="E2857" s="10">
        <f>IF(D2857&gt;0,VLOOKUP(OPERAC[[#This Row],[COD CART]],[1]!MatrizCortoLargoCyl[#All],3,0),"")</f>
        <v/>
      </c>
      <c r="F2857" s="13" t="inlineStr">
        <is>
          <t>SMH</t>
        </is>
      </c>
      <c r="G2857" s="6" t="n">
        <v>2</v>
      </c>
      <c r="H2857" s="6" t="n">
        <v>-534.325796</v>
      </c>
      <c r="I2857" s="7">
        <f>-H2857/G2857</f>
        <v/>
      </c>
      <c r="J2857" s="11" t="n">
        <v>44663</v>
      </c>
      <c r="K2857" s="6">
        <f>+OPERAC[[#This Row],[cantidad]]</f>
        <v/>
      </c>
      <c r="L2857" s="6">
        <f>+OPERAC[[#This Row],[cantidad venta]]*238.066</f>
        <v/>
      </c>
      <c r="M2857" s="7">
        <f>IF(N2857=0,+L2857+H2857,0)</f>
        <v/>
      </c>
      <c r="N2857" s="7">
        <f>IF((+G2857-K2857)=0,0,+G2857-K2857)</f>
        <v/>
      </c>
      <c r="O2857" s="7">
        <f>IF(N2857=0,0,(L2857+H2857)/-N2857)</f>
        <v/>
      </c>
      <c r="P2857" s="7">
        <f>VLOOKUP(OPERAC[[#This Row],[especie]],[1]!ESPECIES[#All],6,0)</f>
        <v/>
      </c>
      <c r="Q2857" s="7">
        <f>IF(N2857&lt;&gt;0,P2857*N2857,0)</f>
        <v/>
      </c>
      <c r="R2857" s="8">
        <f>IF(Q2857&lt;&gt;0,Q2857+H2857+L2857,0)</f>
        <v/>
      </c>
      <c r="S2857" s="9">
        <f>VLOOKUP(OPERAC[[#This Row],[especie]],[1]!ESPECIES[#Data],9,FALSE)</f>
        <v/>
      </c>
    </row>
    <row r="2858">
      <c r="A2858" s="4" t="n">
        <v>22407</v>
      </c>
      <c r="B2858" s="5" t="n">
        <v>44643</v>
      </c>
      <c r="C2858" s="13" t="inlineStr">
        <is>
          <t>VTA</t>
        </is>
      </c>
      <c r="D2858" s="13" t="n">
        <v>42</v>
      </c>
      <c r="E2858" s="10">
        <f>IF(D2858&gt;0,VLOOKUP(OPERAC[[#This Row],[COD CART]],[1]!MatrizCortoLargoCyl[#All],3,0),"")</f>
        <v/>
      </c>
      <c r="F2858" s="13" t="inlineStr">
        <is>
          <t>SMH</t>
        </is>
      </c>
      <c r="G2858" s="6" t="n">
        <v>2</v>
      </c>
      <c r="H2858" s="6" t="n">
        <v>-534.325796</v>
      </c>
      <c r="I2858" s="7">
        <f>-H2858/G2858</f>
        <v/>
      </c>
      <c r="J2858" s="11" t="n">
        <v>44663</v>
      </c>
      <c r="K2858" s="6">
        <f>+OPERAC[[#This Row],[cantidad]]</f>
        <v/>
      </c>
      <c r="L2858" s="6">
        <f>+OPERAC[[#This Row],[cantidad venta]]*238.066</f>
        <v/>
      </c>
      <c r="M2858" s="7">
        <f>IF(N2858=0,+L2858+H2858,0)</f>
        <v/>
      </c>
      <c r="N2858" s="7">
        <f>IF((+G2858-K2858)=0,0,+G2858-K2858)</f>
        <v/>
      </c>
      <c r="O2858" s="7">
        <f>IF(N2858=0,0,(L2858+H2858)/-N2858)</f>
        <v/>
      </c>
      <c r="P2858" s="7">
        <f>VLOOKUP(OPERAC[[#This Row],[especie]],[1]!ESPECIES[#All],6,0)</f>
        <v/>
      </c>
      <c r="Q2858" s="7">
        <f>IF(N2858&lt;&gt;0,P2858*N2858,0)</f>
        <v/>
      </c>
      <c r="R2858" s="8">
        <f>IF(Q2858&lt;&gt;0,Q2858+H2858+L2858,0)</f>
        <v/>
      </c>
      <c r="S2858" s="9">
        <f>VLOOKUP(OPERAC[[#This Row],[especie]],[1]!ESPECIES[#Data],9,FALSE)</f>
        <v/>
      </c>
    </row>
    <row r="2859">
      <c r="A2859" s="4" t="n">
        <v>22431</v>
      </c>
      <c r="B2859" s="5" t="n">
        <v>44643</v>
      </c>
      <c r="C2859" s="13" t="inlineStr">
        <is>
          <t>VTA</t>
        </is>
      </c>
      <c r="D2859" s="13" t="n">
        <v>42</v>
      </c>
      <c r="E2859" s="10">
        <f>IF(D2859&gt;0,VLOOKUP(OPERAC[[#This Row],[COD CART]],[1]!MatrizCortoLargoCyl[#All],3,0),"")</f>
        <v/>
      </c>
      <c r="F2859" s="13" t="inlineStr">
        <is>
          <t>SMH</t>
        </is>
      </c>
      <c r="G2859" s="6" t="n">
        <v>2</v>
      </c>
      <c r="H2859" s="6" t="n">
        <v>-534.325796</v>
      </c>
      <c r="I2859" s="7">
        <f>-H2859/G2859</f>
        <v/>
      </c>
      <c r="J2859" s="11" t="n">
        <v>44663</v>
      </c>
      <c r="K2859" s="6">
        <f>+OPERAC[[#This Row],[cantidad]]</f>
        <v/>
      </c>
      <c r="L2859" s="6">
        <f>+OPERAC[[#This Row],[cantidad venta]]*238.066</f>
        <v/>
      </c>
      <c r="M2859" s="7">
        <f>IF(N2859=0,+L2859+H2859,0)</f>
        <v/>
      </c>
      <c r="N2859" s="7">
        <f>IF((+G2859-K2859)=0,0,+G2859-K2859)</f>
        <v/>
      </c>
      <c r="O2859" s="7">
        <f>IF(N2859=0,0,(L2859+H2859)/-N2859)</f>
        <v/>
      </c>
      <c r="P2859" s="7">
        <f>VLOOKUP(OPERAC[[#This Row],[especie]],[1]!ESPECIES[#All],6,0)</f>
        <v/>
      </c>
      <c r="Q2859" s="7">
        <f>IF(N2859&lt;&gt;0,P2859*N2859,0)</f>
        <v/>
      </c>
      <c r="R2859" s="8">
        <f>IF(Q2859&lt;&gt;0,Q2859+H2859+L2859,0)</f>
        <v/>
      </c>
      <c r="S2859" s="9">
        <f>VLOOKUP(OPERAC[[#This Row],[especie]],[1]!ESPECIES[#Data],9,FALSE)</f>
        <v/>
      </c>
    </row>
    <row r="2860">
      <c r="A2860" s="4" t="n">
        <v>26138</v>
      </c>
      <c r="B2860" s="5" t="n">
        <v>44536</v>
      </c>
      <c r="C2860" s="13" t="inlineStr">
        <is>
          <t>VTA</t>
        </is>
      </c>
      <c r="D2860" s="13" t="n">
        <v>43</v>
      </c>
      <c r="E2860" s="10">
        <f>IF(D2860&gt;0,VLOOKUP(OPERAC[[#This Row],[COD CART]],[1]!MatrizCortoLargoCyl[#All],3,0),"")</f>
        <v/>
      </c>
      <c r="F2860" s="13" t="inlineStr">
        <is>
          <t>HEXO/CYL-PUT/1,00/20-01-23</t>
        </is>
      </c>
      <c r="G2860" s="6" t="n">
        <v>3200</v>
      </c>
      <c r="H2860" s="6">
        <f>-0.1671*OPERAC[[#This Row],[cantidad]]</f>
        <v/>
      </c>
      <c r="I2860" s="7">
        <f>-H2860/G2860</f>
        <v/>
      </c>
      <c r="J2860" s="11" t="n"/>
      <c r="K2860" s="6" t="n"/>
      <c r="L2860" s="6" t="n"/>
      <c r="M2860" s="7">
        <f>IF(N2860=0,+L2860+H2860,0)</f>
        <v/>
      </c>
      <c r="N2860" s="7">
        <f>IF((+G2860-K2860)=0,0,+G2860-K2860)</f>
        <v/>
      </c>
      <c r="O2860" s="7">
        <f>IF(N2860=0,0,(L2860+H2860)/-N2860)</f>
        <v/>
      </c>
      <c r="P2860" s="7">
        <f>VLOOKUP(OPERAC[[#This Row],[especie]],[1]!ESPECIES[#All],6,0)</f>
        <v/>
      </c>
      <c r="Q2860" s="7">
        <f>IF(N2860&lt;&gt;0,P2860*N2860,0)</f>
        <v/>
      </c>
      <c r="R2860" s="8">
        <f>IF(Q2860&lt;&gt;0,Q2860+H2860+L2860,0)</f>
        <v/>
      </c>
      <c r="S2860" s="9">
        <f>VLOOKUP(OPERAC[[#This Row],[especie]],[1]!ESPECIES[#Data],9,FALSE)</f>
        <v/>
      </c>
    </row>
    <row r="2861">
      <c r="A2861" s="4" t="n">
        <v>2255</v>
      </c>
      <c r="B2861" s="5" t="n">
        <v>44641</v>
      </c>
      <c r="C2861" s="13" t="inlineStr">
        <is>
          <t>VTA</t>
        </is>
      </c>
      <c r="D2861" s="13" t="n">
        <v>42</v>
      </c>
      <c r="E2861" s="10">
        <f>IF(D2861&gt;0,VLOOKUP(OPERAC[[#This Row],[COD CART]],[1]!MatrizCortoLargoCyl[#All],3,0),"")</f>
        <v/>
      </c>
      <c r="F2861" s="13" t="inlineStr">
        <is>
          <t>SMH</t>
        </is>
      </c>
      <c r="G2861" s="6" t="n">
        <v>2</v>
      </c>
      <c r="H2861" s="6" t="n">
        <v>-535.7809000000001</v>
      </c>
      <c r="I2861" s="7">
        <f>-H2861/G2861</f>
        <v/>
      </c>
      <c r="J2861" s="11" t="n">
        <v>44663</v>
      </c>
      <c r="K2861" s="6">
        <f>+OPERAC[[#This Row],[cantidad]]</f>
        <v/>
      </c>
      <c r="L2861" s="6">
        <f>+OPERAC[[#This Row],[cantidad venta]]*238.066</f>
        <v/>
      </c>
      <c r="M2861" s="7">
        <f>IF(N2861=0,+L2861+H2861,0)</f>
        <v/>
      </c>
      <c r="N2861" s="7">
        <f>IF((+G2861-K2861)=0,0,+G2861-K2861)</f>
        <v/>
      </c>
      <c r="O2861" s="7">
        <f>IF(N2861=0,0,(L2861+H2861)/-N2861)</f>
        <v/>
      </c>
      <c r="P2861" s="7">
        <f>VLOOKUP(OPERAC[[#This Row],[especie]],[1]!ESPECIES[#All],6,0)</f>
        <v/>
      </c>
      <c r="Q2861" s="7">
        <f>IF(N2861&lt;&gt;0,P2861*N2861,0)</f>
        <v/>
      </c>
      <c r="R2861" s="8">
        <f>IF(Q2861&lt;&gt;0,Q2861+H2861+L2861,0)</f>
        <v/>
      </c>
      <c r="S2861" s="9">
        <f>VLOOKUP(OPERAC[[#This Row],[especie]],[1]!ESPECIES[#Data],9,FALSE)</f>
        <v/>
      </c>
    </row>
    <row r="2862">
      <c r="A2862" s="4" t="n">
        <v>19972</v>
      </c>
      <c r="B2862" s="5" t="n">
        <v>44419</v>
      </c>
      <c r="C2862" s="13" t="inlineStr">
        <is>
          <t>VTA</t>
        </is>
      </c>
      <c r="D2862" s="13" t="n">
        <v>31</v>
      </c>
      <c r="E2862" s="10">
        <f>IF(D2862&gt;0,VLOOKUP(OPERAC[[#This Row],[COD CART]],[1]!MatrizCortoLargoCyl[#All],3,0),"")</f>
        <v/>
      </c>
      <c r="F2862" s="13" t="inlineStr">
        <is>
          <t>DIS</t>
        </is>
      </c>
      <c r="G2862" s="6" t="n">
        <v>3</v>
      </c>
      <c r="H2862" s="6" t="n">
        <v>-536.6147500000001</v>
      </c>
      <c r="I2862" s="7">
        <f>-H2862/G2862</f>
        <v/>
      </c>
      <c r="J2862" s="11" t="n">
        <v>44686</v>
      </c>
      <c r="K2862" s="6" t="n">
        <v>3</v>
      </c>
      <c r="L2862" s="6" t="n">
        <v>337.214</v>
      </c>
      <c r="M2862" s="7">
        <f>IF(N2862=0,+L2862+H2862,0)</f>
        <v/>
      </c>
      <c r="N2862" s="7">
        <f>IF((+G2862-K2862)=0,0,+G2862-K2862)</f>
        <v/>
      </c>
      <c r="O2862" s="7">
        <f>IF(N2862=0,0,(L2862+H2862)/-N2862)</f>
        <v/>
      </c>
      <c r="P2862" s="7">
        <f>VLOOKUP(OPERAC[[#This Row],[especie]],[1]!ESPECIES[#All],6,0)</f>
        <v/>
      </c>
      <c r="Q2862" s="7">
        <f>IF(N2862&lt;&gt;0,P2862*N2862,0)</f>
        <v/>
      </c>
      <c r="R2862" s="8">
        <f>IF(Q2862&lt;&gt;0,Q2862+H2862+L2862,0)</f>
        <v/>
      </c>
      <c r="S2862" s="9">
        <f>VLOOKUP(OPERAC[[#This Row],[especie]],[1]!ESPECIES[#Data],9,FALSE)</f>
        <v/>
      </c>
    </row>
    <row r="2863">
      <c r="A2863" s="4" t="n">
        <v>3820</v>
      </c>
      <c r="B2863" s="5" t="n">
        <v>44641</v>
      </c>
      <c r="C2863" s="13" t="inlineStr">
        <is>
          <t>VTA</t>
        </is>
      </c>
      <c r="D2863" s="13" t="n">
        <v>42</v>
      </c>
      <c r="E2863" s="10">
        <f>IF(D2863&gt;0,VLOOKUP(OPERAC[[#This Row],[COD CART]],[1]!MatrizCortoLargoCyl[#All],3,0),"")</f>
        <v/>
      </c>
      <c r="F2863" s="13" t="inlineStr">
        <is>
          <t>SMH</t>
        </is>
      </c>
      <c r="G2863" s="6" t="n">
        <v>2</v>
      </c>
      <c r="H2863" s="6" t="n">
        <v>-536.8481</v>
      </c>
      <c r="I2863" s="7">
        <f>-H2863/G2863</f>
        <v/>
      </c>
      <c r="J2863" s="11" t="n">
        <v>44663</v>
      </c>
      <c r="K2863" s="6">
        <f>+OPERAC[[#This Row],[cantidad]]</f>
        <v/>
      </c>
      <c r="L2863" s="6">
        <f>+OPERAC[[#This Row],[cantidad venta]]*238.066</f>
        <v/>
      </c>
      <c r="M2863" s="7">
        <f>IF(N2863=0,+L2863+H2863,0)</f>
        <v/>
      </c>
      <c r="N2863" s="7">
        <f>IF((+G2863-K2863)=0,0,+G2863-K2863)</f>
        <v/>
      </c>
      <c r="O2863" s="7">
        <f>IF(N2863=0,0,(L2863+H2863)/-N2863)</f>
        <v/>
      </c>
      <c r="P2863" s="7">
        <f>VLOOKUP(OPERAC[[#This Row],[especie]],[1]!ESPECIES[#All],6,0)</f>
        <v/>
      </c>
      <c r="Q2863" s="7">
        <f>IF(N2863&lt;&gt;0,P2863*N2863,0)</f>
        <v/>
      </c>
      <c r="R2863" s="8">
        <f>IF(Q2863&lt;&gt;0,Q2863+H2863+L2863,0)</f>
        <v/>
      </c>
      <c r="S2863" s="9">
        <f>VLOOKUP(OPERAC[[#This Row],[especie]],[1]!ESPECIES[#Data],9,FALSE)</f>
        <v/>
      </c>
    </row>
    <row r="2864">
      <c r="A2864" s="4" t="n">
        <v>12671</v>
      </c>
      <c r="B2864" s="5" t="n">
        <v>44641</v>
      </c>
      <c r="C2864" s="13" t="inlineStr">
        <is>
          <t>VTA</t>
        </is>
      </c>
      <c r="D2864" s="13" t="n">
        <v>42</v>
      </c>
      <c r="E2864" s="10">
        <f>IF(D2864&gt;0,VLOOKUP(OPERAC[[#This Row],[COD CART]],[1]!MatrizCortoLargoCyl[#All],3,0),"")</f>
        <v/>
      </c>
      <c r="F2864" s="13" t="inlineStr">
        <is>
          <t>SMH</t>
        </is>
      </c>
      <c r="G2864" s="6" t="n">
        <v>2</v>
      </c>
      <c r="H2864" s="6" t="n">
        <v>-536.8481</v>
      </c>
      <c r="I2864" s="7">
        <f>-H2864/G2864</f>
        <v/>
      </c>
      <c r="J2864" s="11" t="n">
        <v>44663</v>
      </c>
      <c r="K2864" s="6">
        <f>+OPERAC[[#This Row],[cantidad]]</f>
        <v/>
      </c>
      <c r="L2864" s="6">
        <f>+OPERAC[[#This Row],[cantidad venta]]*238.066</f>
        <v/>
      </c>
      <c r="M2864" s="7">
        <f>IF(N2864=0,+L2864+H2864,0)</f>
        <v/>
      </c>
      <c r="N2864" s="7">
        <f>IF((+G2864-K2864)=0,0,+G2864-K2864)</f>
        <v/>
      </c>
      <c r="O2864" s="7">
        <f>IF(N2864=0,0,(L2864+H2864)/-N2864)</f>
        <v/>
      </c>
      <c r="P2864" s="7">
        <f>VLOOKUP(OPERAC[[#This Row],[especie]],[1]!ESPECIES[#All],6,0)</f>
        <v/>
      </c>
      <c r="Q2864" s="7">
        <f>IF(N2864&lt;&gt;0,P2864*N2864,0)</f>
        <v/>
      </c>
      <c r="R2864" s="8">
        <f>IF(Q2864&lt;&gt;0,Q2864+H2864+L2864,0)</f>
        <v/>
      </c>
      <c r="S2864" s="9">
        <f>VLOOKUP(OPERAC[[#This Row],[especie]],[1]!ESPECIES[#Data],9,FALSE)</f>
        <v/>
      </c>
    </row>
    <row r="2865">
      <c r="A2865" s="4" t="n">
        <v>1807</v>
      </c>
      <c r="B2865" s="5" t="n">
        <v>44641</v>
      </c>
      <c r="C2865" s="13" t="inlineStr">
        <is>
          <t>VTA</t>
        </is>
      </c>
      <c r="D2865" s="13" t="n">
        <v>42</v>
      </c>
      <c r="E2865" s="10">
        <f>IF(D2865&gt;0,VLOOKUP(OPERAC[[#This Row],[COD CART]],[1]!MatrizCortoLargoCyl[#All],3,0),"")</f>
        <v/>
      </c>
      <c r="F2865" s="13" t="inlineStr">
        <is>
          <t>SMH</t>
        </is>
      </c>
      <c r="G2865" s="6" t="n">
        <v>2</v>
      </c>
      <c r="H2865" s="6" t="n">
        <v>-537.9153000000001</v>
      </c>
      <c r="I2865" s="7">
        <f>-H2865/G2865</f>
        <v/>
      </c>
      <c r="J2865" s="11" t="n">
        <v>44663</v>
      </c>
      <c r="K2865" s="6">
        <f>+OPERAC[[#This Row],[cantidad]]</f>
        <v/>
      </c>
      <c r="L2865" s="6">
        <f>+OPERAC[[#This Row],[cantidad venta]]*238.066</f>
        <v/>
      </c>
      <c r="M2865" s="7">
        <f>IF(N2865=0,+L2865+H2865,0)</f>
        <v/>
      </c>
      <c r="N2865" s="7">
        <f>IF((+G2865-K2865)=0,0,+G2865-K2865)</f>
        <v/>
      </c>
      <c r="O2865" s="7">
        <f>IF(N2865=0,0,(L2865+H2865)/-N2865)</f>
        <v/>
      </c>
      <c r="P2865" s="7">
        <f>VLOOKUP(OPERAC[[#This Row],[especie]],[1]!ESPECIES[#All],6,0)</f>
        <v/>
      </c>
      <c r="Q2865" s="7">
        <f>IF(N2865&lt;&gt;0,P2865*N2865,0)</f>
        <v/>
      </c>
      <c r="R2865" s="8">
        <f>IF(Q2865&lt;&gt;0,Q2865+H2865+L2865,0)</f>
        <v/>
      </c>
      <c r="S2865" s="9">
        <f>VLOOKUP(OPERAC[[#This Row],[especie]],[1]!ESPECIES[#Data],9,FALSE)</f>
        <v/>
      </c>
    </row>
    <row r="2866">
      <c r="A2866" s="4" t="n">
        <v>2279</v>
      </c>
      <c r="B2866" s="5" t="n">
        <v>44641</v>
      </c>
      <c r="C2866" s="13" t="inlineStr">
        <is>
          <t>VTA</t>
        </is>
      </c>
      <c r="D2866" s="13" t="n">
        <v>42</v>
      </c>
      <c r="E2866" s="10">
        <f>IF(D2866&gt;0,VLOOKUP(OPERAC[[#This Row],[COD CART]],[1]!MatrizCortoLargoCyl[#All],3,0),"")</f>
        <v/>
      </c>
      <c r="F2866" s="13" t="inlineStr">
        <is>
          <t>SMH</t>
        </is>
      </c>
      <c r="G2866" s="6" t="n">
        <v>2</v>
      </c>
      <c r="H2866" s="6" t="n">
        <v>-537.9153000000001</v>
      </c>
      <c r="I2866" s="7">
        <f>-H2866/G2866</f>
        <v/>
      </c>
      <c r="J2866" s="11" t="n">
        <v>44663</v>
      </c>
      <c r="K2866" s="6">
        <f>+OPERAC[[#This Row],[cantidad]]</f>
        <v/>
      </c>
      <c r="L2866" s="6">
        <f>+OPERAC[[#This Row],[cantidad venta]]*238.066</f>
        <v/>
      </c>
      <c r="M2866" s="7">
        <f>IF(N2866=0,+L2866+H2866,0)</f>
        <v/>
      </c>
      <c r="N2866" s="7">
        <f>IF((+G2866-K2866)=0,0,+G2866-K2866)</f>
        <v/>
      </c>
      <c r="O2866" s="7">
        <f>IF(N2866=0,0,(L2866+H2866)/-N2866)</f>
        <v/>
      </c>
      <c r="P2866" s="7">
        <f>VLOOKUP(OPERAC[[#This Row],[especie]],[1]!ESPECIES[#All],6,0)</f>
        <v/>
      </c>
      <c r="Q2866" s="7">
        <f>IF(N2866&lt;&gt;0,P2866*N2866,0)</f>
        <v/>
      </c>
      <c r="R2866" s="8">
        <f>IF(Q2866&lt;&gt;0,Q2866+H2866+L2866,0)</f>
        <v/>
      </c>
      <c r="S2866" s="9">
        <f>VLOOKUP(OPERAC[[#This Row],[especie]],[1]!ESPECIES[#Data],9,FALSE)</f>
        <v/>
      </c>
    </row>
    <row r="2867">
      <c r="A2867" s="4" t="n">
        <v>2305</v>
      </c>
      <c r="B2867" s="5" t="n">
        <v>44641</v>
      </c>
      <c r="C2867" s="13" t="inlineStr">
        <is>
          <t>VTA</t>
        </is>
      </c>
      <c r="D2867" s="13" t="n">
        <v>42</v>
      </c>
      <c r="E2867" s="10">
        <f>IF(D2867&gt;0,VLOOKUP(OPERAC[[#This Row],[COD CART]],[1]!MatrizCortoLargoCyl[#All],3,0),"")</f>
        <v/>
      </c>
      <c r="F2867" s="13" t="inlineStr">
        <is>
          <t>SMH</t>
        </is>
      </c>
      <c r="G2867" s="6" t="n">
        <v>2</v>
      </c>
      <c r="H2867" s="6" t="n">
        <v>-537.9153000000001</v>
      </c>
      <c r="I2867" s="7">
        <f>-H2867/G2867</f>
        <v/>
      </c>
      <c r="J2867" s="11" t="n">
        <v>44663</v>
      </c>
      <c r="K2867" s="6">
        <f>+OPERAC[[#This Row],[cantidad]]</f>
        <v/>
      </c>
      <c r="L2867" s="6">
        <f>+OPERAC[[#This Row],[cantidad venta]]*238.066</f>
        <v/>
      </c>
      <c r="M2867" s="7">
        <f>IF(N2867=0,+L2867+H2867,0)</f>
        <v/>
      </c>
      <c r="N2867" s="7">
        <f>IF((+G2867-K2867)=0,0,+G2867-K2867)</f>
        <v/>
      </c>
      <c r="O2867" s="7">
        <f>IF(N2867=0,0,(L2867+H2867)/-N2867)</f>
        <v/>
      </c>
      <c r="P2867" s="7">
        <f>VLOOKUP(OPERAC[[#This Row],[especie]],[1]!ESPECIES[#All],6,0)</f>
        <v/>
      </c>
      <c r="Q2867" s="7">
        <f>IF(N2867&lt;&gt;0,P2867*N2867,0)</f>
        <v/>
      </c>
      <c r="R2867" s="8">
        <f>IF(Q2867&lt;&gt;0,Q2867+H2867+L2867,0)</f>
        <v/>
      </c>
      <c r="S2867" s="9">
        <f>VLOOKUP(OPERAC[[#This Row],[especie]],[1]!ESPECIES[#Data],9,FALSE)</f>
        <v/>
      </c>
    </row>
    <row r="2868">
      <c r="A2868" s="4" t="n">
        <v>3787</v>
      </c>
      <c r="B2868" s="5" t="n">
        <v>44641</v>
      </c>
      <c r="C2868" s="13" t="inlineStr">
        <is>
          <t>VTA</t>
        </is>
      </c>
      <c r="D2868" s="13" t="n">
        <v>42</v>
      </c>
      <c r="E2868" s="10">
        <f>IF(D2868&gt;0,VLOOKUP(OPERAC[[#This Row],[COD CART]],[1]!MatrizCortoLargoCyl[#All],3,0),"")</f>
        <v/>
      </c>
      <c r="F2868" s="13" t="inlineStr">
        <is>
          <t>SMH</t>
        </is>
      </c>
      <c r="G2868" s="6" t="n">
        <v>2</v>
      </c>
      <c r="H2868" s="6" t="n">
        <v>-537.9153000000001</v>
      </c>
      <c r="I2868" s="7">
        <f>-H2868/G2868</f>
        <v/>
      </c>
      <c r="J2868" s="11" t="n">
        <v>44663</v>
      </c>
      <c r="K2868" s="6">
        <f>+OPERAC[[#This Row],[cantidad]]</f>
        <v/>
      </c>
      <c r="L2868" s="6">
        <f>+OPERAC[[#This Row],[cantidad venta]]*238.066</f>
        <v/>
      </c>
      <c r="M2868" s="7">
        <f>IF(N2868=0,+L2868+H2868,0)</f>
        <v/>
      </c>
      <c r="N2868" s="7">
        <f>IF((+G2868-K2868)=0,0,+G2868-K2868)</f>
        <v/>
      </c>
      <c r="O2868" s="7">
        <f>IF(N2868=0,0,(L2868+H2868)/-N2868)</f>
        <v/>
      </c>
      <c r="P2868" s="7">
        <f>VLOOKUP(OPERAC[[#This Row],[especie]],[1]!ESPECIES[#All],6,0)</f>
        <v/>
      </c>
      <c r="Q2868" s="7">
        <f>IF(N2868&lt;&gt;0,P2868*N2868,0)</f>
        <v/>
      </c>
      <c r="R2868" s="8">
        <f>IF(Q2868&lt;&gt;0,Q2868+H2868+L2868,0)</f>
        <v/>
      </c>
      <c r="S2868" s="9">
        <f>VLOOKUP(OPERAC[[#This Row],[especie]],[1]!ESPECIES[#Data],9,FALSE)</f>
        <v/>
      </c>
    </row>
    <row r="2869">
      <c r="A2869" s="4" t="n">
        <v>3853</v>
      </c>
      <c r="B2869" s="5" t="n">
        <v>44641</v>
      </c>
      <c r="C2869" s="13" t="inlineStr">
        <is>
          <t>VTA</t>
        </is>
      </c>
      <c r="D2869" s="13" t="n">
        <v>42</v>
      </c>
      <c r="E2869" s="10">
        <f>IF(D2869&gt;0,VLOOKUP(OPERAC[[#This Row],[COD CART]],[1]!MatrizCortoLargoCyl[#All],3,0),"")</f>
        <v/>
      </c>
      <c r="F2869" s="13" t="inlineStr">
        <is>
          <t>SMH</t>
        </is>
      </c>
      <c r="G2869" s="6" t="n">
        <v>2</v>
      </c>
      <c r="H2869" s="6" t="n">
        <v>-537.9153000000001</v>
      </c>
      <c r="I2869" s="7">
        <f>-H2869/G2869</f>
        <v/>
      </c>
      <c r="J2869" s="11" t="n">
        <v>44663</v>
      </c>
      <c r="K2869" s="6">
        <f>+OPERAC[[#This Row],[cantidad]]</f>
        <v/>
      </c>
      <c r="L2869" s="6">
        <f>+OPERAC[[#This Row],[cantidad venta]]*238.066</f>
        <v/>
      </c>
      <c r="M2869" s="7">
        <f>IF(N2869=0,+L2869+H2869,0)</f>
        <v/>
      </c>
      <c r="N2869" s="7">
        <f>IF((+G2869-K2869)=0,0,+G2869-K2869)</f>
        <v/>
      </c>
      <c r="O2869" s="7">
        <f>IF(N2869=0,0,(L2869+H2869)/-N2869)</f>
        <v/>
      </c>
      <c r="P2869" s="7">
        <f>VLOOKUP(OPERAC[[#This Row],[especie]],[1]!ESPECIES[#All],6,0)</f>
        <v/>
      </c>
      <c r="Q2869" s="7">
        <f>IF(N2869&lt;&gt;0,P2869*N2869,0)</f>
        <v/>
      </c>
      <c r="R2869" s="8">
        <f>IF(Q2869&lt;&gt;0,Q2869+H2869+L2869,0)</f>
        <v/>
      </c>
      <c r="S2869" s="9">
        <f>VLOOKUP(OPERAC[[#This Row],[especie]],[1]!ESPECIES[#Data],9,FALSE)</f>
        <v/>
      </c>
    </row>
    <row r="2870">
      <c r="A2870" s="4" t="n">
        <v>6578</v>
      </c>
      <c r="B2870" s="5" t="n">
        <v>44641</v>
      </c>
      <c r="C2870" s="13" t="inlineStr">
        <is>
          <t>VTA</t>
        </is>
      </c>
      <c r="D2870" s="13" t="n">
        <v>42</v>
      </c>
      <c r="E2870" s="10">
        <f>IF(D2870&gt;0,VLOOKUP(OPERAC[[#This Row],[COD CART]],[1]!MatrizCortoLargoCyl[#All],3,0),"")</f>
        <v/>
      </c>
      <c r="F2870" s="13" t="inlineStr">
        <is>
          <t>SMH</t>
        </is>
      </c>
      <c r="G2870" s="6" t="n">
        <v>2</v>
      </c>
      <c r="H2870" s="6" t="n">
        <v>-537.9153000000001</v>
      </c>
      <c r="I2870" s="7">
        <f>-H2870/G2870</f>
        <v/>
      </c>
      <c r="J2870" s="11" t="n">
        <v>44663</v>
      </c>
      <c r="K2870" s="6">
        <f>+OPERAC[[#This Row],[cantidad]]</f>
        <v/>
      </c>
      <c r="L2870" s="6">
        <f>+OPERAC[[#This Row],[cantidad venta]]*238.066</f>
        <v/>
      </c>
      <c r="M2870" s="7">
        <f>IF(N2870=0,+L2870+H2870,0)</f>
        <v/>
      </c>
      <c r="N2870" s="7">
        <f>IF((+G2870-K2870)=0,0,+G2870-K2870)</f>
        <v/>
      </c>
      <c r="O2870" s="7">
        <f>IF(N2870=0,0,(L2870+H2870)/-N2870)</f>
        <v/>
      </c>
      <c r="P2870" s="7">
        <f>VLOOKUP(OPERAC[[#This Row],[especie]],[1]!ESPECIES[#All],6,0)</f>
        <v/>
      </c>
      <c r="Q2870" s="7">
        <f>IF(N2870&lt;&gt;0,P2870*N2870,0)</f>
        <v/>
      </c>
      <c r="R2870" s="8">
        <f>IF(Q2870&lt;&gt;0,Q2870+H2870+L2870,0)</f>
        <v/>
      </c>
      <c r="S2870" s="9">
        <f>VLOOKUP(OPERAC[[#This Row],[especie]],[1]!ESPECIES[#Data],9,FALSE)</f>
        <v/>
      </c>
    </row>
    <row r="2871">
      <c r="A2871" s="4" t="n">
        <v>6628</v>
      </c>
      <c r="B2871" s="5" t="n">
        <v>44641</v>
      </c>
      <c r="C2871" s="13" t="inlineStr">
        <is>
          <t>VTA</t>
        </is>
      </c>
      <c r="D2871" s="13" t="n">
        <v>42</v>
      </c>
      <c r="E2871" s="10">
        <f>IF(D2871&gt;0,VLOOKUP(OPERAC[[#This Row],[COD CART]],[1]!MatrizCortoLargoCyl[#All],3,0),"")</f>
        <v/>
      </c>
      <c r="F2871" s="13" t="inlineStr">
        <is>
          <t>SMH</t>
        </is>
      </c>
      <c r="G2871" s="6" t="n">
        <v>2</v>
      </c>
      <c r="H2871" s="6" t="n">
        <v>-537.9153000000001</v>
      </c>
      <c r="I2871" s="7">
        <f>-H2871/G2871</f>
        <v/>
      </c>
      <c r="J2871" s="11" t="n">
        <v>44663</v>
      </c>
      <c r="K2871" s="6">
        <f>+OPERAC[[#This Row],[cantidad]]</f>
        <v/>
      </c>
      <c r="L2871" s="6">
        <f>+OPERAC[[#This Row],[cantidad venta]]*238.066</f>
        <v/>
      </c>
      <c r="M2871" s="7">
        <f>IF(N2871=0,+L2871+H2871,0)</f>
        <v/>
      </c>
      <c r="N2871" s="7">
        <f>IF((+G2871-K2871)=0,0,+G2871-K2871)</f>
        <v/>
      </c>
      <c r="O2871" s="7">
        <f>IF(N2871=0,0,(L2871+H2871)/-N2871)</f>
        <v/>
      </c>
      <c r="P2871" s="7">
        <f>VLOOKUP(OPERAC[[#This Row],[especie]],[1]!ESPECIES[#All],6,0)</f>
        <v/>
      </c>
      <c r="Q2871" s="7">
        <f>IF(N2871&lt;&gt;0,P2871*N2871,0)</f>
        <v/>
      </c>
      <c r="R2871" s="8">
        <f>IF(Q2871&lt;&gt;0,Q2871+H2871+L2871,0)</f>
        <v/>
      </c>
      <c r="S2871" s="9">
        <f>VLOOKUP(OPERAC[[#This Row],[especie]],[1]!ESPECIES[#Data],9,FALSE)</f>
        <v/>
      </c>
    </row>
    <row r="2872">
      <c r="A2872" s="4" t="n">
        <v>7493</v>
      </c>
      <c r="B2872" s="5" t="n">
        <v>44641</v>
      </c>
      <c r="C2872" s="13" t="inlineStr">
        <is>
          <t>VTA</t>
        </is>
      </c>
      <c r="D2872" s="13" t="n">
        <v>42</v>
      </c>
      <c r="E2872" s="10">
        <f>IF(D2872&gt;0,VLOOKUP(OPERAC[[#This Row],[COD CART]],[1]!MatrizCortoLargoCyl[#All],3,0),"")</f>
        <v/>
      </c>
      <c r="F2872" s="13" t="inlineStr">
        <is>
          <t>SMH</t>
        </is>
      </c>
      <c r="G2872" s="6" t="n">
        <v>2</v>
      </c>
      <c r="H2872" s="6" t="n">
        <v>-537.9153000000001</v>
      </c>
      <c r="I2872" s="7">
        <f>-H2872/G2872</f>
        <v/>
      </c>
      <c r="J2872" s="11" t="n">
        <v>44663</v>
      </c>
      <c r="K2872" s="6">
        <f>+OPERAC[[#This Row],[cantidad]]</f>
        <v/>
      </c>
      <c r="L2872" s="6">
        <f>+OPERAC[[#This Row],[cantidad venta]]*238.066</f>
        <v/>
      </c>
      <c r="M2872" s="7">
        <f>IF(N2872=0,+L2872+H2872,0)</f>
        <v/>
      </c>
      <c r="N2872" s="7">
        <f>IF((+G2872-K2872)=0,0,+G2872-K2872)</f>
        <v/>
      </c>
      <c r="O2872" s="7">
        <f>IF(N2872=0,0,(L2872+H2872)/-N2872)</f>
        <v/>
      </c>
      <c r="P2872" s="7">
        <f>VLOOKUP(OPERAC[[#This Row],[especie]],[1]!ESPECIES[#All],6,0)</f>
        <v/>
      </c>
      <c r="Q2872" s="7">
        <f>IF(N2872&lt;&gt;0,P2872*N2872,0)</f>
        <v/>
      </c>
      <c r="R2872" s="8">
        <f>IF(Q2872&lt;&gt;0,Q2872+H2872+L2872,0)</f>
        <v/>
      </c>
      <c r="S2872" s="9">
        <f>VLOOKUP(OPERAC[[#This Row],[especie]],[1]!ESPECIES[#Data],9,FALSE)</f>
        <v/>
      </c>
    </row>
    <row r="2873">
      <c r="A2873" s="4" t="n">
        <v>7895</v>
      </c>
      <c r="B2873" s="5" t="n">
        <v>44641</v>
      </c>
      <c r="C2873" s="13" t="inlineStr">
        <is>
          <t>VTA</t>
        </is>
      </c>
      <c r="D2873" s="13" t="n">
        <v>42</v>
      </c>
      <c r="E2873" s="10">
        <f>IF(D2873&gt;0,VLOOKUP(OPERAC[[#This Row],[COD CART]],[1]!MatrizCortoLargoCyl[#All],3,0),"")</f>
        <v/>
      </c>
      <c r="F2873" s="13" t="inlineStr">
        <is>
          <t>SMH</t>
        </is>
      </c>
      <c r="G2873" s="6" t="n">
        <v>2</v>
      </c>
      <c r="H2873" s="6" t="n">
        <v>-537.9153000000001</v>
      </c>
      <c r="I2873" s="7">
        <f>-H2873/G2873</f>
        <v/>
      </c>
      <c r="J2873" s="11" t="n">
        <v>44663</v>
      </c>
      <c r="K2873" s="6">
        <f>+OPERAC[[#This Row],[cantidad]]</f>
        <v/>
      </c>
      <c r="L2873" s="6">
        <f>+OPERAC[[#This Row],[cantidad venta]]*238.066</f>
        <v/>
      </c>
      <c r="M2873" s="7">
        <f>IF(N2873=0,+L2873+H2873,0)</f>
        <v/>
      </c>
      <c r="N2873" s="7">
        <f>IF((+G2873-K2873)=0,0,+G2873-K2873)</f>
        <v/>
      </c>
      <c r="O2873" s="7">
        <f>IF(N2873=0,0,(L2873+H2873)/-N2873)</f>
        <v/>
      </c>
      <c r="P2873" s="7">
        <f>VLOOKUP(OPERAC[[#This Row],[especie]],[1]!ESPECIES[#All],6,0)</f>
        <v/>
      </c>
      <c r="Q2873" s="7">
        <f>IF(N2873&lt;&gt;0,P2873*N2873,0)</f>
        <v/>
      </c>
      <c r="R2873" s="8">
        <f>IF(Q2873&lt;&gt;0,Q2873+H2873+L2873,0)</f>
        <v/>
      </c>
      <c r="S2873" s="9">
        <f>VLOOKUP(OPERAC[[#This Row],[especie]],[1]!ESPECIES[#Data],9,FALSE)</f>
        <v/>
      </c>
    </row>
    <row r="2874">
      <c r="A2874" s="4" t="n">
        <v>7916</v>
      </c>
      <c r="B2874" s="5" t="n">
        <v>44641</v>
      </c>
      <c r="C2874" s="13" t="inlineStr">
        <is>
          <t>VTA</t>
        </is>
      </c>
      <c r="D2874" s="13" t="n">
        <v>42</v>
      </c>
      <c r="E2874" s="10">
        <f>IF(D2874&gt;0,VLOOKUP(OPERAC[[#This Row],[COD CART]],[1]!MatrizCortoLargoCyl[#All],3,0),"")</f>
        <v/>
      </c>
      <c r="F2874" s="13" t="inlineStr">
        <is>
          <t>SMH</t>
        </is>
      </c>
      <c r="G2874" s="6" t="n">
        <v>2</v>
      </c>
      <c r="H2874" s="6" t="n">
        <v>-537.9153000000001</v>
      </c>
      <c r="I2874" s="7">
        <f>-H2874/G2874</f>
        <v/>
      </c>
      <c r="J2874" s="11" t="n">
        <v>44663</v>
      </c>
      <c r="K2874" s="6">
        <f>+OPERAC[[#This Row],[cantidad]]</f>
        <v/>
      </c>
      <c r="L2874" s="6">
        <f>+OPERAC[[#This Row],[cantidad venta]]*238.066</f>
        <v/>
      </c>
      <c r="M2874" s="7">
        <f>IF(N2874=0,+L2874+H2874,0)</f>
        <v/>
      </c>
      <c r="N2874" s="7">
        <f>IF((+G2874-K2874)=0,0,+G2874-K2874)</f>
        <v/>
      </c>
      <c r="O2874" s="7">
        <f>IF(N2874=0,0,(L2874+H2874)/-N2874)</f>
        <v/>
      </c>
      <c r="P2874" s="7">
        <f>VLOOKUP(OPERAC[[#This Row],[especie]],[1]!ESPECIES[#All],6,0)</f>
        <v/>
      </c>
      <c r="Q2874" s="7">
        <f>IF(N2874&lt;&gt;0,P2874*N2874,0)</f>
        <v/>
      </c>
      <c r="R2874" s="8">
        <f>IF(Q2874&lt;&gt;0,Q2874+H2874+L2874,0)</f>
        <v/>
      </c>
      <c r="S2874" s="9">
        <f>VLOOKUP(OPERAC[[#This Row],[especie]],[1]!ESPECIES[#Data],9,FALSE)</f>
        <v/>
      </c>
    </row>
    <row r="2875">
      <c r="A2875" s="4" t="n">
        <v>11170</v>
      </c>
      <c r="B2875" s="5" t="n">
        <v>44641</v>
      </c>
      <c r="C2875" s="13" t="inlineStr">
        <is>
          <t>VTA</t>
        </is>
      </c>
      <c r="D2875" s="13" t="n">
        <v>42</v>
      </c>
      <c r="E2875" s="10">
        <f>IF(D2875&gt;0,VLOOKUP(OPERAC[[#This Row],[COD CART]],[1]!MatrizCortoLargoCyl[#All],3,0),"")</f>
        <v/>
      </c>
      <c r="F2875" s="13" t="inlineStr">
        <is>
          <t>SMH</t>
        </is>
      </c>
      <c r="G2875" s="6" t="n">
        <v>2</v>
      </c>
      <c r="H2875" s="6" t="n">
        <v>-537.9153000000001</v>
      </c>
      <c r="I2875" s="7">
        <f>-H2875/G2875</f>
        <v/>
      </c>
      <c r="J2875" s="11" t="n">
        <v>44663</v>
      </c>
      <c r="K2875" s="6">
        <f>+OPERAC[[#This Row],[cantidad]]</f>
        <v/>
      </c>
      <c r="L2875" s="6">
        <f>+OPERAC[[#This Row],[cantidad venta]]*238.066</f>
        <v/>
      </c>
      <c r="M2875" s="7">
        <f>IF(N2875=0,+L2875+H2875,0)</f>
        <v/>
      </c>
      <c r="N2875" s="7">
        <f>IF((+G2875-K2875)=0,0,+G2875-K2875)</f>
        <v/>
      </c>
      <c r="O2875" s="7">
        <f>IF(N2875=0,0,(L2875+H2875)/-N2875)</f>
        <v/>
      </c>
      <c r="P2875" s="7">
        <f>VLOOKUP(OPERAC[[#This Row],[especie]],[1]!ESPECIES[#All],6,0)</f>
        <v/>
      </c>
      <c r="Q2875" s="7">
        <f>IF(N2875&lt;&gt;0,P2875*N2875,0)</f>
        <v/>
      </c>
      <c r="R2875" s="8">
        <f>IF(Q2875&lt;&gt;0,Q2875+H2875+L2875,0)</f>
        <v/>
      </c>
      <c r="S2875" s="9">
        <f>VLOOKUP(OPERAC[[#This Row],[especie]],[1]!ESPECIES[#Data],9,FALSE)</f>
        <v/>
      </c>
    </row>
    <row r="2876">
      <c r="A2876" s="4" t="n">
        <v>12672</v>
      </c>
      <c r="B2876" s="5" t="n">
        <v>44641</v>
      </c>
      <c r="C2876" s="13" t="inlineStr">
        <is>
          <t>VTA</t>
        </is>
      </c>
      <c r="D2876" s="13" t="n">
        <v>42</v>
      </c>
      <c r="E2876" s="10">
        <f>IF(D2876&gt;0,VLOOKUP(OPERAC[[#This Row],[COD CART]],[1]!MatrizCortoLargoCyl[#All],3,0),"")</f>
        <v/>
      </c>
      <c r="F2876" s="13" t="inlineStr">
        <is>
          <t>SMH</t>
        </is>
      </c>
      <c r="G2876" s="6" t="n">
        <v>2</v>
      </c>
      <c r="H2876" s="6" t="n">
        <v>-537.9153000000001</v>
      </c>
      <c r="I2876" s="7">
        <f>-H2876/G2876</f>
        <v/>
      </c>
      <c r="J2876" s="11" t="n">
        <v>44663</v>
      </c>
      <c r="K2876" s="6">
        <f>+OPERAC[[#This Row],[cantidad]]</f>
        <v/>
      </c>
      <c r="L2876" s="6">
        <f>+OPERAC[[#This Row],[cantidad venta]]*238.066</f>
        <v/>
      </c>
      <c r="M2876" s="7">
        <f>IF(N2876=0,+L2876+H2876,0)</f>
        <v/>
      </c>
      <c r="N2876" s="7">
        <f>IF((+G2876-K2876)=0,0,+G2876-K2876)</f>
        <v/>
      </c>
      <c r="O2876" s="7">
        <f>IF(N2876=0,0,(L2876+H2876)/-N2876)</f>
        <v/>
      </c>
      <c r="P2876" s="7">
        <f>VLOOKUP(OPERAC[[#This Row],[especie]],[1]!ESPECIES[#All],6,0)</f>
        <v/>
      </c>
      <c r="Q2876" s="7">
        <f>IF(N2876&lt;&gt;0,P2876*N2876,0)</f>
        <v/>
      </c>
      <c r="R2876" s="8">
        <f>IF(Q2876&lt;&gt;0,Q2876+H2876+L2876,0)</f>
        <v/>
      </c>
      <c r="S2876" s="9">
        <f>VLOOKUP(OPERAC[[#This Row],[especie]],[1]!ESPECIES[#Data],9,FALSE)</f>
        <v/>
      </c>
    </row>
    <row r="2877">
      <c r="A2877" s="4" t="n">
        <v>12684</v>
      </c>
      <c r="B2877" s="5" t="n">
        <v>44641</v>
      </c>
      <c r="C2877" s="13" t="inlineStr">
        <is>
          <t>VTA</t>
        </is>
      </c>
      <c r="D2877" s="13" t="n">
        <v>42</v>
      </c>
      <c r="E2877" s="10">
        <f>IF(D2877&gt;0,VLOOKUP(OPERAC[[#This Row],[COD CART]],[1]!MatrizCortoLargoCyl[#All],3,0),"")</f>
        <v/>
      </c>
      <c r="F2877" s="13" t="inlineStr">
        <is>
          <t>SMH</t>
        </is>
      </c>
      <c r="G2877" s="6" t="n">
        <v>2</v>
      </c>
      <c r="H2877" s="6" t="n">
        <v>-537.9153000000001</v>
      </c>
      <c r="I2877" s="7">
        <f>-H2877/G2877</f>
        <v/>
      </c>
      <c r="J2877" s="11" t="n">
        <v>44663</v>
      </c>
      <c r="K2877" s="6">
        <f>+OPERAC[[#This Row],[cantidad]]</f>
        <v/>
      </c>
      <c r="L2877" s="6">
        <f>+OPERAC[[#This Row],[cantidad venta]]*238.066</f>
        <v/>
      </c>
      <c r="M2877" s="7">
        <f>IF(N2877=0,+L2877+H2877,0)</f>
        <v/>
      </c>
      <c r="N2877" s="7">
        <f>IF((+G2877-K2877)=0,0,+G2877-K2877)</f>
        <v/>
      </c>
      <c r="O2877" s="7">
        <f>IF(N2877=0,0,(L2877+H2877)/-N2877)</f>
        <v/>
      </c>
      <c r="P2877" s="7">
        <f>VLOOKUP(OPERAC[[#This Row],[especie]],[1]!ESPECIES[#All],6,0)</f>
        <v/>
      </c>
      <c r="Q2877" s="7">
        <f>IF(N2877&lt;&gt;0,P2877*N2877,0)</f>
        <v/>
      </c>
      <c r="R2877" s="8">
        <f>IF(Q2877&lt;&gt;0,Q2877+H2877+L2877,0)</f>
        <v/>
      </c>
      <c r="S2877" s="9">
        <f>VLOOKUP(OPERAC[[#This Row],[especie]],[1]!ESPECIES[#Data],9,FALSE)</f>
        <v/>
      </c>
    </row>
    <row r="2878">
      <c r="A2878" s="4" t="n">
        <v>13180</v>
      </c>
      <c r="B2878" s="5" t="n">
        <v>44641</v>
      </c>
      <c r="C2878" s="13" t="inlineStr">
        <is>
          <t>VTA</t>
        </is>
      </c>
      <c r="D2878" s="13" t="n">
        <v>42</v>
      </c>
      <c r="E2878" s="10">
        <f>IF(D2878&gt;0,VLOOKUP(OPERAC[[#This Row],[COD CART]],[1]!MatrizCortoLargoCyl[#All],3,0),"")</f>
        <v/>
      </c>
      <c r="F2878" s="13" t="inlineStr">
        <is>
          <t>SMH</t>
        </is>
      </c>
      <c r="G2878" s="6" t="n">
        <v>2</v>
      </c>
      <c r="H2878" s="6" t="n">
        <v>-537.9153000000001</v>
      </c>
      <c r="I2878" s="7">
        <f>-H2878/G2878</f>
        <v/>
      </c>
      <c r="J2878" s="11" t="n">
        <v>44663</v>
      </c>
      <c r="K2878" s="6">
        <f>+OPERAC[[#This Row],[cantidad]]</f>
        <v/>
      </c>
      <c r="L2878" s="6">
        <f>+OPERAC[[#This Row],[cantidad venta]]*238.066</f>
        <v/>
      </c>
      <c r="M2878" s="7">
        <f>IF(N2878=0,+L2878+H2878,0)</f>
        <v/>
      </c>
      <c r="N2878" s="7">
        <f>IF((+G2878-K2878)=0,0,+G2878-K2878)</f>
        <v/>
      </c>
      <c r="O2878" s="7">
        <f>IF(N2878=0,0,(L2878+H2878)/-N2878)</f>
        <v/>
      </c>
      <c r="P2878" s="7">
        <f>VLOOKUP(OPERAC[[#This Row],[especie]],[1]!ESPECIES[#All],6,0)</f>
        <v/>
      </c>
      <c r="Q2878" s="7">
        <f>IF(N2878&lt;&gt;0,P2878*N2878,0)</f>
        <v/>
      </c>
      <c r="R2878" s="8">
        <f>IF(Q2878&lt;&gt;0,Q2878+H2878+L2878,0)</f>
        <v/>
      </c>
      <c r="S2878" s="9">
        <f>VLOOKUP(OPERAC[[#This Row],[especie]],[1]!ESPECIES[#Data],9,FALSE)</f>
        <v/>
      </c>
    </row>
    <row r="2879">
      <c r="A2879" s="4" t="n">
        <v>13230</v>
      </c>
      <c r="B2879" s="5" t="n">
        <v>44641</v>
      </c>
      <c r="C2879" s="13" t="inlineStr">
        <is>
          <t>VTA</t>
        </is>
      </c>
      <c r="D2879" s="13" t="n">
        <v>42</v>
      </c>
      <c r="E2879" s="10">
        <f>IF(D2879&gt;0,VLOOKUP(OPERAC[[#This Row],[COD CART]],[1]!MatrizCortoLargoCyl[#All],3,0),"")</f>
        <v/>
      </c>
      <c r="F2879" s="13" t="inlineStr">
        <is>
          <t>SMH</t>
        </is>
      </c>
      <c r="G2879" s="6" t="n">
        <v>2</v>
      </c>
      <c r="H2879" s="6" t="n">
        <v>-537.9153000000001</v>
      </c>
      <c r="I2879" s="7">
        <f>-H2879/G2879</f>
        <v/>
      </c>
      <c r="J2879" s="11" t="n">
        <v>44645</v>
      </c>
      <c r="K2879" s="6" t="n">
        <v>2</v>
      </c>
      <c r="L2879" s="6" t="n">
        <v>545.691</v>
      </c>
      <c r="M2879" s="7">
        <f>IF(N2879=0,+L2879+H2879,0)</f>
        <v/>
      </c>
      <c r="N2879" s="7">
        <f>IF((+G2879-K2879)=0,0,+G2879-K2879)</f>
        <v/>
      </c>
      <c r="O2879" s="7">
        <f>IF(N2879=0,0,(L2879+H2879)/-N2879)</f>
        <v/>
      </c>
      <c r="P2879" s="7">
        <f>VLOOKUP(OPERAC[[#This Row],[especie]],[1]!ESPECIES[#All],6,0)</f>
        <v/>
      </c>
      <c r="Q2879" s="7">
        <f>IF(N2879&lt;&gt;0,P2879*N2879,0)</f>
        <v/>
      </c>
      <c r="R2879" s="8">
        <f>IF(Q2879&lt;&gt;0,Q2879+H2879+L2879,0)</f>
        <v/>
      </c>
      <c r="S2879" s="9">
        <f>VLOOKUP(OPERAC[[#This Row],[especie]],[1]!ESPECIES[#Data],9,FALSE)</f>
        <v/>
      </c>
    </row>
    <row r="2880">
      <c r="A2880" s="4" t="n">
        <v>18662</v>
      </c>
      <c r="B2880" s="5" t="n">
        <v>44641</v>
      </c>
      <c r="C2880" s="13" t="inlineStr">
        <is>
          <t>VTA</t>
        </is>
      </c>
      <c r="D2880" s="13" t="n">
        <v>42</v>
      </c>
      <c r="E2880" s="10">
        <f>IF(D2880&gt;0,VLOOKUP(OPERAC[[#This Row],[COD CART]],[1]!MatrizCortoLargoCyl[#All],3,0),"")</f>
        <v/>
      </c>
      <c r="F2880" s="13" t="inlineStr">
        <is>
          <t>SMH</t>
        </is>
      </c>
      <c r="G2880" s="6" t="n">
        <v>2</v>
      </c>
      <c r="H2880" s="6" t="n">
        <v>-537.9153000000001</v>
      </c>
      <c r="I2880" s="7">
        <f>-H2880/G2880</f>
        <v/>
      </c>
      <c r="J2880" s="11" t="n">
        <v>44663</v>
      </c>
      <c r="K2880" s="6">
        <f>+OPERAC[[#This Row],[cantidad]]</f>
        <v/>
      </c>
      <c r="L2880" s="6">
        <f>+OPERAC[[#This Row],[cantidad venta]]*238.066</f>
        <v/>
      </c>
      <c r="M2880" s="7">
        <f>IF(N2880=0,+L2880+H2880,0)</f>
        <v/>
      </c>
      <c r="N2880" s="7">
        <f>IF((+G2880-K2880)=0,0,+G2880-K2880)</f>
        <v/>
      </c>
      <c r="O2880" s="7">
        <f>IF(N2880=0,0,(L2880+H2880)/-N2880)</f>
        <v/>
      </c>
      <c r="P2880" s="7">
        <f>VLOOKUP(OPERAC[[#This Row],[especie]],[1]!ESPECIES[#All],6,0)</f>
        <v/>
      </c>
      <c r="Q2880" s="7">
        <f>IF(N2880&lt;&gt;0,P2880*N2880,0)</f>
        <v/>
      </c>
      <c r="R2880" s="8">
        <f>IF(Q2880&lt;&gt;0,Q2880+H2880+L2880,0)</f>
        <v/>
      </c>
      <c r="S2880" s="9">
        <f>VLOOKUP(OPERAC[[#This Row],[especie]],[1]!ESPECIES[#Data],9,FALSE)</f>
        <v/>
      </c>
    </row>
    <row r="2881">
      <c r="A2881" s="4" t="n">
        <v>18677</v>
      </c>
      <c r="B2881" s="5" t="n">
        <v>44641</v>
      </c>
      <c r="C2881" s="13" t="inlineStr">
        <is>
          <t>VTA</t>
        </is>
      </c>
      <c r="D2881" s="13" t="n">
        <v>42</v>
      </c>
      <c r="E2881" s="10">
        <f>IF(D2881&gt;0,VLOOKUP(OPERAC[[#This Row],[COD CART]],[1]!MatrizCortoLargoCyl[#All],3,0),"")</f>
        <v/>
      </c>
      <c r="F2881" s="13" t="inlineStr">
        <is>
          <t>SMH</t>
        </is>
      </c>
      <c r="G2881" s="6" t="n">
        <v>2</v>
      </c>
      <c r="H2881" s="6" t="n">
        <v>-537.9153000000001</v>
      </c>
      <c r="I2881" s="7">
        <f>-H2881/G2881</f>
        <v/>
      </c>
      <c r="J2881" s="11" t="n">
        <v>44663</v>
      </c>
      <c r="K2881" s="6">
        <f>+OPERAC[[#This Row],[cantidad]]</f>
        <v/>
      </c>
      <c r="L2881" s="6">
        <f>+OPERAC[[#This Row],[cantidad venta]]*238.066</f>
        <v/>
      </c>
      <c r="M2881" s="7">
        <f>IF(N2881=0,+L2881+H2881,0)</f>
        <v/>
      </c>
      <c r="N2881" s="7">
        <f>IF((+G2881-K2881)=0,0,+G2881-K2881)</f>
        <v/>
      </c>
      <c r="O2881" s="7">
        <f>IF(N2881=0,0,(L2881+H2881)/-N2881)</f>
        <v/>
      </c>
      <c r="P2881" s="7">
        <f>VLOOKUP(OPERAC[[#This Row],[especie]],[1]!ESPECIES[#All],6,0)</f>
        <v/>
      </c>
      <c r="Q2881" s="7">
        <f>IF(N2881&lt;&gt;0,P2881*N2881,0)</f>
        <v/>
      </c>
      <c r="R2881" s="8">
        <f>IF(Q2881&lt;&gt;0,Q2881+H2881+L2881,0)</f>
        <v/>
      </c>
      <c r="S2881" s="9">
        <f>VLOOKUP(OPERAC[[#This Row],[especie]],[1]!ESPECIES[#Data],9,FALSE)</f>
        <v/>
      </c>
    </row>
    <row r="2882">
      <c r="A2882" s="4" t="n">
        <v>18690</v>
      </c>
      <c r="B2882" s="5" t="n">
        <v>44641</v>
      </c>
      <c r="C2882" s="13" t="inlineStr">
        <is>
          <t>VTA</t>
        </is>
      </c>
      <c r="D2882" s="13" t="n">
        <v>42</v>
      </c>
      <c r="E2882" s="10">
        <f>IF(D2882&gt;0,VLOOKUP(OPERAC[[#This Row],[COD CART]],[1]!MatrizCortoLargoCyl[#All],3,0),"")</f>
        <v/>
      </c>
      <c r="F2882" s="13" t="inlineStr">
        <is>
          <t>SMH</t>
        </is>
      </c>
      <c r="G2882" s="6" t="n">
        <v>2</v>
      </c>
      <c r="H2882" s="6" t="n">
        <v>-537.9153000000001</v>
      </c>
      <c r="I2882" s="7">
        <f>-H2882/G2882</f>
        <v/>
      </c>
      <c r="J2882" s="11" t="n">
        <v>44663</v>
      </c>
      <c r="K2882" s="6">
        <f>+OPERAC[[#This Row],[cantidad]]</f>
        <v/>
      </c>
      <c r="L2882" s="6">
        <f>+OPERAC[[#This Row],[cantidad venta]]*238.066</f>
        <v/>
      </c>
      <c r="M2882" s="7">
        <f>IF(N2882=0,+L2882+H2882,0)</f>
        <v/>
      </c>
      <c r="N2882" s="7">
        <f>IF((+G2882-K2882)=0,0,+G2882-K2882)</f>
        <v/>
      </c>
      <c r="O2882" s="7">
        <f>IF(N2882=0,0,(L2882+H2882)/-N2882)</f>
        <v/>
      </c>
      <c r="P2882" s="7">
        <f>VLOOKUP(OPERAC[[#This Row],[especie]],[1]!ESPECIES[#All],6,0)</f>
        <v/>
      </c>
      <c r="Q2882" s="7">
        <f>IF(N2882&lt;&gt;0,P2882*N2882,0)</f>
        <v/>
      </c>
      <c r="R2882" s="8">
        <f>IF(Q2882&lt;&gt;0,Q2882+H2882+L2882,0)</f>
        <v/>
      </c>
      <c r="S2882" s="9">
        <f>VLOOKUP(OPERAC[[#This Row],[especie]],[1]!ESPECIES[#Data],9,FALSE)</f>
        <v/>
      </c>
    </row>
    <row r="2883">
      <c r="A2883" s="4" t="n">
        <v>18716</v>
      </c>
      <c r="B2883" s="5" t="n">
        <v>44641</v>
      </c>
      <c r="C2883" s="13" t="inlineStr">
        <is>
          <t>VTA</t>
        </is>
      </c>
      <c r="D2883" s="13" t="n">
        <v>42</v>
      </c>
      <c r="E2883" s="10">
        <f>IF(D2883&gt;0,VLOOKUP(OPERAC[[#This Row],[COD CART]],[1]!MatrizCortoLargoCyl[#All],3,0),"")</f>
        <v/>
      </c>
      <c r="F2883" s="13" t="inlineStr">
        <is>
          <t>SMH</t>
        </is>
      </c>
      <c r="G2883" s="6" t="n">
        <v>2</v>
      </c>
      <c r="H2883" s="6" t="n">
        <v>-537.9153000000001</v>
      </c>
      <c r="I2883" s="7">
        <f>-H2883/G2883</f>
        <v/>
      </c>
      <c r="J2883" s="11" t="n">
        <v>44645</v>
      </c>
      <c r="K2883" s="6" t="n">
        <v>2</v>
      </c>
      <c r="L2883" s="6" t="n">
        <v>540.28</v>
      </c>
      <c r="M2883" s="7">
        <f>IF(N2883=0,+L2883+H2883,0)</f>
        <v/>
      </c>
      <c r="N2883" s="7">
        <f>IF((+G2883-K2883)=0,0,+G2883-K2883)</f>
        <v/>
      </c>
      <c r="O2883" s="7">
        <f>IF(N2883=0,0,(L2883+H2883)/-N2883)</f>
        <v/>
      </c>
      <c r="P2883" s="7">
        <f>VLOOKUP(OPERAC[[#This Row],[especie]],[1]!ESPECIES[#All],6,0)</f>
        <v/>
      </c>
      <c r="Q2883" s="7">
        <f>IF(N2883&lt;&gt;0,P2883*N2883,0)</f>
        <v/>
      </c>
      <c r="R2883" s="8">
        <f>IF(Q2883&lt;&gt;0,Q2883+H2883+L2883,0)</f>
        <v/>
      </c>
      <c r="S2883" s="9">
        <f>VLOOKUP(OPERAC[[#This Row],[especie]],[1]!ESPECIES[#Data],9,FALSE)</f>
        <v/>
      </c>
    </row>
    <row r="2884">
      <c r="A2884" s="4" t="n">
        <v>20312</v>
      </c>
      <c r="B2884" s="5" t="n">
        <v>44641</v>
      </c>
      <c r="C2884" s="13" t="inlineStr">
        <is>
          <t>VTA</t>
        </is>
      </c>
      <c r="D2884" s="13" t="n">
        <v>42</v>
      </c>
      <c r="E2884" s="10">
        <f>IF(D2884&gt;0,VLOOKUP(OPERAC[[#This Row],[COD CART]],[1]!MatrizCortoLargoCyl[#All],3,0),"")</f>
        <v/>
      </c>
      <c r="F2884" s="13" t="inlineStr">
        <is>
          <t>SMH</t>
        </is>
      </c>
      <c r="G2884" s="6" t="n">
        <v>2</v>
      </c>
      <c r="H2884" s="6" t="n">
        <v>-537.9153000000001</v>
      </c>
      <c r="I2884" s="7">
        <f>-H2884/G2884</f>
        <v/>
      </c>
      <c r="J2884" s="11" t="n">
        <v>44663</v>
      </c>
      <c r="K2884" s="6">
        <f>+OPERAC[[#This Row],[cantidad]]</f>
        <v/>
      </c>
      <c r="L2884" s="6">
        <f>+OPERAC[[#This Row],[cantidad venta]]*238.066</f>
        <v/>
      </c>
      <c r="M2884" s="7">
        <f>IF(N2884=0,+L2884+H2884,0)</f>
        <v/>
      </c>
      <c r="N2884" s="7">
        <f>IF((+G2884-K2884)=0,0,+G2884-K2884)</f>
        <v/>
      </c>
      <c r="O2884" s="7">
        <f>IF(N2884=0,0,(L2884+H2884)/-N2884)</f>
        <v/>
      </c>
      <c r="P2884" s="7">
        <f>VLOOKUP(OPERAC[[#This Row],[especie]],[1]!ESPECIES[#All],6,0)</f>
        <v/>
      </c>
      <c r="Q2884" s="7">
        <f>IF(N2884&lt;&gt;0,P2884*N2884,0)</f>
        <v/>
      </c>
      <c r="R2884" s="8">
        <f>IF(Q2884&lt;&gt;0,Q2884+H2884+L2884,0)</f>
        <v/>
      </c>
      <c r="S2884" s="9">
        <f>VLOOKUP(OPERAC[[#This Row],[especie]],[1]!ESPECIES[#Data],9,FALSE)</f>
        <v/>
      </c>
    </row>
    <row r="2885">
      <c r="A2885" s="4" t="n">
        <v>21070</v>
      </c>
      <c r="B2885" s="5" t="n">
        <v>44641</v>
      </c>
      <c r="C2885" s="13" t="inlineStr">
        <is>
          <t>VTA</t>
        </is>
      </c>
      <c r="D2885" s="13" t="n">
        <v>42</v>
      </c>
      <c r="E2885" s="10">
        <f>IF(D2885&gt;0,VLOOKUP(OPERAC[[#This Row],[COD CART]],[1]!MatrizCortoLargoCyl[#All],3,0),"")</f>
        <v/>
      </c>
      <c r="F2885" s="13" t="inlineStr">
        <is>
          <t>SMH</t>
        </is>
      </c>
      <c r="G2885" s="6" t="n">
        <v>2</v>
      </c>
      <c r="H2885" s="6" t="n">
        <v>-537.9153000000001</v>
      </c>
      <c r="I2885" s="7">
        <f>-H2885/G2885</f>
        <v/>
      </c>
      <c r="J2885" s="11" t="n">
        <v>44663</v>
      </c>
      <c r="K2885" s="6">
        <f>+OPERAC[[#This Row],[cantidad]]</f>
        <v/>
      </c>
      <c r="L2885" s="6">
        <f>+OPERAC[[#This Row],[cantidad venta]]*238.066</f>
        <v/>
      </c>
      <c r="M2885" s="7">
        <f>IF(N2885=0,+L2885+H2885,0)</f>
        <v/>
      </c>
      <c r="N2885" s="7">
        <f>IF((+G2885-K2885)=0,0,+G2885-K2885)</f>
        <v/>
      </c>
      <c r="O2885" s="7">
        <f>IF(N2885=0,0,(L2885+H2885)/-N2885)</f>
        <v/>
      </c>
      <c r="P2885" s="7">
        <f>VLOOKUP(OPERAC[[#This Row],[especie]],[1]!ESPECIES[#All],6,0)</f>
        <v/>
      </c>
      <c r="Q2885" s="7">
        <f>IF(N2885&lt;&gt;0,P2885*N2885,0)</f>
        <v/>
      </c>
      <c r="R2885" s="8">
        <f>IF(Q2885&lt;&gt;0,Q2885+H2885+L2885,0)</f>
        <v/>
      </c>
      <c r="S2885" s="9">
        <f>VLOOKUP(OPERAC[[#This Row],[especie]],[1]!ESPECIES[#Data],9,FALSE)</f>
        <v/>
      </c>
    </row>
    <row r="2886">
      <c r="A2886" s="4" t="n">
        <v>22407</v>
      </c>
      <c r="B2886" s="5" t="n">
        <v>44641</v>
      </c>
      <c r="C2886" s="13" t="inlineStr">
        <is>
          <t>VTA</t>
        </is>
      </c>
      <c r="D2886" s="13" t="n">
        <v>42</v>
      </c>
      <c r="E2886" s="10">
        <f>IF(D2886&gt;0,VLOOKUP(OPERAC[[#This Row],[COD CART]],[1]!MatrizCortoLargoCyl[#All],3,0),"")</f>
        <v/>
      </c>
      <c r="F2886" s="13" t="inlineStr">
        <is>
          <t>SMH</t>
        </is>
      </c>
      <c r="G2886" s="6" t="n">
        <v>2</v>
      </c>
      <c r="H2886" s="6" t="n">
        <v>-537.9153000000001</v>
      </c>
      <c r="I2886" s="7">
        <f>-H2886/G2886</f>
        <v/>
      </c>
      <c r="J2886" s="11" t="n">
        <v>44663</v>
      </c>
      <c r="K2886" s="6">
        <f>+OPERAC[[#This Row],[cantidad]]</f>
        <v/>
      </c>
      <c r="L2886" s="6">
        <f>+OPERAC[[#This Row],[cantidad venta]]*238.066</f>
        <v/>
      </c>
      <c r="M2886" s="7">
        <f>IF(N2886=0,+L2886+H2886,0)</f>
        <v/>
      </c>
      <c r="N2886" s="7">
        <f>IF((+G2886-K2886)=0,0,+G2886-K2886)</f>
        <v/>
      </c>
      <c r="O2886" s="7">
        <f>IF(N2886=0,0,(L2886+H2886)/-N2886)</f>
        <v/>
      </c>
      <c r="P2886" s="7">
        <f>VLOOKUP(OPERAC[[#This Row],[especie]],[1]!ESPECIES[#All],6,0)</f>
        <v/>
      </c>
      <c r="Q2886" s="7">
        <f>IF(N2886&lt;&gt;0,P2886*N2886,0)</f>
        <v/>
      </c>
      <c r="R2886" s="8">
        <f>IF(Q2886&lt;&gt;0,Q2886+H2886+L2886,0)</f>
        <v/>
      </c>
      <c r="S2886" s="9">
        <f>VLOOKUP(OPERAC[[#This Row],[especie]],[1]!ESPECIES[#Data],9,FALSE)</f>
        <v/>
      </c>
    </row>
    <row r="2887">
      <c r="A2887" s="4" t="n">
        <v>22421</v>
      </c>
      <c r="B2887" s="5" t="n">
        <v>44641</v>
      </c>
      <c r="C2887" s="13" t="inlineStr">
        <is>
          <t>VTA</t>
        </is>
      </c>
      <c r="D2887" s="13" t="n">
        <v>42</v>
      </c>
      <c r="E2887" s="10">
        <f>IF(D2887&gt;0,VLOOKUP(OPERAC[[#This Row],[COD CART]],[1]!MatrizCortoLargoCyl[#All],3,0),"")</f>
        <v/>
      </c>
      <c r="F2887" s="13" t="inlineStr">
        <is>
          <t>SMH</t>
        </is>
      </c>
      <c r="G2887" s="6" t="n">
        <v>2</v>
      </c>
      <c r="H2887" s="6" t="n">
        <v>-537.9153000000001</v>
      </c>
      <c r="I2887" s="7">
        <f>-H2887/G2887</f>
        <v/>
      </c>
      <c r="J2887" s="11" t="n">
        <v>44658</v>
      </c>
      <c r="K2887" s="6" t="n">
        <v>2</v>
      </c>
      <c r="L2887" s="6" t="n">
        <v>495.754</v>
      </c>
      <c r="M2887" s="7">
        <f>IF(N2887=0,+L2887+H2887,0)</f>
        <v/>
      </c>
      <c r="N2887" s="7">
        <f>IF((+G2887-K2887)=0,0,+G2887-K2887)</f>
        <v/>
      </c>
      <c r="O2887" s="7">
        <f>IF(N2887=0,0,(L2887+H2887)/-N2887)</f>
        <v/>
      </c>
      <c r="P2887" s="7">
        <f>VLOOKUP(OPERAC[[#This Row],[especie]],[1]!ESPECIES[#All],6,0)</f>
        <v/>
      </c>
      <c r="Q2887" s="7">
        <f>IF(N2887&lt;&gt;0,P2887*N2887,0)</f>
        <v/>
      </c>
      <c r="R2887" s="8">
        <f>IF(Q2887&lt;&gt;0,Q2887+H2887+L2887,0)</f>
        <v/>
      </c>
      <c r="S2887" s="9">
        <f>VLOOKUP(OPERAC[[#This Row],[especie]],[1]!ESPECIES[#Data],9,FALSE)</f>
        <v/>
      </c>
    </row>
    <row r="2888">
      <c r="A2888" s="4" t="n">
        <v>13281</v>
      </c>
      <c r="B2888" s="5" t="n">
        <v>44218</v>
      </c>
      <c r="C2888" s="13" t="inlineStr">
        <is>
          <t>VTA</t>
        </is>
      </c>
      <c r="D2888" s="13" t="n">
        <v>41</v>
      </c>
      <c r="E2888" s="10">
        <f>IF(D2888&gt;0,VLOOKUP(OPERAC[[#This Row],[COD CART]],[1]!MatrizCortoLargoCyl[#All],3,0),"")</f>
        <v/>
      </c>
      <c r="F2888" s="13" t="inlineStr">
        <is>
          <t>AXU</t>
        </is>
      </c>
      <c r="G2888" s="6" t="n">
        <v>200</v>
      </c>
      <c r="H2888" s="6" t="n">
        <v>-539.27</v>
      </c>
      <c r="I2888" s="7">
        <f>-H2888/G2888</f>
        <v/>
      </c>
      <c r="J2888" s="11" t="n"/>
      <c r="K2888" s="6" t="n"/>
      <c r="L2888" s="6" t="n"/>
      <c r="M2888" s="7">
        <f>IF(N2888=0,+L2888+H2888,0)</f>
        <v/>
      </c>
      <c r="N2888" s="7">
        <f>IF((+G2888-K2888)=0,0,+G2888-K2888)</f>
        <v/>
      </c>
      <c r="O2888" s="7">
        <f>IF(N2888=0,0,(L2888+H2888)/-N2888)</f>
        <v/>
      </c>
      <c r="P2888" s="7">
        <f>VLOOKUP(OPERAC[[#This Row],[especie]],[1]!ESPECIES[#All],6,0)</f>
        <v/>
      </c>
      <c r="Q2888" s="7">
        <f>IF(N2888&lt;&gt;0,P2888*N2888,0)</f>
        <v/>
      </c>
      <c r="R2888" s="8">
        <f>IF(Q2888&lt;&gt;0,Q2888+H2888+L2888,0)</f>
        <v/>
      </c>
      <c r="S2888" s="9">
        <f>VLOOKUP(OPERAC[[#This Row],[especie]],[1]!ESPECIES[#Data],9,FALSE)</f>
        <v/>
      </c>
    </row>
    <row r="2889">
      <c r="A2889" s="4" t="n">
        <v>6628</v>
      </c>
      <c r="B2889" s="5" t="n">
        <v>44536</v>
      </c>
      <c r="C2889" s="13" t="inlineStr">
        <is>
          <t>VTA</t>
        </is>
      </c>
      <c r="D2889" s="13" t="n">
        <v>43</v>
      </c>
      <c r="E2889" s="10">
        <f>IF(D2889&gt;0,VLOOKUP(OPERAC[[#This Row],[COD CART]],[1]!MatrizCortoLargoCyl[#All],3,0),"")</f>
        <v/>
      </c>
      <c r="F2889" s="13" t="inlineStr">
        <is>
          <t>NNDM/CYL-PUT/2,50/19-01-24</t>
        </is>
      </c>
      <c r="G2889" s="6" t="n">
        <v>500</v>
      </c>
      <c r="H2889" s="6">
        <f>-1.08*OPERAC[[#This Row],[cantidad]]</f>
        <v/>
      </c>
      <c r="I2889" s="7">
        <f>-H2889/G2889</f>
        <v/>
      </c>
      <c r="J2889" s="11" t="n"/>
      <c r="K2889" s="6" t="n"/>
      <c r="L2889" s="6" t="n"/>
      <c r="M2889" s="7">
        <f>IF(N2889=0,+L2889+H2889,0)</f>
        <v/>
      </c>
      <c r="N2889" s="7">
        <f>IF((+G2889-K2889)=0,0,+G2889-K2889)</f>
        <v/>
      </c>
      <c r="O2889" s="7">
        <f>IF(N2889=0,0,(L2889+H2889)/-N2889)</f>
        <v/>
      </c>
      <c r="P2889" s="7">
        <f>VLOOKUP(OPERAC[[#This Row],[especie]],[1]!ESPECIES[#All],6,0)</f>
        <v/>
      </c>
      <c r="Q2889" s="7">
        <f>IF(N2889&lt;&gt;0,P2889*N2889,0)</f>
        <v/>
      </c>
      <c r="R2889" s="8">
        <f>IF(Q2889&lt;&gt;0,Q2889+H2889+L2889,0)</f>
        <v/>
      </c>
      <c r="S2889" s="9">
        <f>VLOOKUP(OPERAC[[#This Row],[especie]],[1]!ESPECIES[#Data],9,FALSE)</f>
        <v/>
      </c>
    </row>
    <row r="2890">
      <c r="A2890" s="4" t="n">
        <v>7895</v>
      </c>
      <c r="B2890" s="5" t="n">
        <v>44536</v>
      </c>
      <c r="C2890" s="13" t="inlineStr">
        <is>
          <t>VTA</t>
        </is>
      </c>
      <c r="D2890" s="13" t="n">
        <v>43</v>
      </c>
      <c r="E2890" s="10">
        <f>IF(D2890&gt;0,VLOOKUP(OPERAC[[#This Row],[COD CART]],[1]!MatrizCortoLargoCyl[#All],3,0),"")</f>
        <v/>
      </c>
      <c r="F2890" s="13" t="inlineStr">
        <is>
          <t>NNDM/CYL-PUT/2,50/19-01-24</t>
        </is>
      </c>
      <c r="G2890" s="6" t="n">
        <v>500</v>
      </c>
      <c r="H2890" s="6">
        <f>-1.08*OPERAC[[#This Row],[cantidad]]</f>
        <v/>
      </c>
      <c r="I2890" s="7">
        <f>-H2890/G2890</f>
        <v/>
      </c>
      <c r="J2890" s="11" t="n"/>
      <c r="K2890" s="6" t="n"/>
      <c r="L2890" s="6" t="n"/>
      <c r="M2890" s="7">
        <f>IF(N2890=0,+L2890+H2890,0)</f>
        <v/>
      </c>
      <c r="N2890" s="7">
        <f>IF((+G2890-K2890)=0,0,+G2890-K2890)</f>
        <v/>
      </c>
      <c r="O2890" s="7">
        <f>IF(N2890=0,0,(L2890+H2890)/-N2890)</f>
        <v/>
      </c>
      <c r="P2890" s="7">
        <f>VLOOKUP(OPERAC[[#This Row],[especie]],[1]!ESPECIES[#All],6,0)</f>
        <v/>
      </c>
      <c r="Q2890" s="7">
        <f>IF(N2890&lt;&gt;0,P2890*N2890,0)</f>
        <v/>
      </c>
      <c r="R2890" s="8">
        <f>IF(Q2890&lt;&gt;0,Q2890+H2890+L2890,0)</f>
        <v/>
      </c>
      <c r="S2890" s="9">
        <f>VLOOKUP(OPERAC[[#This Row],[especie]],[1]!ESPECIES[#Data],9,FALSE)</f>
        <v/>
      </c>
    </row>
    <row r="2891">
      <c r="A2891" s="4" t="n">
        <v>13240</v>
      </c>
      <c r="B2891" s="5" t="n">
        <v>44536</v>
      </c>
      <c r="C2891" s="13" t="inlineStr">
        <is>
          <t>VTA</t>
        </is>
      </c>
      <c r="D2891" s="13" t="n">
        <v>43</v>
      </c>
      <c r="E2891" s="10">
        <f>IF(D2891&gt;0,VLOOKUP(OPERAC[[#This Row],[COD CART]],[1]!MatrizCortoLargoCyl[#All],3,0),"")</f>
        <v/>
      </c>
      <c r="F2891" s="13" t="inlineStr">
        <is>
          <t>NNDM/CYL-PUT/2,50/19-01-24</t>
        </is>
      </c>
      <c r="G2891" s="6" t="n">
        <v>500</v>
      </c>
      <c r="H2891" s="6">
        <f>-1.08*OPERAC[[#This Row],[cantidad]]</f>
        <v/>
      </c>
      <c r="I2891" s="7">
        <f>-H2891/G2891</f>
        <v/>
      </c>
      <c r="J2891" s="11" t="n"/>
      <c r="K2891" s="6" t="n"/>
      <c r="L2891" s="6" t="n"/>
      <c r="M2891" s="7">
        <f>IF(N2891=0,+L2891+H2891,0)</f>
        <v/>
      </c>
      <c r="N2891" s="7">
        <f>IF((+G2891-K2891)=0,0,+G2891-K2891)</f>
        <v/>
      </c>
      <c r="O2891" s="7">
        <f>IF(N2891=0,0,(L2891+H2891)/-N2891)</f>
        <v/>
      </c>
      <c r="P2891" s="7">
        <f>VLOOKUP(OPERAC[[#This Row],[especie]],[1]!ESPECIES[#All],6,0)</f>
        <v/>
      </c>
      <c r="Q2891" s="7">
        <f>IF(N2891&lt;&gt;0,P2891*N2891,0)</f>
        <v/>
      </c>
      <c r="R2891" s="8">
        <f>IF(Q2891&lt;&gt;0,Q2891+H2891+L2891,0)</f>
        <v/>
      </c>
      <c r="S2891" s="9">
        <f>VLOOKUP(OPERAC[[#This Row],[especie]],[1]!ESPECIES[#Data],9,FALSE)</f>
        <v/>
      </c>
    </row>
    <row r="2892">
      <c r="A2892" s="4" t="n">
        <v>18663</v>
      </c>
      <c r="B2892" s="5" t="n">
        <v>44057</v>
      </c>
      <c r="C2892" s="13" t="inlineStr">
        <is>
          <t>VTA</t>
        </is>
      </c>
      <c r="D2892" s="13" t="n">
        <v>41</v>
      </c>
      <c r="E2892" s="10">
        <f>IF(D2892&gt;0,VLOOKUP(OPERAC[[#This Row],[COD CART]],[1]!MatrizCortoLargoCyl[#All],3,0),"")</f>
        <v/>
      </c>
      <c r="F2892" s="13" t="inlineStr">
        <is>
          <t>MPW</t>
        </is>
      </c>
      <c r="G2892" s="6" t="n">
        <v>29</v>
      </c>
      <c r="H2892" s="6" t="n">
        <v>-541</v>
      </c>
      <c r="I2892" s="7">
        <f>-H2892/G2892</f>
        <v/>
      </c>
      <c r="J2892" s="5" t="n"/>
      <c r="K2892" s="6" t="n"/>
      <c r="L2892" s="6" t="n"/>
      <c r="M2892" s="7">
        <f>IF(N2892=0,+L2892+H2892,0)</f>
        <v/>
      </c>
      <c r="N2892" s="7">
        <f>IF((+G2892-K2892)=0,0,+G2892-K2892)</f>
        <v/>
      </c>
      <c r="O2892" s="7">
        <f>IF(N2892=0,0,(L2892+H2892)/-N2892)</f>
        <v/>
      </c>
      <c r="P2892" s="7">
        <f>VLOOKUP(OPERAC[[#This Row],[especie]],[1]!ESPECIES[#All],6,0)</f>
        <v/>
      </c>
      <c r="Q2892" s="7">
        <f>IF(N2892&lt;&gt;0,P2892*N2892,0)</f>
        <v/>
      </c>
      <c r="R2892" s="8">
        <f>IF(Q2892&lt;&gt;0,Q2892+H2892+L2892,0)</f>
        <v/>
      </c>
      <c r="S2892" s="9">
        <f>VLOOKUP(OPERAC[[#This Row],[especie]],[1]!ESPECIES[#Data],9,FALSE)</f>
        <v/>
      </c>
    </row>
    <row r="2893">
      <c r="A2893" s="4" t="n">
        <v>12611</v>
      </c>
      <c r="B2893" s="5" t="n">
        <v>44669</v>
      </c>
      <c r="C2893" s="13" t="inlineStr">
        <is>
          <t>VTA</t>
        </is>
      </c>
      <c r="D2893" s="13" t="n">
        <v>42</v>
      </c>
      <c r="E2893" s="10">
        <f>IF(D2893&gt;0,VLOOKUP(OPERAC[[#This Row],[COD CART]],[1]!MatrizCortoLargoCyl[#All],3,0),"")</f>
        <v/>
      </c>
      <c r="F2893" s="13" t="inlineStr">
        <is>
          <t>HYDR</t>
        </is>
      </c>
      <c r="G2893" s="6" t="n">
        <v>30</v>
      </c>
      <c r="H2893" s="6" t="n">
        <v>-542.472</v>
      </c>
      <c r="I2893" s="7">
        <f>-H2893/G2893</f>
        <v/>
      </c>
      <c r="J2893" s="11" t="n">
        <v>44693</v>
      </c>
      <c r="K2893" s="6">
        <f>+OPERAC[[#This Row],[cantidad]]</f>
        <v/>
      </c>
      <c r="L2893" s="6">
        <f>+OPERAC[[#This Row],[cantidad venta]]*12.027</f>
        <v/>
      </c>
      <c r="M2893" s="7">
        <f>IF(N2893=0,+L2893+H2893,0)</f>
        <v/>
      </c>
      <c r="N2893" s="7">
        <f>IF((+G2893-K2893)=0,0,+G2893-K2893)</f>
        <v/>
      </c>
      <c r="O2893" s="7">
        <f>IF(N2893=0,0,(L2893+H2893)/-N2893)</f>
        <v/>
      </c>
      <c r="P2893" s="7">
        <f>VLOOKUP(OPERAC[[#This Row],[especie]],[1]!ESPECIES[#All],6,0)</f>
        <v/>
      </c>
      <c r="Q2893" s="7">
        <f>IF(N2893&lt;&gt;0,P2893*N2893,0)</f>
        <v/>
      </c>
      <c r="R2893" s="8">
        <f>IF(Q2893&lt;&gt;0,Q2893+H2893+L2893,0)</f>
        <v/>
      </c>
      <c r="S2893" s="9">
        <f>VLOOKUP(OPERAC[[#This Row],[especie]],[1]!ESPECIES[#Data],9,FALSE)</f>
        <v/>
      </c>
    </row>
    <row r="2894">
      <c r="A2894" s="4" t="n">
        <v>2194</v>
      </c>
      <c r="B2894" s="5" t="n">
        <v>44312</v>
      </c>
      <c r="C2894" s="13" t="inlineStr">
        <is>
          <t>VTA</t>
        </is>
      </c>
      <c r="D2894" s="13" t="n">
        <v>41</v>
      </c>
      <c r="E2894" s="10">
        <f>IF(D2894&gt;0,VLOOKUP(OPERAC[[#This Row],[COD CART]],[1]!MatrizCortoLargoCyl[#All],3,0),"")</f>
        <v/>
      </c>
      <c r="F2894" s="13" t="inlineStr">
        <is>
          <t>KO</t>
        </is>
      </c>
      <c r="G2894" s="6" t="n">
        <v>10</v>
      </c>
      <c r="H2894" s="6" t="n">
        <v>-543.6064</v>
      </c>
      <c r="I2894" s="7">
        <f>-H2894/G2894</f>
        <v/>
      </c>
      <c r="J2894" s="11" t="n"/>
      <c r="K2894" s="6" t="n"/>
      <c r="L2894" s="6" t="n"/>
      <c r="M2894" s="7">
        <f>IF(N2894=0,+L2894+H2894,0)</f>
        <v/>
      </c>
      <c r="N2894" s="7">
        <f>IF((+G2894-K2894)=0,0,+G2894-K2894)</f>
        <v/>
      </c>
      <c r="O2894" s="7">
        <f>IF(N2894=0,0,(L2894+H2894)/-N2894)</f>
        <v/>
      </c>
      <c r="P2894" s="7">
        <f>VLOOKUP(OPERAC[[#This Row],[especie]],[1]!ESPECIES[#All],6,0)</f>
        <v/>
      </c>
      <c r="Q2894" s="7">
        <f>IF(N2894&lt;&gt;0,P2894*N2894,0)</f>
        <v/>
      </c>
      <c r="R2894" s="8">
        <f>IF(Q2894&lt;&gt;0,Q2894+H2894+L2894,0)</f>
        <v/>
      </c>
      <c r="S2894" s="9">
        <f>VLOOKUP(OPERAC[[#This Row],[especie]],[1]!ESPECIES[#Data],9,FALSE)</f>
        <v/>
      </c>
    </row>
    <row r="2895">
      <c r="A2895" s="4" t="n">
        <v>2257</v>
      </c>
      <c r="B2895" s="5" t="n">
        <v>44648</v>
      </c>
      <c r="C2895" s="13" t="inlineStr">
        <is>
          <t>VTA</t>
        </is>
      </c>
      <c r="D2895" s="13" t="n">
        <v>42</v>
      </c>
      <c r="E2895" s="10">
        <f>IF(D2895&gt;0,VLOOKUP(OPERAC[[#This Row],[COD CART]],[1]!MatrizCortoLargoCyl[#All],3,0),"")</f>
        <v/>
      </c>
      <c r="F2895" s="13" t="inlineStr">
        <is>
          <t>SMH</t>
        </is>
      </c>
      <c r="G2895" s="6" t="n">
        <v>2</v>
      </c>
      <c r="H2895" s="6" t="n">
        <v>-546.77392</v>
      </c>
      <c r="I2895" s="7">
        <f>-H2895/G2895</f>
        <v/>
      </c>
      <c r="J2895" s="11" t="n">
        <v>44663</v>
      </c>
      <c r="K2895" s="6">
        <f>+OPERAC[[#This Row],[cantidad]]</f>
        <v/>
      </c>
      <c r="L2895" s="6">
        <f>+OPERAC[[#This Row],[cantidad venta]]*238.066</f>
        <v/>
      </c>
      <c r="M2895" s="7">
        <f>IF(N2895=0,+L2895+H2895,0)</f>
        <v/>
      </c>
      <c r="N2895" s="7">
        <f>IF((+G2895-K2895)=0,0,+G2895-K2895)</f>
        <v/>
      </c>
      <c r="O2895" s="7">
        <f>IF(N2895=0,0,(L2895+H2895)/-N2895)</f>
        <v/>
      </c>
      <c r="P2895" s="7">
        <f>VLOOKUP(OPERAC[[#This Row],[especie]],[1]!ESPECIES[#All],6,0)</f>
        <v/>
      </c>
      <c r="Q2895" s="7">
        <f>IF(N2895&lt;&gt;0,P2895*N2895,0)</f>
        <v/>
      </c>
      <c r="R2895" s="8">
        <f>IF(Q2895&lt;&gt;0,Q2895+H2895+L2895,0)</f>
        <v/>
      </c>
      <c r="S2895" s="9">
        <f>VLOOKUP(OPERAC[[#This Row],[especie]],[1]!ESPECIES[#Data],9,FALSE)</f>
        <v/>
      </c>
    </row>
    <row r="2896">
      <c r="A2896" s="4" t="n">
        <v>10079</v>
      </c>
      <c r="B2896" s="5" t="n">
        <v>44648</v>
      </c>
      <c r="C2896" s="13" t="inlineStr">
        <is>
          <t>VTA</t>
        </is>
      </c>
      <c r="D2896" s="13" t="n">
        <v>42</v>
      </c>
      <c r="E2896" s="10">
        <f>IF(D2896&gt;0,VLOOKUP(OPERAC[[#This Row],[COD CART]],[1]!MatrizCortoLargoCyl[#All],3,0),"")</f>
        <v/>
      </c>
      <c r="F2896" s="13" t="inlineStr">
        <is>
          <t>SMH</t>
        </is>
      </c>
      <c r="G2896" s="6" t="n">
        <v>2</v>
      </c>
      <c r="H2896" s="6" t="n">
        <v>-546.77392</v>
      </c>
      <c r="I2896" s="7">
        <f>-H2896/G2896</f>
        <v/>
      </c>
      <c r="J2896" s="11" t="n">
        <v>44663</v>
      </c>
      <c r="K2896" s="6">
        <f>+OPERAC[[#This Row],[cantidad]]</f>
        <v/>
      </c>
      <c r="L2896" s="6">
        <f>+OPERAC[[#This Row],[cantidad venta]]*238.066</f>
        <v/>
      </c>
      <c r="M2896" s="7">
        <f>IF(N2896=0,+L2896+H2896,0)</f>
        <v/>
      </c>
      <c r="N2896" s="7">
        <f>IF((+G2896-K2896)=0,0,+G2896-K2896)</f>
        <v/>
      </c>
      <c r="O2896" s="7">
        <f>IF(N2896=0,0,(L2896+H2896)/-N2896)</f>
        <v/>
      </c>
      <c r="P2896" s="7">
        <f>VLOOKUP(OPERAC[[#This Row],[especie]],[1]!ESPECIES[#All],6,0)</f>
        <v/>
      </c>
      <c r="Q2896" s="7">
        <f>IF(N2896&lt;&gt;0,P2896*N2896,0)</f>
        <v/>
      </c>
      <c r="R2896" s="8">
        <f>IF(Q2896&lt;&gt;0,Q2896+H2896+L2896,0)</f>
        <v/>
      </c>
      <c r="S2896" s="9">
        <f>VLOOKUP(OPERAC[[#This Row],[especie]],[1]!ESPECIES[#Data],9,FALSE)</f>
        <v/>
      </c>
    </row>
    <row r="2897">
      <c r="A2897" s="4" t="n">
        <v>16780</v>
      </c>
      <c r="B2897" s="5" t="n">
        <v>44648</v>
      </c>
      <c r="C2897" s="13" t="inlineStr">
        <is>
          <t>VTA</t>
        </is>
      </c>
      <c r="D2897" s="13" t="n">
        <v>42</v>
      </c>
      <c r="E2897" s="10">
        <f>IF(D2897&gt;0,VLOOKUP(OPERAC[[#This Row],[COD CART]],[1]!MatrizCortoLargoCyl[#All],3,0),"")</f>
        <v/>
      </c>
      <c r="F2897" s="13" t="inlineStr">
        <is>
          <t>SMH</t>
        </is>
      </c>
      <c r="G2897" s="6" t="n">
        <v>2</v>
      </c>
      <c r="H2897" s="6" t="n">
        <v>-546.77392</v>
      </c>
      <c r="I2897" s="7">
        <f>-H2897/G2897</f>
        <v/>
      </c>
      <c r="J2897" s="11" t="n">
        <v>44663</v>
      </c>
      <c r="K2897" s="6">
        <f>+OPERAC[[#This Row],[cantidad]]</f>
        <v/>
      </c>
      <c r="L2897" s="6">
        <f>+OPERAC[[#This Row],[cantidad venta]]*238.066</f>
        <v/>
      </c>
      <c r="M2897" s="7">
        <f>IF(N2897=0,+L2897+H2897,0)</f>
        <v/>
      </c>
      <c r="N2897" s="7">
        <f>IF((+G2897-K2897)=0,0,+G2897-K2897)</f>
        <v/>
      </c>
      <c r="O2897" s="7">
        <f>IF(N2897=0,0,(L2897+H2897)/-N2897)</f>
        <v/>
      </c>
      <c r="P2897" s="7">
        <f>VLOOKUP(OPERAC[[#This Row],[especie]],[1]!ESPECIES[#All],6,0)</f>
        <v/>
      </c>
      <c r="Q2897" s="7">
        <f>IF(N2897&lt;&gt;0,P2897*N2897,0)</f>
        <v/>
      </c>
      <c r="R2897" s="8">
        <f>IF(Q2897&lt;&gt;0,Q2897+H2897+L2897,0)</f>
        <v/>
      </c>
      <c r="S2897" s="9">
        <f>VLOOKUP(OPERAC[[#This Row],[especie]],[1]!ESPECIES[#Data],9,FALSE)</f>
        <v/>
      </c>
    </row>
    <row r="2898">
      <c r="A2898" s="4" t="n">
        <v>19878</v>
      </c>
      <c r="B2898" s="5" t="n">
        <v>44650</v>
      </c>
      <c r="C2898" s="13" t="inlineStr">
        <is>
          <t>VTA</t>
        </is>
      </c>
      <c r="D2898" s="13" t="n">
        <v>42</v>
      </c>
      <c r="E2898" s="10">
        <f>IF(D2898&gt;0,VLOOKUP(OPERAC[[#This Row],[COD CART]],[1]!MatrizCortoLargoCyl[#All],3,0),"")</f>
        <v/>
      </c>
      <c r="F2898" s="13" t="inlineStr">
        <is>
          <t>BBAR</t>
        </is>
      </c>
      <c r="G2898" s="6" t="n">
        <v>150</v>
      </c>
      <c r="H2898" s="6" t="n">
        <v>-547.008</v>
      </c>
      <c r="I2898" s="7">
        <f>-H2898/G2898</f>
        <v/>
      </c>
      <c r="J2898" s="11" t="n">
        <v>44693</v>
      </c>
      <c r="K2898" s="6" t="n">
        <v>150</v>
      </c>
      <c r="L2898" s="6" t="n">
        <v>419.418</v>
      </c>
      <c r="M2898" s="7">
        <f>IF(N2898=0,+L2898+H2898,0)</f>
        <v/>
      </c>
      <c r="N2898" s="7">
        <f>IF((+G2898-K2898)=0,0,+G2898-K2898)</f>
        <v/>
      </c>
      <c r="O2898" s="7">
        <f>IF(N2898=0,0,(L2898+H2898)/-N2898)</f>
        <v/>
      </c>
      <c r="P2898" s="7">
        <f>VLOOKUP(OPERAC[[#This Row],[especie]],[1]!ESPECIES[#All],6,0)</f>
        <v/>
      </c>
      <c r="Q2898" s="7">
        <f>IF(N2898&lt;&gt;0,P2898*N2898,0)</f>
        <v/>
      </c>
      <c r="R2898" s="8">
        <f>IF(Q2898&lt;&gt;0,Q2898+H2898+L2898,0)</f>
        <v/>
      </c>
      <c r="S2898" s="9">
        <f>VLOOKUP(OPERAC[[#This Row],[especie]],[1]!ESPECIES[#Data],9,FALSE)</f>
        <v/>
      </c>
    </row>
    <row r="2899">
      <c r="A2899" s="4" t="n">
        <v>2217</v>
      </c>
      <c r="B2899" s="5" t="n">
        <v>44636</v>
      </c>
      <c r="C2899" s="13" t="inlineStr">
        <is>
          <t>VTA</t>
        </is>
      </c>
      <c r="D2899" s="13" t="n">
        <v>43</v>
      </c>
      <c r="E2899" s="10">
        <f>IF(D2899&gt;0,VLOOKUP(OPERAC[[#This Row],[COD CART]],[1]!MatrizCortoLargoCyl[#All],3,0),"")</f>
        <v/>
      </c>
      <c r="F2899" s="13" t="inlineStr">
        <is>
          <t>GMBL/CYL-PUT/0,50/19-01-24</t>
        </is>
      </c>
      <c r="G2899" s="6" t="n">
        <v>2000</v>
      </c>
      <c r="H2899" s="6">
        <f>-1625.09608+878.77+198.4</f>
        <v/>
      </c>
      <c r="I2899" s="7">
        <f>-H2899/G2899</f>
        <v/>
      </c>
      <c r="J2899" s="11" t="n"/>
      <c r="K2899" s="6" t="n"/>
      <c r="L2899" s="6" t="n"/>
      <c r="M2899" s="7">
        <f>IF(N2899=0,+L2899+H2899,0)</f>
        <v/>
      </c>
      <c r="N2899" s="7">
        <f>IF((+G2899-K2899)=0,0,+G2899-K2899)</f>
        <v/>
      </c>
      <c r="O2899" s="7">
        <f>IF(N2899=0,0,(L2899+H2899)/-N2899)</f>
        <v/>
      </c>
      <c r="P2899" s="7">
        <f>VLOOKUP(OPERAC[[#This Row],[especie]],[1]!ESPECIES[#All],6,0)</f>
        <v/>
      </c>
      <c r="Q2899" s="7">
        <f>IF(N2899&lt;&gt;0,P2899*N2899,0)</f>
        <v/>
      </c>
      <c r="R2899" s="8">
        <f>IF(Q2899&lt;&gt;0,Q2899+H2899+L2899,0)</f>
        <v/>
      </c>
      <c r="S2899" s="9">
        <f>VLOOKUP(OPERAC[[#This Row],[especie]],[1]!ESPECIES[#Data],9,FALSE)</f>
        <v/>
      </c>
    </row>
    <row r="2900">
      <c r="A2900" s="4" t="n">
        <v>2289</v>
      </c>
      <c r="B2900" s="5" t="n">
        <v>44636</v>
      </c>
      <c r="C2900" s="13" t="inlineStr">
        <is>
          <t>VTA</t>
        </is>
      </c>
      <c r="D2900" s="13" t="n">
        <v>43</v>
      </c>
      <c r="E2900" s="10">
        <f>IF(D2900&gt;0,VLOOKUP(OPERAC[[#This Row],[COD CART]],[1]!MatrizCortoLargoCyl[#All],3,0),"")</f>
        <v/>
      </c>
      <c r="F2900" s="13" t="inlineStr">
        <is>
          <t>GMBL/CYL-PUT/0,50/19-01-24</t>
        </is>
      </c>
      <c r="G2900" s="6" t="n">
        <v>2000</v>
      </c>
      <c r="H2900" s="6">
        <f>-1625.09608+878.77+198.4</f>
        <v/>
      </c>
      <c r="I2900" s="7">
        <f>-H2900/G2900</f>
        <v/>
      </c>
      <c r="J2900" s="11" t="n">
        <v>44712</v>
      </c>
      <c r="K2900" s="6" t="n">
        <v>2000</v>
      </c>
      <c r="L2900" s="6" t="n">
        <v>-187.94</v>
      </c>
      <c r="M2900" s="7">
        <f>IF(N2900=0,+L2900+H2900,0)</f>
        <v/>
      </c>
      <c r="N2900" s="7">
        <f>IF((+G2900-K2900)=0,0,+G2900-K2900)</f>
        <v/>
      </c>
      <c r="O2900" s="7">
        <f>IF(N2900=0,0,(L2900+H2900)/-N2900)</f>
        <v/>
      </c>
      <c r="P2900" s="7">
        <f>VLOOKUP(OPERAC[[#This Row],[especie]],[1]!ESPECIES[#All],6,0)</f>
        <v/>
      </c>
      <c r="Q2900" s="7">
        <f>IF(N2900&lt;&gt;0,P2900*N2900,0)</f>
        <v/>
      </c>
      <c r="R2900" s="8">
        <f>IF(Q2900&lt;&gt;0,Q2900+H2900+L2900,0)</f>
        <v/>
      </c>
      <c r="S2900" s="9">
        <f>VLOOKUP(OPERAC[[#This Row],[especie]],[1]!ESPECIES[#Data],9,FALSE)</f>
        <v/>
      </c>
    </row>
    <row r="2901">
      <c r="A2901" s="4" t="n">
        <v>13253</v>
      </c>
      <c r="B2901" s="5" t="n">
        <v>44617</v>
      </c>
      <c r="C2901" s="13" t="inlineStr">
        <is>
          <t>VTA</t>
        </is>
      </c>
      <c r="D2901" s="13" t="n">
        <v>41</v>
      </c>
      <c r="E2901" s="10">
        <f>IF(D2901&gt;0,VLOOKUP(OPERAC[[#This Row],[COD CART]],[1]!MatrizCortoLargoCyl[#All],3,0),"")</f>
        <v/>
      </c>
      <c r="F2901" s="13" t="inlineStr">
        <is>
          <t>FL</t>
        </is>
      </c>
      <c r="G2901" s="6" t="n">
        <v>20</v>
      </c>
      <c r="H2901" s="6" t="n">
        <v>-548.65</v>
      </c>
      <c r="I2901" s="7">
        <f>-H2901/G2901</f>
        <v/>
      </c>
      <c r="J2901" s="11" t="n"/>
      <c r="K2901" s="6" t="n"/>
      <c r="L2901" s="6" t="n"/>
      <c r="M2901" s="7">
        <f>IF(N2901=0,+L2901+H2901,0)</f>
        <v/>
      </c>
      <c r="N2901" s="7">
        <f>IF((+G2901-K2901)=0,0,+G2901-K2901)</f>
        <v/>
      </c>
      <c r="O2901" s="7">
        <f>IF(N2901=0,0,(L2901+H2901)/-N2901)</f>
        <v/>
      </c>
      <c r="P2901" s="7">
        <f>VLOOKUP(OPERAC[[#This Row],[especie]],[1]!ESPECIES[#All],6,0)</f>
        <v/>
      </c>
      <c r="Q2901" s="7">
        <f>IF(N2901&lt;&gt;0,P2901*N2901,0)</f>
        <v/>
      </c>
      <c r="R2901" s="8">
        <f>IF(Q2901&lt;&gt;0,Q2901+H2901+L2901,0)</f>
        <v/>
      </c>
      <c r="S2901" s="9">
        <f>VLOOKUP(OPERAC[[#This Row],[especie]],[1]!ESPECIES[#Data],9,FALSE)</f>
        <v/>
      </c>
    </row>
    <row r="2902">
      <c r="A2902" s="4" t="n">
        <v>19878</v>
      </c>
      <c r="B2902" s="5" t="n">
        <v>44459</v>
      </c>
      <c r="C2902" s="13" t="inlineStr">
        <is>
          <t>VTA</t>
        </is>
      </c>
      <c r="D2902" s="13" t="n">
        <v>40</v>
      </c>
      <c r="E2902" s="10">
        <f>IF(D2902&gt;0,VLOOKUP(OPERAC[[#This Row],[COD CART]],[1]!MatrizCortoLargoCyl[#All],3,0),"")</f>
        <v/>
      </c>
      <c r="F2902" s="13" t="inlineStr">
        <is>
          <t>EDU</t>
        </is>
      </c>
      <c r="G2902" s="6" t="n">
        <v>600</v>
      </c>
      <c r="H2902" s="6">
        <f>-573.57+0.04*OPERAC[[#This Row],[cantidad]]</f>
        <v/>
      </c>
      <c r="I2902" s="7">
        <f>-H2902/G2902</f>
        <v/>
      </c>
      <c r="J2902" s="11" t="n">
        <v>44622</v>
      </c>
      <c r="K2902" s="6" t="n">
        <v>600</v>
      </c>
      <c r="L2902" s="6" t="n">
        <v>821.145</v>
      </c>
      <c r="M2902" s="7">
        <f>IF(N2902=0,+L2902+H2902,0)</f>
        <v/>
      </c>
      <c r="N2902" s="7">
        <f>IF((+G2902-K2902)=0,0,+G2902-K2902)</f>
        <v/>
      </c>
      <c r="O2902" s="7">
        <f>IF(N2902=0,0,(L2902+H2902)/-N2902)</f>
        <v/>
      </c>
      <c r="P2902" s="7">
        <f>VLOOKUP(OPERAC[[#This Row],[especie]],[1]!ESPECIES[#All],6,0)</f>
        <v/>
      </c>
      <c r="Q2902" s="7">
        <f>IF(N2902&lt;&gt;0,P2902*N2902,0)</f>
        <v/>
      </c>
      <c r="R2902" s="8">
        <f>IF(Q2902&lt;&gt;0,Q2902+H2902+L2902,0)</f>
        <v/>
      </c>
      <c r="S2902" s="9">
        <f>VLOOKUP(OPERAC[[#This Row],[especie]],[1]!ESPECIES[#Data],9,FALSE)</f>
        <v/>
      </c>
    </row>
    <row r="2903">
      <c r="A2903" s="4" t="n">
        <v>20317</v>
      </c>
      <c r="B2903" s="5" t="n">
        <v>44722</v>
      </c>
      <c r="C2903" s="13" t="inlineStr">
        <is>
          <t>VTA</t>
        </is>
      </c>
      <c r="D2903" s="13" t="n">
        <v>40</v>
      </c>
      <c r="E2903" s="10">
        <f>IF(D2903&gt;0,VLOOKUP(OPERAC[[#This Row],[COD CART]],[1]!MatrizCortoLargoCyl[#All],3,0),"")</f>
        <v/>
      </c>
      <c r="F2903" s="13" t="inlineStr">
        <is>
          <t>BABA</t>
        </is>
      </c>
      <c r="G2903" s="6" t="n">
        <v>5</v>
      </c>
      <c r="H2903" s="6" t="n">
        <v>-549.72982025</v>
      </c>
      <c r="I2903" s="7">
        <f>-H2903/G2903</f>
        <v/>
      </c>
      <c r="J2903" s="5" t="n"/>
      <c r="K2903" s="6" t="n"/>
      <c r="L2903" s="6" t="n"/>
      <c r="M2903" s="7">
        <f>IF(N2903=0,+L2903+H2903,0)</f>
        <v/>
      </c>
      <c r="N2903" s="7">
        <f>IF((+G2903-K2903)=0,0,+G2903-K2903)</f>
        <v/>
      </c>
      <c r="O2903" s="7">
        <f>IF(N2903=0,0,(L2903+H2903)/-N2903)</f>
        <v/>
      </c>
      <c r="P2903" s="7">
        <f>VLOOKUP(OPERAC[[#This Row],[especie]],[1]!ESPECIES[#All],6,0)</f>
        <v/>
      </c>
      <c r="Q2903" s="7">
        <f>IF(N2903&lt;&gt;0,P2903*N2903,0)</f>
        <v/>
      </c>
      <c r="R2903" s="8">
        <f>IF(Q2903&lt;&gt;0,Q2903+H2903+L2903,0)</f>
        <v/>
      </c>
      <c r="S2903" s="9">
        <f>VLOOKUP(OPERAC[[#This Row],[especie]],[1]!ESPECIES[#Data],9,FALSE)</f>
        <v/>
      </c>
    </row>
    <row r="2904">
      <c r="A2904" s="4" t="n">
        <v>18661</v>
      </c>
      <c r="B2904" s="5" t="n">
        <v>44629</v>
      </c>
      <c r="C2904" s="13" t="inlineStr">
        <is>
          <t>VTA</t>
        </is>
      </c>
      <c r="D2904" s="13" t="n">
        <v>41</v>
      </c>
      <c r="E2904" s="10">
        <f>IF(D2904&gt;0,VLOOKUP(OPERAC[[#This Row],[COD CART]],[1]!MatrizCortoLargoCyl[#All],3,0),"")</f>
        <v/>
      </c>
      <c r="F2904" s="13" t="inlineStr">
        <is>
          <t>TX</t>
        </is>
      </c>
      <c r="G2904" s="6" t="n">
        <v>14</v>
      </c>
      <c r="H2904" s="6" t="n">
        <v>-549.886</v>
      </c>
      <c r="I2904" s="7">
        <f>-H2904/G2904</f>
        <v/>
      </c>
      <c r="J2904" s="11" t="n"/>
      <c r="K2904" s="6" t="n"/>
      <c r="L2904" s="6" t="n"/>
      <c r="M2904" s="7">
        <f>IF(N2904=0,+L2904+H2904,0)</f>
        <v/>
      </c>
      <c r="N2904" s="7">
        <f>IF((+G2904-K2904)=0,0,+G2904-K2904)</f>
        <v/>
      </c>
      <c r="O2904" s="7">
        <f>IF(N2904=0,0,(L2904+H2904)/-N2904)</f>
        <v/>
      </c>
      <c r="P2904" s="7">
        <f>VLOOKUP(OPERAC[[#This Row],[especie]],[1]!ESPECIES[#All],6,0)</f>
        <v/>
      </c>
      <c r="Q2904" s="7">
        <f>IF(N2904&lt;&gt;0,P2904*N2904,0)</f>
        <v/>
      </c>
      <c r="R2904" s="8">
        <f>IF(Q2904&lt;&gt;0,Q2904+H2904+L2904,0)</f>
        <v/>
      </c>
      <c r="S2904" s="9">
        <f>VLOOKUP(OPERAC[[#This Row],[especie]],[1]!ESPECIES[#Data],9,FALSE)</f>
        <v/>
      </c>
    </row>
    <row r="2905">
      <c r="A2905" s="4" t="n">
        <v>2253</v>
      </c>
      <c r="B2905" s="5" t="n">
        <v>44511</v>
      </c>
      <c r="C2905" s="13" t="inlineStr">
        <is>
          <t>VTA</t>
        </is>
      </c>
      <c r="D2905" s="13" t="n">
        <v>31</v>
      </c>
      <c r="E2905" s="10">
        <f>IF(D2905&gt;0,VLOOKUP(OPERAC[[#This Row],[COD CART]],[1]!MatrizCortoLargoCyl[#All],3,0),"")</f>
        <v/>
      </c>
      <c r="F2905" s="13" t="inlineStr">
        <is>
          <t>IPIX</t>
        </is>
      </c>
      <c r="G2905" s="6" t="n">
        <v>5000</v>
      </c>
      <c r="H2905" s="6" t="n">
        <v>-549.95</v>
      </c>
      <c r="I2905" s="7">
        <f>-H2905/G2905</f>
        <v/>
      </c>
      <c r="J2905" s="11" t="n"/>
      <c r="K2905" s="6" t="n"/>
      <c r="L2905" s="6" t="n"/>
      <c r="M2905" s="7">
        <f>IF(N2905=0,+L2905+H2905,0)</f>
        <v/>
      </c>
      <c r="N2905" s="7">
        <f>IF((+G2905-K2905)=0,0,+G2905-K2905)</f>
        <v/>
      </c>
      <c r="O2905" s="7">
        <f>IF(N2905=0,0,(L2905+H2905)/-N2905)</f>
        <v/>
      </c>
      <c r="P2905" s="7">
        <f>VLOOKUP(OPERAC[[#This Row],[especie]],[1]!ESPECIES[#All],6,0)</f>
        <v/>
      </c>
      <c r="Q2905" s="7">
        <f>IF(N2905&lt;&gt;0,P2905*N2905,0)</f>
        <v/>
      </c>
      <c r="R2905" s="8">
        <f>IF(Q2905&lt;&gt;0,Q2905+H2905+L2905,0)</f>
        <v/>
      </c>
      <c r="S2905" s="9">
        <f>VLOOKUP(OPERAC[[#This Row],[especie]],[1]!ESPECIES[#Data],9,FALSE)</f>
        <v/>
      </c>
    </row>
    <row r="2906">
      <c r="A2906" s="4" t="n">
        <v>2257</v>
      </c>
      <c r="B2906" s="5" t="n">
        <v>44511</v>
      </c>
      <c r="C2906" s="13" t="inlineStr">
        <is>
          <t>VTA</t>
        </is>
      </c>
      <c r="D2906" s="13" t="n">
        <v>31</v>
      </c>
      <c r="E2906" s="10">
        <f>IF(D2906&gt;0,VLOOKUP(OPERAC[[#This Row],[COD CART]],[1]!MatrizCortoLargoCyl[#All],3,0),"")</f>
        <v/>
      </c>
      <c r="F2906" s="13" t="inlineStr">
        <is>
          <t>IPIX</t>
        </is>
      </c>
      <c r="G2906" s="6" t="n">
        <v>5000</v>
      </c>
      <c r="H2906" s="6" t="n">
        <v>-549.95</v>
      </c>
      <c r="I2906" s="7">
        <f>-H2906/G2906</f>
        <v/>
      </c>
      <c r="J2906" s="11" t="n"/>
      <c r="K2906" s="6" t="n"/>
      <c r="L2906" s="6" t="n"/>
      <c r="M2906" s="7">
        <f>IF(N2906=0,+L2906+H2906,0)</f>
        <v/>
      </c>
      <c r="N2906" s="7">
        <f>IF((+G2906-K2906)=0,0,+G2906-K2906)</f>
        <v/>
      </c>
      <c r="O2906" s="7">
        <f>IF(N2906=0,0,(L2906+H2906)/-N2906)</f>
        <v/>
      </c>
      <c r="P2906" s="7">
        <f>VLOOKUP(OPERAC[[#This Row],[especie]],[1]!ESPECIES[#All],6,0)</f>
        <v/>
      </c>
      <c r="Q2906" s="7">
        <f>IF(N2906&lt;&gt;0,P2906*N2906,0)</f>
        <v/>
      </c>
      <c r="R2906" s="8">
        <f>IF(Q2906&lt;&gt;0,Q2906+H2906+L2906,0)</f>
        <v/>
      </c>
      <c r="S2906" s="9">
        <f>VLOOKUP(OPERAC[[#This Row],[especie]],[1]!ESPECIES[#Data],9,FALSE)</f>
        <v/>
      </c>
    </row>
    <row r="2907">
      <c r="A2907" s="4" t="n">
        <v>12652</v>
      </c>
      <c r="B2907" s="5" t="n">
        <v>44511</v>
      </c>
      <c r="C2907" s="13" t="inlineStr">
        <is>
          <t>VTA</t>
        </is>
      </c>
      <c r="D2907" s="13" t="n">
        <v>31</v>
      </c>
      <c r="E2907" s="10">
        <f>IF(D2907&gt;0,VLOOKUP(OPERAC[[#This Row],[COD CART]],[1]!MatrizCortoLargoCyl[#All],3,0),"")</f>
        <v/>
      </c>
      <c r="F2907" s="13" t="inlineStr">
        <is>
          <t>IPIX</t>
        </is>
      </c>
      <c r="G2907" s="6" t="n">
        <v>5000</v>
      </c>
      <c r="H2907" s="6" t="n">
        <v>-549.95</v>
      </c>
      <c r="I2907" s="7">
        <f>-H2907/G2907</f>
        <v/>
      </c>
      <c r="J2907" s="11" t="n"/>
      <c r="K2907" s="6" t="n"/>
      <c r="L2907" s="6" t="n"/>
      <c r="M2907" s="7">
        <f>IF(N2907=0,+L2907+H2907,0)</f>
        <v/>
      </c>
      <c r="N2907" s="7">
        <f>IF((+G2907-K2907)=0,0,+G2907-K2907)</f>
        <v/>
      </c>
      <c r="O2907" s="7">
        <f>IF(N2907=0,0,(L2907+H2907)/-N2907)</f>
        <v/>
      </c>
      <c r="P2907" s="7">
        <f>VLOOKUP(OPERAC[[#This Row],[especie]],[1]!ESPECIES[#All],6,0)</f>
        <v/>
      </c>
      <c r="Q2907" s="7">
        <f>IF(N2907&lt;&gt;0,P2907*N2907,0)</f>
        <v/>
      </c>
      <c r="R2907" s="8">
        <f>IF(Q2907&lt;&gt;0,Q2907+H2907+L2907,0)</f>
        <v/>
      </c>
      <c r="S2907" s="9">
        <f>VLOOKUP(OPERAC[[#This Row],[especie]],[1]!ESPECIES[#Data],9,FALSE)</f>
        <v/>
      </c>
    </row>
    <row r="2908">
      <c r="A2908" s="4" t="n">
        <v>13269</v>
      </c>
      <c r="B2908" s="5" t="n">
        <v>44511</v>
      </c>
      <c r="C2908" s="13" t="inlineStr">
        <is>
          <t>VTA</t>
        </is>
      </c>
      <c r="D2908" s="13" t="n">
        <v>31</v>
      </c>
      <c r="E2908" s="10">
        <f>IF(D2908&gt;0,VLOOKUP(OPERAC[[#This Row],[COD CART]],[1]!MatrizCortoLargoCyl[#All],3,0),"")</f>
        <v/>
      </c>
      <c r="F2908" s="13" t="inlineStr">
        <is>
          <t>IPIX</t>
        </is>
      </c>
      <c r="G2908" s="6" t="n">
        <v>5000</v>
      </c>
      <c r="H2908" s="6" t="n">
        <v>-549.95</v>
      </c>
      <c r="I2908" s="7">
        <f>-H2908/G2908</f>
        <v/>
      </c>
      <c r="J2908" s="11" t="n"/>
      <c r="K2908" s="6" t="n"/>
      <c r="L2908" s="6" t="n"/>
      <c r="M2908" s="7">
        <f>IF(N2908=0,+L2908+H2908,0)</f>
        <v/>
      </c>
      <c r="N2908" s="7">
        <f>IF((+G2908-K2908)=0,0,+G2908-K2908)</f>
        <v/>
      </c>
      <c r="O2908" s="7">
        <f>IF(N2908=0,0,(L2908+H2908)/-N2908)</f>
        <v/>
      </c>
      <c r="P2908" s="7">
        <f>VLOOKUP(OPERAC[[#This Row],[especie]],[1]!ESPECIES[#All],6,0)</f>
        <v/>
      </c>
      <c r="Q2908" s="7">
        <f>IF(N2908&lt;&gt;0,P2908*N2908,0)</f>
        <v/>
      </c>
      <c r="R2908" s="8">
        <f>IF(Q2908&lt;&gt;0,Q2908+H2908+L2908,0)</f>
        <v/>
      </c>
      <c r="S2908" s="9">
        <f>VLOOKUP(OPERAC[[#This Row],[especie]],[1]!ESPECIES[#Data],9,FALSE)</f>
        <v/>
      </c>
    </row>
    <row r="2909">
      <c r="A2909" s="4" t="n">
        <v>15189</v>
      </c>
      <c r="B2909" s="5" t="n">
        <v>44511</v>
      </c>
      <c r="C2909" s="13" t="inlineStr">
        <is>
          <t>VTA</t>
        </is>
      </c>
      <c r="D2909" s="13" t="n">
        <v>31</v>
      </c>
      <c r="E2909" s="10">
        <f>IF(D2909&gt;0,VLOOKUP(OPERAC[[#This Row],[COD CART]],[1]!MatrizCortoLargoCyl[#All],3,0),"")</f>
        <v/>
      </c>
      <c r="F2909" s="13" t="inlineStr">
        <is>
          <t>IPIX</t>
        </is>
      </c>
      <c r="G2909" s="6" t="n">
        <v>5000</v>
      </c>
      <c r="H2909" s="6" t="n">
        <v>-549.95</v>
      </c>
      <c r="I2909" s="7">
        <f>-H2909/G2909</f>
        <v/>
      </c>
      <c r="J2909" s="11" t="n"/>
      <c r="K2909" s="6" t="n"/>
      <c r="L2909" s="6" t="n"/>
      <c r="M2909" s="7">
        <f>IF(N2909=0,+L2909+H2909,0)</f>
        <v/>
      </c>
      <c r="N2909" s="7">
        <f>IF((+G2909-K2909)=0,0,+G2909-K2909)</f>
        <v/>
      </c>
      <c r="O2909" s="7">
        <f>IF(N2909=0,0,(L2909+H2909)/-N2909)</f>
        <v/>
      </c>
      <c r="P2909" s="7">
        <f>VLOOKUP(OPERAC[[#This Row],[especie]],[1]!ESPECIES[#All],6,0)</f>
        <v/>
      </c>
      <c r="Q2909" s="7">
        <f>IF(N2909&lt;&gt;0,P2909*N2909,0)</f>
        <v/>
      </c>
      <c r="R2909" s="8">
        <f>IF(Q2909&lt;&gt;0,Q2909+H2909+L2909,0)</f>
        <v/>
      </c>
      <c r="S2909" s="9">
        <f>VLOOKUP(OPERAC[[#This Row],[especie]],[1]!ESPECIES[#Data],9,FALSE)</f>
        <v/>
      </c>
    </row>
    <row r="2910">
      <c r="A2910" s="4" t="n">
        <v>16824</v>
      </c>
      <c r="B2910" s="5" t="n">
        <v>44511</v>
      </c>
      <c r="C2910" s="13" t="inlineStr">
        <is>
          <t>VTA</t>
        </is>
      </c>
      <c r="D2910" s="13" t="n">
        <v>31</v>
      </c>
      <c r="E2910" s="10">
        <f>IF(D2910&gt;0,VLOOKUP(OPERAC[[#This Row],[COD CART]],[1]!MatrizCortoLargoCyl[#All],3,0),"")</f>
        <v/>
      </c>
      <c r="F2910" s="13" t="inlineStr">
        <is>
          <t>IPIX</t>
        </is>
      </c>
      <c r="G2910" s="6" t="n">
        <v>5000</v>
      </c>
      <c r="H2910" s="6" t="n">
        <v>-549.95</v>
      </c>
      <c r="I2910" s="7">
        <f>-H2910/G2910</f>
        <v/>
      </c>
      <c r="J2910" s="11" t="n"/>
      <c r="K2910" s="6" t="n"/>
      <c r="L2910" s="6" t="n"/>
      <c r="M2910" s="7">
        <f>IF(N2910=0,+L2910+H2910,0)</f>
        <v/>
      </c>
      <c r="N2910" s="7">
        <f>IF((+G2910-K2910)=0,0,+G2910-K2910)</f>
        <v/>
      </c>
      <c r="O2910" s="7">
        <f>IF(N2910=0,0,(L2910+H2910)/-N2910)</f>
        <v/>
      </c>
      <c r="P2910" s="7">
        <f>VLOOKUP(OPERAC[[#This Row],[especie]],[1]!ESPECIES[#All],6,0)</f>
        <v/>
      </c>
      <c r="Q2910" s="7">
        <f>IF(N2910&lt;&gt;0,P2910*N2910,0)</f>
        <v/>
      </c>
      <c r="R2910" s="8">
        <f>IF(Q2910&lt;&gt;0,Q2910+H2910+L2910,0)</f>
        <v/>
      </c>
      <c r="S2910" s="9">
        <f>VLOOKUP(OPERAC[[#This Row],[especie]],[1]!ESPECIES[#Data],9,FALSE)</f>
        <v/>
      </c>
    </row>
    <row r="2911">
      <c r="A2911" s="4" t="n">
        <v>18703</v>
      </c>
      <c r="B2911" s="5" t="n">
        <v>44511</v>
      </c>
      <c r="C2911" s="13" t="inlineStr">
        <is>
          <t>VTA</t>
        </is>
      </c>
      <c r="D2911" s="13" t="n">
        <v>31</v>
      </c>
      <c r="E2911" s="10">
        <f>IF(D2911&gt;0,VLOOKUP(OPERAC[[#This Row],[COD CART]],[1]!MatrizCortoLargoCyl[#All],3,0),"")</f>
        <v/>
      </c>
      <c r="F2911" s="13" t="inlineStr">
        <is>
          <t>IPIX</t>
        </is>
      </c>
      <c r="G2911" s="6" t="n">
        <v>5000</v>
      </c>
      <c r="H2911" s="6" t="n">
        <v>-549.95</v>
      </c>
      <c r="I2911" s="7">
        <f>-H2911/G2911</f>
        <v/>
      </c>
      <c r="J2911" s="11" t="n"/>
      <c r="K2911" s="6" t="n"/>
      <c r="L2911" s="6" t="n"/>
      <c r="M2911" s="7">
        <f>IF(N2911=0,+L2911+H2911,0)</f>
        <v/>
      </c>
      <c r="N2911" s="7">
        <f>IF((+G2911-K2911)=0,0,+G2911-K2911)</f>
        <v/>
      </c>
      <c r="O2911" s="7">
        <f>IF(N2911=0,0,(L2911+H2911)/-N2911)</f>
        <v/>
      </c>
      <c r="P2911" s="7">
        <f>VLOOKUP(OPERAC[[#This Row],[especie]],[1]!ESPECIES[#All],6,0)</f>
        <v/>
      </c>
      <c r="Q2911" s="7">
        <f>IF(N2911&lt;&gt;0,P2911*N2911,0)</f>
        <v/>
      </c>
      <c r="R2911" s="8">
        <f>IF(Q2911&lt;&gt;0,Q2911+H2911+L2911,0)</f>
        <v/>
      </c>
      <c r="S2911" s="9">
        <f>VLOOKUP(OPERAC[[#This Row],[especie]],[1]!ESPECIES[#Data],9,FALSE)</f>
        <v/>
      </c>
    </row>
    <row r="2912">
      <c r="A2912" s="4" t="n">
        <v>18724</v>
      </c>
      <c r="B2912" s="5" t="n">
        <v>44511</v>
      </c>
      <c r="C2912" s="13" t="inlineStr">
        <is>
          <t>VTA</t>
        </is>
      </c>
      <c r="D2912" s="13" t="n">
        <v>31</v>
      </c>
      <c r="E2912" s="10">
        <f>IF(D2912&gt;0,VLOOKUP(OPERAC[[#This Row],[COD CART]],[1]!MatrizCortoLargoCyl[#All],3,0),"")</f>
        <v/>
      </c>
      <c r="F2912" s="13" t="inlineStr">
        <is>
          <t>IPIX</t>
        </is>
      </c>
      <c r="G2912" s="6" t="n">
        <v>5000</v>
      </c>
      <c r="H2912" s="6" t="n">
        <v>-549.95</v>
      </c>
      <c r="I2912" s="7">
        <f>-H2912/G2912</f>
        <v/>
      </c>
      <c r="J2912" s="11" t="n"/>
      <c r="K2912" s="6" t="n"/>
      <c r="L2912" s="6" t="n"/>
      <c r="M2912" s="7">
        <f>IF(N2912=0,+L2912+H2912,0)</f>
        <v/>
      </c>
      <c r="N2912" s="7">
        <f>IF((+G2912-K2912)=0,0,+G2912-K2912)</f>
        <v/>
      </c>
      <c r="O2912" s="7">
        <f>IF(N2912=0,0,(L2912+H2912)/-N2912)</f>
        <v/>
      </c>
      <c r="P2912" s="7">
        <f>VLOOKUP(OPERAC[[#This Row],[especie]],[1]!ESPECIES[#All],6,0)</f>
        <v/>
      </c>
      <c r="Q2912" s="7">
        <f>IF(N2912&lt;&gt;0,P2912*N2912,0)</f>
        <v/>
      </c>
      <c r="R2912" s="8">
        <f>IF(Q2912&lt;&gt;0,Q2912+H2912+L2912,0)</f>
        <v/>
      </c>
      <c r="S2912" s="9">
        <f>VLOOKUP(OPERAC[[#This Row],[especie]],[1]!ESPECIES[#Data],9,FALSE)</f>
        <v/>
      </c>
    </row>
    <row r="2913">
      <c r="A2913" s="4" t="n">
        <v>25070</v>
      </c>
      <c r="B2913" s="5" t="n">
        <v>44511</v>
      </c>
      <c r="C2913" s="13" t="inlineStr">
        <is>
          <t>VTA</t>
        </is>
      </c>
      <c r="D2913" s="13" t="n">
        <v>31</v>
      </c>
      <c r="E2913" s="10">
        <f>IF(D2913&gt;0,VLOOKUP(OPERAC[[#This Row],[COD CART]],[1]!MatrizCortoLargoCyl[#All],3,0),"")</f>
        <v/>
      </c>
      <c r="F2913" s="13" t="inlineStr">
        <is>
          <t>IPIX</t>
        </is>
      </c>
      <c r="G2913" s="6" t="n">
        <v>5000</v>
      </c>
      <c r="H2913" s="6" t="n">
        <v>-549.95</v>
      </c>
      <c r="I2913" s="7">
        <f>-H2913/G2913</f>
        <v/>
      </c>
      <c r="J2913" s="11" t="n"/>
      <c r="K2913" s="6" t="n"/>
      <c r="L2913" s="6" t="n"/>
      <c r="M2913" s="7">
        <f>IF(N2913=0,+L2913+H2913,0)</f>
        <v/>
      </c>
      <c r="N2913" s="7">
        <f>IF((+G2913-K2913)=0,0,+G2913-K2913)</f>
        <v/>
      </c>
      <c r="O2913" s="7">
        <f>IF(N2913=0,0,(L2913+H2913)/-N2913)</f>
        <v/>
      </c>
      <c r="P2913" s="7">
        <f>VLOOKUP(OPERAC[[#This Row],[especie]],[1]!ESPECIES[#All],6,0)</f>
        <v/>
      </c>
      <c r="Q2913" s="7">
        <f>IF(N2913&lt;&gt;0,P2913*N2913,0)</f>
        <v/>
      </c>
      <c r="R2913" s="8">
        <f>IF(Q2913&lt;&gt;0,Q2913+H2913+L2913,0)</f>
        <v/>
      </c>
      <c r="S2913" s="9">
        <f>VLOOKUP(OPERAC[[#This Row],[especie]],[1]!ESPECIES[#Data],9,FALSE)</f>
        <v/>
      </c>
    </row>
    <row r="2914">
      <c r="A2914" s="4" t="n">
        <v>26138</v>
      </c>
      <c r="B2914" s="5" t="n">
        <v>44511</v>
      </c>
      <c r="C2914" s="13" t="inlineStr">
        <is>
          <t>VTA</t>
        </is>
      </c>
      <c r="D2914" s="13" t="n">
        <v>31</v>
      </c>
      <c r="E2914" s="10">
        <f>IF(D2914&gt;0,VLOOKUP(OPERAC[[#This Row],[COD CART]],[1]!MatrizCortoLargoCyl[#All],3,0),"")</f>
        <v/>
      </c>
      <c r="F2914" s="13" t="inlineStr">
        <is>
          <t>IPIX</t>
        </is>
      </c>
      <c r="G2914" s="6" t="n">
        <v>5000</v>
      </c>
      <c r="H2914" s="6" t="n">
        <v>-549.95</v>
      </c>
      <c r="I2914" s="7">
        <f>-H2914/G2914</f>
        <v/>
      </c>
      <c r="J2914" s="11" t="n"/>
      <c r="K2914" s="6" t="n"/>
      <c r="L2914" s="6" t="n"/>
      <c r="M2914" s="7">
        <f>IF(N2914=0,+L2914+H2914,0)</f>
        <v/>
      </c>
      <c r="N2914" s="7">
        <f>IF((+G2914-K2914)=0,0,+G2914-K2914)</f>
        <v/>
      </c>
      <c r="O2914" s="7">
        <f>IF(N2914=0,0,(L2914+H2914)/-N2914)</f>
        <v/>
      </c>
      <c r="P2914" s="7">
        <f>VLOOKUP(OPERAC[[#This Row],[especie]],[1]!ESPECIES[#All],6,0)</f>
        <v/>
      </c>
      <c r="Q2914" s="7">
        <f>IF(N2914&lt;&gt;0,P2914*N2914,0)</f>
        <v/>
      </c>
      <c r="R2914" s="8">
        <f>IF(Q2914&lt;&gt;0,Q2914+H2914+L2914,0)</f>
        <v/>
      </c>
      <c r="S2914" s="9">
        <f>VLOOKUP(OPERAC[[#This Row],[especie]],[1]!ESPECIES[#Data],9,FALSE)</f>
        <v/>
      </c>
    </row>
    <row r="2915">
      <c r="A2915" s="4" t="n">
        <v>26140</v>
      </c>
      <c r="B2915" s="5" t="n">
        <v>44511</v>
      </c>
      <c r="C2915" s="13" t="inlineStr">
        <is>
          <t>VTA</t>
        </is>
      </c>
      <c r="D2915" s="13" t="n">
        <v>31</v>
      </c>
      <c r="E2915" s="10">
        <f>IF(D2915&gt;0,VLOOKUP(OPERAC[[#This Row],[COD CART]],[1]!MatrizCortoLargoCyl[#All],3,0),"")</f>
        <v/>
      </c>
      <c r="F2915" s="13" t="inlineStr">
        <is>
          <t>IPIX</t>
        </is>
      </c>
      <c r="G2915" s="6" t="n">
        <v>5000</v>
      </c>
      <c r="H2915" s="6" t="n">
        <v>-549.95</v>
      </c>
      <c r="I2915" s="7">
        <f>-H2915/G2915</f>
        <v/>
      </c>
      <c r="J2915" s="11" t="n"/>
      <c r="K2915" s="6" t="n"/>
      <c r="L2915" s="6" t="n"/>
      <c r="M2915" s="7">
        <f>IF(N2915=0,+L2915+H2915,0)</f>
        <v/>
      </c>
      <c r="N2915" s="7">
        <f>IF((+G2915-K2915)=0,0,+G2915-K2915)</f>
        <v/>
      </c>
      <c r="O2915" s="7">
        <f>IF(N2915=0,0,(L2915+H2915)/-N2915)</f>
        <v/>
      </c>
      <c r="P2915" s="7">
        <f>VLOOKUP(OPERAC[[#This Row],[especie]],[1]!ESPECIES[#All],6,0)</f>
        <v/>
      </c>
      <c r="Q2915" s="7">
        <f>IF(N2915&lt;&gt;0,P2915*N2915,0)</f>
        <v/>
      </c>
      <c r="R2915" s="8">
        <f>IF(Q2915&lt;&gt;0,Q2915+H2915+L2915,0)</f>
        <v/>
      </c>
      <c r="S2915" s="9">
        <f>VLOOKUP(OPERAC[[#This Row],[especie]],[1]!ESPECIES[#Data],9,FALSE)</f>
        <v/>
      </c>
    </row>
    <row r="2916">
      <c r="A2916" s="4" t="n">
        <v>1800</v>
      </c>
      <c r="B2916" s="5" t="n">
        <v>44648</v>
      </c>
      <c r="C2916" s="13" t="inlineStr">
        <is>
          <t>VTA</t>
        </is>
      </c>
      <c r="D2916" s="13" t="n">
        <v>42</v>
      </c>
      <c r="E2916" s="10">
        <f>IF(D2916&gt;0,VLOOKUP(OPERAC[[#This Row],[COD CART]],[1]!MatrizCortoLargoCyl[#All],3,0),"")</f>
        <v/>
      </c>
      <c r="F2916" s="13" t="inlineStr">
        <is>
          <t>DIS</t>
        </is>
      </c>
      <c r="G2916" s="6" t="n">
        <v>4</v>
      </c>
      <c r="H2916" s="6" t="n">
        <v>-550.3664</v>
      </c>
      <c r="I2916" s="7">
        <f>-H2916/G2916</f>
        <v/>
      </c>
      <c r="J2916" s="11" t="n">
        <v>44671</v>
      </c>
      <c r="K2916" s="6">
        <f>+OPERAC[[#This Row],[cantidad]]</f>
        <v/>
      </c>
      <c r="L2916" s="6">
        <f>+OPERAC[[#This Row],[cantidad venta]]*123.621</f>
        <v/>
      </c>
      <c r="M2916" s="7">
        <f>IF(N2916=0,+L2916+H2916,0)</f>
        <v/>
      </c>
      <c r="N2916" s="7">
        <f>IF((+G2916-K2916)=0,0,+G2916-K2916)</f>
        <v/>
      </c>
      <c r="O2916" s="7">
        <f>IF(N2916=0,0,(L2916+H2916)/-N2916)</f>
        <v/>
      </c>
      <c r="P2916" s="7">
        <f>VLOOKUP(OPERAC[[#This Row],[especie]],[1]!ESPECIES[#All],6,0)</f>
        <v/>
      </c>
      <c r="Q2916" s="7">
        <f>IF(N2916&lt;&gt;0,P2916*N2916,0)</f>
        <v/>
      </c>
      <c r="R2916" s="8">
        <f>IF(Q2916&lt;&gt;0,Q2916+H2916+L2916,0)</f>
        <v/>
      </c>
      <c r="S2916" s="9">
        <f>VLOOKUP(OPERAC[[#This Row],[especie]],[1]!ESPECIES[#Data],9,FALSE)</f>
        <v/>
      </c>
    </row>
    <row r="2917">
      <c r="A2917" s="4" t="n">
        <v>16824</v>
      </c>
      <c r="B2917" s="5" t="n">
        <v>44616</v>
      </c>
      <c r="C2917" s="13" t="inlineStr">
        <is>
          <t>VTA</t>
        </is>
      </c>
      <c r="D2917" s="13" t="n">
        <v>41</v>
      </c>
      <c r="E2917" s="10">
        <f>IF(D2917&gt;0,VLOOKUP(OPERAC[[#This Row],[COD CART]],[1]!MatrizCortoLargoCyl[#All],3,0),"")</f>
        <v/>
      </c>
      <c r="F2917" s="13" t="inlineStr">
        <is>
          <t>SOYB</t>
        </is>
      </c>
      <c r="G2917" s="6" t="n">
        <v>20</v>
      </c>
      <c r="H2917" s="6" t="n">
        <v>-550.7632</v>
      </c>
      <c r="I2917" s="7">
        <f>-H2917/G2917</f>
        <v/>
      </c>
      <c r="J2917" s="11" t="n"/>
      <c r="K2917" s="6" t="n"/>
      <c r="L2917" s="6" t="n"/>
      <c r="M2917" s="7">
        <f>IF(N2917=0,+L2917+H2917,0)</f>
        <v/>
      </c>
      <c r="N2917" s="7">
        <f>IF((+G2917-K2917)=0,0,+G2917-K2917)</f>
        <v/>
      </c>
      <c r="O2917" s="7">
        <f>IF(N2917=0,0,(L2917+H2917)/-N2917)</f>
        <v/>
      </c>
      <c r="P2917" s="7">
        <f>VLOOKUP(OPERAC[[#This Row],[especie]],[1]!ESPECIES[#All],6,0)</f>
        <v/>
      </c>
      <c r="Q2917" s="7">
        <f>IF(N2917&lt;&gt;0,P2917*N2917,0)</f>
        <v/>
      </c>
      <c r="R2917" s="8">
        <f>IF(Q2917&lt;&gt;0,Q2917+H2917+L2917,0)</f>
        <v/>
      </c>
      <c r="S2917" s="9">
        <f>VLOOKUP(OPERAC[[#This Row],[especie]],[1]!ESPECIES[#Data],9,FALSE)</f>
        <v/>
      </c>
    </row>
    <row r="2918">
      <c r="A2918" s="4" t="n">
        <v>26138</v>
      </c>
      <c r="B2918" s="5" t="n">
        <v>44536</v>
      </c>
      <c r="C2918" s="13" t="inlineStr">
        <is>
          <t>VTA</t>
        </is>
      </c>
      <c r="D2918" s="13" t="n">
        <v>43</v>
      </c>
      <c r="E2918" s="10">
        <f>IF(D2918&gt;0,VLOOKUP(OPERAC[[#This Row],[COD CART]],[1]!MatrizCortoLargoCyl[#All],3,0),"")</f>
        <v/>
      </c>
      <c r="F2918" s="13" t="inlineStr">
        <is>
          <t>HEXO/CYL-PUT/1,00/20-01-23</t>
        </is>
      </c>
      <c r="G2918" s="6" t="n">
        <v>3300</v>
      </c>
      <c r="H2918" s="6">
        <f>-0.1671*OPERAC[[#This Row],[cantidad]]</f>
        <v/>
      </c>
      <c r="I2918" s="7">
        <f>-H2918/G2918</f>
        <v/>
      </c>
      <c r="J2918" s="11" t="n">
        <v>44615</v>
      </c>
      <c r="K2918" s="6" t="n">
        <v>2500</v>
      </c>
      <c r="L2918" s="6" t="n">
        <v>819.83</v>
      </c>
      <c r="M2918" s="7">
        <f>IF(N2918=0,+L2918+H2918,0)</f>
        <v/>
      </c>
      <c r="N2918" s="7">
        <f>IF((+G2918-K2918)=0,0,+G2918-K2918)</f>
        <v/>
      </c>
      <c r="O2918" s="7">
        <f>IF(N2918=0,0,(L2918+H2918)/-N2918)</f>
        <v/>
      </c>
      <c r="P2918" s="7">
        <f>VLOOKUP(OPERAC[[#This Row],[especie]],[1]!ESPECIES[#All],6,0)</f>
        <v/>
      </c>
      <c r="Q2918" s="7">
        <f>IF(N2918&lt;&gt;0,P2918*N2918,0)</f>
        <v/>
      </c>
      <c r="R2918" s="8">
        <f>IF(Q2918&lt;&gt;0,Q2918+H2918+L2918,0)</f>
        <v/>
      </c>
      <c r="S2918" s="9">
        <f>VLOOKUP(OPERAC[[#This Row],[especie]],[1]!ESPECIES[#Data],9,FALSE)</f>
        <v/>
      </c>
    </row>
    <row r="2919">
      <c r="A2919" s="4" t="n">
        <v>9195</v>
      </c>
      <c r="B2919" s="5" t="n">
        <v>44511</v>
      </c>
      <c r="C2919" s="13" t="inlineStr">
        <is>
          <t>VTA</t>
        </is>
      </c>
      <c r="D2919" s="13" t="n">
        <v>31</v>
      </c>
      <c r="E2919" s="10">
        <f>IF(D2919&gt;0,VLOOKUP(OPERAC[[#This Row],[COD CART]],[1]!MatrizCortoLargoCyl[#All],3,0),"")</f>
        <v/>
      </c>
      <c r="F2919" s="13" t="inlineStr">
        <is>
          <t>IPIX</t>
        </is>
      </c>
      <c r="G2919" s="6" t="n">
        <v>5500</v>
      </c>
      <c r="H2919" s="6" t="n">
        <v>-551.9448</v>
      </c>
      <c r="I2919" s="7">
        <f>-H2919/G2919</f>
        <v/>
      </c>
      <c r="J2919" s="11" t="n"/>
      <c r="K2919" s="6" t="n"/>
      <c r="L2919" s="6" t="n"/>
      <c r="M2919" s="7">
        <f>IF(N2919=0,+L2919+H2919,0)</f>
        <v/>
      </c>
      <c r="N2919" s="7">
        <f>IF((+G2919-K2919)=0,0,+G2919-K2919)</f>
        <v/>
      </c>
      <c r="O2919" s="7">
        <f>IF(N2919=0,0,(L2919+H2919)/-N2919)</f>
        <v/>
      </c>
      <c r="P2919" s="7">
        <f>VLOOKUP(OPERAC[[#This Row],[especie]],[1]!ESPECIES[#All],6,0)</f>
        <v/>
      </c>
      <c r="Q2919" s="7">
        <f>IF(N2919&lt;&gt;0,P2919*N2919,0)</f>
        <v/>
      </c>
      <c r="R2919" s="8">
        <f>IF(Q2919&lt;&gt;0,Q2919+H2919+L2919,0)</f>
        <v/>
      </c>
      <c r="S2919" s="9">
        <f>VLOOKUP(OPERAC[[#This Row],[especie]],[1]!ESPECIES[#Data],9,FALSE)</f>
        <v/>
      </c>
    </row>
    <row r="2920">
      <c r="A2920" s="4" t="n">
        <v>7493</v>
      </c>
      <c r="B2920" s="5" t="n">
        <v>44655</v>
      </c>
      <c r="C2920" s="13" t="inlineStr">
        <is>
          <t>VTA</t>
        </is>
      </c>
      <c r="D2920" s="13" t="n">
        <v>42</v>
      </c>
      <c r="E2920" s="10">
        <f>IF(D2920&gt;0,VLOOKUP(OPERAC[[#This Row],[COD CART]],[1]!MatrizCortoLargoCyl[#All],3,0),"")</f>
        <v/>
      </c>
      <c r="F2920" s="13" t="inlineStr">
        <is>
          <t>AMD</t>
        </is>
      </c>
      <c r="G2920" s="6" t="n">
        <v>5</v>
      </c>
      <c r="H2920" s="6" t="n">
        <v>-553.1007500000001</v>
      </c>
      <c r="I2920" s="7">
        <f>-H2920/G2920</f>
        <v/>
      </c>
      <c r="J2920" s="11" t="n">
        <v>44693</v>
      </c>
      <c r="K2920" s="6" t="n">
        <v>5</v>
      </c>
      <c r="L2920" s="6" t="n">
        <v>424.587</v>
      </c>
      <c r="M2920" s="7">
        <f>IF(N2920=0,+L2920+H2920,0)</f>
        <v/>
      </c>
      <c r="N2920" s="7">
        <f>IF((+G2920-K2920)=0,0,+G2920-K2920)</f>
        <v/>
      </c>
      <c r="O2920" s="7">
        <f>IF(N2920=0,0,(L2920+H2920)/-N2920)</f>
        <v/>
      </c>
      <c r="P2920" s="7">
        <f>VLOOKUP(OPERAC[[#This Row],[especie]],[1]!ESPECIES[#All],6,0)</f>
        <v/>
      </c>
      <c r="Q2920" s="7">
        <f>IF(N2920&lt;&gt;0,P2920*N2920,0)</f>
        <v/>
      </c>
      <c r="R2920" s="8">
        <f>IF(Q2920&lt;&gt;0,Q2920+H2920+L2920,0)</f>
        <v/>
      </c>
      <c r="S2920" s="9">
        <f>VLOOKUP(OPERAC[[#This Row],[especie]],[1]!ESPECIES[#Data],9,FALSE)</f>
        <v/>
      </c>
    </row>
    <row r="2921">
      <c r="A2921" s="4" t="n">
        <v>2255</v>
      </c>
      <c r="B2921" s="5" t="n">
        <v>43985</v>
      </c>
      <c r="C2921" s="13" t="inlineStr">
        <is>
          <t>VTA</t>
        </is>
      </c>
      <c r="D2921" s="13" t="n">
        <v>41</v>
      </c>
      <c r="E2921" s="10">
        <f>IF(D2921&gt;0,VLOOKUP(OPERAC[[#This Row],[COD CART]],[1]!MatrizCortoLargoCyl[#All],3,0),"")</f>
        <v/>
      </c>
      <c r="F2921" s="13" t="inlineStr">
        <is>
          <t>YPF</t>
        </is>
      </c>
      <c r="G2921" s="6" t="n">
        <v>100</v>
      </c>
      <c r="H2921" s="6" t="n">
        <v>-553.704</v>
      </c>
      <c r="I2921" s="7" t="n">
        <v>5.537039999999999</v>
      </c>
      <c r="J2921" s="5" t="n"/>
      <c r="K2921" s="6" t="n"/>
      <c r="L2921" s="6" t="n"/>
      <c r="M2921" s="7">
        <f>IF(N2921=0,+L2921+H2921,0)</f>
        <v/>
      </c>
      <c r="N2921" s="7">
        <f>IF((+G2921-K2921)=0,0,+G2921-K2921)</f>
        <v/>
      </c>
      <c r="O2921" s="7">
        <f>IF(N2921=0,0,(L2921+H2921)/-N2921)</f>
        <v/>
      </c>
      <c r="P2921" s="7">
        <f>VLOOKUP(OPERAC[[#This Row],[especie]],[1]!ESPECIES[#All],6,0)</f>
        <v/>
      </c>
      <c r="Q2921" s="7">
        <f>IF(N2921&lt;&gt;0,P2921*N2921,0)</f>
        <v/>
      </c>
      <c r="R2921" s="8">
        <f>IF(Q2921&lt;&gt;0,Q2921+H2921+L2921,0)</f>
        <v/>
      </c>
      <c r="S2921" s="9">
        <f>VLOOKUP(OPERAC[[#This Row],[especie]],[1]!ESPECIES[#Data],9,FALSE)</f>
        <v/>
      </c>
    </row>
    <row r="2922">
      <c r="A2922" s="4" t="n">
        <v>13253</v>
      </c>
      <c r="B2922" s="5" t="n">
        <v>44550</v>
      </c>
      <c r="C2922" s="13" t="inlineStr">
        <is>
          <t>VTA</t>
        </is>
      </c>
      <c r="D2922" s="13" t="n">
        <v>41</v>
      </c>
      <c r="E2922" s="10">
        <f>IF(D2922&gt;0,VLOOKUP(OPERAC[[#This Row],[COD CART]],[1]!MatrizCortoLargoCyl[#All],3,0),"")</f>
        <v/>
      </c>
      <c r="F2922" s="13" t="inlineStr">
        <is>
          <t>EWZ</t>
        </is>
      </c>
      <c r="G2922" s="6" t="n">
        <v>20</v>
      </c>
      <c r="H2922" s="6" t="n">
        <v>-555.4</v>
      </c>
      <c r="I2922" s="7">
        <f>-H2922/G2922</f>
        <v/>
      </c>
      <c r="J2922" s="11" t="n">
        <v>44574</v>
      </c>
      <c r="K2922" s="6" t="n">
        <v>20</v>
      </c>
      <c r="L2922" s="6" t="n">
        <v>570.692</v>
      </c>
      <c r="M2922" s="7">
        <f>IF(N2922=0,+L2922+H2922,0)</f>
        <v/>
      </c>
      <c r="N2922" s="7">
        <f>IF((+G2922-K2922)=0,0,+G2922-K2922)</f>
        <v/>
      </c>
      <c r="O2922" s="7">
        <f>IF(N2922=0,0,(L2922+H2922)/-N2922)</f>
        <v/>
      </c>
      <c r="P2922" s="7">
        <f>VLOOKUP(OPERAC[[#This Row],[especie]],[1]!ESPECIES[#All],6,0)</f>
        <v/>
      </c>
      <c r="Q2922" s="7">
        <f>IF(N2922&lt;&gt;0,P2922*N2922,0)</f>
        <v/>
      </c>
      <c r="R2922" s="8">
        <f>IF(Q2922&lt;&gt;0,Q2922+H2922+L2922,0)</f>
        <v/>
      </c>
      <c r="S2922" s="9">
        <f>VLOOKUP(OPERAC[[#This Row],[especie]],[1]!ESPECIES[#Data],9,FALSE)</f>
        <v/>
      </c>
    </row>
    <row r="2923">
      <c r="A2923" s="4" t="n">
        <v>19878</v>
      </c>
      <c r="B2923" s="5" t="n">
        <v>44648</v>
      </c>
      <c r="C2923" s="13" t="inlineStr">
        <is>
          <t>VTA</t>
        </is>
      </c>
      <c r="D2923" s="13" t="n">
        <v>31</v>
      </c>
      <c r="E2923" s="10">
        <f>IF(D2923&gt;0,VLOOKUP(OPERAC[[#This Row],[COD CART]],[1]!MatrizCortoLargoCyl[#All],3,0),"")</f>
        <v/>
      </c>
      <c r="F2923" s="13" t="inlineStr">
        <is>
          <t>NVDA</t>
        </is>
      </c>
      <c r="G2923" s="6" t="n">
        <v>2</v>
      </c>
      <c r="H2923" s="6" t="n">
        <v>-555.98452</v>
      </c>
      <c r="I2923" s="7">
        <f>-H2923/G2923</f>
        <v/>
      </c>
      <c r="J2923" s="11" t="n">
        <v>44693</v>
      </c>
      <c r="K2923" s="6" t="n">
        <v>2</v>
      </c>
      <c r="L2923" s="6" t="n">
        <v>314.164</v>
      </c>
      <c r="M2923" s="7">
        <f>IF(N2923=0,+L2923+H2923,0)</f>
        <v/>
      </c>
      <c r="N2923" s="7">
        <f>IF((+G2923-K2923)=0,0,+G2923-K2923)</f>
        <v/>
      </c>
      <c r="O2923" s="7">
        <f>IF(N2923=0,0,(L2923+H2923)/-N2923)</f>
        <v/>
      </c>
      <c r="P2923" s="7">
        <f>VLOOKUP(OPERAC[[#This Row],[especie]],[1]!ESPECIES[#All],6,0)</f>
        <v/>
      </c>
      <c r="Q2923" s="7">
        <f>IF(N2923&lt;&gt;0,P2923*N2923,0)</f>
        <v/>
      </c>
      <c r="R2923" s="8">
        <f>IF(Q2923&lt;&gt;0,Q2923+H2923+L2923,0)</f>
        <v/>
      </c>
      <c r="S2923" s="9">
        <f>VLOOKUP(OPERAC[[#This Row],[especie]],[1]!ESPECIES[#Data],9,FALSE)</f>
        <v/>
      </c>
    </row>
    <row r="2924">
      <c r="A2924" s="4" t="n">
        <v>18705</v>
      </c>
      <c r="B2924" s="5" t="n">
        <v>44616</v>
      </c>
      <c r="C2924" s="13" t="inlineStr">
        <is>
          <t>VTA</t>
        </is>
      </c>
      <c r="D2924" s="13" t="n">
        <v>41</v>
      </c>
      <c r="E2924" s="10">
        <f>IF(D2924&gt;0,VLOOKUP(OPERAC[[#This Row],[COD CART]],[1]!MatrizCortoLargoCyl[#All],3,0),"")</f>
        <v/>
      </c>
      <c r="F2924" s="13" t="inlineStr">
        <is>
          <t>SOYB</t>
        </is>
      </c>
      <c r="G2924" s="6" t="n">
        <v>20</v>
      </c>
      <c r="H2924" s="6" t="n">
        <v>-556.0048</v>
      </c>
      <c r="I2924" s="7">
        <f>-H2924/G2924</f>
        <v/>
      </c>
      <c r="J2924" s="11" t="n"/>
      <c r="K2924" s="6" t="n"/>
      <c r="L2924" s="6" t="n"/>
      <c r="M2924" s="7">
        <f>IF(N2924=0,+L2924+H2924,0)</f>
        <v/>
      </c>
      <c r="N2924" s="7">
        <f>IF((+G2924-K2924)=0,0,+G2924-K2924)</f>
        <v/>
      </c>
      <c r="O2924" s="7">
        <f>IF(N2924=0,0,(L2924+H2924)/-N2924)</f>
        <v/>
      </c>
      <c r="P2924" s="7">
        <f>VLOOKUP(OPERAC[[#This Row],[especie]],[1]!ESPECIES[#All],6,0)</f>
        <v/>
      </c>
      <c r="Q2924" s="7">
        <f>IF(N2924&lt;&gt;0,P2924*N2924,0)</f>
        <v/>
      </c>
      <c r="R2924" s="8">
        <f>IF(Q2924&lt;&gt;0,Q2924+H2924+L2924,0)</f>
        <v/>
      </c>
      <c r="S2924" s="9">
        <f>VLOOKUP(OPERAC[[#This Row],[especie]],[1]!ESPECIES[#Data],9,FALSE)</f>
        <v/>
      </c>
    </row>
    <row r="2925">
      <c r="A2925" s="4" t="n">
        <v>3853</v>
      </c>
      <c r="B2925" s="5" t="n">
        <v>44680</v>
      </c>
      <c r="C2925" s="13" t="inlineStr">
        <is>
          <t>VTA</t>
        </is>
      </c>
      <c r="D2925" s="13" t="n">
        <v>42</v>
      </c>
      <c r="E2925" s="10">
        <f>IF(D2925&gt;0,VLOOKUP(OPERAC[[#This Row],[COD CART]],[1]!MatrizCortoLargoCyl[#All],3,0),"")</f>
        <v/>
      </c>
      <c r="F2925" s="14" t="inlineStr">
        <is>
          <t>XLP</t>
        </is>
      </c>
      <c r="G2925" s="6" t="n">
        <v>7</v>
      </c>
      <c r="H2925" s="6" t="n">
        <v>-556.0415175000001</v>
      </c>
      <c r="I2925" s="7">
        <f>-H2925/G2925</f>
        <v/>
      </c>
      <c r="J2925" s="11" t="n">
        <v>44693</v>
      </c>
      <c r="K2925" s="6">
        <f>+OPERAC[[#This Row],[cantidad]]</f>
        <v/>
      </c>
      <c r="L2925" s="6">
        <f>+OPERAC[[#This Row],[cantidad venta]]*75.648</f>
        <v/>
      </c>
      <c r="M2925" s="7">
        <f>IF(N2925=0,+L2925+H2925,0)</f>
        <v/>
      </c>
      <c r="N2925" s="7">
        <f>IF((+G2925-K2925)=0,0,+G2925-K2925)</f>
        <v/>
      </c>
      <c r="O2925" s="7">
        <f>IF(N2925=0,0,(L2925+H2925)/-N2925)</f>
        <v/>
      </c>
      <c r="P2925" s="7">
        <f>VLOOKUP(OPERAC[[#This Row],[especie]],[1]!ESPECIES[#All],6,0)</f>
        <v/>
      </c>
      <c r="Q2925" s="7">
        <f>IF(N2925&lt;&gt;0,P2925*N2925,0)</f>
        <v/>
      </c>
      <c r="R2925" s="8">
        <f>IF(Q2925&lt;&gt;0,Q2925+H2925+L2925,0)</f>
        <v/>
      </c>
      <c r="S2925" s="9">
        <f>VLOOKUP(OPERAC[[#This Row],[especie]],[1]!ESPECIES[#Data],9,FALSE)</f>
        <v/>
      </c>
    </row>
    <row r="2926">
      <c r="A2926" s="4" t="n">
        <v>11168</v>
      </c>
      <c r="B2926" s="5" t="n">
        <v>44680</v>
      </c>
      <c r="C2926" s="13" t="inlineStr">
        <is>
          <t>VTA</t>
        </is>
      </c>
      <c r="D2926" s="13" t="n">
        <v>42</v>
      </c>
      <c r="E2926" s="10">
        <f>IF(D2926&gt;0,VLOOKUP(OPERAC[[#This Row],[COD CART]],[1]!MatrizCortoLargoCyl[#All],3,0),"")</f>
        <v/>
      </c>
      <c r="F2926" s="14" t="inlineStr">
        <is>
          <t>XLP</t>
        </is>
      </c>
      <c r="G2926" s="6" t="n">
        <v>7</v>
      </c>
      <c r="H2926" s="6" t="n">
        <v>-556.0415175000001</v>
      </c>
      <c r="I2926" s="7">
        <f>-H2926/G2926</f>
        <v/>
      </c>
      <c r="J2926" s="11" t="n">
        <v>44693</v>
      </c>
      <c r="K2926" s="6">
        <f>+OPERAC[[#This Row],[cantidad]]</f>
        <v/>
      </c>
      <c r="L2926" s="6">
        <f>+OPERAC[[#This Row],[cantidad venta]]*74.848</f>
        <v/>
      </c>
      <c r="M2926" s="7">
        <f>IF(N2926=0,+L2926+H2926,0)</f>
        <v/>
      </c>
      <c r="N2926" s="7">
        <f>IF((+G2926-K2926)=0,0,+G2926-K2926)</f>
        <v/>
      </c>
      <c r="O2926" s="7">
        <f>IF(N2926=0,0,(L2926+H2926)/-N2926)</f>
        <v/>
      </c>
      <c r="P2926" s="7">
        <f>VLOOKUP(OPERAC[[#This Row],[especie]],[1]!ESPECIES[#All],6,0)</f>
        <v/>
      </c>
      <c r="Q2926" s="7">
        <f>IF(N2926&lt;&gt;0,P2926*N2926,0)</f>
        <v/>
      </c>
      <c r="R2926" s="8">
        <f>IF(Q2926&lt;&gt;0,Q2926+H2926+L2926,0)</f>
        <v/>
      </c>
      <c r="S2926" s="9">
        <f>VLOOKUP(OPERAC[[#This Row],[especie]],[1]!ESPECIES[#Data],9,FALSE)</f>
        <v/>
      </c>
    </row>
    <row r="2927">
      <c r="A2927" s="4" t="n">
        <v>18662</v>
      </c>
      <c r="B2927" s="5" t="n">
        <v>44680</v>
      </c>
      <c r="C2927" s="13" t="inlineStr">
        <is>
          <t>VTA</t>
        </is>
      </c>
      <c r="D2927" s="13" t="n">
        <v>42</v>
      </c>
      <c r="E2927" s="10">
        <f>IF(D2927&gt;0,VLOOKUP(OPERAC[[#This Row],[COD CART]],[1]!MatrizCortoLargoCyl[#All],3,0),"")</f>
        <v/>
      </c>
      <c r="F2927" s="14" t="inlineStr">
        <is>
          <t>XLP</t>
        </is>
      </c>
      <c r="G2927" s="6" t="n">
        <v>7</v>
      </c>
      <c r="H2927" s="6" t="n">
        <v>-556.0415175000001</v>
      </c>
      <c r="I2927" s="7">
        <f>-H2927/G2927</f>
        <v/>
      </c>
      <c r="J2927" s="11" t="n">
        <v>44713</v>
      </c>
      <c r="K2927" s="6" t="n">
        <v>7</v>
      </c>
      <c r="L2927" s="6" t="n">
        <v>509.667</v>
      </c>
      <c r="M2927" s="7">
        <f>IF(N2927=0,+L2927+H2927,0)</f>
        <v/>
      </c>
      <c r="N2927" s="7">
        <f>IF((+G2927-K2927)=0,0,+G2927-K2927)</f>
        <v/>
      </c>
      <c r="O2927" s="7">
        <f>IF(N2927=0,0,(L2927+H2927)/-N2927)</f>
        <v/>
      </c>
      <c r="P2927" s="7">
        <f>VLOOKUP(OPERAC[[#This Row],[especie]],[1]!ESPECIES[#All],6,0)</f>
        <v/>
      </c>
      <c r="Q2927" s="7">
        <f>IF(N2927&lt;&gt;0,P2927*N2927,0)</f>
        <v/>
      </c>
      <c r="R2927" s="8">
        <f>IF(Q2927&lt;&gt;0,Q2927+H2927+L2927,0)</f>
        <v/>
      </c>
      <c r="S2927" s="9">
        <f>VLOOKUP(OPERAC[[#This Row],[especie]],[1]!ESPECIES[#Data],9,FALSE)</f>
        <v/>
      </c>
    </row>
    <row r="2928">
      <c r="A2928" s="4" t="n">
        <v>2279</v>
      </c>
      <c r="B2928" s="5" t="n">
        <v>44641</v>
      </c>
      <c r="C2928" s="13" t="inlineStr">
        <is>
          <t>VTA</t>
        </is>
      </c>
      <c r="D2928" s="13" t="n">
        <v>42</v>
      </c>
      <c r="E2928" s="10">
        <f>IF(D2928&gt;0,VLOOKUP(OPERAC[[#This Row],[COD CART]],[1]!MatrizCortoLargoCyl[#All],3,0),"")</f>
        <v/>
      </c>
      <c r="F2928" s="13" t="inlineStr">
        <is>
          <t>DIS</t>
        </is>
      </c>
      <c r="G2928" s="6" t="n">
        <v>4</v>
      </c>
      <c r="H2928" s="6" t="n">
        <v>-557.0848</v>
      </c>
      <c r="I2928" s="7">
        <f>-H2928/G2928</f>
        <v/>
      </c>
      <c r="J2928" s="11" t="n">
        <v>44671</v>
      </c>
      <c r="K2928" s="6">
        <f>+OPERAC[[#This Row],[cantidad]]</f>
        <v/>
      </c>
      <c r="L2928" s="6">
        <f>+OPERAC[[#This Row],[cantidad venta]]*123.621</f>
        <v/>
      </c>
      <c r="M2928" s="7">
        <f>IF(N2928=0,+L2928+H2928,0)</f>
        <v/>
      </c>
      <c r="N2928" s="7">
        <f>IF((+G2928-K2928)=0,0,+G2928-K2928)</f>
        <v/>
      </c>
      <c r="O2928" s="7">
        <f>IF(N2928=0,0,(L2928+H2928)/-N2928)</f>
        <v/>
      </c>
      <c r="P2928" s="7">
        <f>VLOOKUP(OPERAC[[#This Row],[especie]],[1]!ESPECIES[#All],6,0)</f>
        <v/>
      </c>
      <c r="Q2928" s="7">
        <f>IF(N2928&lt;&gt;0,P2928*N2928,0)</f>
        <v/>
      </c>
      <c r="R2928" s="8">
        <f>IF(Q2928&lt;&gt;0,Q2928+H2928+L2928,0)</f>
        <v/>
      </c>
      <c r="S2928" s="9">
        <f>VLOOKUP(OPERAC[[#This Row],[especie]],[1]!ESPECIES[#Data],9,FALSE)</f>
        <v/>
      </c>
    </row>
    <row r="2929">
      <c r="A2929" s="4" t="n">
        <v>4543</v>
      </c>
      <c r="B2929" s="5" t="n">
        <v>44641</v>
      </c>
      <c r="C2929" s="13" t="inlineStr">
        <is>
          <t>VTA</t>
        </is>
      </c>
      <c r="D2929" s="13" t="n">
        <v>42</v>
      </c>
      <c r="E2929" s="10">
        <f>IF(D2929&gt;0,VLOOKUP(OPERAC[[#This Row],[COD CART]],[1]!MatrizCortoLargoCyl[#All],3,0),"")</f>
        <v/>
      </c>
      <c r="F2929" s="13" t="inlineStr">
        <is>
          <t>DIS</t>
        </is>
      </c>
      <c r="G2929" s="6" t="n">
        <v>4</v>
      </c>
      <c r="H2929" s="6" t="n">
        <v>-557.0848</v>
      </c>
      <c r="I2929" s="7">
        <f>-H2929/G2929</f>
        <v/>
      </c>
      <c r="J2929" s="11" t="n">
        <v>44671</v>
      </c>
      <c r="K2929" s="6">
        <f>+OPERAC[[#This Row],[cantidad]]</f>
        <v/>
      </c>
      <c r="L2929" s="6">
        <f>+OPERAC[[#This Row],[cantidad venta]]*123.621</f>
        <v/>
      </c>
      <c r="M2929" s="7">
        <f>IF(N2929=0,+L2929+H2929,0)</f>
        <v/>
      </c>
      <c r="N2929" s="7">
        <f>IF((+G2929-K2929)=0,0,+G2929-K2929)</f>
        <v/>
      </c>
      <c r="O2929" s="7">
        <f>IF(N2929=0,0,(L2929+H2929)/-N2929)</f>
        <v/>
      </c>
      <c r="P2929" s="7">
        <f>VLOOKUP(OPERAC[[#This Row],[especie]],[1]!ESPECIES[#All],6,0)</f>
        <v/>
      </c>
      <c r="Q2929" s="7">
        <f>IF(N2929&lt;&gt;0,P2929*N2929,0)</f>
        <v/>
      </c>
      <c r="R2929" s="8">
        <f>IF(Q2929&lt;&gt;0,Q2929+H2929+L2929,0)</f>
        <v/>
      </c>
      <c r="S2929" s="9">
        <f>VLOOKUP(OPERAC[[#This Row],[especie]],[1]!ESPECIES[#Data],9,FALSE)</f>
        <v/>
      </c>
    </row>
    <row r="2930">
      <c r="A2930" s="4" t="n">
        <v>13230</v>
      </c>
      <c r="B2930" s="5" t="n">
        <v>44641</v>
      </c>
      <c r="C2930" s="13" t="inlineStr">
        <is>
          <t>VTA</t>
        </is>
      </c>
      <c r="D2930" s="13" t="n">
        <v>42</v>
      </c>
      <c r="E2930" s="10">
        <f>IF(D2930&gt;0,VLOOKUP(OPERAC[[#This Row],[COD CART]],[1]!MatrizCortoLargoCyl[#All],3,0),"")</f>
        <v/>
      </c>
      <c r="F2930" s="13" t="inlineStr">
        <is>
          <t>DIS</t>
        </is>
      </c>
      <c r="G2930" s="6" t="n">
        <v>4</v>
      </c>
      <c r="H2930" s="6" t="n">
        <v>-557.0848</v>
      </c>
      <c r="I2930" s="7">
        <f>-H2930/G2930</f>
        <v/>
      </c>
      <c r="J2930" s="11" t="n">
        <v>44645</v>
      </c>
      <c r="K2930" s="6" t="n">
        <v>4</v>
      </c>
      <c r="L2930" s="6" t="n">
        <v>554.361</v>
      </c>
      <c r="M2930" s="7">
        <f>IF(N2930=0,+L2930+H2930,0)</f>
        <v/>
      </c>
      <c r="N2930" s="7">
        <f>IF((+G2930-K2930)=0,0,+G2930-K2930)</f>
        <v/>
      </c>
      <c r="O2930" s="7">
        <f>IF(N2930=0,0,(L2930+H2930)/-N2930)</f>
        <v/>
      </c>
      <c r="P2930" s="7">
        <f>VLOOKUP(OPERAC[[#This Row],[especie]],[1]!ESPECIES[#All],6,0)</f>
        <v/>
      </c>
      <c r="Q2930" s="7">
        <f>IF(N2930&lt;&gt;0,P2930*N2930,0)</f>
        <v/>
      </c>
      <c r="R2930" s="8">
        <f>IF(Q2930&lt;&gt;0,Q2930+H2930+L2930,0)</f>
        <v/>
      </c>
      <c r="S2930" s="9">
        <f>VLOOKUP(OPERAC[[#This Row],[especie]],[1]!ESPECIES[#Data],9,FALSE)</f>
        <v/>
      </c>
    </row>
    <row r="2931">
      <c r="A2931" s="4" t="n">
        <v>19934</v>
      </c>
      <c r="B2931" s="5" t="n">
        <v>44641</v>
      </c>
      <c r="C2931" s="13" t="inlineStr">
        <is>
          <t>VTA</t>
        </is>
      </c>
      <c r="D2931" s="13" t="n">
        <v>42</v>
      </c>
      <c r="E2931" s="10">
        <f>IF(D2931&gt;0,VLOOKUP(OPERAC[[#This Row],[COD CART]],[1]!MatrizCortoLargoCyl[#All],3,0),"")</f>
        <v/>
      </c>
      <c r="F2931" s="13" t="inlineStr">
        <is>
          <t>DIS</t>
        </is>
      </c>
      <c r="G2931" s="6" t="n">
        <v>4</v>
      </c>
      <c r="H2931" s="6" t="n">
        <v>-557.0848</v>
      </c>
      <c r="I2931" s="7">
        <f>-H2931/G2931</f>
        <v/>
      </c>
      <c r="J2931" s="11" t="n">
        <v>44671</v>
      </c>
      <c r="K2931" s="6">
        <f>+OPERAC[[#This Row],[cantidad]]</f>
        <v/>
      </c>
      <c r="L2931" s="6">
        <f>+OPERAC[[#This Row],[cantidad venta]]*123.621</f>
        <v/>
      </c>
      <c r="M2931" s="7">
        <f>IF(N2931=0,+L2931+H2931,0)</f>
        <v/>
      </c>
      <c r="N2931" s="7">
        <f>IF((+G2931-K2931)=0,0,+G2931-K2931)</f>
        <v/>
      </c>
      <c r="O2931" s="7">
        <f>IF(N2931=0,0,(L2931+H2931)/-N2931)</f>
        <v/>
      </c>
      <c r="P2931" s="7">
        <f>VLOOKUP(OPERAC[[#This Row],[especie]],[1]!ESPECIES[#All],6,0)</f>
        <v/>
      </c>
      <c r="Q2931" s="7">
        <f>IF(N2931&lt;&gt;0,P2931*N2931,0)</f>
        <v/>
      </c>
      <c r="R2931" s="8">
        <f>IF(Q2931&lt;&gt;0,Q2931+H2931+L2931,0)</f>
        <v/>
      </c>
      <c r="S2931" s="9">
        <f>VLOOKUP(OPERAC[[#This Row],[especie]],[1]!ESPECIES[#Data],9,FALSE)</f>
        <v/>
      </c>
    </row>
    <row r="2932">
      <c r="A2932" s="4" t="n">
        <v>18713</v>
      </c>
      <c r="B2932" s="5" t="n">
        <v>44697</v>
      </c>
      <c r="C2932" s="13" t="inlineStr">
        <is>
          <t>VTA</t>
        </is>
      </c>
      <c r="D2932" s="13" t="n">
        <v>32</v>
      </c>
      <c r="E2932" s="10">
        <f>IF(D2932&gt;0,VLOOKUP(OPERAC[[#This Row],[COD CART]],[1]!MatrizCortoLargoCyl[#All],3,0),"")</f>
        <v/>
      </c>
      <c r="F2932" s="13" t="inlineStr">
        <is>
          <t>UUUU/CYL/8,00/15-07-22</t>
        </is>
      </c>
      <c r="G2932" s="6" t="n">
        <v>100</v>
      </c>
      <c r="H2932" s="6" t="n">
        <v>-557.085</v>
      </c>
      <c r="I2932" s="7">
        <f>-H2932/G2932</f>
        <v/>
      </c>
      <c r="J2932" s="11" t="n"/>
      <c r="K2932" s="6" t="n"/>
      <c r="L2932" s="6" t="n"/>
      <c r="M2932" s="7">
        <f>IF(N2932=0,+L2932+H2932,0)</f>
        <v/>
      </c>
      <c r="N2932" s="7">
        <f>IF((+G2932-K2932)=0,0,+G2932-K2932)</f>
        <v/>
      </c>
      <c r="O2932" s="7">
        <f>IF(N2932=0,0,(L2932+H2932)/-N2932)</f>
        <v/>
      </c>
      <c r="P2932" s="7">
        <f>VLOOKUP(OPERAC[[#This Row],[especie]],[1]!ESPECIES[#All],6,0)</f>
        <v/>
      </c>
      <c r="Q2932" s="7">
        <f>IF(N2932&lt;&gt;0,P2932*N2932,0)</f>
        <v/>
      </c>
      <c r="R2932" s="8">
        <f>IF(Q2932&lt;&gt;0,Q2932+H2932+L2932,0)</f>
        <v/>
      </c>
      <c r="S2932" s="9">
        <f>VLOOKUP(OPERAC[[#This Row],[especie]],[1]!ESPECIES[#Data],9,FALSE)</f>
        <v/>
      </c>
    </row>
    <row r="2933">
      <c r="A2933" s="4" t="n">
        <v>4561</v>
      </c>
      <c r="B2933" s="5" t="n">
        <v>44648</v>
      </c>
      <c r="C2933" s="13" t="inlineStr">
        <is>
          <t>VTA</t>
        </is>
      </c>
      <c r="D2933" s="13" t="n">
        <v>31</v>
      </c>
      <c r="E2933" s="10">
        <f>IF(D2933&gt;0,VLOOKUP(OPERAC[[#This Row],[COD CART]],[1]!MatrizCortoLargoCyl[#All],3,0),"")</f>
        <v/>
      </c>
      <c r="F2933" s="13" t="inlineStr">
        <is>
          <t>NVDA</t>
        </is>
      </c>
      <c r="G2933" s="6" t="n">
        <v>2</v>
      </c>
      <c r="H2933" s="6" t="n">
        <v>-557.0893599999999</v>
      </c>
      <c r="I2933" s="7">
        <f>-H2933/G2933</f>
        <v/>
      </c>
      <c r="J2933" s="11" t="n">
        <v>44693</v>
      </c>
      <c r="K2933" s="6" t="n">
        <v>2</v>
      </c>
      <c r="L2933" s="6" t="n">
        <v>321.201</v>
      </c>
      <c r="M2933" s="7">
        <f>IF(N2933=0,+L2933+H2933,0)</f>
        <v/>
      </c>
      <c r="N2933" s="7">
        <f>IF((+G2933-K2933)=0,0,+G2933-K2933)</f>
        <v/>
      </c>
      <c r="O2933" s="7">
        <f>IF(N2933=0,0,(L2933+H2933)/-N2933)</f>
        <v/>
      </c>
      <c r="P2933" s="7">
        <f>VLOOKUP(OPERAC[[#This Row],[especie]],[1]!ESPECIES[#All],6,0)</f>
        <v/>
      </c>
      <c r="Q2933" s="7">
        <f>IF(N2933&lt;&gt;0,P2933*N2933,0)</f>
        <v/>
      </c>
      <c r="R2933" s="8">
        <f>IF(Q2933&lt;&gt;0,Q2933+H2933+L2933,0)</f>
        <v/>
      </c>
      <c r="S2933" s="9">
        <f>VLOOKUP(OPERAC[[#This Row],[especie]],[1]!ESPECIES[#Data],9,FALSE)</f>
        <v/>
      </c>
    </row>
    <row r="2934">
      <c r="A2934" s="4" t="n">
        <v>3853</v>
      </c>
      <c r="B2934" s="5" t="n">
        <v>44662</v>
      </c>
      <c r="C2934" s="13" t="inlineStr">
        <is>
          <t>VTA</t>
        </is>
      </c>
      <c r="D2934" s="13" t="n">
        <v>42</v>
      </c>
      <c r="E2934" s="10">
        <f>IF(D2934&gt;0,VLOOKUP(OPERAC[[#This Row],[COD CART]],[1]!MatrizCortoLargoCyl[#All],3,0),"")</f>
        <v/>
      </c>
      <c r="F2934" s="13" t="inlineStr">
        <is>
          <t>HYDR</t>
        </is>
      </c>
      <c r="G2934" s="6" t="n">
        <v>30</v>
      </c>
      <c r="H2934" s="6" t="n">
        <v>-557.1103199999999</v>
      </c>
      <c r="I2934" s="7">
        <f>-H2934/G2934</f>
        <v/>
      </c>
      <c r="J2934" s="11" t="n">
        <v>44693</v>
      </c>
      <c r="K2934" s="6">
        <f>+OPERAC[[#This Row],[cantidad]]</f>
        <v/>
      </c>
      <c r="L2934" s="6">
        <f>+OPERAC[[#This Row],[cantidad venta]]*12.027</f>
        <v/>
      </c>
      <c r="M2934" s="7">
        <f>IF(N2934=0,+L2934+H2934,0)</f>
        <v/>
      </c>
      <c r="N2934" s="7">
        <f>IF((+G2934-K2934)=0,0,+G2934-K2934)</f>
        <v/>
      </c>
      <c r="O2934" s="7">
        <f>IF(N2934=0,0,(L2934+H2934)/-N2934)</f>
        <v/>
      </c>
      <c r="P2934" s="7">
        <f>VLOOKUP(OPERAC[[#This Row],[especie]],[1]!ESPECIES[#All],6,0)</f>
        <v/>
      </c>
      <c r="Q2934" s="7">
        <f>IF(N2934&lt;&gt;0,P2934*N2934,0)</f>
        <v/>
      </c>
      <c r="R2934" s="8">
        <f>IF(Q2934&lt;&gt;0,Q2934+H2934+L2934,0)</f>
        <v/>
      </c>
      <c r="S2934" s="9">
        <f>VLOOKUP(OPERAC[[#This Row],[especie]],[1]!ESPECIES[#Data],9,FALSE)</f>
        <v/>
      </c>
    </row>
    <row r="2935">
      <c r="A2935" s="4" t="n">
        <v>7493</v>
      </c>
      <c r="B2935" s="5" t="n">
        <v>44662</v>
      </c>
      <c r="C2935" s="13" t="inlineStr">
        <is>
          <t>VTA</t>
        </is>
      </c>
      <c r="D2935" s="13" t="n">
        <v>42</v>
      </c>
      <c r="E2935" s="10">
        <f>IF(D2935&gt;0,VLOOKUP(OPERAC[[#This Row],[COD CART]],[1]!MatrizCortoLargoCyl[#All],3,0),"")</f>
        <v/>
      </c>
      <c r="F2935" s="13" t="inlineStr">
        <is>
          <t>HYDR</t>
        </is>
      </c>
      <c r="G2935" s="6" t="n">
        <v>30</v>
      </c>
      <c r="H2935" s="6" t="n">
        <v>-557.1103199999999</v>
      </c>
      <c r="I2935" s="7">
        <f>-H2935/G2935</f>
        <v/>
      </c>
      <c r="J2935" s="11" t="n">
        <v>44693</v>
      </c>
      <c r="K2935" s="6">
        <f>+OPERAC[[#This Row],[cantidad]]</f>
        <v/>
      </c>
      <c r="L2935" s="6">
        <f>+OPERAC[[#This Row],[cantidad venta]]*12.027</f>
        <v/>
      </c>
      <c r="M2935" s="7">
        <f>IF(N2935=0,+L2935+H2935,0)</f>
        <v/>
      </c>
      <c r="N2935" s="7">
        <f>IF((+G2935-K2935)=0,0,+G2935-K2935)</f>
        <v/>
      </c>
      <c r="O2935" s="7">
        <f>IF(N2935=0,0,(L2935+H2935)/-N2935)</f>
        <v/>
      </c>
      <c r="P2935" s="7">
        <f>VLOOKUP(OPERAC[[#This Row],[especie]],[1]!ESPECIES[#All],6,0)</f>
        <v/>
      </c>
      <c r="Q2935" s="7">
        <f>IF(N2935&lt;&gt;0,P2935*N2935,0)</f>
        <v/>
      </c>
      <c r="R2935" s="8">
        <f>IF(Q2935&lt;&gt;0,Q2935+H2935+L2935,0)</f>
        <v/>
      </c>
      <c r="S2935" s="9">
        <f>VLOOKUP(OPERAC[[#This Row],[especie]],[1]!ESPECIES[#Data],9,FALSE)</f>
        <v/>
      </c>
    </row>
    <row r="2936">
      <c r="A2936" s="4" t="n">
        <v>12672</v>
      </c>
      <c r="B2936" s="5" t="n">
        <v>44662</v>
      </c>
      <c r="C2936" s="13" t="inlineStr">
        <is>
          <t>VTA</t>
        </is>
      </c>
      <c r="D2936" s="13" t="n">
        <v>42</v>
      </c>
      <c r="E2936" s="10">
        <f>IF(D2936&gt;0,VLOOKUP(OPERAC[[#This Row],[COD CART]],[1]!MatrizCortoLargoCyl[#All],3,0),"")</f>
        <v/>
      </c>
      <c r="F2936" s="13" t="inlineStr">
        <is>
          <t>HYDR</t>
        </is>
      </c>
      <c r="G2936" s="6" t="n">
        <v>30</v>
      </c>
      <c r="H2936" s="6" t="n">
        <v>-557.1103199999999</v>
      </c>
      <c r="I2936" s="7">
        <f>-H2936/G2936</f>
        <v/>
      </c>
      <c r="J2936" s="11" t="n">
        <v>44693</v>
      </c>
      <c r="K2936" s="6">
        <f>+OPERAC[[#This Row],[cantidad]]</f>
        <v/>
      </c>
      <c r="L2936" s="6">
        <f>+OPERAC[[#This Row],[cantidad venta]]*12.027</f>
        <v/>
      </c>
      <c r="M2936" s="7">
        <f>IF(N2936=0,+L2936+H2936,0)</f>
        <v/>
      </c>
      <c r="N2936" s="7">
        <f>IF((+G2936-K2936)=0,0,+G2936-K2936)</f>
        <v/>
      </c>
      <c r="O2936" s="7">
        <f>IF(N2936=0,0,(L2936+H2936)/-N2936)</f>
        <v/>
      </c>
      <c r="P2936" s="7">
        <f>VLOOKUP(OPERAC[[#This Row],[especie]],[1]!ESPECIES[#All],6,0)</f>
        <v/>
      </c>
      <c r="Q2936" s="7">
        <f>IF(N2936&lt;&gt;0,P2936*N2936,0)</f>
        <v/>
      </c>
      <c r="R2936" s="8">
        <f>IF(Q2936&lt;&gt;0,Q2936+H2936+L2936,0)</f>
        <v/>
      </c>
      <c r="S2936" s="9">
        <f>VLOOKUP(OPERAC[[#This Row],[especie]],[1]!ESPECIES[#Data],9,FALSE)</f>
        <v/>
      </c>
    </row>
    <row r="2937">
      <c r="A2937" s="4" t="n">
        <v>16786</v>
      </c>
      <c r="B2937" s="5" t="n">
        <v>44662</v>
      </c>
      <c r="C2937" s="13" t="inlineStr">
        <is>
          <t>VTA</t>
        </is>
      </c>
      <c r="D2937" s="13" t="n">
        <v>42</v>
      </c>
      <c r="E2937" s="10">
        <f>IF(D2937&gt;0,VLOOKUP(OPERAC[[#This Row],[COD CART]],[1]!MatrizCortoLargoCyl[#All],3,0),"")</f>
        <v/>
      </c>
      <c r="F2937" s="13" t="inlineStr">
        <is>
          <t>HYDR</t>
        </is>
      </c>
      <c r="G2937" s="6" t="n">
        <v>30</v>
      </c>
      <c r="H2937" s="6" t="n">
        <v>-557.1103199999999</v>
      </c>
      <c r="I2937" s="7">
        <f>-H2937/G2937</f>
        <v/>
      </c>
      <c r="J2937" s="11" t="n">
        <v>44693</v>
      </c>
      <c r="K2937" s="6">
        <f>+OPERAC[[#This Row],[cantidad]]</f>
        <v/>
      </c>
      <c r="L2937" s="6">
        <f>+OPERAC[[#This Row],[cantidad venta]]*12.027</f>
        <v/>
      </c>
      <c r="M2937" s="7">
        <f>IF(N2937=0,+L2937+H2937,0)</f>
        <v/>
      </c>
      <c r="N2937" s="7">
        <f>IF((+G2937-K2937)=0,0,+G2937-K2937)</f>
        <v/>
      </c>
      <c r="O2937" s="7">
        <f>IF(N2937=0,0,(L2937+H2937)/-N2937)</f>
        <v/>
      </c>
      <c r="P2937" s="7">
        <f>VLOOKUP(OPERAC[[#This Row],[especie]],[1]!ESPECIES[#All],6,0)</f>
        <v/>
      </c>
      <c r="Q2937" s="7">
        <f>IF(N2937&lt;&gt;0,P2937*N2937,0)</f>
        <v/>
      </c>
      <c r="R2937" s="8">
        <f>IF(Q2937&lt;&gt;0,Q2937+H2937+L2937,0)</f>
        <v/>
      </c>
      <c r="S2937" s="9">
        <f>VLOOKUP(OPERAC[[#This Row],[especie]],[1]!ESPECIES[#Data],9,FALSE)</f>
        <v/>
      </c>
    </row>
    <row r="2938">
      <c r="A2938" s="4" t="n">
        <v>18662</v>
      </c>
      <c r="B2938" s="5" t="n">
        <v>44662</v>
      </c>
      <c r="C2938" s="13" t="inlineStr">
        <is>
          <t>VTA</t>
        </is>
      </c>
      <c r="D2938" s="13" t="n">
        <v>42</v>
      </c>
      <c r="E2938" s="10">
        <f>IF(D2938&gt;0,VLOOKUP(OPERAC[[#This Row],[COD CART]],[1]!MatrizCortoLargoCyl[#All],3,0),"")</f>
        <v/>
      </c>
      <c r="F2938" s="13" t="inlineStr">
        <is>
          <t>HYDR</t>
        </is>
      </c>
      <c r="G2938" s="6" t="n">
        <v>30</v>
      </c>
      <c r="H2938" s="6" t="n">
        <v>-557.1103199999999</v>
      </c>
      <c r="I2938" s="7">
        <f>-H2938/G2938</f>
        <v/>
      </c>
      <c r="J2938" s="11" t="n">
        <v>44713</v>
      </c>
      <c r="K2938" s="6" t="n">
        <v>30</v>
      </c>
      <c r="L2938" s="6" t="n">
        <v>415.206</v>
      </c>
      <c r="M2938" s="7">
        <f>IF(N2938=0,+L2938+H2938,0)</f>
        <v/>
      </c>
      <c r="N2938" s="7">
        <f>IF((+G2938-K2938)=0,0,+G2938-K2938)</f>
        <v/>
      </c>
      <c r="O2938" s="7">
        <f>IF(N2938=0,0,(L2938+H2938)/-N2938)</f>
        <v/>
      </c>
      <c r="P2938" s="7">
        <f>VLOOKUP(OPERAC[[#This Row],[especie]],[1]!ESPECIES[#All],6,0)</f>
        <v/>
      </c>
      <c r="Q2938" s="7">
        <f>IF(N2938&lt;&gt;0,P2938*N2938,0)</f>
        <v/>
      </c>
      <c r="R2938" s="8">
        <f>IF(Q2938&lt;&gt;0,Q2938+H2938+L2938,0)</f>
        <v/>
      </c>
      <c r="S2938" s="9">
        <f>VLOOKUP(OPERAC[[#This Row],[especie]],[1]!ESPECIES[#Data],9,FALSE)</f>
        <v/>
      </c>
    </row>
    <row r="2939">
      <c r="A2939" s="4" t="n">
        <v>16783</v>
      </c>
      <c r="B2939" s="5" t="n">
        <v>44543</v>
      </c>
      <c r="C2939" s="13" t="inlineStr">
        <is>
          <t>VTA</t>
        </is>
      </c>
      <c r="D2939" s="13" t="n">
        <v>40</v>
      </c>
      <c r="E2939" s="10">
        <f>IF(D2939&gt;0,VLOOKUP(OPERAC[[#This Row],[COD CART]],[1]!MatrizCortoLargoCyl[#All],3,0),"")</f>
        <v/>
      </c>
      <c r="F2939" s="13" t="inlineStr">
        <is>
          <t>VIST</t>
        </is>
      </c>
      <c r="G2939" s="6" t="n">
        <v>100</v>
      </c>
      <c r="H2939" s="6" t="n">
        <v>-557.72</v>
      </c>
      <c r="I2939" s="7">
        <f>-H2939/G2939</f>
        <v/>
      </c>
      <c r="J2939" s="11" t="n">
        <v>44574</v>
      </c>
      <c r="K2939" s="6">
        <f>+OPERAC[[#This Row],[cantidad]]</f>
        <v/>
      </c>
      <c r="L2939" s="6">
        <f>+OPERAC[[#This Row],[cantidad venta]]*6.125</f>
        <v/>
      </c>
      <c r="M2939" s="7">
        <f>IF(N2939=0,+L2939+H2939,0)</f>
        <v/>
      </c>
      <c r="N2939" s="7">
        <f>IF((+G2939-K2939)=0,0,+G2939-K2939)</f>
        <v/>
      </c>
      <c r="O2939" s="7">
        <f>IF(N2939=0,0,(L2939+H2939)/-N2939)</f>
        <v/>
      </c>
      <c r="P2939" s="7">
        <f>VLOOKUP(OPERAC[[#This Row],[especie]],[1]!ESPECIES[#All],6,0)</f>
        <v/>
      </c>
      <c r="Q2939" s="7">
        <f>IF(N2939&lt;&gt;0,P2939*N2939,0)</f>
        <v/>
      </c>
      <c r="R2939" s="8">
        <f>IF(Q2939&lt;&gt;0,Q2939+H2939+L2939,0)</f>
        <v/>
      </c>
      <c r="S2939" s="9">
        <f>VLOOKUP(OPERAC[[#This Row],[especie]],[1]!ESPECIES[#Data],9,FALSE)</f>
        <v/>
      </c>
    </row>
    <row r="2940">
      <c r="A2940" s="4" t="n">
        <v>3787</v>
      </c>
      <c r="B2940" s="5" t="n">
        <v>44643</v>
      </c>
      <c r="C2940" s="13" t="inlineStr">
        <is>
          <t>VTA</t>
        </is>
      </c>
      <c r="D2940" s="13" t="n">
        <v>31</v>
      </c>
      <c r="E2940" s="10">
        <f>IF(D2940&gt;0,VLOOKUP(OPERAC[[#This Row],[COD CART]],[1]!MatrizCortoLargoCyl[#All],3,0),"")</f>
        <v/>
      </c>
      <c r="F2940" s="13" t="inlineStr">
        <is>
          <t>COST</t>
        </is>
      </c>
      <c r="G2940" s="6" t="n">
        <v>1</v>
      </c>
      <c r="H2940" s="6" t="n">
        <v>-558.2548</v>
      </c>
      <c r="I2940" s="7">
        <f>-H2940/G2940</f>
        <v/>
      </c>
      <c r="J2940" s="11" t="n">
        <v>44693</v>
      </c>
      <c r="K2940" s="6" t="n">
        <v>1</v>
      </c>
      <c r="L2940" s="6" t="n">
        <v>491.145</v>
      </c>
      <c r="M2940" s="7">
        <f>IF(N2940=0,+L2940+H2940,0)</f>
        <v/>
      </c>
      <c r="N2940" s="7">
        <f>IF((+G2940-K2940)=0,0,+G2940-K2940)</f>
        <v/>
      </c>
      <c r="O2940" s="7">
        <f>IF(N2940=0,0,(L2940+H2940)/-N2940)</f>
        <v/>
      </c>
      <c r="P2940" s="7">
        <f>VLOOKUP(OPERAC[[#This Row],[especie]],[1]!ESPECIES[#All],6,0)</f>
        <v/>
      </c>
      <c r="Q2940" s="7">
        <f>IF(N2940&lt;&gt;0,P2940*N2940,0)</f>
        <v/>
      </c>
      <c r="R2940" s="8">
        <f>IF(Q2940&lt;&gt;0,Q2940+H2940+L2940,0)</f>
        <v/>
      </c>
      <c r="S2940" s="9">
        <f>VLOOKUP(OPERAC[[#This Row],[especie]],[1]!ESPECIES[#Data],9,FALSE)</f>
        <v/>
      </c>
    </row>
    <row r="2941">
      <c r="A2941" s="4" t="n">
        <v>2257</v>
      </c>
      <c r="B2941" s="5" t="n">
        <v>44645</v>
      </c>
      <c r="C2941" s="13" t="inlineStr">
        <is>
          <t>VTA</t>
        </is>
      </c>
      <c r="D2941" s="13" t="n">
        <v>42</v>
      </c>
      <c r="E2941" s="10">
        <f>IF(D2941&gt;0,VLOOKUP(OPERAC[[#This Row],[COD CART]],[1]!MatrizCortoLargoCyl[#All],3,0),"")</f>
        <v/>
      </c>
      <c r="F2941" s="13" t="inlineStr">
        <is>
          <t>PLUG</t>
        </is>
      </c>
      <c r="G2941" s="6" t="n">
        <v>20</v>
      </c>
      <c r="H2941" s="6" t="n">
        <v>-558.6328</v>
      </c>
      <c r="I2941" s="7">
        <f>-H2941/G2941</f>
        <v/>
      </c>
      <c r="J2941" s="11" t="n">
        <v>44652</v>
      </c>
      <c r="K2941" s="6">
        <f>+OPERAC[[#This Row],[cantidad]]</f>
        <v/>
      </c>
      <c r="L2941" s="6">
        <f>+OPERAC[[#This Row],[cantidad venta]]*27.754</f>
        <v/>
      </c>
      <c r="M2941" s="7">
        <f>IF(N2941=0,+L2941+H2941,0)</f>
        <v/>
      </c>
      <c r="N2941" s="7">
        <f>IF((+G2941-K2941)=0,0,+G2941-K2941)</f>
        <v/>
      </c>
      <c r="O2941" s="7">
        <f>IF(N2941=0,0,(L2941+H2941)/-N2941)</f>
        <v/>
      </c>
      <c r="P2941" s="7">
        <f>VLOOKUP(OPERAC[[#This Row],[especie]],[1]!ESPECIES[#All],6,0)</f>
        <v/>
      </c>
      <c r="Q2941" s="7">
        <f>IF(N2941&lt;&gt;0,P2941*N2941,0)</f>
        <v/>
      </c>
      <c r="R2941" s="8">
        <f>IF(Q2941&lt;&gt;0,Q2941+H2941+L2941,0)</f>
        <v/>
      </c>
      <c r="S2941" s="9">
        <f>VLOOKUP(OPERAC[[#This Row],[especie]],[1]!ESPECIES[#Data],9,FALSE)</f>
        <v/>
      </c>
    </row>
    <row r="2942">
      <c r="A2942" s="4" t="n">
        <v>12662</v>
      </c>
      <c r="B2942" s="5" t="n">
        <v>44645</v>
      </c>
      <c r="C2942" s="13" t="inlineStr">
        <is>
          <t>VTA</t>
        </is>
      </c>
      <c r="D2942" s="13" t="n">
        <v>42</v>
      </c>
      <c r="E2942" s="10">
        <f>IF(D2942&gt;0,VLOOKUP(OPERAC[[#This Row],[COD CART]],[1]!MatrizCortoLargoCyl[#All],3,0),"")</f>
        <v/>
      </c>
      <c r="F2942" s="13" t="inlineStr">
        <is>
          <t>PLUG</t>
        </is>
      </c>
      <c r="G2942" s="6" t="n">
        <v>20</v>
      </c>
      <c r="H2942" s="6" t="n">
        <v>-558.6328</v>
      </c>
      <c r="I2942" s="7">
        <f>-H2942/G2942</f>
        <v/>
      </c>
      <c r="J2942" s="11" t="n">
        <v>44652</v>
      </c>
      <c r="K2942" s="6">
        <f>+OPERAC[[#This Row],[cantidad]]</f>
        <v/>
      </c>
      <c r="L2942" s="6">
        <f>+OPERAC[[#This Row],[cantidad venta]]*27.754</f>
        <v/>
      </c>
      <c r="M2942" s="7">
        <f>IF(N2942=0,+L2942+H2942,0)</f>
        <v/>
      </c>
      <c r="N2942" s="7">
        <f>IF((+G2942-K2942)=0,0,+G2942-K2942)</f>
        <v/>
      </c>
      <c r="O2942" s="7">
        <f>IF(N2942=0,0,(L2942+H2942)/-N2942)</f>
        <v/>
      </c>
      <c r="P2942" s="7">
        <f>VLOOKUP(OPERAC[[#This Row],[especie]],[1]!ESPECIES[#All],6,0)</f>
        <v/>
      </c>
      <c r="Q2942" s="7">
        <f>IF(N2942&lt;&gt;0,P2942*N2942,0)</f>
        <v/>
      </c>
      <c r="R2942" s="8">
        <f>IF(Q2942&lt;&gt;0,Q2942+H2942+L2942,0)</f>
        <v/>
      </c>
      <c r="S2942" s="9">
        <f>VLOOKUP(OPERAC[[#This Row],[especie]],[1]!ESPECIES[#Data],9,FALSE)</f>
        <v/>
      </c>
    </row>
    <row r="2943">
      <c r="A2943" s="4" t="n">
        <v>13185</v>
      </c>
      <c r="B2943" s="5" t="n">
        <v>44643</v>
      </c>
      <c r="C2943" s="13" t="inlineStr">
        <is>
          <t>VTA</t>
        </is>
      </c>
      <c r="D2943" s="13" t="n">
        <v>42</v>
      </c>
      <c r="E2943" s="10">
        <f>IF(D2943&gt;0,VLOOKUP(OPERAC[[#This Row],[COD CART]],[1]!MatrizCortoLargoCyl[#All],3,0),"")</f>
        <v/>
      </c>
      <c r="F2943" s="13" t="inlineStr">
        <is>
          <t>DIS</t>
        </is>
      </c>
      <c r="G2943" s="6" t="n">
        <v>4</v>
      </c>
      <c r="H2943" s="6" t="n">
        <v>-558.8086000000001</v>
      </c>
      <c r="I2943" s="7">
        <f>-H2943/G2943</f>
        <v/>
      </c>
      <c r="J2943" s="11" t="n">
        <v>44671</v>
      </c>
      <c r="K2943" s="6">
        <f>+OPERAC[[#This Row],[cantidad]]</f>
        <v/>
      </c>
      <c r="L2943" s="6">
        <f>+OPERAC[[#This Row],[cantidad venta]]*123.621</f>
        <v/>
      </c>
      <c r="M2943" s="7">
        <f>IF(N2943=0,+L2943+H2943,0)</f>
        <v/>
      </c>
      <c r="N2943" s="7">
        <f>IF((+G2943-K2943)=0,0,+G2943-K2943)</f>
        <v/>
      </c>
      <c r="O2943" s="7">
        <f>IF(N2943=0,0,(L2943+H2943)/-N2943)</f>
        <v/>
      </c>
      <c r="P2943" s="7">
        <f>VLOOKUP(OPERAC[[#This Row],[especie]],[1]!ESPECIES[#All],6,0)</f>
        <v/>
      </c>
      <c r="Q2943" s="7">
        <f>IF(N2943&lt;&gt;0,P2943*N2943,0)</f>
        <v/>
      </c>
      <c r="R2943" s="8">
        <f>IF(Q2943&lt;&gt;0,Q2943+H2943+L2943,0)</f>
        <v/>
      </c>
      <c r="S2943" s="9">
        <f>VLOOKUP(OPERAC[[#This Row],[especie]],[1]!ESPECIES[#Data],9,FALSE)</f>
        <v/>
      </c>
    </row>
    <row r="2944">
      <c r="A2944" s="4" t="n">
        <v>16818</v>
      </c>
      <c r="B2944" s="5" t="n">
        <v>44641</v>
      </c>
      <c r="C2944" s="13" t="inlineStr">
        <is>
          <t>VTA</t>
        </is>
      </c>
      <c r="D2944" s="13" t="n">
        <v>42</v>
      </c>
      <c r="E2944" s="10">
        <f>IF(D2944&gt;0,VLOOKUP(OPERAC[[#This Row],[COD CART]],[1]!MatrizCortoLargoCyl[#All],3,0),"")</f>
        <v/>
      </c>
      <c r="F2944" s="13" t="inlineStr">
        <is>
          <t>JPM</t>
        </is>
      </c>
      <c r="G2944" s="6" t="n">
        <v>4</v>
      </c>
      <c r="H2944" s="6" t="n">
        <v>-559.5880800000001</v>
      </c>
      <c r="I2944" s="7">
        <f>-H2944/G2944</f>
        <v/>
      </c>
      <c r="J2944" s="11" t="n">
        <v>44664</v>
      </c>
      <c r="K2944" s="6">
        <f>+OPERAC[[#This Row],[cantidad]]</f>
        <v/>
      </c>
      <c r="L2944" s="6">
        <f>+OPERAC[[#This Row],[cantidad venta]]*125.943</f>
        <v/>
      </c>
      <c r="M2944" s="7">
        <f>IF(N2944=0,+L2944+H2944,0)</f>
        <v/>
      </c>
      <c r="N2944" s="7">
        <f>IF((+G2944-K2944)=0,0,+G2944-K2944)</f>
        <v/>
      </c>
      <c r="O2944" s="7">
        <f>IF(N2944=0,0,(L2944+H2944)/-N2944)</f>
        <v/>
      </c>
      <c r="P2944" s="7">
        <f>VLOOKUP(OPERAC[[#This Row],[especie]],[1]!ESPECIES[#All],6,0)</f>
        <v/>
      </c>
      <c r="Q2944" s="7">
        <f>IF(N2944&lt;&gt;0,P2944*N2944,0)</f>
        <v/>
      </c>
      <c r="R2944" s="8">
        <f>IF(Q2944&lt;&gt;0,Q2944+H2944+L2944,0)</f>
        <v/>
      </c>
      <c r="S2944" s="9">
        <f>VLOOKUP(OPERAC[[#This Row],[especie]],[1]!ESPECIES[#Data],9,FALSE)</f>
        <v/>
      </c>
    </row>
    <row r="2945">
      <c r="A2945" s="4" t="n">
        <v>19878</v>
      </c>
      <c r="B2945" s="5" t="n">
        <v>44648</v>
      </c>
      <c r="C2945" s="13" t="inlineStr">
        <is>
          <t>VTA</t>
        </is>
      </c>
      <c r="D2945" s="13" t="n">
        <v>31</v>
      </c>
      <c r="E2945" s="10">
        <f>IF(D2945&gt;0,VLOOKUP(OPERAC[[#This Row],[COD CART]],[1]!MatrizCortoLargoCyl[#All],3,0),"")</f>
        <v/>
      </c>
      <c r="F2945" s="13" t="inlineStr">
        <is>
          <t>COST</t>
        </is>
      </c>
      <c r="G2945" s="6" t="n">
        <v>1</v>
      </c>
      <c r="H2945" s="6" t="n">
        <v>-559.7372000000001</v>
      </c>
      <c r="I2945" s="7">
        <f>-H2945/G2945</f>
        <v/>
      </c>
      <c r="J2945" s="11" t="n">
        <v>44693</v>
      </c>
      <c r="K2945" s="6" t="n">
        <v>1</v>
      </c>
      <c r="L2945" s="6" t="n">
        <v>483.82</v>
      </c>
      <c r="M2945" s="7">
        <f>IF(N2945=0,+L2945+H2945,0)</f>
        <v/>
      </c>
      <c r="N2945" s="7">
        <f>IF((+G2945-K2945)=0,0,+G2945-K2945)</f>
        <v/>
      </c>
      <c r="O2945" s="7">
        <f>IF(N2945=0,0,(L2945+H2945)/-N2945)</f>
        <v/>
      </c>
      <c r="P2945" s="7">
        <f>VLOOKUP(OPERAC[[#This Row],[especie]],[1]!ESPECIES[#All],6,0)</f>
        <v/>
      </c>
      <c r="Q2945" s="7">
        <f>IF(N2945&lt;&gt;0,P2945*N2945,0)</f>
        <v/>
      </c>
      <c r="R2945" s="8">
        <f>IF(Q2945&lt;&gt;0,Q2945+H2945+L2945,0)</f>
        <v/>
      </c>
      <c r="S2945" s="9">
        <f>VLOOKUP(OPERAC[[#This Row],[especie]],[1]!ESPECIES[#Data],9,FALSE)</f>
        <v/>
      </c>
    </row>
    <row r="2946">
      <c r="A2946" s="4" t="n">
        <v>19972</v>
      </c>
      <c r="B2946" s="5" t="n">
        <v>44628</v>
      </c>
      <c r="C2946" s="13" t="inlineStr">
        <is>
          <t>VTA</t>
        </is>
      </c>
      <c r="D2946" s="13" t="n">
        <v>41</v>
      </c>
      <c r="E2946" s="10">
        <f>IF(D2946&gt;0,VLOOKUP(OPERAC[[#This Row],[COD CART]],[1]!MatrizCortoLargoCyl[#All],3,0),"")</f>
        <v/>
      </c>
      <c r="F2946" s="13" t="inlineStr">
        <is>
          <t>XLE</t>
        </is>
      </c>
      <c r="G2946" s="6" t="n">
        <v>7</v>
      </c>
      <c r="H2946" s="6" t="n">
        <v>-559.853</v>
      </c>
      <c r="I2946" s="7">
        <f>-H2946/G2946</f>
        <v/>
      </c>
      <c r="J2946" s="11" t="n"/>
      <c r="K2946" s="6" t="n"/>
      <c r="L2946" s="6" t="n"/>
      <c r="M2946" s="7">
        <f>IF(N2946=0,+L2946+H2946,0)</f>
        <v/>
      </c>
      <c r="N2946" s="7">
        <f>IF((+G2946-K2946)=0,0,+G2946-K2946)</f>
        <v/>
      </c>
      <c r="O2946" s="7">
        <f>IF(N2946=0,0,(L2946+H2946)/-N2946)</f>
        <v/>
      </c>
      <c r="P2946" s="7">
        <f>VLOOKUP(OPERAC[[#This Row],[especie]],[1]!ESPECIES[#All],6,0)</f>
        <v/>
      </c>
      <c r="Q2946" s="7">
        <f>IF(N2946&lt;&gt;0,P2946*N2946,0)</f>
        <v/>
      </c>
      <c r="R2946" s="8">
        <f>IF(Q2946&lt;&gt;0,Q2946+H2946+L2946,0)</f>
        <v/>
      </c>
      <c r="S2946" s="9">
        <f>VLOOKUP(OPERAC[[#This Row],[especie]],[1]!ESPECIES[#Data],9,FALSE)</f>
        <v/>
      </c>
    </row>
    <row r="2947">
      <c r="A2947" s="4" t="n">
        <v>2203</v>
      </c>
      <c r="B2947" s="5" t="n">
        <v>44543</v>
      </c>
      <c r="C2947" s="13" t="inlineStr">
        <is>
          <t>VTA</t>
        </is>
      </c>
      <c r="D2947" s="13" t="n">
        <v>40</v>
      </c>
      <c r="E2947" s="10">
        <f>IF(D2947&gt;0,VLOOKUP(OPERAC[[#This Row],[COD CART]],[1]!MatrizCortoLargoCyl[#All],3,0),"")</f>
        <v/>
      </c>
      <c r="F2947" s="13" t="inlineStr">
        <is>
          <t>VIST</t>
        </is>
      </c>
      <c r="G2947" s="6" t="n">
        <v>100</v>
      </c>
      <c r="H2947" s="6" t="n">
        <v>-559.9400000000001</v>
      </c>
      <c r="I2947" s="7">
        <f>-H2947/G2947</f>
        <v/>
      </c>
      <c r="J2947" s="11" t="n">
        <v>44574</v>
      </c>
      <c r="K2947" s="6">
        <f>+OPERAC[[#This Row],[cantidad]]</f>
        <v/>
      </c>
      <c r="L2947" s="6">
        <f>+OPERAC[[#This Row],[cantidad venta]]*6.125</f>
        <v/>
      </c>
      <c r="M2947" s="7">
        <f>IF(N2947=0,+L2947+H2947,0)</f>
        <v/>
      </c>
      <c r="N2947" s="7">
        <f>IF((+G2947-K2947)=0,0,+G2947-K2947)</f>
        <v/>
      </c>
      <c r="O2947" s="7">
        <f>IF(N2947=0,0,(L2947+H2947)/-N2947)</f>
        <v/>
      </c>
      <c r="P2947" s="7">
        <f>VLOOKUP(OPERAC[[#This Row],[especie]],[1]!ESPECIES[#All],6,0)</f>
        <v/>
      </c>
      <c r="Q2947" s="7">
        <f>IF(N2947&lt;&gt;0,P2947*N2947,0)</f>
        <v/>
      </c>
      <c r="R2947" s="8">
        <f>IF(Q2947&lt;&gt;0,Q2947+H2947+L2947,0)</f>
        <v/>
      </c>
      <c r="S2947" s="9">
        <f>VLOOKUP(OPERAC[[#This Row],[especie]],[1]!ESPECIES[#Data],9,FALSE)</f>
        <v/>
      </c>
    </row>
    <row r="2948">
      <c r="A2948" s="4" t="n">
        <v>7914</v>
      </c>
      <c r="B2948" s="5" t="n">
        <v>44543</v>
      </c>
      <c r="C2948" s="13" t="inlineStr">
        <is>
          <t>VTA</t>
        </is>
      </c>
      <c r="D2948" s="13" t="n">
        <v>40</v>
      </c>
      <c r="E2948" s="10">
        <f>IF(D2948&gt;0,VLOOKUP(OPERAC[[#This Row],[COD CART]],[1]!MatrizCortoLargoCyl[#All],3,0),"")</f>
        <v/>
      </c>
      <c r="F2948" s="13" t="inlineStr">
        <is>
          <t>VIST</t>
        </is>
      </c>
      <c r="G2948" s="6" t="n">
        <v>100</v>
      </c>
      <c r="H2948" s="6" t="n">
        <v>-559.9400000000001</v>
      </c>
      <c r="I2948" s="7">
        <f>-H2948/G2948</f>
        <v/>
      </c>
      <c r="J2948" s="11" t="n">
        <v>44573</v>
      </c>
      <c r="K2948" s="6" t="n">
        <v>100</v>
      </c>
      <c r="L2948" s="6" t="n">
        <v>596.164</v>
      </c>
      <c r="M2948" s="7">
        <f>IF(N2948=0,+L2948+H2948,0)</f>
        <v/>
      </c>
      <c r="N2948" s="7">
        <f>IF((+G2948-K2948)=0,0,+G2948-K2948)</f>
        <v/>
      </c>
      <c r="O2948" s="7">
        <f>IF(N2948=0,0,(L2948+H2948)/-N2948)</f>
        <v/>
      </c>
      <c r="P2948" s="7">
        <f>VLOOKUP(OPERAC[[#This Row],[especie]],[1]!ESPECIES[#All],6,0)</f>
        <v/>
      </c>
      <c r="Q2948" s="7">
        <f>IF(N2948&lt;&gt;0,P2948*N2948,0)</f>
        <v/>
      </c>
      <c r="R2948" s="8">
        <f>IF(Q2948&lt;&gt;0,Q2948+H2948+L2948,0)</f>
        <v/>
      </c>
      <c r="S2948" s="9">
        <f>VLOOKUP(OPERAC[[#This Row],[especie]],[1]!ESPECIES[#Data],9,FALSE)</f>
        <v/>
      </c>
    </row>
    <row r="2949">
      <c r="A2949" s="4" t="n">
        <v>12674</v>
      </c>
      <c r="B2949" s="5" t="n">
        <v>44543</v>
      </c>
      <c r="C2949" s="13" t="inlineStr">
        <is>
          <t>VTA</t>
        </is>
      </c>
      <c r="D2949" s="13" t="n">
        <v>40</v>
      </c>
      <c r="E2949" s="10">
        <f>IF(D2949&gt;0,VLOOKUP(OPERAC[[#This Row],[COD CART]],[1]!MatrizCortoLargoCyl[#All],3,0),"")</f>
        <v/>
      </c>
      <c r="F2949" s="13" t="inlineStr">
        <is>
          <t>VIST</t>
        </is>
      </c>
      <c r="G2949" s="6" t="n">
        <v>100</v>
      </c>
      <c r="H2949" s="6" t="n">
        <v>-559.9400000000001</v>
      </c>
      <c r="I2949" s="7">
        <f>-H2949/G2949</f>
        <v/>
      </c>
      <c r="J2949" s="11" t="n">
        <v>44574</v>
      </c>
      <c r="K2949" s="6">
        <f>+OPERAC[[#This Row],[cantidad]]</f>
        <v/>
      </c>
      <c r="L2949" s="6">
        <f>+OPERAC[[#This Row],[cantidad venta]]*6.125</f>
        <v/>
      </c>
      <c r="M2949" s="7">
        <f>IF(N2949=0,+L2949+H2949,0)</f>
        <v/>
      </c>
      <c r="N2949" s="7">
        <f>IF((+G2949-K2949)=0,0,+G2949-K2949)</f>
        <v/>
      </c>
      <c r="O2949" s="7">
        <f>IF(N2949=0,0,(L2949+H2949)/-N2949)</f>
        <v/>
      </c>
      <c r="P2949" s="7">
        <f>VLOOKUP(OPERAC[[#This Row],[especie]],[1]!ESPECIES[#All],6,0)</f>
        <v/>
      </c>
      <c r="Q2949" s="7">
        <f>IF(N2949&lt;&gt;0,P2949*N2949,0)</f>
        <v/>
      </c>
      <c r="R2949" s="8">
        <f>IF(Q2949&lt;&gt;0,Q2949+H2949+L2949,0)</f>
        <v/>
      </c>
      <c r="S2949" s="9">
        <f>VLOOKUP(OPERAC[[#This Row],[especie]],[1]!ESPECIES[#Data],9,FALSE)</f>
        <v/>
      </c>
    </row>
    <row r="2950">
      <c r="A2950" s="4" t="n">
        <v>13180</v>
      </c>
      <c r="B2950" s="5" t="n">
        <v>44543</v>
      </c>
      <c r="C2950" s="13" t="inlineStr">
        <is>
          <t>VTA</t>
        </is>
      </c>
      <c r="D2950" s="13" t="n">
        <v>40</v>
      </c>
      <c r="E2950" s="10">
        <f>IF(D2950&gt;0,VLOOKUP(OPERAC[[#This Row],[COD CART]],[1]!MatrizCortoLargoCyl[#All],3,0),"")</f>
        <v/>
      </c>
      <c r="F2950" s="13" t="inlineStr">
        <is>
          <t>VIST</t>
        </is>
      </c>
      <c r="G2950" s="6" t="n">
        <v>100</v>
      </c>
      <c r="H2950" s="6" t="n">
        <v>-559.9400000000001</v>
      </c>
      <c r="I2950" s="7">
        <f>-H2950/G2950</f>
        <v/>
      </c>
      <c r="J2950" s="11" t="n">
        <v>44574</v>
      </c>
      <c r="K2950" s="6">
        <f>+OPERAC[[#This Row],[cantidad]]</f>
        <v/>
      </c>
      <c r="L2950" s="6">
        <f>+OPERAC[[#This Row],[cantidad venta]]*6.125</f>
        <v/>
      </c>
      <c r="M2950" s="7">
        <f>IF(N2950=0,+L2950+H2950,0)</f>
        <v/>
      </c>
      <c r="N2950" s="7">
        <f>IF((+G2950-K2950)=0,0,+G2950-K2950)</f>
        <v/>
      </c>
      <c r="O2950" s="7">
        <f>IF(N2950=0,0,(L2950+H2950)/-N2950)</f>
        <v/>
      </c>
      <c r="P2950" s="7">
        <f>VLOOKUP(OPERAC[[#This Row],[especie]],[1]!ESPECIES[#All],6,0)</f>
        <v/>
      </c>
      <c r="Q2950" s="7">
        <f>IF(N2950&lt;&gt;0,P2950*N2950,0)</f>
        <v/>
      </c>
      <c r="R2950" s="8">
        <f>IF(Q2950&lt;&gt;0,Q2950+H2950+L2950,0)</f>
        <v/>
      </c>
      <c r="S2950" s="9">
        <f>VLOOKUP(OPERAC[[#This Row],[especie]],[1]!ESPECIES[#Data],9,FALSE)</f>
        <v/>
      </c>
    </row>
    <row r="2951">
      <c r="A2951" s="4" t="n">
        <v>13240</v>
      </c>
      <c r="B2951" s="5" t="n">
        <v>44543</v>
      </c>
      <c r="C2951" s="13" t="inlineStr">
        <is>
          <t>VTA</t>
        </is>
      </c>
      <c r="D2951" s="13" t="n">
        <v>40</v>
      </c>
      <c r="E2951" s="10">
        <f>IF(D2951&gt;0,VLOOKUP(OPERAC[[#This Row],[COD CART]],[1]!MatrizCortoLargoCyl[#All],3,0),"")</f>
        <v/>
      </c>
      <c r="F2951" s="13" t="inlineStr">
        <is>
          <t>VIST</t>
        </is>
      </c>
      <c r="G2951" s="6" t="n">
        <v>100</v>
      </c>
      <c r="H2951" s="6" t="n">
        <v>-559.9400000000001</v>
      </c>
      <c r="I2951" s="7">
        <f>-H2951/G2951</f>
        <v/>
      </c>
      <c r="J2951" s="11" t="n">
        <v>44574</v>
      </c>
      <c r="K2951" s="6">
        <f>+OPERAC[[#This Row],[cantidad]]</f>
        <v/>
      </c>
      <c r="L2951" s="6">
        <f>+OPERAC[[#This Row],[cantidad venta]]*6.125</f>
        <v/>
      </c>
      <c r="M2951" s="7">
        <f>IF(N2951=0,+L2951+H2951,0)</f>
        <v/>
      </c>
      <c r="N2951" s="7">
        <f>IF((+G2951-K2951)=0,0,+G2951-K2951)</f>
        <v/>
      </c>
      <c r="O2951" s="7">
        <f>IF(N2951=0,0,(L2951+H2951)/-N2951)</f>
        <v/>
      </c>
      <c r="P2951" s="7">
        <f>VLOOKUP(OPERAC[[#This Row],[especie]],[1]!ESPECIES[#All],6,0)</f>
        <v/>
      </c>
      <c r="Q2951" s="7">
        <f>IF(N2951&lt;&gt;0,P2951*N2951,0)</f>
        <v/>
      </c>
      <c r="R2951" s="8">
        <f>IF(Q2951&lt;&gt;0,Q2951+H2951+L2951,0)</f>
        <v/>
      </c>
      <c r="S2951" s="9">
        <f>VLOOKUP(OPERAC[[#This Row],[especie]],[1]!ESPECIES[#Data],9,FALSE)</f>
        <v/>
      </c>
    </row>
    <row r="2952">
      <c r="A2952" s="4" t="n">
        <v>15194</v>
      </c>
      <c r="B2952" s="5" t="n">
        <v>44543</v>
      </c>
      <c r="C2952" s="13" t="inlineStr">
        <is>
          <t>VTA</t>
        </is>
      </c>
      <c r="D2952" s="13" t="n">
        <v>40</v>
      </c>
      <c r="E2952" s="10">
        <f>IF(D2952&gt;0,VLOOKUP(OPERAC[[#This Row],[COD CART]],[1]!MatrizCortoLargoCyl[#All],3,0),"")</f>
        <v/>
      </c>
      <c r="F2952" s="13" t="inlineStr">
        <is>
          <t>VIST</t>
        </is>
      </c>
      <c r="G2952" s="6" t="n">
        <v>100</v>
      </c>
      <c r="H2952" s="6" t="n">
        <v>-559.9400000000001</v>
      </c>
      <c r="I2952" s="7">
        <f>-H2952/G2952</f>
        <v/>
      </c>
      <c r="J2952" s="11" t="n">
        <v>44574</v>
      </c>
      <c r="K2952" s="6">
        <f>+OPERAC[[#This Row],[cantidad]]</f>
        <v/>
      </c>
      <c r="L2952" s="6">
        <f>+OPERAC[[#This Row],[cantidad venta]]*6.125</f>
        <v/>
      </c>
      <c r="M2952" s="7">
        <f>IF(N2952=0,+L2952+H2952,0)</f>
        <v/>
      </c>
      <c r="N2952" s="7">
        <f>IF((+G2952-K2952)=0,0,+G2952-K2952)</f>
        <v/>
      </c>
      <c r="O2952" s="7">
        <f>IF(N2952=0,0,(L2952+H2952)/-N2952)</f>
        <v/>
      </c>
      <c r="P2952" s="7">
        <f>VLOOKUP(OPERAC[[#This Row],[especie]],[1]!ESPECIES[#All],6,0)</f>
        <v/>
      </c>
      <c r="Q2952" s="7">
        <f>IF(N2952&lt;&gt;0,P2952*N2952,0)</f>
        <v/>
      </c>
      <c r="R2952" s="8">
        <f>IF(Q2952&lt;&gt;0,Q2952+H2952+L2952,0)</f>
        <v/>
      </c>
      <c r="S2952" s="9">
        <f>VLOOKUP(OPERAC[[#This Row],[especie]],[1]!ESPECIES[#Data],9,FALSE)</f>
        <v/>
      </c>
    </row>
    <row r="2953">
      <c r="A2953" s="4" t="n">
        <v>18690</v>
      </c>
      <c r="B2953" s="5" t="n">
        <v>44543</v>
      </c>
      <c r="C2953" s="13" t="inlineStr">
        <is>
          <t>VTA</t>
        </is>
      </c>
      <c r="D2953" s="13" t="n">
        <v>40</v>
      </c>
      <c r="E2953" s="10">
        <f>IF(D2953&gt;0,VLOOKUP(OPERAC[[#This Row],[COD CART]],[1]!MatrizCortoLargoCyl[#All],3,0),"")</f>
        <v/>
      </c>
      <c r="F2953" s="13" t="inlineStr">
        <is>
          <t>VIST</t>
        </is>
      </c>
      <c r="G2953" s="6" t="n">
        <v>100</v>
      </c>
      <c r="H2953" s="6" t="n">
        <v>-559.9400000000001</v>
      </c>
      <c r="I2953" s="7">
        <f>-H2953/G2953</f>
        <v/>
      </c>
      <c r="J2953" s="11" t="n">
        <v>44574</v>
      </c>
      <c r="K2953" s="6">
        <f>+OPERAC[[#This Row],[cantidad]]</f>
        <v/>
      </c>
      <c r="L2953" s="6">
        <f>+OPERAC[[#This Row],[cantidad venta]]*6.125</f>
        <v/>
      </c>
      <c r="M2953" s="7">
        <f>IF(N2953=0,+L2953+H2953,0)</f>
        <v/>
      </c>
      <c r="N2953" s="7">
        <f>IF((+G2953-K2953)=0,0,+G2953-K2953)</f>
        <v/>
      </c>
      <c r="O2953" s="7">
        <f>IF(N2953=0,0,(L2953+H2953)/-N2953)</f>
        <v/>
      </c>
      <c r="P2953" s="7">
        <f>VLOOKUP(OPERAC[[#This Row],[especie]],[1]!ESPECIES[#All],6,0)</f>
        <v/>
      </c>
      <c r="Q2953" s="7">
        <f>IF(N2953&lt;&gt;0,P2953*N2953,0)</f>
        <v/>
      </c>
      <c r="R2953" s="8">
        <f>IF(Q2953&lt;&gt;0,Q2953+H2953+L2953,0)</f>
        <v/>
      </c>
      <c r="S2953" s="9">
        <f>VLOOKUP(OPERAC[[#This Row],[especie]],[1]!ESPECIES[#Data],9,FALSE)</f>
        <v/>
      </c>
    </row>
    <row r="2954">
      <c r="A2954" s="4" t="n">
        <v>19920</v>
      </c>
      <c r="B2954" s="5" t="n">
        <v>44543</v>
      </c>
      <c r="C2954" s="13" t="inlineStr">
        <is>
          <t>VTA</t>
        </is>
      </c>
      <c r="D2954" s="13" t="n">
        <v>40</v>
      </c>
      <c r="E2954" s="10">
        <f>IF(D2954&gt;0,VLOOKUP(OPERAC[[#This Row],[COD CART]],[1]!MatrizCortoLargoCyl[#All],3,0),"")</f>
        <v/>
      </c>
      <c r="F2954" s="13" t="inlineStr">
        <is>
          <t>VIST</t>
        </is>
      </c>
      <c r="G2954" s="6" t="n">
        <v>100</v>
      </c>
      <c r="H2954" s="6" t="n">
        <v>-559.9400000000001</v>
      </c>
      <c r="I2954" s="7">
        <f>-H2954/G2954</f>
        <v/>
      </c>
      <c r="J2954" s="11" t="n">
        <v>44574</v>
      </c>
      <c r="K2954" s="6">
        <f>+OPERAC[[#This Row],[cantidad]]</f>
        <v/>
      </c>
      <c r="L2954" s="6">
        <f>+OPERAC[[#This Row],[cantidad venta]]*6.125</f>
        <v/>
      </c>
      <c r="M2954" s="7">
        <f>IF(N2954=0,+L2954+H2954,0)</f>
        <v/>
      </c>
      <c r="N2954" s="7">
        <f>IF((+G2954-K2954)=0,0,+G2954-K2954)</f>
        <v/>
      </c>
      <c r="O2954" s="7">
        <f>IF(N2954=0,0,(L2954+H2954)/-N2954)</f>
        <v/>
      </c>
      <c r="P2954" s="7">
        <f>VLOOKUP(OPERAC[[#This Row],[especie]],[1]!ESPECIES[#All],6,0)</f>
        <v/>
      </c>
      <c r="Q2954" s="7">
        <f>IF(N2954&lt;&gt;0,P2954*N2954,0)</f>
        <v/>
      </c>
      <c r="R2954" s="8">
        <f>IF(Q2954&lt;&gt;0,Q2954+H2954+L2954,0)</f>
        <v/>
      </c>
      <c r="S2954" s="9">
        <f>VLOOKUP(OPERAC[[#This Row],[especie]],[1]!ESPECIES[#Data],9,FALSE)</f>
        <v/>
      </c>
    </row>
    <row r="2955">
      <c r="A2955" s="4" t="n">
        <v>16780</v>
      </c>
      <c r="B2955" s="5" t="n">
        <v>44648</v>
      </c>
      <c r="C2955" s="13" t="inlineStr">
        <is>
          <t>VTA</t>
        </is>
      </c>
      <c r="D2955" s="13" t="n">
        <v>42</v>
      </c>
      <c r="E2955" s="10">
        <f>IF(D2955&gt;0,VLOOKUP(OPERAC[[#This Row],[COD CART]],[1]!MatrizCortoLargoCyl[#All],3,0),"")</f>
        <v/>
      </c>
      <c r="F2955" s="13" t="inlineStr">
        <is>
          <t>JPM</t>
        </is>
      </c>
      <c r="G2955" s="6" t="n">
        <v>4</v>
      </c>
      <c r="H2955" s="6" t="n">
        <v>-560.52192</v>
      </c>
      <c r="I2955" s="7">
        <f>-H2955/G2955</f>
        <v/>
      </c>
      <c r="J2955" s="11" t="n">
        <v>44664</v>
      </c>
      <c r="K2955" s="6">
        <f>+OPERAC[[#This Row],[cantidad]]</f>
        <v/>
      </c>
      <c r="L2955" s="6">
        <f>+OPERAC[[#This Row],[cantidad venta]]*125.943</f>
        <v/>
      </c>
      <c r="M2955" s="7">
        <f>IF(N2955=0,+L2955+H2955,0)</f>
        <v/>
      </c>
      <c r="N2955" s="7">
        <f>IF((+G2955-K2955)=0,0,+G2955-K2955)</f>
        <v/>
      </c>
      <c r="O2955" s="7">
        <f>IF(N2955=0,0,(L2955+H2955)/-N2955)</f>
        <v/>
      </c>
      <c r="P2955" s="7">
        <f>VLOOKUP(OPERAC[[#This Row],[especie]],[1]!ESPECIES[#All],6,0)</f>
        <v/>
      </c>
      <c r="Q2955" s="7">
        <f>IF(N2955&lt;&gt;0,P2955*N2955,0)</f>
        <v/>
      </c>
      <c r="R2955" s="8">
        <f>IF(Q2955&lt;&gt;0,Q2955+H2955+L2955,0)</f>
        <v/>
      </c>
      <c r="S2955" s="9">
        <f>VLOOKUP(OPERAC[[#This Row],[especie]],[1]!ESPECIES[#Data],9,FALSE)</f>
        <v/>
      </c>
    </row>
    <row r="2956">
      <c r="A2956" s="4" t="n">
        <v>4561</v>
      </c>
      <c r="B2956" s="5" t="n">
        <v>44648</v>
      </c>
      <c r="C2956" s="13" t="inlineStr">
        <is>
          <t>VTA</t>
        </is>
      </c>
      <c r="D2956" s="13" t="n">
        <v>31</v>
      </c>
      <c r="E2956" s="10">
        <f>IF(D2956&gt;0,VLOOKUP(OPERAC[[#This Row],[COD CART]],[1]!MatrizCortoLargoCyl[#All],3,0),"")</f>
        <v/>
      </c>
      <c r="F2956" s="13" t="inlineStr">
        <is>
          <t>COST</t>
        </is>
      </c>
      <c r="G2956" s="6" t="n">
        <v>1</v>
      </c>
      <c r="H2956" s="6" t="n">
        <v>-560.8496000000001</v>
      </c>
      <c r="I2956" s="7">
        <f>-H2956/G2956</f>
        <v/>
      </c>
      <c r="J2956" s="11" t="n">
        <v>44693</v>
      </c>
      <c r="K2956" s="6" t="n">
        <v>1</v>
      </c>
      <c r="L2956" s="6" t="n">
        <v>491.145</v>
      </c>
      <c r="M2956" s="7">
        <f>IF(N2956=0,+L2956+H2956,0)</f>
        <v/>
      </c>
      <c r="N2956" s="7">
        <f>IF((+G2956-K2956)=0,0,+G2956-K2956)</f>
        <v/>
      </c>
      <c r="O2956" s="7">
        <f>IF(N2956=0,0,(L2956+H2956)/-N2956)</f>
        <v/>
      </c>
      <c r="P2956" s="7">
        <f>VLOOKUP(OPERAC[[#This Row],[especie]],[1]!ESPECIES[#All],6,0)</f>
        <v/>
      </c>
      <c r="Q2956" s="7">
        <f>IF(N2956&lt;&gt;0,P2956*N2956,0)</f>
        <v/>
      </c>
      <c r="R2956" s="8">
        <f>IF(Q2956&lt;&gt;0,Q2956+H2956+L2956,0)</f>
        <v/>
      </c>
      <c r="S2956" s="9">
        <f>VLOOKUP(OPERAC[[#This Row],[especie]],[1]!ESPECIES[#Data],9,FALSE)</f>
        <v/>
      </c>
    </row>
    <row r="2957">
      <c r="A2957" s="4" t="n">
        <v>19972</v>
      </c>
      <c r="B2957" s="5" t="n">
        <v>44686</v>
      </c>
      <c r="C2957" s="13" t="inlineStr">
        <is>
          <t>VTA</t>
        </is>
      </c>
      <c r="D2957" s="13" t="n">
        <v>41</v>
      </c>
      <c r="E2957" s="10">
        <f>IF(D2957&gt;0,VLOOKUP(OPERAC[[#This Row],[COD CART]],[1]!MatrizCortoLargoCyl[#All],3,0),"")</f>
        <v/>
      </c>
      <c r="F2957" s="13" t="inlineStr">
        <is>
          <t>MSFT</t>
        </is>
      </c>
      <c r="G2957" s="6" t="n">
        <v>2</v>
      </c>
      <c r="H2957" s="6" t="n">
        <v>-561.04323</v>
      </c>
      <c r="I2957" s="7">
        <f>-H2957/G2957</f>
        <v/>
      </c>
      <c r="J2957" s="11" t="n"/>
      <c r="K2957" s="6" t="n"/>
      <c r="L2957" s="6" t="n"/>
      <c r="M2957" s="7">
        <f>IF(N2957=0,+L2957+H2957,0)</f>
        <v/>
      </c>
      <c r="N2957" s="7">
        <f>IF((+G2957-K2957)=0,0,+G2957-K2957)</f>
        <v/>
      </c>
      <c r="O2957" s="7">
        <f>IF(N2957=0,0,(L2957+H2957)/-N2957)</f>
        <v/>
      </c>
      <c r="P2957" s="7">
        <f>VLOOKUP(OPERAC[[#This Row],[especie]],[1]!ESPECIES[#All],6,0)</f>
        <v/>
      </c>
      <c r="Q2957" s="7">
        <f>IF(N2957&lt;&gt;0,P2957*N2957,0)</f>
        <v/>
      </c>
      <c r="R2957" s="8">
        <f>IF(Q2957&lt;&gt;0,Q2957+H2957+L2957,0)</f>
        <v/>
      </c>
      <c r="S2957" s="9">
        <f>VLOOKUP(OPERAC[[#This Row],[especie]],[1]!ESPECIES[#Data],9,FALSE)</f>
        <v/>
      </c>
    </row>
    <row r="2958">
      <c r="A2958" s="4" t="n">
        <v>2279</v>
      </c>
      <c r="B2958" s="5" t="n">
        <v>44641</v>
      </c>
      <c r="C2958" s="13" t="inlineStr">
        <is>
          <t>VTA</t>
        </is>
      </c>
      <c r="D2958" s="13" t="n">
        <v>42</v>
      </c>
      <c r="E2958" s="10">
        <f>IF(D2958&gt;0,VLOOKUP(OPERAC[[#This Row],[COD CART]],[1]!MatrizCortoLargoCyl[#All],3,0),"")</f>
        <v/>
      </c>
      <c r="F2958" s="13" t="inlineStr">
        <is>
          <t>JPM</t>
        </is>
      </c>
      <c r="G2958" s="6" t="n">
        <v>4</v>
      </c>
      <c r="H2958" s="6" t="n">
        <v>-561.8173600000001</v>
      </c>
      <c r="I2958" s="7">
        <f>-H2958/G2958</f>
        <v/>
      </c>
      <c r="J2958" s="11" t="n">
        <v>44664</v>
      </c>
      <c r="K2958" s="6">
        <f>+OPERAC[[#This Row],[cantidad]]</f>
        <v/>
      </c>
      <c r="L2958" s="6">
        <f>+OPERAC[[#This Row],[cantidad venta]]*125.943</f>
        <v/>
      </c>
      <c r="M2958" s="7">
        <f>IF(N2958=0,+L2958+H2958,0)</f>
        <v/>
      </c>
      <c r="N2958" s="7">
        <f>IF((+G2958-K2958)=0,0,+G2958-K2958)</f>
        <v/>
      </c>
      <c r="O2958" s="7">
        <f>IF(N2958=0,0,(L2958+H2958)/-N2958)</f>
        <v/>
      </c>
      <c r="P2958" s="7">
        <f>VLOOKUP(OPERAC[[#This Row],[especie]],[1]!ESPECIES[#All],6,0)</f>
        <v/>
      </c>
      <c r="Q2958" s="7">
        <f>IF(N2958&lt;&gt;0,P2958*N2958,0)</f>
        <v/>
      </c>
      <c r="R2958" s="8">
        <f>IF(Q2958&lt;&gt;0,Q2958+H2958+L2958,0)</f>
        <v/>
      </c>
      <c r="S2958" s="9">
        <f>VLOOKUP(OPERAC[[#This Row],[especie]],[1]!ESPECIES[#Data],9,FALSE)</f>
        <v/>
      </c>
    </row>
    <row r="2959">
      <c r="A2959" s="4" t="n">
        <v>3787</v>
      </c>
      <c r="B2959" s="5" t="n">
        <v>44641</v>
      </c>
      <c r="C2959" s="13" t="inlineStr">
        <is>
          <t>VTA</t>
        </is>
      </c>
      <c r="D2959" s="13" t="n">
        <v>42</v>
      </c>
      <c r="E2959" s="10">
        <f>IF(D2959&gt;0,VLOOKUP(OPERAC[[#This Row],[COD CART]],[1]!MatrizCortoLargoCyl[#All],3,0),"")</f>
        <v/>
      </c>
      <c r="F2959" s="13" t="inlineStr">
        <is>
          <t>JPM</t>
        </is>
      </c>
      <c r="G2959" s="6" t="n">
        <v>4</v>
      </c>
      <c r="H2959" s="6" t="n">
        <v>-561.8173600000001</v>
      </c>
      <c r="I2959" s="7">
        <f>-H2959/G2959</f>
        <v/>
      </c>
      <c r="J2959" s="11" t="n">
        <v>44664</v>
      </c>
      <c r="K2959" s="6">
        <f>+OPERAC[[#This Row],[cantidad]]</f>
        <v/>
      </c>
      <c r="L2959" s="6">
        <f>+OPERAC[[#This Row],[cantidad venta]]*125.943</f>
        <v/>
      </c>
      <c r="M2959" s="7">
        <f>IF(N2959=0,+L2959+H2959,0)</f>
        <v/>
      </c>
      <c r="N2959" s="7">
        <f>IF((+G2959-K2959)=0,0,+G2959-K2959)</f>
        <v/>
      </c>
      <c r="O2959" s="7">
        <f>IF(N2959=0,0,(L2959+H2959)/-N2959)</f>
        <v/>
      </c>
      <c r="P2959" s="7">
        <f>VLOOKUP(OPERAC[[#This Row],[especie]],[1]!ESPECIES[#All],6,0)</f>
        <v/>
      </c>
      <c r="Q2959" s="7">
        <f>IF(N2959&lt;&gt;0,P2959*N2959,0)</f>
        <v/>
      </c>
      <c r="R2959" s="8">
        <f>IF(Q2959&lt;&gt;0,Q2959+H2959+L2959,0)</f>
        <v/>
      </c>
      <c r="S2959" s="9">
        <f>VLOOKUP(OPERAC[[#This Row],[especie]],[1]!ESPECIES[#Data],9,FALSE)</f>
        <v/>
      </c>
    </row>
    <row r="2960">
      <c r="A2960" s="4" t="n">
        <v>6628</v>
      </c>
      <c r="B2960" s="5" t="n">
        <v>44641</v>
      </c>
      <c r="C2960" s="13" t="inlineStr">
        <is>
          <t>VTA</t>
        </is>
      </c>
      <c r="D2960" s="13" t="n">
        <v>42</v>
      </c>
      <c r="E2960" s="10">
        <f>IF(D2960&gt;0,VLOOKUP(OPERAC[[#This Row],[COD CART]],[1]!MatrizCortoLargoCyl[#All],3,0),"")</f>
        <v/>
      </c>
      <c r="F2960" s="13" t="inlineStr">
        <is>
          <t>JPM</t>
        </is>
      </c>
      <c r="G2960" s="6" t="n">
        <v>4</v>
      </c>
      <c r="H2960" s="6" t="n">
        <v>-561.8173600000001</v>
      </c>
      <c r="I2960" s="7">
        <f>-H2960/G2960</f>
        <v/>
      </c>
      <c r="J2960" s="11" t="n">
        <v>44664</v>
      </c>
      <c r="K2960" s="6">
        <f>+OPERAC[[#This Row],[cantidad]]</f>
        <v/>
      </c>
      <c r="L2960" s="6">
        <f>+OPERAC[[#This Row],[cantidad venta]]*125.943</f>
        <v/>
      </c>
      <c r="M2960" s="7">
        <f>IF(N2960=0,+L2960+H2960,0)</f>
        <v/>
      </c>
      <c r="N2960" s="7">
        <f>IF((+G2960-K2960)=0,0,+G2960-K2960)</f>
        <v/>
      </c>
      <c r="O2960" s="7">
        <f>IF(N2960=0,0,(L2960+H2960)/-N2960)</f>
        <v/>
      </c>
      <c r="P2960" s="7">
        <f>VLOOKUP(OPERAC[[#This Row],[especie]],[1]!ESPECIES[#All],6,0)</f>
        <v/>
      </c>
      <c r="Q2960" s="7">
        <f>IF(N2960&lt;&gt;0,P2960*N2960,0)</f>
        <v/>
      </c>
      <c r="R2960" s="8">
        <f>IF(Q2960&lt;&gt;0,Q2960+H2960+L2960,0)</f>
        <v/>
      </c>
      <c r="S2960" s="9">
        <f>VLOOKUP(OPERAC[[#This Row],[especie]],[1]!ESPECIES[#Data],9,FALSE)</f>
        <v/>
      </c>
    </row>
    <row r="2961">
      <c r="A2961" s="4" t="n">
        <v>12672</v>
      </c>
      <c r="B2961" s="5" t="n">
        <v>44641</v>
      </c>
      <c r="C2961" s="13" t="inlineStr">
        <is>
          <t>VTA</t>
        </is>
      </c>
      <c r="D2961" s="13" t="n">
        <v>42</v>
      </c>
      <c r="E2961" s="10">
        <f>IF(D2961&gt;0,VLOOKUP(OPERAC[[#This Row],[COD CART]],[1]!MatrizCortoLargoCyl[#All],3,0),"")</f>
        <v/>
      </c>
      <c r="F2961" s="13" t="inlineStr">
        <is>
          <t>JPM</t>
        </is>
      </c>
      <c r="G2961" s="6" t="n">
        <v>4</v>
      </c>
      <c r="H2961" s="6" t="n">
        <v>-561.8173600000001</v>
      </c>
      <c r="I2961" s="7">
        <f>-H2961/G2961</f>
        <v/>
      </c>
      <c r="J2961" s="11" t="n">
        <v>44664</v>
      </c>
      <c r="K2961" s="6">
        <f>+OPERAC[[#This Row],[cantidad]]</f>
        <v/>
      </c>
      <c r="L2961" s="6">
        <f>+OPERAC[[#This Row],[cantidad venta]]*125.943</f>
        <v/>
      </c>
      <c r="M2961" s="7">
        <f>IF(N2961=0,+L2961+H2961,0)</f>
        <v/>
      </c>
      <c r="N2961" s="7">
        <f>IF((+G2961-K2961)=0,0,+G2961-K2961)</f>
        <v/>
      </c>
      <c r="O2961" s="7">
        <f>IF(N2961=0,0,(L2961+H2961)/-N2961)</f>
        <v/>
      </c>
      <c r="P2961" s="7">
        <f>VLOOKUP(OPERAC[[#This Row],[especie]],[1]!ESPECIES[#All],6,0)</f>
        <v/>
      </c>
      <c r="Q2961" s="7">
        <f>IF(N2961&lt;&gt;0,P2961*N2961,0)</f>
        <v/>
      </c>
      <c r="R2961" s="8">
        <f>IF(Q2961&lt;&gt;0,Q2961+H2961+L2961,0)</f>
        <v/>
      </c>
      <c r="S2961" s="9">
        <f>VLOOKUP(OPERAC[[#This Row],[especie]],[1]!ESPECIES[#Data],9,FALSE)</f>
        <v/>
      </c>
    </row>
    <row r="2962">
      <c r="A2962" s="4" t="n">
        <v>12684</v>
      </c>
      <c r="B2962" s="5" t="n">
        <v>44641</v>
      </c>
      <c r="C2962" s="13" t="inlineStr">
        <is>
          <t>VTA</t>
        </is>
      </c>
      <c r="D2962" s="13" t="n">
        <v>42</v>
      </c>
      <c r="E2962" s="10">
        <f>IF(D2962&gt;0,VLOOKUP(OPERAC[[#This Row],[COD CART]],[1]!MatrizCortoLargoCyl[#All],3,0),"")</f>
        <v/>
      </c>
      <c r="F2962" s="13" t="inlineStr">
        <is>
          <t>JPM</t>
        </is>
      </c>
      <c r="G2962" s="6" t="n">
        <v>4</v>
      </c>
      <c r="H2962" s="6" t="n">
        <v>-561.8173600000001</v>
      </c>
      <c r="I2962" s="7">
        <f>-H2962/G2962</f>
        <v/>
      </c>
      <c r="J2962" s="11" t="n">
        <v>44664</v>
      </c>
      <c r="K2962" s="6">
        <f>+OPERAC[[#This Row],[cantidad]]</f>
        <v/>
      </c>
      <c r="L2962" s="6">
        <f>+OPERAC[[#This Row],[cantidad venta]]*125.943</f>
        <v/>
      </c>
      <c r="M2962" s="7">
        <f>IF(N2962=0,+L2962+H2962,0)</f>
        <v/>
      </c>
      <c r="N2962" s="7">
        <f>IF((+G2962-K2962)=0,0,+G2962-K2962)</f>
        <v/>
      </c>
      <c r="O2962" s="7">
        <f>IF(N2962=0,0,(L2962+H2962)/-N2962)</f>
        <v/>
      </c>
      <c r="P2962" s="7">
        <f>VLOOKUP(OPERAC[[#This Row],[especie]],[1]!ESPECIES[#All],6,0)</f>
        <v/>
      </c>
      <c r="Q2962" s="7">
        <f>IF(N2962&lt;&gt;0,P2962*N2962,0)</f>
        <v/>
      </c>
      <c r="R2962" s="8">
        <f>IF(Q2962&lt;&gt;0,Q2962+H2962+L2962,0)</f>
        <v/>
      </c>
      <c r="S2962" s="9">
        <f>VLOOKUP(OPERAC[[#This Row],[especie]],[1]!ESPECIES[#Data],9,FALSE)</f>
        <v/>
      </c>
    </row>
    <row r="2963">
      <c r="A2963" s="4" t="n">
        <v>13230</v>
      </c>
      <c r="B2963" s="5" t="n">
        <v>44641</v>
      </c>
      <c r="C2963" s="13" t="inlineStr">
        <is>
          <t>VTA</t>
        </is>
      </c>
      <c r="D2963" s="13" t="n">
        <v>42</v>
      </c>
      <c r="E2963" s="10">
        <f>IF(D2963&gt;0,VLOOKUP(OPERAC[[#This Row],[COD CART]],[1]!MatrizCortoLargoCyl[#All],3,0),"")</f>
        <v/>
      </c>
      <c r="F2963" s="13" t="inlineStr">
        <is>
          <t>JPM</t>
        </is>
      </c>
      <c r="G2963" s="6" t="n">
        <v>4</v>
      </c>
      <c r="H2963" s="6" t="n">
        <v>-561.8173600000001</v>
      </c>
      <c r="I2963" s="7">
        <f>-H2963/G2963</f>
        <v/>
      </c>
      <c r="J2963" s="11" t="n">
        <v>44645</v>
      </c>
      <c r="K2963" s="6" t="n">
        <v>4</v>
      </c>
      <c r="L2963" s="6" t="n">
        <v>565.313</v>
      </c>
      <c r="M2963" s="7">
        <f>IF(N2963=0,+L2963+H2963,0)</f>
        <v/>
      </c>
      <c r="N2963" s="7">
        <f>IF((+G2963-K2963)=0,0,+G2963-K2963)</f>
        <v/>
      </c>
      <c r="O2963" s="7">
        <f>IF(N2963=0,0,(L2963+H2963)/-N2963)</f>
        <v/>
      </c>
      <c r="P2963" s="7">
        <f>VLOOKUP(OPERAC[[#This Row],[especie]],[1]!ESPECIES[#All],6,0)</f>
        <v/>
      </c>
      <c r="Q2963" s="7">
        <f>IF(N2963&lt;&gt;0,P2963*N2963,0)</f>
        <v/>
      </c>
      <c r="R2963" s="8">
        <f>IF(Q2963&lt;&gt;0,Q2963+H2963+L2963,0)</f>
        <v/>
      </c>
      <c r="S2963" s="9">
        <f>VLOOKUP(OPERAC[[#This Row],[especie]],[1]!ESPECIES[#Data],9,FALSE)</f>
        <v/>
      </c>
    </row>
    <row r="2964">
      <c r="A2964" s="4" t="n">
        <v>18690</v>
      </c>
      <c r="B2964" s="5" t="n">
        <v>44641</v>
      </c>
      <c r="C2964" s="13" t="inlineStr">
        <is>
          <t>VTA</t>
        </is>
      </c>
      <c r="D2964" s="13" t="n">
        <v>42</v>
      </c>
      <c r="E2964" s="10">
        <f>IF(D2964&gt;0,VLOOKUP(OPERAC[[#This Row],[COD CART]],[1]!MatrizCortoLargoCyl[#All],3,0),"")</f>
        <v/>
      </c>
      <c r="F2964" s="13" t="inlineStr">
        <is>
          <t>JPM</t>
        </is>
      </c>
      <c r="G2964" s="6" t="n">
        <v>4</v>
      </c>
      <c r="H2964" s="6" t="n">
        <v>-561.8173600000001</v>
      </c>
      <c r="I2964" s="7">
        <f>-H2964/G2964</f>
        <v/>
      </c>
      <c r="J2964" s="11" t="n">
        <v>44664</v>
      </c>
      <c r="K2964" s="6">
        <f>+OPERAC[[#This Row],[cantidad]]</f>
        <v/>
      </c>
      <c r="L2964" s="6">
        <f>+OPERAC[[#This Row],[cantidad venta]]*125.943</f>
        <v/>
      </c>
      <c r="M2964" s="7">
        <f>IF(N2964=0,+L2964+H2964,0)</f>
        <v/>
      </c>
      <c r="N2964" s="7">
        <f>IF((+G2964-K2964)=0,0,+G2964-K2964)</f>
        <v/>
      </c>
      <c r="O2964" s="7">
        <f>IF(N2964=0,0,(L2964+H2964)/-N2964)</f>
        <v/>
      </c>
      <c r="P2964" s="7">
        <f>VLOOKUP(OPERAC[[#This Row],[especie]],[1]!ESPECIES[#All],6,0)</f>
        <v/>
      </c>
      <c r="Q2964" s="7">
        <f>IF(N2964&lt;&gt;0,P2964*N2964,0)</f>
        <v/>
      </c>
      <c r="R2964" s="8">
        <f>IF(Q2964&lt;&gt;0,Q2964+H2964+L2964,0)</f>
        <v/>
      </c>
      <c r="S2964" s="9">
        <f>VLOOKUP(OPERAC[[#This Row],[especie]],[1]!ESPECIES[#Data],9,FALSE)</f>
        <v/>
      </c>
    </row>
    <row r="2965">
      <c r="A2965" s="4" t="n">
        <v>19934</v>
      </c>
      <c r="B2965" s="5" t="n">
        <v>44641</v>
      </c>
      <c r="C2965" s="13" t="inlineStr">
        <is>
          <t>VTA</t>
        </is>
      </c>
      <c r="D2965" s="13" t="n">
        <v>42</v>
      </c>
      <c r="E2965" s="10">
        <f>IF(D2965&gt;0,VLOOKUP(OPERAC[[#This Row],[COD CART]],[1]!MatrizCortoLargoCyl[#All],3,0),"")</f>
        <v/>
      </c>
      <c r="F2965" s="13" t="inlineStr">
        <is>
          <t>JPM</t>
        </is>
      </c>
      <c r="G2965" s="6" t="n">
        <v>4</v>
      </c>
      <c r="H2965" s="6" t="n">
        <v>-561.8173600000001</v>
      </c>
      <c r="I2965" s="7">
        <f>-H2965/G2965</f>
        <v/>
      </c>
      <c r="J2965" s="11" t="n">
        <v>44664</v>
      </c>
      <c r="K2965" s="6">
        <f>+OPERAC[[#This Row],[cantidad]]</f>
        <v/>
      </c>
      <c r="L2965" s="6">
        <f>+OPERAC[[#This Row],[cantidad venta]]*125.943</f>
        <v/>
      </c>
      <c r="M2965" s="7">
        <f>IF(N2965=0,+L2965+H2965,0)</f>
        <v/>
      </c>
      <c r="N2965" s="7">
        <f>IF((+G2965-K2965)=0,0,+G2965-K2965)</f>
        <v/>
      </c>
      <c r="O2965" s="7">
        <f>IF(N2965=0,0,(L2965+H2965)/-N2965)</f>
        <v/>
      </c>
      <c r="P2965" s="7">
        <f>VLOOKUP(OPERAC[[#This Row],[especie]],[1]!ESPECIES[#All],6,0)</f>
        <v/>
      </c>
      <c r="Q2965" s="7">
        <f>IF(N2965&lt;&gt;0,P2965*N2965,0)</f>
        <v/>
      </c>
      <c r="R2965" s="8">
        <f>IF(Q2965&lt;&gt;0,Q2965+H2965+L2965,0)</f>
        <v/>
      </c>
      <c r="S2965" s="9">
        <f>VLOOKUP(OPERAC[[#This Row],[especie]],[1]!ESPECIES[#Data],9,FALSE)</f>
        <v/>
      </c>
    </row>
    <row r="2966">
      <c r="A2966" s="4" t="n">
        <v>20312</v>
      </c>
      <c r="B2966" s="5" t="n">
        <v>44641</v>
      </c>
      <c r="C2966" s="13" t="inlineStr">
        <is>
          <t>VTA</t>
        </is>
      </c>
      <c r="D2966" s="13" t="n">
        <v>42</v>
      </c>
      <c r="E2966" s="10">
        <f>IF(D2966&gt;0,VLOOKUP(OPERAC[[#This Row],[COD CART]],[1]!MatrizCortoLargoCyl[#All],3,0),"")</f>
        <v/>
      </c>
      <c r="F2966" s="13" t="inlineStr">
        <is>
          <t>JPM</t>
        </is>
      </c>
      <c r="G2966" s="6" t="n">
        <v>4</v>
      </c>
      <c r="H2966" s="6" t="n">
        <v>-561.8173600000001</v>
      </c>
      <c r="I2966" s="7">
        <f>-H2966/G2966</f>
        <v/>
      </c>
      <c r="J2966" s="11" t="n">
        <v>44664</v>
      </c>
      <c r="K2966" s="6">
        <f>+OPERAC[[#This Row],[cantidad]]</f>
        <v/>
      </c>
      <c r="L2966" s="6">
        <f>+OPERAC[[#This Row],[cantidad venta]]*125.943</f>
        <v/>
      </c>
      <c r="M2966" s="7">
        <f>IF(N2966=0,+L2966+H2966,0)</f>
        <v/>
      </c>
      <c r="N2966" s="7">
        <f>IF((+G2966-K2966)=0,0,+G2966-K2966)</f>
        <v/>
      </c>
      <c r="O2966" s="7">
        <f>IF(N2966=0,0,(L2966+H2966)/-N2966)</f>
        <v/>
      </c>
      <c r="P2966" s="7">
        <f>VLOOKUP(OPERAC[[#This Row],[especie]],[1]!ESPECIES[#All],6,0)</f>
        <v/>
      </c>
      <c r="Q2966" s="7">
        <f>IF(N2966&lt;&gt;0,P2966*N2966,0)</f>
        <v/>
      </c>
      <c r="R2966" s="8">
        <f>IF(Q2966&lt;&gt;0,Q2966+H2966+L2966,0)</f>
        <v/>
      </c>
      <c r="S2966" s="9">
        <f>VLOOKUP(OPERAC[[#This Row],[especie]],[1]!ESPECIES[#Data],9,FALSE)</f>
        <v/>
      </c>
    </row>
    <row r="2967">
      <c r="A2967" s="4" t="n">
        <v>26137</v>
      </c>
      <c r="B2967" s="5" t="n">
        <v>44468</v>
      </c>
      <c r="C2967" s="13" t="inlineStr">
        <is>
          <t>VTA</t>
        </is>
      </c>
      <c r="D2967" s="13" t="n">
        <v>43</v>
      </c>
      <c r="E2967" s="10">
        <f>IF(D2967&gt;0,VLOOKUP(OPERAC[[#This Row],[COD CART]],[1]!MatrizCortoLargoCyl[#All],3,0),"")</f>
        <v/>
      </c>
      <c r="F2967" s="13" t="inlineStr">
        <is>
          <t>SOLO/CYL-PUT/4,00/16-09-22</t>
        </is>
      </c>
      <c r="G2967" s="6" t="n">
        <v>300</v>
      </c>
      <c r="H2967" s="6">
        <f>-840.601+0.32*OPERAC[[#This Row],[cantidad]]+0.387*OPERAC[[#This Row],[cantidad]]+0.22*OPERAC[[#This Row],[cantidad]]</f>
        <v/>
      </c>
      <c r="I2967" s="7">
        <f>-H2967/G2967</f>
        <v/>
      </c>
      <c r="J2967" s="11" t="n"/>
      <c r="K2967" s="6" t="n"/>
      <c r="L2967" s="6" t="n"/>
      <c r="M2967" s="7">
        <f>IF(N2967=0,+L2967+H2967,0)</f>
        <v/>
      </c>
      <c r="N2967" s="7">
        <f>IF((+G2967-K2967)=0,0,+G2967-K2967)</f>
        <v/>
      </c>
      <c r="O2967" s="7">
        <f>IF(N2967=0,0,(L2967+H2967)/-N2967)</f>
        <v/>
      </c>
      <c r="P2967" s="7">
        <f>VLOOKUP(OPERAC[[#This Row],[especie]],[1]!ESPECIES[#All],6,0)</f>
        <v/>
      </c>
      <c r="Q2967" s="7">
        <f>IF(N2967&lt;&gt;0,P2967*N2967,0)</f>
        <v/>
      </c>
      <c r="R2967" s="8">
        <f>IF(Q2967&lt;&gt;0,Q2967+H2967+L2967,0)</f>
        <v/>
      </c>
      <c r="S2967" s="9">
        <f>VLOOKUP(OPERAC[[#This Row],[especie]],[1]!ESPECIES[#Data],9,FALSE)</f>
        <v/>
      </c>
    </row>
    <row r="2968">
      <c r="A2968" s="4" t="n">
        <v>2194</v>
      </c>
      <c r="B2968" s="5" t="n">
        <v>44312</v>
      </c>
      <c r="C2968" s="13" t="inlineStr">
        <is>
          <t>VTA</t>
        </is>
      </c>
      <c r="D2968" s="13" t="n">
        <v>41</v>
      </c>
      <c r="E2968" s="10">
        <f>IF(D2968&gt;0,VLOOKUP(OPERAC[[#This Row],[COD CART]],[1]!MatrizCortoLargoCyl[#All],3,0),"")</f>
        <v/>
      </c>
      <c r="F2968" s="13" t="inlineStr">
        <is>
          <t>ABBV</t>
        </is>
      </c>
      <c r="G2968" s="6" t="n">
        <v>5</v>
      </c>
      <c r="H2968" s="6" t="n">
        <v>-562.7583999999999</v>
      </c>
      <c r="I2968" s="7">
        <f>-H2968/G2968</f>
        <v/>
      </c>
      <c r="J2968" s="11" t="n"/>
      <c r="K2968" s="6" t="n"/>
      <c r="L2968" s="6" t="n"/>
      <c r="M2968" s="7">
        <f>IF(N2968=0,+L2968+H2968,0)</f>
        <v/>
      </c>
      <c r="N2968" s="7">
        <f>IF((+G2968-K2968)=0,0,+G2968-K2968)</f>
        <v/>
      </c>
      <c r="O2968" s="7">
        <f>IF(N2968=0,0,(L2968+H2968)/-N2968)</f>
        <v/>
      </c>
      <c r="P2968" s="7">
        <f>VLOOKUP(OPERAC[[#This Row],[especie]],[1]!ESPECIES[#All],6,0)</f>
        <v/>
      </c>
      <c r="Q2968" s="7">
        <f>IF(N2968&lt;&gt;0,P2968*N2968,0)</f>
        <v/>
      </c>
      <c r="R2968" s="8">
        <f>IF(Q2968&lt;&gt;0,Q2968+H2968+L2968,0)</f>
        <v/>
      </c>
      <c r="S2968" s="9">
        <f>VLOOKUP(OPERAC[[#This Row],[especie]],[1]!ESPECIES[#Data],9,FALSE)</f>
        <v/>
      </c>
    </row>
    <row r="2969">
      <c r="A2969" s="4" t="n">
        <v>13253</v>
      </c>
      <c r="B2969" s="5" t="n">
        <v>44676</v>
      </c>
      <c r="C2969" s="13" t="inlineStr">
        <is>
          <t>VTA</t>
        </is>
      </c>
      <c r="D2969" s="13" t="n">
        <v>41</v>
      </c>
      <c r="E2969" s="10">
        <f>IF(D2969&gt;0,VLOOKUP(OPERAC[[#This Row],[COD CART]],[1]!MatrizCortoLargoCyl[#All],3,0),"")</f>
        <v/>
      </c>
      <c r="F2969" s="13" t="inlineStr">
        <is>
          <t>MPW</t>
        </is>
      </c>
      <c r="G2969" s="6" t="n">
        <v>30</v>
      </c>
      <c r="H2969" s="6" t="n">
        <v>-563.499</v>
      </c>
      <c r="I2969" s="7">
        <f>-H2969/G2969</f>
        <v/>
      </c>
      <c r="J2969" s="11" t="n"/>
      <c r="K2969" s="6" t="n"/>
      <c r="L2969" s="6" t="n"/>
      <c r="M2969" s="7">
        <f>IF(N2969=0,+L2969+H2969,0)</f>
        <v/>
      </c>
      <c r="N2969" s="7">
        <f>IF((+G2969-K2969)=0,0,+G2969-K2969)</f>
        <v/>
      </c>
      <c r="O2969" s="7">
        <f>IF(N2969=0,0,(L2969+H2969)/-N2969)</f>
        <v/>
      </c>
      <c r="P2969" s="7">
        <f>VLOOKUP(OPERAC[[#This Row],[especie]],[1]!ESPECIES[#All],6,0)</f>
        <v/>
      </c>
      <c r="Q2969" s="7">
        <f>IF(N2969&lt;&gt;0,P2969*N2969,0)</f>
        <v/>
      </c>
      <c r="R2969" s="8">
        <f>IF(Q2969&lt;&gt;0,Q2969+H2969+L2969,0)</f>
        <v/>
      </c>
      <c r="S2969" s="9">
        <f>VLOOKUP(OPERAC[[#This Row],[especie]],[1]!ESPECIES[#Data],9,FALSE)</f>
        <v/>
      </c>
    </row>
    <row r="2970">
      <c r="A2970" s="4" t="n">
        <v>2306</v>
      </c>
      <c r="B2970" s="5" t="n">
        <v>44649</v>
      </c>
      <c r="C2970" s="13" t="inlineStr">
        <is>
          <t>VTA</t>
        </is>
      </c>
      <c r="D2970" s="13" t="n">
        <v>42</v>
      </c>
      <c r="E2970" s="10">
        <f>IF(D2970&gt;0,VLOOKUP(OPERAC[[#This Row],[COD CART]],[1]!MatrizCortoLargoCyl[#All],3,0),"")</f>
        <v/>
      </c>
      <c r="F2970" s="13" t="inlineStr">
        <is>
          <t>SMH</t>
        </is>
      </c>
      <c r="G2970" s="6" t="n">
        <v>2</v>
      </c>
      <c r="H2970" s="6" t="n">
        <v>-563.8843999999999</v>
      </c>
      <c r="I2970" s="7">
        <f>-H2970/G2970</f>
        <v/>
      </c>
      <c r="J2970" s="11" t="n">
        <v>44663</v>
      </c>
      <c r="K2970" s="6">
        <f>+OPERAC[[#This Row],[cantidad]]</f>
        <v/>
      </c>
      <c r="L2970" s="6">
        <f>+OPERAC[[#This Row],[cantidad venta]]*238.066</f>
        <v/>
      </c>
      <c r="M2970" s="7">
        <f>IF(N2970=0,+L2970+H2970,0)</f>
        <v/>
      </c>
      <c r="N2970" s="7">
        <f>IF((+G2970-K2970)=0,0,+G2970-K2970)</f>
        <v/>
      </c>
      <c r="O2970" s="7">
        <f>IF(N2970=0,0,(L2970+H2970)/-N2970)</f>
        <v/>
      </c>
      <c r="P2970" s="7">
        <f>VLOOKUP(OPERAC[[#This Row],[especie]],[1]!ESPECIES[#All],6,0)</f>
        <v/>
      </c>
      <c r="Q2970" s="7">
        <f>IF(N2970&lt;&gt;0,P2970*N2970,0)</f>
        <v/>
      </c>
      <c r="R2970" s="8">
        <f>IF(Q2970&lt;&gt;0,Q2970+H2970+L2970,0)</f>
        <v/>
      </c>
      <c r="S2970" s="9">
        <f>VLOOKUP(OPERAC[[#This Row],[especie]],[1]!ESPECIES[#Data],9,FALSE)</f>
        <v/>
      </c>
    </row>
    <row r="2971">
      <c r="A2971" s="4" t="n">
        <v>3787</v>
      </c>
      <c r="B2971" s="5" t="n">
        <v>44649</v>
      </c>
      <c r="C2971" s="13" t="inlineStr">
        <is>
          <t>VTA</t>
        </is>
      </c>
      <c r="D2971" s="13" t="n">
        <v>42</v>
      </c>
      <c r="E2971" s="10">
        <f>IF(D2971&gt;0,VLOOKUP(OPERAC[[#This Row],[COD CART]],[1]!MatrizCortoLargoCyl[#All],3,0),"")</f>
        <v/>
      </c>
      <c r="F2971" s="13" t="inlineStr">
        <is>
          <t>SMH</t>
        </is>
      </c>
      <c r="G2971" s="6" t="n">
        <v>2</v>
      </c>
      <c r="H2971" s="6" t="n">
        <v>-563.8843999999999</v>
      </c>
      <c r="I2971" s="7">
        <f>-H2971/G2971</f>
        <v/>
      </c>
      <c r="J2971" s="11" t="n">
        <v>44663</v>
      </c>
      <c r="K2971" s="6">
        <f>+OPERAC[[#This Row],[cantidad]]</f>
        <v/>
      </c>
      <c r="L2971" s="6">
        <f>+OPERAC[[#This Row],[cantidad venta]]*238.066</f>
        <v/>
      </c>
      <c r="M2971" s="7">
        <f>IF(N2971=0,+L2971+H2971,0)</f>
        <v/>
      </c>
      <c r="N2971" s="7">
        <f>IF((+G2971-K2971)=0,0,+G2971-K2971)</f>
        <v/>
      </c>
      <c r="O2971" s="7">
        <f>IF(N2971=0,0,(L2971+H2971)/-N2971)</f>
        <v/>
      </c>
      <c r="P2971" s="7">
        <f>VLOOKUP(OPERAC[[#This Row],[especie]],[1]!ESPECIES[#All],6,0)</f>
        <v/>
      </c>
      <c r="Q2971" s="7">
        <f>IF(N2971&lt;&gt;0,P2971*N2971,0)</f>
        <v/>
      </c>
      <c r="R2971" s="8">
        <f>IF(Q2971&lt;&gt;0,Q2971+H2971+L2971,0)</f>
        <v/>
      </c>
      <c r="S2971" s="9">
        <f>VLOOKUP(OPERAC[[#This Row],[especie]],[1]!ESPECIES[#Data],9,FALSE)</f>
        <v/>
      </c>
    </row>
    <row r="2972">
      <c r="A2972" s="4" t="n">
        <v>8066</v>
      </c>
      <c r="B2972" s="5" t="n">
        <v>44649</v>
      </c>
      <c r="C2972" s="13" t="inlineStr">
        <is>
          <t>VTA</t>
        </is>
      </c>
      <c r="D2972" s="13" t="n">
        <v>42</v>
      </c>
      <c r="E2972" s="10">
        <f>IF(D2972&gt;0,VLOOKUP(OPERAC[[#This Row],[COD CART]],[1]!MatrizCortoLargoCyl[#All],3,0),"")</f>
        <v/>
      </c>
      <c r="F2972" s="13" t="inlineStr">
        <is>
          <t>SMH</t>
        </is>
      </c>
      <c r="G2972" s="6" t="n">
        <v>2</v>
      </c>
      <c r="H2972" s="6" t="n">
        <v>-563.8843999999999</v>
      </c>
      <c r="I2972" s="7">
        <f>-H2972/G2972</f>
        <v/>
      </c>
      <c r="J2972" s="11" t="n">
        <v>44663</v>
      </c>
      <c r="K2972" s="6">
        <f>+OPERAC[[#This Row],[cantidad]]</f>
        <v/>
      </c>
      <c r="L2972" s="6">
        <f>+OPERAC[[#This Row],[cantidad venta]]*238.066</f>
        <v/>
      </c>
      <c r="M2972" s="7">
        <f>IF(N2972=0,+L2972+H2972,0)</f>
        <v/>
      </c>
      <c r="N2972" s="7">
        <f>IF((+G2972-K2972)=0,0,+G2972-K2972)</f>
        <v/>
      </c>
      <c r="O2972" s="7">
        <f>IF(N2972=0,0,(L2972+H2972)/-N2972)</f>
        <v/>
      </c>
      <c r="P2972" s="7">
        <f>VLOOKUP(OPERAC[[#This Row],[especie]],[1]!ESPECIES[#All],6,0)</f>
        <v/>
      </c>
      <c r="Q2972" s="7">
        <f>IF(N2972&lt;&gt;0,P2972*N2972,0)</f>
        <v/>
      </c>
      <c r="R2972" s="8">
        <f>IF(Q2972&lt;&gt;0,Q2972+H2972+L2972,0)</f>
        <v/>
      </c>
      <c r="S2972" s="9">
        <f>VLOOKUP(OPERAC[[#This Row],[especie]],[1]!ESPECIES[#Data],9,FALSE)</f>
        <v/>
      </c>
    </row>
    <row r="2973">
      <c r="A2973" s="4" t="n">
        <v>13230</v>
      </c>
      <c r="B2973" s="5" t="n">
        <v>44649</v>
      </c>
      <c r="C2973" s="13" t="inlineStr">
        <is>
          <t>VTA</t>
        </is>
      </c>
      <c r="D2973" s="13" t="n">
        <v>42</v>
      </c>
      <c r="E2973" s="10">
        <f>IF(D2973&gt;0,VLOOKUP(OPERAC[[#This Row],[COD CART]],[1]!MatrizCortoLargoCyl[#All],3,0),"")</f>
        <v/>
      </c>
      <c r="F2973" s="13" t="inlineStr">
        <is>
          <t>SMH</t>
        </is>
      </c>
      <c r="G2973" s="6" t="n">
        <v>2</v>
      </c>
      <c r="H2973" s="6" t="n">
        <v>-563.8843999999999</v>
      </c>
      <c r="I2973" s="7">
        <f>-H2973/G2973</f>
        <v/>
      </c>
      <c r="J2973" s="11" t="n">
        <v>44663</v>
      </c>
      <c r="K2973" s="6">
        <f>+OPERAC[[#This Row],[cantidad]]</f>
        <v/>
      </c>
      <c r="L2973" s="6">
        <f>+OPERAC[[#This Row],[cantidad venta]]*238.066</f>
        <v/>
      </c>
      <c r="M2973" s="7">
        <f>IF(N2973=0,+L2973+H2973,0)</f>
        <v/>
      </c>
      <c r="N2973" s="7">
        <f>IF((+G2973-K2973)=0,0,+G2973-K2973)</f>
        <v/>
      </c>
      <c r="O2973" s="7">
        <f>IF(N2973=0,0,(L2973+H2973)/-N2973)</f>
        <v/>
      </c>
      <c r="P2973" s="7">
        <f>VLOOKUP(OPERAC[[#This Row],[especie]],[1]!ESPECIES[#All],6,0)</f>
        <v/>
      </c>
      <c r="Q2973" s="7">
        <f>IF(N2973&lt;&gt;0,P2973*N2973,0)</f>
        <v/>
      </c>
      <c r="R2973" s="8">
        <f>IF(Q2973&lt;&gt;0,Q2973+H2973+L2973,0)</f>
        <v/>
      </c>
      <c r="S2973" s="9">
        <f>VLOOKUP(OPERAC[[#This Row],[especie]],[1]!ESPECIES[#Data],9,FALSE)</f>
        <v/>
      </c>
    </row>
    <row r="2974">
      <c r="A2974" s="4" t="n">
        <v>20234</v>
      </c>
      <c r="B2974" s="5" t="n">
        <v>44649</v>
      </c>
      <c r="C2974" s="13" t="inlineStr">
        <is>
          <t>VTA</t>
        </is>
      </c>
      <c r="D2974" s="13" t="n">
        <v>42</v>
      </c>
      <c r="E2974" s="10">
        <f>IF(D2974&gt;0,VLOOKUP(OPERAC[[#This Row],[COD CART]],[1]!MatrizCortoLargoCyl[#All],3,0),"")</f>
        <v/>
      </c>
      <c r="F2974" s="13" t="inlineStr">
        <is>
          <t>SMH</t>
        </is>
      </c>
      <c r="G2974" s="6" t="n">
        <v>2</v>
      </c>
      <c r="H2974" s="6" t="n">
        <v>-563.8843999999999</v>
      </c>
      <c r="I2974" s="7">
        <f>-H2974/G2974</f>
        <v/>
      </c>
      <c r="J2974" s="11" t="n">
        <v>44663</v>
      </c>
      <c r="K2974" s="6">
        <f>+OPERAC[[#This Row],[cantidad]]</f>
        <v/>
      </c>
      <c r="L2974" s="6">
        <f>+OPERAC[[#This Row],[cantidad venta]]*238.066</f>
        <v/>
      </c>
      <c r="M2974" s="7">
        <f>IF(N2974=0,+L2974+H2974,0)</f>
        <v/>
      </c>
      <c r="N2974" s="7">
        <f>IF((+G2974-K2974)=0,0,+G2974-K2974)</f>
        <v/>
      </c>
      <c r="O2974" s="7">
        <f>IF(N2974=0,0,(L2974+H2974)/-N2974)</f>
        <v/>
      </c>
      <c r="P2974" s="7">
        <f>VLOOKUP(OPERAC[[#This Row],[especie]],[1]!ESPECIES[#All],6,0)</f>
        <v/>
      </c>
      <c r="Q2974" s="7">
        <f>IF(N2974&lt;&gt;0,P2974*N2974,0)</f>
        <v/>
      </c>
      <c r="R2974" s="8">
        <f>IF(Q2974&lt;&gt;0,Q2974+H2974+L2974,0)</f>
        <v/>
      </c>
      <c r="S2974" s="9">
        <f>VLOOKUP(OPERAC[[#This Row],[especie]],[1]!ESPECIES[#Data],9,FALSE)</f>
        <v/>
      </c>
    </row>
    <row r="2975">
      <c r="A2975" s="4" t="n">
        <v>18662</v>
      </c>
      <c r="B2975" s="5" t="n">
        <v>44314</v>
      </c>
      <c r="C2975" s="13" t="inlineStr">
        <is>
          <t>VTA</t>
        </is>
      </c>
      <c r="D2975" s="13" t="n">
        <v>31</v>
      </c>
      <c r="E2975" s="10">
        <f>IF(D2975&gt;0,VLOOKUP(OPERAC[[#This Row],[COD CART]],[1]!MatrizCortoLargoCyl[#All],3,0),"")</f>
        <v/>
      </c>
      <c r="F2975" s="13" t="inlineStr">
        <is>
          <t>VIST</t>
        </is>
      </c>
      <c r="G2975" s="6" t="n">
        <v>200</v>
      </c>
      <c r="H2975" s="6" t="n">
        <v>-564.58</v>
      </c>
      <c r="I2975" s="7">
        <f>-H2975/G2975</f>
        <v/>
      </c>
      <c r="J2975" s="11" t="n">
        <v>44456</v>
      </c>
      <c r="K2975" s="6" t="n">
        <v>150</v>
      </c>
      <c r="L2975" s="6" t="n">
        <v>663.143</v>
      </c>
      <c r="M2975" s="7">
        <f>IF(N2975=0,+L2975+H2975,0)</f>
        <v/>
      </c>
      <c r="N2975" s="7">
        <f>IF((+G2975-K2975)=0,0,+G2975-K2975)</f>
        <v/>
      </c>
      <c r="O2975" s="7">
        <f>IF(N2975=0,0,(L2975+H2975)/-N2975)</f>
        <v/>
      </c>
      <c r="P2975" s="7">
        <f>VLOOKUP(OPERAC[[#This Row],[especie]],[1]!ESPECIES[#All],6,0)</f>
        <v/>
      </c>
      <c r="Q2975" s="7">
        <f>IF(N2975&lt;&gt;0,P2975*N2975,0)</f>
        <v/>
      </c>
      <c r="R2975" s="8">
        <f>IF(Q2975&lt;&gt;0,Q2975+H2975+L2975,0)</f>
        <v/>
      </c>
      <c r="S2975" s="9">
        <f>VLOOKUP(OPERAC[[#This Row],[especie]],[1]!ESPECIES[#Data],9,FALSE)</f>
        <v/>
      </c>
    </row>
    <row r="2976">
      <c r="A2976" s="4" t="n">
        <v>13238</v>
      </c>
      <c r="B2976" s="5" t="n">
        <v>44643</v>
      </c>
      <c r="C2976" s="13" t="inlineStr">
        <is>
          <t>VTA</t>
        </is>
      </c>
      <c r="D2976" s="13" t="n">
        <v>42</v>
      </c>
      <c r="E2976" s="10">
        <f>IF(D2976&gt;0,VLOOKUP(OPERAC[[#This Row],[COD CART]],[1]!MatrizCortoLargoCyl[#All],3,0),"")</f>
        <v/>
      </c>
      <c r="F2976" s="13" t="inlineStr">
        <is>
          <t>JPM</t>
        </is>
      </c>
      <c r="G2976" s="6" t="n">
        <v>4</v>
      </c>
      <c r="H2976" s="6" t="n">
        <v>-564.9865600000001</v>
      </c>
      <c r="I2976" s="7">
        <f>-H2976/G2976</f>
        <v/>
      </c>
      <c r="J2976" s="11" t="n">
        <v>44664</v>
      </c>
      <c r="K2976" s="6">
        <f>+OPERAC[[#This Row],[cantidad]]</f>
        <v/>
      </c>
      <c r="L2976" s="6">
        <f>+OPERAC[[#This Row],[cantidad venta]]*125.943</f>
        <v/>
      </c>
      <c r="M2976" s="7">
        <f>IF(N2976=0,+L2976+H2976,0)</f>
        <v/>
      </c>
      <c r="N2976" s="7">
        <f>IF((+G2976-K2976)=0,0,+G2976-K2976)</f>
        <v/>
      </c>
      <c r="O2976" s="7">
        <f>IF(N2976=0,0,(L2976+H2976)/-N2976)</f>
        <v/>
      </c>
      <c r="P2976" s="7">
        <f>VLOOKUP(OPERAC[[#This Row],[especie]],[1]!ESPECIES[#All],6,0)</f>
        <v/>
      </c>
      <c r="Q2976" s="7">
        <f>IF(N2976&lt;&gt;0,P2976*N2976,0)</f>
        <v/>
      </c>
      <c r="R2976" s="8">
        <f>IF(Q2976&lt;&gt;0,Q2976+H2976+L2976,0)</f>
        <v/>
      </c>
      <c r="S2976" s="9">
        <f>VLOOKUP(OPERAC[[#This Row],[especie]],[1]!ESPECIES[#Data],9,FALSE)</f>
        <v/>
      </c>
    </row>
    <row r="2977">
      <c r="A2977" s="4" t="n">
        <v>18697</v>
      </c>
      <c r="B2977" s="5" t="n">
        <v>44643</v>
      </c>
      <c r="C2977" s="13" t="inlineStr">
        <is>
          <t>VTA</t>
        </is>
      </c>
      <c r="D2977" s="13" t="n">
        <v>42</v>
      </c>
      <c r="E2977" s="10">
        <f>IF(D2977&gt;0,VLOOKUP(OPERAC[[#This Row],[COD CART]],[1]!MatrizCortoLargoCyl[#All],3,0),"")</f>
        <v/>
      </c>
      <c r="F2977" s="13" t="inlineStr">
        <is>
          <t>JPM</t>
        </is>
      </c>
      <c r="G2977" s="6" t="n">
        <v>4</v>
      </c>
      <c r="H2977" s="6" t="n">
        <v>-564.9865600000001</v>
      </c>
      <c r="I2977" s="7">
        <f>-H2977/G2977</f>
        <v/>
      </c>
      <c r="J2977" s="11" t="n">
        <v>44664</v>
      </c>
      <c r="K2977" s="6">
        <f>+OPERAC[[#This Row],[cantidad]]</f>
        <v/>
      </c>
      <c r="L2977" s="6">
        <f>+OPERAC[[#This Row],[cantidad venta]]*125.943</f>
        <v/>
      </c>
      <c r="M2977" s="7">
        <f>IF(N2977=0,+L2977+H2977,0)</f>
        <v/>
      </c>
      <c r="N2977" s="7">
        <f>IF((+G2977-K2977)=0,0,+G2977-K2977)</f>
        <v/>
      </c>
      <c r="O2977" s="7">
        <f>IF(N2977=0,0,(L2977+H2977)/-N2977)</f>
        <v/>
      </c>
      <c r="P2977" s="7">
        <f>VLOOKUP(OPERAC[[#This Row],[especie]],[1]!ESPECIES[#All],6,0)</f>
        <v/>
      </c>
      <c r="Q2977" s="7">
        <f>IF(N2977&lt;&gt;0,P2977*N2977,0)</f>
        <v/>
      </c>
      <c r="R2977" s="8">
        <f>IF(Q2977&lt;&gt;0,Q2977+H2977+L2977,0)</f>
        <v/>
      </c>
      <c r="S2977" s="9">
        <f>VLOOKUP(OPERAC[[#This Row],[especie]],[1]!ESPECIES[#Data],9,FALSE)</f>
        <v/>
      </c>
    </row>
    <row r="2978">
      <c r="A2978" s="4" t="n">
        <v>19920</v>
      </c>
      <c r="B2978" s="5" t="n">
        <v>44643</v>
      </c>
      <c r="C2978" s="13" t="inlineStr">
        <is>
          <t>VTA</t>
        </is>
      </c>
      <c r="D2978" s="13" t="n">
        <v>42</v>
      </c>
      <c r="E2978" s="10">
        <f>IF(D2978&gt;0,VLOOKUP(OPERAC[[#This Row],[COD CART]],[1]!MatrizCortoLargoCyl[#All],3,0),"")</f>
        <v/>
      </c>
      <c r="F2978" s="13" t="inlineStr">
        <is>
          <t>JPM</t>
        </is>
      </c>
      <c r="G2978" s="6" t="n">
        <v>4</v>
      </c>
      <c r="H2978" s="6" t="n">
        <v>-564.9865600000001</v>
      </c>
      <c r="I2978" s="7">
        <f>-H2978/G2978</f>
        <v/>
      </c>
      <c r="J2978" s="11" t="n">
        <v>44664</v>
      </c>
      <c r="K2978" s="6">
        <f>+OPERAC[[#This Row],[cantidad]]</f>
        <v/>
      </c>
      <c r="L2978" s="6">
        <f>+OPERAC[[#This Row],[cantidad venta]]*125.943</f>
        <v/>
      </c>
      <c r="M2978" s="7">
        <f>IF(N2978=0,+L2978+H2978,0)</f>
        <v/>
      </c>
      <c r="N2978" s="7">
        <f>IF((+G2978-K2978)=0,0,+G2978-K2978)</f>
        <v/>
      </c>
      <c r="O2978" s="7">
        <f>IF(N2978=0,0,(L2978+H2978)/-N2978)</f>
        <v/>
      </c>
      <c r="P2978" s="7">
        <f>VLOOKUP(OPERAC[[#This Row],[especie]],[1]!ESPECIES[#All],6,0)</f>
        <v/>
      </c>
      <c r="Q2978" s="7">
        <f>IF(N2978&lt;&gt;0,P2978*N2978,0)</f>
        <v/>
      </c>
      <c r="R2978" s="8">
        <f>IF(Q2978&lt;&gt;0,Q2978+H2978+L2978,0)</f>
        <v/>
      </c>
      <c r="S2978" s="9">
        <f>VLOOKUP(OPERAC[[#This Row],[especie]],[1]!ESPECIES[#Data],9,FALSE)</f>
        <v/>
      </c>
    </row>
    <row r="2979">
      <c r="A2979" s="4" t="n">
        <v>22407</v>
      </c>
      <c r="B2979" s="5" t="n">
        <v>44643</v>
      </c>
      <c r="C2979" s="13" t="inlineStr">
        <is>
          <t>VTA</t>
        </is>
      </c>
      <c r="D2979" s="13" t="n">
        <v>42</v>
      </c>
      <c r="E2979" s="10">
        <f>IF(D2979&gt;0,VLOOKUP(OPERAC[[#This Row],[COD CART]],[1]!MatrizCortoLargoCyl[#All],3,0),"")</f>
        <v/>
      </c>
      <c r="F2979" s="13" t="inlineStr">
        <is>
          <t>JPM</t>
        </is>
      </c>
      <c r="G2979" s="6" t="n">
        <v>4</v>
      </c>
      <c r="H2979" s="6" t="n">
        <v>-564.9865600000001</v>
      </c>
      <c r="I2979" s="7">
        <f>-H2979/G2979</f>
        <v/>
      </c>
      <c r="J2979" s="11" t="n">
        <v>44664</v>
      </c>
      <c r="K2979" s="6">
        <f>+OPERAC[[#This Row],[cantidad]]</f>
        <v/>
      </c>
      <c r="L2979" s="6">
        <f>+OPERAC[[#This Row],[cantidad venta]]*125.943</f>
        <v/>
      </c>
      <c r="M2979" s="7">
        <f>IF(N2979=0,+L2979+H2979,0)</f>
        <v/>
      </c>
      <c r="N2979" s="7">
        <f>IF((+G2979-K2979)=0,0,+G2979-K2979)</f>
        <v/>
      </c>
      <c r="O2979" s="7">
        <f>IF(N2979=0,0,(L2979+H2979)/-N2979)</f>
        <v/>
      </c>
      <c r="P2979" s="7">
        <f>VLOOKUP(OPERAC[[#This Row],[especie]],[1]!ESPECIES[#All],6,0)</f>
        <v/>
      </c>
      <c r="Q2979" s="7">
        <f>IF(N2979&lt;&gt;0,P2979*N2979,0)</f>
        <v/>
      </c>
      <c r="R2979" s="8">
        <f>IF(Q2979&lt;&gt;0,Q2979+H2979+L2979,0)</f>
        <v/>
      </c>
      <c r="S2979" s="9">
        <f>VLOOKUP(OPERAC[[#This Row],[especie]],[1]!ESPECIES[#Data],9,FALSE)</f>
        <v/>
      </c>
    </row>
    <row r="2980">
      <c r="A2980" s="4" t="n">
        <v>26140</v>
      </c>
      <c r="B2980" s="5" t="n">
        <v>44643</v>
      </c>
      <c r="C2980" s="13" t="inlineStr">
        <is>
          <t>VTA</t>
        </is>
      </c>
      <c r="D2980" s="13" t="n">
        <v>42</v>
      </c>
      <c r="E2980" s="10">
        <f>IF(D2980&gt;0,VLOOKUP(OPERAC[[#This Row],[COD CART]],[1]!MatrizCortoLargoCyl[#All],3,0),"")</f>
        <v/>
      </c>
      <c r="F2980" s="13" t="inlineStr">
        <is>
          <t>JPM</t>
        </is>
      </c>
      <c r="G2980" s="6" t="n">
        <v>4</v>
      </c>
      <c r="H2980" s="6" t="n">
        <v>-564.9865600000001</v>
      </c>
      <c r="I2980" s="7">
        <f>-H2980/G2980</f>
        <v/>
      </c>
      <c r="J2980" s="11" t="n">
        <v>44664</v>
      </c>
      <c r="K2980" s="6">
        <f>+OPERAC[[#This Row],[cantidad]]</f>
        <v/>
      </c>
      <c r="L2980" s="6">
        <f>+OPERAC[[#This Row],[cantidad venta]]*125.943</f>
        <v/>
      </c>
      <c r="M2980" s="7">
        <f>IF(N2980=0,+L2980+H2980,0)</f>
        <v/>
      </c>
      <c r="N2980" s="7">
        <f>IF((+G2980-K2980)=0,0,+G2980-K2980)</f>
        <v/>
      </c>
      <c r="O2980" s="7">
        <f>IF(N2980=0,0,(L2980+H2980)/-N2980)</f>
        <v/>
      </c>
      <c r="P2980" s="7">
        <f>VLOOKUP(OPERAC[[#This Row],[especie]],[1]!ESPECIES[#All],6,0)</f>
        <v/>
      </c>
      <c r="Q2980" s="7">
        <f>IF(N2980&lt;&gt;0,P2980*N2980,0)</f>
        <v/>
      </c>
      <c r="R2980" s="8">
        <f>IF(Q2980&lt;&gt;0,Q2980+H2980+L2980,0)</f>
        <v/>
      </c>
      <c r="S2980" s="9">
        <f>VLOOKUP(OPERAC[[#This Row],[especie]],[1]!ESPECIES[#Data],9,FALSE)</f>
        <v/>
      </c>
    </row>
    <row r="2981">
      <c r="A2981" s="4" t="n">
        <v>2257</v>
      </c>
      <c r="B2981" s="5" t="n">
        <v>44489</v>
      </c>
      <c r="C2981" s="13" t="inlineStr">
        <is>
          <t>VTA</t>
        </is>
      </c>
      <c r="D2981" s="13" t="n">
        <v>43</v>
      </c>
      <c r="E2981" s="10">
        <f>IF(D2981&gt;0,VLOOKUP(OPERAC[[#This Row],[COD CART]],[1]!MatrizCortoLargoCyl[#All],3,0),"")</f>
        <v/>
      </c>
      <c r="F2981" s="13" t="inlineStr">
        <is>
          <t>SESN/CYL-PUT/1,00/19-01-24</t>
        </is>
      </c>
      <c r="G2981" s="6" t="n">
        <v>3000</v>
      </c>
      <c r="H2981" s="6">
        <f>-0.1885*OPERAC[[#This Row],[cantidad]]</f>
        <v/>
      </c>
      <c r="I2981" s="7">
        <f>-H2981/G2981</f>
        <v/>
      </c>
      <c r="J2981" s="11" t="n"/>
      <c r="K2981" s="6" t="n"/>
      <c r="L2981" s="6" t="n"/>
      <c r="M2981" s="7">
        <f>IF(N2981=0,+L2981+H2981,0)</f>
        <v/>
      </c>
      <c r="N2981" s="7">
        <f>IF((+G2981-K2981)=0,0,+G2981-K2981)</f>
        <v/>
      </c>
      <c r="O2981" s="7">
        <f>IF(N2981=0,0,(L2981+H2981)/-N2981)</f>
        <v/>
      </c>
      <c r="P2981" s="7">
        <f>VLOOKUP(OPERAC[[#This Row],[especie]],[1]!ESPECIES[#All],6,0)</f>
        <v/>
      </c>
      <c r="Q2981" s="7">
        <f>IF(N2981&lt;&gt;0,P2981*N2981,0)</f>
        <v/>
      </c>
      <c r="R2981" s="8">
        <f>IF(Q2981&lt;&gt;0,Q2981+H2981+L2981,0)</f>
        <v/>
      </c>
      <c r="S2981" s="9">
        <f>VLOOKUP(OPERAC[[#This Row],[especie]],[1]!ESPECIES[#Data],9,FALSE)</f>
        <v/>
      </c>
    </row>
    <row r="2982">
      <c r="A2982" s="4" t="n">
        <v>7916</v>
      </c>
      <c r="B2982" s="5" t="n">
        <v>44489</v>
      </c>
      <c r="C2982" s="13" t="inlineStr">
        <is>
          <t>VTA</t>
        </is>
      </c>
      <c r="D2982" s="13" t="n">
        <v>43</v>
      </c>
      <c r="E2982" s="10">
        <f>IF(D2982&gt;0,VLOOKUP(OPERAC[[#This Row],[COD CART]],[1]!MatrizCortoLargoCyl[#All],3,0),"")</f>
        <v/>
      </c>
      <c r="F2982" s="13" t="inlineStr">
        <is>
          <t>SESN/CYL-PUT/1,00/19-01-24</t>
        </is>
      </c>
      <c r="G2982" s="6" t="n">
        <v>3000</v>
      </c>
      <c r="H2982" s="6">
        <f>-0.1885*OPERAC[[#This Row],[cantidad]]</f>
        <v/>
      </c>
      <c r="I2982" s="7">
        <f>-H2982/G2982</f>
        <v/>
      </c>
      <c r="J2982" s="11" t="n"/>
      <c r="K2982" s="6" t="n"/>
      <c r="L2982" s="6" t="n"/>
      <c r="M2982" s="7">
        <f>IF(N2982=0,+L2982+H2982,0)</f>
        <v/>
      </c>
      <c r="N2982" s="7">
        <f>IF((+G2982-K2982)=0,0,+G2982-K2982)</f>
        <v/>
      </c>
      <c r="O2982" s="7">
        <f>IF(N2982=0,0,(L2982+H2982)/-N2982)</f>
        <v/>
      </c>
      <c r="P2982" s="7">
        <f>VLOOKUP(OPERAC[[#This Row],[especie]],[1]!ESPECIES[#All],6,0)</f>
        <v/>
      </c>
      <c r="Q2982" s="7">
        <f>IF(N2982&lt;&gt;0,P2982*N2982,0)</f>
        <v/>
      </c>
      <c r="R2982" s="8">
        <f>IF(Q2982&lt;&gt;0,Q2982+H2982+L2982,0)</f>
        <v/>
      </c>
      <c r="S2982" s="9">
        <f>VLOOKUP(OPERAC[[#This Row],[especie]],[1]!ESPECIES[#Data],9,FALSE)</f>
        <v/>
      </c>
    </row>
    <row r="2983">
      <c r="A2983" s="4" t="n">
        <v>12655</v>
      </c>
      <c r="B2983" s="5" t="n">
        <v>44489</v>
      </c>
      <c r="C2983" s="13" t="inlineStr">
        <is>
          <t>VTA</t>
        </is>
      </c>
      <c r="D2983" s="13" t="n">
        <v>43</v>
      </c>
      <c r="E2983" s="10">
        <f>IF(D2983&gt;0,VLOOKUP(OPERAC[[#This Row],[COD CART]],[1]!MatrizCortoLargoCyl[#All],3,0),"")</f>
        <v/>
      </c>
      <c r="F2983" s="13" t="inlineStr">
        <is>
          <t>SESN/CYL-PUT/1,00/19-01-24</t>
        </is>
      </c>
      <c r="G2983" s="6" t="n">
        <v>3000</v>
      </c>
      <c r="H2983" s="6">
        <f>-0.1885*OPERAC[[#This Row],[cantidad]]</f>
        <v/>
      </c>
      <c r="I2983" s="7">
        <f>-H2983/G2983</f>
        <v/>
      </c>
      <c r="J2983" s="11" t="n">
        <v>44551</v>
      </c>
      <c r="K2983" s="6" t="n">
        <v>1500</v>
      </c>
      <c r="L2983" s="6" t="n">
        <v>-584.23</v>
      </c>
      <c r="M2983" s="7">
        <f>IF(N2983=0,+L2983+H2983,0)</f>
        <v/>
      </c>
      <c r="N2983" s="7">
        <f>IF((+G2983-K2983)=0,0,+G2983-K2983)</f>
        <v/>
      </c>
      <c r="O2983" s="7">
        <f>IF(N2983=0,0,(L2983+H2983)/-N2983)</f>
        <v/>
      </c>
      <c r="P2983" s="7">
        <f>VLOOKUP(OPERAC[[#This Row],[especie]],[1]!ESPECIES[#All],6,0)</f>
        <v/>
      </c>
      <c r="Q2983" s="7">
        <f>IF(N2983&lt;&gt;0,P2983*N2983,0)</f>
        <v/>
      </c>
      <c r="R2983" s="8">
        <f>IF(Q2983&lt;&gt;0,Q2983+H2983+L2983,0)</f>
        <v/>
      </c>
      <c r="S2983" s="9">
        <f>VLOOKUP(OPERAC[[#This Row],[especie]],[1]!ESPECIES[#Data],9,FALSE)</f>
        <v/>
      </c>
    </row>
    <row r="2984">
      <c r="A2984" s="4" t="n">
        <v>13246</v>
      </c>
      <c r="B2984" s="5" t="n">
        <v>44489</v>
      </c>
      <c r="C2984" s="13" t="inlineStr">
        <is>
          <t>VTA</t>
        </is>
      </c>
      <c r="D2984" s="13" t="n">
        <v>43</v>
      </c>
      <c r="E2984" s="10">
        <f>IF(D2984&gt;0,VLOOKUP(OPERAC[[#This Row],[COD CART]],[1]!MatrizCortoLargoCyl[#All],3,0),"")</f>
        <v/>
      </c>
      <c r="F2984" s="13" t="inlineStr">
        <is>
          <t>SESN/CYL-PUT/1,00/19-01-24</t>
        </is>
      </c>
      <c r="G2984" s="6" t="n">
        <v>3000</v>
      </c>
      <c r="H2984" s="6">
        <f>-0.1885*OPERAC[[#This Row],[cantidad]]</f>
        <v/>
      </c>
      <c r="I2984" s="7">
        <f>-H2984/G2984</f>
        <v/>
      </c>
      <c r="J2984" s="11" t="n"/>
      <c r="K2984" s="6" t="n"/>
      <c r="L2984" s="6" t="n"/>
      <c r="M2984" s="7">
        <f>IF(N2984=0,+L2984+H2984,0)</f>
        <v/>
      </c>
      <c r="N2984" s="7">
        <f>IF((+G2984-K2984)=0,0,+G2984-K2984)</f>
        <v/>
      </c>
      <c r="O2984" s="7">
        <f>IF(N2984=0,0,(L2984+H2984)/-N2984)</f>
        <v/>
      </c>
      <c r="P2984" s="7">
        <f>VLOOKUP(OPERAC[[#This Row],[especie]],[1]!ESPECIES[#All],6,0)</f>
        <v/>
      </c>
      <c r="Q2984" s="7">
        <f>IF(N2984&lt;&gt;0,P2984*N2984,0)</f>
        <v/>
      </c>
      <c r="R2984" s="8">
        <f>IF(Q2984&lt;&gt;0,Q2984+H2984+L2984,0)</f>
        <v/>
      </c>
      <c r="S2984" s="9">
        <f>VLOOKUP(OPERAC[[#This Row],[especie]],[1]!ESPECIES[#Data],9,FALSE)</f>
        <v/>
      </c>
    </row>
    <row r="2985">
      <c r="A2985" s="4" t="n">
        <v>19867</v>
      </c>
      <c r="B2985" s="5" t="n">
        <v>44489</v>
      </c>
      <c r="C2985" s="13" t="inlineStr">
        <is>
          <t>VTA</t>
        </is>
      </c>
      <c r="D2985" s="13" t="n">
        <v>43</v>
      </c>
      <c r="E2985" s="10">
        <f>IF(D2985&gt;0,VLOOKUP(OPERAC[[#This Row],[COD CART]],[1]!MatrizCortoLargoCyl[#All],3,0),"")</f>
        <v/>
      </c>
      <c r="F2985" s="13" t="inlineStr">
        <is>
          <t>SESN/CYL-PUT/1,00/19-01-24</t>
        </is>
      </c>
      <c r="G2985" s="6" t="n">
        <v>3000</v>
      </c>
      <c r="H2985" s="6">
        <f>-0.1885*OPERAC[[#This Row],[cantidad]]</f>
        <v/>
      </c>
      <c r="I2985" s="7">
        <f>-H2985/G2985</f>
        <v/>
      </c>
      <c r="J2985" s="11" t="n">
        <v>44614</v>
      </c>
      <c r="K2985" s="6" t="n">
        <v>3000</v>
      </c>
      <c r="L2985" s="6" t="n">
        <v>798.204</v>
      </c>
      <c r="M2985" s="7">
        <f>IF(N2985=0,+L2985+H2985,0)</f>
        <v/>
      </c>
      <c r="N2985" s="7">
        <f>IF((+G2985-K2985)=0,0,+G2985-K2985)</f>
        <v/>
      </c>
      <c r="O2985" s="7">
        <f>IF(N2985=0,0,(L2985+H2985)/-N2985)</f>
        <v/>
      </c>
      <c r="P2985" s="7">
        <f>VLOOKUP(OPERAC[[#This Row],[especie]],[1]!ESPECIES[#All],6,0)</f>
        <v/>
      </c>
      <c r="Q2985" s="7">
        <f>IF(N2985&lt;&gt;0,P2985*N2985,0)</f>
        <v/>
      </c>
      <c r="R2985" s="8">
        <f>IF(Q2985&lt;&gt;0,Q2985+H2985+L2985,0)</f>
        <v/>
      </c>
      <c r="S2985" s="9">
        <f>VLOOKUP(OPERAC[[#This Row],[especie]],[1]!ESPECIES[#Data],9,FALSE)</f>
        <v/>
      </c>
    </row>
    <row r="2986">
      <c r="A2986" s="4" t="n">
        <v>19934</v>
      </c>
      <c r="B2986" s="5" t="n">
        <v>44489</v>
      </c>
      <c r="C2986" s="13" t="inlineStr">
        <is>
          <t>VTA</t>
        </is>
      </c>
      <c r="D2986" s="13" t="n">
        <v>43</v>
      </c>
      <c r="E2986" s="10">
        <f>IF(D2986&gt;0,VLOOKUP(OPERAC[[#This Row],[COD CART]],[1]!MatrizCortoLargoCyl[#All],3,0),"")</f>
        <v/>
      </c>
      <c r="F2986" s="13" t="inlineStr">
        <is>
          <t>SESN/CYL-PUT/1,00/19-01-24</t>
        </is>
      </c>
      <c r="G2986" s="6" t="n">
        <v>3000</v>
      </c>
      <c r="H2986" s="6">
        <f>-0.1885*OPERAC[[#This Row],[cantidad]]</f>
        <v/>
      </c>
      <c r="I2986" s="7">
        <f>-H2986/G2986</f>
        <v/>
      </c>
      <c r="J2986" s="11" t="n"/>
      <c r="K2986" s="6" t="n"/>
      <c r="L2986" s="6" t="n"/>
      <c r="M2986" s="7">
        <f>IF(N2986=0,+L2986+H2986,0)</f>
        <v/>
      </c>
      <c r="N2986" s="7">
        <f>IF((+G2986-K2986)=0,0,+G2986-K2986)</f>
        <v/>
      </c>
      <c r="O2986" s="7">
        <f>IF(N2986=0,0,(L2986+H2986)/-N2986)</f>
        <v/>
      </c>
      <c r="P2986" s="7">
        <f>VLOOKUP(OPERAC[[#This Row],[especie]],[1]!ESPECIES[#All],6,0)</f>
        <v/>
      </c>
      <c r="Q2986" s="7">
        <f>IF(N2986&lt;&gt;0,P2986*N2986,0)</f>
        <v/>
      </c>
      <c r="R2986" s="8">
        <f>IF(Q2986&lt;&gt;0,Q2986+H2986+L2986,0)</f>
        <v/>
      </c>
      <c r="S2986" s="9">
        <f>VLOOKUP(OPERAC[[#This Row],[especie]],[1]!ESPECIES[#Data],9,FALSE)</f>
        <v/>
      </c>
    </row>
    <row r="2987">
      <c r="A2987" s="4" t="n">
        <v>22407</v>
      </c>
      <c r="B2987" s="5" t="n">
        <v>44489</v>
      </c>
      <c r="C2987" s="13" t="inlineStr">
        <is>
          <t>VTA</t>
        </is>
      </c>
      <c r="D2987" s="13" t="n">
        <v>43</v>
      </c>
      <c r="E2987" s="10">
        <f>IF(D2987&gt;0,VLOOKUP(OPERAC[[#This Row],[COD CART]],[1]!MatrizCortoLargoCyl[#All],3,0),"")</f>
        <v/>
      </c>
      <c r="F2987" s="13" t="inlineStr">
        <is>
          <t>SESN/CYL-PUT/1,00/19-01-24</t>
        </is>
      </c>
      <c r="G2987" s="6" t="n">
        <v>3000</v>
      </c>
      <c r="H2987" s="6">
        <f>-0.1885*OPERAC[[#This Row],[cantidad]]</f>
        <v/>
      </c>
      <c r="I2987" s="7">
        <f>-H2987/G2987</f>
        <v/>
      </c>
      <c r="J2987" s="11" t="n">
        <v>44553</v>
      </c>
      <c r="K2987" s="6" t="n">
        <v>1500</v>
      </c>
      <c r="L2987" s="6">
        <f>1301.75-831.6</f>
        <v/>
      </c>
      <c r="M2987" s="7">
        <f>IF(N2987=0,+L2987+H2987,0)</f>
        <v/>
      </c>
      <c r="N2987" s="7">
        <f>IF((+G2987-K2987)=0,0,+G2987-K2987)</f>
        <v/>
      </c>
      <c r="O2987" s="7">
        <f>IF(N2987=0,0,(L2987+H2987)/-N2987)</f>
        <v/>
      </c>
      <c r="P2987" s="7">
        <f>VLOOKUP(OPERAC[[#This Row],[especie]],[1]!ESPECIES[#All],6,0)</f>
        <v/>
      </c>
      <c r="Q2987" s="7">
        <f>IF(N2987&lt;&gt;0,P2987*N2987,0)</f>
        <v/>
      </c>
      <c r="R2987" s="8">
        <f>IF(Q2987&lt;&gt;0,Q2987+H2987+L2987,0)</f>
        <v/>
      </c>
      <c r="S2987" s="9">
        <f>VLOOKUP(OPERAC[[#This Row],[especie]],[1]!ESPECIES[#Data],9,FALSE)</f>
        <v/>
      </c>
    </row>
    <row r="2988">
      <c r="A2988" s="4" t="n">
        <v>19920</v>
      </c>
      <c r="B2988" s="5" t="n">
        <v>44538</v>
      </c>
      <c r="C2988" s="13" t="inlineStr">
        <is>
          <t>VTA</t>
        </is>
      </c>
      <c r="D2988" s="13" t="n">
        <v>43</v>
      </c>
      <c r="E2988" s="10">
        <f>IF(D2988&gt;0,VLOOKUP(OPERAC[[#This Row],[COD CART]],[1]!MatrizCortoLargoCyl[#All],3,0),"")</f>
        <v/>
      </c>
      <c r="F2988" s="13" t="inlineStr">
        <is>
          <t>HEXO/CYL-PUT/1,00/20-01-23</t>
        </is>
      </c>
      <c r="G2988" s="6" t="n">
        <v>3000</v>
      </c>
      <c r="H2988" s="6">
        <f>-0.1886*OPERAC[[#This Row],[cantidad]]</f>
        <v/>
      </c>
      <c r="I2988" s="7">
        <f>-H2988/G2988</f>
        <v/>
      </c>
      <c r="J2988" s="11" t="n"/>
      <c r="K2988" s="6" t="n"/>
      <c r="L2988" s="6" t="n"/>
      <c r="M2988" s="7">
        <f>IF(N2988=0,+L2988+H2988,0)</f>
        <v/>
      </c>
      <c r="N2988" s="7">
        <f>IF((+G2988-K2988)=0,0,+G2988-K2988)</f>
        <v/>
      </c>
      <c r="O2988" s="7">
        <f>IF(N2988=0,0,(L2988+H2988)/-N2988)</f>
        <v/>
      </c>
      <c r="P2988" s="7">
        <f>VLOOKUP(OPERAC[[#This Row],[especie]],[1]!ESPECIES[#All],6,0)</f>
        <v/>
      </c>
      <c r="Q2988" s="7">
        <f>IF(N2988&lt;&gt;0,P2988*N2988,0)</f>
        <v/>
      </c>
      <c r="R2988" s="8">
        <f>IF(Q2988&lt;&gt;0,Q2988+H2988+L2988,0)</f>
        <v/>
      </c>
      <c r="S2988" s="9">
        <f>VLOOKUP(OPERAC[[#This Row],[especie]],[1]!ESPECIES[#Data],9,FALSE)</f>
        <v/>
      </c>
    </row>
    <row r="2989">
      <c r="A2989" s="4" t="n">
        <v>25070</v>
      </c>
      <c r="B2989" s="5" t="n">
        <v>44538</v>
      </c>
      <c r="C2989" s="13" t="inlineStr">
        <is>
          <t>VTA</t>
        </is>
      </c>
      <c r="D2989" s="13" t="n">
        <v>43</v>
      </c>
      <c r="E2989" s="10">
        <f>IF(D2989&gt;0,VLOOKUP(OPERAC[[#This Row],[COD CART]],[1]!MatrizCortoLargoCyl[#All],3,0),"")</f>
        <v/>
      </c>
      <c r="F2989" s="13" t="inlineStr">
        <is>
          <t>HEXO1/CYL-PUT/1,00/20-01-23</t>
        </is>
      </c>
      <c r="G2989" s="6" t="n">
        <v>3000</v>
      </c>
      <c r="H2989" s="6">
        <f>-0.1886*OPERAC[[#This Row],[cantidad]]</f>
        <v/>
      </c>
      <c r="I2989" s="7">
        <f>-H2989/G2989</f>
        <v/>
      </c>
      <c r="J2989" s="11" t="n">
        <v>44609</v>
      </c>
      <c r="K2989" s="6" t="n">
        <v>1300</v>
      </c>
      <c r="L2989" s="6" t="n">
        <v>-396.89</v>
      </c>
      <c r="M2989" s="7">
        <f>IF(N2989=0,+L2989+H2989,0)</f>
        <v/>
      </c>
      <c r="N2989" s="7">
        <f>IF((+G2989-K2989)=0,0,+G2989-K2989)</f>
        <v/>
      </c>
      <c r="O2989" s="7">
        <f>IF(N2989=0,0,(L2989+H2989)/-N2989)</f>
        <v/>
      </c>
      <c r="P2989" s="7">
        <f>VLOOKUP(OPERAC[[#This Row],[especie]],[1]!ESPECIES[#All],6,0)</f>
        <v/>
      </c>
      <c r="Q2989" s="7">
        <f>IF(N2989&lt;&gt;0,P2989*N2989,0)</f>
        <v/>
      </c>
      <c r="R2989" s="8">
        <f>IF(Q2989&lt;&gt;0,Q2989+H2989+L2989,0)</f>
        <v/>
      </c>
      <c r="S2989" s="9">
        <f>VLOOKUP(OPERAC[[#This Row],[especie]],[1]!ESPECIES[#Data],9,FALSE)</f>
        <v/>
      </c>
    </row>
    <row r="2990">
      <c r="A2990" s="4" t="n">
        <v>2306</v>
      </c>
      <c r="B2990" s="5" t="n">
        <v>44649</v>
      </c>
      <c r="C2990" s="13" t="inlineStr">
        <is>
          <t>VTA</t>
        </is>
      </c>
      <c r="D2990" s="13" t="n">
        <v>42</v>
      </c>
      <c r="E2990" s="10">
        <f>IF(D2990&gt;0,VLOOKUP(OPERAC[[#This Row],[COD CART]],[1]!MatrizCortoLargoCyl[#All],3,0),"")</f>
        <v/>
      </c>
      <c r="F2990" s="13" t="inlineStr">
        <is>
          <t>JPM</t>
        </is>
      </c>
      <c r="G2990" s="6" t="n">
        <v>4</v>
      </c>
      <c r="H2990" s="6" t="n">
        <v>-567.5523999999999</v>
      </c>
      <c r="I2990" s="7">
        <f>-H2990/G2990</f>
        <v/>
      </c>
      <c r="J2990" s="11" t="n">
        <v>44664</v>
      </c>
      <c r="K2990" s="6">
        <f>+OPERAC[[#This Row],[cantidad]]</f>
        <v/>
      </c>
      <c r="L2990" s="6">
        <f>+OPERAC[[#This Row],[cantidad venta]]*125.943</f>
        <v/>
      </c>
      <c r="M2990" s="7">
        <f>IF(N2990=0,+L2990+H2990,0)</f>
        <v/>
      </c>
      <c r="N2990" s="7">
        <f>IF((+G2990-K2990)=0,0,+G2990-K2990)</f>
        <v/>
      </c>
      <c r="O2990" s="7">
        <f>IF(N2990=0,0,(L2990+H2990)/-N2990)</f>
        <v/>
      </c>
      <c r="P2990" s="7">
        <f>VLOOKUP(OPERAC[[#This Row],[especie]],[1]!ESPECIES[#All],6,0)</f>
        <v/>
      </c>
      <c r="Q2990" s="7">
        <f>IF(N2990&lt;&gt;0,P2990*N2990,0)</f>
        <v/>
      </c>
      <c r="R2990" s="8">
        <f>IF(Q2990&lt;&gt;0,Q2990+H2990+L2990,0)</f>
        <v/>
      </c>
      <c r="S2990" s="9">
        <f>VLOOKUP(OPERAC[[#This Row],[especie]],[1]!ESPECIES[#Data],9,FALSE)</f>
        <v/>
      </c>
    </row>
    <row r="2991">
      <c r="A2991" s="4" t="n">
        <v>3787</v>
      </c>
      <c r="B2991" s="5" t="n">
        <v>44649</v>
      </c>
      <c r="C2991" s="13" t="inlineStr">
        <is>
          <t>VTA</t>
        </is>
      </c>
      <c r="D2991" s="13" t="n">
        <v>42</v>
      </c>
      <c r="E2991" s="10">
        <f>IF(D2991&gt;0,VLOOKUP(OPERAC[[#This Row],[COD CART]],[1]!MatrizCortoLargoCyl[#All],3,0),"")</f>
        <v/>
      </c>
      <c r="F2991" s="13" t="inlineStr">
        <is>
          <t>JPM</t>
        </is>
      </c>
      <c r="G2991" s="6" t="n">
        <v>4</v>
      </c>
      <c r="H2991" s="6" t="n">
        <v>-567.5523999999999</v>
      </c>
      <c r="I2991" s="7">
        <f>-H2991/G2991</f>
        <v/>
      </c>
      <c r="J2991" s="11" t="n">
        <v>44664</v>
      </c>
      <c r="K2991" s="6">
        <f>+OPERAC[[#This Row],[cantidad]]</f>
        <v/>
      </c>
      <c r="L2991" s="6">
        <f>+OPERAC[[#This Row],[cantidad venta]]*125.943</f>
        <v/>
      </c>
      <c r="M2991" s="7">
        <f>IF(N2991=0,+L2991+H2991,0)</f>
        <v/>
      </c>
      <c r="N2991" s="7">
        <f>IF((+G2991-K2991)=0,0,+G2991-K2991)</f>
        <v/>
      </c>
      <c r="O2991" s="7">
        <f>IF(N2991=0,0,(L2991+H2991)/-N2991)</f>
        <v/>
      </c>
      <c r="P2991" s="7">
        <f>VLOOKUP(OPERAC[[#This Row],[especie]],[1]!ESPECIES[#All],6,0)</f>
        <v/>
      </c>
      <c r="Q2991" s="7">
        <f>IF(N2991&lt;&gt;0,P2991*N2991,0)</f>
        <v/>
      </c>
      <c r="R2991" s="8">
        <f>IF(Q2991&lt;&gt;0,Q2991+H2991+L2991,0)</f>
        <v/>
      </c>
      <c r="S2991" s="9">
        <f>VLOOKUP(OPERAC[[#This Row],[especie]],[1]!ESPECIES[#Data],9,FALSE)</f>
        <v/>
      </c>
    </row>
    <row r="2992">
      <c r="A2992" s="4" t="n">
        <v>20312</v>
      </c>
      <c r="B2992" s="5" t="n">
        <v>44533</v>
      </c>
      <c r="C2992" s="13" t="inlineStr">
        <is>
          <t>VTA</t>
        </is>
      </c>
      <c r="D2992" s="13" t="n">
        <v>32</v>
      </c>
      <c r="E2992" s="10">
        <f>IF(D2992&gt;0,VLOOKUP(OPERAC[[#This Row],[COD CART]],[1]!MatrizCortoLargoCyl[#All],3,0),"")</f>
        <v/>
      </c>
      <c r="F2992" s="13" t="inlineStr">
        <is>
          <t>INO/CYL/7,00/21-01-22</t>
        </is>
      </c>
      <c r="G2992" s="6" t="n">
        <v>100</v>
      </c>
      <c r="H2992" s="6">
        <f>-5.7*OPERAC[[#This Row],[cantidad]]</f>
        <v/>
      </c>
      <c r="I2992" s="7">
        <f>-H2992/G2992</f>
        <v/>
      </c>
      <c r="J2992" s="11" t="n">
        <v>44579</v>
      </c>
      <c r="K2992" s="6" t="n">
        <v>100</v>
      </c>
      <c r="L2992" s="6" t="n">
        <v>427.052</v>
      </c>
      <c r="M2992" s="7">
        <f>IF(N2992=0,+L2992+H2992,0)</f>
        <v/>
      </c>
      <c r="N2992" s="7">
        <f>IF((+G2992-K2992)=0,0,+G2992-K2992)</f>
        <v/>
      </c>
      <c r="O2992" s="7">
        <f>IF(N2992=0,0,(L2992+H2992)/-N2992)</f>
        <v/>
      </c>
      <c r="P2992" s="7">
        <f>VLOOKUP(OPERAC[[#This Row],[especie]],[1]!ESPECIES[#All],6,0)</f>
        <v/>
      </c>
      <c r="Q2992" s="7">
        <f>IF(N2992&lt;&gt;0,P2992*N2992,0)</f>
        <v/>
      </c>
      <c r="R2992" s="8">
        <f>IF(Q2992&lt;&gt;0,Q2992+H2992+L2992,0)</f>
        <v/>
      </c>
      <c r="S2992" s="9">
        <f>VLOOKUP(OPERAC[[#This Row],[especie]],[1]!ESPECIES[#Data],9,FALSE)</f>
        <v/>
      </c>
    </row>
    <row r="2993">
      <c r="A2993" s="4" t="n">
        <v>21070</v>
      </c>
      <c r="B2993" s="5" t="n">
        <v>44533</v>
      </c>
      <c r="C2993" s="13" t="inlineStr">
        <is>
          <t>VTA</t>
        </is>
      </c>
      <c r="D2993" s="13" t="n">
        <v>32</v>
      </c>
      <c r="E2993" s="10">
        <f>IF(D2993&gt;0,VLOOKUP(OPERAC[[#This Row],[COD CART]],[1]!MatrizCortoLargoCyl[#All],3,0),"")</f>
        <v/>
      </c>
      <c r="F2993" s="13" t="inlineStr">
        <is>
          <t>INO/CYL/7,00/21-01-22</t>
        </is>
      </c>
      <c r="G2993" s="6" t="n">
        <v>100</v>
      </c>
      <c r="H2993" s="6">
        <f>-5.7*OPERAC[[#This Row],[cantidad]]</f>
        <v/>
      </c>
      <c r="I2993" s="7">
        <f>-H2993/G2993</f>
        <v/>
      </c>
      <c r="J2993" s="11" t="n">
        <v>44579</v>
      </c>
      <c r="K2993" s="6" t="n">
        <v>100</v>
      </c>
      <c r="L2993" s="6" t="n">
        <v>427.052</v>
      </c>
      <c r="M2993" s="7">
        <f>IF(N2993=0,+L2993+H2993,0)</f>
        <v/>
      </c>
      <c r="N2993" s="7">
        <f>IF((+G2993-K2993)=0,0,+G2993-K2993)</f>
        <v/>
      </c>
      <c r="O2993" s="7">
        <f>IF(N2993=0,0,(L2993+H2993)/-N2993)</f>
        <v/>
      </c>
      <c r="P2993" s="7">
        <f>VLOOKUP(OPERAC[[#This Row],[especie]],[1]!ESPECIES[#All],6,0)</f>
        <v/>
      </c>
      <c r="Q2993" s="7">
        <f>IF(N2993&lt;&gt;0,P2993*N2993,0)</f>
        <v/>
      </c>
      <c r="R2993" s="8">
        <f>IF(Q2993&lt;&gt;0,Q2993+H2993+L2993,0)</f>
        <v/>
      </c>
      <c r="S2993" s="9">
        <f>VLOOKUP(OPERAC[[#This Row],[especie]],[1]!ESPECIES[#Data],9,FALSE)</f>
        <v/>
      </c>
    </row>
    <row r="2994">
      <c r="A2994" s="4" t="n">
        <v>19878</v>
      </c>
      <c r="B2994" s="5" t="n">
        <v>44648</v>
      </c>
      <c r="C2994" s="13" t="inlineStr">
        <is>
          <t>VTA</t>
        </is>
      </c>
      <c r="D2994" s="13" t="n">
        <v>31</v>
      </c>
      <c r="E2994" s="10">
        <f>IF(D2994&gt;0,VLOOKUP(OPERAC[[#This Row],[COD CART]],[1]!MatrizCortoLargoCyl[#All],3,0),"")</f>
        <v/>
      </c>
      <c r="F2994" s="13" t="inlineStr">
        <is>
          <t>BABA</t>
        </is>
      </c>
      <c r="G2994" s="6" t="n">
        <v>5</v>
      </c>
      <c r="H2994" s="6" t="n">
        <v>-572.9155</v>
      </c>
      <c r="I2994" s="7">
        <f>-H2994/G2994</f>
        <v/>
      </c>
      <c r="J2994" s="11" t="n">
        <v>44693</v>
      </c>
      <c r="K2994" s="6" t="n">
        <v>5</v>
      </c>
      <c r="L2994" s="6" t="n">
        <v>400.18</v>
      </c>
      <c r="M2994" s="7">
        <f>IF(N2994=0,+L2994+H2994,0)</f>
        <v/>
      </c>
      <c r="N2994" s="7">
        <f>IF((+G2994-K2994)=0,0,+G2994-K2994)</f>
        <v/>
      </c>
      <c r="O2994" s="7">
        <f>IF(N2994=0,0,(L2994+H2994)/-N2994)</f>
        <v/>
      </c>
      <c r="P2994" s="7">
        <f>VLOOKUP(OPERAC[[#This Row],[especie]],[1]!ESPECIES[#All],6,0)</f>
        <v/>
      </c>
      <c r="Q2994" s="7">
        <f>IF(N2994&lt;&gt;0,P2994*N2994,0)</f>
        <v/>
      </c>
      <c r="R2994" s="8">
        <f>IF(Q2994&lt;&gt;0,Q2994+H2994+L2994,0)</f>
        <v/>
      </c>
      <c r="S2994" s="9">
        <f>VLOOKUP(OPERAC[[#This Row],[especie]],[1]!ESPECIES[#Data],9,FALSE)</f>
        <v/>
      </c>
    </row>
    <row r="2995">
      <c r="A2995" s="4" t="n">
        <v>7867</v>
      </c>
      <c r="B2995" s="5" t="n">
        <v>44649</v>
      </c>
      <c r="C2995" s="13" t="inlineStr">
        <is>
          <t>VTA</t>
        </is>
      </c>
      <c r="D2995" s="13" t="n">
        <v>42</v>
      </c>
      <c r="E2995" s="10">
        <f>IF(D2995&gt;0,VLOOKUP(OPERAC[[#This Row],[COD CART]],[1]!MatrizCortoLargoCyl[#All],3,0),"")</f>
        <v/>
      </c>
      <c r="F2995" s="13" t="inlineStr">
        <is>
          <t>SMH</t>
        </is>
      </c>
      <c r="G2995" s="6" t="n">
        <v>2</v>
      </c>
      <c r="H2995" s="6" t="n">
        <v>-573.31816</v>
      </c>
      <c r="I2995" s="7">
        <f>-H2995/G2995</f>
        <v/>
      </c>
      <c r="J2995" s="11" t="n">
        <v>44663</v>
      </c>
      <c r="K2995" s="6">
        <f>+OPERAC[[#This Row],[cantidad]]</f>
        <v/>
      </c>
      <c r="L2995" s="6">
        <f>+OPERAC[[#This Row],[cantidad venta]]*238.066</f>
        <v/>
      </c>
      <c r="M2995" s="7">
        <f>IF(N2995=0,+L2995+H2995,0)</f>
        <v/>
      </c>
      <c r="N2995" s="7">
        <f>IF((+G2995-K2995)=0,0,+G2995-K2995)</f>
        <v/>
      </c>
      <c r="O2995" s="7">
        <f>IF(N2995=0,0,(L2995+H2995)/-N2995)</f>
        <v/>
      </c>
      <c r="P2995" s="7">
        <f>VLOOKUP(OPERAC[[#This Row],[especie]],[1]!ESPECIES[#All],6,0)</f>
        <v/>
      </c>
      <c r="Q2995" s="7">
        <f>IF(N2995&lt;&gt;0,P2995*N2995,0)</f>
        <v/>
      </c>
      <c r="R2995" s="8">
        <f>IF(Q2995&lt;&gt;0,Q2995+H2995+L2995,0)</f>
        <v/>
      </c>
      <c r="S2995" s="9">
        <f>VLOOKUP(OPERAC[[#This Row],[especie]],[1]!ESPECIES[#Data],9,FALSE)</f>
        <v/>
      </c>
    </row>
    <row r="2996">
      <c r="A2996" s="4" t="n">
        <v>7925</v>
      </c>
      <c r="B2996" s="5" t="n">
        <v>44649</v>
      </c>
      <c r="C2996" s="13" t="inlineStr">
        <is>
          <t>VTA</t>
        </is>
      </c>
      <c r="D2996" s="13" t="n">
        <v>42</v>
      </c>
      <c r="E2996" s="10">
        <f>IF(D2996&gt;0,VLOOKUP(OPERAC[[#This Row],[COD CART]],[1]!MatrizCortoLargoCyl[#All],3,0),"")</f>
        <v/>
      </c>
      <c r="F2996" s="13" t="inlineStr">
        <is>
          <t>SMH</t>
        </is>
      </c>
      <c r="G2996" s="6" t="n">
        <v>2</v>
      </c>
      <c r="H2996" s="6" t="n">
        <v>-573.31816</v>
      </c>
      <c r="I2996" s="7">
        <f>-H2996/G2996</f>
        <v/>
      </c>
      <c r="J2996" s="11" t="n">
        <v>44663</v>
      </c>
      <c r="K2996" s="6">
        <f>+OPERAC[[#This Row],[cantidad]]</f>
        <v/>
      </c>
      <c r="L2996" s="6">
        <f>+OPERAC[[#This Row],[cantidad venta]]*238.066</f>
        <v/>
      </c>
      <c r="M2996" s="7">
        <f>IF(N2996=0,+L2996+H2996,0)</f>
        <v/>
      </c>
      <c r="N2996" s="7">
        <f>IF((+G2996-K2996)=0,0,+G2996-K2996)</f>
        <v/>
      </c>
      <c r="O2996" s="7">
        <f>IF(N2996=0,0,(L2996+H2996)/-N2996)</f>
        <v/>
      </c>
      <c r="P2996" s="7">
        <f>VLOOKUP(OPERAC[[#This Row],[especie]],[1]!ESPECIES[#All],6,0)</f>
        <v/>
      </c>
      <c r="Q2996" s="7">
        <f>IF(N2996&lt;&gt;0,P2996*N2996,0)</f>
        <v/>
      </c>
      <c r="R2996" s="8">
        <f>IF(Q2996&lt;&gt;0,Q2996+H2996+L2996,0)</f>
        <v/>
      </c>
      <c r="S2996" s="9">
        <f>VLOOKUP(OPERAC[[#This Row],[especie]],[1]!ESPECIES[#Data],9,FALSE)</f>
        <v/>
      </c>
    </row>
    <row r="2997">
      <c r="A2997" s="4" t="n">
        <v>12655</v>
      </c>
      <c r="B2997" s="5" t="n">
        <v>44649</v>
      </c>
      <c r="C2997" s="13" t="inlineStr">
        <is>
          <t>VTA</t>
        </is>
      </c>
      <c r="D2997" s="13" t="n">
        <v>42</v>
      </c>
      <c r="E2997" s="10">
        <f>IF(D2997&gt;0,VLOOKUP(OPERAC[[#This Row],[COD CART]],[1]!MatrizCortoLargoCyl[#All],3,0),"")</f>
        <v/>
      </c>
      <c r="F2997" s="13" t="inlineStr">
        <is>
          <t>SMH</t>
        </is>
      </c>
      <c r="G2997" s="6" t="n">
        <v>2</v>
      </c>
      <c r="H2997" s="6" t="n">
        <v>-573.31816</v>
      </c>
      <c r="I2997" s="7">
        <f>-H2997/G2997</f>
        <v/>
      </c>
      <c r="J2997" s="11" t="n">
        <v>44663</v>
      </c>
      <c r="K2997" s="6">
        <f>+OPERAC[[#This Row],[cantidad]]</f>
        <v/>
      </c>
      <c r="L2997" s="6">
        <f>+OPERAC[[#This Row],[cantidad venta]]*238.066</f>
        <v/>
      </c>
      <c r="M2997" s="7">
        <f>IF(N2997=0,+L2997+H2997,0)</f>
        <v/>
      </c>
      <c r="N2997" s="7">
        <f>IF((+G2997-K2997)=0,0,+G2997-K2997)</f>
        <v/>
      </c>
      <c r="O2997" s="7">
        <f>IF(N2997=0,0,(L2997+H2997)/-N2997)</f>
        <v/>
      </c>
      <c r="P2997" s="7">
        <f>VLOOKUP(OPERAC[[#This Row],[especie]],[1]!ESPECIES[#All],6,0)</f>
        <v/>
      </c>
      <c r="Q2997" s="7">
        <f>IF(N2997&lt;&gt;0,P2997*N2997,0)</f>
        <v/>
      </c>
      <c r="R2997" s="8">
        <f>IF(Q2997&lt;&gt;0,Q2997+H2997+L2997,0)</f>
        <v/>
      </c>
      <c r="S2997" s="9">
        <f>VLOOKUP(OPERAC[[#This Row],[especie]],[1]!ESPECIES[#Data],9,FALSE)</f>
        <v/>
      </c>
    </row>
    <row r="2998">
      <c r="A2998" s="4" t="n">
        <v>13190</v>
      </c>
      <c r="B2998" s="5" t="n">
        <v>44649</v>
      </c>
      <c r="C2998" s="13" t="inlineStr">
        <is>
          <t>VTA</t>
        </is>
      </c>
      <c r="D2998" s="13" t="n">
        <v>42</v>
      </c>
      <c r="E2998" s="10">
        <f>IF(D2998&gt;0,VLOOKUP(OPERAC[[#This Row],[COD CART]],[1]!MatrizCortoLargoCyl[#All],3,0),"")</f>
        <v/>
      </c>
      <c r="F2998" s="13" t="inlineStr">
        <is>
          <t>SMH</t>
        </is>
      </c>
      <c r="G2998" s="6" t="n">
        <v>2</v>
      </c>
      <c r="H2998" s="6" t="n">
        <v>-573.31816</v>
      </c>
      <c r="I2998" s="7">
        <f>-H2998/G2998</f>
        <v/>
      </c>
      <c r="J2998" s="11" t="n">
        <v>44663</v>
      </c>
      <c r="K2998" s="6">
        <f>+OPERAC[[#This Row],[cantidad]]</f>
        <v/>
      </c>
      <c r="L2998" s="6">
        <f>+OPERAC[[#This Row],[cantidad venta]]*238.066</f>
        <v/>
      </c>
      <c r="M2998" s="7">
        <f>IF(N2998=0,+L2998+H2998,0)</f>
        <v/>
      </c>
      <c r="N2998" s="7">
        <f>IF((+G2998-K2998)=0,0,+G2998-K2998)</f>
        <v/>
      </c>
      <c r="O2998" s="7">
        <f>IF(N2998=0,0,(L2998+H2998)/-N2998)</f>
        <v/>
      </c>
      <c r="P2998" s="7">
        <f>VLOOKUP(OPERAC[[#This Row],[especie]],[1]!ESPECIES[#All],6,0)</f>
        <v/>
      </c>
      <c r="Q2998" s="7">
        <f>IF(N2998&lt;&gt;0,P2998*N2998,0)</f>
        <v/>
      </c>
      <c r="R2998" s="8">
        <f>IF(Q2998&lt;&gt;0,Q2998+H2998+L2998,0)</f>
        <v/>
      </c>
      <c r="S2998" s="9">
        <f>VLOOKUP(OPERAC[[#This Row],[especie]],[1]!ESPECIES[#Data],9,FALSE)</f>
        <v/>
      </c>
    </row>
    <row r="2999">
      <c r="A2999" s="4" t="n">
        <v>4561</v>
      </c>
      <c r="B2999" s="5" t="n">
        <v>44648</v>
      </c>
      <c r="C2999" s="13" t="inlineStr">
        <is>
          <t>VTA</t>
        </is>
      </c>
      <c r="D2999" s="13" t="n">
        <v>31</v>
      </c>
      <c r="E2999" s="10">
        <f>IF(D2999&gt;0,VLOOKUP(OPERAC[[#This Row],[COD CART]],[1]!MatrizCortoLargoCyl[#All],3,0),"")</f>
        <v/>
      </c>
      <c r="F2999" s="13" t="inlineStr">
        <is>
          <t>BABA</t>
        </is>
      </c>
      <c r="G2999" s="6" t="n">
        <v>5</v>
      </c>
      <c r="H2999" s="6" t="n">
        <v>-574.054</v>
      </c>
      <c r="I2999" s="7">
        <f>-H2999/G2999</f>
        <v/>
      </c>
      <c r="J2999" s="11" t="n">
        <v>44677</v>
      </c>
      <c r="K2999" s="6" t="n">
        <v>5</v>
      </c>
      <c r="L2999" s="6" t="n">
        <v>427.096</v>
      </c>
      <c r="M2999" s="7">
        <f>IF(N2999=0,+L2999+H2999,0)</f>
        <v/>
      </c>
      <c r="N2999" s="7">
        <f>IF((+G2999-K2999)=0,0,+G2999-K2999)</f>
        <v/>
      </c>
      <c r="O2999" s="7">
        <f>IF(N2999=0,0,(L2999+H2999)/-N2999)</f>
        <v/>
      </c>
      <c r="P2999" s="7">
        <f>VLOOKUP(OPERAC[[#This Row],[especie]],[1]!ESPECIES[#All],6,0)</f>
        <v/>
      </c>
      <c r="Q2999" s="7">
        <f>IF(N2999&lt;&gt;0,P2999*N2999,0)</f>
        <v/>
      </c>
      <c r="R2999" s="8">
        <f>IF(Q2999&lt;&gt;0,Q2999+H2999+L2999,0)</f>
        <v/>
      </c>
      <c r="S2999" s="9">
        <f>VLOOKUP(OPERAC[[#This Row],[especie]],[1]!ESPECIES[#Data],9,FALSE)</f>
        <v/>
      </c>
    </row>
    <row r="3000">
      <c r="A3000" s="4" t="n">
        <v>2289</v>
      </c>
      <c r="B3000" s="5" t="n">
        <v>44649</v>
      </c>
      <c r="C3000" s="13" t="inlineStr">
        <is>
          <t>VTA</t>
        </is>
      </c>
      <c r="D3000" s="13" t="n">
        <v>42</v>
      </c>
      <c r="E3000" s="10">
        <f>IF(D3000&gt;0,VLOOKUP(OPERAC[[#This Row],[COD CART]],[1]!MatrizCortoLargoCyl[#All],3,0),"")</f>
        <v/>
      </c>
      <c r="F3000" s="13" t="inlineStr">
        <is>
          <t>DIS</t>
        </is>
      </c>
      <c r="G3000" s="6" t="n">
        <v>4</v>
      </c>
      <c r="H3000" s="6" t="n">
        <v>-575.400092</v>
      </c>
      <c r="I3000" s="7">
        <f>-H3000/G3000</f>
        <v/>
      </c>
      <c r="J3000" s="11" t="n">
        <v>44671</v>
      </c>
      <c r="K3000" s="6">
        <f>+OPERAC[[#This Row],[cantidad]]</f>
        <v/>
      </c>
      <c r="L3000" s="6">
        <f>+OPERAC[[#This Row],[cantidad venta]]*123.621</f>
        <v/>
      </c>
      <c r="M3000" s="7">
        <f>IF(N3000=0,+L3000+H3000,0)</f>
        <v/>
      </c>
      <c r="N3000" s="7">
        <f>IF((+G3000-K3000)=0,0,+G3000-K3000)</f>
        <v/>
      </c>
      <c r="O3000" s="7">
        <f>IF(N3000=0,0,(L3000+H3000)/-N3000)</f>
        <v/>
      </c>
      <c r="P3000" s="7">
        <f>VLOOKUP(OPERAC[[#This Row],[especie]],[1]!ESPECIES[#All],6,0)</f>
        <v/>
      </c>
      <c r="Q3000" s="7">
        <f>IF(N3000&lt;&gt;0,P3000*N3000,0)</f>
        <v/>
      </c>
      <c r="R3000" s="8">
        <f>IF(Q3000&lt;&gt;0,Q3000+H3000+L3000,0)</f>
        <v/>
      </c>
      <c r="S3000" s="9">
        <f>VLOOKUP(OPERAC[[#This Row],[especie]],[1]!ESPECIES[#Data],9,FALSE)</f>
        <v/>
      </c>
    </row>
    <row r="3001">
      <c r="A3001" s="4" t="n">
        <v>3838</v>
      </c>
      <c r="B3001" s="5" t="n">
        <v>44649</v>
      </c>
      <c r="C3001" s="13" t="inlineStr">
        <is>
          <t>VTA</t>
        </is>
      </c>
      <c r="D3001" s="13" t="n">
        <v>42</v>
      </c>
      <c r="E3001" s="10">
        <f>IF(D3001&gt;0,VLOOKUP(OPERAC[[#This Row],[COD CART]],[1]!MatrizCortoLargoCyl[#All],3,0),"")</f>
        <v/>
      </c>
      <c r="F3001" s="13" t="inlineStr">
        <is>
          <t>DIS</t>
        </is>
      </c>
      <c r="G3001" s="6" t="n">
        <v>4</v>
      </c>
      <c r="H3001" s="6" t="n">
        <v>-575.400092</v>
      </c>
      <c r="I3001" s="7">
        <f>-H3001/G3001</f>
        <v/>
      </c>
      <c r="J3001" s="11" t="n">
        <v>44671</v>
      </c>
      <c r="K3001" s="6">
        <f>+OPERAC[[#This Row],[cantidad]]</f>
        <v/>
      </c>
      <c r="L3001" s="6">
        <f>+OPERAC[[#This Row],[cantidad venta]]*123.621</f>
        <v/>
      </c>
      <c r="M3001" s="7">
        <f>IF(N3001=0,+L3001+H3001,0)</f>
        <v/>
      </c>
      <c r="N3001" s="7">
        <f>IF((+G3001-K3001)=0,0,+G3001-K3001)</f>
        <v/>
      </c>
      <c r="O3001" s="7">
        <f>IF(N3001=0,0,(L3001+H3001)/-N3001)</f>
        <v/>
      </c>
      <c r="P3001" s="7">
        <f>VLOOKUP(OPERAC[[#This Row],[especie]],[1]!ESPECIES[#All],6,0)</f>
        <v/>
      </c>
      <c r="Q3001" s="7">
        <f>IF(N3001&lt;&gt;0,P3001*N3001,0)</f>
        <v/>
      </c>
      <c r="R3001" s="8">
        <f>IF(Q3001&lt;&gt;0,Q3001+H3001+L3001,0)</f>
        <v/>
      </c>
      <c r="S3001" s="9">
        <f>VLOOKUP(OPERAC[[#This Row],[especie]],[1]!ESPECIES[#Data],9,FALSE)</f>
        <v/>
      </c>
    </row>
    <row r="3002">
      <c r="A3002" s="4" t="n">
        <v>22399</v>
      </c>
      <c r="B3002" s="5" t="n">
        <v>44649</v>
      </c>
      <c r="C3002" s="13" t="inlineStr">
        <is>
          <t>VTA</t>
        </is>
      </c>
      <c r="D3002" s="13" t="n">
        <v>42</v>
      </c>
      <c r="E3002" s="10">
        <f>IF(D3002&gt;0,VLOOKUP(OPERAC[[#This Row],[COD CART]],[1]!MatrizCortoLargoCyl[#All],3,0),"")</f>
        <v/>
      </c>
      <c r="F3002" s="13" t="inlineStr">
        <is>
          <t>DIS</t>
        </is>
      </c>
      <c r="G3002" s="6" t="n">
        <v>4</v>
      </c>
      <c r="H3002" s="6" t="n">
        <v>-575.400092</v>
      </c>
      <c r="I3002" s="7">
        <f>-H3002/G3002</f>
        <v/>
      </c>
      <c r="J3002" s="11" t="n">
        <v>44671</v>
      </c>
      <c r="K3002" s="6">
        <f>+OPERAC[[#This Row],[cantidad]]</f>
        <v/>
      </c>
      <c r="L3002" s="6">
        <f>+OPERAC[[#This Row],[cantidad venta]]*123.621</f>
        <v/>
      </c>
      <c r="M3002" s="7">
        <f>IF(N3002=0,+L3002+H3002,0)</f>
        <v/>
      </c>
      <c r="N3002" s="7">
        <f>IF((+G3002-K3002)=0,0,+G3002-K3002)</f>
        <v/>
      </c>
      <c r="O3002" s="7">
        <f>IF(N3002=0,0,(L3002+H3002)/-N3002)</f>
        <v/>
      </c>
      <c r="P3002" s="7">
        <f>VLOOKUP(OPERAC[[#This Row],[especie]],[1]!ESPECIES[#All],6,0)</f>
        <v/>
      </c>
      <c r="Q3002" s="7">
        <f>IF(N3002&lt;&gt;0,P3002*N3002,0)</f>
        <v/>
      </c>
      <c r="R3002" s="8">
        <f>IF(Q3002&lt;&gt;0,Q3002+H3002+L3002,0)</f>
        <v/>
      </c>
      <c r="S3002" s="9">
        <f>VLOOKUP(OPERAC[[#This Row],[especie]],[1]!ESPECIES[#Data],9,FALSE)</f>
        <v/>
      </c>
    </row>
    <row r="3003">
      <c r="A3003" s="4" t="n">
        <v>20234</v>
      </c>
      <c r="B3003" s="5" t="n">
        <v>44403</v>
      </c>
      <c r="C3003" s="13" t="inlineStr">
        <is>
          <t>VTA</t>
        </is>
      </c>
      <c r="D3003" s="13" t="n">
        <v>40</v>
      </c>
      <c r="E3003" s="10">
        <f>IF(D3003&gt;0,VLOOKUP(OPERAC[[#This Row],[COD CART]],[1]!MatrizCortoLargoCyl[#All],3,0),"")</f>
        <v/>
      </c>
      <c r="F3003" s="13" t="inlineStr">
        <is>
          <t>ACB</t>
        </is>
      </c>
      <c r="G3003" s="6" t="n">
        <v>100</v>
      </c>
      <c r="H3003" s="6" t="n">
        <v>-575.48</v>
      </c>
      <c r="I3003" s="7">
        <f>-H3003/G3003</f>
        <v/>
      </c>
      <c r="J3003" s="11" t="n">
        <v>44606</v>
      </c>
      <c r="K3003" s="6" t="n">
        <v>100</v>
      </c>
      <c r="L3003" s="6" t="n">
        <v>437.056</v>
      </c>
      <c r="M3003" s="7">
        <f>IF(N3003=0,+L3003+H3003,0)</f>
        <v/>
      </c>
      <c r="N3003" s="7">
        <f>IF((+G3003-K3003)=0,0,+G3003-K3003)</f>
        <v/>
      </c>
      <c r="O3003" s="7">
        <f>IF(N3003=0,0,(L3003+H3003)/-N3003)</f>
        <v/>
      </c>
      <c r="P3003" s="7">
        <f>VLOOKUP(OPERAC[[#This Row],[especie]],[1]!ESPECIES[#All],6,0)</f>
        <v/>
      </c>
      <c r="Q3003" s="7">
        <f>IF(N3003&lt;&gt;0,P3003*N3003,0)</f>
        <v/>
      </c>
      <c r="R3003" s="8">
        <f>IF(Q3003&lt;&gt;0,Q3003+H3003+L3003,0)</f>
        <v/>
      </c>
      <c r="S3003" s="9">
        <f>VLOOKUP(OPERAC[[#This Row],[especie]],[1]!ESPECIES[#Data],9,FALSE)</f>
        <v/>
      </c>
    </row>
    <row r="3004">
      <c r="A3004" s="4" t="n">
        <v>2253</v>
      </c>
      <c r="B3004" s="5" t="n">
        <v>44459</v>
      </c>
      <c r="C3004" s="13" t="inlineStr">
        <is>
          <t>VTA</t>
        </is>
      </c>
      <c r="D3004" s="13" t="n">
        <v>43</v>
      </c>
      <c r="E3004" s="10">
        <f>IF(D3004&gt;0,VLOOKUP(OPERAC[[#This Row],[COD CART]],[1]!MatrizCortoLargoCyl[#All],3,0),"")</f>
        <v/>
      </c>
      <c r="F3004" s="13" t="inlineStr">
        <is>
          <t>SOLO/CYL-PUT/3,00/17-06-22</t>
        </is>
      </c>
      <c r="G3004" s="6" t="n">
        <v>300</v>
      </c>
      <c r="H3004" s="6">
        <f>-691.97+0.137*OPERAC[[#This Row],[cantidad]]-312.669+43.44+341.034</f>
        <v/>
      </c>
      <c r="I3004" s="7">
        <f>-H3004/G3004</f>
        <v/>
      </c>
      <c r="J3004" s="11" t="n">
        <v>44712</v>
      </c>
      <c r="K3004" s="6" t="n">
        <v>300</v>
      </c>
      <c r="L3004" s="6">
        <f>26.3-454.5</f>
        <v/>
      </c>
      <c r="M3004" s="7">
        <f>IF(N3004=0,+L3004+H3004,0)</f>
        <v/>
      </c>
      <c r="N3004" s="7">
        <f>IF((+G3004-K3004)=0,0,+G3004-K3004)</f>
        <v/>
      </c>
      <c r="O3004" s="7">
        <f>IF(N3004=0,0,(L3004+H3004)/-N3004)</f>
        <v/>
      </c>
      <c r="P3004" s="7">
        <f>VLOOKUP(OPERAC[[#This Row],[especie]],[1]!ESPECIES[#All],6,0)</f>
        <v/>
      </c>
      <c r="Q3004" s="7">
        <f>IF(N3004&lt;&gt;0,P3004*N3004,0)</f>
        <v/>
      </c>
      <c r="R3004" s="8">
        <f>IF(Q3004&lt;&gt;0,Q3004+H3004+L3004,0)</f>
        <v/>
      </c>
      <c r="S3004" s="9">
        <f>VLOOKUP(OPERAC[[#This Row],[especie]],[1]!ESPECIES[#Data],9,FALSE)</f>
        <v/>
      </c>
    </row>
    <row r="3005">
      <c r="A3005" s="4" t="n">
        <v>16795</v>
      </c>
      <c r="B3005" s="5" t="n">
        <v>44655</v>
      </c>
      <c r="C3005" s="13" t="inlineStr">
        <is>
          <t>VTA</t>
        </is>
      </c>
      <c r="D3005" s="13" t="n">
        <v>31</v>
      </c>
      <c r="E3005" s="10">
        <f>IF(D3005&gt;0,VLOOKUP(OPERAC[[#This Row],[COD CART]],[1]!MatrizCortoLargoCyl[#All],3,0),"")</f>
        <v/>
      </c>
      <c r="F3005" s="13" t="inlineStr">
        <is>
          <t>TEO</t>
        </is>
      </c>
      <c r="G3005" s="6" t="n">
        <v>90</v>
      </c>
      <c r="H3005" s="6" t="n">
        <v>-579.6987300000001</v>
      </c>
      <c r="I3005" s="7">
        <f>-H3005/G3005</f>
        <v/>
      </c>
      <c r="J3005" s="11" t="n"/>
      <c r="K3005" s="6" t="n"/>
      <c r="L3005" s="6" t="n"/>
      <c r="M3005" s="7">
        <f>IF(N3005=0,+L3005+H3005,0)</f>
        <v/>
      </c>
      <c r="N3005" s="7">
        <f>IF((+G3005-K3005)=0,0,+G3005-K3005)</f>
        <v/>
      </c>
      <c r="O3005" s="7">
        <f>IF(N3005=0,0,(L3005+H3005)/-N3005)</f>
        <v/>
      </c>
      <c r="P3005" s="7">
        <f>VLOOKUP(OPERAC[[#This Row],[especie]],[1]!ESPECIES[#All],6,0)</f>
        <v/>
      </c>
      <c r="Q3005" s="7">
        <f>IF(N3005&lt;&gt;0,P3005*N3005,0)</f>
        <v/>
      </c>
      <c r="R3005" s="8">
        <f>IF(Q3005&lt;&gt;0,Q3005+H3005+L3005,0)</f>
        <v/>
      </c>
      <c r="S3005" s="9">
        <f>VLOOKUP(OPERAC[[#This Row],[especie]],[1]!ESPECIES[#Data],9,FALSE)</f>
        <v/>
      </c>
    </row>
    <row r="3006">
      <c r="A3006" s="4" t="n">
        <v>12655</v>
      </c>
      <c r="B3006" s="5" t="n">
        <v>44536</v>
      </c>
      <c r="C3006" s="13" t="inlineStr">
        <is>
          <t>VTA</t>
        </is>
      </c>
      <c r="D3006" s="13" t="n">
        <v>43</v>
      </c>
      <c r="E3006" s="10">
        <f>IF(D3006&gt;0,VLOOKUP(OPERAC[[#This Row],[COD CART]],[1]!MatrizCortoLargoCyl[#All],3,0),"")</f>
        <v/>
      </c>
      <c r="F3006" s="13" t="inlineStr">
        <is>
          <t>XSPA/CYL-PUT/1,50/20-01-23</t>
        </is>
      </c>
      <c r="G3006" s="6" t="n">
        <v>1300</v>
      </c>
      <c r="H3006" s="6">
        <f>-0.4462*OPERAC[[#This Row],[cantidad]]</f>
        <v/>
      </c>
      <c r="I3006" s="7">
        <f>-H3006/G3006</f>
        <v/>
      </c>
      <c r="J3006" s="11" t="n"/>
      <c r="K3006" s="6" t="n"/>
      <c r="L3006" s="6" t="n"/>
      <c r="M3006" s="7">
        <f>IF(N3006=0,+L3006+H3006,0)</f>
        <v/>
      </c>
      <c r="N3006" s="7">
        <f>IF((+G3006-K3006)=0,0,+G3006-K3006)</f>
        <v/>
      </c>
      <c r="O3006" s="7">
        <f>IF(N3006=0,0,(L3006+H3006)/-N3006)</f>
        <v/>
      </c>
      <c r="P3006" s="7">
        <f>VLOOKUP(OPERAC[[#This Row],[especie]],[1]!ESPECIES[#All],6,0)</f>
        <v/>
      </c>
      <c r="Q3006" s="7">
        <f>IF(N3006&lt;&gt;0,P3006*N3006,0)</f>
        <v/>
      </c>
      <c r="R3006" s="8">
        <f>IF(Q3006&lt;&gt;0,Q3006+H3006+L3006,0)</f>
        <v/>
      </c>
      <c r="S3006" s="9">
        <f>VLOOKUP(OPERAC[[#This Row],[especie]],[1]!ESPECIES[#Data],9,FALSE)</f>
        <v/>
      </c>
    </row>
    <row r="3007">
      <c r="A3007" s="4" t="n">
        <v>13253</v>
      </c>
      <c r="B3007" s="5" t="n">
        <v>44725</v>
      </c>
      <c r="C3007" s="13" t="inlineStr">
        <is>
          <t>VTA</t>
        </is>
      </c>
      <c r="D3007" s="13" t="n">
        <v>41</v>
      </c>
      <c r="E3007" s="10">
        <f>IF(D3007&gt;0,VLOOKUP(OPERAC[[#This Row],[COD CART]],[1]!MatrizCortoLargoCyl[#All],3,0),"")</f>
        <v/>
      </c>
      <c r="F3007" s="13" t="inlineStr">
        <is>
          <t>FL</t>
        </is>
      </c>
      <c r="G3007" s="6" t="n">
        <v>20</v>
      </c>
      <c r="H3007" s="6" t="n">
        <v>-580.6943</v>
      </c>
      <c r="I3007" s="7">
        <f>-H3007/G3007</f>
        <v/>
      </c>
      <c r="J3007" s="5" t="n"/>
      <c r="K3007" s="6" t="n"/>
      <c r="L3007" s="6" t="n"/>
      <c r="M3007" s="7">
        <f>IF(N3007=0,+L3007+H3007,0)</f>
        <v/>
      </c>
      <c r="N3007" s="7">
        <f>IF((+G3007-K3007)=0,0,+G3007-K3007)</f>
        <v/>
      </c>
      <c r="O3007" s="7">
        <f>IF(N3007=0,0,(L3007+H3007)/-N3007)</f>
        <v/>
      </c>
      <c r="P3007" s="7">
        <f>VLOOKUP(OPERAC[[#This Row],[especie]],[1]!ESPECIES[#All],6,0)</f>
        <v/>
      </c>
      <c r="Q3007" s="7">
        <f>IF(N3007&lt;&gt;0,P3007*N3007,0)</f>
        <v/>
      </c>
      <c r="R3007" s="8">
        <f>IF(Q3007&lt;&gt;0,Q3007+H3007+L3007,0)</f>
        <v/>
      </c>
      <c r="S3007" s="9">
        <f>VLOOKUP(OPERAC[[#This Row],[especie]],[1]!ESPECIES[#Data],9,FALSE)</f>
        <v/>
      </c>
    </row>
    <row r="3008">
      <c r="A3008" s="4" t="n">
        <v>19878</v>
      </c>
      <c r="B3008" s="5" t="n">
        <v>44650</v>
      </c>
      <c r="C3008" s="13" t="inlineStr">
        <is>
          <t>VTA</t>
        </is>
      </c>
      <c r="D3008" s="13" t="n">
        <v>42</v>
      </c>
      <c r="E3008" s="10">
        <f>IF(D3008&gt;0,VLOOKUP(OPERAC[[#This Row],[COD CART]],[1]!MatrizCortoLargoCyl[#All],3,0),"")</f>
        <v/>
      </c>
      <c r="F3008" s="13" t="inlineStr">
        <is>
          <t>COST</t>
        </is>
      </c>
      <c r="G3008" s="6" t="n">
        <v>1</v>
      </c>
      <c r="H3008" s="6" t="n">
        <v>-581.7637999999999</v>
      </c>
      <c r="I3008" s="7">
        <f>-H3008/G3008</f>
        <v/>
      </c>
      <c r="J3008" s="11" t="n">
        <v>44693</v>
      </c>
      <c r="K3008" s="6" t="n">
        <v>1</v>
      </c>
      <c r="L3008" s="6" t="n">
        <v>483.82</v>
      </c>
      <c r="M3008" s="7">
        <f>IF(N3008=0,+L3008+H3008,0)</f>
        <v/>
      </c>
      <c r="N3008" s="7">
        <f>IF((+G3008-K3008)=0,0,+G3008-K3008)</f>
        <v/>
      </c>
      <c r="O3008" s="7">
        <f>IF(N3008=0,0,(L3008+H3008)/-N3008)</f>
        <v/>
      </c>
      <c r="P3008" s="7">
        <f>VLOOKUP(OPERAC[[#This Row],[especie]],[1]!ESPECIES[#All],6,0)</f>
        <v/>
      </c>
      <c r="Q3008" s="7">
        <f>IF(N3008&lt;&gt;0,P3008*N3008,0)</f>
        <v/>
      </c>
      <c r="R3008" s="8">
        <f>IF(Q3008&lt;&gt;0,Q3008+H3008+L3008,0)</f>
        <v/>
      </c>
      <c r="S3008" s="9">
        <f>VLOOKUP(OPERAC[[#This Row],[especie]],[1]!ESPECIES[#Data],9,FALSE)</f>
        <v/>
      </c>
    </row>
    <row r="3009">
      <c r="A3009" s="4" t="n">
        <v>22407</v>
      </c>
      <c r="B3009" s="5" t="n">
        <v>44655</v>
      </c>
      <c r="C3009" s="13" t="inlineStr">
        <is>
          <t>VTA</t>
        </is>
      </c>
      <c r="D3009" s="13" t="n">
        <v>31</v>
      </c>
      <c r="E3009" s="10">
        <f>IF(D3009&gt;0,VLOOKUP(OPERAC[[#This Row],[COD CART]],[1]!MatrizCortoLargoCyl[#All],3,0),"")</f>
        <v/>
      </c>
      <c r="F3009" s="13" t="inlineStr">
        <is>
          <t>COST</t>
        </is>
      </c>
      <c r="G3009" s="6" t="n">
        <v>1</v>
      </c>
      <c r="H3009" s="6" t="n">
        <v>-582.55552</v>
      </c>
      <c r="I3009" s="7">
        <f>-H3009/G3009</f>
        <v/>
      </c>
      <c r="J3009" s="11" t="n"/>
      <c r="K3009" s="6" t="n"/>
      <c r="L3009" s="6" t="n"/>
      <c r="M3009" s="7">
        <f>IF(N3009=0,+L3009+H3009,0)</f>
        <v/>
      </c>
      <c r="N3009" s="7">
        <f>IF((+G3009-K3009)=0,0,+G3009-K3009)</f>
        <v/>
      </c>
      <c r="O3009" s="7">
        <f>IF(N3009=0,0,(L3009+H3009)/-N3009)</f>
        <v/>
      </c>
      <c r="P3009" s="7">
        <f>VLOOKUP(OPERAC[[#This Row],[especie]],[1]!ESPECIES[#All],6,0)</f>
        <v/>
      </c>
      <c r="Q3009" s="7">
        <f>IF(N3009&lt;&gt;0,P3009*N3009,0)</f>
        <v/>
      </c>
      <c r="R3009" s="8">
        <f>IF(Q3009&lt;&gt;0,Q3009+H3009+L3009,0)</f>
        <v/>
      </c>
      <c r="S3009" s="9">
        <f>VLOOKUP(OPERAC[[#This Row],[especie]],[1]!ESPECIES[#Data],9,FALSE)</f>
        <v/>
      </c>
    </row>
    <row r="3010">
      <c r="A3010" s="4" t="n">
        <v>2203</v>
      </c>
      <c r="B3010" s="5" t="n">
        <v>44550</v>
      </c>
      <c r="C3010" s="13" t="inlineStr">
        <is>
          <t>VTA</t>
        </is>
      </c>
      <c r="D3010" s="13" t="n">
        <v>40</v>
      </c>
      <c r="E3010" s="10">
        <f>IF(D3010&gt;0,VLOOKUP(OPERAC[[#This Row],[COD CART]],[1]!MatrizCortoLargoCyl[#All],3,0),"")</f>
        <v/>
      </c>
      <c r="F3010" s="13" t="inlineStr">
        <is>
          <t>SMH</t>
        </is>
      </c>
      <c r="G3010" s="6" t="n">
        <v>2</v>
      </c>
      <c r="H3010" s="6" t="n">
        <v>-583.86326</v>
      </c>
      <c r="I3010" s="7">
        <f>-H3010/G3010</f>
        <v/>
      </c>
      <c r="J3010" s="11" t="n">
        <v>44574</v>
      </c>
      <c r="K3010" s="6">
        <f>+OPERAC[[#This Row],[cantidad]]</f>
        <v/>
      </c>
      <c r="L3010" s="6">
        <f>+OPERAC[[#This Row],[cantidad venta]]*306.843</f>
        <v/>
      </c>
      <c r="M3010" s="7">
        <f>IF(N3010=0,+L3010+H3010,0)</f>
        <v/>
      </c>
      <c r="N3010" s="7">
        <f>IF((+G3010-K3010)=0,0,+G3010-K3010)</f>
        <v/>
      </c>
      <c r="O3010" s="7">
        <f>IF(N3010=0,0,(L3010+H3010)/-N3010)</f>
        <v/>
      </c>
      <c r="P3010" s="7">
        <f>VLOOKUP(OPERAC[[#This Row],[especie]],[1]!ESPECIES[#All],6,0)</f>
        <v/>
      </c>
      <c r="Q3010" s="7">
        <f>IF(N3010&lt;&gt;0,P3010*N3010,0)</f>
        <v/>
      </c>
      <c r="R3010" s="8">
        <f>IF(Q3010&lt;&gt;0,Q3010+H3010+L3010,0)</f>
        <v/>
      </c>
      <c r="S3010" s="9">
        <f>VLOOKUP(OPERAC[[#This Row],[especie]],[1]!ESPECIES[#Data],9,FALSE)</f>
        <v/>
      </c>
    </row>
    <row r="3011">
      <c r="A3011" s="4" t="n">
        <v>2257</v>
      </c>
      <c r="B3011" s="5" t="n">
        <v>44550</v>
      </c>
      <c r="C3011" s="13" t="inlineStr">
        <is>
          <t>VTA</t>
        </is>
      </c>
      <c r="D3011" s="13" t="n">
        <v>40</v>
      </c>
      <c r="E3011" s="10">
        <f>IF(D3011&gt;0,VLOOKUP(OPERAC[[#This Row],[COD CART]],[1]!MatrizCortoLargoCyl[#All],3,0),"")</f>
        <v/>
      </c>
      <c r="F3011" s="13" t="inlineStr">
        <is>
          <t>SMH</t>
        </is>
      </c>
      <c r="G3011" s="6" t="n">
        <v>2</v>
      </c>
      <c r="H3011" s="6" t="n">
        <v>-583.86326</v>
      </c>
      <c r="I3011" s="7">
        <f>-H3011/G3011</f>
        <v/>
      </c>
      <c r="J3011" s="11" t="n">
        <v>44574</v>
      </c>
      <c r="K3011" s="6">
        <f>+OPERAC[[#This Row],[cantidad]]</f>
        <v/>
      </c>
      <c r="L3011" s="6">
        <f>+OPERAC[[#This Row],[cantidad venta]]*306.843</f>
        <v/>
      </c>
      <c r="M3011" s="7">
        <f>IF(N3011=0,+L3011+H3011,0)</f>
        <v/>
      </c>
      <c r="N3011" s="7">
        <f>IF((+G3011-K3011)=0,0,+G3011-K3011)</f>
        <v/>
      </c>
      <c r="O3011" s="7">
        <f>IF(N3011=0,0,(L3011+H3011)/-N3011)</f>
        <v/>
      </c>
      <c r="P3011" s="7">
        <f>VLOOKUP(OPERAC[[#This Row],[especie]],[1]!ESPECIES[#All],6,0)</f>
        <v/>
      </c>
      <c r="Q3011" s="7">
        <f>IF(N3011&lt;&gt;0,P3011*N3011,0)</f>
        <v/>
      </c>
      <c r="R3011" s="8">
        <f>IF(Q3011&lt;&gt;0,Q3011+H3011+L3011,0)</f>
        <v/>
      </c>
      <c r="S3011" s="9">
        <f>VLOOKUP(OPERAC[[#This Row],[especie]],[1]!ESPECIES[#Data],9,FALSE)</f>
        <v/>
      </c>
    </row>
    <row r="3012">
      <c r="A3012" s="4" t="n">
        <v>18669</v>
      </c>
      <c r="B3012" s="5" t="n">
        <v>44419</v>
      </c>
      <c r="C3012" s="13" t="inlineStr">
        <is>
          <t>VTA</t>
        </is>
      </c>
      <c r="D3012" s="13" t="n">
        <v>41</v>
      </c>
      <c r="E3012" s="10">
        <f>IF(D3012&gt;0,VLOOKUP(OPERAC[[#This Row],[COD CART]],[1]!MatrizCortoLargoCyl[#All],3,0),"")</f>
        <v/>
      </c>
      <c r="F3012" s="13" t="inlineStr">
        <is>
          <t>PLTR</t>
        </is>
      </c>
      <c r="G3012" s="6" t="n">
        <v>25</v>
      </c>
      <c r="H3012" s="6" t="n">
        <v>-585.136</v>
      </c>
      <c r="I3012" s="7">
        <f>-H3012/G3012</f>
        <v/>
      </c>
      <c r="J3012" s="11" t="n"/>
      <c r="K3012" s="6" t="n"/>
      <c r="L3012" s="6" t="n"/>
      <c r="M3012" s="7">
        <f>IF(N3012=0,+L3012+H3012,0)</f>
        <v/>
      </c>
      <c r="N3012" s="7">
        <f>IF((+G3012-K3012)=0,0,+G3012-K3012)</f>
        <v/>
      </c>
      <c r="O3012" s="7">
        <f>IF(N3012=0,0,(L3012+H3012)/-N3012)</f>
        <v/>
      </c>
      <c r="P3012" s="7">
        <f>VLOOKUP(OPERAC[[#This Row],[especie]],[1]!ESPECIES[#All],6,0)</f>
        <v/>
      </c>
      <c r="Q3012" s="7">
        <f>IF(N3012&lt;&gt;0,P3012*N3012,0)</f>
        <v/>
      </c>
      <c r="R3012" s="8">
        <f>IF(Q3012&lt;&gt;0,Q3012+H3012+L3012,0)</f>
        <v/>
      </c>
      <c r="S3012" s="9">
        <f>VLOOKUP(OPERAC[[#This Row],[especie]],[1]!ESPECIES[#Data],9,FALSE)</f>
        <v/>
      </c>
    </row>
    <row r="3013">
      <c r="A3013" s="4" t="n">
        <v>18705</v>
      </c>
      <c r="B3013" s="5" t="n">
        <v>44515</v>
      </c>
      <c r="C3013" s="13" t="inlineStr">
        <is>
          <t>VTA</t>
        </is>
      </c>
      <c r="D3013" s="13" t="n">
        <v>41</v>
      </c>
      <c r="E3013" s="10">
        <f>IF(D3013&gt;0,VLOOKUP(OPERAC[[#This Row],[COD CART]],[1]!MatrizCortoLargoCyl[#All],3,0),"")</f>
        <v/>
      </c>
      <c r="F3013" s="13" t="inlineStr">
        <is>
          <t>SLV</t>
        </is>
      </c>
      <c r="G3013" s="6" t="n">
        <v>25</v>
      </c>
      <c r="H3013" s="6" t="n">
        <v>-585.136</v>
      </c>
      <c r="I3013" s="7">
        <f>-H3013/G3013</f>
        <v/>
      </c>
      <c r="J3013" s="11" t="n"/>
      <c r="K3013" s="6" t="n"/>
      <c r="L3013" s="6" t="n"/>
      <c r="M3013" s="7">
        <f>IF(N3013=0,+L3013+H3013,0)</f>
        <v/>
      </c>
      <c r="N3013" s="7">
        <f>IF((+G3013-K3013)=0,0,+G3013-K3013)</f>
        <v/>
      </c>
      <c r="O3013" s="7">
        <f>IF(N3013=0,0,(L3013+H3013)/-N3013)</f>
        <v/>
      </c>
      <c r="P3013" s="7">
        <f>VLOOKUP(OPERAC[[#This Row],[especie]],[1]!ESPECIES[#All],6,0)</f>
        <v/>
      </c>
      <c r="Q3013" s="7">
        <f>IF(N3013&lt;&gt;0,P3013*N3013,0)</f>
        <v/>
      </c>
      <c r="R3013" s="8">
        <f>IF(Q3013&lt;&gt;0,Q3013+H3013+L3013,0)</f>
        <v/>
      </c>
      <c r="S3013" s="9">
        <f>VLOOKUP(OPERAC[[#This Row],[especie]],[1]!ESPECIES[#Data],9,FALSE)</f>
        <v/>
      </c>
    </row>
    <row r="3014">
      <c r="A3014" s="4" t="n">
        <v>18663</v>
      </c>
      <c r="B3014" s="5" t="n">
        <v>44350</v>
      </c>
      <c r="C3014" s="13" t="inlineStr">
        <is>
          <t>VTA</t>
        </is>
      </c>
      <c r="D3014" s="13" t="n">
        <v>41</v>
      </c>
      <c r="E3014" s="10">
        <f>IF(D3014&gt;0,VLOOKUP(OPERAC[[#This Row],[COD CART]],[1]!MatrizCortoLargoCyl[#All],3,0),"")</f>
        <v/>
      </c>
      <c r="F3014" s="13" t="inlineStr">
        <is>
          <t>XXII</t>
        </is>
      </c>
      <c r="G3014" s="6">
        <f>100+100</f>
        <v/>
      </c>
      <c r="H3014" s="6">
        <f>-367.986333333333+6.29+18.78-31.185+44.62+44.37-302.4</f>
        <v/>
      </c>
      <c r="I3014" s="7">
        <f>-H3014/G3014</f>
        <v/>
      </c>
      <c r="J3014" s="11" t="n"/>
      <c r="K3014" s="6" t="n"/>
      <c r="L3014" s="6" t="n"/>
      <c r="M3014" s="7">
        <f>IF(N3014=0,+L3014+H3014,0)</f>
        <v/>
      </c>
      <c r="N3014" s="7">
        <f>IF((+G3014-K3014)=0,0,+G3014-K3014)</f>
        <v/>
      </c>
      <c r="O3014" s="7">
        <f>IF(N3014=0,0,(L3014+H3014)/-N3014)</f>
        <v/>
      </c>
      <c r="P3014" s="7">
        <f>VLOOKUP(OPERAC[[#This Row],[especie]],[1]!ESPECIES[#All],6,0)</f>
        <v/>
      </c>
      <c r="Q3014" s="7">
        <f>IF(N3014&lt;&gt;0,P3014*N3014,0)</f>
        <v/>
      </c>
      <c r="R3014" s="8">
        <f>IF(Q3014&lt;&gt;0,Q3014+H3014+L3014,0)</f>
        <v/>
      </c>
      <c r="S3014" s="9">
        <f>VLOOKUP(OPERAC[[#This Row],[especie]],[1]!ESPECIES[#Data],9,FALSE)</f>
        <v/>
      </c>
    </row>
    <row r="3015">
      <c r="A3015" s="4" t="n">
        <v>13269</v>
      </c>
      <c r="B3015" s="5" t="n">
        <v>44550</v>
      </c>
      <c r="C3015" s="13" t="inlineStr">
        <is>
          <t>VTA</t>
        </is>
      </c>
      <c r="D3015" s="13" t="n">
        <v>40</v>
      </c>
      <c r="E3015" s="10">
        <f>IF(D3015&gt;0,VLOOKUP(OPERAC[[#This Row],[COD CART]],[1]!MatrizCortoLargoCyl[#All],3,0),"")</f>
        <v/>
      </c>
      <c r="F3015" s="13" t="inlineStr">
        <is>
          <t>SMH</t>
        </is>
      </c>
      <c r="G3015" s="6" t="n">
        <v>2</v>
      </c>
      <c r="H3015" s="6" t="n">
        <v>-587.9460799999999</v>
      </c>
      <c r="I3015" s="7">
        <f>-H3015/G3015</f>
        <v/>
      </c>
      <c r="J3015" s="11" t="n">
        <v>44574</v>
      </c>
      <c r="K3015" s="6">
        <f>+OPERAC[[#This Row],[cantidad]]</f>
        <v/>
      </c>
      <c r="L3015" s="6">
        <f>+OPERAC[[#This Row],[cantidad venta]]*306.843</f>
        <v/>
      </c>
      <c r="M3015" s="7">
        <f>IF(N3015=0,+L3015+H3015,0)</f>
        <v/>
      </c>
      <c r="N3015" s="7">
        <f>IF((+G3015-K3015)=0,0,+G3015-K3015)</f>
        <v/>
      </c>
      <c r="O3015" s="7">
        <f>IF(N3015=0,0,(L3015+H3015)/-N3015)</f>
        <v/>
      </c>
      <c r="P3015" s="7">
        <f>VLOOKUP(OPERAC[[#This Row],[especie]],[1]!ESPECIES[#All],6,0)</f>
        <v/>
      </c>
      <c r="Q3015" s="7">
        <f>IF(N3015&lt;&gt;0,P3015*N3015,0)</f>
        <v/>
      </c>
      <c r="R3015" s="8">
        <f>IF(Q3015&lt;&gt;0,Q3015+H3015+L3015,0)</f>
        <v/>
      </c>
      <c r="S3015" s="9">
        <f>VLOOKUP(OPERAC[[#This Row],[especie]],[1]!ESPECIES[#Data],9,FALSE)</f>
        <v/>
      </c>
    </row>
    <row r="3016">
      <c r="A3016" s="4" t="n">
        <v>13253</v>
      </c>
      <c r="B3016" s="5" t="n">
        <v>44585</v>
      </c>
      <c r="C3016" s="13" t="inlineStr">
        <is>
          <t>VTA</t>
        </is>
      </c>
      <c r="D3016" s="13" t="n">
        <v>41</v>
      </c>
      <c r="E3016" s="10">
        <f>IF(D3016&gt;0,VLOOKUP(OPERAC[[#This Row],[COD CART]],[1]!MatrizCortoLargoCyl[#All],3,0),"")</f>
        <v/>
      </c>
      <c r="F3016" s="13" t="inlineStr">
        <is>
          <t>SPWR</t>
        </is>
      </c>
      <c r="G3016" s="6" t="n">
        <v>40</v>
      </c>
      <c r="H3016" s="6" t="n">
        <v>-592.789</v>
      </c>
      <c r="I3016" s="7">
        <f>-H3016/G3016</f>
        <v/>
      </c>
      <c r="J3016" s="11" t="n">
        <v>44587</v>
      </c>
      <c r="K3016" s="6">
        <f>5+15</f>
        <v/>
      </c>
      <c r="L3016" s="6">
        <f>83.77+308.07</f>
        <v/>
      </c>
      <c r="M3016" s="7">
        <f>IF(N3016=0,+L3016+H3016,0)</f>
        <v/>
      </c>
      <c r="N3016" s="7">
        <f>IF((+G3016-K3016)=0,0,+G3016-K3016)</f>
        <v/>
      </c>
      <c r="O3016" s="7">
        <f>IF(N3016=0,0,(L3016+H3016)/-N3016)</f>
        <v/>
      </c>
      <c r="P3016" s="7">
        <f>VLOOKUP(OPERAC[[#This Row],[especie]],[1]!ESPECIES[#All],6,0)</f>
        <v/>
      </c>
      <c r="Q3016" s="7">
        <f>IF(N3016&lt;&gt;0,P3016*N3016,0)</f>
        <v/>
      </c>
      <c r="R3016" s="8">
        <f>IF(Q3016&lt;&gt;0,Q3016+H3016+L3016,0)</f>
        <v/>
      </c>
      <c r="S3016" s="9">
        <f>VLOOKUP(OPERAC[[#This Row],[especie]],[1]!ESPECIES[#Data],9,FALSE)</f>
        <v/>
      </c>
    </row>
    <row r="3017">
      <c r="A3017" s="4" t="n">
        <v>2194</v>
      </c>
      <c r="B3017" s="5" t="n">
        <v>44538</v>
      </c>
      <c r="C3017" s="13" t="inlineStr">
        <is>
          <t>VTA</t>
        </is>
      </c>
      <c r="D3017" s="13" t="n">
        <v>43</v>
      </c>
      <c r="E3017" s="10">
        <f>IF(D3017&gt;0,VLOOKUP(OPERAC[[#This Row],[COD CART]],[1]!MatrizCortoLargoCyl[#All],3,0),"")</f>
        <v/>
      </c>
      <c r="F3017" s="13" t="inlineStr">
        <is>
          <t>XSPA/CYL-PUT/1,50/20-01-23</t>
        </is>
      </c>
      <c r="G3017" s="6" t="n">
        <v>1000</v>
      </c>
      <c r="H3017" s="6">
        <f>-0.59863*OPERAC[[#This Row],[cantidad]]</f>
        <v/>
      </c>
      <c r="I3017" s="7">
        <f>-H3017/G3017</f>
        <v/>
      </c>
      <c r="J3017" s="11" t="n"/>
      <c r="K3017" s="6" t="n"/>
      <c r="L3017" s="6" t="n"/>
      <c r="M3017" s="7">
        <f>IF(N3017=0,+L3017+H3017,0)</f>
        <v/>
      </c>
      <c r="N3017" s="7">
        <f>IF((+G3017-K3017)=0,0,+G3017-K3017)</f>
        <v/>
      </c>
      <c r="O3017" s="7">
        <f>IF(N3017=0,0,(L3017+H3017)/-N3017)</f>
        <v/>
      </c>
      <c r="P3017" s="7">
        <f>VLOOKUP(OPERAC[[#This Row],[especie]],[1]!ESPECIES[#All],6,0)</f>
        <v/>
      </c>
      <c r="Q3017" s="7">
        <f>IF(N3017&lt;&gt;0,P3017*N3017,0)</f>
        <v/>
      </c>
      <c r="R3017" s="8">
        <f>IF(Q3017&lt;&gt;0,Q3017+H3017+L3017,0)</f>
        <v/>
      </c>
      <c r="S3017" s="9">
        <f>VLOOKUP(OPERAC[[#This Row],[especie]],[1]!ESPECIES[#Data],9,FALSE)</f>
        <v/>
      </c>
    </row>
    <row r="3018">
      <c r="A3018" s="4" t="n">
        <v>13188</v>
      </c>
      <c r="B3018" s="5" t="n">
        <v>44538</v>
      </c>
      <c r="C3018" s="13" t="inlineStr">
        <is>
          <t>VTA</t>
        </is>
      </c>
      <c r="D3018" s="13" t="n">
        <v>43</v>
      </c>
      <c r="E3018" s="10">
        <f>IF(D3018&gt;0,VLOOKUP(OPERAC[[#This Row],[COD CART]],[1]!MatrizCortoLargoCyl[#All],3,0),"")</f>
        <v/>
      </c>
      <c r="F3018" s="13" t="inlineStr">
        <is>
          <t>XSPA/CYL-PUT/1,50/20-01-23</t>
        </is>
      </c>
      <c r="G3018" s="6" t="n">
        <v>1000</v>
      </c>
      <c r="H3018" s="6">
        <f>-0.59863*OPERAC[[#This Row],[cantidad]]</f>
        <v/>
      </c>
      <c r="I3018" s="7">
        <f>-H3018/G3018</f>
        <v/>
      </c>
      <c r="J3018" s="11" t="n"/>
      <c r="K3018" s="6" t="n"/>
      <c r="L3018" s="6" t="n"/>
      <c r="M3018" s="7">
        <f>IF(N3018=0,+L3018+H3018,0)</f>
        <v/>
      </c>
      <c r="N3018" s="7">
        <f>IF((+G3018-K3018)=0,0,+G3018-K3018)</f>
        <v/>
      </c>
      <c r="O3018" s="7">
        <f>IF(N3018=0,0,(L3018+H3018)/-N3018)</f>
        <v/>
      </c>
      <c r="P3018" s="7">
        <f>VLOOKUP(OPERAC[[#This Row],[especie]],[1]!ESPECIES[#All],6,0)</f>
        <v/>
      </c>
      <c r="Q3018" s="7">
        <f>IF(N3018&lt;&gt;0,P3018*N3018,0)</f>
        <v/>
      </c>
      <c r="R3018" s="8">
        <f>IF(Q3018&lt;&gt;0,Q3018+H3018+L3018,0)</f>
        <v/>
      </c>
      <c r="S3018" s="9">
        <f>VLOOKUP(OPERAC[[#This Row],[especie]],[1]!ESPECIES[#Data],9,FALSE)</f>
        <v/>
      </c>
    </row>
    <row r="3019">
      <c r="A3019" s="4" t="n">
        <v>18724</v>
      </c>
      <c r="B3019" s="5" t="n">
        <v>44538</v>
      </c>
      <c r="C3019" s="13" t="inlineStr">
        <is>
          <t>VTA</t>
        </is>
      </c>
      <c r="D3019" s="13" t="n">
        <v>43</v>
      </c>
      <c r="E3019" s="10">
        <f>IF(D3019&gt;0,VLOOKUP(OPERAC[[#This Row],[COD CART]],[1]!MatrizCortoLargoCyl[#All],3,0),"")</f>
        <v/>
      </c>
      <c r="F3019" s="13" t="inlineStr">
        <is>
          <t>XSPA/CYL-PUT/1,50/20-01-23</t>
        </is>
      </c>
      <c r="G3019" s="6" t="n">
        <v>1000</v>
      </c>
      <c r="H3019" s="6">
        <f>-0.59863*OPERAC[[#This Row],[cantidad]]</f>
        <v/>
      </c>
      <c r="I3019" s="7">
        <f>-H3019/G3019</f>
        <v/>
      </c>
      <c r="J3019" s="11" t="n"/>
      <c r="K3019" s="6" t="n"/>
      <c r="L3019" s="6" t="n"/>
      <c r="M3019" s="7">
        <f>IF(N3019=0,+L3019+H3019,0)</f>
        <v/>
      </c>
      <c r="N3019" s="7">
        <f>IF((+G3019-K3019)=0,0,+G3019-K3019)</f>
        <v/>
      </c>
      <c r="O3019" s="7">
        <f>IF(N3019=0,0,(L3019+H3019)/-N3019)</f>
        <v/>
      </c>
      <c r="P3019" s="7">
        <f>VLOOKUP(OPERAC[[#This Row],[especie]],[1]!ESPECIES[#All],6,0)</f>
        <v/>
      </c>
      <c r="Q3019" s="7">
        <f>IF(N3019&lt;&gt;0,P3019*N3019,0)</f>
        <v/>
      </c>
      <c r="R3019" s="8">
        <f>IF(Q3019&lt;&gt;0,Q3019+H3019+L3019,0)</f>
        <v/>
      </c>
      <c r="S3019" s="9">
        <f>VLOOKUP(OPERAC[[#This Row],[especie]],[1]!ESPECIES[#Data],9,FALSE)</f>
        <v/>
      </c>
    </row>
    <row r="3020">
      <c r="A3020" s="4" t="n">
        <v>19867</v>
      </c>
      <c r="B3020" s="5" t="n">
        <v>44538</v>
      </c>
      <c r="C3020" s="13" t="inlineStr">
        <is>
          <t>VTA</t>
        </is>
      </c>
      <c r="D3020" s="13" t="n">
        <v>43</v>
      </c>
      <c r="E3020" s="10">
        <f>IF(D3020&gt;0,VLOOKUP(OPERAC[[#This Row],[COD CART]],[1]!MatrizCortoLargoCyl[#All],3,0),"")</f>
        <v/>
      </c>
      <c r="F3020" s="13" t="inlineStr">
        <is>
          <t>XSPA/CYL-PUT/1,50/20-01-23</t>
        </is>
      </c>
      <c r="G3020" s="6" t="n">
        <v>1000</v>
      </c>
      <c r="H3020" s="6">
        <f>-0.59863*OPERAC[[#This Row],[cantidad]]</f>
        <v/>
      </c>
      <c r="I3020" s="7">
        <f>-H3020/G3020</f>
        <v/>
      </c>
      <c r="J3020" s="11" t="n"/>
      <c r="K3020" s="6" t="n"/>
      <c r="L3020" s="6" t="n"/>
      <c r="M3020" s="7">
        <f>IF(N3020=0,+L3020+H3020,0)</f>
        <v/>
      </c>
      <c r="N3020" s="7">
        <f>IF((+G3020-K3020)=0,0,+G3020-K3020)</f>
        <v/>
      </c>
      <c r="O3020" s="7">
        <f>IF(N3020=0,0,(L3020+H3020)/-N3020)</f>
        <v/>
      </c>
      <c r="P3020" s="7">
        <f>VLOOKUP(OPERAC[[#This Row],[especie]],[1]!ESPECIES[#All],6,0)</f>
        <v/>
      </c>
      <c r="Q3020" s="7">
        <f>IF(N3020&lt;&gt;0,P3020*N3020,0)</f>
        <v/>
      </c>
      <c r="R3020" s="8">
        <f>IF(Q3020&lt;&gt;0,Q3020+H3020+L3020,0)</f>
        <v/>
      </c>
      <c r="S3020" s="9">
        <f>VLOOKUP(OPERAC[[#This Row],[especie]],[1]!ESPECIES[#Data],9,FALSE)</f>
        <v/>
      </c>
    </row>
    <row r="3021">
      <c r="A3021" s="4" t="n">
        <v>26146</v>
      </c>
      <c r="B3021" s="5" t="n">
        <v>44722</v>
      </c>
      <c r="C3021" s="13" t="inlineStr">
        <is>
          <t>VTA</t>
        </is>
      </c>
      <c r="D3021" s="13" t="n">
        <v>41</v>
      </c>
      <c r="E3021" s="10">
        <f>IF(D3021&gt;0,VLOOKUP(OPERAC[[#This Row],[COD CART]],[1]!MatrizCortoLargoCyl[#All],3,0),"")</f>
        <v/>
      </c>
      <c r="F3021" s="13" t="inlineStr">
        <is>
          <t>CRESY</t>
        </is>
      </c>
      <c r="G3021" s="6" t="n">
        <v>100</v>
      </c>
      <c r="H3021" s="6" t="n">
        <v>-599.049</v>
      </c>
      <c r="I3021" s="7">
        <f>-H3021/G3021</f>
        <v/>
      </c>
      <c r="J3021" s="5" t="n"/>
      <c r="K3021" s="6" t="n"/>
      <c r="L3021" s="6" t="n"/>
      <c r="M3021" s="7">
        <f>IF(N3021=0,+L3021+H3021,0)</f>
        <v/>
      </c>
      <c r="N3021" s="7">
        <f>IF((+G3021-K3021)=0,0,+G3021-K3021)</f>
        <v/>
      </c>
      <c r="O3021" s="7">
        <f>IF(N3021=0,0,(L3021+H3021)/-N3021)</f>
        <v/>
      </c>
      <c r="P3021" s="7">
        <f>VLOOKUP(OPERAC[[#This Row],[especie]],[1]!ESPECIES[#All],6,0)</f>
        <v/>
      </c>
      <c r="Q3021" s="7">
        <f>IF(N3021&lt;&gt;0,P3021*N3021,0)</f>
        <v/>
      </c>
      <c r="R3021" s="8">
        <f>IF(Q3021&lt;&gt;0,Q3021+H3021+L3021,0)</f>
        <v/>
      </c>
      <c r="S3021" s="9">
        <f>VLOOKUP(OPERAC[[#This Row],[especie]],[1]!ESPECIES[#Data],9,FALSE)</f>
        <v/>
      </c>
    </row>
    <row r="3022">
      <c r="A3022" s="4" t="n">
        <v>25070</v>
      </c>
      <c r="B3022" s="5" t="n">
        <v>44722</v>
      </c>
      <c r="C3022" s="13" t="inlineStr">
        <is>
          <t>VTA</t>
        </is>
      </c>
      <c r="D3022" s="13" t="n">
        <v>40</v>
      </c>
      <c r="E3022" s="10">
        <f>IF(D3022&gt;0,VLOOKUP(OPERAC[[#This Row],[COD CART]],[1]!MatrizCortoLargoCyl[#All],3,0),"")</f>
        <v/>
      </c>
      <c r="F3022" s="13" t="inlineStr">
        <is>
          <t>CRESY</t>
        </is>
      </c>
      <c r="G3022" s="6" t="n">
        <v>100</v>
      </c>
      <c r="H3022" s="6" t="n">
        <v>-599.049</v>
      </c>
      <c r="I3022" s="7">
        <f>-H3022/G3022</f>
        <v/>
      </c>
      <c r="J3022" s="5" t="n"/>
      <c r="K3022" s="6" t="n"/>
      <c r="L3022" s="6" t="n"/>
      <c r="M3022" s="7">
        <f>IF(N3022=0,+L3022+H3022,0)</f>
        <v/>
      </c>
      <c r="N3022" s="7">
        <f>IF((+G3022-K3022)=0,0,+G3022-K3022)</f>
        <v/>
      </c>
      <c r="O3022" s="7">
        <f>IF(N3022=0,0,(L3022+H3022)/-N3022)</f>
        <v/>
      </c>
      <c r="P3022" s="7">
        <f>VLOOKUP(OPERAC[[#This Row],[especie]],[1]!ESPECIES[#All],6,0)</f>
        <v/>
      </c>
      <c r="Q3022" s="7">
        <f>IF(N3022&lt;&gt;0,P3022*N3022,0)</f>
        <v/>
      </c>
      <c r="R3022" s="8">
        <f>IF(Q3022&lt;&gt;0,Q3022+H3022+L3022,0)</f>
        <v/>
      </c>
      <c r="S3022" s="9">
        <f>VLOOKUP(OPERAC[[#This Row],[especie]],[1]!ESPECIES[#Data],9,FALSE)</f>
        <v/>
      </c>
    </row>
    <row r="3023">
      <c r="A3023" s="4" t="n">
        <v>3728</v>
      </c>
      <c r="B3023" s="5" t="n">
        <v>44607</v>
      </c>
      <c r="C3023" s="13" t="inlineStr">
        <is>
          <t>VTA</t>
        </is>
      </c>
      <c r="D3023" s="13" t="n">
        <v>43</v>
      </c>
      <c r="E3023" s="10">
        <f>IF(D3023&gt;0,VLOOKUP(OPERAC[[#This Row],[COD CART]],[1]!MatrizCortoLargoCyl[#All],3,0),"")</f>
        <v/>
      </c>
      <c r="F3023" s="13" t="inlineStr">
        <is>
          <t>SOLO/CYL-PUT/2,00/19-01-24</t>
        </is>
      </c>
      <c r="G3023" s="6" t="n">
        <v>2500</v>
      </c>
      <c r="H3023" s="6" t="n">
        <v>-600.15</v>
      </c>
      <c r="I3023" s="7">
        <f>-H3023/G3023</f>
        <v/>
      </c>
      <c r="J3023" s="11" t="n"/>
      <c r="K3023" s="6" t="n"/>
      <c r="L3023" s="6" t="n"/>
      <c r="M3023" s="7">
        <f>IF(N3023=0,+L3023+H3023,0)</f>
        <v/>
      </c>
      <c r="N3023" s="7">
        <f>IF((+G3023-K3023)=0,0,+G3023-K3023)</f>
        <v/>
      </c>
      <c r="O3023" s="7">
        <f>IF(N3023=0,0,(L3023+H3023)/-N3023)</f>
        <v/>
      </c>
      <c r="P3023" s="7">
        <f>VLOOKUP(OPERAC[[#This Row],[especie]],[1]!ESPECIES[#All],6,0)</f>
        <v/>
      </c>
      <c r="Q3023" s="7">
        <f>IF(N3023&lt;&gt;0,P3023*N3023,0)</f>
        <v/>
      </c>
      <c r="R3023" s="8">
        <f>IF(Q3023&lt;&gt;0,Q3023+H3023+L3023,0)</f>
        <v/>
      </c>
      <c r="S3023" s="9">
        <f>VLOOKUP(OPERAC[[#This Row],[especie]],[1]!ESPECIES[#Data],9,FALSE)</f>
        <v/>
      </c>
    </row>
    <row r="3024">
      <c r="A3024" s="4" t="n">
        <v>2218</v>
      </c>
      <c r="B3024" s="5" t="n">
        <v>44466</v>
      </c>
      <c r="C3024" s="13" t="inlineStr">
        <is>
          <t>VTA</t>
        </is>
      </c>
      <c r="D3024" s="13" t="n">
        <v>43</v>
      </c>
      <c r="E3024" s="10">
        <f>IF(D3024&gt;0,VLOOKUP(OPERAC[[#This Row],[COD CART]],[1]!MatrizCortoLargoCyl[#All],3,0),"")</f>
        <v/>
      </c>
      <c r="F3024" s="13" t="inlineStr">
        <is>
          <t>SOLO/CYL-PUT/4,00/16-09-22</t>
        </is>
      </c>
      <c r="G3024" s="6" t="n">
        <v>300</v>
      </c>
      <c r="H3024" s="6">
        <f>-879.41196+0.32*OPERAC[[#This Row],[cantidad]]+0.387*OPERAC[[#This Row],[cantidad]]+0.22*OPERAC[[#This Row],[cantidad]]</f>
        <v/>
      </c>
      <c r="I3024" s="7">
        <f>-H3024/G3024</f>
        <v/>
      </c>
      <c r="J3024" s="11" t="n"/>
      <c r="K3024" s="6" t="n"/>
      <c r="L3024" s="6" t="n"/>
      <c r="M3024" s="7">
        <f>IF(N3024=0,+L3024+H3024,0)</f>
        <v/>
      </c>
      <c r="N3024" s="7">
        <f>IF((+G3024-K3024)=0,0,+G3024-K3024)</f>
        <v/>
      </c>
      <c r="O3024" s="7">
        <f>IF(N3024=0,0,(L3024+H3024)/-N3024)</f>
        <v/>
      </c>
      <c r="P3024" s="7">
        <f>VLOOKUP(OPERAC[[#This Row],[especie]],[1]!ESPECIES[#All],6,0)</f>
        <v/>
      </c>
      <c r="Q3024" s="7">
        <f>IF(N3024&lt;&gt;0,P3024*N3024,0)</f>
        <v/>
      </c>
      <c r="R3024" s="8">
        <f>IF(Q3024&lt;&gt;0,Q3024+H3024+L3024,0)</f>
        <v/>
      </c>
      <c r="S3024" s="9">
        <f>VLOOKUP(OPERAC[[#This Row],[especie]],[1]!ESPECIES[#Data],9,FALSE)</f>
        <v/>
      </c>
    </row>
    <row r="3025">
      <c r="A3025" s="4" t="n">
        <v>3728</v>
      </c>
      <c r="B3025" s="5" t="n">
        <v>44466</v>
      </c>
      <c r="C3025" s="13" t="inlineStr">
        <is>
          <t>VTA</t>
        </is>
      </c>
      <c r="D3025" s="13" t="n">
        <v>43</v>
      </c>
      <c r="E3025" s="10">
        <f>IF(D3025&gt;0,VLOOKUP(OPERAC[[#This Row],[COD CART]],[1]!MatrizCortoLargoCyl[#All],3,0),"")</f>
        <v/>
      </c>
      <c r="F3025" s="13" t="inlineStr">
        <is>
          <t>SOLO/CYL-PUT/4,00/16-09-22</t>
        </is>
      </c>
      <c r="G3025" s="6" t="n">
        <v>300</v>
      </c>
      <c r="H3025" s="6">
        <f>-879.41196+0.32*OPERAC[[#This Row],[cantidad]]+0.387*OPERAC[[#This Row],[cantidad]]+0.22*OPERAC[[#This Row],[cantidad]]</f>
        <v/>
      </c>
      <c r="I3025" s="7">
        <f>-H3025/G3025</f>
        <v/>
      </c>
      <c r="J3025" s="11" t="n"/>
      <c r="K3025" s="6" t="n"/>
      <c r="L3025" s="6" t="n"/>
      <c r="M3025" s="7">
        <f>IF(N3025=0,+L3025+H3025,0)</f>
        <v/>
      </c>
      <c r="N3025" s="7">
        <f>IF((+G3025-K3025)=0,0,+G3025-K3025)</f>
        <v/>
      </c>
      <c r="O3025" s="7">
        <f>IF(N3025=0,0,(L3025+H3025)/-N3025)</f>
        <v/>
      </c>
      <c r="P3025" s="7">
        <f>VLOOKUP(OPERAC[[#This Row],[especie]],[1]!ESPECIES[#All],6,0)</f>
        <v/>
      </c>
      <c r="Q3025" s="7">
        <f>IF(N3025&lt;&gt;0,P3025*N3025,0)</f>
        <v/>
      </c>
      <c r="R3025" s="8">
        <f>IF(Q3025&lt;&gt;0,Q3025+H3025+L3025,0)</f>
        <v/>
      </c>
      <c r="S3025" s="9">
        <f>VLOOKUP(OPERAC[[#This Row],[especie]],[1]!ESPECIES[#Data],9,FALSE)</f>
        <v/>
      </c>
    </row>
    <row r="3026">
      <c r="A3026" s="4" t="n">
        <v>12655</v>
      </c>
      <c r="B3026" s="5" t="n">
        <v>44663</v>
      </c>
      <c r="C3026" s="13" t="inlineStr">
        <is>
          <t>VTA</t>
        </is>
      </c>
      <c r="D3026" s="13" t="n">
        <v>31</v>
      </c>
      <c r="E3026" s="10">
        <f>IF(D3026&gt;0,VLOOKUP(OPERAC[[#This Row],[COD CART]],[1]!MatrizCortoLargoCyl[#All],3,0),"")</f>
        <v/>
      </c>
      <c r="F3026" s="13" t="inlineStr">
        <is>
          <t>BBAR</t>
        </is>
      </c>
      <c r="G3026" s="6" t="n">
        <v>180</v>
      </c>
      <c r="H3026" s="6" t="n">
        <v>-601.3163999999999</v>
      </c>
      <c r="I3026" s="7">
        <f>-H3026/G3026</f>
        <v/>
      </c>
      <c r="J3026" s="11" t="n"/>
      <c r="K3026" s="6" t="n"/>
      <c r="L3026" s="6" t="n"/>
      <c r="M3026" s="7">
        <f>IF(N3026=0,+L3026+H3026,0)</f>
        <v/>
      </c>
      <c r="N3026" s="7">
        <f>IF((+G3026-K3026)=0,0,+G3026-K3026)</f>
        <v/>
      </c>
      <c r="O3026" s="7">
        <f>IF(N3026=0,0,(L3026+H3026)/-N3026)</f>
        <v/>
      </c>
      <c r="P3026" s="7">
        <f>VLOOKUP(OPERAC[[#This Row],[especie]],[1]!ESPECIES[#All],6,0)</f>
        <v/>
      </c>
      <c r="Q3026" s="7">
        <f>IF(N3026&lt;&gt;0,P3026*N3026,0)</f>
        <v/>
      </c>
      <c r="R3026" s="8">
        <f>IF(Q3026&lt;&gt;0,Q3026+H3026+L3026,0)</f>
        <v/>
      </c>
      <c r="S3026" s="9">
        <f>VLOOKUP(OPERAC[[#This Row],[especie]],[1]!ESPECIES[#Data],9,FALSE)</f>
        <v/>
      </c>
    </row>
    <row r="3027">
      <c r="A3027" s="4" t="n">
        <v>18663</v>
      </c>
      <c r="B3027" s="5" t="n">
        <v>44327</v>
      </c>
      <c r="C3027" s="13" t="inlineStr">
        <is>
          <t>VTA</t>
        </is>
      </c>
      <c r="D3027" s="13" t="n">
        <v>41</v>
      </c>
      <c r="E3027" s="10">
        <f>IF(D3027&gt;0,VLOOKUP(OPERAC[[#This Row],[COD CART]],[1]!MatrizCortoLargoCyl[#All],3,0),"")</f>
        <v/>
      </c>
      <c r="F3027" s="13" t="inlineStr">
        <is>
          <t>JEPI</t>
        </is>
      </c>
      <c r="G3027" s="6" t="n">
        <v>10</v>
      </c>
      <c r="H3027" s="6" t="n">
        <v>-601.53616</v>
      </c>
      <c r="I3027" s="7">
        <f>-H3027/G3027</f>
        <v/>
      </c>
      <c r="J3027" s="11" t="n"/>
      <c r="K3027" s="6" t="n"/>
      <c r="L3027" s="6" t="n"/>
      <c r="M3027" s="7">
        <f>IF(N3027=0,+L3027+H3027,0)</f>
        <v/>
      </c>
      <c r="N3027" s="7">
        <f>IF((+G3027-K3027)=0,0,+G3027-K3027)</f>
        <v/>
      </c>
      <c r="O3027" s="7">
        <f>IF(N3027=0,0,(L3027+H3027)/-N3027)</f>
        <v/>
      </c>
      <c r="P3027" s="7">
        <f>VLOOKUP(OPERAC[[#This Row],[especie]],[1]!ESPECIES[#All],6,0)</f>
        <v/>
      </c>
      <c r="Q3027" s="7">
        <f>IF(N3027&lt;&gt;0,P3027*N3027,0)</f>
        <v/>
      </c>
      <c r="R3027" s="8">
        <f>IF(Q3027&lt;&gt;0,Q3027+H3027+L3027,0)</f>
        <v/>
      </c>
      <c r="S3027" s="9">
        <f>VLOOKUP(OPERAC[[#This Row],[especie]],[1]!ESPECIES[#Data],9,FALSE)</f>
        <v/>
      </c>
    </row>
    <row r="3028">
      <c r="A3028" s="4" t="n">
        <v>16818</v>
      </c>
      <c r="B3028" s="5" t="n">
        <v>44594</v>
      </c>
      <c r="C3028" s="13" t="inlineStr">
        <is>
          <t>VTA</t>
        </is>
      </c>
      <c r="D3028" s="13" t="n">
        <v>40</v>
      </c>
      <c r="E3028" s="10">
        <f>IF(D3028&gt;0,VLOOKUP(OPERAC[[#This Row],[COD CART]],[1]!MatrizCortoLargoCyl[#All],3,0),"")</f>
        <v/>
      </c>
      <c r="F3028" s="13" t="inlineStr">
        <is>
          <t>EDU</t>
        </is>
      </c>
      <c r="G3028" s="6" t="n">
        <v>300</v>
      </c>
      <c r="H3028" s="6" t="n">
        <v>-602.4</v>
      </c>
      <c r="I3028" s="7">
        <f>-H3028/G3028</f>
        <v/>
      </c>
      <c r="J3028" s="11" t="n">
        <v>44601</v>
      </c>
      <c r="K3028" s="6" t="n">
        <v>300</v>
      </c>
      <c r="L3028" s="6">
        <f>300*1.64</f>
        <v/>
      </c>
      <c r="M3028" s="7">
        <f>IF(N3028=0,+L3028+H3028,0)</f>
        <v/>
      </c>
      <c r="N3028" s="7">
        <f>IF((+G3028-K3028)=0,0,+G3028-K3028)</f>
        <v/>
      </c>
      <c r="O3028" s="7">
        <f>IF(N3028=0,0,(L3028+H3028)/-N3028)</f>
        <v/>
      </c>
      <c r="P3028" s="7">
        <f>VLOOKUP(OPERAC[[#This Row],[especie]],[1]!ESPECIES[#All],6,0)</f>
        <v/>
      </c>
      <c r="Q3028" s="7">
        <f>IF(N3028&lt;&gt;0,P3028*N3028,0)</f>
        <v/>
      </c>
      <c r="R3028" s="8">
        <f>IF(Q3028&lt;&gt;0,Q3028+H3028+L3028,0)</f>
        <v/>
      </c>
      <c r="S3028" s="9">
        <f>VLOOKUP(OPERAC[[#This Row],[especie]],[1]!ESPECIES[#Data],9,FALSE)</f>
        <v/>
      </c>
    </row>
    <row r="3029">
      <c r="A3029" s="4" t="n">
        <v>3021</v>
      </c>
      <c r="B3029" s="5" t="n">
        <v>44587</v>
      </c>
      <c r="C3029" s="13" t="inlineStr">
        <is>
          <t>VTA</t>
        </is>
      </c>
      <c r="D3029" s="13" t="n">
        <v>40</v>
      </c>
      <c r="E3029" s="10">
        <f>IF(D3029&gt;0,VLOOKUP(OPERAC[[#This Row],[COD CART]],[1]!MatrizCortoLargoCyl[#All],3,0),"")</f>
        <v/>
      </c>
      <c r="F3029" s="13" t="inlineStr">
        <is>
          <t>MSFT</t>
        </is>
      </c>
      <c r="G3029" s="6" t="n">
        <v>2</v>
      </c>
      <c r="H3029" s="6" t="n">
        <v>-602.6086600000001</v>
      </c>
      <c r="I3029" s="7">
        <f>-H3029/G3029</f>
        <v/>
      </c>
      <c r="J3029" s="11" t="n">
        <v>44606</v>
      </c>
      <c r="K3029" s="6">
        <f>+OPERAC[[#This Row],[cantidad]]</f>
        <v/>
      </c>
      <c r="L3029" s="6">
        <f>+OPERAC[[#This Row],[cantidad venta]]*290.091</f>
        <v/>
      </c>
      <c r="M3029" s="7">
        <f>IF(N3029=0,+L3029+H3029,0)</f>
        <v/>
      </c>
      <c r="N3029" s="7">
        <f>IF((+G3029-K3029)=0,0,+G3029-K3029)</f>
        <v/>
      </c>
      <c r="O3029" s="7">
        <f>IF(N3029=0,0,(L3029+H3029)/-N3029)</f>
        <v/>
      </c>
      <c r="P3029" s="7">
        <f>VLOOKUP(OPERAC[[#This Row],[especie]],[1]!ESPECIES[#All],6,0)</f>
        <v/>
      </c>
      <c r="Q3029" s="7">
        <f>IF(N3029&lt;&gt;0,P3029*N3029,0)</f>
        <v/>
      </c>
      <c r="R3029" s="8">
        <f>IF(Q3029&lt;&gt;0,Q3029+H3029+L3029,0)</f>
        <v/>
      </c>
      <c r="S3029" s="9">
        <f>VLOOKUP(OPERAC[[#This Row],[especie]],[1]!ESPECIES[#Data],9,FALSE)</f>
        <v/>
      </c>
    </row>
    <row r="3030">
      <c r="A3030" s="4" t="n">
        <v>6579</v>
      </c>
      <c r="B3030" s="5" t="n">
        <v>44071</v>
      </c>
      <c r="C3030" s="13" t="inlineStr">
        <is>
          <t>VTA</t>
        </is>
      </c>
      <c r="D3030" s="13" t="n">
        <v>41</v>
      </c>
      <c r="E3030" s="10">
        <f>IF(D3030&gt;0,VLOOKUP(OPERAC[[#This Row],[COD CART]],[1]!MatrizCortoLargoCyl[#All],3,0),"")</f>
        <v/>
      </c>
      <c r="F3030" s="13" t="inlineStr">
        <is>
          <t>VIST</t>
        </is>
      </c>
      <c r="G3030" s="6" t="n">
        <v>200</v>
      </c>
      <c r="H3030" s="6" t="n">
        <v>-604</v>
      </c>
      <c r="I3030" s="7">
        <f>-H3030/G3030</f>
        <v/>
      </c>
      <c r="J3030" s="5" t="n">
        <v>44663</v>
      </c>
      <c r="K3030" s="6" t="n">
        <v>200</v>
      </c>
      <c r="L3030" s="6" t="n">
        <v>1765.98</v>
      </c>
      <c r="M3030" s="7">
        <f>IF(N3030=0,+L3030+H3030,0)</f>
        <v/>
      </c>
      <c r="N3030" s="7">
        <f>IF((+G3030-K3030)=0,0,+G3030-K3030)</f>
        <v/>
      </c>
      <c r="O3030" s="7">
        <f>IF(N3030=0,0,(L3030+H3030)/-N3030)</f>
        <v/>
      </c>
      <c r="P3030" s="7">
        <f>VLOOKUP(OPERAC[[#This Row],[especie]],[1]!ESPECIES[#All],6,0)</f>
        <v/>
      </c>
      <c r="Q3030" s="7">
        <f>IF(N3030&lt;&gt;0,P3030*N3030,0)</f>
        <v/>
      </c>
      <c r="R3030" s="8">
        <f>IF(Q3030&lt;&gt;0,Q3030+H3030+L3030,0)</f>
        <v/>
      </c>
      <c r="S3030" s="9">
        <f>VLOOKUP(OPERAC[[#This Row],[especie]],[1]!ESPECIES[#Data],9,FALSE)</f>
        <v/>
      </c>
    </row>
    <row r="3031">
      <c r="A3031" s="4" t="n">
        <v>4561</v>
      </c>
      <c r="B3031" s="5" t="n">
        <v>44553</v>
      </c>
      <c r="C3031" s="13" t="inlineStr">
        <is>
          <t>VTA</t>
        </is>
      </c>
      <c r="D3031" s="13" t="n">
        <v>40</v>
      </c>
      <c r="E3031" s="10">
        <f>IF(D3031&gt;0,VLOOKUP(OPERAC[[#This Row],[COD CART]],[1]!MatrizCortoLargoCyl[#All],3,0),"")</f>
        <v/>
      </c>
      <c r="F3031" s="13" t="inlineStr">
        <is>
          <t>ON</t>
        </is>
      </c>
      <c r="G3031" s="6" t="n">
        <v>9</v>
      </c>
      <c r="H3031" s="6" t="n">
        <v>-604.0224719999999</v>
      </c>
      <c r="I3031" s="7">
        <f>-H3031/G3031</f>
        <v/>
      </c>
      <c r="J3031" s="11" t="n">
        <v>44606</v>
      </c>
      <c r="K3031" s="6">
        <f>+OPERAC[[#This Row],[cantidad]]</f>
        <v/>
      </c>
      <c r="L3031" s="6">
        <f>+OPERAC[[#This Row],[cantidad venta]]*58.449</f>
        <v/>
      </c>
      <c r="M3031" s="7">
        <f>IF(N3031=0,+L3031+H3031,0)</f>
        <v/>
      </c>
      <c r="N3031" s="7">
        <f>IF((+G3031-K3031)=0,0,+G3031-K3031)</f>
        <v/>
      </c>
      <c r="O3031" s="7">
        <f>IF(N3031=0,0,(L3031+H3031)/-N3031)</f>
        <v/>
      </c>
      <c r="P3031" s="7">
        <f>VLOOKUP(OPERAC[[#This Row],[especie]],[1]!ESPECIES[#All],6,0)</f>
        <v/>
      </c>
      <c r="Q3031" s="7">
        <f>IF(N3031&lt;&gt;0,P3031*N3031,0)</f>
        <v/>
      </c>
      <c r="R3031" s="8">
        <f>IF(Q3031&lt;&gt;0,Q3031+H3031+L3031,0)</f>
        <v/>
      </c>
      <c r="S3031" s="9">
        <f>VLOOKUP(OPERAC[[#This Row],[especie]],[1]!ESPECIES[#Data],9,FALSE)</f>
        <v/>
      </c>
    </row>
    <row r="3032">
      <c r="A3032" s="4" t="n">
        <v>7916</v>
      </c>
      <c r="B3032" s="5" t="n">
        <v>44553</v>
      </c>
      <c r="C3032" s="13" t="inlineStr">
        <is>
          <t>VTA</t>
        </is>
      </c>
      <c r="D3032" s="13" t="n">
        <v>40</v>
      </c>
      <c r="E3032" s="10">
        <f>IF(D3032&gt;0,VLOOKUP(OPERAC[[#This Row],[COD CART]],[1]!MatrizCortoLargoCyl[#All],3,0),"")</f>
        <v/>
      </c>
      <c r="F3032" s="13" t="inlineStr">
        <is>
          <t>ON</t>
        </is>
      </c>
      <c r="G3032" s="6" t="n">
        <v>9</v>
      </c>
      <c r="H3032" s="6" t="n">
        <v>-604.0224719999999</v>
      </c>
      <c r="I3032" s="7">
        <f>-H3032/G3032</f>
        <v/>
      </c>
      <c r="J3032" s="11" t="n">
        <v>44606</v>
      </c>
      <c r="K3032" s="6">
        <f>+OPERAC[[#This Row],[cantidad]]</f>
        <v/>
      </c>
      <c r="L3032" s="6">
        <f>+OPERAC[[#This Row],[cantidad venta]]*58.449</f>
        <v/>
      </c>
      <c r="M3032" s="7">
        <f>IF(N3032=0,+L3032+H3032,0)</f>
        <v/>
      </c>
      <c r="N3032" s="7">
        <f>IF((+G3032-K3032)=0,0,+G3032-K3032)</f>
        <v/>
      </c>
      <c r="O3032" s="7">
        <f>IF(N3032=0,0,(L3032+H3032)/-N3032)</f>
        <v/>
      </c>
      <c r="P3032" s="7">
        <f>VLOOKUP(OPERAC[[#This Row],[especie]],[1]!ESPECIES[#All],6,0)</f>
        <v/>
      </c>
      <c r="Q3032" s="7">
        <f>IF(N3032&lt;&gt;0,P3032*N3032,0)</f>
        <v/>
      </c>
      <c r="R3032" s="8">
        <f>IF(Q3032&lt;&gt;0,Q3032+H3032+L3032,0)</f>
        <v/>
      </c>
      <c r="S3032" s="9">
        <f>VLOOKUP(OPERAC[[#This Row],[especie]],[1]!ESPECIES[#Data],9,FALSE)</f>
        <v/>
      </c>
    </row>
    <row r="3033">
      <c r="A3033" s="4" t="n">
        <v>13180</v>
      </c>
      <c r="B3033" s="5" t="n">
        <v>44553</v>
      </c>
      <c r="C3033" s="13" t="inlineStr">
        <is>
          <t>VTA</t>
        </is>
      </c>
      <c r="D3033" s="13" t="n">
        <v>40</v>
      </c>
      <c r="E3033" s="10">
        <f>IF(D3033&gt;0,VLOOKUP(OPERAC[[#This Row],[COD CART]],[1]!MatrizCortoLargoCyl[#All],3,0),"")</f>
        <v/>
      </c>
      <c r="F3033" s="13" t="inlineStr">
        <is>
          <t>ON</t>
        </is>
      </c>
      <c r="G3033" s="6" t="n">
        <v>9</v>
      </c>
      <c r="H3033" s="6" t="n">
        <v>-604.0224719999999</v>
      </c>
      <c r="I3033" s="7">
        <f>-H3033/G3033</f>
        <v/>
      </c>
      <c r="J3033" s="11" t="n">
        <v>44606</v>
      </c>
      <c r="K3033" s="6">
        <f>+OPERAC[[#This Row],[cantidad]]</f>
        <v/>
      </c>
      <c r="L3033" s="6">
        <f>+OPERAC[[#This Row],[cantidad venta]]*58.449</f>
        <v/>
      </c>
      <c r="M3033" s="7">
        <f>IF(N3033=0,+L3033+H3033,0)</f>
        <v/>
      </c>
      <c r="N3033" s="7">
        <f>IF((+G3033-K3033)=0,0,+G3033-K3033)</f>
        <v/>
      </c>
      <c r="O3033" s="7">
        <f>IF(N3033=0,0,(L3033+H3033)/-N3033)</f>
        <v/>
      </c>
      <c r="P3033" s="7">
        <f>VLOOKUP(OPERAC[[#This Row],[especie]],[1]!ESPECIES[#All],6,0)</f>
        <v/>
      </c>
      <c r="Q3033" s="7">
        <f>IF(N3033&lt;&gt;0,P3033*N3033,0)</f>
        <v/>
      </c>
      <c r="R3033" s="8">
        <f>IF(Q3033&lt;&gt;0,Q3033+H3033+L3033,0)</f>
        <v/>
      </c>
      <c r="S3033" s="9">
        <f>VLOOKUP(OPERAC[[#This Row],[especie]],[1]!ESPECIES[#Data],9,FALSE)</f>
        <v/>
      </c>
    </row>
    <row r="3034">
      <c r="A3034" s="4" t="n">
        <v>15194</v>
      </c>
      <c r="B3034" s="5" t="n">
        <v>44553</v>
      </c>
      <c r="C3034" s="13" t="inlineStr">
        <is>
          <t>VTA</t>
        </is>
      </c>
      <c r="D3034" s="13" t="n">
        <v>40</v>
      </c>
      <c r="E3034" s="10">
        <f>IF(D3034&gt;0,VLOOKUP(OPERAC[[#This Row],[COD CART]],[1]!MatrizCortoLargoCyl[#All],3,0),"")</f>
        <v/>
      </c>
      <c r="F3034" s="13" t="inlineStr">
        <is>
          <t>ON</t>
        </is>
      </c>
      <c r="G3034" s="6" t="n">
        <v>9</v>
      </c>
      <c r="H3034" s="6" t="n">
        <v>-604.0224719999999</v>
      </c>
      <c r="I3034" s="7">
        <f>-H3034/G3034</f>
        <v/>
      </c>
      <c r="J3034" s="11" t="n">
        <v>44606</v>
      </c>
      <c r="K3034" s="6">
        <f>+OPERAC[[#This Row],[cantidad]]</f>
        <v/>
      </c>
      <c r="L3034" s="6">
        <f>+OPERAC[[#This Row],[cantidad venta]]*58.449</f>
        <v/>
      </c>
      <c r="M3034" s="7">
        <f>IF(N3034=0,+L3034+H3034,0)</f>
        <v/>
      </c>
      <c r="N3034" s="7">
        <f>IF((+G3034-K3034)=0,0,+G3034-K3034)</f>
        <v/>
      </c>
      <c r="O3034" s="7">
        <f>IF(N3034=0,0,(L3034+H3034)/-N3034)</f>
        <v/>
      </c>
      <c r="P3034" s="7">
        <f>VLOOKUP(OPERAC[[#This Row],[especie]],[1]!ESPECIES[#All],6,0)</f>
        <v/>
      </c>
      <c r="Q3034" s="7">
        <f>IF(N3034&lt;&gt;0,P3034*N3034,0)</f>
        <v/>
      </c>
      <c r="R3034" s="8">
        <f>IF(Q3034&lt;&gt;0,Q3034+H3034+L3034,0)</f>
        <v/>
      </c>
      <c r="S3034" s="9">
        <f>VLOOKUP(OPERAC[[#This Row],[especie]],[1]!ESPECIES[#Data],9,FALSE)</f>
        <v/>
      </c>
    </row>
    <row r="3035">
      <c r="A3035" s="4" t="n">
        <v>18690</v>
      </c>
      <c r="B3035" s="5" t="n">
        <v>44553</v>
      </c>
      <c r="C3035" s="13" t="inlineStr">
        <is>
          <t>VTA</t>
        </is>
      </c>
      <c r="D3035" s="13" t="n">
        <v>40</v>
      </c>
      <c r="E3035" s="10">
        <f>IF(D3035&gt;0,VLOOKUP(OPERAC[[#This Row],[COD CART]],[1]!MatrizCortoLargoCyl[#All],3,0),"")</f>
        <v/>
      </c>
      <c r="F3035" s="13" t="inlineStr">
        <is>
          <t>ON</t>
        </is>
      </c>
      <c r="G3035" s="6" t="n">
        <v>9</v>
      </c>
      <c r="H3035" s="6" t="n">
        <v>-604.0224719999999</v>
      </c>
      <c r="I3035" s="7">
        <f>-H3035/G3035</f>
        <v/>
      </c>
      <c r="J3035" s="11" t="n">
        <v>44606</v>
      </c>
      <c r="K3035" s="6">
        <f>+OPERAC[[#This Row],[cantidad]]</f>
        <v/>
      </c>
      <c r="L3035" s="6">
        <f>+OPERAC[[#This Row],[cantidad venta]]*58.449</f>
        <v/>
      </c>
      <c r="M3035" s="7">
        <f>IF(N3035=0,+L3035+H3035,0)</f>
        <v/>
      </c>
      <c r="N3035" s="7">
        <f>IF((+G3035-K3035)=0,0,+G3035-K3035)</f>
        <v/>
      </c>
      <c r="O3035" s="7">
        <f>IF(N3035=0,0,(L3035+H3035)/-N3035)</f>
        <v/>
      </c>
      <c r="P3035" s="7">
        <f>VLOOKUP(OPERAC[[#This Row],[especie]],[1]!ESPECIES[#All],6,0)</f>
        <v/>
      </c>
      <c r="Q3035" s="7">
        <f>IF(N3035&lt;&gt;0,P3035*N3035,0)</f>
        <v/>
      </c>
      <c r="R3035" s="8">
        <f>IF(Q3035&lt;&gt;0,Q3035+H3035+L3035,0)</f>
        <v/>
      </c>
      <c r="S3035" s="9">
        <f>VLOOKUP(OPERAC[[#This Row],[especie]],[1]!ESPECIES[#Data],9,FALSE)</f>
        <v/>
      </c>
    </row>
    <row r="3036">
      <c r="A3036" s="4" t="n">
        <v>19932</v>
      </c>
      <c r="B3036" s="5" t="n">
        <v>44658</v>
      </c>
      <c r="C3036" s="13" t="inlineStr">
        <is>
          <t>VTA</t>
        </is>
      </c>
      <c r="D3036" s="13" t="n">
        <v>31</v>
      </c>
      <c r="E3036" s="10">
        <f>IF(D3036&gt;0,VLOOKUP(OPERAC[[#This Row],[COD CART]],[1]!MatrizCortoLargoCyl[#All],3,0),"")</f>
        <v/>
      </c>
      <c r="F3036" s="13" t="inlineStr">
        <is>
          <t>COST</t>
        </is>
      </c>
      <c r="G3036" s="6" t="n">
        <v>1</v>
      </c>
      <c r="H3036" s="6" t="n">
        <v>-604.258</v>
      </c>
      <c r="I3036" s="7">
        <f>-H3036/G3036</f>
        <v/>
      </c>
      <c r="J3036" s="11" t="n">
        <v>44693</v>
      </c>
      <c r="K3036" s="6" t="n">
        <v>1</v>
      </c>
      <c r="L3036" s="6" t="n">
        <v>483.82</v>
      </c>
      <c r="M3036" s="7">
        <f>IF(N3036=0,+L3036+H3036,0)</f>
        <v/>
      </c>
      <c r="N3036" s="7">
        <f>IF((+G3036-K3036)=0,0,+G3036-K3036)</f>
        <v/>
      </c>
      <c r="O3036" s="7">
        <f>IF(N3036=0,0,(L3036+H3036)/-N3036)</f>
        <v/>
      </c>
      <c r="P3036" s="7">
        <f>VLOOKUP(OPERAC[[#This Row],[especie]],[1]!ESPECIES[#All],6,0)</f>
        <v/>
      </c>
      <c r="Q3036" s="7">
        <f>IF(N3036&lt;&gt;0,P3036*N3036,0)</f>
        <v/>
      </c>
      <c r="R3036" s="8">
        <f>IF(Q3036&lt;&gt;0,Q3036+H3036+L3036,0)</f>
        <v/>
      </c>
      <c r="S3036" s="9">
        <f>VLOOKUP(OPERAC[[#This Row],[especie]],[1]!ESPECIES[#Data],9,FALSE)</f>
        <v/>
      </c>
    </row>
    <row r="3037">
      <c r="A3037" s="4" t="n">
        <v>5212</v>
      </c>
      <c r="B3037" s="5" t="n">
        <v>44594</v>
      </c>
      <c r="C3037" s="13" t="inlineStr">
        <is>
          <t>VTA</t>
        </is>
      </c>
      <c r="D3037" s="13" t="n">
        <v>40</v>
      </c>
      <c r="E3037" s="10">
        <f>IF(D3037&gt;0,VLOOKUP(OPERAC[[#This Row],[COD CART]],[1]!MatrizCortoLargoCyl[#All],3,0),"")</f>
        <v/>
      </c>
      <c r="F3037" s="13" t="inlineStr">
        <is>
          <t>EDU</t>
        </is>
      </c>
      <c r="G3037" s="6" t="n">
        <v>300</v>
      </c>
      <c r="H3037" s="6" t="n">
        <v>-604.8</v>
      </c>
      <c r="I3037" s="7">
        <f>-H3037/G3037</f>
        <v/>
      </c>
      <c r="J3037" s="11" t="n">
        <v>44601</v>
      </c>
      <c r="K3037" s="6" t="n">
        <v>300</v>
      </c>
      <c r="L3037" s="6">
        <f>300*1.478</f>
        <v/>
      </c>
      <c r="M3037" s="7">
        <f>IF(N3037=0,+L3037+H3037,0)</f>
        <v/>
      </c>
      <c r="N3037" s="7">
        <f>IF((+G3037-K3037)=0,0,+G3037-K3037)</f>
        <v/>
      </c>
      <c r="O3037" s="7">
        <f>IF(N3037=0,0,(L3037+H3037)/-N3037)</f>
        <v/>
      </c>
      <c r="P3037" s="7">
        <f>VLOOKUP(OPERAC[[#This Row],[especie]],[1]!ESPECIES[#All],6,0)</f>
        <v/>
      </c>
      <c r="Q3037" s="7">
        <f>IF(N3037&lt;&gt;0,P3037*N3037,0)</f>
        <v/>
      </c>
      <c r="R3037" s="8">
        <f>IF(Q3037&lt;&gt;0,Q3037+H3037+L3037,0)</f>
        <v/>
      </c>
      <c r="S3037" s="9">
        <f>VLOOKUP(OPERAC[[#This Row],[especie]],[1]!ESPECIES[#Data],9,FALSE)</f>
        <v/>
      </c>
    </row>
    <row r="3038">
      <c r="A3038" s="4" t="n">
        <v>13204</v>
      </c>
      <c r="B3038" s="5" t="n">
        <v>44594</v>
      </c>
      <c r="C3038" s="13" t="inlineStr">
        <is>
          <t>VTA</t>
        </is>
      </c>
      <c r="D3038" s="13" t="n">
        <v>40</v>
      </c>
      <c r="E3038" s="10">
        <f>IF(D3038&gt;0,VLOOKUP(OPERAC[[#This Row],[COD CART]],[1]!MatrizCortoLargoCyl[#All],3,0),"")</f>
        <v/>
      </c>
      <c r="F3038" s="13" t="inlineStr">
        <is>
          <t>EDU</t>
        </is>
      </c>
      <c r="G3038" s="6" t="n">
        <v>300</v>
      </c>
      <c r="H3038" s="6" t="n">
        <v>-604.8</v>
      </c>
      <c r="I3038" s="7">
        <f>-H3038/G3038</f>
        <v/>
      </c>
      <c r="J3038" s="11" t="n">
        <v>44599</v>
      </c>
      <c r="K3038" s="6" t="n">
        <v>300</v>
      </c>
      <c r="L3038" s="6" t="n">
        <v>462</v>
      </c>
      <c r="M3038" s="7">
        <f>IF(N3038=0,+L3038+H3038,0)</f>
        <v/>
      </c>
      <c r="N3038" s="7">
        <f>IF((+G3038-K3038)=0,0,+G3038-K3038)</f>
        <v/>
      </c>
      <c r="O3038" s="7">
        <f>IF(N3038=0,0,(L3038+H3038)/-N3038)</f>
        <v/>
      </c>
      <c r="P3038" s="7">
        <f>VLOOKUP(OPERAC[[#This Row],[especie]],[1]!ESPECIES[#All],6,0)</f>
        <v/>
      </c>
      <c r="Q3038" s="7">
        <f>IF(N3038&lt;&gt;0,P3038*N3038,0)</f>
        <v/>
      </c>
      <c r="R3038" s="8">
        <f>IF(Q3038&lt;&gt;0,Q3038+H3038+L3038,0)</f>
        <v/>
      </c>
      <c r="S3038" s="9">
        <f>VLOOKUP(OPERAC[[#This Row],[especie]],[1]!ESPECIES[#Data],9,FALSE)</f>
        <v/>
      </c>
    </row>
    <row r="3039">
      <c r="A3039" s="4" t="n">
        <v>19867</v>
      </c>
      <c r="B3039" s="5" t="n">
        <v>44594</v>
      </c>
      <c r="C3039" s="13" t="inlineStr">
        <is>
          <t>VTA</t>
        </is>
      </c>
      <c r="D3039" s="13" t="n">
        <v>40</v>
      </c>
      <c r="E3039" s="10">
        <f>IF(D3039&gt;0,VLOOKUP(OPERAC[[#This Row],[COD CART]],[1]!MatrizCortoLargoCyl[#All],3,0),"")</f>
        <v/>
      </c>
      <c r="F3039" s="13" t="inlineStr">
        <is>
          <t>EDU</t>
        </is>
      </c>
      <c r="G3039" s="6" t="n">
        <v>300</v>
      </c>
      <c r="H3039" s="6" t="n">
        <v>-604.8</v>
      </c>
      <c r="I3039" s="7">
        <f>-H3039/G3039</f>
        <v/>
      </c>
      <c r="J3039" s="11" t="n">
        <v>44601</v>
      </c>
      <c r="K3039" s="6" t="n">
        <v>300</v>
      </c>
      <c r="L3039" s="6">
        <f>300*1.64</f>
        <v/>
      </c>
      <c r="M3039" s="7">
        <f>IF(N3039=0,+L3039+H3039,0)</f>
        <v/>
      </c>
      <c r="N3039" s="7">
        <f>IF((+G3039-K3039)=0,0,+G3039-K3039)</f>
        <v/>
      </c>
      <c r="O3039" s="7">
        <f>IF(N3039=0,0,(L3039+H3039)/-N3039)</f>
        <v/>
      </c>
      <c r="P3039" s="7">
        <f>VLOOKUP(OPERAC[[#This Row],[especie]],[1]!ESPECIES[#All],6,0)</f>
        <v/>
      </c>
      <c r="Q3039" s="7">
        <f>IF(N3039&lt;&gt;0,P3039*N3039,0)</f>
        <v/>
      </c>
      <c r="R3039" s="8">
        <f>IF(Q3039&lt;&gt;0,Q3039+H3039+L3039,0)</f>
        <v/>
      </c>
      <c r="S3039" s="9">
        <f>VLOOKUP(OPERAC[[#This Row],[especie]],[1]!ESPECIES[#Data],9,FALSE)</f>
        <v/>
      </c>
    </row>
    <row r="3040">
      <c r="A3040" s="4" t="n">
        <v>18697</v>
      </c>
      <c r="B3040" s="5" t="n">
        <v>44594</v>
      </c>
      <c r="C3040" s="13" t="inlineStr">
        <is>
          <t>VTA</t>
        </is>
      </c>
      <c r="D3040" s="13" t="n">
        <v>40</v>
      </c>
      <c r="E3040" s="10">
        <f>IF(D3040&gt;0,VLOOKUP(OPERAC[[#This Row],[COD CART]],[1]!MatrizCortoLargoCyl[#All],3,0),"")</f>
        <v/>
      </c>
      <c r="F3040" s="13" t="inlineStr">
        <is>
          <t>EDU</t>
        </is>
      </c>
      <c r="G3040" s="6" t="n">
        <v>300</v>
      </c>
      <c r="H3040" s="6" t="n">
        <v>-604.8</v>
      </c>
      <c r="I3040" s="7">
        <f>-H3040/G3040</f>
        <v/>
      </c>
      <c r="J3040" s="11" t="n">
        <v>44599</v>
      </c>
      <c r="K3040" s="6" t="n">
        <v>300</v>
      </c>
      <c r="L3040" s="6" t="n">
        <v>462</v>
      </c>
      <c r="M3040" s="7">
        <f>IF(N3040=0,+L3040+H3040,0)</f>
        <v/>
      </c>
      <c r="N3040" s="7">
        <f>IF((+G3040-K3040)=0,0,+G3040-K3040)</f>
        <v/>
      </c>
      <c r="O3040" s="7">
        <f>IF(N3040=0,0,(L3040+H3040)/-N3040)</f>
        <v/>
      </c>
      <c r="P3040" s="7">
        <f>VLOOKUP(OPERAC[[#This Row],[especie]],[1]!ESPECIES[#All],6,0)</f>
        <v/>
      </c>
      <c r="Q3040" s="7">
        <f>IF(N3040&lt;&gt;0,P3040*N3040,0)</f>
        <v/>
      </c>
      <c r="R3040" s="8">
        <f>IF(Q3040&lt;&gt;0,Q3040+H3040+L3040,0)</f>
        <v/>
      </c>
      <c r="S3040" s="9">
        <f>VLOOKUP(OPERAC[[#This Row],[especie]],[1]!ESPECIES[#Data],9,FALSE)</f>
        <v/>
      </c>
    </row>
    <row r="3041">
      <c r="A3041" s="4" t="n">
        <v>20312</v>
      </c>
      <c r="B3041" s="5" t="n">
        <v>44594</v>
      </c>
      <c r="C3041" s="13" t="inlineStr">
        <is>
          <t>VTA</t>
        </is>
      </c>
      <c r="D3041" s="13" t="n">
        <v>40</v>
      </c>
      <c r="E3041" s="10">
        <f>IF(D3041&gt;0,VLOOKUP(OPERAC[[#This Row],[COD CART]],[1]!MatrizCortoLargoCyl[#All],3,0),"")</f>
        <v/>
      </c>
      <c r="F3041" s="13" t="inlineStr">
        <is>
          <t>EDU</t>
        </is>
      </c>
      <c r="G3041" s="6" t="n">
        <v>300</v>
      </c>
      <c r="H3041" s="6" t="n">
        <v>-604.8</v>
      </c>
      <c r="I3041" s="7">
        <f>-H3041/G3041</f>
        <v/>
      </c>
      <c r="J3041" s="11" t="n">
        <v>44595</v>
      </c>
      <c r="K3041" s="6">
        <f>200+100</f>
        <v/>
      </c>
      <c r="L3041" s="6">
        <f>277.722+146.996</f>
        <v/>
      </c>
      <c r="M3041" s="7">
        <f>IF(N3041=0,+L3041+H3041,0)</f>
        <v/>
      </c>
      <c r="N3041" s="7">
        <f>IF((+G3041-K3041)=0,0,+G3041-K3041)</f>
        <v/>
      </c>
      <c r="O3041" s="7">
        <f>IF(N3041=0,0,(L3041+H3041)/-N3041)</f>
        <v/>
      </c>
      <c r="P3041" s="7">
        <f>VLOOKUP(OPERAC[[#This Row],[especie]],[1]!ESPECIES[#All],6,0)</f>
        <v/>
      </c>
      <c r="Q3041" s="7">
        <f>IF(N3041&lt;&gt;0,P3041*N3041,0)</f>
        <v/>
      </c>
      <c r="R3041" s="8">
        <f>IF(Q3041&lt;&gt;0,Q3041+H3041+L3041,0)</f>
        <v/>
      </c>
      <c r="S3041" s="9">
        <f>VLOOKUP(OPERAC[[#This Row],[especie]],[1]!ESPECIES[#Data],9,FALSE)</f>
        <v/>
      </c>
    </row>
    <row r="3042">
      <c r="A3042" s="4" t="n">
        <v>15195</v>
      </c>
      <c r="B3042" s="5" t="n">
        <v>44720</v>
      </c>
      <c r="C3042" s="13" t="inlineStr">
        <is>
          <t>VTA</t>
        </is>
      </c>
      <c r="D3042" s="13" t="n">
        <v>42</v>
      </c>
      <c r="E3042" s="10">
        <f>IF(D3042&gt;0,VLOOKUP(OPERAC[[#This Row],[COD CART]],[1]!MatrizCortoLargoCyl[#All],3,0),"")</f>
        <v/>
      </c>
      <c r="F3042" s="13" t="inlineStr">
        <is>
          <t>HYDR</t>
        </is>
      </c>
      <c r="G3042" s="6" t="n">
        <v>40</v>
      </c>
      <c r="H3042" s="6" t="n">
        <v>-605.1</v>
      </c>
      <c r="I3042" s="7">
        <f>-H3042/G3042</f>
        <v/>
      </c>
      <c r="J3042" s="5" t="n"/>
      <c r="K3042" s="6" t="n"/>
      <c r="L3042" s="6" t="n"/>
      <c r="M3042" s="7">
        <f>IF(N3042=0,+L3042+H3042,0)</f>
        <v/>
      </c>
      <c r="N3042" s="7">
        <f>IF((+G3042-K3042)=0,0,+G3042-K3042)</f>
        <v/>
      </c>
      <c r="O3042" s="7">
        <f>IF(N3042=0,0,(L3042+H3042)/-N3042)</f>
        <v/>
      </c>
      <c r="P3042" s="7">
        <f>VLOOKUP(OPERAC[[#This Row],[especie]],[1]!ESPECIES[#All],6,0)</f>
        <v/>
      </c>
      <c r="Q3042" s="7">
        <f>IF(N3042&lt;&gt;0,P3042*N3042,0)</f>
        <v/>
      </c>
      <c r="R3042" s="8">
        <f>IF(Q3042&lt;&gt;0,Q3042+H3042+L3042,0)</f>
        <v/>
      </c>
      <c r="S3042" s="9">
        <f>VLOOKUP(OPERAC[[#This Row],[especie]],[1]!ESPECIES[#Data],9,FALSE)</f>
        <v/>
      </c>
    </row>
    <row r="3043">
      <c r="A3043" s="4" t="n">
        <v>9195</v>
      </c>
      <c r="B3043" s="5" t="n">
        <v>44466</v>
      </c>
      <c r="C3043" s="13" t="inlineStr">
        <is>
          <t>VTA</t>
        </is>
      </c>
      <c r="D3043" s="13" t="n">
        <v>43</v>
      </c>
      <c r="E3043" s="10">
        <f>IF(D3043&gt;0,VLOOKUP(OPERAC[[#This Row],[COD CART]],[1]!MatrizCortoLargoCyl[#All],3,0),"")</f>
        <v/>
      </c>
      <c r="F3043" s="13" t="inlineStr">
        <is>
          <t>SOLO/CYL-PUT/4,00/16-09-22</t>
        </is>
      </c>
      <c r="G3043" s="6" t="n">
        <v>300</v>
      </c>
      <c r="H3043" s="6">
        <f>-883.69191+0.32*OPERAC[[#This Row],[cantidad]]+0.387*OPERAC[[#This Row],[cantidad]]+0.22*OPERAC[[#This Row],[cantidad]]</f>
        <v/>
      </c>
      <c r="I3043" s="7">
        <f>-H3043/G3043</f>
        <v/>
      </c>
      <c r="J3043" s="11" t="n"/>
      <c r="K3043" s="6" t="n"/>
      <c r="L3043" s="6" t="n"/>
      <c r="M3043" s="7">
        <f>IF(N3043=0,+L3043+H3043,0)</f>
        <v/>
      </c>
      <c r="N3043" s="7">
        <f>IF((+G3043-K3043)=0,0,+G3043-K3043)</f>
        <v/>
      </c>
      <c r="O3043" s="7">
        <f>IF(N3043=0,0,(L3043+H3043)/-N3043)</f>
        <v/>
      </c>
      <c r="P3043" s="7">
        <f>VLOOKUP(OPERAC[[#This Row],[especie]],[1]!ESPECIES[#All],6,0)</f>
        <v/>
      </c>
      <c r="Q3043" s="7">
        <f>IF(N3043&lt;&gt;0,P3043*N3043,0)</f>
        <v/>
      </c>
      <c r="R3043" s="8">
        <f>IF(Q3043&lt;&gt;0,Q3043+H3043+L3043,0)</f>
        <v/>
      </c>
      <c r="S3043" s="9">
        <f>VLOOKUP(OPERAC[[#This Row],[especie]],[1]!ESPECIES[#Data],9,FALSE)</f>
        <v/>
      </c>
    </row>
    <row r="3044">
      <c r="A3044" s="4" t="n">
        <v>12655</v>
      </c>
      <c r="B3044" s="5" t="n">
        <v>44663</v>
      </c>
      <c r="C3044" s="13" t="inlineStr">
        <is>
          <t>VTA</t>
        </is>
      </c>
      <c r="D3044" s="13" t="n">
        <v>31</v>
      </c>
      <c r="E3044" s="10">
        <f>IF(D3044&gt;0,VLOOKUP(OPERAC[[#This Row],[COD CART]],[1]!MatrizCortoLargoCyl[#All],3,0),"")</f>
        <v/>
      </c>
      <c r="F3044" s="13" t="inlineStr">
        <is>
          <t>CRESY</t>
        </is>
      </c>
      <c r="G3044" s="6" t="n">
        <v>72</v>
      </c>
      <c r="H3044" s="6" t="n">
        <v>-605.7838400000001</v>
      </c>
      <c r="I3044" s="7">
        <f>-H3044/G3044</f>
        <v/>
      </c>
      <c r="J3044" s="11" t="n"/>
      <c r="K3044" s="6" t="n"/>
      <c r="L3044" s="6" t="n"/>
      <c r="M3044" s="7">
        <f>IF(N3044=0,+L3044+H3044,0)</f>
        <v/>
      </c>
      <c r="N3044" s="7">
        <f>IF((+G3044-K3044)=0,0,+G3044-K3044)</f>
        <v/>
      </c>
      <c r="O3044" s="7">
        <f>IF(N3044=0,0,(L3044+H3044)/-N3044)</f>
        <v/>
      </c>
      <c r="P3044" s="7">
        <f>VLOOKUP(OPERAC[[#This Row],[especie]],[1]!ESPECIES[#All],6,0)</f>
        <v/>
      </c>
      <c r="Q3044" s="7">
        <f>IF(N3044&lt;&gt;0,P3044*N3044,0)</f>
        <v/>
      </c>
      <c r="R3044" s="8">
        <f>IF(Q3044&lt;&gt;0,Q3044+H3044+L3044,0)</f>
        <v/>
      </c>
      <c r="S3044" s="9">
        <f>VLOOKUP(OPERAC[[#This Row],[especie]],[1]!ESPECIES[#Data],9,FALSE)</f>
        <v/>
      </c>
    </row>
    <row r="3045">
      <c r="A3045" s="4" t="n">
        <v>1792</v>
      </c>
      <c r="B3045" s="5" t="n">
        <v>44587</v>
      </c>
      <c r="C3045" s="13" t="inlineStr">
        <is>
          <t>VTA</t>
        </is>
      </c>
      <c r="D3045" s="13" t="n">
        <v>40</v>
      </c>
      <c r="E3045" s="10">
        <f>IF(D3045&gt;0,VLOOKUP(OPERAC[[#This Row],[COD CART]],[1]!MatrizCortoLargoCyl[#All],3,0),"")</f>
        <v/>
      </c>
      <c r="F3045" s="13" t="inlineStr">
        <is>
          <t>MSFT</t>
        </is>
      </c>
      <c r="G3045" s="6" t="n">
        <v>2</v>
      </c>
      <c r="H3045" s="6" t="n">
        <v>-606.8225200000001</v>
      </c>
      <c r="I3045" s="7">
        <f>-H3045/G3045</f>
        <v/>
      </c>
      <c r="J3045" s="11" t="n">
        <v>44606</v>
      </c>
      <c r="K3045" s="6">
        <f>+OPERAC[[#This Row],[cantidad]]</f>
        <v/>
      </c>
      <c r="L3045" s="6">
        <f>+OPERAC[[#This Row],[cantidad venta]]*290.091</f>
        <v/>
      </c>
      <c r="M3045" s="7">
        <f>IF(N3045=0,+L3045+H3045,0)</f>
        <v/>
      </c>
      <c r="N3045" s="7">
        <f>IF((+G3045-K3045)=0,0,+G3045-K3045)</f>
        <v/>
      </c>
      <c r="O3045" s="7">
        <f>IF(N3045=0,0,(L3045+H3045)/-N3045)</f>
        <v/>
      </c>
      <c r="P3045" s="7">
        <f>VLOOKUP(OPERAC[[#This Row],[especie]],[1]!ESPECIES[#All],6,0)</f>
        <v/>
      </c>
      <c r="Q3045" s="7">
        <f>IF(N3045&lt;&gt;0,P3045*N3045,0)</f>
        <v/>
      </c>
      <c r="R3045" s="8">
        <f>IF(Q3045&lt;&gt;0,Q3045+H3045+L3045,0)</f>
        <v/>
      </c>
      <c r="S3045" s="9">
        <f>VLOOKUP(OPERAC[[#This Row],[especie]],[1]!ESPECIES[#Data],9,FALSE)</f>
        <v/>
      </c>
    </row>
    <row r="3046">
      <c r="A3046" s="4" t="n">
        <v>3838</v>
      </c>
      <c r="B3046" s="5" t="n">
        <v>44587</v>
      </c>
      <c r="C3046" s="13" t="inlineStr">
        <is>
          <t>VTA</t>
        </is>
      </c>
      <c r="D3046" s="13" t="n">
        <v>40</v>
      </c>
      <c r="E3046" s="10">
        <f>IF(D3046&gt;0,VLOOKUP(OPERAC[[#This Row],[COD CART]],[1]!MatrizCortoLargoCyl[#All],3,0),"")</f>
        <v/>
      </c>
      <c r="F3046" s="13" t="inlineStr">
        <is>
          <t>MSFT</t>
        </is>
      </c>
      <c r="G3046" s="6" t="n">
        <v>2</v>
      </c>
      <c r="H3046" s="6" t="n">
        <v>-606.8225200000001</v>
      </c>
      <c r="I3046" s="7">
        <f>-H3046/G3046</f>
        <v/>
      </c>
      <c r="J3046" s="11" t="n">
        <v>44677</v>
      </c>
      <c r="K3046" s="6" t="n">
        <v>2</v>
      </c>
      <c r="L3046" s="6" t="n">
        <v>547.447</v>
      </c>
      <c r="M3046" s="7">
        <f>IF(N3046=0,+L3046+H3046,0)</f>
        <v/>
      </c>
      <c r="N3046" s="7">
        <f>IF((+G3046-K3046)=0,0,+G3046-K3046)</f>
        <v/>
      </c>
      <c r="O3046" s="7">
        <f>IF(N3046=0,0,(L3046+H3046)/-N3046)</f>
        <v/>
      </c>
      <c r="P3046" s="7">
        <f>VLOOKUP(OPERAC[[#This Row],[especie]],[1]!ESPECIES[#All],6,0)</f>
        <v/>
      </c>
      <c r="Q3046" s="7">
        <f>IF(N3046&lt;&gt;0,P3046*N3046,0)</f>
        <v/>
      </c>
      <c r="R3046" s="8">
        <f>IF(Q3046&lt;&gt;0,Q3046+H3046+L3046,0)</f>
        <v/>
      </c>
      <c r="S3046" s="9">
        <f>VLOOKUP(OPERAC[[#This Row],[especie]],[1]!ESPECIES[#Data],9,FALSE)</f>
        <v/>
      </c>
    </row>
    <row r="3047">
      <c r="A3047" s="4" t="n">
        <v>10079</v>
      </c>
      <c r="B3047" s="5" t="n">
        <v>44587</v>
      </c>
      <c r="C3047" s="13" t="inlineStr">
        <is>
          <t>VTA</t>
        </is>
      </c>
      <c r="D3047" s="13" t="n">
        <v>40</v>
      </c>
      <c r="E3047" s="10">
        <f>IF(D3047&gt;0,VLOOKUP(OPERAC[[#This Row],[COD CART]],[1]!MatrizCortoLargoCyl[#All],3,0),"")</f>
        <v/>
      </c>
      <c r="F3047" s="13" t="inlineStr">
        <is>
          <t>MSFT</t>
        </is>
      </c>
      <c r="G3047" s="6" t="n">
        <v>2</v>
      </c>
      <c r="H3047" s="6" t="n">
        <v>-606.8225200000001</v>
      </c>
      <c r="I3047" s="7">
        <f>-H3047/G3047</f>
        <v/>
      </c>
      <c r="J3047" s="11" t="n">
        <v>44606</v>
      </c>
      <c r="K3047" s="6">
        <f>+OPERAC[[#This Row],[cantidad]]</f>
        <v/>
      </c>
      <c r="L3047" s="6">
        <f>+OPERAC[[#This Row],[cantidad venta]]*290.091</f>
        <v/>
      </c>
      <c r="M3047" s="7">
        <f>IF(N3047=0,+L3047+H3047,0)</f>
        <v/>
      </c>
      <c r="N3047" s="7">
        <f>IF((+G3047-K3047)=0,0,+G3047-K3047)</f>
        <v/>
      </c>
      <c r="O3047" s="7">
        <f>IF(N3047=0,0,(L3047+H3047)/-N3047)</f>
        <v/>
      </c>
      <c r="P3047" s="7">
        <f>VLOOKUP(OPERAC[[#This Row],[especie]],[1]!ESPECIES[#All],6,0)</f>
        <v/>
      </c>
      <c r="Q3047" s="7">
        <f>IF(N3047&lt;&gt;0,P3047*N3047,0)</f>
        <v/>
      </c>
      <c r="R3047" s="8">
        <f>IF(Q3047&lt;&gt;0,Q3047+H3047+L3047,0)</f>
        <v/>
      </c>
      <c r="S3047" s="9">
        <f>VLOOKUP(OPERAC[[#This Row],[especie]],[1]!ESPECIES[#Data],9,FALSE)</f>
        <v/>
      </c>
    </row>
    <row r="3048">
      <c r="A3048" s="4" t="n">
        <v>12652</v>
      </c>
      <c r="B3048" s="5" t="n">
        <v>44587</v>
      </c>
      <c r="C3048" s="13" t="inlineStr">
        <is>
          <t>VTA</t>
        </is>
      </c>
      <c r="D3048" s="13" t="n">
        <v>40</v>
      </c>
      <c r="E3048" s="10">
        <f>IF(D3048&gt;0,VLOOKUP(OPERAC[[#This Row],[COD CART]],[1]!MatrizCortoLargoCyl[#All],3,0),"")</f>
        <v/>
      </c>
      <c r="F3048" s="13" t="inlineStr">
        <is>
          <t>MSFT</t>
        </is>
      </c>
      <c r="G3048" s="6" t="n">
        <v>2</v>
      </c>
      <c r="H3048" s="6" t="n">
        <v>-606.8225200000001</v>
      </c>
      <c r="I3048" s="7">
        <f>-H3048/G3048</f>
        <v/>
      </c>
      <c r="J3048" s="11" t="n">
        <v>44606</v>
      </c>
      <c r="K3048" s="6">
        <f>+OPERAC[[#This Row],[cantidad]]</f>
        <v/>
      </c>
      <c r="L3048" s="6">
        <f>+OPERAC[[#This Row],[cantidad venta]]*290.091</f>
        <v/>
      </c>
      <c r="M3048" s="7">
        <f>IF(N3048=0,+L3048+H3048,0)</f>
        <v/>
      </c>
      <c r="N3048" s="7">
        <f>IF((+G3048-K3048)=0,0,+G3048-K3048)</f>
        <v/>
      </c>
      <c r="O3048" s="7">
        <f>IF(N3048=0,0,(L3048+H3048)/-N3048)</f>
        <v/>
      </c>
      <c r="P3048" s="7">
        <f>VLOOKUP(OPERAC[[#This Row],[especie]],[1]!ESPECIES[#All],6,0)</f>
        <v/>
      </c>
      <c r="Q3048" s="7">
        <f>IF(N3048&lt;&gt;0,P3048*N3048,0)</f>
        <v/>
      </c>
      <c r="R3048" s="8">
        <f>IF(Q3048&lt;&gt;0,Q3048+H3048+L3048,0)</f>
        <v/>
      </c>
      <c r="S3048" s="9">
        <f>VLOOKUP(OPERAC[[#This Row],[especie]],[1]!ESPECIES[#Data],9,FALSE)</f>
        <v/>
      </c>
    </row>
    <row r="3049">
      <c r="A3049" s="4" t="n">
        <v>12662</v>
      </c>
      <c r="B3049" s="5" t="n">
        <v>44587</v>
      </c>
      <c r="C3049" s="13" t="inlineStr">
        <is>
          <t>VTA</t>
        </is>
      </c>
      <c r="D3049" s="13" t="n">
        <v>40</v>
      </c>
      <c r="E3049" s="10">
        <f>IF(D3049&gt;0,VLOOKUP(OPERAC[[#This Row],[COD CART]],[1]!MatrizCortoLargoCyl[#All],3,0),"")</f>
        <v/>
      </c>
      <c r="F3049" s="13" t="inlineStr">
        <is>
          <t>MSFT</t>
        </is>
      </c>
      <c r="G3049" s="6" t="n">
        <v>2</v>
      </c>
      <c r="H3049" s="6" t="n">
        <v>-606.8225200000001</v>
      </c>
      <c r="I3049" s="7">
        <f>-H3049/G3049</f>
        <v/>
      </c>
      <c r="J3049" s="11" t="n">
        <v>44606</v>
      </c>
      <c r="K3049" s="6">
        <f>+OPERAC[[#This Row],[cantidad]]</f>
        <v/>
      </c>
      <c r="L3049" s="6">
        <f>+OPERAC[[#This Row],[cantidad venta]]*290.091</f>
        <v/>
      </c>
      <c r="M3049" s="7">
        <f>IF(N3049=0,+L3049+H3049,0)</f>
        <v/>
      </c>
      <c r="N3049" s="7">
        <f>IF((+G3049-K3049)=0,0,+G3049-K3049)</f>
        <v/>
      </c>
      <c r="O3049" s="7">
        <f>IF(N3049=0,0,(L3049+H3049)/-N3049)</f>
        <v/>
      </c>
      <c r="P3049" s="7">
        <f>VLOOKUP(OPERAC[[#This Row],[especie]],[1]!ESPECIES[#All],6,0)</f>
        <v/>
      </c>
      <c r="Q3049" s="7">
        <f>IF(N3049&lt;&gt;0,P3049*N3049,0)</f>
        <v/>
      </c>
      <c r="R3049" s="8">
        <f>IF(Q3049&lt;&gt;0,Q3049+H3049+L3049,0)</f>
        <v/>
      </c>
      <c r="S3049" s="9">
        <f>VLOOKUP(OPERAC[[#This Row],[especie]],[1]!ESPECIES[#Data],9,FALSE)</f>
        <v/>
      </c>
    </row>
    <row r="3050">
      <c r="A3050" s="4" t="n">
        <v>15194</v>
      </c>
      <c r="B3050" s="5" t="n">
        <v>44587</v>
      </c>
      <c r="C3050" s="13" t="inlineStr">
        <is>
          <t>VTA</t>
        </is>
      </c>
      <c r="D3050" s="13" t="n">
        <v>40</v>
      </c>
      <c r="E3050" s="10">
        <f>IF(D3050&gt;0,VLOOKUP(OPERAC[[#This Row],[COD CART]],[1]!MatrizCortoLargoCyl[#All],3,0),"")</f>
        <v/>
      </c>
      <c r="F3050" s="13" t="inlineStr">
        <is>
          <t>MSFT</t>
        </is>
      </c>
      <c r="G3050" s="6" t="n">
        <v>2</v>
      </c>
      <c r="H3050" s="6" t="n">
        <v>-606.8225200000001</v>
      </c>
      <c r="I3050" s="7">
        <f>-H3050/G3050</f>
        <v/>
      </c>
      <c r="J3050" s="11" t="n">
        <v>44606</v>
      </c>
      <c r="K3050" s="6">
        <f>+OPERAC[[#This Row],[cantidad]]</f>
        <v/>
      </c>
      <c r="L3050" s="6">
        <f>+OPERAC[[#This Row],[cantidad venta]]*290.091</f>
        <v/>
      </c>
      <c r="M3050" s="7">
        <f>IF(N3050=0,+L3050+H3050,0)</f>
        <v/>
      </c>
      <c r="N3050" s="7">
        <f>IF((+G3050-K3050)=0,0,+G3050-K3050)</f>
        <v/>
      </c>
      <c r="O3050" s="7">
        <f>IF(N3050=0,0,(L3050+H3050)/-N3050)</f>
        <v/>
      </c>
      <c r="P3050" s="7">
        <f>VLOOKUP(OPERAC[[#This Row],[especie]],[1]!ESPECIES[#All],6,0)</f>
        <v/>
      </c>
      <c r="Q3050" s="7">
        <f>IF(N3050&lt;&gt;0,P3050*N3050,0)</f>
        <v/>
      </c>
      <c r="R3050" s="8">
        <f>IF(Q3050&lt;&gt;0,Q3050+H3050+L3050,0)</f>
        <v/>
      </c>
      <c r="S3050" s="9">
        <f>VLOOKUP(OPERAC[[#This Row],[especie]],[1]!ESPECIES[#Data],9,FALSE)</f>
        <v/>
      </c>
    </row>
    <row r="3051">
      <c r="A3051" s="4" t="n">
        <v>2217</v>
      </c>
      <c r="B3051" s="5" t="n">
        <v>44657</v>
      </c>
      <c r="C3051" s="13" t="inlineStr">
        <is>
          <t>VTA</t>
        </is>
      </c>
      <c r="D3051" s="13" t="n">
        <v>41</v>
      </c>
      <c r="E3051" s="10">
        <f>IF(D3051&gt;0,VLOOKUP(OPERAC[[#This Row],[COD CART]],[1]!MatrizCortoLargoCyl[#All],3,0),"")</f>
        <v/>
      </c>
      <c r="F3051" s="13" t="inlineStr">
        <is>
          <t>GBTC</t>
        </is>
      </c>
      <c r="G3051" s="6" t="n">
        <v>20</v>
      </c>
      <c r="H3051" s="6" t="n">
        <v>-607.413</v>
      </c>
      <c r="I3051" s="7">
        <f>-H3051/G3051</f>
        <v/>
      </c>
      <c r="J3051" s="11" t="n">
        <v>44690</v>
      </c>
      <c r="K3051" s="6" t="n">
        <v>20</v>
      </c>
      <c r="L3051" s="6" t="n">
        <v>446.373</v>
      </c>
      <c r="M3051" s="7">
        <f>IF(N3051=0,+L3051+H3051,0)</f>
        <v/>
      </c>
      <c r="N3051" s="7">
        <f>IF((+G3051-K3051)=0,0,+G3051-K3051)</f>
        <v/>
      </c>
      <c r="O3051" s="7">
        <f>IF(N3051=0,0,(L3051+H3051)/-N3051)</f>
        <v/>
      </c>
      <c r="P3051" s="7">
        <f>VLOOKUP(OPERAC[[#This Row],[especie]],[1]!ESPECIES[#All],6,0)</f>
        <v/>
      </c>
      <c r="Q3051" s="7">
        <f>IF(N3051&lt;&gt;0,P3051*N3051,0)</f>
        <v/>
      </c>
      <c r="R3051" s="8">
        <f>IF(Q3051&lt;&gt;0,Q3051+H3051+L3051,0)</f>
        <v/>
      </c>
      <c r="S3051" s="9">
        <f>VLOOKUP(OPERAC[[#This Row],[especie]],[1]!ESPECIES[#Data],9,FALSE)</f>
        <v/>
      </c>
    </row>
    <row r="3052">
      <c r="A3052" s="4" t="n">
        <v>12655</v>
      </c>
      <c r="B3052" s="5" t="n">
        <v>44663</v>
      </c>
      <c r="C3052" s="13" t="inlineStr">
        <is>
          <t>VTA</t>
        </is>
      </c>
      <c r="D3052" s="13" t="n">
        <v>31</v>
      </c>
      <c r="E3052" s="10">
        <f>IF(D3052&gt;0,VLOOKUP(OPERAC[[#This Row],[COD CART]],[1]!MatrizCortoLargoCyl[#All],3,0),"")</f>
        <v/>
      </c>
      <c r="F3052" s="13" t="inlineStr">
        <is>
          <t>TGS</t>
        </is>
      </c>
      <c r="G3052" s="6" t="n">
        <v>84</v>
      </c>
      <c r="H3052" s="6" t="n">
        <v>-607.5982399999999</v>
      </c>
      <c r="I3052" s="7">
        <f>-H3052/G3052</f>
        <v/>
      </c>
      <c r="J3052" s="11" t="n"/>
      <c r="K3052" s="6" t="n"/>
      <c r="L3052" s="6" t="n"/>
      <c r="M3052" s="7">
        <f>IF(N3052=0,+L3052+H3052,0)</f>
        <v/>
      </c>
      <c r="N3052" s="7">
        <f>IF((+G3052-K3052)=0,0,+G3052-K3052)</f>
        <v/>
      </c>
      <c r="O3052" s="7">
        <f>IF(N3052=0,0,(L3052+H3052)/-N3052)</f>
        <v/>
      </c>
      <c r="P3052" s="7">
        <f>VLOOKUP(OPERAC[[#This Row],[especie]],[1]!ESPECIES[#All],6,0)</f>
        <v/>
      </c>
      <c r="Q3052" s="7">
        <f>IF(N3052&lt;&gt;0,P3052*N3052,0)</f>
        <v/>
      </c>
      <c r="R3052" s="8">
        <f>IF(Q3052&lt;&gt;0,Q3052+H3052+L3052,0)</f>
        <v/>
      </c>
      <c r="S3052" s="9">
        <f>VLOOKUP(OPERAC[[#This Row],[especie]],[1]!ESPECIES[#Data],9,FALSE)</f>
        <v/>
      </c>
    </row>
    <row r="3053">
      <c r="A3053" s="4" t="n">
        <v>13180</v>
      </c>
      <c r="B3053" s="5" t="n">
        <v>44551</v>
      </c>
      <c r="C3053" s="13" t="inlineStr">
        <is>
          <t>VTA</t>
        </is>
      </c>
      <c r="D3053" s="13" t="n">
        <v>40</v>
      </c>
      <c r="E3053" s="10">
        <f>IF(D3053&gt;0,VLOOKUP(OPERAC[[#This Row],[COD CART]],[1]!MatrizCortoLargoCyl[#All],3,0),"")</f>
        <v/>
      </c>
      <c r="F3053" s="13" t="inlineStr">
        <is>
          <t>EDIT</t>
        </is>
      </c>
      <c r="G3053" s="6" t="n">
        <v>20</v>
      </c>
      <c r="H3053" s="6" t="n">
        <v>-608.524</v>
      </c>
      <c r="I3053" s="7">
        <f>-H3053/G3053</f>
        <v/>
      </c>
      <c r="J3053" s="11" t="n">
        <v>44606</v>
      </c>
      <c r="K3053" s="6" t="n">
        <v>20</v>
      </c>
      <c r="L3053" s="6" t="n">
        <v>320.656</v>
      </c>
      <c r="M3053" s="7">
        <f>IF(N3053=0,+L3053+H3053,0)</f>
        <v/>
      </c>
      <c r="N3053" s="7">
        <f>IF((+G3053-K3053)=0,0,+G3053-K3053)</f>
        <v/>
      </c>
      <c r="O3053" s="7">
        <f>IF(N3053=0,0,(L3053+H3053)/-N3053)</f>
        <v/>
      </c>
      <c r="P3053" s="7">
        <f>VLOOKUP(OPERAC[[#This Row],[especie]],[1]!ESPECIES[#All],6,0)</f>
        <v/>
      </c>
      <c r="Q3053" s="7">
        <f>IF(N3053&lt;&gt;0,P3053*N3053,0)</f>
        <v/>
      </c>
      <c r="R3053" s="8">
        <f>IF(Q3053&lt;&gt;0,Q3053+H3053+L3053,0)</f>
        <v/>
      </c>
      <c r="S3053" s="9">
        <f>VLOOKUP(OPERAC[[#This Row],[especie]],[1]!ESPECIES[#Data],9,FALSE)</f>
        <v/>
      </c>
    </row>
    <row r="3054">
      <c r="A3054" s="4" t="n">
        <v>6578</v>
      </c>
      <c r="B3054" s="5" t="n">
        <v>44586</v>
      </c>
      <c r="C3054" s="13" t="inlineStr">
        <is>
          <t>VTA</t>
        </is>
      </c>
      <c r="D3054" s="13" t="n">
        <v>43</v>
      </c>
      <c r="E3054" s="10">
        <f>IF(D3054&gt;0,VLOOKUP(OPERAC[[#This Row],[COD CART]],[1]!MatrizCortoLargoCyl[#All],3,0),"")</f>
        <v/>
      </c>
      <c r="F3054" s="13" t="inlineStr">
        <is>
          <t>GMBL/CYL-PUT/2,50/20-01-23</t>
        </is>
      </c>
      <c r="G3054" s="6" t="n">
        <v>600</v>
      </c>
      <c r="H3054" s="6" t="n">
        <v>-609.6262999999999</v>
      </c>
      <c r="I3054" s="7">
        <f>-H3054/G3054</f>
        <v/>
      </c>
      <c r="J3054" s="11" t="n">
        <v>44636</v>
      </c>
      <c r="K3054" s="6" t="n">
        <v>600</v>
      </c>
      <c r="L3054" s="6">
        <f>-1.36*OPERAC[[#This Row],[cantidad venta]]</f>
        <v/>
      </c>
      <c r="M3054" s="7">
        <f>IF(N3054=0,+L3054+H3054,0)</f>
        <v/>
      </c>
      <c r="N3054" s="7">
        <f>IF((+G3054-K3054)=0,0,+G3054-K3054)</f>
        <v/>
      </c>
      <c r="O3054" s="7">
        <f>IF(N3054=0,0,(L3054+H3054)/-N3054)</f>
        <v/>
      </c>
      <c r="P3054" s="7">
        <f>VLOOKUP(OPERAC[[#This Row],[especie]],[1]!ESPECIES[#All],6,0)</f>
        <v/>
      </c>
      <c r="Q3054" s="7">
        <f>IF(N3054&lt;&gt;0,P3054*N3054,0)</f>
        <v/>
      </c>
      <c r="R3054" s="8">
        <f>IF(Q3054&lt;&gt;0,Q3054+H3054+L3054,0)</f>
        <v/>
      </c>
      <c r="S3054" s="9">
        <f>VLOOKUP(OPERAC[[#This Row],[especie]],[1]!ESPECIES[#Data],9,FALSE)</f>
        <v/>
      </c>
    </row>
    <row r="3055">
      <c r="A3055" s="4" t="n">
        <v>12655</v>
      </c>
      <c r="B3055" s="5" t="n">
        <v>44663</v>
      </c>
      <c r="C3055" s="13" t="inlineStr">
        <is>
          <t>VTA</t>
        </is>
      </c>
      <c r="D3055" s="13" t="n">
        <v>31</v>
      </c>
      <c r="E3055" s="10">
        <f>IF(D3055&gt;0,VLOOKUP(OPERAC[[#This Row],[COD CART]],[1]!MatrizCortoLargoCyl[#All],3,0),"")</f>
        <v/>
      </c>
      <c r="F3055" s="13" t="inlineStr">
        <is>
          <t>TEO</t>
        </is>
      </c>
      <c r="G3055" s="6" t="n">
        <v>96</v>
      </c>
      <c r="H3055" s="6" t="n">
        <v>-610.1383999999999</v>
      </c>
      <c r="I3055" s="7">
        <f>-H3055/G3055</f>
        <v/>
      </c>
      <c r="J3055" s="11" t="n"/>
      <c r="K3055" s="6" t="n"/>
      <c r="L3055" s="6" t="n"/>
      <c r="M3055" s="7">
        <f>IF(N3055=0,+L3055+H3055,0)</f>
        <v/>
      </c>
      <c r="N3055" s="7">
        <f>IF((+G3055-K3055)=0,0,+G3055-K3055)</f>
        <v/>
      </c>
      <c r="O3055" s="7">
        <f>IF(N3055=0,0,(L3055+H3055)/-N3055)</f>
        <v/>
      </c>
      <c r="P3055" s="7">
        <f>VLOOKUP(OPERAC[[#This Row],[especie]],[1]!ESPECIES[#All],6,0)</f>
        <v/>
      </c>
      <c r="Q3055" s="7">
        <f>IF(N3055&lt;&gt;0,P3055*N3055,0)</f>
        <v/>
      </c>
      <c r="R3055" s="8">
        <f>IF(Q3055&lt;&gt;0,Q3055+H3055+L3055,0)</f>
        <v/>
      </c>
      <c r="S3055" s="9">
        <f>VLOOKUP(OPERAC[[#This Row],[especie]],[1]!ESPECIES[#Data],9,FALSE)</f>
        <v/>
      </c>
    </row>
    <row r="3056">
      <c r="A3056" s="4" t="n">
        <v>18690</v>
      </c>
      <c r="B3056" s="5" t="n">
        <v>44637</v>
      </c>
      <c r="C3056" s="13" t="inlineStr">
        <is>
          <t>VTA</t>
        </is>
      </c>
      <c r="D3056" s="13" t="n">
        <v>31</v>
      </c>
      <c r="E3056" s="10">
        <f>IF(D3056&gt;0,VLOOKUP(OPERAC[[#This Row],[COD CART]],[1]!MatrizCortoLargoCyl[#All],3,0),"")</f>
        <v/>
      </c>
      <c r="F3056" s="13" t="inlineStr">
        <is>
          <t>BIOX</t>
        </is>
      </c>
      <c r="G3056" s="6" t="n">
        <v>45</v>
      </c>
      <c r="H3056" s="6" t="n">
        <v>-610.1848</v>
      </c>
      <c r="I3056" s="7">
        <f>-H3056/G3056</f>
        <v/>
      </c>
      <c r="J3056" s="11" t="n"/>
      <c r="K3056" s="6" t="n"/>
      <c r="L3056" s="6" t="n"/>
      <c r="M3056" s="7">
        <f>IF(N3056=0,+L3056+H3056,0)</f>
        <v/>
      </c>
      <c r="N3056" s="7">
        <f>IF((+G3056-K3056)=0,0,+G3056-K3056)</f>
        <v/>
      </c>
      <c r="O3056" s="7">
        <f>IF(N3056=0,0,(L3056+H3056)/-N3056)</f>
        <v/>
      </c>
      <c r="P3056" s="7">
        <f>VLOOKUP(OPERAC[[#This Row],[especie]],[1]!ESPECIES[#All],6,0)</f>
        <v/>
      </c>
      <c r="Q3056" s="7">
        <f>IF(N3056&lt;&gt;0,P3056*N3056,0)</f>
        <v/>
      </c>
      <c r="R3056" s="8">
        <f>IF(Q3056&lt;&gt;0,Q3056+H3056+L3056,0)</f>
        <v/>
      </c>
      <c r="S3056" s="9">
        <f>VLOOKUP(OPERAC[[#This Row],[especie]],[1]!ESPECIES[#Data],9,FALSE)</f>
        <v/>
      </c>
    </row>
    <row r="3057">
      <c r="A3057" s="4" t="n">
        <v>13253</v>
      </c>
      <c r="B3057" s="5" t="n">
        <v>44687</v>
      </c>
      <c r="C3057" s="13" t="inlineStr">
        <is>
          <t>VTA</t>
        </is>
      </c>
      <c r="D3057" s="13" t="n">
        <v>41</v>
      </c>
      <c r="E3057" s="10">
        <f>IF(D3057&gt;0,VLOOKUP(OPERAC[[#This Row],[COD CART]],[1]!MatrizCortoLargoCyl[#All],3,0),"")</f>
        <v/>
      </c>
      <c r="F3057" s="13" t="inlineStr">
        <is>
          <t>SFM</t>
        </is>
      </c>
      <c r="G3057" s="6" t="n">
        <v>25</v>
      </c>
      <c r="H3057" s="6" t="n">
        <v>-610.596</v>
      </c>
      <c r="I3057" s="7">
        <f>-H3057/G3057</f>
        <v/>
      </c>
      <c r="J3057" s="11" t="n"/>
      <c r="K3057" s="6" t="n"/>
      <c r="L3057" s="6" t="n"/>
      <c r="M3057" s="7">
        <f>IF(N3057=0,+L3057+H3057,0)</f>
        <v/>
      </c>
      <c r="N3057" s="7">
        <f>IF((+G3057-K3057)=0,0,+G3057-K3057)</f>
        <v/>
      </c>
      <c r="O3057" s="7">
        <f>IF(N3057=0,0,(L3057+H3057)/-N3057)</f>
        <v/>
      </c>
      <c r="P3057" s="7">
        <f>VLOOKUP(OPERAC[[#This Row],[especie]],[1]!ESPECIES[#All],6,0)</f>
        <v/>
      </c>
      <c r="Q3057" s="7">
        <f>IF(N3057&lt;&gt;0,P3057*N3057,0)</f>
        <v/>
      </c>
      <c r="R3057" s="8">
        <f>IF(Q3057&lt;&gt;0,Q3057+H3057+L3057,0)</f>
        <v/>
      </c>
      <c r="S3057" s="9">
        <f>VLOOKUP(OPERAC[[#This Row],[especie]],[1]!ESPECIES[#Data],9,FALSE)</f>
        <v/>
      </c>
    </row>
    <row r="3058">
      <c r="A3058" s="4" t="n">
        <v>9195</v>
      </c>
      <c r="B3058" s="5" t="n">
        <v>44459</v>
      </c>
      <c r="C3058" s="13" t="inlineStr">
        <is>
          <t>VTA</t>
        </is>
      </c>
      <c r="D3058" s="13" t="n">
        <v>40</v>
      </c>
      <c r="E3058" s="10">
        <f>IF(D3058&gt;0,VLOOKUP(OPERAC[[#This Row],[COD CART]],[1]!MatrizCortoLargoCyl[#All],3,0),"")</f>
        <v/>
      </c>
      <c r="F3058" s="13" t="inlineStr">
        <is>
          <t>EDU</t>
        </is>
      </c>
      <c r="G3058" s="6" t="n">
        <v>700</v>
      </c>
      <c r="H3058" s="6">
        <f>-639.29+0.04*OPERAC[[#This Row],[cantidad]]</f>
        <v/>
      </c>
      <c r="I3058" s="7">
        <f>-H3058/G3058</f>
        <v/>
      </c>
      <c r="J3058" s="11" t="n">
        <v>44615</v>
      </c>
      <c r="K3058" s="6" t="n">
        <v>700</v>
      </c>
      <c r="L3058" s="6">
        <f>+OPERAC[[#This Row],[cantidad venta]]*1.501</f>
        <v/>
      </c>
      <c r="M3058" s="7">
        <f>IF(N3058=0,+L3058+H3058,0)</f>
        <v/>
      </c>
      <c r="N3058" s="7">
        <f>IF((+G3058-K3058)=0,0,+G3058-K3058)</f>
        <v/>
      </c>
      <c r="O3058" s="7">
        <f>IF(N3058=0,0,(L3058+H3058)/-N3058)</f>
        <v/>
      </c>
      <c r="P3058" s="7">
        <f>VLOOKUP(OPERAC[[#This Row],[especie]],[1]!ESPECIES[#All],6,0)</f>
        <v/>
      </c>
      <c r="Q3058" s="7">
        <f>IF(N3058&lt;&gt;0,P3058*N3058,0)</f>
        <v/>
      </c>
      <c r="R3058" s="8">
        <f>IF(Q3058&lt;&gt;0,Q3058+H3058+L3058,0)</f>
        <v/>
      </c>
      <c r="S3058" s="9">
        <f>VLOOKUP(OPERAC[[#This Row],[especie]],[1]!ESPECIES[#Data],9,FALSE)</f>
        <v/>
      </c>
    </row>
    <row r="3059">
      <c r="A3059" s="4" t="n">
        <v>2194</v>
      </c>
      <c r="B3059" s="5" t="n">
        <v>44312</v>
      </c>
      <c r="C3059" s="13" t="inlineStr">
        <is>
          <t>VTA</t>
        </is>
      </c>
      <c r="D3059" s="13" t="n">
        <v>41</v>
      </c>
      <c r="E3059" s="10">
        <f>IF(D3059&gt;0,VLOOKUP(OPERAC[[#This Row],[COD CART]],[1]!MatrizCortoLargoCyl[#All],3,0),"")</f>
        <v/>
      </c>
      <c r="F3059" s="13" t="inlineStr">
        <is>
          <t>FB</t>
        </is>
      </c>
      <c r="G3059" s="6" t="n">
        <v>2</v>
      </c>
      <c r="H3059" s="6" t="n">
        <v>-611.82784</v>
      </c>
      <c r="I3059" s="7">
        <f>-H3059/G3059</f>
        <v/>
      </c>
      <c r="J3059" s="11" t="n"/>
      <c r="K3059" s="6" t="n"/>
      <c r="L3059" s="6" t="n"/>
      <c r="M3059" s="7">
        <f>IF(N3059=0,+L3059+H3059,0)</f>
        <v/>
      </c>
      <c r="N3059" s="7">
        <f>IF((+G3059-K3059)=0,0,+G3059-K3059)</f>
        <v/>
      </c>
      <c r="O3059" s="7">
        <f>IF(N3059=0,0,(L3059+H3059)/-N3059)</f>
        <v/>
      </c>
      <c r="P3059" s="7">
        <f>VLOOKUP(OPERAC[[#This Row],[especie]],[1]!ESPECIES[#All],6,0)</f>
        <v/>
      </c>
      <c r="Q3059" s="7">
        <f>IF(N3059&lt;&gt;0,P3059*N3059,0)</f>
        <v/>
      </c>
      <c r="R3059" s="8">
        <f>IF(Q3059&lt;&gt;0,Q3059+H3059+L3059,0)</f>
        <v/>
      </c>
      <c r="S3059" s="9">
        <f>VLOOKUP(OPERAC[[#This Row],[especie]],[1]!ESPECIES[#Data],9,FALSE)</f>
        <v/>
      </c>
    </row>
    <row r="3060">
      <c r="A3060" s="4" t="n">
        <v>1800</v>
      </c>
      <c r="B3060" s="5" t="n">
        <v>44447</v>
      </c>
      <c r="C3060" s="13" t="inlineStr">
        <is>
          <t>VTA</t>
        </is>
      </c>
      <c r="D3060" s="13" t="n">
        <v>32</v>
      </c>
      <c r="E3060" s="10">
        <f>IF(D3060&gt;0,VLOOKUP(OPERAC[[#This Row],[COD CART]],[1]!MatrizCortoLargoCyl[#All],3,0),"")</f>
        <v/>
      </c>
      <c r="F3060" s="13" t="inlineStr">
        <is>
          <t>NNDM/CYL/7,50/21-01-22</t>
        </is>
      </c>
      <c r="G3060" s="6" t="n">
        <v>100</v>
      </c>
      <c r="H3060" s="6">
        <f>-630.87+10.784+7.956</f>
        <v/>
      </c>
      <c r="I3060" s="7">
        <f>-H3060/G3060</f>
        <v/>
      </c>
      <c r="J3060" s="11" t="n">
        <v>44572</v>
      </c>
      <c r="K3060" s="6" t="n">
        <v>100</v>
      </c>
      <c r="L3060" s="6" t="n">
        <v>385.13</v>
      </c>
      <c r="M3060" s="7">
        <f>IF(N3060=0,+L3060+H3060,0)</f>
        <v/>
      </c>
      <c r="N3060" s="7">
        <f>IF((+G3060-K3060)=0,0,+G3060-K3060)</f>
        <v/>
      </c>
      <c r="O3060" s="7">
        <f>IF(N3060=0,0,(L3060+H3060)/-N3060)</f>
        <v/>
      </c>
      <c r="P3060" s="7">
        <f>VLOOKUP(OPERAC[[#This Row],[especie]],[1]!ESPECIES[#All],6,0)</f>
        <v/>
      </c>
      <c r="Q3060" s="7">
        <f>IF(N3060&lt;&gt;0,P3060*N3060,0)</f>
        <v/>
      </c>
      <c r="R3060" s="8">
        <f>IF(Q3060&lt;&gt;0,Q3060+H3060+L3060,0)</f>
        <v/>
      </c>
      <c r="S3060" s="9">
        <f>VLOOKUP(OPERAC[[#This Row],[especie]],[1]!ESPECIES[#Data],9,FALSE)</f>
        <v/>
      </c>
    </row>
    <row r="3061">
      <c r="A3061" s="4" t="n">
        <v>3853</v>
      </c>
      <c r="B3061" s="5" t="n">
        <v>44671</v>
      </c>
      <c r="C3061" s="13" t="inlineStr">
        <is>
          <t>VTA</t>
        </is>
      </c>
      <c r="D3061" s="13" t="n">
        <v>42</v>
      </c>
      <c r="E3061" s="10">
        <f>IF(D3061&gt;0,VLOOKUP(OPERAC[[#This Row],[COD CART]],[1]!MatrizCortoLargoCyl[#All],3,0),"")</f>
        <v/>
      </c>
      <c r="F3061" s="13" t="inlineStr">
        <is>
          <t>TLT</t>
        </is>
      </c>
      <c r="G3061" s="6" t="n">
        <v>5</v>
      </c>
      <c r="H3061" s="6" t="n">
        <v>-612.815025</v>
      </c>
      <c r="I3061" s="7">
        <f>-H3061/G3061</f>
        <v/>
      </c>
      <c r="J3061" s="11" t="n"/>
      <c r="K3061" s="6" t="n"/>
      <c r="L3061" s="6" t="n"/>
      <c r="M3061" s="7">
        <f>IF(N3061=0,+L3061+H3061,0)</f>
        <v/>
      </c>
      <c r="N3061" s="7">
        <f>IF((+G3061-K3061)=0,0,+G3061-K3061)</f>
        <v/>
      </c>
      <c r="O3061" s="7">
        <f>IF(N3061=0,0,(L3061+H3061)/-N3061)</f>
        <v/>
      </c>
      <c r="P3061" s="7">
        <f>VLOOKUP(OPERAC[[#This Row],[especie]],[1]!ESPECIES[#All],6,0)</f>
        <v/>
      </c>
      <c r="Q3061" s="7">
        <f>IF(N3061&lt;&gt;0,P3061*N3061,0)</f>
        <v/>
      </c>
      <c r="R3061" s="8">
        <f>IF(Q3061&lt;&gt;0,Q3061+H3061+L3061,0)</f>
        <v/>
      </c>
      <c r="S3061" s="9">
        <f>VLOOKUP(OPERAC[[#This Row],[especie]],[1]!ESPECIES[#Data],9,FALSE)</f>
        <v/>
      </c>
    </row>
    <row r="3062">
      <c r="A3062" s="4" t="n">
        <v>6578</v>
      </c>
      <c r="B3062" s="5" t="n">
        <v>44671</v>
      </c>
      <c r="C3062" s="13" t="inlineStr">
        <is>
          <t>VTA</t>
        </is>
      </c>
      <c r="D3062" s="13" t="n">
        <v>42</v>
      </c>
      <c r="E3062" s="10">
        <f>IF(D3062&gt;0,VLOOKUP(OPERAC[[#This Row],[COD CART]],[1]!MatrizCortoLargoCyl[#All],3,0),"")</f>
        <v/>
      </c>
      <c r="F3062" s="13" t="inlineStr">
        <is>
          <t>TLT</t>
        </is>
      </c>
      <c r="G3062" s="6" t="n">
        <v>5</v>
      </c>
      <c r="H3062" s="6" t="n">
        <v>-612.815025</v>
      </c>
      <c r="I3062" s="7">
        <f>-H3062/G3062</f>
        <v/>
      </c>
      <c r="J3062" s="11" t="n">
        <v>44693</v>
      </c>
      <c r="K3062" s="6" t="n">
        <v>5</v>
      </c>
      <c r="L3062" s="6" t="n">
        <v>586.122</v>
      </c>
      <c r="M3062" s="7">
        <f>IF(N3062=0,+L3062+H3062,0)</f>
        <v/>
      </c>
      <c r="N3062" s="7">
        <f>IF((+G3062-K3062)=0,0,+G3062-K3062)</f>
        <v/>
      </c>
      <c r="O3062" s="7">
        <f>IF(N3062=0,0,(L3062+H3062)/-N3062)</f>
        <v/>
      </c>
      <c r="P3062" s="7">
        <f>VLOOKUP(OPERAC[[#This Row],[especie]],[1]!ESPECIES[#All],6,0)</f>
        <v/>
      </c>
      <c r="Q3062" s="7">
        <f>IF(N3062&lt;&gt;0,P3062*N3062,0)</f>
        <v/>
      </c>
      <c r="R3062" s="8">
        <f>IF(Q3062&lt;&gt;0,Q3062+H3062+L3062,0)</f>
        <v/>
      </c>
      <c r="S3062" s="9">
        <f>VLOOKUP(OPERAC[[#This Row],[especie]],[1]!ESPECIES[#Data],9,FALSE)</f>
        <v/>
      </c>
    </row>
    <row r="3063">
      <c r="A3063" s="4" t="n">
        <v>7916</v>
      </c>
      <c r="B3063" s="5" t="n">
        <v>44671</v>
      </c>
      <c r="C3063" s="13" t="inlineStr">
        <is>
          <t>VTA</t>
        </is>
      </c>
      <c r="D3063" s="13" t="n">
        <v>42</v>
      </c>
      <c r="E3063" s="10">
        <f>IF(D3063&gt;0,VLOOKUP(OPERAC[[#This Row],[COD CART]],[1]!MatrizCortoLargoCyl[#All],3,0),"")</f>
        <v/>
      </c>
      <c r="F3063" s="13" t="inlineStr">
        <is>
          <t>TLT</t>
        </is>
      </c>
      <c r="G3063" s="6" t="n">
        <v>5</v>
      </c>
      <c r="H3063" s="6" t="n">
        <v>-612.815025</v>
      </c>
      <c r="I3063" s="7">
        <f>-H3063/G3063</f>
        <v/>
      </c>
      <c r="J3063" s="11" t="n">
        <v>44704</v>
      </c>
      <c r="K3063" s="6" t="n">
        <v>5</v>
      </c>
      <c r="L3063" s="6" t="n">
        <v>582.903</v>
      </c>
      <c r="M3063" s="7">
        <f>IF(N3063=0,+L3063+H3063,0)</f>
        <v/>
      </c>
      <c r="N3063" s="7">
        <f>IF((+G3063-K3063)=0,0,+G3063-K3063)</f>
        <v/>
      </c>
      <c r="O3063" s="7">
        <f>IF(N3063=0,0,(L3063+H3063)/-N3063)</f>
        <v/>
      </c>
      <c r="P3063" s="7">
        <f>VLOOKUP(OPERAC[[#This Row],[especie]],[1]!ESPECIES[#All],6,0)</f>
        <v/>
      </c>
      <c r="Q3063" s="7">
        <f>IF(N3063&lt;&gt;0,P3063*N3063,0)</f>
        <v/>
      </c>
      <c r="R3063" s="8">
        <f>IF(Q3063&lt;&gt;0,Q3063+H3063+L3063,0)</f>
        <v/>
      </c>
      <c r="S3063" s="9">
        <f>VLOOKUP(OPERAC[[#This Row],[especie]],[1]!ESPECIES[#Data],9,FALSE)</f>
        <v/>
      </c>
    </row>
    <row r="3064">
      <c r="A3064" s="4" t="n">
        <v>20312</v>
      </c>
      <c r="B3064" s="5" t="n">
        <v>44671</v>
      </c>
      <c r="C3064" s="13" t="inlineStr">
        <is>
          <t>VTA</t>
        </is>
      </c>
      <c r="D3064" s="13" t="n">
        <v>42</v>
      </c>
      <c r="E3064" s="10">
        <f>IF(D3064&gt;0,VLOOKUP(OPERAC[[#This Row],[COD CART]],[1]!MatrizCortoLargoCyl[#All],3,0),"")</f>
        <v/>
      </c>
      <c r="F3064" s="13" t="inlineStr">
        <is>
          <t>TLT</t>
        </is>
      </c>
      <c r="G3064" s="6" t="n">
        <v>5</v>
      </c>
      <c r="H3064" s="6" t="n">
        <v>-612.815025</v>
      </c>
      <c r="I3064" s="7">
        <f>-H3064/G3064</f>
        <v/>
      </c>
      <c r="J3064" s="11" t="n">
        <v>44722</v>
      </c>
      <c r="K3064" s="6" t="n">
        <v>5</v>
      </c>
      <c r="L3064" s="6" t="n">
        <v>561.496</v>
      </c>
      <c r="M3064" s="7">
        <f>IF(N3064=0,+L3064+H3064,0)</f>
        <v/>
      </c>
      <c r="N3064" s="7">
        <f>IF((+G3064-K3064)=0,0,+G3064-K3064)</f>
        <v/>
      </c>
      <c r="O3064" s="7">
        <f>IF(N3064=0,0,(L3064+H3064)/-N3064)</f>
        <v/>
      </c>
      <c r="P3064" s="7">
        <f>VLOOKUP(OPERAC[[#This Row],[especie]],[1]!ESPECIES[#All],6,0)</f>
        <v/>
      </c>
      <c r="Q3064" s="7">
        <f>IF(N3064&lt;&gt;0,P3064*N3064,0)</f>
        <v/>
      </c>
      <c r="R3064" s="8">
        <f>IF(Q3064&lt;&gt;0,Q3064+H3064+L3064,0)</f>
        <v/>
      </c>
      <c r="S3064" s="9">
        <f>VLOOKUP(OPERAC[[#This Row],[especie]],[1]!ESPECIES[#Data],9,FALSE)</f>
        <v/>
      </c>
    </row>
    <row r="3065">
      <c r="A3065" s="4" t="n">
        <v>12672</v>
      </c>
      <c r="B3065" s="5" t="n">
        <v>44671</v>
      </c>
      <c r="C3065" s="13" t="inlineStr">
        <is>
          <t>VTA</t>
        </is>
      </c>
      <c r="D3065" s="13" t="n">
        <v>42</v>
      </c>
      <c r="E3065" s="10">
        <f>IF(D3065&gt;0,VLOOKUP(OPERAC[[#This Row],[COD CART]],[1]!MatrizCortoLargoCyl[#All],3,0),"")</f>
        <v/>
      </c>
      <c r="F3065" s="13" t="inlineStr">
        <is>
          <t>TLT</t>
        </is>
      </c>
      <c r="G3065" s="6" t="n">
        <v>5</v>
      </c>
      <c r="H3065" s="6" t="n">
        <v>-612.815025</v>
      </c>
      <c r="I3065" s="7">
        <f>-H3065/G3065</f>
        <v/>
      </c>
      <c r="J3065" s="11" t="n"/>
      <c r="K3065" s="6" t="n"/>
      <c r="L3065" s="6" t="n"/>
      <c r="M3065" s="7">
        <f>IF(N3065=0,+L3065+H3065,0)</f>
        <v/>
      </c>
      <c r="N3065" s="7">
        <f>IF((+G3065-K3065)=0,0,+G3065-K3065)</f>
        <v/>
      </c>
      <c r="O3065" s="7">
        <f>IF(N3065=0,0,(L3065+H3065)/-N3065)</f>
        <v/>
      </c>
      <c r="P3065" s="7">
        <f>VLOOKUP(OPERAC[[#This Row],[especie]],[1]!ESPECIES[#All],6,0)</f>
        <v/>
      </c>
      <c r="Q3065" s="7">
        <f>IF(N3065&lt;&gt;0,P3065*N3065,0)</f>
        <v/>
      </c>
      <c r="R3065" s="8">
        <f>IF(Q3065&lt;&gt;0,Q3065+H3065+L3065,0)</f>
        <v/>
      </c>
      <c r="S3065" s="9">
        <f>VLOOKUP(OPERAC[[#This Row],[especie]],[1]!ESPECIES[#Data],9,FALSE)</f>
        <v/>
      </c>
    </row>
    <row r="3066">
      <c r="A3066" s="4" t="n">
        <v>19888</v>
      </c>
      <c r="B3066" s="5" t="n">
        <v>44671</v>
      </c>
      <c r="C3066" s="13" t="inlineStr">
        <is>
          <t>VTA</t>
        </is>
      </c>
      <c r="D3066" s="13" t="n">
        <v>42</v>
      </c>
      <c r="E3066" s="10">
        <f>IF(D3066&gt;0,VLOOKUP(OPERAC[[#This Row],[COD CART]],[1]!MatrizCortoLargoCyl[#All],3,0),"")</f>
        <v/>
      </c>
      <c r="F3066" s="13" t="inlineStr">
        <is>
          <t>TLT</t>
        </is>
      </c>
      <c r="G3066" s="6" t="n">
        <v>5</v>
      </c>
      <c r="H3066" s="6" t="n">
        <v>-612.815025</v>
      </c>
      <c r="I3066" s="7">
        <f>-H3066/G3066</f>
        <v/>
      </c>
      <c r="J3066" s="11" t="n"/>
      <c r="K3066" s="6" t="n"/>
      <c r="L3066" s="6" t="n"/>
      <c r="M3066" s="7">
        <f>IF(N3066=0,+L3066+H3066,0)</f>
        <v/>
      </c>
      <c r="N3066" s="7">
        <f>IF((+G3066-K3066)=0,0,+G3066-K3066)</f>
        <v/>
      </c>
      <c r="O3066" s="7">
        <f>IF(N3066=0,0,(L3066+H3066)/-N3066)</f>
        <v/>
      </c>
      <c r="P3066" s="7">
        <f>VLOOKUP(OPERAC[[#This Row],[especie]],[1]!ESPECIES[#All],6,0)</f>
        <v/>
      </c>
      <c r="Q3066" s="7">
        <f>IF(N3066&lt;&gt;0,P3066*N3066,0)</f>
        <v/>
      </c>
      <c r="R3066" s="8">
        <f>IF(Q3066&lt;&gt;0,Q3066+H3066+L3066,0)</f>
        <v/>
      </c>
      <c r="S3066" s="9">
        <f>VLOOKUP(OPERAC[[#This Row],[especie]],[1]!ESPECIES[#Data],9,FALSE)</f>
        <v/>
      </c>
    </row>
    <row r="3067">
      <c r="A3067" s="4" t="n">
        <v>22421</v>
      </c>
      <c r="B3067" s="5" t="n">
        <v>44671</v>
      </c>
      <c r="C3067" s="13" t="inlineStr">
        <is>
          <t>VTA</t>
        </is>
      </c>
      <c r="D3067" s="13" t="n">
        <v>42</v>
      </c>
      <c r="E3067" s="10">
        <f>IF(D3067&gt;0,VLOOKUP(OPERAC[[#This Row],[COD CART]],[1]!MatrizCortoLargoCyl[#All],3,0),"")</f>
        <v/>
      </c>
      <c r="F3067" s="13" t="inlineStr">
        <is>
          <t>TLT</t>
        </is>
      </c>
      <c r="G3067" s="6" t="n">
        <v>5</v>
      </c>
      <c r="H3067" s="6" t="n">
        <v>-612.815025</v>
      </c>
      <c r="I3067" s="7">
        <f>-H3067/G3067</f>
        <v/>
      </c>
      <c r="J3067" s="11" t="n"/>
      <c r="K3067" s="6" t="n"/>
      <c r="L3067" s="6" t="n"/>
      <c r="M3067" s="7">
        <f>IF(N3067=0,+L3067+H3067,0)</f>
        <v/>
      </c>
      <c r="N3067" s="7">
        <f>IF((+G3067-K3067)=0,0,+G3067-K3067)</f>
        <v/>
      </c>
      <c r="O3067" s="7">
        <f>IF(N3067=0,0,(L3067+H3067)/-N3067)</f>
        <v/>
      </c>
      <c r="P3067" s="7">
        <f>VLOOKUP(OPERAC[[#This Row],[especie]],[1]!ESPECIES[#All],6,0)</f>
        <v/>
      </c>
      <c r="Q3067" s="7">
        <f>IF(N3067&lt;&gt;0,P3067*N3067,0)</f>
        <v/>
      </c>
      <c r="R3067" s="8">
        <f>IF(Q3067&lt;&gt;0,Q3067+H3067+L3067,0)</f>
        <v/>
      </c>
      <c r="S3067" s="9">
        <f>VLOOKUP(OPERAC[[#This Row],[especie]],[1]!ESPECIES[#Data],9,FALSE)</f>
        <v/>
      </c>
    </row>
    <row r="3068">
      <c r="A3068" s="4" t="n">
        <v>16795</v>
      </c>
      <c r="B3068" s="5" t="n">
        <v>44671</v>
      </c>
      <c r="C3068" s="13" t="inlineStr">
        <is>
          <t>VTA</t>
        </is>
      </c>
      <c r="D3068" s="13" t="n">
        <v>42</v>
      </c>
      <c r="E3068" s="10">
        <f>IF(D3068&gt;0,VLOOKUP(OPERAC[[#This Row],[COD CART]],[1]!MatrizCortoLargoCyl[#All],3,0),"")</f>
        <v/>
      </c>
      <c r="F3068" s="13" t="inlineStr">
        <is>
          <t>TLT</t>
        </is>
      </c>
      <c r="G3068" s="6" t="n">
        <v>5</v>
      </c>
      <c r="H3068" s="6" t="n">
        <v>-612.815025</v>
      </c>
      <c r="I3068" s="7">
        <f>-H3068/G3068</f>
        <v/>
      </c>
      <c r="J3068" s="11" t="n"/>
      <c r="K3068" s="6" t="n"/>
      <c r="L3068" s="6" t="n"/>
      <c r="M3068" s="7">
        <f>IF(N3068=0,+L3068+H3068,0)</f>
        <v/>
      </c>
      <c r="N3068" s="7">
        <f>IF((+G3068-K3068)=0,0,+G3068-K3068)</f>
        <v/>
      </c>
      <c r="O3068" s="7">
        <f>IF(N3068=0,0,(L3068+H3068)/-N3068)</f>
        <v/>
      </c>
      <c r="P3068" s="7">
        <f>VLOOKUP(OPERAC[[#This Row],[especie]],[1]!ESPECIES[#All],6,0)</f>
        <v/>
      </c>
      <c r="Q3068" s="7">
        <f>IF(N3068&lt;&gt;0,P3068*N3068,0)</f>
        <v/>
      </c>
      <c r="R3068" s="8">
        <f>IF(Q3068&lt;&gt;0,Q3068+H3068+L3068,0)</f>
        <v/>
      </c>
      <c r="S3068" s="9">
        <f>VLOOKUP(OPERAC[[#This Row],[especie]],[1]!ESPECIES[#Data],9,FALSE)</f>
        <v/>
      </c>
    </row>
    <row r="3069">
      <c r="A3069" s="4" t="n">
        <v>12655</v>
      </c>
      <c r="B3069" s="5" t="n">
        <v>44663</v>
      </c>
      <c r="C3069" s="13" t="inlineStr">
        <is>
          <t>VTA</t>
        </is>
      </c>
      <c r="D3069" s="13" t="n">
        <v>31</v>
      </c>
      <c r="E3069" s="10">
        <f>IF(D3069&gt;0,VLOOKUP(OPERAC[[#This Row],[COD CART]],[1]!MatrizCortoLargoCyl[#All],3,0),"")</f>
        <v/>
      </c>
      <c r="F3069" s="13" t="inlineStr">
        <is>
          <t>GGAL</t>
        </is>
      </c>
      <c r="G3069" s="6" t="n">
        <v>60</v>
      </c>
      <c r="H3069" s="6" t="n">
        <v>-613.1624</v>
      </c>
      <c r="I3069" s="7">
        <f>-H3069/G3069</f>
        <v/>
      </c>
      <c r="J3069" s="11" t="n"/>
      <c r="K3069" s="6" t="n"/>
      <c r="L3069" s="6" t="n"/>
      <c r="M3069" s="7">
        <f>IF(N3069=0,+L3069+H3069,0)</f>
        <v/>
      </c>
      <c r="N3069" s="7">
        <f>IF((+G3069-K3069)=0,0,+G3069-K3069)</f>
        <v/>
      </c>
      <c r="O3069" s="7">
        <f>IF(N3069=0,0,(L3069+H3069)/-N3069)</f>
        <v/>
      </c>
      <c r="P3069" s="7">
        <f>VLOOKUP(OPERAC[[#This Row],[especie]],[1]!ESPECIES[#All],6,0)</f>
        <v/>
      </c>
      <c r="Q3069" s="7">
        <f>IF(N3069&lt;&gt;0,P3069*N3069,0)</f>
        <v/>
      </c>
      <c r="R3069" s="8">
        <f>IF(Q3069&lt;&gt;0,Q3069+H3069+L3069,0)</f>
        <v/>
      </c>
      <c r="S3069" s="9">
        <f>VLOOKUP(OPERAC[[#This Row],[especie]],[1]!ESPECIES[#Data],9,FALSE)</f>
        <v/>
      </c>
    </row>
    <row r="3070">
      <c r="A3070" s="4" t="n">
        <v>2194</v>
      </c>
      <c r="B3070" s="5" t="n">
        <v>44466</v>
      </c>
      <c r="C3070" s="13" t="inlineStr">
        <is>
          <t>VTA</t>
        </is>
      </c>
      <c r="D3070" s="13" t="n">
        <v>43</v>
      </c>
      <c r="E3070" s="10">
        <f>IF(D3070&gt;0,VLOOKUP(OPERAC[[#This Row],[COD CART]],[1]!MatrizCortoLargoCyl[#All],3,0),"")</f>
        <v/>
      </c>
      <c r="F3070" s="13" t="inlineStr">
        <is>
          <t>SOLO/CYL-PUT/4,00/16-09-22</t>
        </is>
      </c>
      <c r="G3070" s="6" t="n">
        <v>300</v>
      </c>
      <c r="H3070" s="6">
        <f>-892.25181+0.32*OPERAC[[#This Row],[cantidad]]+0.387*OPERAC[[#This Row],[cantidad]]+0.22*OPERAC[[#This Row],[cantidad]]</f>
        <v/>
      </c>
      <c r="I3070" s="7">
        <f>-H3070/G3070</f>
        <v/>
      </c>
      <c r="J3070" s="11" t="n"/>
      <c r="K3070" s="6" t="n"/>
      <c r="L3070" s="6" t="n"/>
      <c r="M3070" s="7">
        <f>IF(N3070=0,+L3070+H3070,0)</f>
        <v/>
      </c>
      <c r="N3070" s="7">
        <f>IF((+G3070-K3070)=0,0,+G3070-K3070)</f>
        <v/>
      </c>
      <c r="O3070" s="7">
        <f>IF(N3070=0,0,(L3070+H3070)/-N3070)</f>
        <v/>
      </c>
      <c r="P3070" s="7">
        <f>VLOOKUP(OPERAC[[#This Row],[especie]],[1]!ESPECIES[#All],6,0)</f>
        <v/>
      </c>
      <c r="Q3070" s="7">
        <f>IF(N3070&lt;&gt;0,P3070*N3070,0)</f>
        <v/>
      </c>
      <c r="R3070" s="8">
        <f>IF(Q3070&lt;&gt;0,Q3070+H3070+L3070,0)</f>
        <v/>
      </c>
      <c r="S3070" s="9">
        <f>VLOOKUP(OPERAC[[#This Row],[especie]],[1]!ESPECIES[#Data],9,FALSE)</f>
        <v/>
      </c>
    </row>
    <row r="3071">
      <c r="A3071" s="4" t="n">
        <v>2257</v>
      </c>
      <c r="B3071" s="5" t="n">
        <v>44466</v>
      </c>
      <c r="C3071" s="13" t="inlineStr">
        <is>
          <t>VTA</t>
        </is>
      </c>
      <c r="D3071" s="13" t="n">
        <v>43</v>
      </c>
      <c r="E3071" s="10">
        <f>IF(D3071&gt;0,VLOOKUP(OPERAC[[#This Row],[COD CART]],[1]!MatrizCortoLargoCyl[#All],3,0),"")</f>
        <v/>
      </c>
      <c r="F3071" s="13" t="inlineStr">
        <is>
          <t>SOLO/CYL-PUT/4,00/16-09-22</t>
        </is>
      </c>
      <c r="G3071" s="6" t="n">
        <v>300</v>
      </c>
      <c r="H3071" s="6">
        <f>-892.25181+0.32*OPERAC[[#This Row],[cantidad]]+0.387*OPERAC[[#This Row],[cantidad]]+0.22*OPERAC[[#This Row],[cantidad]]</f>
        <v/>
      </c>
      <c r="I3071" s="7">
        <f>-H3071/G3071</f>
        <v/>
      </c>
      <c r="J3071" s="11" t="n"/>
      <c r="K3071" s="6" t="n"/>
      <c r="L3071" s="6" t="n"/>
      <c r="M3071" s="7">
        <f>IF(N3071=0,+L3071+H3071,0)</f>
        <v/>
      </c>
      <c r="N3071" s="7">
        <f>IF((+G3071-K3071)=0,0,+G3071-K3071)</f>
        <v/>
      </c>
      <c r="O3071" s="7">
        <f>IF(N3071=0,0,(L3071+H3071)/-N3071)</f>
        <v/>
      </c>
      <c r="P3071" s="7">
        <f>VLOOKUP(OPERAC[[#This Row],[especie]],[1]!ESPECIES[#All],6,0)</f>
        <v/>
      </c>
      <c r="Q3071" s="7">
        <f>IF(N3071&lt;&gt;0,P3071*N3071,0)</f>
        <v/>
      </c>
      <c r="R3071" s="8">
        <f>IF(Q3071&lt;&gt;0,Q3071+H3071+L3071,0)</f>
        <v/>
      </c>
      <c r="S3071" s="9">
        <f>VLOOKUP(OPERAC[[#This Row],[especie]],[1]!ESPECIES[#Data],9,FALSE)</f>
        <v/>
      </c>
    </row>
    <row r="3072">
      <c r="A3072" s="4" t="n">
        <v>15194</v>
      </c>
      <c r="B3072" s="5" t="n">
        <v>44466</v>
      </c>
      <c r="C3072" s="13" t="inlineStr">
        <is>
          <t>VTA</t>
        </is>
      </c>
      <c r="D3072" s="13" t="n">
        <v>43</v>
      </c>
      <c r="E3072" s="10">
        <f>IF(D3072&gt;0,VLOOKUP(OPERAC[[#This Row],[COD CART]],[1]!MatrizCortoLargoCyl[#All],3,0),"")</f>
        <v/>
      </c>
      <c r="F3072" s="13" t="inlineStr">
        <is>
          <t>SOLO/CYL-PUT/4,00/16-09-22</t>
        </is>
      </c>
      <c r="G3072" s="6" t="n">
        <v>300</v>
      </c>
      <c r="H3072" s="6">
        <f>-892.25181+0.32*OPERAC[[#This Row],[cantidad]]+0.387*OPERAC[[#This Row],[cantidad]]+0.22*OPERAC[[#This Row],[cantidad]]</f>
        <v/>
      </c>
      <c r="I3072" s="7">
        <f>-H3072/G3072</f>
        <v/>
      </c>
      <c r="J3072" s="11" t="n"/>
      <c r="K3072" s="6" t="n"/>
      <c r="L3072" s="6" t="n"/>
      <c r="M3072" s="7">
        <f>IF(N3072=0,+L3072+H3072,0)</f>
        <v/>
      </c>
      <c r="N3072" s="7">
        <f>IF((+G3072-K3072)=0,0,+G3072-K3072)</f>
        <v/>
      </c>
      <c r="O3072" s="7">
        <f>IF(N3072=0,0,(L3072+H3072)/-N3072)</f>
        <v/>
      </c>
      <c r="P3072" s="7">
        <f>VLOOKUP(OPERAC[[#This Row],[especie]],[1]!ESPECIES[#All],6,0)</f>
        <v/>
      </c>
      <c r="Q3072" s="7">
        <f>IF(N3072&lt;&gt;0,P3072*N3072,0)</f>
        <v/>
      </c>
      <c r="R3072" s="8">
        <f>IF(Q3072&lt;&gt;0,Q3072+H3072+L3072,0)</f>
        <v/>
      </c>
      <c r="S3072" s="9">
        <f>VLOOKUP(OPERAC[[#This Row],[especie]],[1]!ESPECIES[#Data],9,FALSE)</f>
        <v/>
      </c>
    </row>
    <row r="3073">
      <c r="A3073" s="4" t="n">
        <v>18713</v>
      </c>
      <c r="B3073" s="5" t="n">
        <v>44466</v>
      </c>
      <c r="C3073" s="13" t="inlineStr">
        <is>
          <t>VTA</t>
        </is>
      </c>
      <c r="D3073" s="13" t="n">
        <v>43</v>
      </c>
      <c r="E3073" s="10">
        <f>IF(D3073&gt;0,VLOOKUP(OPERAC[[#This Row],[COD CART]],[1]!MatrizCortoLargoCyl[#All],3,0),"")</f>
        <v/>
      </c>
      <c r="F3073" s="13" t="inlineStr">
        <is>
          <t>SOLO/CYL-PUT/4,00/16-09-22</t>
        </is>
      </c>
      <c r="G3073" s="6" t="n">
        <v>300</v>
      </c>
      <c r="H3073" s="6">
        <f>-892.25181+0.32*OPERAC[[#This Row],[cantidad]]+0.387*OPERAC[[#This Row],[cantidad]]+0.22*OPERAC[[#This Row],[cantidad]]</f>
        <v/>
      </c>
      <c r="I3073" s="7">
        <f>-H3073/G3073</f>
        <v/>
      </c>
      <c r="J3073" s="11" t="n">
        <v>44697</v>
      </c>
      <c r="K3073" s="6" t="n">
        <v>300</v>
      </c>
      <c r="L3073" s="6" t="n">
        <v>-295.05</v>
      </c>
      <c r="M3073" s="7">
        <f>IF(N3073=0,+L3073+H3073,0)</f>
        <v/>
      </c>
      <c r="N3073" s="7">
        <f>IF((+G3073-K3073)=0,0,+G3073-K3073)</f>
        <v/>
      </c>
      <c r="O3073" s="7">
        <f>IF(N3073=0,0,(L3073+H3073)/-N3073)</f>
        <v/>
      </c>
      <c r="P3073" s="7">
        <f>VLOOKUP(OPERAC[[#This Row],[especie]],[1]!ESPECIES[#All],6,0)</f>
        <v/>
      </c>
      <c r="Q3073" s="7">
        <f>IF(N3073&lt;&gt;0,P3073*N3073,0)</f>
        <v/>
      </c>
      <c r="R3073" s="8">
        <f>IF(Q3073&lt;&gt;0,Q3073+H3073+L3073,0)</f>
        <v/>
      </c>
      <c r="S3073" s="9">
        <f>VLOOKUP(OPERAC[[#This Row],[especie]],[1]!ESPECIES[#Data],9,FALSE)</f>
        <v/>
      </c>
    </row>
    <row r="3074">
      <c r="A3074" s="4" t="n">
        <v>18661</v>
      </c>
      <c r="B3074" s="5" t="n">
        <v>44719</v>
      </c>
      <c r="C3074" s="13" t="inlineStr">
        <is>
          <t>VTA</t>
        </is>
      </c>
      <c r="D3074" s="13" t="n">
        <v>41</v>
      </c>
      <c r="E3074" s="10">
        <f>IF(D3074&gt;0,VLOOKUP(OPERAC[[#This Row],[COD CART]],[1]!MatrizCortoLargoCyl[#All],3,0),"")</f>
        <v/>
      </c>
      <c r="F3074" s="13" t="inlineStr">
        <is>
          <t>AMZN</t>
        </is>
      </c>
      <c r="G3074" s="6" t="n">
        <v>5</v>
      </c>
      <c r="H3074" s="6" t="n">
        <v>-615.336</v>
      </c>
      <c r="I3074" s="7">
        <f>-H3074/G3074</f>
        <v/>
      </c>
      <c r="J3074" s="5" t="n"/>
      <c r="K3074" s="6" t="n"/>
      <c r="L3074" s="6" t="n"/>
      <c r="M3074" s="7">
        <f>IF(N3074=0,+L3074+H3074,0)</f>
        <v/>
      </c>
      <c r="N3074" s="7">
        <f>IF((+G3074-K3074)=0,0,+G3074-K3074)</f>
        <v/>
      </c>
      <c r="O3074" s="7">
        <f>IF(N3074=0,0,(L3074+H3074)/-N3074)</f>
        <v/>
      </c>
      <c r="P3074" s="7">
        <f>VLOOKUP(OPERAC[[#This Row],[especie]],[1]!ESPECIES[#All],6,0)</f>
        <v/>
      </c>
      <c r="Q3074" s="7">
        <f>IF(N3074&lt;&gt;0,P3074*N3074,0)</f>
        <v/>
      </c>
      <c r="R3074" s="8">
        <f>IF(Q3074&lt;&gt;0,Q3074+H3074+L3074,0)</f>
        <v/>
      </c>
      <c r="S3074" s="9">
        <f>VLOOKUP(OPERAC[[#This Row],[especie]],[1]!ESPECIES[#Data],9,FALSE)</f>
        <v/>
      </c>
    </row>
    <row r="3075">
      <c r="A3075" s="4" t="n">
        <v>8066</v>
      </c>
      <c r="B3075" s="5" t="n">
        <v>44698</v>
      </c>
      <c r="C3075" s="13" t="inlineStr">
        <is>
          <t>VTA</t>
        </is>
      </c>
      <c r="D3075" s="13" t="n">
        <v>32</v>
      </c>
      <c r="E3075" s="10">
        <f>IF(D3075&gt;0,VLOOKUP(OPERAC[[#This Row],[COD CART]],[1]!MatrizCortoLargoCyl[#All],3,0),"")</f>
        <v/>
      </c>
      <c r="F3075" s="13" t="inlineStr">
        <is>
          <t>UUUU/CYL/8,00/17-06-22</t>
        </is>
      </c>
      <c r="G3075" s="6" t="n">
        <v>100</v>
      </c>
      <c r="H3075" s="6" t="n">
        <v>-616.11</v>
      </c>
      <c r="I3075" s="7">
        <f>-H3075/G3075</f>
        <v/>
      </c>
      <c r="J3075" s="11" t="n"/>
      <c r="K3075" s="6" t="n"/>
      <c r="L3075" s="6" t="n"/>
      <c r="M3075" s="7">
        <f>IF(N3075=0,+L3075+H3075,0)</f>
        <v/>
      </c>
      <c r="N3075" s="7">
        <f>IF((+G3075-K3075)=0,0,+G3075-K3075)</f>
        <v/>
      </c>
      <c r="O3075" s="7">
        <f>IF(N3075=0,0,(L3075+H3075)/-N3075)</f>
        <v/>
      </c>
      <c r="P3075" s="7">
        <f>VLOOKUP(OPERAC[[#This Row],[especie]],[1]!ESPECIES[#All],6,0)</f>
        <v/>
      </c>
      <c r="Q3075" s="7">
        <f>IF(N3075&lt;&gt;0,P3075*N3075,0)</f>
        <v/>
      </c>
      <c r="R3075" s="8">
        <f>IF(Q3075&lt;&gt;0,Q3075+H3075+L3075,0)</f>
        <v/>
      </c>
      <c r="S3075" s="9">
        <f>VLOOKUP(OPERAC[[#This Row],[especie]],[1]!ESPECIES[#Data],9,FALSE)</f>
        <v/>
      </c>
    </row>
    <row r="3076">
      <c r="A3076" s="4" t="n">
        <v>4561</v>
      </c>
      <c r="B3076" s="5" t="n">
        <v>44575</v>
      </c>
      <c r="C3076" s="13" t="inlineStr">
        <is>
          <t>VTA</t>
        </is>
      </c>
      <c r="D3076" s="13" t="n">
        <v>40</v>
      </c>
      <c r="E3076" s="10">
        <f>IF(D3076&gt;0,VLOOKUP(OPERAC[[#This Row],[COD CART]],[1]!MatrizCortoLargoCyl[#All],3,0),"")</f>
        <v/>
      </c>
      <c r="F3076" s="13" t="inlineStr">
        <is>
          <t>GBTC</t>
        </is>
      </c>
      <c r="G3076" s="6" t="n">
        <v>20</v>
      </c>
      <c r="H3076" s="6" t="n">
        <v>-616.1895999999999</v>
      </c>
      <c r="I3076" s="7">
        <f>-H3076/G3076</f>
        <v/>
      </c>
      <c r="J3076" s="11" t="n">
        <v>44614</v>
      </c>
      <c r="K3076" s="6" t="n">
        <v>20</v>
      </c>
      <c r="L3076" s="6" t="n">
        <v>517.806</v>
      </c>
      <c r="M3076" s="7">
        <f>IF(N3076=0,+L3076+H3076,0)</f>
        <v/>
      </c>
      <c r="N3076" s="7">
        <f>IF((+G3076-K3076)=0,0,+G3076-K3076)</f>
        <v/>
      </c>
      <c r="O3076" s="7">
        <f>IF(N3076=0,0,(L3076+H3076)/-N3076)</f>
        <v/>
      </c>
      <c r="P3076" s="7">
        <f>VLOOKUP(OPERAC[[#This Row],[especie]],[1]!ESPECIES[#All],6,0)</f>
        <v/>
      </c>
      <c r="Q3076" s="7">
        <f>IF(N3076&lt;&gt;0,P3076*N3076,0)</f>
        <v/>
      </c>
      <c r="R3076" s="8">
        <f>IF(Q3076&lt;&gt;0,Q3076+H3076+L3076,0)</f>
        <v/>
      </c>
      <c r="S3076" s="9">
        <f>VLOOKUP(OPERAC[[#This Row],[especie]],[1]!ESPECIES[#Data],9,FALSE)</f>
        <v/>
      </c>
    </row>
    <row r="3077">
      <c r="A3077" s="4" t="n">
        <v>13240</v>
      </c>
      <c r="B3077" s="5" t="n">
        <v>44672</v>
      </c>
      <c r="C3077" s="13" t="inlineStr">
        <is>
          <t>VTA</t>
        </is>
      </c>
      <c r="D3077" s="13" t="n">
        <v>43</v>
      </c>
      <c r="E3077" s="10">
        <f>IF(D3077&gt;0,VLOOKUP(OPERAC[[#This Row],[COD CART]],[1]!MatrizCortoLargoCyl[#All],3,0),"")</f>
        <v/>
      </c>
      <c r="F3077" s="13" t="inlineStr">
        <is>
          <t>PCT/CYL-PUT/7,50/19-01-24</t>
        </is>
      </c>
      <c r="G3077" s="6" t="n">
        <v>500</v>
      </c>
      <c r="H3077" s="6" t="n">
        <v>-618.42</v>
      </c>
      <c r="I3077" s="7">
        <f>-H3077/G3077</f>
        <v/>
      </c>
      <c r="J3077" s="11" t="n"/>
      <c r="K3077" s="6" t="n"/>
      <c r="L3077" s="6" t="n"/>
      <c r="M3077" s="7">
        <f>IF(N3077=0,+L3077+H3077,0)</f>
        <v/>
      </c>
      <c r="N3077" s="7">
        <f>IF((+G3077-K3077)=0,0,+G3077-K3077)</f>
        <v/>
      </c>
      <c r="O3077" s="7">
        <f>IF(N3077=0,0,(L3077+H3077)/-N3077)</f>
        <v/>
      </c>
      <c r="P3077" s="7">
        <f>VLOOKUP(OPERAC[[#This Row],[especie]],[1]!ESPECIES[#All],6,0)</f>
        <v/>
      </c>
      <c r="Q3077" s="7">
        <f>IF(N3077&lt;&gt;0,P3077*N3077,0)</f>
        <v/>
      </c>
      <c r="R3077" s="8">
        <f>IF(Q3077&lt;&gt;0,Q3077+H3077+L3077,0)</f>
        <v/>
      </c>
      <c r="S3077" s="9">
        <f>VLOOKUP(OPERAC[[#This Row],[especie]],[1]!ESPECIES[#Data],9,FALSE)</f>
        <v/>
      </c>
    </row>
    <row r="3078">
      <c r="A3078" s="4" t="n">
        <v>12671</v>
      </c>
      <c r="B3078" s="5" t="n">
        <v>44664</v>
      </c>
      <c r="C3078" s="13" t="inlineStr">
        <is>
          <t>VTA</t>
        </is>
      </c>
      <c r="D3078" s="13" t="n">
        <v>42</v>
      </c>
      <c r="E3078" s="10">
        <f>IF(D3078&gt;0,VLOOKUP(OPERAC[[#This Row],[COD CART]],[1]!MatrizCortoLargoCyl[#All],3,0),"")</f>
        <v/>
      </c>
      <c r="F3078" s="13" t="inlineStr">
        <is>
          <t>PSQ</t>
        </is>
      </c>
      <c r="G3078" s="6" t="n">
        <v>50</v>
      </c>
      <c r="H3078" s="6" t="n">
        <v>-620.3958304499999</v>
      </c>
      <c r="I3078" s="7">
        <f>-H3078/G3078</f>
        <v/>
      </c>
      <c r="J3078" s="11" t="n">
        <v>44680</v>
      </c>
      <c r="K3078" s="6">
        <f>+OPERAC[[#This Row],[cantidad]]</f>
        <v/>
      </c>
      <c r="L3078" s="6">
        <f>12.848*OPERAC[[#This Row],[cantidad venta]]</f>
        <v/>
      </c>
      <c r="M3078" s="7">
        <f>IF(N3078=0,+L3078+H3078,0)</f>
        <v/>
      </c>
      <c r="N3078" s="7">
        <f>IF((+G3078-K3078)=0,0,+G3078-K3078)</f>
        <v/>
      </c>
      <c r="O3078" s="7">
        <f>IF(N3078=0,0,(L3078+H3078)/-N3078)</f>
        <v/>
      </c>
      <c r="P3078" s="7">
        <f>VLOOKUP(OPERAC[[#This Row],[especie]],[1]!ESPECIES[#All],6,0)</f>
        <v/>
      </c>
      <c r="Q3078" s="7">
        <f>IF(N3078&lt;&gt;0,P3078*N3078,0)</f>
        <v/>
      </c>
      <c r="R3078" s="8">
        <f>IF(Q3078&lt;&gt;0,Q3078+H3078+L3078,0)</f>
        <v/>
      </c>
      <c r="S3078" s="9">
        <f>VLOOKUP(OPERAC[[#This Row],[especie]],[1]!ESPECIES[#Data],9,FALSE)</f>
        <v/>
      </c>
    </row>
    <row r="3079">
      <c r="A3079" s="4" t="n">
        <v>2305</v>
      </c>
      <c r="B3079" s="5" t="n">
        <v>44704</v>
      </c>
      <c r="C3079" s="13" t="inlineStr">
        <is>
          <t>VTA</t>
        </is>
      </c>
      <c r="D3079" s="13" t="n">
        <v>32</v>
      </c>
      <c r="E3079" s="10">
        <f>IF(D3079&gt;0,VLOOKUP(OPERAC[[#This Row],[COD CART]],[1]!MatrizCortoLargoCyl[#All],3,0),"")</f>
        <v/>
      </c>
      <c r="F3079" s="13" t="inlineStr">
        <is>
          <t>UUUU/CYL/8,00/17-06-22</t>
        </is>
      </c>
      <c r="G3079" s="6" t="n">
        <v>100</v>
      </c>
      <c r="H3079" s="6" t="n">
        <v>-620.987</v>
      </c>
      <c r="I3079" s="7">
        <f>-H3079/G3079</f>
        <v/>
      </c>
      <c r="J3079" s="5" t="n"/>
      <c r="K3079" s="6" t="n"/>
      <c r="L3079" s="6" t="n"/>
      <c r="M3079" s="7">
        <f>IF(N3079=0,+L3079+H3079,0)</f>
        <v/>
      </c>
      <c r="N3079" s="7">
        <f>IF((+G3079-K3079)=0,0,+G3079-K3079)</f>
        <v/>
      </c>
      <c r="O3079" s="7">
        <f>IF(N3079=0,0,(L3079+H3079)/-N3079)</f>
        <v/>
      </c>
      <c r="P3079" s="7">
        <f>VLOOKUP(OPERAC[[#This Row],[especie]],[1]!ESPECIES[#All],6,0)</f>
        <v/>
      </c>
      <c r="Q3079" s="7">
        <f>IF(N3079&lt;&gt;0,P3079*N3079,0)</f>
        <v/>
      </c>
      <c r="R3079" s="8">
        <f>IF(Q3079&lt;&gt;0,Q3079+H3079+L3079,0)</f>
        <v/>
      </c>
      <c r="S3079" s="9">
        <f>VLOOKUP(OPERAC[[#This Row],[especie]],[1]!ESPECIES[#Data],9,FALSE)</f>
        <v/>
      </c>
    </row>
    <row r="3080">
      <c r="A3080" s="4" t="n">
        <v>6628</v>
      </c>
      <c r="B3080" s="5" t="n">
        <v>44704</v>
      </c>
      <c r="C3080" s="13" t="inlineStr">
        <is>
          <t>VTA</t>
        </is>
      </c>
      <c r="D3080" s="13" t="n">
        <v>32</v>
      </c>
      <c r="E3080" s="10">
        <f>IF(D3080&gt;0,VLOOKUP(OPERAC[[#This Row],[COD CART]],[1]!MatrizCortoLargoCyl[#All],3,0),"")</f>
        <v/>
      </c>
      <c r="F3080" s="13" t="inlineStr">
        <is>
          <t>UUUU/CYL/8,00/17-06-22</t>
        </is>
      </c>
      <c r="G3080" s="6" t="n">
        <v>100</v>
      </c>
      <c r="H3080" s="6" t="n">
        <v>-620.987</v>
      </c>
      <c r="I3080" s="7">
        <f>-H3080/G3080</f>
        <v/>
      </c>
      <c r="J3080" s="5" t="n"/>
      <c r="K3080" s="6" t="n"/>
      <c r="L3080" s="6" t="n"/>
      <c r="M3080" s="7">
        <f>IF(N3080=0,+L3080+H3080,0)</f>
        <v/>
      </c>
      <c r="N3080" s="7">
        <f>IF((+G3080-K3080)=0,0,+G3080-K3080)</f>
        <v/>
      </c>
      <c r="O3080" s="7">
        <f>IF(N3080=0,0,(L3080+H3080)/-N3080)</f>
        <v/>
      </c>
      <c r="P3080" s="7">
        <f>VLOOKUP(OPERAC[[#This Row],[especie]],[1]!ESPECIES[#All],6,0)</f>
        <v/>
      </c>
      <c r="Q3080" s="7">
        <f>IF(N3080&lt;&gt;0,P3080*N3080,0)</f>
        <v/>
      </c>
      <c r="R3080" s="8">
        <f>IF(Q3080&lt;&gt;0,Q3080+H3080+L3080,0)</f>
        <v/>
      </c>
      <c r="S3080" s="9">
        <f>VLOOKUP(OPERAC[[#This Row],[especie]],[1]!ESPECIES[#Data],9,FALSE)</f>
        <v/>
      </c>
    </row>
    <row r="3081">
      <c r="A3081" s="4" t="n">
        <v>13185</v>
      </c>
      <c r="B3081" s="5" t="n">
        <v>44704</v>
      </c>
      <c r="C3081" s="13" t="inlineStr">
        <is>
          <t>VTA</t>
        </is>
      </c>
      <c r="D3081" s="13" t="n">
        <v>32</v>
      </c>
      <c r="E3081" s="10">
        <f>IF(D3081&gt;0,VLOOKUP(OPERAC[[#This Row],[COD CART]],[1]!MatrizCortoLargoCyl[#All],3,0),"")</f>
        <v/>
      </c>
      <c r="F3081" s="13" t="inlineStr">
        <is>
          <t>UUUU/CYL/8,00/17-06-22</t>
        </is>
      </c>
      <c r="G3081" s="6" t="n">
        <v>100</v>
      </c>
      <c r="H3081" s="6" t="n">
        <v>-620.987</v>
      </c>
      <c r="I3081" s="7">
        <f>-H3081/G3081</f>
        <v/>
      </c>
      <c r="J3081" s="5" t="n"/>
      <c r="K3081" s="6" t="n"/>
      <c r="L3081" s="6" t="n"/>
      <c r="M3081" s="7">
        <f>IF(N3081=0,+L3081+H3081,0)</f>
        <v/>
      </c>
      <c r="N3081" s="7">
        <f>IF((+G3081-K3081)=0,0,+G3081-K3081)</f>
        <v/>
      </c>
      <c r="O3081" s="7">
        <f>IF(N3081=0,0,(L3081+H3081)/-N3081)</f>
        <v/>
      </c>
      <c r="P3081" s="7">
        <f>VLOOKUP(OPERAC[[#This Row],[especie]],[1]!ESPECIES[#All],6,0)</f>
        <v/>
      </c>
      <c r="Q3081" s="7">
        <f>IF(N3081&lt;&gt;0,P3081*N3081,0)</f>
        <v/>
      </c>
      <c r="R3081" s="8">
        <f>IF(Q3081&lt;&gt;0,Q3081+H3081+L3081,0)</f>
        <v/>
      </c>
      <c r="S3081" s="9">
        <f>VLOOKUP(OPERAC[[#This Row],[especie]],[1]!ESPECIES[#Data],9,FALSE)</f>
        <v/>
      </c>
    </row>
    <row r="3082">
      <c r="A3082" s="4" t="n">
        <v>2203</v>
      </c>
      <c r="B3082" s="5" t="n">
        <v>44664</v>
      </c>
      <c r="C3082" s="13" t="inlineStr">
        <is>
          <t>VTA</t>
        </is>
      </c>
      <c r="D3082" s="13" t="n">
        <v>42</v>
      </c>
      <c r="E3082" s="10">
        <f>IF(D3082&gt;0,VLOOKUP(OPERAC[[#This Row],[COD CART]],[1]!MatrizCortoLargoCyl[#All],3,0),"")</f>
        <v/>
      </c>
      <c r="F3082" s="13" t="inlineStr">
        <is>
          <t>PSQ</t>
        </is>
      </c>
      <c r="G3082" s="6" t="n">
        <v>50</v>
      </c>
      <c r="H3082" s="6" t="n">
        <v>-621.6286090499999</v>
      </c>
      <c r="I3082" s="7">
        <f>-H3082/G3082</f>
        <v/>
      </c>
      <c r="J3082" s="11" t="n">
        <v>44680</v>
      </c>
      <c r="K3082" s="6">
        <f>+OPERAC[[#This Row],[cantidad]]</f>
        <v/>
      </c>
      <c r="L3082" s="6">
        <f>12.848*OPERAC[[#This Row],[cantidad venta]]</f>
        <v/>
      </c>
      <c r="M3082" s="7">
        <f>IF(N3082=0,+L3082+H3082,0)</f>
        <v/>
      </c>
      <c r="N3082" s="7">
        <f>IF((+G3082-K3082)=0,0,+G3082-K3082)</f>
        <v/>
      </c>
      <c r="O3082" s="7">
        <f>IF(N3082=0,0,(L3082+H3082)/-N3082)</f>
        <v/>
      </c>
      <c r="P3082" s="7">
        <f>VLOOKUP(OPERAC[[#This Row],[especie]],[1]!ESPECIES[#All],6,0)</f>
        <v/>
      </c>
      <c r="Q3082" s="7">
        <f>IF(N3082&lt;&gt;0,P3082*N3082,0)</f>
        <v/>
      </c>
      <c r="R3082" s="8">
        <f>IF(Q3082&lt;&gt;0,Q3082+H3082+L3082,0)</f>
        <v/>
      </c>
      <c r="S3082" s="9">
        <f>VLOOKUP(OPERAC[[#This Row],[especie]],[1]!ESPECIES[#Data],9,FALSE)</f>
        <v/>
      </c>
    </row>
    <row r="3083">
      <c r="A3083" s="4" t="n">
        <v>4543</v>
      </c>
      <c r="B3083" s="5" t="n">
        <v>44664</v>
      </c>
      <c r="C3083" s="13" t="inlineStr">
        <is>
          <t>VTA</t>
        </is>
      </c>
      <c r="D3083" s="13" t="n">
        <v>42</v>
      </c>
      <c r="E3083" s="10">
        <f>IF(D3083&gt;0,VLOOKUP(OPERAC[[#This Row],[COD CART]],[1]!MatrizCortoLargoCyl[#All],3,0),"")</f>
        <v/>
      </c>
      <c r="F3083" s="13" t="inlineStr">
        <is>
          <t>PSQ</t>
        </is>
      </c>
      <c r="G3083" s="6" t="n">
        <v>50</v>
      </c>
      <c r="H3083" s="6" t="n">
        <v>-621.6286090499999</v>
      </c>
      <c r="I3083" s="7">
        <f>-H3083/G3083</f>
        <v/>
      </c>
      <c r="J3083" s="11" t="n">
        <v>44680</v>
      </c>
      <c r="K3083" s="6">
        <f>+OPERAC[[#This Row],[cantidad]]</f>
        <v/>
      </c>
      <c r="L3083" s="6">
        <f>12.848*OPERAC[[#This Row],[cantidad venta]]</f>
        <v/>
      </c>
      <c r="M3083" s="7">
        <f>IF(N3083=0,+L3083+H3083,0)</f>
        <v/>
      </c>
      <c r="N3083" s="7">
        <f>IF((+G3083-K3083)=0,0,+G3083-K3083)</f>
        <v/>
      </c>
      <c r="O3083" s="7">
        <f>IF(N3083=0,0,(L3083+H3083)/-N3083)</f>
        <v/>
      </c>
      <c r="P3083" s="7">
        <f>VLOOKUP(OPERAC[[#This Row],[especie]],[1]!ESPECIES[#All],6,0)</f>
        <v/>
      </c>
      <c r="Q3083" s="7">
        <f>IF(N3083&lt;&gt;0,P3083*N3083,0)</f>
        <v/>
      </c>
      <c r="R3083" s="8">
        <f>IF(Q3083&lt;&gt;0,Q3083+H3083+L3083,0)</f>
        <v/>
      </c>
      <c r="S3083" s="9">
        <f>VLOOKUP(OPERAC[[#This Row],[especie]],[1]!ESPECIES[#Data],9,FALSE)</f>
        <v/>
      </c>
    </row>
    <row r="3084">
      <c r="A3084" s="4" t="n">
        <v>4561</v>
      </c>
      <c r="B3084" s="5" t="n">
        <v>44664</v>
      </c>
      <c r="C3084" s="13" t="inlineStr">
        <is>
          <t>VTA</t>
        </is>
      </c>
      <c r="D3084" s="13" t="n">
        <v>42</v>
      </c>
      <c r="E3084" s="10">
        <f>IF(D3084&gt;0,VLOOKUP(OPERAC[[#This Row],[COD CART]],[1]!MatrizCortoLargoCyl[#All],3,0),"")</f>
        <v/>
      </c>
      <c r="F3084" s="13" t="inlineStr">
        <is>
          <t>PSQ</t>
        </is>
      </c>
      <c r="G3084" s="6" t="n">
        <v>50</v>
      </c>
      <c r="H3084" s="6" t="n">
        <v>-621.6286090499999</v>
      </c>
      <c r="I3084" s="7">
        <f>-H3084/G3084</f>
        <v/>
      </c>
      <c r="J3084" s="11" t="n">
        <v>44680</v>
      </c>
      <c r="K3084" s="6">
        <f>+OPERAC[[#This Row],[cantidad]]</f>
        <v/>
      </c>
      <c r="L3084" s="6">
        <f>12.848*OPERAC[[#This Row],[cantidad venta]]</f>
        <v/>
      </c>
      <c r="M3084" s="7">
        <f>IF(N3084=0,+L3084+H3084,0)</f>
        <v/>
      </c>
      <c r="N3084" s="7">
        <f>IF((+G3084-K3084)=0,0,+G3084-K3084)</f>
        <v/>
      </c>
      <c r="O3084" s="7">
        <f>IF(N3084=0,0,(L3084+H3084)/-N3084)</f>
        <v/>
      </c>
      <c r="P3084" s="7">
        <f>VLOOKUP(OPERAC[[#This Row],[especie]],[1]!ESPECIES[#All],6,0)</f>
        <v/>
      </c>
      <c r="Q3084" s="7">
        <f>IF(N3084&lt;&gt;0,P3084*N3084,0)</f>
        <v/>
      </c>
      <c r="R3084" s="8">
        <f>IF(Q3084&lt;&gt;0,Q3084+H3084+L3084,0)</f>
        <v/>
      </c>
      <c r="S3084" s="9">
        <f>VLOOKUP(OPERAC[[#This Row],[especie]],[1]!ESPECIES[#Data],9,FALSE)</f>
        <v/>
      </c>
    </row>
    <row r="3085">
      <c r="A3085" s="4" t="n">
        <v>6578</v>
      </c>
      <c r="B3085" s="5" t="n">
        <v>44664</v>
      </c>
      <c r="C3085" s="13" t="inlineStr">
        <is>
          <t>VTA</t>
        </is>
      </c>
      <c r="D3085" s="13" t="n">
        <v>42</v>
      </c>
      <c r="E3085" s="10">
        <f>IF(D3085&gt;0,VLOOKUP(OPERAC[[#This Row],[COD CART]],[1]!MatrizCortoLargoCyl[#All],3,0),"")</f>
        <v/>
      </c>
      <c r="F3085" s="13" t="inlineStr">
        <is>
          <t>PSQ</t>
        </is>
      </c>
      <c r="G3085" s="6" t="n">
        <v>50</v>
      </c>
      <c r="H3085" s="6" t="n">
        <v>-621.6286090499999</v>
      </c>
      <c r="I3085" s="7">
        <f>-H3085/G3085</f>
        <v/>
      </c>
      <c r="J3085" s="11" t="n">
        <v>44680</v>
      </c>
      <c r="K3085" s="6">
        <f>+OPERAC[[#This Row],[cantidad]]</f>
        <v/>
      </c>
      <c r="L3085" s="6">
        <f>12.848*OPERAC[[#This Row],[cantidad venta]]</f>
        <v/>
      </c>
      <c r="M3085" s="7">
        <f>IF(N3085=0,+L3085+H3085,0)</f>
        <v/>
      </c>
      <c r="N3085" s="7">
        <f>IF((+G3085-K3085)=0,0,+G3085-K3085)</f>
        <v/>
      </c>
      <c r="O3085" s="7">
        <f>IF(N3085=0,0,(L3085+H3085)/-N3085)</f>
        <v/>
      </c>
      <c r="P3085" s="7">
        <f>VLOOKUP(OPERAC[[#This Row],[especie]],[1]!ESPECIES[#All],6,0)</f>
        <v/>
      </c>
      <c r="Q3085" s="7">
        <f>IF(N3085&lt;&gt;0,P3085*N3085,0)</f>
        <v/>
      </c>
      <c r="R3085" s="8">
        <f>IF(Q3085&lt;&gt;0,Q3085+H3085+L3085,0)</f>
        <v/>
      </c>
      <c r="S3085" s="9">
        <f>VLOOKUP(OPERAC[[#This Row],[especie]],[1]!ESPECIES[#Data],9,FALSE)</f>
        <v/>
      </c>
    </row>
    <row r="3086">
      <c r="A3086" s="4" t="n">
        <v>7493</v>
      </c>
      <c r="B3086" s="5" t="n">
        <v>44664</v>
      </c>
      <c r="C3086" s="13" t="inlineStr">
        <is>
          <t>VTA</t>
        </is>
      </c>
      <c r="D3086" s="13" t="n">
        <v>42</v>
      </c>
      <c r="E3086" s="10">
        <f>IF(D3086&gt;0,VLOOKUP(OPERAC[[#This Row],[COD CART]],[1]!MatrizCortoLargoCyl[#All],3,0),"")</f>
        <v/>
      </c>
      <c r="F3086" s="13" t="inlineStr">
        <is>
          <t>PSQ</t>
        </is>
      </c>
      <c r="G3086" s="6" t="n">
        <v>50</v>
      </c>
      <c r="H3086" s="6" t="n">
        <v>-621.6286090499999</v>
      </c>
      <c r="I3086" s="7">
        <f>-H3086/G3086</f>
        <v/>
      </c>
      <c r="J3086" s="11" t="n">
        <v>44680</v>
      </c>
      <c r="K3086" s="6">
        <f>+OPERAC[[#This Row],[cantidad]]</f>
        <v/>
      </c>
      <c r="L3086" s="6">
        <f>12.848*OPERAC[[#This Row],[cantidad venta]]</f>
        <v/>
      </c>
      <c r="M3086" s="7">
        <f>IF(N3086=0,+L3086+H3086,0)</f>
        <v/>
      </c>
      <c r="N3086" s="7">
        <f>IF((+G3086-K3086)=0,0,+G3086-K3086)</f>
        <v/>
      </c>
      <c r="O3086" s="7">
        <f>IF(N3086=0,0,(L3086+H3086)/-N3086)</f>
        <v/>
      </c>
      <c r="P3086" s="7">
        <f>VLOOKUP(OPERAC[[#This Row],[especie]],[1]!ESPECIES[#All],6,0)</f>
        <v/>
      </c>
      <c r="Q3086" s="7">
        <f>IF(N3086&lt;&gt;0,P3086*N3086,0)</f>
        <v/>
      </c>
      <c r="R3086" s="8">
        <f>IF(Q3086&lt;&gt;0,Q3086+H3086+L3086,0)</f>
        <v/>
      </c>
      <c r="S3086" s="9">
        <f>VLOOKUP(OPERAC[[#This Row],[especie]],[1]!ESPECIES[#Data],9,FALSE)</f>
        <v/>
      </c>
    </row>
    <row r="3087">
      <c r="A3087" s="4" t="n">
        <v>7895</v>
      </c>
      <c r="B3087" s="5" t="n">
        <v>44664</v>
      </c>
      <c r="C3087" s="13" t="inlineStr">
        <is>
          <t>VTA</t>
        </is>
      </c>
      <c r="D3087" s="13" t="n">
        <v>42</v>
      </c>
      <c r="E3087" s="10">
        <f>IF(D3087&gt;0,VLOOKUP(OPERAC[[#This Row],[COD CART]],[1]!MatrizCortoLargoCyl[#All],3,0),"")</f>
        <v/>
      </c>
      <c r="F3087" s="13" t="inlineStr">
        <is>
          <t>PSQ</t>
        </is>
      </c>
      <c r="G3087" s="6" t="n">
        <v>50</v>
      </c>
      <c r="H3087" s="6" t="n">
        <v>-621.6286090499999</v>
      </c>
      <c r="I3087" s="7">
        <f>-H3087/G3087</f>
        <v/>
      </c>
      <c r="J3087" s="11" t="n">
        <v>44680</v>
      </c>
      <c r="K3087" s="6">
        <f>+OPERAC[[#This Row],[cantidad]]</f>
        <v/>
      </c>
      <c r="L3087" s="6">
        <f>12.848*OPERAC[[#This Row],[cantidad venta]]</f>
        <v/>
      </c>
      <c r="M3087" s="7">
        <f>IF(N3087=0,+L3087+H3087,0)</f>
        <v/>
      </c>
      <c r="N3087" s="7">
        <f>IF((+G3087-K3087)=0,0,+G3087-K3087)</f>
        <v/>
      </c>
      <c r="O3087" s="7">
        <f>IF(N3087=0,0,(L3087+H3087)/-N3087)</f>
        <v/>
      </c>
      <c r="P3087" s="7">
        <f>VLOOKUP(OPERAC[[#This Row],[especie]],[1]!ESPECIES[#All],6,0)</f>
        <v/>
      </c>
      <c r="Q3087" s="7">
        <f>IF(N3087&lt;&gt;0,P3087*N3087,0)</f>
        <v/>
      </c>
      <c r="R3087" s="8">
        <f>IF(Q3087&lt;&gt;0,Q3087+H3087+L3087,0)</f>
        <v/>
      </c>
      <c r="S3087" s="9">
        <f>VLOOKUP(OPERAC[[#This Row],[especie]],[1]!ESPECIES[#Data],9,FALSE)</f>
        <v/>
      </c>
    </row>
    <row r="3088">
      <c r="A3088" s="4" t="n">
        <v>12684</v>
      </c>
      <c r="B3088" s="5" t="n">
        <v>44664</v>
      </c>
      <c r="C3088" s="13" t="inlineStr">
        <is>
          <t>VTA</t>
        </is>
      </c>
      <c r="D3088" s="13" t="n">
        <v>42</v>
      </c>
      <c r="E3088" s="10">
        <f>IF(D3088&gt;0,VLOOKUP(OPERAC[[#This Row],[COD CART]],[1]!MatrizCortoLargoCyl[#All],3,0),"")</f>
        <v/>
      </c>
      <c r="F3088" s="13" t="inlineStr">
        <is>
          <t>PSQ</t>
        </is>
      </c>
      <c r="G3088" s="6" t="n">
        <v>50</v>
      </c>
      <c r="H3088" s="6" t="n">
        <v>-621.6286090499999</v>
      </c>
      <c r="I3088" s="7">
        <f>-H3088/G3088</f>
        <v/>
      </c>
      <c r="J3088" s="11" t="n">
        <v>44680</v>
      </c>
      <c r="K3088" s="6">
        <f>+OPERAC[[#This Row],[cantidad]]</f>
        <v/>
      </c>
      <c r="L3088" s="6">
        <f>12.848*OPERAC[[#This Row],[cantidad venta]]</f>
        <v/>
      </c>
      <c r="M3088" s="7">
        <f>IF(N3088=0,+L3088+H3088,0)</f>
        <v/>
      </c>
      <c r="N3088" s="7">
        <f>IF((+G3088-K3088)=0,0,+G3088-K3088)</f>
        <v/>
      </c>
      <c r="O3088" s="7">
        <f>IF(N3088=0,0,(L3088+H3088)/-N3088)</f>
        <v/>
      </c>
      <c r="P3088" s="7">
        <f>VLOOKUP(OPERAC[[#This Row],[especie]],[1]!ESPECIES[#All],6,0)</f>
        <v/>
      </c>
      <c r="Q3088" s="7">
        <f>IF(N3088&lt;&gt;0,P3088*N3088,0)</f>
        <v/>
      </c>
      <c r="R3088" s="8">
        <f>IF(Q3088&lt;&gt;0,Q3088+H3088+L3088,0)</f>
        <v/>
      </c>
      <c r="S3088" s="9">
        <f>VLOOKUP(OPERAC[[#This Row],[especie]],[1]!ESPECIES[#Data],9,FALSE)</f>
        <v/>
      </c>
    </row>
    <row r="3089">
      <c r="A3089" s="4" t="n">
        <v>13204</v>
      </c>
      <c r="B3089" s="5" t="n">
        <v>44664</v>
      </c>
      <c r="C3089" s="13" t="inlineStr">
        <is>
          <t>VTA</t>
        </is>
      </c>
      <c r="D3089" s="13" t="n">
        <v>42</v>
      </c>
      <c r="E3089" s="10">
        <f>IF(D3089&gt;0,VLOOKUP(OPERAC[[#This Row],[COD CART]],[1]!MatrizCortoLargoCyl[#All],3,0),"")</f>
        <v/>
      </c>
      <c r="F3089" s="13" t="inlineStr">
        <is>
          <t>PSQ</t>
        </is>
      </c>
      <c r="G3089" s="6" t="n">
        <v>50</v>
      </c>
      <c r="H3089" s="6" t="n">
        <v>-621.6286090499999</v>
      </c>
      <c r="I3089" s="7">
        <f>-H3089/G3089</f>
        <v/>
      </c>
      <c r="J3089" s="11" t="n">
        <v>44680</v>
      </c>
      <c r="K3089" s="6">
        <f>+OPERAC[[#This Row],[cantidad]]</f>
        <v/>
      </c>
      <c r="L3089" s="6">
        <f>12.848*OPERAC[[#This Row],[cantidad venta]]</f>
        <v/>
      </c>
      <c r="M3089" s="7">
        <f>IF(N3089=0,+L3089+H3089,0)</f>
        <v/>
      </c>
      <c r="N3089" s="7">
        <f>IF((+G3089-K3089)=0,0,+G3089-K3089)</f>
        <v/>
      </c>
      <c r="O3089" s="7">
        <f>IF(N3089=0,0,(L3089+H3089)/-N3089)</f>
        <v/>
      </c>
      <c r="P3089" s="7">
        <f>VLOOKUP(OPERAC[[#This Row],[especie]],[1]!ESPECIES[#All],6,0)</f>
        <v/>
      </c>
      <c r="Q3089" s="7">
        <f>IF(N3089&lt;&gt;0,P3089*N3089,0)</f>
        <v/>
      </c>
      <c r="R3089" s="8">
        <f>IF(Q3089&lt;&gt;0,Q3089+H3089+L3089,0)</f>
        <v/>
      </c>
      <c r="S3089" s="9">
        <f>VLOOKUP(OPERAC[[#This Row],[especie]],[1]!ESPECIES[#Data],9,FALSE)</f>
        <v/>
      </c>
    </row>
    <row r="3090">
      <c r="A3090" s="4" t="n">
        <v>13269</v>
      </c>
      <c r="B3090" s="5" t="n">
        <v>44664</v>
      </c>
      <c r="C3090" s="13" t="inlineStr">
        <is>
          <t>VTA</t>
        </is>
      </c>
      <c r="D3090" s="13" t="n">
        <v>42</v>
      </c>
      <c r="E3090" s="10">
        <f>IF(D3090&gt;0,VLOOKUP(OPERAC[[#This Row],[COD CART]],[1]!MatrizCortoLargoCyl[#All],3,0),"")</f>
        <v/>
      </c>
      <c r="F3090" s="13" t="inlineStr">
        <is>
          <t>PSQ</t>
        </is>
      </c>
      <c r="G3090" s="6" t="n">
        <v>50</v>
      </c>
      <c r="H3090" s="6" t="n">
        <v>-621.6286090499999</v>
      </c>
      <c r="I3090" s="7">
        <f>-H3090/G3090</f>
        <v/>
      </c>
      <c r="J3090" s="11" t="n">
        <v>44680</v>
      </c>
      <c r="K3090" s="6">
        <f>+OPERAC[[#This Row],[cantidad]]</f>
        <v/>
      </c>
      <c r="L3090" s="6">
        <f>12.848*OPERAC[[#This Row],[cantidad venta]]</f>
        <v/>
      </c>
      <c r="M3090" s="7">
        <f>IF(N3090=0,+L3090+H3090,0)</f>
        <v/>
      </c>
      <c r="N3090" s="7">
        <f>IF((+G3090-K3090)=0,0,+G3090-K3090)</f>
        <v/>
      </c>
      <c r="O3090" s="7">
        <f>IF(N3090=0,0,(L3090+H3090)/-N3090)</f>
        <v/>
      </c>
      <c r="P3090" s="7">
        <f>VLOOKUP(OPERAC[[#This Row],[especie]],[1]!ESPECIES[#All],6,0)</f>
        <v/>
      </c>
      <c r="Q3090" s="7">
        <f>IF(N3090&lt;&gt;0,P3090*N3090,0)</f>
        <v/>
      </c>
      <c r="R3090" s="8">
        <f>IF(Q3090&lt;&gt;0,Q3090+H3090+L3090,0)</f>
        <v/>
      </c>
      <c r="S3090" s="9">
        <f>VLOOKUP(OPERAC[[#This Row],[especie]],[1]!ESPECIES[#Data],9,FALSE)</f>
        <v/>
      </c>
    </row>
    <row r="3091">
      <c r="A3091" s="4" t="n">
        <v>16786</v>
      </c>
      <c r="B3091" s="5" t="n">
        <v>44664</v>
      </c>
      <c r="C3091" s="13" t="inlineStr">
        <is>
          <t>VTA</t>
        </is>
      </c>
      <c r="D3091" s="13" t="n">
        <v>42</v>
      </c>
      <c r="E3091" s="10">
        <f>IF(D3091&gt;0,VLOOKUP(OPERAC[[#This Row],[COD CART]],[1]!MatrizCortoLargoCyl[#All],3,0),"")</f>
        <v/>
      </c>
      <c r="F3091" s="13" t="inlineStr">
        <is>
          <t>PSQ</t>
        </is>
      </c>
      <c r="G3091" s="6" t="n">
        <v>50</v>
      </c>
      <c r="H3091" s="6" t="n">
        <v>-621.6286090499999</v>
      </c>
      <c r="I3091" s="7">
        <f>-H3091/G3091</f>
        <v/>
      </c>
      <c r="J3091" s="11" t="n">
        <v>44680</v>
      </c>
      <c r="K3091" s="6">
        <f>+OPERAC[[#This Row],[cantidad]]</f>
        <v/>
      </c>
      <c r="L3091" s="6">
        <f>12.848*OPERAC[[#This Row],[cantidad venta]]</f>
        <v/>
      </c>
      <c r="M3091" s="7">
        <f>IF(N3091=0,+L3091+H3091,0)</f>
        <v/>
      </c>
      <c r="N3091" s="7">
        <f>IF((+G3091-K3091)=0,0,+G3091-K3091)</f>
        <v/>
      </c>
      <c r="O3091" s="7">
        <f>IF(N3091=0,0,(L3091+H3091)/-N3091)</f>
        <v/>
      </c>
      <c r="P3091" s="7">
        <f>VLOOKUP(OPERAC[[#This Row],[especie]],[1]!ESPECIES[#All],6,0)</f>
        <v/>
      </c>
      <c r="Q3091" s="7">
        <f>IF(N3091&lt;&gt;0,P3091*N3091,0)</f>
        <v/>
      </c>
      <c r="R3091" s="8">
        <f>IF(Q3091&lt;&gt;0,Q3091+H3091+L3091,0)</f>
        <v/>
      </c>
      <c r="S3091" s="9">
        <f>VLOOKUP(OPERAC[[#This Row],[especie]],[1]!ESPECIES[#Data],9,FALSE)</f>
        <v/>
      </c>
    </row>
    <row r="3092">
      <c r="A3092" s="4" t="n">
        <v>21070</v>
      </c>
      <c r="B3092" s="5" t="n">
        <v>44664</v>
      </c>
      <c r="C3092" s="13" t="inlineStr">
        <is>
          <t>VTA</t>
        </is>
      </c>
      <c r="D3092" s="13" t="n">
        <v>42</v>
      </c>
      <c r="E3092" s="10">
        <f>IF(D3092&gt;0,VLOOKUP(OPERAC[[#This Row],[COD CART]],[1]!MatrizCortoLargoCyl[#All],3,0),"")</f>
        <v/>
      </c>
      <c r="F3092" s="13" t="inlineStr">
        <is>
          <t>PSQ</t>
        </is>
      </c>
      <c r="G3092" s="6" t="n">
        <v>50</v>
      </c>
      <c r="H3092" s="6" t="n">
        <v>-621.6286090499999</v>
      </c>
      <c r="I3092" s="7">
        <f>-H3092/G3092</f>
        <v/>
      </c>
      <c r="J3092" s="11" t="n">
        <v>44680</v>
      </c>
      <c r="K3092" s="6">
        <f>+OPERAC[[#This Row],[cantidad]]</f>
        <v/>
      </c>
      <c r="L3092" s="6">
        <f>12.848*OPERAC[[#This Row],[cantidad venta]]</f>
        <v/>
      </c>
      <c r="M3092" s="7">
        <f>IF(N3092=0,+L3092+H3092,0)</f>
        <v/>
      </c>
      <c r="N3092" s="7">
        <f>IF((+G3092-K3092)=0,0,+G3092-K3092)</f>
        <v/>
      </c>
      <c r="O3092" s="7">
        <f>IF(N3092=0,0,(L3092+H3092)/-N3092)</f>
        <v/>
      </c>
      <c r="P3092" s="7">
        <f>VLOOKUP(OPERAC[[#This Row],[especie]],[1]!ESPECIES[#All],6,0)</f>
        <v/>
      </c>
      <c r="Q3092" s="7">
        <f>IF(N3092&lt;&gt;0,P3092*N3092,0)</f>
        <v/>
      </c>
      <c r="R3092" s="8">
        <f>IF(Q3092&lt;&gt;0,Q3092+H3092+L3092,0)</f>
        <v/>
      </c>
      <c r="S3092" s="9">
        <f>VLOOKUP(OPERAC[[#This Row],[especie]],[1]!ESPECIES[#Data],9,FALSE)</f>
        <v/>
      </c>
    </row>
    <row r="3093">
      <c r="A3093" s="4" t="n">
        <v>26140</v>
      </c>
      <c r="B3093" s="5" t="n">
        <v>44664</v>
      </c>
      <c r="C3093" s="13" t="inlineStr">
        <is>
          <t>VTA</t>
        </is>
      </c>
      <c r="D3093" s="13" t="n">
        <v>42</v>
      </c>
      <c r="E3093" s="10">
        <f>IF(D3093&gt;0,VLOOKUP(OPERAC[[#This Row],[COD CART]],[1]!MatrizCortoLargoCyl[#All],3,0),"")</f>
        <v/>
      </c>
      <c r="F3093" s="13" t="inlineStr">
        <is>
          <t>PSQ</t>
        </is>
      </c>
      <c r="G3093" s="6" t="n">
        <v>50</v>
      </c>
      <c r="H3093" s="6" t="n">
        <v>-621.6286090499999</v>
      </c>
      <c r="I3093" s="7">
        <f>-H3093/G3093</f>
        <v/>
      </c>
      <c r="J3093" s="11" t="n">
        <v>44680</v>
      </c>
      <c r="K3093" s="6">
        <f>+OPERAC[[#This Row],[cantidad]]</f>
        <v/>
      </c>
      <c r="L3093" s="6">
        <f>12.848*OPERAC[[#This Row],[cantidad venta]]</f>
        <v/>
      </c>
      <c r="M3093" s="7">
        <f>IF(N3093=0,+L3093+H3093,0)</f>
        <v/>
      </c>
      <c r="N3093" s="7">
        <f>IF((+G3093-K3093)=0,0,+G3093-K3093)</f>
        <v/>
      </c>
      <c r="O3093" s="7">
        <f>IF(N3093=0,0,(L3093+H3093)/-N3093)</f>
        <v/>
      </c>
      <c r="P3093" s="7">
        <f>VLOOKUP(OPERAC[[#This Row],[especie]],[1]!ESPECIES[#All],6,0)</f>
        <v/>
      </c>
      <c r="Q3093" s="7">
        <f>IF(N3093&lt;&gt;0,P3093*N3093,0)</f>
        <v/>
      </c>
      <c r="R3093" s="8">
        <f>IF(Q3093&lt;&gt;0,Q3093+H3093+L3093,0)</f>
        <v/>
      </c>
      <c r="S3093" s="9">
        <f>VLOOKUP(OPERAC[[#This Row],[especie]],[1]!ESPECIES[#Data],9,FALSE)</f>
        <v/>
      </c>
    </row>
    <row r="3094">
      <c r="A3094" s="4" t="n">
        <v>12684</v>
      </c>
      <c r="B3094" s="5" t="n">
        <v>44664</v>
      </c>
      <c r="C3094" s="13" t="inlineStr">
        <is>
          <t>VTA</t>
        </is>
      </c>
      <c r="D3094" s="13" t="n">
        <v>42</v>
      </c>
      <c r="E3094" s="10">
        <f>IF(D3094&gt;0,VLOOKUP(OPERAC[[#This Row],[COD CART]],[1]!MatrizCortoLargoCyl[#All],3,0),"")</f>
        <v/>
      </c>
      <c r="F3094" s="13" t="inlineStr">
        <is>
          <t>PSQ</t>
        </is>
      </c>
      <c r="G3094" s="6" t="n">
        <v>50</v>
      </c>
      <c r="H3094" s="6" t="n">
        <v>-621.6286090499999</v>
      </c>
      <c r="I3094" s="7">
        <f>-H3094/G3094</f>
        <v/>
      </c>
      <c r="J3094" s="11" t="n">
        <v>44680</v>
      </c>
      <c r="K3094" s="6">
        <f>+OPERAC[[#This Row],[cantidad]]</f>
        <v/>
      </c>
      <c r="L3094" s="6">
        <f>12.848*OPERAC[[#This Row],[cantidad venta]]</f>
        <v/>
      </c>
      <c r="M3094" s="7">
        <f>IF(N3094=0,+L3094+H3094,0)</f>
        <v/>
      </c>
      <c r="N3094" s="7">
        <f>IF((+G3094-K3094)=0,0,+G3094-K3094)</f>
        <v/>
      </c>
      <c r="O3094" s="7">
        <f>IF(N3094=0,0,(L3094+H3094)/-N3094)</f>
        <v/>
      </c>
      <c r="P3094" s="7">
        <f>VLOOKUP(OPERAC[[#This Row],[especie]],[1]!ESPECIES[#All],6,0)</f>
        <v/>
      </c>
      <c r="Q3094" s="7">
        <f>IF(N3094&lt;&gt;0,P3094*N3094,0)</f>
        <v/>
      </c>
      <c r="R3094" s="8">
        <f>IF(Q3094&lt;&gt;0,Q3094+H3094+L3094,0)</f>
        <v/>
      </c>
      <c r="S3094" s="9">
        <f>VLOOKUP(OPERAC[[#This Row],[especie]],[1]!ESPECIES[#Data],9,FALSE)</f>
        <v/>
      </c>
    </row>
    <row r="3095">
      <c r="A3095" s="4" t="n">
        <v>13188</v>
      </c>
      <c r="B3095" s="5" t="n">
        <v>44664</v>
      </c>
      <c r="C3095" s="13" t="inlineStr">
        <is>
          <t>VTA</t>
        </is>
      </c>
      <c r="D3095" s="13" t="n">
        <v>42</v>
      </c>
      <c r="E3095" s="10">
        <f>IF(D3095&gt;0,VLOOKUP(OPERAC[[#This Row],[COD CART]],[1]!MatrizCortoLargoCyl[#All],3,0),"")</f>
        <v/>
      </c>
      <c r="F3095" s="13" t="inlineStr">
        <is>
          <t>PSQ</t>
        </is>
      </c>
      <c r="G3095" s="6" t="n">
        <v>50</v>
      </c>
      <c r="H3095" s="6" t="n">
        <v>-621.6286090499999</v>
      </c>
      <c r="I3095" s="7">
        <f>-H3095/G3095</f>
        <v/>
      </c>
      <c r="J3095" s="11" t="n">
        <v>44680</v>
      </c>
      <c r="K3095" s="6">
        <f>+OPERAC[[#This Row],[cantidad]]</f>
        <v/>
      </c>
      <c r="L3095" s="6">
        <f>12.848*OPERAC[[#This Row],[cantidad venta]]</f>
        <v/>
      </c>
      <c r="M3095" s="7">
        <f>IF(N3095=0,+L3095+H3095,0)</f>
        <v/>
      </c>
      <c r="N3095" s="7">
        <f>IF((+G3095-K3095)=0,0,+G3095-K3095)</f>
        <v/>
      </c>
      <c r="O3095" s="7">
        <f>IF(N3095=0,0,(L3095+H3095)/-N3095)</f>
        <v/>
      </c>
      <c r="P3095" s="7">
        <f>VLOOKUP(OPERAC[[#This Row],[especie]],[1]!ESPECIES[#All],6,0)</f>
        <v/>
      </c>
      <c r="Q3095" s="7">
        <f>IF(N3095&lt;&gt;0,P3095*N3095,0)</f>
        <v/>
      </c>
      <c r="R3095" s="8">
        <f>IF(Q3095&lt;&gt;0,Q3095+H3095+L3095,0)</f>
        <v/>
      </c>
      <c r="S3095" s="9">
        <f>VLOOKUP(OPERAC[[#This Row],[especie]],[1]!ESPECIES[#Data],9,FALSE)</f>
        <v/>
      </c>
    </row>
    <row r="3096">
      <c r="A3096" s="4" t="n">
        <v>7867</v>
      </c>
      <c r="B3096" s="5" t="n">
        <v>44718</v>
      </c>
      <c r="C3096" s="13" t="inlineStr">
        <is>
          <t>VTA</t>
        </is>
      </c>
      <c r="D3096" s="13" t="n">
        <v>42</v>
      </c>
      <c r="E3096" s="10">
        <f>IF(D3096&gt;0,VLOOKUP(OPERAC[[#This Row],[COD CART]],[1]!MatrizCortoLargoCyl[#All],3,0),"")</f>
        <v/>
      </c>
      <c r="F3096" s="13" t="inlineStr">
        <is>
          <t>KWEB</t>
        </is>
      </c>
      <c r="G3096" s="6" t="n">
        <v>20</v>
      </c>
      <c r="H3096" s="6" t="n">
        <v>-621.66776</v>
      </c>
      <c r="I3096" s="7">
        <f>-H3096/G3096</f>
        <v/>
      </c>
      <c r="J3096" s="5" t="n"/>
      <c r="K3096" s="6" t="n"/>
      <c r="L3096" s="6" t="n"/>
      <c r="M3096" s="7">
        <f>IF(N3096=0,+L3096+H3096,0)</f>
        <v/>
      </c>
      <c r="N3096" s="7">
        <f>IF((+G3096-K3096)=0,0,+G3096-K3096)</f>
        <v/>
      </c>
      <c r="O3096" s="7">
        <f>IF(N3096=0,0,(L3096+H3096)/-N3096)</f>
        <v/>
      </c>
      <c r="P3096" s="7">
        <f>VLOOKUP(OPERAC[[#This Row],[especie]],[1]!ESPECIES[#All],6,0)</f>
        <v/>
      </c>
      <c r="Q3096" s="7">
        <f>IF(N3096&lt;&gt;0,P3096*N3096,0)</f>
        <v/>
      </c>
      <c r="R3096" s="8">
        <f>IF(Q3096&lt;&gt;0,Q3096+H3096+L3096,0)</f>
        <v/>
      </c>
      <c r="S3096" s="9">
        <f>VLOOKUP(OPERAC[[#This Row],[especie]],[1]!ESPECIES[#Data],9,FALSE)</f>
        <v/>
      </c>
    </row>
    <row r="3097">
      <c r="A3097" s="4" t="n">
        <v>12611</v>
      </c>
      <c r="B3097" s="5" t="n">
        <v>44718</v>
      </c>
      <c r="C3097" s="13" t="inlineStr">
        <is>
          <t>VTA</t>
        </is>
      </c>
      <c r="D3097" s="13" t="n">
        <v>42</v>
      </c>
      <c r="E3097" s="10">
        <f>IF(D3097&gt;0,VLOOKUP(OPERAC[[#This Row],[COD CART]],[1]!MatrizCortoLargoCyl[#All],3,0),"")</f>
        <v/>
      </c>
      <c r="F3097" s="13" t="inlineStr">
        <is>
          <t>KWEB</t>
        </is>
      </c>
      <c r="G3097" s="6" t="n">
        <v>20</v>
      </c>
      <c r="H3097" s="6" t="n">
        <v>-621.66776</v>
      </c>
      <c r="I3097" s="7">
        <f>-H3097/G3097</f>
        <v/>
      </c>
      <c r="J3097" s="5" t="n"/>
      <c r="K3097" s="6" t="n"/>
      <c r="L3097" s="6" t="n"/>
      <c r="M3097" s="7">
        <f>IF(N3097=0,+L3097+H3097,0)</f>
        <v/>
      </c>
      <c r="N3097" s="7">
        <f>IF((+G3097-K3097)=0,0,+G3097-K3097)</f>
        <v/>
      </c>
      <c r="O3097" s="7">
        <f>IF(N3097=0,0,(L3097+H3097)/-N3097)</f>
        <v/>
      </c>
      <c r="P3097" s="7">
        <f>VLOOKUP(OPERAC[[#This Row],[especie]],[1]!ESPECIES[#All],6,0)</f>
        <v/>
      </c>
      <c r="Q3097" s="7">
        <f>IF(N3097&lt;&gt;0,P3097*N3097,0)</f>
        <v/>
      </c>
      <c r="R3097" s="8">
        <f>IF(Q3097&lt;&gt;0,Q3097+H3097+L3097,0)</f>
        <v/>
      </c>
      <c r="S3097" s="9">
        <f>VLOOKUP(OPERAC[[#This Row],[especie]],[1]!ESPECIES[#Data],9,FALSE)</f>
        <v/>
      </c>
    </row>
    <row r="3098">
      <c r="A3098" s="4" t="n">
        <v>12688</v>
      </c>
      <c r="B3098" s="5" t="n">
        <v>44718</v>
      </c>
      <c r="C3098" s="13" t="inlineStr">
        <is>
          <t>VTA</t>
        </is>
      </c>
      <c r="D3098" s="13" t="n">
        <v>42</v>
      </c>
      <c r="E3098" s="10">
        <f>IF(D3098&gt;0,VLOOKUP(OPERAC[[#This Row],[COD CART]],[1]!MatrizCortoLargoCyl[#All],3,0),"")</f>
        <v/>
      </c>
      <c r="F3098" s="13" t="inlineStr">
        <is>
          <t>KWEB</t>
        </is>
      </c>
      <c r="G3098" s="6" t="n">
        <v>20</v>
      </c>
      <c r="H3098" s="6" t="n">
        <v>-621.66776</v>
      </c>
      <c r="I3098" s="7">
        <f>-H3098/G3098</f>
        <v/>
      </c>
      <c r="J3098" s="5" t="n"/>
      <c r="K3098" s="6" t="n"/>
      <c r="L3098" s="6" t="n"/>
      <c r="M3098" s="7">
        <f>IF(N3098=0,+L3098+H3098,0)</f>
        <v/>
      </c>
      <c r="N3098" s="7">
        <f>IF((+G3098-K3098)=0,0,+G3098-K3098)</f>
        <v/>
      </c>
      <c r="O3098" s="7">
        <f>IF(N3098=0,0,(L3098+H3098)/-N3098)</f>
        <v/>
      </c>
      <c r="P3098" s="7">
        <f>VLOOKUP(OPERAC[[#This Row],[especie]],[1]!ESPECIES[#All],6,0)</f>
        <v/>
      </c>
      <c r="Q3098" s="7">
        <f>IF(N3098&lt;&gt;0,P3098*N3098,0)</f>
        <v/>
      </c>
      <c r="R3098" s="8">
        <f>IF(Q3098&lt;&gt;0,Q3098+H3098+L3098,0)</f>
        <v/>
      </c>
      <c r="S3098" s="9">
        <f>VLOOKUP(OPERAC[[#This Row],[especie]],[1]!ESPECIES[#Data],9,FALSE)</f>
        <v/>
      </c>
    </row>
    <row r="3099">
      <c r="A3099" s="4" t="n">
        <v>1779</v>
      </c>
      <c r="B3099" s="5" t="n">
        <v>44718</v>
      </c>
      <c r="C3099" s="13" t="inlineStr">
        <is>
          <t>VTA</t>
        </is>
      </c>
      <c r="D3099" s="13" t="n">
        <v>42</v>
      </c>
      <c r="E3099" s="10">
        <f>IF(D3099&gt;0,VLOOKUP(OPERAC[[#This Row],[COD CART]],[1]!MatrizCortoLargoCyl[#All],3,0),"")</f>
        <v/>
      </c>
      <c r="F3099" s="13" t="inlineStr">
        <is>
          <t>KWEB</t>
        </is>
      </c>
      <c r="G3099" s="6" t="n">
        <v>20</v>
      </c>
      <c r="H3099" s="6" t="n">
        <v>-621.668</v>
      </c>
      <c r="I3099" s="7">
        <f>-H3099/G3099</f>
        <v/>
      </c>
      <c r="J3099" s="5" t="n"/>
      <c r="K3099" s="6" t="n"/>
      <c r="L3099" s="6" t="n"/>
      <c r="M3099" s="7">
        <f>IF(N3099=0,+L3099+H3099,0)</f>
        <v/>
      </c>
      <c r="N3099" s="7">
        <f>IF((+G3099-K3099)=0,0,+G3099-K3099)</f>
        <v/>
      </c>
      <c r="O3099" s="7">
        <f>IF(N3099=0,0,(L3099+H3099)/-N3099)</f>
        <v/>
      </c>
      <c r="P3099" s="7">
        <f>VLOOKUP(OPERAC[[#This Row],[especie]],[1]!ESPECIES[#All],6,0)</f>
        <v/>
      </c>
      <c r="Q3099" s="7">
        <f>IF(N3099&lt;&gt;0,P3099*N3099,0)</f>
        <v/>
      </c>
      <c r="R3099" s="8">
        <f>IF(Q3099&lt;&gt;0,Q3099+H3099+L3099,0)</f>
        <v/>
      </c>
      <c r="S3099" s="9">
        <f>VLOOKUP(OPERAC[[#This Row],[especie]],[1]!ESPECIES[#Data],9,FALSE)</f>
        <v/>
      </c>
    </row>
    <row r="3100">
      <c r="A3100" s="4" t="n">
        <v>13253</v>
      </c>
      <c r="B3100" s="5" t="n">
        <v>44550</v>
      </c>
      <c r="C3100" s="13" t="inlineStr">
        <is>
          <t>VTA</t>
        </is>
      </c>
      <c r="D3100" s="13" t="n">
        <v>41</v>
      </c>
      <c r="E3100" s="10">
        <f>IF(D3100&gt;0,VLOOKUP(OPERAC[[#This Row],[COD CART]],[1]!MatrizCortoLargoCyl[#All],3,0),"")</f>
        <v/>
      </c>
      <c r="F3100" s="13" t="inlineStr">
        <is>
          <t>JEPI</t>
        </is>
      </c>
      <c r="G3100" s="6" t="n">
        <v>10</v>
      </c>
      <c r="H3100" s="6" t="n">
        <v>-621.726</v>
      </c>
      <c r="I3100" s="7">
        <f>-H3100/G3100</f>
        <v/>
      </c>
      <c r="J3100" s="11" t="n"/>
      <c r="K3100" s="6" t="n"/>
      <c r="L3100" s="6" t="n"/>
      <c r="M3100" s="7">
        <f>IF(N3100=0,+L3100+H3100,0)</f>
        <v/>
      </c>
      <c r="N3100" s="7">
        <f>IF((+G3100-K3100)=0,0,+G3100-K3100)</f>
        <v/>
      </c>
      <c r="O3100" s="7">
        <f>IF(N3100=0,0,(L3100+H3100)/-N3100)</f>
        <v/>
      </c>
      <c r="P3100" s="7">
        <f>VLOOKUP(OPERAC[[#This Row],[especie]],[1]!ESPECIES[#All],6,0)</f>
        <v/>
      </c>
      <c r="Q3100" s="7">
        <f>IF(N3100&lt;&gt;0,P3100*N3100,0)</f>
        <v/>
      </c>
      <c r="R3100" s="8">
        <f>IF(Q3100&lt;&gt;0,Q3100+H3100+L3100,0)</f>
        <v/>
      </c>
      <c r="S3100" s="9">
        <f>VLOOKUP(OPERAC[[#This Row],[especie]],[1]!ESPECIES[#Data],9,FALSE)</f>
        <v/>
      </c>
    </row>
    <row r="3101">
      <c r="A3101" s="4" t="n">
        <v>19920</v>
      </c>
      <c r="B3101" s="5" t="n">
        <v>44637</v>
      </c>
      <c r="C3101" s="13" t="inlineStr">
        <is>
          <t>VTA</t>
        </is>
      </c>
      <c r="D3101" s="13" t="n">
        <v>31</v>
      </c>
      <c r="E3101" s="10">
        <f>IF(D3101&gt;0,VLOOKUP(OPERAC[[#This Row],[COD CART]],[1]!MatrizCortoLargoCyl[#All],3,0),"")</f>
        <v/>
      </c>
      <c r="F3101" s="13" t="inlineStr">
        <is>
          <t>FB</t>
        </is>
      </c>
      <c r="G3101" s="6" t="n">
        <v>3</v>
      </c>
      <c r="H3101" s="6" t="n">
        <v>-623.47424</v>
      </c>
      <c r="I3101" s="7">
        <f>-H3101/G3101</f>
        <v/>
      </c>
      <c r="J3101" s="11" t="n">
        <v>44672</v>
      </c>
      <c r="K3101" s="6" t="n">
        <v>3</v>
      </c>
      <c r="L3101" s="6" t="n">
        <v>583.15</v>
      </c>
      <c r="M3101" s="7">
        <f>IF(N3101=0,+L3101+H3101,0)</f>
        <v/>
      </c>
      <c r="N3101" s="7">
        <f>IF((+G3101-K3101)=0,0,+G3101-K3101)</f>
        <v/>
      </c>
      <c r="O3101" s="7">
        <f>IF(N3101=0,0,(L3101+H3101)/-N3101)</f>
        <v/>
      </c>
      <c r="P3101" s="7">
        <f>VLOOKUP(OPERAC[[#This Row],[especie]],[1]!ESPECIES[#All],6,0)</f>
        <v/>
      </c>
      <c r="Q3101" s="7">
        <f>IF(N3101&lt;&gt;0,P3101*N3101,0)</f>
        <v/>
      </c>
      <c r="R3101" s="8">
        <f>IF(Q3101&lt;&gt;0,Q3101+H3101+L3101,0)</f>
        <v/>
      </c>
      <c r="S3101" s="9">
        <f>VLOOKUP(OPERAC[[#This Row],[especie]],[1]!ESPECIES[#Data],9,FALSE)</f>
        <v/>
      </c>
    </row>
    <row r="3102">
      <c r="A3102" s="4" t="n">
        <v>18690</v>
      </c>
      <c r="B3102" s="5" t="n">
        <v>44637</v>
      </c>
      <c r="C3102" s="13" t="inlineStr">
        <is>
          <t>VTA</t>
        </is>
      </c>
      <c r="D3102" s="13" t="n">
        <v>31</v>
      </c>
      <c r="E3102" s="10">
        <f>IF(D3102&gt;0,VLOOKUP(OPERAC[[#This Row],[COD CART]],[1]!MatrizCortoLargoCyl[#All],3,0),"")</f>
        <v/>
      </c>
      <c r="F3102" s="13" t="inlineStr">
        <is>
          <t>FB</t>
        </is>
      </c>
      <c r="G3102" s="6" t="n">
        <v>3</v>
      </c>
      <c r="H3102" s="6" t="n">
        <v>-623.47424</v>
      </c>
      <c r="I3102" s="7">
        <f>-H3102/G3102</f>
        <v/>
      </c>
      <c r="J3102" s="11" t="n">
        <v>44672</v>
      </c>
      <c r="K3102" s="6" t="n">
        <v>3</v>
      </c>
      <c r="L3102" s="6" t="n">
        <v>583.15</v>
      </c>
      <c r="M3102" s="7">
        <f>IF(N3102=0,+L3102+H3102,0)</f>
        <v/>
      </c>
      <c r="N3102" s="7">
        <f>IF((+G3102-K3102)=0,0,+G3102-K3102)</f>
        <v/>
      </c>
      <c r="O3102" s="7">
        <f>IF(N3102=0,0,(L3102+H3102)/-N3102)</f>
        <v/>
      </c>
      <c r="P3102" s="7">
        <f>VLOOKUP(OPERAC[[#This Row],[especie]],[1]!ESPECIES[#All],6,0)</f>
        <v/>
      </c>
      <c r="Q3102" s="7">
        <f>IF(N3102&lt;&gt;0,P3102*N3102,0)</f>
        <v/>
      </c>
      <c r="R3102" s="8">
        <f>IF(Q3102&lt;&gt;0,Q3102+H3102+L3102,0)</f>
        <v/>
      </c>
      <c r="S3102" s="9">
        <f>VLOOKUP(OPERAC[[#This Row],[especie]],[1]!ESPECIES[#Data],9,FALSE)</f>
        <v/>
      </c>
    </row>
    <row r="3103">
      <c r="A3103" s="4" t="n">
        <v>3728</v>
      </c>
      <c r="B3103" s="5" t="n">
        <v>44725</v>
      </c>
      <c r="C3103" s="13" t="inlineStr">
        <is>
          <t>VTA</t>
        </is>
      </c>
      <c r="D3103" s="13" t="n">
        <v>40</v>
      </c>
      <c r="E3103" s="10">
        <f>IF(D3103&gt;0,VLOOKUP(OPERAC[[#This Row],[COD CART]],[1]!MatrizCortoLargoCyl[#All],3,0),"")</f>
        <v/>
      </c>
      <c r="F3103" s="13" t="inlineStr">
        <is>
          <t>MELI</t>
        </is>
      </c>
      <c r="G3103" s="6" t="n">
        <v>1</v>
      </c>
      <c r="H3103" s="6" t="n">
        <v>-623.7231</v>
      </c>
      <c r="I3103" s="7">
        <f>-H3103/G3103</f>
        <v/>
      </c>
      <c r="J3103" s="5" t="n"/>
      <c r="K3103" s="6" t="n"/>
      <c r="L3103" s="6" t="n"/>
      <c r="M3103" s="7">
        <f>IF(N3103=0,+L3103+H3103,0)</f>
        <v/>
      </c>
      <c r="N3103" s="7">
        <f>IF((+G3103-K3103)=0,0,+G3103-K3103)</f>
        <v/>
      </c>
      <c r="O3103" s="7">
        <f>IF(N3103=0,0,(L3103+H3103)/-N3103)</f>
        <v/>
      </c>
      <c r="P3103" s="7">
        <f>VLOOKUP(OPERAC[[#This Row],[especie]],[1]!ESPECIES[#All],6,0)</f>
        <v/>
      </c>
      <c r="Q3103" s="7">
        <f>IF(N3103&lt;&gt;0,P3103*N3103,0)</f>
        <v/>
      </c>
      <c r="R3103" s="8">
        <f>IF(Q3103&lt;&gt;0,Q3103+H3103+L3103,0)</f>
        <v/>
      </c>
      <c r="S3103" s="9">
        <f>VLOOKUP(OPERAC[[#This Row],[especie]],[1]!ESPECIES[#Data],9,FALSE)</f>
        <v/>
      </c>
    </row>
    <row r="3104">
      <c r="A3104" s="4" t="n">
        <v>3835</v>
      </c>
      <c r="B3104" s="5" t="n">
        <v>44725</v>
      </c>
      <c r="C3104" s="13" t="inlineStr">
        <is>
          <t>VTA</t>
        </is>
      </c>
      <c r="D3104" s="13" t="n">
        <v>40</v>
      </c>
      <c r="E3104" s="10">
        <f>IF(D3104&gt;0,VLOOKUP(OPERAC[[#This Row],[COD CART]],[1]!MatrizCortoLargoCyl[#All],3,0),"")</f>
        <v/>
      </c>
      <c r="F3104" s="13" t="inlineStr">
        <is>
          <t>MELI</t>
        </is>
      </c>
      <c r="G3104" s="6" t="n">
        <v>1</v>
      </c>
      <c r="H3104" s="6" t="n">
        <v>-623.7231</v>
      </c>
      <c r="I3104" s="7">
        <f>-H3104/G3104</f>
        <v/>
      </c>
      <c r="J3104" s="5" t="n"/>
      <c r="K3104" s="6" t="n"/>
      <c r="L3104" s="6" t="n"/>
      <c r="M3104" s="7">
        <f>IF(N3104=0,+L3104+H3104,0)</f>
        <v/>
      </c>
      <c r="N3104" s="7">
        <f>IF((+G3104-K3104)=0,0,+G3104-K3104)</f>
        <v/>
      </c>
      <c r="O3104" s="7">
        <f>IF(N3104=0,0,(L3104+H3104)/-N3104)</f>
        <v/>
      </c>
      <c r="P3104" s="7">
        <f>VLOOKUP(OPERAC[[#This Row],[especie]],[1]!ESPECIES[#All],6,0)</f>
        <v/>
      </c>
      <c r="Q3104" s="7">
        <f>IF(N3104&lt;&gt;0,P3104*N3104,0)</f>
        <v/>
      </c>
      <c r="R3104" s="8">
        <f>IF(Q3104&lt;&gt;0,Q3104+H3104+L3104,0)</f>
        <v/>
      </c>
      <c r="S3104" s="9">
        <f>VLOOKUP(OPERAC[[#This Row],[especie]],[1]!ESPECIES[#Data],9,FALSE)</f>
        <v/>
      </c>
    </row>
    <row r="3105">
      <c r="A3105" s="4" t="n">
        <v>13281</v>
      </c>
      <c r="B3105" s="5" t="n">
        <v>43990</v>
      </c>
      <c r="C3105" s="13" t="inlineStr">
        <is>
          <t>VTA</t>
        </is>
      </c>
      <c r="D3105" s="13" t="n">
        <v>41</v>
      </c>
      <c r="E3105" s="10">
        <f>IF(D3105&gt;0,VLOOKUP(OPERAC[[#This Row],[COD CART]],[1]!MatrizCortoLargoCyl[#All],3,0),"")</f>
        <v/>
      </c>
      <c r="F3105" s="13" t="inlineStr">
        <is>
          <t>GGAL</t>
        </is>
      </c>
      <c r="G3105" s="6" t="n">
        <v>55</v>
      </c>
      <c r="H3105" s="6" t="n">
        <v>-623.975</v>
      </c>
      <c r="I3105" s="7" t="n">
        <v>11.345</v>
      </c>
      <c r="J3105" s="5" t="n"/>
      <c r="K3105" s="6" t="n"/>
      <c r="L3105" s="6" t="n"/>
      <c r="M3105" s="7">
        <f>IF(N3105=0,+L3105+H3105,0)</f>
        <v/>
      </c>
      <c r="N3105" s="7">
        <f>IF((+G3105-K3105)=0,0,+G3105-K3105)</f>
        <v/>
      </c>
      <c r="O3105" s="7">
        <f>IF(N3105=0,0,(L3105+H3105)/-N3105)</f>
        <v/>
      </c>
      <c r="P3105" s="7">
        <f>VLOOKUP(OPERAC[[#This Row],[especie]],[1]!ESPECIES[#All],6,0)</f>
        <v/>
      </c>
      <c r="Q3105" s="7">
        <f>IF(N3105&lt;&gt;0,P3105*N3105,0)</f>
        <v/>
      </c>
      <c r="R3105" s="8">
        <f>IF(Q3105&lt;&gt;0,Q3105+H3105+L3105,0)</f>
        <v/>
      </c>
      <c r="S3105" s="9">
        <f>VLOOKUP(OPERAC[[#This Row],[especie]],[1]!ESPECIES[#Data],9,FALSE)</f>
        <v/>
      </c>
    </row>
    <row r="3106">
      <c r="A3106" s="4" t="n">
        <v>25070</v>
      </c>
      <c r="B3106" s="5" t="n">
        <v>44537</v>
      </c>
      <c r="C3106" s="13" t="inlineStr">
        <is>
          <t>VTA</t>
        </is>
      </c>
      <c r="D3106" s="13" t="n">
        <v>43</v>
      </c>
      <c r="E3106" s="10">
        <f>IF(D3106&gt;0,VLOOKUP(OPERAC[[#This Row],[COD CART]],[1]!MatrizCortoLargoCyl[#All],3,0),"")</f>
        <v/>
      </c>
      <c r="F3106" s="13" t="inlineStr">
        <is>
          <t>XSPA/CYL-PUT/1,50/20-01-23</t>
        </is>
      </c>
      <c r="G3106" s="6" t="n">
        <v>1200</v>
      </c>
      <c r="H3106" s="6">
        <f>-0.52*OPERAC[[#This Row],[cantidad]]</f>
        <v/>
      </c>
      <c r="I3106" s="7">
        <f>-H3106/G3106</f>
        <v/>
      </c>
      <c r="J3106" s="11" t="n"/>
      <c r="K3106" s="6" t="n"/>
      <c r="L3106" s="6" t="n"/>
      <c r="M3106" s="7">
        <f>IF(N3106=0,+L3106+H3106,0)</f>
        <v/>
      </c>
      <c r="N3106" s="7">
        <f>IF((+G3106-K3106)=0,0,+G3106-K3106)</f>
        <v/>
      </c>
      <c r="O3106" s="7">
        <f>IF(N3106=0,0,(L3106+H3106)/-N3106)</f>
        <v/>
      </c>
      <c r="P3106" s="7">
        <f>VLOOKUP(OPERAC[[#This Row],[especie]],[1]!ESPECIES[#All],6,0)</f>
        <v/>
      </c>
      <c r="Q3106" s="7">
        <f>IF(N3106&lt;&gt;0,P3106*N3106,0)</f>
        <v/>
      </c>
      <c r="R3106" s="8">
        <f>IF(Q3106&lt;&gt;0,Q3106+H3106+L3106,0)</f>
        <v/>
      </c>
      <c r="S3106" s="9">
        <f>VLOOKUP(OPERAC[[#This Row],[especie]],[1]!ESPECIES[#Data],9,FALSE)</f>
        <v/>
      </c>
    </row>
    <row r="3107">
      <c r="A3107" s="4" t="n">
        <v>20339</v>
      </c>
      <c r="B3107" s="5" t="n">
        <v>44690</v>
      </c>
      <c r="C3107" s="13" t="inlineStr">
        <is>
          <t>VTA</t>
        </is>
      </c>
      <c r="D3107" s="13" t="n">
        <v>32</v>
      </c>
      <c r="E3107" s="10">
        <f>IF(D3107&gt;0,VLOOKUP(OPERAC[[#This Row],[COD CART]],[1]!MatrizCortoLargoCyl[#All],3,0),"")</f>
        <v/>
      </c>
      <c r="F3107" s="13" t="inlineStr">
        <is>
          <t>COTY/CYL/7,00/17-06-22</t>
        </is>
      </c>
      <c r="G3107" s="6" t="n">
        <v>100</v>
      </c>
      <c r="H3107" s="6">
        <f>-662.093+36.686</f>
        <v/>
      </c>
      <c r="I3107" s="7">
        <f>-H3107/G3107</f>
        <v/>
      </c>
      <c r="J3107" s="11" t="n"/>
      <c r="K3107" s="6" t="n"/>
      <c r="L3107" s="6" t="n"/>
      <c r="M3107" s="7">
        <f>IF(N3107=0,+L3107+H3107,0)</f>
        <v/>
      </c>
      <c r="N3107" s="7">
        <f>IF((+G3107-K3107)=0,0,+G3107-K3107)</f>
        <v/>
      </c>
      <c r="O3107" s="7">
        <f>IF(N3107=0,0,(L3107+H3107)/-N3107)</f>
        <v/>
      </c>
      <c r="P3107" s="7">
        <f>VLOOKUP(OPERAC[[#This Row],[especie]],[1]!ESPECIES[#All],6,0)</f>
        <v/>
      </c>
      <c r="Q3107" s="7">
        <f>IF(N3107&lt;&gt;0,P3107*N3107,0)</f>
        <v/>
      </c>
      <c r="R3107" s="8">
        <f>IF(Q3107&lt;&gt;0,Q3107+H3107+L3107,0)</f>
        <v/>
      </c>
      <c r="S3107" s="9">
        <f>VLOOKUP(OPERAC[[#This Row],[especie]],[1]!ESPECIES[#Data],9,FALSE)</f>
        <v/>
      </c>
    </row>
    <row r="3108">
      <c r="A3108" s="4" t="n">
        <v>2255</v>
      </c>
      <c r="B3108" s="5" t="n">
        <v>44725</v>
      </c>
      <c r="C3108" s="13" t="inlineStr">
        <is>
          <t>VTA</t>
        </is>
      </c>
      <c r="D3108" s="13" t="n">
        <v>40</v>
      </c>
      <c r="E3108" s="10">
        <f>IF(D3108&gt;0,VLOOKUP(OPERAC[[#This Row],[COD CART]],[1]!MatrizCortoLargoCyl[#All],3,0),"")</f>
        <v/>
      </c>
      <c r="F3108" s="13" t="inlineStr">
        <is>
          <t>MELI</t>
        </is>
      </c>
      <c r="G3108" s="6" t="n">
        <v>1</v>
      </c>
      <c r="H3108" s="6" t="n">
        <v>-625.90395</v>
      </c>
      <c r="I3108" s="7">
        <f>-H3108/G3108</f>
        <v/>
      </c>
      <c r="J3108" s="5" t="n"/>
      <c r="K3108" s="6" t="n"/>
      <c r="L3108" s="6" t="n"/>
      <c r="M3108" s="7">
        <f>IF(N3108=0,+L3108+H3108,0)</f>
        <v/>
      </c>
      <c r="N3108" s="7">
        <f>IF((+G3108-K3108)=0,0,+G3108-K3108)</f>
        <v/>
      </c>
      <c r="O3108" s="7">
        <f>IF(N3108=0,0,(L3108+H3108)/-N3108)</f>
        <v/>
      </c>
      <c r="P3108" s="7">
        <f>VLOOKUP(OPERAC[[#This Row],[especie]],[1]!ESPECIES[#All],6,0)</f>
        <v/>
      </c>
      <c r="Q3108" s="7">
        <f>IF(N3108&lt;&gt;0,P3108*N3108,0)</f>
        <v/>
      </c>
      <c r="R3108" s="8">
        <f>IF(Q3108&lt;&gt;0,Q3108+H3108+L3108,0)</f>
        <v/>
      </c>
      <c r="S3108" s="9">
        <f>VLOOKUP(OPERAC[[#This Row],[especie]],[1]!ESPECIES[#Data],9,FALSE)</f>
        <v/>
      </c>
    </row>
    <row r="3109">
      <c r="A3109" s="4" t="n">
        <v>22407</v>
      </c>
      <c r="B3109" s="5" t="n">
        <v>44655</v>
      </c>
      <c r="C3109" s="13" t="inlineStr">
        <is>
          <t>VTA</t>
        </is>
      </c>
      <c r="D3109" s="13" t="n">
        <v>31</v>
      </c>
      <c r="E3109" s="10">
        <f>IF(D3109&gt;0,VLOOKUP(OPERAC[[#This Row],[COD CART]],[1]!MatrizCortoLargoCyl[#All],3,0),"")</f>
        <v/>
      </c>
      <c r="F3109" s="13" t="inlineStr">
        <is>
          <t>TEO</t>
        </is>
      </c>
      <c r="G3109" s="6" t="n">
        <v>100</v>
      </c>
      <c r="H3109" s="6" t="n">
        <v>-625.96</v>
      </c>
      <c r="I3109" s="7">
        <f>-H3109/G3109</f>
        <v/>
      </c>
      <c r="J3109" s="11" t="n"/>
      <c r="K3109" s="6" t="n"/>
      <c r="L3109" s="6" t="n"/>
      <c r="M3109" s="7">
        <f>IF(N3109=0,+L3109+H3109,0)</f>
        <v/>
      </c>
      <c r="N3109" s="7">
        <f>IF((+G3109-K3109)=0,0,+G3109-K3109)</f>
        <v/>
      </c>
      <c r="O3109" s="7">
        <f>IF(N3109=0,0,(L3109+H3109)/-N3109)</f>
        <v/>
      </c>
      <c r="P3109" s="7">
        <f>VLOOKUP(OPERAC[[#This Row],[especie]],[1]!ESPECIES[#All],6,0)</f>
        <v/>
      </c>
      <c r="Q3109" s="7">
        <f>IF(N3109&lt;&gt;0,P3109*N3109,0)</f>
        <v/>
      </c>
      <c r="R3109" s="8">
        <f>IF(Q3109&lt;&gt;0,Q3109+H3109+L3109,0)</f>
        <v/>
      </c>
      <c r="S3109" s="9">
        <f>VLOOKUP(OPERAC[[#This Row],[especie]],[1]!ESPECIES[#Data],9,FALSE)</f>
        <v/>
      </c>
    </row>
    <row r="3110">
      <c r="A3110" s="4" t="n">
        <v>4543</v>
      </c>
      <c r="B3110" s="5" t="n">
        <v>44460</v>
      </c>
      <c r="C3110" s="13" t="inlineStr">
        <is>
          <t>VTA</t>
        </is>
      </c>
      <c r="D3110" s="13" t="n">
        <v>40</v>
      </c>
      <c r="E3110" s="10">
        <f>IF(D3110&gt;0,VLOOKUP(OPERAC[[#This Row],[COD CART]],[1]!MatrizCortoLargoCyl[#All],3,0),"")</f>
        <v/>
      </c>
      <c r="F3110" s="13" t="inlineStr">
        <is>
          <t>EDU</t>
        </is>
      </c>
      <c r="G3110" s="6" t="n">
        <v>600</v>
      </c>
      <c r="H3110" s="6">
        <f>OPERAC[[#This Row],[cantidad]]*-1.084+0.04*OPERAC[[#This Row],[cantidad]]</f>
        <v/>
      </c>
      <c r="I3110" s="7">
        <f>-H3110/G3110</f>
        <v/>
      </c>
      <c r="J3110" s="11" t="n">
        <v>44615</v>
      </c>
      <c r="K3110" s="6" t="n">
        <v>600</v>
      </c>
      <c r="L3110" s="6" t="n">
        <v>896.86</v>
      </c>
      <c r="M3110" s="7">
        <f>IF(N3110=0,+L3110+H3110,0)</f>
        <v/>
      </c>
      <c r="N3110" s="7">
        <f>IF((+G3110-K3110)=0,0,+G3110-K3110)</f>
        <v/>
      </c>
      <c r="O3110" s="7">
        <f>IF(N3110=0,0,(L3110+H3110)/-N3110)</f>
        <v/>
      </c>
      <c r="P3110" s="7">
        <f>VLOOKUP(OPERAC[[#This Row],[especie]],[1]!ESPECIES[#All],6,0)</f>
        <v/>
      </c>
      <c r="Q3110" s="7">
        <f>IF(N3110&lt;&gt;0,P3110*N3110,0)</f>
        <v/>
      </c>
      <c r="R3110" s="8">
        <f>IF(Q3110&lt;&gt;0,Q3110+H3110+L3110,0)</f>
        <v/>
      </c>
      <c r="S3110" s="9">
        <f>VLOOKUP(OPERAC[[#This Row],[especie]],[1]!ESPECIES[#Data],9,FALSE)</f>
        <v/>
      </c>
    </row>
    <row r="3111">
      <c r="A3111" s="4" t="n">
        <v>12671</v>
      </c>
      <c r="B3111" s="5" t="n">
        <v>44725</v>
      </c>
      <c r="C3111" s="13" t="inlineStr">
        <is>
          <t>VTA</t>
        </is>
      </c>
      <c r="D3111" s="13" t="n">
        <v>40</v>
      </c>
      <c r="E3111" s="10">
        <f>IF(D3111&gt;0,VLOOKUP(OPERAC[[#This Row],[COD CART]],[1]!MatrizCortoLargoCyl[#All],3,0),"")</f>
        <v/>
      </c>
      <c r="F3111" s="13" t="inlineStr">
        <is>
          <t>MELI</t>
        </is>
      </c>
      <c r="G3111" s="6" t="n">
        <v>1</v>
      </c>
      <c r="H3111" s="6" t="n">
        <v>-627.1501500000001</v>
      </c>
      <c r="I3111" s="7">
        <f>-H3111/G3111</f>
        <v/>
      </c>
      <c r="J3111" s="5" t="n"/>
      <c r="K3111" s="6" t="n"/>
      <c r="L3111" s="6" t="n"/>
      <c r="M3111" s="7">
        <f>IF(N3111=0,+L3111+H3111,0)</f>
        <v/>
      </c>
      <c r="N3111" s="7">
        <f>IF((+G3111-K3111)=0,0,+G3111-K3111)</f>
        <v/>
      </c>
      <c r="O3111" s="7">
        <f>IF(N3111=0,0,(L3111+H3111)/-N3111)</f>
        <v/>
      </c>
      <c r="P3111" s="7">
        <f>VLOOKUP(OPERAC[[#This Row],[especie]],[1]!ESPECIES[#All],6,0)</f>
        <v/>
      </c>
      <c r="Q3111" s="7">
        <f>IF(N3111&lt;&gt;0,P3111*N3111,0)</f>
        <v/>
      </c>
      <c r="R3111" s="8">
        <f>IF(Q3111&lt;&gt;0,Q3111+H3111+L3111,0)</f>
        <v/>
      </c>
      <c r="S3111" s="9">
        <f>VLOOKUP(OPERAC[[#This Row],[especie]],[1]!ESPECIES[#Data],9,FALSE)</f>
        <v/>
      </c>
    </row>
    <row r="3112">
      <c r="A3112" s="4" t="n">
        <v>1760</v>
      </c>
      <c r="B3112" s="5" t="n">
        <v>44725</v>
      </c>
      <c r="C3112" s="13" t="inlineStr">
        <is>
          <t>VTA</t>
        </is>
      </c>
      <c r="D3112" s="13" t="n">
        <v>40</v>
      </c>
      <c r="E3112" s="10">
        <f>IF(D3112&gt;0,VLOOKUP(OPERAC[[#This Row],[COD CART]],[1]!MatrizCortoLargoCyl[#All],3,0),"")</f>
        <v/>
      </c>
      <c r="F3112" s="13" t="inlineStr">
        <is>
          <t>MELI</t>
        </is>
      </c>
      <c r="G3112" s="6" t="n">
        <v>1</v>
      </c>
      <c r="H3112" s="6" t="n">
        <v>-628.39635</v>
      </c>
      <c r="I3112" s="7">
        <f>-H3112/G3112</f>
        <v/>
      </c>
      <c r="J3112" s="5" t="n"/>
      <c r="K3112" s="6" t="n"/>
      <c r="L3112" s="6" t="n"/>
      <c r="M3112" s="7">
        <f>IF(N3112=0,+L3112+H3112,0)</f>
        <v/>
      </c>
      <c r="N3112" s="7">
        <f>IF((+G3112-K3112)=0,0,+G3112-K3112)</f>
        <v/>
      </c>
      <c r="O3112" s="7">
        <f>IF(N3112=0,0,(L3112+H3112)/-N3112)</f>
        <v/>
      </c>
      <c r="P3112" s="7">
        <f>VLOOKUP(OPERAC[[#This Row],[especie]],[1]!ESPECIES[#All],6,0)</f>
        <v/>
      </c>
      <c r="Q3112" s="7">
        <f>IF(N3112&lt;&gt;0,P3112*N3112,0)</f>
        <v/>
      </c>
      <c r="R3112" s="8">
        <f>IF(Q3112&lt;&gt;0,Q3112+H3112+L3112,0)</f>
        <v/>
      </c>
      <c r="S3112" s="9">
        <f>VLOOKUP(OPERAC[[#This Row],[especie]],[1]!ESPECIES[#Data],9,FALSE)</f>
        <v/>
      </c>
    </row>
    <row r="3113">
      <c r="A3113" s="4" t="n">
        <v>3853</v>
      </c>
      <c r="B3113" s="5" t="n">
        <v>44725</v>
      </c>
      <c r="C3113" s="13" t="inlineStr">
        <is>
          <t>VTA</t>
        </is>
      </c>
      <c r="D3113" s="13" t="n">
        <v>40</v>
      </c>
      <c r="E3113" s="10">
        <f>IF(D3113&gt;0,VLOOKUP(OPERAC[[#This Row],[COD CART]],[1]!MatrizCortoLargoCyl[#All],3,0),"")</f>
        <v/>
      </c>
      <c r="F3113" s="13" t="inlineStr">
        <is>
          <t>MELI</t>
        </is>
      </c>
      <c r="G3113" s="6" t="n">
        <v>1</v>
      </c>
      <c r="H3113" s="6" t="n">
        <v>-628.39635</v>
      </c>
      <c r="I3113" s="7">
        <f>-H3113/G3113</f>
        <v/>
      </c>
      <c r="J3113" s="5" t="n"/>
      <c r="K3113" s="6" t="n"/>
      <c r="L3113" s="6" t="n"/>
      <c r="M3113" s="7">
        <f>IF(N3113=0,+L3113+H3113,0)</f>
        <v/>
      </c>
      <c r="N3113" s="7">
        <f>IF((+G3113-K3113)=0,0,+G3113-K3113)</f>
        <v/>
      </c>
      <c r="O3113" s="7">
        <f>IF(N3113=0,0,(L3113+H3113)/-N3113)</f>
        <v/>
      </c>
      <c r="P3113" s="7">
        <f>VLOOKUP(OPERAC[[#This Row],[especie]],[1]!ESPECIES[#All],6,0)</f>
        <v/>
      </c>
      <c r="Q3113" s="7">
        <f>IF(N3113&lt;&gt;0,P3113*N3113,0)</f>
        <v/>
      </c>
      <c r="R3113" s="8">
        <f>IF(Q3113&lt;&gt;0,Q3113+H3113+L3113,0)</f>
        <v/>
      </c>
      <c r="S3113" s="9">
        <f>VLOOKUP(OPERAC[[#This Row],[especie]],[1]!ESPECIES[#Data],9,FALSE)</f>
        <v/>
      </c>
    </row>
    <row r="3114">
      <c r="A3114" s="4" t="n">
        <v>12022</v>
      </c>
      <c r="B3114" s="5" t="n">
        <v>44725</v>
      </c>
      <c r="C3114" s="13" t="inlineStr">
        <is>
          <t>VTA</t>
        </is>
      </c>
      <c r="D3114" s="13" t="n">
        <v>40</v>
      </c>
      <c r="E3114" s="10">
        <f>IF(D3114&gt;0,VLOOKUP(OPERAC[[#This Row],[COD CART]],[1]!MatrizCortoLargoCyl[#All],3,0),"")</f>
        <v/>
      </c>
      <c r="F3114" s="13" t="inlineStr">
        <is>
          <t>MELI</t>
        </is>
      </c>
      <c r="G3114" s="6" t="n">
        <v>1</v>
      </c>
      <c r="H3114" s="6" t="n">
        <v>-628.39635</v>
      </c>
      <c r="I3114" s="7">
        <f>-H3114/G3114</f>
        <v/>
      </c>
      <c r="J3114" s="5" t="n"/>
      <c r="K3114" s="6" t="n"/>
      <c r="L3114" s="6" t="n"/>
      <c r="M3114" s="7">
        <f>IF(N3114=0,+L3114+H3114,0)</f>
        <v/>
      </c>
      <c r="N3114" s="7">
        <f>IF((+G3114-K3114)=0,0,+G3114-K3114)</f>
        <v/>
      </c>
      <c r="O3114" s="7">
        <f>IF(N3114=0,0,(L3114+H3114)/-N3114)</f>
        <v/>
      </c>
      <c r="P3114" s="7">
        <f>VLOOKUP(OPERAC[[#This Row],[especie]],[1]!ESPECIES[#All],6,0)</f>
        <v/>
      </c>
      <c r="Q3114" s="7">
        <f>IF(N3114&lt;&gt;0,P3114*N3114,0)</f>
        <v/>
      </c>
      <c r="R3114" s="8">
        <f>IF(Q3114&lt;&gt;0,Q3114+H3114+L3114,0)</f>
        <v/>
      </c>
      <c r="S3114" s="9">
        <f>VLOOKUP(OPERAC[[#This Row],[especie]],[1]!ESPECIES[#Data],9,FALSE)</f>
        <v/>
      </c>
    </row>
    <row r="3115">
      <c r="A3115" s="4" t="n">
        <v>16786</v>
      </c>
      <c r="B3115" s="5" t="n">
        <v>44725</v>
      </c>
      <c r="C3115" s="13" t="inlineStr">
        <is>
          <t>VTA</t>
        </is>
      </c>
      <c r="D3115" s="13" t="n">
        <v>40</v>
      </c>
      <c r="E3115" s="10">
        <f>IF(D3115&gt;0,VLOOKUP(OPERAC[[#This Row],[COD CART]],[1]!MatrizCortoLargoCyl[#All],3,0),"")</f>
        <v/>
      </c>
      <c r="F3115" s="13" t="inlineStr">
        <is>
          <t>MELI</t>
        </is>
      </c>
      <c r="G3115" s="6" t="n">
        <v>1</v>
      </c>
      <c r="H3115" s="6" t="n">
        <v>-628.39635</v>
      </c>
      <c r="I3115" s="7">
        <f>-H3115/G3115</f>
        <v/>
      </c>
      <c r="J3115" s="5" t="n"/>
      <c r="K3115" s="6" t="n"/>
      <c r="L3115" s="6" t="n"/>
      <c r="M3115" s="7">
        <f>IF(N3115=0,+L3115+H3115,0)</f>
        <v/>
      </c>
      <c r="N3115" s="7">
        <f>IF((+G3115-K3115)=0,0,+G3115-K3115)</f>
        <v/>
      </c>
      <c r="O3115" s="7">
        <f>IF(N3115=0,0,(L3115+H3115)/-N3115)</f>
        <v/>
      </c>
      <c r="P3115" s="7">
        <f>VLOOKUP(OPERAC[[#This Row],[especie]],[1]!ESPECIES[#All],6,0)</f>
        <v/>
      </c>
      <c r="Q3115" s="7">
        <f>IF(N3115&lt;&gt;0,P3115*N3115,0)</f>
        <v/>
      </c>
      <c r="R3115" s="8">
        <f>IF(Q3115&lt;&gt;0,Q3115+H3115+L3115,0)</f>
        <v/>
      </c>
      <c r="S3115" s="9">
        <f>VLOOKUP(OPERAC[[#This Row],[especie]],[1]!ESPECIES[#Data],9,FALSE)</f>
        <v/>
      </c>
    </row>
    <row r="3116">
      <c r="A3116" s="4" t="n">
        <v>18651</v>
      </c>
      <c r="B3116" s="5" t="n">
        <v>44725</v>
      </c>
      <c r="C3116" s="13" t="inlineStr">
        <is>
          <t>VTA</t>
        </is>
      </c>
      <c r="D3116" s="13" t="n">
        <v>40</v>
      </c>
      <c r="E3116" s="10">
        <f>IF(D3116&gt;0,VLOOKUP(OPERAC[[#This Row],[COD CART]],[1]!MatrizCortoLargoCyl[#All],3,0),"")</f>
        <v/>
      </c>
      <c r="F3116" s="13" t="inlineStr">
        <is>
          <t>MELI</t>
        </is>
      </c>
      <c r="G3116" s="6" t="n">
        <v>1</v>
      </c>
      <c r="H3116" s="6" t="n">
        <v>-628.39635</v>
      </c>
      <c r="I3116" s="7">
        <f>-H3116/G3116</f>
        <v/>
      </c>
      <c r="J3116" s="5" t="n"/>
      <c r="K3116" s="6" t="n"/>
      <c r="L3116" s="6" t="n"/>
      <c r="M3116" s="7">
        <f>IF(N3116=0,+L3116+H3116,0)</f>
        <v/>
      </c>
      <c r="N3116" s="7">
        <f>IF((+G3116-K3116)=0,0,+G3116-K3116)</f>
        <v/>
      </c>
      <c r="O3116" s="7">
        <f>IF(N3116=0,0,(L3116+H3116)/-N3116)</f>
        <v/>
      </c>
      <c r="P3116" s="7">
        <f>VLOOKUP(OPERAC[[#This Row],[especie]],[1]!ESPECIES[#All],6,0)</f>
        <v/>
      </c>
      <c r="Q3116" s="7">
        <f>IF(N3116&lt;&gt;0,P3116*N3116,0)</f>
        <v/>
      </c>
      <c r="R3116" s="8">
        <f>IF(Q3116&lt;&gt;0,Q3116+H3116+L3116,0)</f>
        <v/>
      </c>
      <c r="S3116" s="9">
        <f>VLOOKUP(OPERAC[[#This Row],[especie]],[1]!ESPECIES[#Data],9,FALSE)</f>
        <v/>
      </c>
    </row>
    <row r="3117">
      <c r="A3117" s="4" t="n">
        <v>10079</v>
      </c>
      <c r="B3117" s="5" t="n">
        <v>44725</v>
      </c>
      <c r="C3117" s="13" t="inlineStr">
        <is>
          <t>VTA</t>
        </is>
      </c>
      <c r="D3117" s="13" t="n">
        <v>40</v>
      </c>
      <c r="E3117" s="10">
        <f>IF(D3117&gt;0,VLOOKUP(OPERAC[[#This Row],[COD CART]],[1]!MatrizCortoLargoCyl[#All],3,0),"")</f>
        <v/>
      </c>
      <c r="F3117" s="13" t="inlineStr">
        <is>
          <t>MELI</t>
        </is>
      </c>
      <c r="G3117" s="6" t="n">
        <v>1</v>
      </c>
      <c r="H3117" s="6" t="n">
        <v>-628.39635</v>
      </c>
      <c r="I3117" s="7">
        <f>-H3117/G3117</f>
        <v/>
      </c>
      <c r="J3117" s="5" t="n"/>
      <c r="K3117" s="6" t="n"/>
      <c r="L3117" s="6" t="n"/>
      <c r="M3117" s="7">
        <f>IF(N3117=0,+L3117+H3117,0)</f>
        <v/>
      </c>
      <c r="N3117" s="7">
        <f>IF((+G3117-K3117)=0,0,+G3117-K3117)</f>
        <v/>
      </c>
      <c r="O3117" s="7">
        <f>IF(N3117=0,0,(L3117+H3117)/-N3117)</f>
        <v/>
      </c>
      <c r="P3117" s="7">
        <f>VLOOKUP(OPERAC[[#This Row],[especie]],[1]!ESPECIES[#All],6,0)</f>
        <v/>
      </c>
      <c r="Q3117" s="7">
        <f>IF(N3117&lt;&gt;0,P3117*N3117,0)</f>
        <v/>
      </c>
      <c r="R3117" s="8">
        <f>IF(Q3117&lt;&gt;0,Q3117+H3117+L3117,0)</f>
        <v/>
      </c>
      <c r="S3117" s="9">
        <f>VLOOKUP(OPERAC[[#This Row],[especie]],[1]!ESPECIES[#Data],9,FALSE)</f>
        <v/>
      </c>
    </row>
    <row r="3118">
      <c r="A3118" s="4" t="n">
        <v>13253</v>
      </c>
      <c r="B3118" s="5" t="n">
        <v>44572</v>
      </c>
      <c r="C3118" s="13" t="inlineStr">
        <is>
          <t>VTA</t>
        </is>
      </c>
      <c r="D3118" s="13" t="n">
        <v>41</v>
      </c>
      <c r="E3118" s="10">
        <f>IF(D3118&gt;0,VLOOKUP(OPERAC[[#This Row],[COD CART]],[1]!MatrizCortoLargoCyl[#All],3,0),"")</f>
        <v/>
      </c>
      <c r="F3118" s="13" t="inlineStr">
        <is>
          <t>TLRY</t>
        </is>
      </c>
      <c r="G3118" s="6" t="n">
        <v>100</v>
      </c>
      <c r="H3118" s="6">
        <f>-719.736+48.55+25.734+15.864</f>
        <v/>
      </c>
      <c r="I3118" s="7">
        <f>-H3118/G3118</f>
        <v/>
      </c>
      <c r="J3118" s="11" t="n"/>
      <c r="K3118" s="6" t="n"/>
      <c r="L3118" s="6" t="n"/>
      <c r="M3118" s="7">
        <f>IF(N3118=0,+L3118+H3118,0)</f>
        <v/>
      </c>
      <c r="N3118" s="7">
        <f>IF((+G3118-K3118)=0,0,+G3118-K3118)</f>
        <v/>
      </c>
      <c r="O3118" s="7">
        <f>IF(N3118=0,0,(L3118+H3118)/-N3118)</f>
        <v/>
      </c>
      <c r="P3118" s="7">
        <f>VLOOKUP(OPERAC[[#This Row],[especie]],[1]!ESPECIES[#All],6,0)</f>
        <v/>
      </c>
      <c r="Q3118" s="7">
        <f>IF(N3118&lt;&gt;0,P3118*N3118,0)</f>
        <v/>
      </c>
      <c r="R3118" s="8">
        <f>IF(Q3118&lt;&gt;0,Q3118+H3118+L3118,0)</f>
        <v/>
      </c>
      <c r="S3118" s="9">
        <f>VLOOKUP(OPERAC[[#This Row],[especie]],[1]!ESPECIES[#Data],9,FALSE)</f>
        <v/>
      </c>
    </row>
    <row r="3119">
      <c r="A3119" s="4" t="n">
        <v>18703</v>
      </c>
      <c r="B3119" s="5" t="n">
        <v>44721</v>
      </c>
      <c r="C3119" s="13" t="inlineStr">
        <is>
          <t>VTA</t>
        </is>
      </c>
      <c r="D3119" s="13" t="n">
        <v>32</v>
      </c>
      <c r="E3119" s="10">
        <f>IF(D3119&gt;0,VLOOKUP(OPERAC[[#This Row],[COD CART]],[1]!MatrizCortoLargoCyl[#All],3,0),"")</f>
        <v/>
      </c>
      <c r="F3119" s="13" t="inlineStr">
        <is>
          <t>SESN/CYL/1,00/18-11-22</t>
        </is>
      </c>
      <c r="G3119" s="6" t="n">
        <v>1000</v>
      </c>
      <c r="H3119" s="6" t="n">
        <v>-630</v>
      </c>
      <c r="I3119" s="7">
        <f>-H3119/G3119</f>
        <v/>
      </c>
      <c r="J3119" s="5" t="n"/>
      <c r="K3119" s="6" t="n"/>
      <c r="L3119" s="6" t="n"/>
      <c r="M3119" s="7">
        <f>IF(N3119=0,+L3119+H3119,0)</f>
        <v/>
      </c>
      <c r="N3119" s="7">
        <f>IF((+G3119-K3119)=0,0,+G3119-K3119)</f>
        <v/>
      </c>
      <c r="O3119" s="7">
        <f>IF(N3119=0,0,(L3119+H3119)/-N3119)</f>
        <v/>
      </c>
      <c r="P3119" s="7">
        <f>VLOOKUP(OPERAC[[#This Row],[especie]],[1]!ESPECIES[#All],6,0)</f>
        <v/>
      </c>
      <c r="Q3119" s="7">
        <f>IF(N3119&lt;&gt;0,P3119*N3119,0)</f>
        <v/>
      </c>
      <c r="R3119" s="8">
        <f>IF(Q3119&lt;&gt;0,Q3119+H3119+L3119,0)</f>
        <v/>
      </c>
      <c r="S3119" s="9">
        <f>VLOOKUP(OPERAC[[#This Row],[especie]],[1]!ESPECIES[#Data],9,FALSE)</f>
        <v/>
      </c>
    </row>
    <row r="3120">
      <c r="A3120" s="4" t="n">
        <v>12627</v>
      </c>
      <c r="B3120" s="5" t="n">
        <v>44721</v>
      </c>
      <c r="C3120" s="13" t="inlineStr">
        <is>
          <t>VTA</t>
        </is>
      </c>
      <c r="D3120" s="13" t="n">
        <v>32</v>
      </c>
      <c r="E3120" s="10">
        <f>IF(D3120&gt;0,VLOOKUP(OPERAC[[#This Row],[COD CART]],[1]!MatrizCortoLargoCyl[#All],3,0),"")</f>
        <v/>
      </c>
      <c r="F3120" s="13" t="inlineStr">
        <is>
          <t>SESN/CYL/1,00/18-11-22</t>
        </is>
      </c>
      <c r="G3120" s="6" t="n">
        <v>1000</v>
      </c>
      <c r="H3120" s="6" t="n">
        <v>-630</v>
      </c>
      <c r="I3120" s="7">
        <f>-H3120/G3120</f>
        <v/>
      </c>
      <c r="J3120" s="5" t="n"/>
      <c r="K3120" s="6" t="n"/>
      <c r="L3120" s="6" t="n"/>
      <c r="M3120" s="7">
        <f>IF(N3120=0,+L3120+H3120,0)</f>
        <v/>
      </c>
      <c r="N3120" s="7">
        <f>IF((+G3120-K3120)=0,0,+G3120-K3120)</f>
        <v/>
      </c>
      <c r="O3120" s="7">
        <f>IF(N3120=0,0,(L3120+H3120)/-N3120)</f>
        <v/>
      </c>
      <c r="P3120" s="7">
        <f>VLOOKUP(OPERAC[[#This Row],[especie]],[1]!ESPECIES[#All],6,0)</f>
        <v/>
      </c>
      <c r="Q3120" s="7">
        <f>IF(N3120&lt;&gt;0,P3120*N3120,0)</f>
        <v/>
      </c>
      <c r="R3120" s="8">
        <f>IF(Q3120&lt;&gt;0,Q3120+H3120+L3120,0)</f>
        <v/>
      </c>
      <c r="S3120" s="9">
        <f>VLOOKUP(OPERAC[[#This Row],[especie]],[1]!ESPECIES[#Data],9,FALSE)</f>
        <v/>
      </c>
    </row>
    <row r="3121">
      <c r="A3121" s="4" t="n">
        <v>7919</v>
      </c>
      <c r="B3121" s="5" t="n">
        <v>44721</v>
      </c>
      <c r="C3121" s="13" t="inlineStr">
        <is>
          <t>VTA</t>
        </is>
      </c>
      <c r="D3121" s="13" t="n">
        <v>32</v>
      </c>
      <c r="E3121" s="10">
        <f>IF(D3121&gt;0,VLOOKUP(OPERAC[[#This Row],[COD CART]],[1]!MatrizCortoLargoCyl[#All],3,0),"")</f>
        <v/>
      </c>
      <c r="F3121" s="13" t="inlineStr">
        <is>
          <t>SESN/CYL/1,00/18-11-22</t>
        </is>
      </c>
      <c r="G3121" s="6" t="n">
        <v>1000</v>
      </c>
      <c r="H3121" s="6" t="n">
        <v>-630</v>
      </c>
      <c r="I3121" s="7">
        <f>-H3121/G3121</f>
        <v/>
      </c>
      <c r="J3121" s="5" t="n"/>
      <c r="K3121" s="6" t="n"/>
      <c r="L3121" s="6" t="n"/>
      <c r="M3121" s="7">
        <f>IF(N3121=0,+L3121+H3121,0)</f>
        <v/>
      </c>
      <c r="N3121" s="7">
        <f>IF((+G3121-K3121)=0,0,+G3121-K3121)</f>
        <v/>
      </c>
      <c r="O3121" s="7">
        <f>IF(N3121=0,0,(L3121+H3121)/-N3121)</f>
        <v/>
      </c>
      <c r="P3121" s="7">
        <f>VLOOKUP(OPERAC[[#This Row],[especie]],[1]!ESPECIES[#All],6,0)</f>
        <v/>
      </c>
      <c r="Q3121" s="7">
        <f>IF(N3121&lt;&gt;0,P3121*N3121,0)</f>
        <v/>
      </c>
      <c r="R3121" s="8">
        <f>IF(Q3121&lt;&gt;0,Q3121+H3121+L3121,0)</f>
        <v/>
      </c>
      <c r="S3121" s="9">
        <f>VLOOKUP(OPERAC[[#This Row],[especie]],[1]!ESPECIES[#Data],9,FALSE)</f>
        <v/>
      </c>
    </row>
    <row r="3122">
      <c r="A3122" s="4" t="n">
        <v>18697</v>
      </c>
      <c r="B3122" s="5" t="n">
        <v>44721</v>
      </c>
      <c r="C3122" s="13" t="inlineStr">
        <is>
          <t>VTA</t>
        </is>
      </c>
      <c r="D3122" s="13" t="n">
        <v>32</v>
      </c>
      <c r="E3122" s="10">
        <f>IF(D3122&gt;0,VLOOKUP(OPERAC[[#This Row],[COD CART]],[1]!MatrizCortoLargoCyl[#All],3,0),"")</f>
        <v/>
      </c>
      <c r="F3122" s="13" t="inlineStr">
        <is>
          <t>SESN/CYL/1,00/18-11-22</t>
        </is>
      </c>
      <c r="G3122" s="6" t="n">
        <v>1000</v>
      </c>
      <c r="H3122" s="6" t="n">
        <v>-630</v>
      </c>
      <c r="I3122" s="7">
        <f>-H3122/G3122</f>
        <v/>
      </c>
      <c r="J3122" s="5" t="n"/>
      <c r="K3122" s="6" t="n"/>
      <c r="L3122" s="6" t="n"/>
      <c r="M3122" s="7">
        <f>IF(N3122=0,+L3122+H3122,0)</f>
        <v/>
      </c>
      <c r="N3122" s="7">
        <f>IF((+G3122-K3122)=0,0,+G3122-K3122)</f>
        <v/>
      </c>
      <c r="O3122" s="7">
        <f>IF(N3122=0,0,(L3122+H3122)/-N3122)</f>
        <v/>
      </c>
      <c r="P3122" s="7">
        <f>VLOOKUP(OPERAC[[#This Row],[especie]],[1]!ESPECIES[#All],6,0)</f>
        <v/>
      </c>
      <c r="Q3122" s="7">
        <f>IF(N3122&lt;&gt;0,P3122*N3122,0)</f>
        <v/>
      </c>
      <c r="R3122" s="8">
        <f>IF(Q3122&lt;&gt;0,Q3122+H3122+L3122,0)</f>
        <v/>
      </c>
      <c r="S3122" s="9">
        <f>VLOOKUP(OPERAC[[#This Row],[especie]],[1]!ESPECIES[#Data],9,FALSE)</f>
        <v/>
      </c>
    </row>
    <row r="3123">
      <c r="A3123" s="4" t="n">
        <v>2305</v>
      </c>
      <c r="B3123" s="5" t="n">
        <v>44704</v>
      </c>
      <c r="C3123" s="13" t="inlineStr">
        <is>
          <t>VTA</t>
        </is>
      </c>
      <c r="D3123" s="13" t="n">
        <v>32</v>
      </c>
      <c r="E3123" s="10">
        <f>IF(D3123&gt;0,VLOOKUP(OPERAC[[#This Row],[COD CART]],[1]!MatrizCortoLargoCyl[#All],3,0),"")</f>
        <v/>
      </c>
      <c r="F3123" s="13" t="inlineStr">
        <is>
          <t>COTY/CYL/8,00/24-06-22</t>
        </is>
      </c>
      <c r="G3123" s="6" t="n">
        <v>100</v>
      </c>
      <c r="H3123" s="6" t="n">
        <v>-630.885</v>
      </c>
      <c r="I3123" s="7">
        <f>-H3123/G3123</f>
        <v/>
      </c>
      <c r="J3123" s="5" t="n"/>
      <c r="K3123" s="6" t="n"/>
      <c r="L3123" s="6" t="n"/>
      <c r="M3123" s="7">
        <f>IF(N3123=0,+L3123+H3123,0)</f>
        <v/>
      </c>
      <c r="N3123" s="7">
        <f>IF((+G3123-K3123)=0,0,+G3123-K3123)</f>
        <v/>
      </c>
      <c r="O3123" s="7">
        <f>IF(N3123=0,0,(L3123+H3123)/-N3123)</f>
        <v/>
      </c>
      <c r="P3123" s="7">
        <f>VLOOKUP(OPERAC[[#This Row],[especie]],[1]!ESPECIES[#All],6,0)</f>
        <v/>
      </c>
      <c r="Q3123" s="7">
        <f>IF(N3123&lt;&gt;0,P3123*N3123,0)</f>
        <v/>
      </c>
      <c r="R3123" s="8">
        <f>IF(Q3123&lt;&gt;0,Q3123+H3123+L3123,0)</f>
        <v/>
      </c>
      <c r="S3123" s="9">
        <f>VLOOKUP(OPERAC[[#This Row],[especie]],[1]!ESPECIES[#Data],9,FALSE)</f>
        <v/>
      </c>
    </row>
    <row r="3124">
      <c r="A3124" s="4" t="n">
        <v>4543</v>
      </c>
      <c r="B3124" s="5" t="n">
        <v>44704</v>
      </c>
      <c r="C3124" s="13" t="inlineStr">
        <is>
          <t>VTA</t>
        </is>
      </c>
      <c r="D3124" s="13" t="n">
        <v>32</v>
      </c>
      <c r="E3124" s="10">
        <f>IF(D3124&gt;0,VLOOKUP(OPERAC[[#This Row],[COD CART]],[1]!MatrizCortoLargoCyl[#All],3,0),"")</f>
        <v/>
      </c>
      <c r="F3124" s="13" t="inlineStr">
        <is>
          <t>COTY/CYL/8,00/24-06-22</t>
        </is>
      </c>
      <c r="G3124" s="6" t="n">
        <v>100</v>
      </c>
      <c r="H3124" s="6" t="n">
        <v>-630.885</v>
      </c>
      <c r="I3124" s="7">
        <f>-H3124/G3124</f>
        <v/>
      </c>
      <c r="J3124" s="5" t="n"/>
      <c r="K3124" s="6" t="n"/>
      <c r="L3124" s="6" t="n"/>
      <c r="M3124" s="7">
        <f>IF(N3124=0,+L3124+H3124,0)</f>
        <v/>
      </c>
      <c r="N3124" s="7">
        <f>IF((+G3124-K3124)=0,0,+G3124-K3124)</f>
        <v/>
      </c>
      <c r="O3124" s="7">
        <f>IF(N3124=0,0,(L3124+H3124)/-N3124)</f>
        <v/>
      </c>
      <c r="P3124" s="7">
        <f>VLOOKUP(OPERAC[[#This Row],[especie]],[1]!ESPECIES[#All],6,0)</f>
        <v/>
      </c>
      <c r="Q3124" s="7">
        <f>IF(N3124&lt;&gt;0,P3124*N3124,0)</f>
        <v/>
      </c>
      <c r="R3124" s="8">
        <f>IF(Q3124&lt;&gt;0,Q3124+H3124+L3124,0)</f>
        <v/>
      </c>
      <c r="S3124" s="9">
        <f>VLOOKUP(OPERAC[[#This Row],[especie]],[1]!ESPECIES[#Data],9,FALSE)</f>
        <v/>
      </c>
    </row>
    <row r="3125">
      <c r="A3125" s="4" t="n">
        <v>6628</v>
      </c>
      <c r="B3125" s="5" t="n">
        <v>44704</v>
      </c>
      <c r="C3125" s="13" t="inlineStr">
        <is>
          <t>VTA</t>
        </is>
      </c>
      <c r="D3125" s="13" t="n">
        <v>32</v>
      </c>
      <c r="E3125" s="10">
        <f>IF(D3125&gt;0,VLOOKUP(OPERAC[[#This Row],[COD CART]],[1]!MatrizCortoLargoCyl[#All],3,0),"")</f>
        <v/>
      </c>
      <c r="F3125" s="13" t="inlineStr">
        <is>
          <t>COTY/CYL/8,00/24-06-22</t>
        </is>
      </c>
      <c r="G3125" s="6" t="n">
        <v>100</v>
      </c>
      <c r="H3125" s="6" t="n">
        <v>-630.885</v>
      </c>
      <c r="I3125" s="7">
        <f>-H3125/G3125</f>
        <v/>
      </c>
      <c r="J3125" s="5" t="n"/>
      <c r="K3125" s="6" t="n"/>
      <c r="L3125" s="6" t="n"/>
      <c r="M3125" s="7">
        <f>IF(N3125=0,+L3125+H3125,0)</f>
        <v/>
      </c>
      <c r="N3125" s="7">
        <f>IF((+G3125-K3125)=0,0,+G3125-K3125)</f>
        <v/>
      </c>
      <c r="O3125" s="7">
        <f>IF(N3125=0,0,(L3125+H3125)/-N3125)</f>
        <v/>
      </c>
      <c r="P3125" s="7">
        <f>VLOOKUP(OPERAC[[#This Row],[especie]],[1]!ESPECIES[#All],6,0)</f>
        <v/>
      </c>
      <c r="Q3125" s="7">
        <f>IF(N3125&lt;&gt;0,P3125*N3125,0)</f>
        <v/>
      </c>
      <c r="R3125" s="8">
        <f>IF(Q3125&lt;&gt;0,Q3125+H3125+L3125,0)</f>
        <v/>
      </c>
      <c r="S3125" s="9">
        <f>VLOOKUP(OPERAC[[#This Row],[especie]],[1]!ESPECIES[#Data],9,FALSE)</f>
        <v/>
      </c>
    </row>
    <row r="3126">
      <c r="A3126" s="4" t="n">
        <v>18663</v>
      </c>
      <c r="B3126" s="5" t="n">
        <v>44057</v>
      </c>
      <c r="C3126" s="13" t="inlineStr">
        <is>
          <t>VTA</t>
        </is>
      </c>
      <c r="D3126" s="13" t="n">
        <v>41</v>
      </c>
      <c r="E3126" s="10">
        <f>IF(D3126&gt;0,VLOOKUP(OPERAC[[#This Row],[COD CART]],[1]!MatrizCortoLargoCyl[#All],3,0),"")</f>
        <v/>
      </c>
      <c r="F3126" s="13" t="inlineStr">
        <is>
          <t>LTC</t>
        </is>
      </c>
      <c r="G3126" s="6" t="n">
        <v>15</v>
      </c>
      <c r="H3126" s="6" t="n">
        <v>-631</v>
      </c>
      <c r="I3126" s="7">
        <f>-H3126/G3126</f>
        <v/>
      </c>
      <c r="J3126" s="5" t="n"/>
      <c r="K3126" s="6" t="n"/>
      <c r="L3126" s="6" t="n"/>
      <c r="M3126" s="7">
        <f>IF(N3126=0,+L3126+H3126,0)</f>
        <v/>
      </c>
      <c r="N3126" s="7">
        <f>IF((+G3126-K3126)=0,0,+G3126-K3126)</f>
        <v/>
      </c>
      <c r="O3126" s="7">
        <f>IF(N3126=0,0,(L3126+H3126)/-N3126)</f>
        <v/>
      </c>
      <c r="P3126" s="7">
        <f>VLOOKUP(OPERAC[[#This Row],[especie]],[1]!ESPECIES[#All],6,0)</f>
        <v/>
      </c>
      <c r="Q3126" s="7">
        <f>IF(N3126&lt;&gt;0,P3126*N3126,0)</f>
        <v/>
      </c>
      <c r="R3126" s="8">
        <f>IF(Q3126&lt;&gt;0,Q3126+H3126+L3126,0)</f>
        <v/>
      </c>
      <c r="S3126" s="9">
        <f>VLOOKUP(OPERAC[[#This Row],[especie]],[1]!ESPECIES[#Data],9,FALSE)</f>
        <v/>
      </c>
    </row>
    <row r="3127">
      <c r="A3127" s="4" t="n">
        <v>9195</v>
      </c>
      <c r="B3127" s="5" t="n">
        <v>44607</v>
      </c>
      <c r="C3127" s="13" t="inlineStr">
        <is>
          <t>VTA</t>
        </is>
      </c>
      <c r="D3127" s="13" t="n">
        <v>43</v>
      </c>
      <c r="E3127" s="10">
        <f>IF(D3127&gt;0,VLOOKUP(OPERAC[[#This Row],[COD CART]],[1]!MatrizCortoLargoCyl[#All],3,0),"")</f>
        <v/>
      </c>
      <c r="F3127" s="13" t="inlineStr">
        <is>
          <t>SOLO/CYL-PUT/2,00/19-01-24</t>
        </is>
      </c>
      <c r="G3127" s="6" t="n">
        <v>2500</v>
      </c>
      <c r="H3127" s="6" t="n">
        <v>-631.05</v>
      </c>
      <c r="I3127" s="7">
        <f>-H3127/G3127</f>
        <v/>
      </c>
      <c r="J3127" s="11" t="n"/>
      <c r="K3127" s="6" t="n"/>
      <c r="L3127" s="6" t="n"/>
      <c r="M3127" s="7">
        <f>IF(N3127=0,+L3127+H3127,0)</f>
        <v/>
      </c>
      <c r="N3127" s="7">
        <f>IF((+G3127-K3127)=0,0,+G3127-K3127)</f>
        <v/>
      </c>
      <c r="O3127" s="7">
        <f>IF(N3127=0,0,(L3127+H3127)/-N3127)</f>
        <v/>
      </c>
      <c r="P3127" s="7">
        <f>VLOOKUP(OPERAC[[#This Row],[especie]],[1]!ESPECIES[#All],6,0)</f>
        <v/>
      </c>
      <c r="Q3127" s="7">
        <f>IF(N3127&lt;&gt;0,P3127*N3127,0)</f>
        <v/>
      </c>
      <c r="R3127" s="8">
        <f>IF(Q3127&lt;&gt;0,Q3127+H3127+L3127,0)</f>
        <v/>
      </c>
      <c r="S3127" s="9">
        <f>VLOOKUP(OPERAC[[#This Row],[especie]],[1]!ESPECIES[#Data],9,FALSE)</f>
        <v/>
      </c>
    </row>
    <row r="3128">
      <c r="A3128" s="4" t="n">
        <v>7493</v>
      </c>
      <c r="B3128" s="5" t="n">
        <v>44655</v>
      </c>
      <c r="C3128" s="13" t="inlineStr">
        <is>
          <t>VTA</t>
        </is>
      </c>
      <c r="D3128" s="13" t="n">
        <v>42</v>
      </c>
      <c r="E3128" s="10">
        <f>IF(D3128&gt;0,VLOOKUP(OPERAC[[#This Row],[COD CART]],[1]!MatrizCortoLargoCyl[#All],3,0),"")</f>
        <v/>
      </c>
      <c r="F3128" s="13" t="inlineStr">
        <is>
          <t>MSFT</t>
        </is>
      </c>
      <c r="G3128" s="6" t="n">
        <v>2</v>
      </c>
      <c r="H3128" s="6" t="n">
        <v>-632.77408</v>
      </c>
      <c r="I3128" s="7">
        <f>-H3128/G3128</f>
        <v/>
      </c>
      <c r="J3128" s="11" t="n">
        <v>44662</v>
      </c>
      <c r="K3128" s="6">
        <f>+OPERAC[[#This Row],[cantidad]]</f>
        <v/>
      </c>
      <c r="L3128" s="6">
        <f>287.546*OPERAC[[#This Row],[cantidad venta]]</f>
        <v/>
      </c>
      <c r="M3128" s="7">
        <f>IF(N3128=0,+L3128+H3128,0)</f>
        <v/>
      </c>
      <c r="N3128" s="7">
        <f>IF((+G3128-K3128)=0,0,+G3128-K3128)</f>
        <v/>
      </c>
      <c r="O3128" s="7">
        <f>IF(N3128=0,0,(L3128+H3128)/-N3128)</f>
        <v/>
      </c>
      <c r="P3128" s="7">
        <f>VLOOKUP(OPERAC[[#This Row],[especie]],[1]!ESPECIES[#All],6,0)</f>
        <v/>
      </c>
      <c r="Q3128" s="7">
        <f>IF(N3128&lt;&gt;0,P3128*N3128,0)</f>
        <v/>
      </c>
      <c r="R3128" s="8">
        <f>IF(Q3128&lt;&gt;0,Q3128+H3128+L3128,0)</f>
        <v/>
      </c>
      <c r="S3128" s="9">
        <f>VLOOKUP(OPERAC[[#This Row],[especie]],[1]!ESPECIES[#Data],9,FALSE)</f>
        <v/>
      </c>
    </row>
    <row r="3129">
      <c r="A3129" s="4" t="n">
        <v>22431</v>
      </c>
      <c r="B3129" s="5" t="n">
        <v>44698</v>
      </c>
      <c r="C3129" s="13" t="inlineStr">
        <is>
          <t>VTA</t>
        </is>
      </c>
      <c r="D3129" s="13" t="n">
        <v>32</v>
      </c>
      <c r="E3129" s="10">
        <f>IF(D3129&gt;0,VLOOKUP(OPERAC[[#This Row],[COD CART]],[1]!MatrizCortoLargoCyl[#All],3,0),"")</f>
        <v/>
      </c>
      <c r="F3129" s="13" t="inlineStr">
        <is>
          <t>UUUU/CYL/8,00/17-06-22</t>
        </is>
      </c>
      <c r="G3129" s="6" t="n">
        <v>100</v>
      </c>
      <c r="H3129" s="6" t="n">
        <v>-633.34</v>
      </c>
      <c r="I3129" s="7">
        <f>-H3129/G3129</f>
        <v/>
      </c>
      <c r="J3129" s="11" t="n"/>
      <c r="K3129" s="6" t="n"/>
      <c r="L3129" s="6" t="n"/>
      <c r="M3129" s="7">
        <f>IF(N3129=0,+L3129+H3129,0)</f>
        <v/>
      </c>
      <c r="N3129" s="7">
        <f>IF((+G3129-K3129)=0,0,+G3129-K3129)</f>
        <v/>
      </c>
      <c r="O3129" s="7">
        <f>IF(N3129=0,0,(L3129+H3129)/-N3129)</f>
        <v/>
      </c>
      <c r="P3129" s="7">
        <f>VLOOKUP(OPERAC[[#This Row],[especie]],[1]!ESPECIES[#All],6,0)</f>
        <v/>
      </c>
      <c r="Q3129" s="7">
        <f>IF(N3129&lt;&gt;0,P3129*N3129,0)</f>
        <v/>
      </c>
      <c r="R3129" s="8">
        <f>IF(Q3129&lt;&gt;0,Q3129+H3129+L3129,0)</f>
        <v/>
      </c>
      <c r="S3129" s="9">
        <f>VLOOKUP(OPERAC[[#This Row],[especie]],[1]!ESPECIES[#Data],9,FALSE)</f>
        <v/>
      </c>
    </row>
    <row r="3130">
      <c r="A3130" s="4" t="n">
        <v>16818</v>
      </c>
      <c r="B3130" s="5" t="n">
        <v>44641</v>
      </c>
      <c r="C3130" s="13" t="inlineStr">
        <is>
          <t>VTA</t>
        </is>
      </c>
      <c r="D3130" s="13" t="n">
        <v>42</v>
      </c>
      <c r="E3130" s="10">
        <f>IF(D3130&gt;0,VLOOKUP(OPERAC[[#This Row],[COD CART]],[1]!MatrizCortoLargoCyl[#All],3,0),"")</f>
        <v/>
      </c>
      <c r="F3130" s="13" t="inlineStr">
        <is>
          <t>FB</t>
        </is>
      </c>
      <c r="G3130" s="6" t="n">
        <v>3</v>
      </c>
      <c r="H3130" s="6" t="n">
        <v>-633.94362</v>
      </c>
      <c r="I3130" s="7">
        <f>-H3130/G3130</f>
        <v/>
      </c>
      <c r="J3130" s="11" t="n">
        <v>44671</v>
      </c>
      <c r="K3130" s="6">
        <f>+OPERAC[[#This Row],[cantidad]]</f>
        <v/>
      </c>
      <c r="L3130" s="6">
        <f>+OPERAC[[#This Row],[cantidad venta]]*213.173</f>
        <v/>
      </c>
      <c r="M3130" s="7">
        <f>IF(N3130=0,+L3130+H3130,0)</f>
        <v/>
      </c>
      <c r="N3130" s="7">
        <f>IF((+G3130-K3130)=0,0,+G3130-K3130)</f>
        <v/>
      </c>
      <c r="O3130" s="7">
        <f>IF(N3130=0,0,(L3130+H3130)/-N3130)</f>
        <v/>
      </c>
      <c r="P3130" s="7">
        <f>VLOOKUP(OPERAC[[#This Row],[especie]],[1]!ESPECIES[#All],6,0)</f>
        <v/>
      </c>
      <c r="Q3130" s="7">
        <f>IF(N3130&lt;&gt;0,P3130*N3130,0)</f>
        <v/>
      </c>
      <c r="R3130" s="8">
        <f>IF(Q3130&lt;&gt;0,Q3130+H3130+L3130,0)</f>
        <v/>
      </c>
      <c r="S3130" s="9">
        <f>VLOOKUP(OPERAC[[#This Row],[especie]],[1]!ESPECIES[#Data],9,FALSE)</f>
        <v/>
      </c>
    </row>
    <row r="3131">
      <c r="A3131" s="4" t="n">
        <v>12671</v>
      </c>
      <c r="B3131" s="5" t="n">
        <v>44680</v>
      </c>
      <c r="C3131" s="13" t="inlineStr">
        <is>
          <t>VTA</t>
        </is>
      </c>
      <c r="D3131" s="13" t="n">
        <v>42</v>
      </c>
      <c r="E3131" s="10">
        <f>IF(D3131&gt;0,VLOOKUP(OPERAC[[#This Row],[COD CART]],[1]!MatrizCortoLargoCyl[#All],3,0),"")</f>
        <v/>
      </c>
      <c r="F3131" s="14" t="inlineStr">
        <is>
          <t>XLP</t>
        </is>
      </c>
      <c r="G3131" s="6" t="n">
        <v>8</v>
      </c>
      <c r="H3131" s="6" t="n">
        <v>-634.21578</v>
      </c>
      <c r="I3131" s="7">
        <f>-H3131/G3131</f>
        <v/>
      </c>
      <c r="J3131" s="11" t="n">
        <v>44693</v>
      </c>
      <c r="K3131" s="6">
        <f>+OPERAC[[#This Row],[cantidad]]</f>
        <v/>
      </c>
      <c r="L3131" s="6">
        <f>+OPERAC[[#This Row],[cantidad venta]]*74.848</f>
        <v/>
      </c>
      <c r="M3131" s="7">
        <f>IF(N3131=0,+L3131+H3131,0)</f>
        <v/>
      </c>
      <c r="N3131" s="7">
        <f>IF((+G3131-K3131)=0,0,+G3131-K3131)</f>
        <v/>
      </c>
      <c r="O3131" s="7">
        <f>IF(N3131=0,0,(L3131+H3131)/-N3131)</f>
        <v/>
      </c>
      <c r="P3131" s="7">
        <f>VLOOKUP(OPERAC[[#This Row],[especie]],[1]!ESPECIES[#All],6,0)</f>
        <v/>
      </c>
      <c r="Q3131" s="7">
        <f>IF(N3131&lt;&gt;0,P3131*N3131,0)</f>
        <v/>
      </c>
      <c r="R3131" s="8">
        <f>IF(Q3131&lt;&gt;0,Q3131+H3131+L3131,0)</f>
        <v/>
      </c>
      <c r="S3131" s="9">
        <f>VLOOKUP(OPERAC[[#This Row],[especie]],[1]!ESPECIES[#Data],9,FALSE)</f>
        <v/>
      </c>
    </row>
    <row r="3132">
      <c r="A3132" s="4" t="n">
        <v>13268</v>
      </c>
      <c r="B3132" s="5" t="n">
        <v>44539</v>
      </c>
      <c r="C3132" s="13" t="inlineStr">
        <is>
          <t>VTA</t>
        </is>
      </c>
      <c r="D3132" s="13" t="n">
        <v>41</v>
      </c>
      <c r="E3132" s="10">
        <f>IF(D3132&gt;0,VLOOKUP(OPERAC[[#This Row],[COD CART]],[1]!MatrizCortoLargoCyl[#All],3,0),"")</f>
        <v/>
      </c>
      <c r="F3132" s="13" t="inlineStr">
        <is>
          <t>BABA</t>
        </is>
      </c>
      <c r="G3132" s="6" t="n">
        <v>5</v>
      </c>
      <c r="H3132" s="6" t="n">
        <v>-635.1327999999999</v>
      </c>
      <c r="I3132" s="7">
        <f>-H3132/G3132</f>
        <v/>
      </c>
      <c r="J3132" s="11" t="n">
        <v>44606</v>
      </c>
      <c r="K3132" s="6" t="n">
        <v>5</v>
      </c>
      <c r="L3132" s="6" t="n">
        <v>593.149</v>
      </c>
      <c r="M3132" s="7">
        <f>IF(N3132=0,+L3132+H3132,0)</f>
        <v/>
      </c>
      <c r="N3132" s="7">
        <f>IF((+G3132-K3132)=0,0,+G3132-K3132)</f>
        <v/>
      </c>
      <c r="O3132" s="7">
        <f>IF(N3132=0,0,(L3132+H3132)/-N3132)</f>
        <v/>
      </c>
      <c r="P3132" s="7">
        <f>VLOOKUP(OPERAC[[#This Row],[especie]],[1]!ESPECIES[#All],6,0)</f>
        <v/>
      </c>
      <c r="Q3132" s="7">
        <f>IF(N3132&lt;&gt;0,P3132*N3132,0)</f>
        <v/>
      </c>
      <c r="R3132" s="8">
        <f>IF(Q3132&lt;&gt;0,Q3132+H3132+L3132,0)</f>
        <v/>
      </c>
      <c r="S3132" s="9">
        <f>VLOOKUP(OPERAC[[#This Row],[especie]],[1]!ESPECIES[#Data],9,FALSE)</f>
        <v/>
      </c>
    </row>
    <row r="3133">
      <c r="A3133" s="4" t="n">
        <v>2203</v>
      </c>
      <c r="B3133" s="5" t="n">
        <v>44680</v>
      </c>
      <c r="C3133" s="13" t="inlineStr">
        <is>
          <t>VTA</t>
        </is>
      </c>
      <c r="D3133" s="13" t="n">
        <v>42</v>
      </c>
      <c r="E3133" s="10">
        <f>IF(D3133&gt;0,VLOOKUP(OPERAC[[#This Row],[COD CART]],[1]!MatrizCortoLargoCyl[#All],3,0),"")</f>
        <v/>
      </c>
      <c r="F3133" s="14" t="inlineStr">
        <is>
          <t>XLP</t>
        </is>
      </c>
      <c r="G3133" s="6" t="n">
        <v>8</v>
      </c>
      <c r="H3133" s="6" t="n">
        <v>-635.4760199999999</v>
      </c>
      <c r="I3133" s="7">
        <f>-H3133/G3133</f>
        <v/>
      </c>
      <c r="J3133" s="11" t="n">
        <v>44693</v>
      </c>
      <c r="K3133" s="6">
        <f>+OPERAC[[#This Row],[cantidad]]</f>
        <v/>
      </c>
      <c r="L3133" s="6">
        <f>+OPERAC[[#This Row],[cantidad venta]]*75.624</f>
        <v/>
      </c>
      <c r="M3133" s="7">
        <f>IF(N3133=0,+L3133+H3133,0)</f>
        <v/>
      </c>
      <c r="N3133" s="7">
        <f>IF((+G3133-K3133)=0,0,+G3133-K3133)</f>
        <v/>
      </c>
      <c r="O3133" s="7">
        <f>IF(N3133=0,0,(L3133+H3133)/-N3133)</f>
        <v/>
      </c>
      <c r="P3133" s="7">
        <f>VLOOKUP(OPERAC[[#This Row],[especie]],[1]!ESPECIES[#All],6,0)</f>
        <v/>
      </c>
      <c r="Q3133" s="7">
        <f>IF(N3133&lt;&gt;0,P3133*N3133,0)</f>
        <v/>
      </c>
      <c r="R3133" s="8">
        <f>IF(Q3133&lt;&gt;0,Q3133+H3133+L3133,0)</f>
        <v/>
      </c>
      <c r="S3133" s="9">
        <f>VLOOKUP(OPERAC[[#This Row],[especie]],[1]!ESPECIES[#Data],9,FALSE)</f>
        <v/>
      </c>
    </row>
    <row r="3134">
      <c r="A3134" s="4" t="n">
        <v>4543</v>
      </c>
      <c r="B3134" s="5" t="n">
        <v>44680</v>
      </c>
      <c r="C3134" s="13" t="inlineStr">
        <is>
          <t>VTA</t>
        </is>
      </c>
      <c r="D3134" s="13" t="n">
        <v>42</v>
      </c>
      <c r="E3134" s="10">
        <f>IF(D3134&gt;0,VLOOKUP(OPERAC[[#This Row],[COD CART]],[1]!MatrizCortoLargoCyl[#All],3,0),"")</f>
        <v/>
      </c>
      <c r="F3134" s="14" t="inlineStr">
        <is>
          <t>XLP</t>
        </is>
      </c>
      <c r="G3134" s="6" t="n">
        <v>8</v>
      </c>
      <c r="H3134" s="6" t="n">
        <v>-635.4760199999999</v>
      </c>
      <c r="I3134" s="7">
        <f>-H3134/G3134</f>
        <v/>
      </c>
      <c r="J3134" s="11" t="n">
        <v>44693</v>
      </c>
      <c r="K3134" s="6">
        <f>+OPERAC[[#This Row],[cantidad]]</f>
        <v/>
      </c>
      <c r="L3134" s="6">
        <f>+OPERAC[[#This Row],[cantidad venta]]*75.648</f>
        <v/>
      </c>
      <c r="M3134" s="7">
        <f>IF(N3134=0,+L3134+H3134,0)</f>
        <v/>
      </c>
      <c r="N3134" s="7">
        <f>IF((+G3134-K3134)=0,0,+G3134-K3134)</f>
        <v/>
      </c>
      <c r="O3134" s="7">
        <f>IF(N3134=0,0,(L3134+H3134)/-N3134)</f>
        <v/>
      </c>
      <c r="P3134" s="7">
        <f>VLOOKUP(OPERAC[[#This Row],[especie]],[1]!ESPECIES[#All],6,0)</f>
        <v/>
      </c>
      <c r="Q3134" s="7">
        <f>IF(N3134&lt;&gt;0,P3134*N3134,0)</f>
        <v/>
      </c>
      <c r="R3134" s="8">
        <f>IF(Q3134&lt;&gt;0,Q3134+H3134+L3134,0)</f>
        <v/>
      </c>
      <c r="S3134" s="9">
        <f>VLOOKUP(OPERAC[[#This Row],[especie]],[1]!ESPECIES[#Data],9,FALSE)</f>
        <v/>
      </c>
    </row>
    <row r="3135">
      <c r="A3135" s="4" t="n">
        <v>4561</v>
      </c>
      <c r="B3135" s="5" t="n">
        <v>44680</v>
      </c>
      <c r="C3135" s="13" t="inlineStr">
        <is>
          <t>VTA</t>
        </is>
      </c>
      <c r="D3135" s="13" t="n">
        <v>42</v>
      </c>
      <c r="E3135" s="10">
        <f>IF(D3135&gt;0,VLOOKUP(OPERAC[[#This Row],[COD CART]],[1]!MatrizCortoLargoCyl[#All],3,0),"")</f>
        <v/>
      </c>
      <c r="F3135" s="14" t="inlineStr">
        <is>
          <t>XLP</t>
        </is>
      </c>
      <c r="G3135" s="6" t="n">
        <v>8</v>
      </c>
      <c r="H3135" s="6" t="n">
        <v>-635.4760199999999</v>
      </c>
      <c r="I3135" s="7">
        <f>-H3135/G3135</f>
        <v/>
      </c>
      <c r="J3135" s="11" t="n">
        <v>44693</v>
      </c>
      <c r="K3135" s="6">
        <f>+OPERAC[[#This Row],[cantidad]]</f>
        <v/>
      </c>
      <c r="L3135" s="6">
        <f>+OPERAC[[#This Row],[cantidad venta]]*75.648</f>
        <v/>
      </c>
      <c r="M3135" s="7">
        <f>IF(N3135=0,+L3135+H3135,0)</f>
        <v/>
      </c>
      <c r="N3135" s="7">
        <f>IF((+G3135-K3135)=0,0,+G3135-K3135)</f>
        <v/>
      </c>
      <c r="O3135" s="7">
        <f>IF(N3135=0,0,(L3135+H3135)/-N3135)</f>
        <v/>
      </c>
      <c r="P3135" s="7">
        <f>VLOOKUP(OPERAC[[#This Row],[especie]],[1]!ESPECIES[#All],6,0)</f>
        <v/>
      </c>
      <c r="Q3135" s="7">
        <f>IF(N3135&lt;&gt;0,P3135*N3135,0)</f>
        <v/>
      </c>
      <c r="R3135" s="8">
        <f>IF(Q3135&lt;&gt;0,Q3135+H3135+L3135,0)</f>
        <v/>
      </c>
      <c r="S3135" s="9">
        <f>VLOOKUP(OPERAC[[#This Row],[especie]],[1]!ESPECIES[#Data],9,FALSE)</f>
        <v/>
      </c>
    </row>
    <row r="3136">
      <c r="A3136" s="4" t="n">
        <v>6578</v>
      </c>
      <c r="B3136" s="5" t="n">
        <v>44680</v>
      </c>
      <c r="C3136" s="13" t="inlineStr">
        <is>
          <t>VTA</t>
        </is>
      </c>
      <c r="D3136" s="13" t="n">
        <v>42</v>
      </c>
      <c r="E3136" s="10">
        <f>IF(D3136&gt;0,VLOOKUP(OPERAC[[#This Row],[COD CART]],[1]!MatrizCortoLargoCyl[#All],3,0),"")</f>
        <v/>
      </c>
      <c r="F3136" s="14" t="inlineStr">
        <is>
          <t>XLP</t>
        </is>
      </c>
      <c r="G3136" s="6" t="n">
        <v>8</v>
      </c>
      <c r="H3136" s="6" t="n">
        <v>-635.4760199999999</v>
      </c>
      <c r="I3136" s="7">
        <f>-H3136/G3136</f>
        <v/>
      </c>
      <c r="J3136" s="11" t="n">
        <v>44693</v>
      </c>
      <c r="K3136" s="6">
        <f>+OPERAC[[#This Row],[cantidad]]</f>
        <v/>
      </c>
      <c r="L3136" s="6">
        <f>+OPERAC[[#This Row],[cantidad venta]]*75.648</f>
        <v/>
      </c>
      <c r="M3136" s="7">
        <f>IF(N3136=0,+L3136+H3136,0)</f>
        <v/>
      </c>
      <c r="N3136" s="7">
        <f>IF((+G3136-K3136)=0,0,+G3136-K3136)</f>
        <v/>
      </c>
      <c r="O3136" s="7">
        <f>IF(N3136=0,0,(L3136+H3136)/-N3136)</f>
        <v/>
      </c>
      <c r="P3136" s="7">
        <f>VLOOKUP(OPERAC[[#This Row],[especie]],[1]!ESPECIES[#All],6,0)</f>
        <v/>
      </c>
      <c r="Q3136" s="7">
        <f>IF(N3136&lt;&gt;0,P3136*N3136,0)</f>
        <v/>
      </c>
      <c r="R3136" s="8">
        <f>IF(Q3136&lt;&gt;0,Q3136+H3136+L3136,0)</f>
        <v/>
      </c>
      <c r="S3136" s="9">
        <f>VLOOKUP(OPERAC[[#This Row],[especie]],[1]!ESPECIES[#Data],9,FALSE)</f>
        <v/>
      </c>
    </row>
    <row r="3137">
      <c r="A3137" s="4" t="n">
        <v>7493</v>
      </c>
      <c r="B3137" s="5" t="n">
        <v>44680</v>
      </c>
      <c r="C3137" s="13" t="inlineStr">
        <is>
          <t>VTA</t>
        </is>
      </c>
      <c r="D3137" s="13" t="n">
        <v>42</v>
      </c>
      <c r="E3137" s="10">
        <f>IF(D3137&gt;0,VLOOKUP(OPERAC[[#This Row],[COD CART]],[1]!MatrizCortoLargoCyl[#All],3,0),"")</f>
        <v/>
      </c>
      <c r="F3137" s="14" t="inlineStr">
        <is>
          <t>XLP</t>
        </is>
      </c>
      <c r="G3137" s="6" t="n">
        <v>8</v>
      </c>
      <c r="H3137" s="6" t="n">
        <v>-635.4760199999999</v>
      </c>
      <c r="I3137" s="7">
        <f>-H3137/G3137</f>
        <v/>
      </c>
      <c r="J3137" s="11" t="n">
        <v>44693</v>
      </c>
      <c r="K3137" s="6">
        <f>+OPERAC[[#This Row],[cantidad]]</f>
        <v/>
      </c>
      <c r="L3137" s="6">
        <f>+OPERAC[[#This Row],[cantidad venta]]*75.648</f>
        <v/>
      </c>
      <c r="M3137" s="7">
        <f>IF(N3137=0,+L3137+H3137,0)</f>
        <v/>
      </c>
      <c r="N3137" s="7">
        <f>IF((+G3137-K3137)=0,0,+G3137-K3137)</f>
        <v/>
      </c>
      <c r="O3137" s="7">
        <f>IF(N3137=0,0,(L3137+H3137)/-N3137)</f>
        <v/>
      </c>
      <c r="P3137" s="7">
        <f>VLOOKUP(OPERAC[[#This Row],[especie]],[1]!ESPECIES[#All],6,0)</f>
        <v/>
      </c>
      <c r="Q3137" s="7">
        <f>IF(N3137&lt;&gt;0,P3137*N3137,0)</f>
        <v/>
      </c>
      <c r="R3137" s="8">
        <f>IF(Q3137&lt;&gt;0,Q3137+H3137+L3137,0)</f>
        <v/>
      </c>
      <c r="S3137" s="9">
        <f>VLOOKUP(OPERAC[[#This Row],[especie]],[1]!ESPECIES[#Data],9,FALSE)</f>
        <v/>
      </c>
    </row>
    <row r="3138">
      <c r="A3138" s="4" t="n">
        <v>7895</v>
      </c>
      <c r="B3138" s="5" t="n">
        <v>44680</v>
      </c>
      <c r="C3138" s="13" t="inlineStr">
        <is>
          <t>VTA</t>
        </is>
      </c>
      <c r="D3138" s="13" t="n">
        <v>42</v>
      </c>
      <c r="E3138" s="10">
        <f>IF(D3138&gt;0,VLOOKUP(OPERAC[[#This Row],[COD CART]],[1]!MatrizCortoLargoCyl[#All],3,0),"")</f>
        <v/>
      </c>
      <c r="F3138" s="14" t="inlineStr">
        <is>
          <t>XLP</t>
        </is>
      </c>
      <c r="G3138" s="6" t="n">
        <v>8</v>
      </c>
      <c r="H3138" s="6" t="n">
        <v>-635.4760199999999</v>
      </c>
      <c r="I3138" s="7">
        <f>-H3138/G3138</f>
        <v/>
      </c>
      <c r="J3138" s="11" t="n">
        <v>44693</v>
      </c>
      <c r="K3138" s="6">
        <f>+OPERAC[[#This Row],[cantidad]]</f>
        <v/>
      </c>
      <c r="L3138" s="6">
        <f>+OPERAC[[#This Row],[cantidad venta]]*75.648</f>
        <v/>
      </c>
      <c r="M3138" s="7">
        <f>IF(N3138=0,+L3138+H3138,0)</f>
        <v/>
      </c>
      <c r="N3138" s="7">
        <f>IF((+G3138-K3138)=0,0,+G3138-K3138)</f>
        <v/>
      </c>
      <c r="O3138" s="7">
        <f>IF(N3138=0,0,(L3138+H3138)/-N3138)</f>
        <v/>
      </c>
      <c r="P3138" s="7">
        <f>VLOOKUP(OPERAC[[#This Row],[especie]],[1]!ESPECIES[#All],6,0)</f>
        <v/>
      </c>
      <c r="Q3138" s="7">
        <f>IF(N3138&lt;&gt;0,P3138*N3138,0)</f>
        <v/>
      </c>
      <c r="R3138" s="8">
        <f>IF(Q3138&lt;&gt;0,Q3138+H3138+L3138,0)</f>
        <v/>
      </c>
      <c r="S3138" s="9">
        <f>VLOOKUP(OPERAC[[#This Row],[especie]],[1]!ESPECIES[#Data],9,FALSE)</f>
        <v/>
      </c>
    </row>
    <row r="3139">
      <c r="A3139" s="4" t="n">
        <v>12684</v>
      </c>
      <c r="B3139" s="5" t="n">
        <v>44680</v>
      </c>
      <c r="C3139" s="13" t="inlineStr">
        <is>
          <t>VTA</t>
        </is>
      </c>
      <c r="D3139" s="13" t="n">
        <v>42</v>
      </c>
      <c r="E3139" s="10">
        <f>IF(D3139&gt;0,VLOOKUP(OPERAC[[#This Row],[COD CART]],[1]!MatrizCortoLargoCyl[#All],3,0),"")</f>
        <v/>
      </c>
      <c r="F3139" s="14" t="inlineStr">
        <is>
          <t>XLP</t>
        </is>
      </c>
      <c r="G3139" s="6" t="n">
        <v>8</v>
      </c>
      <c r="H3139" s="6" t="n">
        <v>-635.4760199999999</v>
      </c>
      <c r="I3139" s="7">
        <f>-H3139/G3139</f>
        <v/>
      </c>
      <c r="J3139" s="11" t="n">
        <v>44691</v>
      </c>
      <c r="K3139" s="6" t="n">
        <v>6</v>
      </c>
      <c r="L3139" s="6" t="n">
        <v>455.247</v>
      </c>
      <c r="M3139" s="7">
        <f>IF(N3139=0,+L3139+H3139,0)</f>
        <v/>
      </c>
      <c r="N3139" s="7">
        <f>IF((+G3139-K3139)=0,0,+G3139-K3139)</f>
        <v/>
      </c>
      <c r="O3139" s="7">
        <f>IF(N3139=0,0,(L3139+H3139)/-N3139)</f>
        <v/>
      </c>
      <c r="P3139" s="7">
        <f>VLOOKUP(OPERAC[[#This Row],[especie]],[1]!ESPECIES[#All],6,0)</f>
        <v/>
      </c>
      <c r="Q3139" s="7">
        <f>IF(N3139&lt;&gt;0,P3139*N3139,0)</f>
        <v/>
      </c>
      <c r="R3139" s="8">
        <f>IF(Q3139&lt;&gt;0,Q3139+H3139+L3139,0)</f>
        <v/>
      </c>
      <c r="S3139" s="9">
        <f>VLOOKUP(OPERAC[[#This Row],[especie]],[1]!ESPECIES[#Data],9,FALSE)</f>
        <v/>
      </c>
    </row>
    <row r="3140">
      <c r="A3140" s="4" t="n">
        <v>12684</v>
      </c>
      <c r="B3140" s="5" t="n">
        <v>44680</v>
      </c>
      <c r="C3140" s="13" t="inlineStr">
        <is>
          <t>VTA</t>
        </is>
      </c>
      <c r="D3140" s="13" t="n">
        <v>42</v>
      </c>
      <c r="E3140" s="10">
        <f>IF(D3140&gt;0,VLOOKUP(OPERAC[[#This Row],[COD CART]],[1]!MatrizCortoLargoCyl[#All],3,0),"")</f>
        <v/>
      </c>
      <c r="F3140" s="14" t="inlineStr">
        <is>
          <t>XLP</t>
        </is>
      </c>
      <c r="G3140" s="6" t="n">
        <v>8</v>
      </c>
      <c r="H3140" s="6" t="n">
        <v>-635.4760199999999</v>
      </c>
      <c r="I3140" s="7">
        <f>-H3140/G3140</f>
        <v/>
      </c>
      <c r="J3140" s="11" t="n"/>
      <c r="K3140" s="6" t="n"/>
      <c r="L3140" s="6" t="n"/>
      <c r="M3140" s="7">
        <f>IF(N3140=0,+L3140+H3140,0)</f>
        <v/>
      </c>
      <c r="N3140" s="7">
        <f>IF((+G3140-K3140)=0,0,+G3140-K3140)</f>
        <v/>
      </c>
      <c r="O3140" s="7">
        <f>IF(N3140=0,0,(L3140+H3140)/-N3140)</f>
        <v/>
      </c>
      <c r="P3140" s="7">
        <f>VLOOKUP(OPERAC[[#This Row],[especie]],[1]!ESPECIES[#All],6,0)</f>
        <v/>
      </c>
      <c r="Q3140" s="7">
        <f>IF(N3140&lt;&gt;0,P3140*N3140,0)</f>
        <v/>
      </c>
      <c r="R3140" s="8">
        <f>IF(Q3140&lt;&gt;0,Q3140+H3140+L3140,0)</f>
        <v/>
      </c>
      <c r="S3140" s="9">
        <f>VLOOKUP(OPERAC[[#This Row],[especie]],[1]!ESPECIES[#Data],9,FALSE)</f>
        <v/>
      </c>
    </row>
    <row r="3141">
      <c r="A3141" s="4" t="n">
        <v>13188</v>
      </c>
      <c r="B3141" s="5" t="n">
        <v>44680</v>
      </c>
      <c r="C3141" s="13" t="inlineStr">
        <is>
          <t>VTA</t>
        </is>
      </c>
      <c r="D3141" s="13" t="n">
        <v>42</v>
      </c>
      <c r="E3141" s="10">
        <f>IF(D3141&gt;0,VLOOKUP(OPERAC[[#This Row],[COD CART]],[1]!MatrizCortoLargoCyl[#All],3,0),"")</f>
        <v/>
      </c>
      <c r="F3141" s="14" t="inlineStr">
        <is>
          <t>XLP</t>
        </is>
      </c>
      <c r="G3141" s="6" t="n">
        <v>8</v>
      </c>
      <c r="H3141" s="6" t="n">
        <v>-635.4760199999999</v>
      </c>
      <c r="I3141" s="7">
        <f>-H3141/G3141</f>
        <v/>
      </c>
      <c r="J3141" s="11" t="n">
        <v>44693</v>
      </c>
      <c r="K3141" s="6">
        <f>+OPERAC[[#This Row],[cantidad]]</f>
        <v/>
      </c>
      <c r="L3141" s="6">
        <f>+OPERAC[[#This Row],[cantidad venta]]*74.848</f>
        <v/>
      </c>
      <c r="M3141" s="7">
        <f>IF(N3141=0,+L3141+H3141,0)</f>
        <v/>
      </c>
      <c r="N3141" s="7">
        <f>IF((+G3141-K3141)=0,0,+G3141-K3141)</f>
        <v/>
      </c>
      <c r="O3141" s="7">
        <f>IF(N3141=0,0,(L3141+H3141)/-N3141)</f>
        <v/>
      </c>
      <c r="P3141" s="7">
        <f>VLOOKUP(OPERAC[[#This Row],[especie]],[1]!ESPECIES[#All],6,0)</f>
        <v/>
      </c>
      <c r="Q3141" s="7">
        <f>IF(N3141&lt;&gt;0,P3141*N3141,0)</f>
        <v/>
      </c>
      <c r="R3141" s="8">
        <f>IF(Q3141&lt;&gt;0,Q3141+H3141+L3141,0)</f>
        <v/>
      </c>
      <c r="S3141" s="9">
        <f>VLOOKUP(OPERAC[[#This Row],[especie]],[1]!ESPECIES[#Data],9,FALSE)</f>
        <v/>
      </c>
    </row>
    <row r="3142">
      <c r="A3142" s="4" t="n">
        <v>13204</v>
      </c>
      <c r="B3142" s="5" t="n">
        <v>44680</v>
      </c>
      <c r="C3142" s="13" t="inlineStr">
        <is>
          <t>VTA</t>
        </is>
      </c>
      <c r="D3142" s="13" t="n">
        <v>42</v>
      </c>
      <c r="E3142" s="10">
        <f>IF(D3142&gt;0,VLOOKUP(OPERAC[[#This Row],[COD CART]],[1]!MatrizCortoLargoCyl[#All],3,0),"")</f>
        <v/>
      </c>
      <c r="F3142" s="14" t="inlineStr">
        <is>
          <t>XLP</t>
        </is>
      </c>
      <c r="G3142" s="6" t="n">
        <v>8</v>
      </c>
      <c r="H3142" s="6" t="n">
        <v>-635.4760199999999</v>
      </c>
      <c r="I3142" s="7">
        <f>-H3142/G3142</f>
        <v/>
      </c>
      <c r="J3142" s="11" t="n">
        <v>44693</v>
      </c>
      <c r="K3142" s="6">
        <f>+OPERAC[[#This Row],[cantidad]]</f>
        <v/>
      </c>
      <c r="L3142" s="6">
        <f>+OPERAC[[#This Row],[cantidad venta]]*74.848</f>
        <v/>
      </c>
      <c r="M3142" s="7">
        <f>IF(N3142=0,+L3142+H3142,0)</f>
        <v/>
      </c>
      <c r="N3142" s="7">
        <f>IF((+G3142-K3142)=0,0,+G3142-K3142)</f>
        <v/>
      </c>
      <c r="O3142" s="7">
        <f>IF(N3142=0,0,(L3142+H3142)/-N3142)</f>
        <v/>
      </c>
      <c r="P3142" s="7">
        <f>VLOOKUP(OPERAC[[#This Row],[especie]],[1]!ESPECIES[#All],6,0)</f>
        <v/>
      </c>
      <c r="Q3142" s="7">
        <f>IF(N3142&lt;&gt;0,P3142*N3142,0)</f>
        <v/>
      </c>
      <c r="R3142" s="8">
        <f>IF(Q3142&lt;&gt;0,Q3142+H3142+L3142,0)</f>
        <v/>
      </c>
      <c r="S3142" s="9">
        <f>VLOOKUP(OPERAC[[#This Row],[especie]],[1]!ESPECIES[#Data],9,FALSE)</f>
        <v/>
      </c>
    </row>
    <row r="3143">
      <c r="A3143" s="4" t="n">
        <v>13269</v>
      </c>
      <c r="B3143" s="5" t="n">
        <v>44680</v>
      </c>
      <c r="C3143" s="13" t="inlineStr">
        <is>
          <t>VTA</t>
        </is>
      </c>
      <c r="D3143" s="13" t="n">
        <v>42</v>
      </c>
      <c r="E3143" s="10">
        <f>IF(D3143&gt;0,VLOOKUP(OPERAC[[#This Row],[COD CART]],[1]!MatrizCortoLargoCyl[#All],3,0),"")</f>
        <v/>
      </c>
      <c r="F3143" s="14" t="inlineStr">
        <is>
          <t>XLP</t>
        </is>
      </c>
      <c r="G3143" s="6" t="n">
        <v>8</v>
      </c>
      <c r="H3143" s="6" t="n">
        <v>-635.4760199999999</v>
      </c>
      <c r="I3143" s="7">
        <f>-H3143/G3143</f>
        <v/>
      </c>
      <c r="J3143" s="11" t="n">
        <v>44693</v>
      </c>
      <c r="K3143" s="6">
        <f>+OPERAC[[#This Row],[cantidad]]</f>
        <v/>
      </c>
      <c r="L3143" s="6">
        <f>+OPERAC[[#This Row],[cantidad venta]]*74.848</f>
        <v/>
      </c>
      <c r="M3143" s="7">
        <f>IF(N3143=0,+L3143+H3143,0)</f>
        <v/>
      </c>
      <c r="N3143" s="7">
        <f>IF((+G3143-K3143)=0,0,+G3143-K3143)</f>
        <v/>
      </c>
      <c r="O3143" s="7">
        <f>IF(N3143=0,0,(L3143+H3143)/-N3143)</f>
        <v/>
      </c>
      <c r="P3143" s="7">
        <f>VLOOKUP(OPERAC[[#This Row],[especie]],[1]!ESPECIES[#All],6,0)</f>
        <v/>
      </c>
      <c r="Q3143" s="7">
        <f>IF(N3143&lt;&gt;0,P3143*N3143,0)</f>
        <v/>
      </c>
      <c r="R3143" s="8">
        <f>IF(Q3143&lt;&gt;0,Q3143+H3143+L3143,0)</f>
        <v/>
      </c>
      <c r="S3143" s="9">
        <f>VLOOKUP(OPERAC[[#This Row],[especie]],[1]!ESPECIES[#Data],9,FALSE)</f>
        <v/>
      </c>
    </row>
    <row r="3144">
      <c r="A3144" s="4" t="n">
        <v>16786</v>
      </c>
      <c r="B3144" s="5" t="n">
        <v>44680</v>
      </c>
      <c r="C3144" s="13" t="inlineStr">
        <is>
          <t>VTA</t>
        </is>
      </c>
      <c r="D3144" s="13" t="n">
        <v>42</v>
      </c>
      <c r="E3144" s="10">
        <f>IF(D3144&gt;0,VLOOKUP(OPERAC[[#This Row],[COD CART]],[1]!MatrizCortoLargoCyl[#All],3,0),"")</f>
        <v/>
      </c>
      <c r="F3144" s="14" t="inlineStr">
        <is>
          <t>XLP</t>
        </is>
      </c>
      <c r="G3144" s="6" t="n">
        <v>8</v>
      </c>
      <c r="H3144" s="6" t="n">
        <v>-635.4760199999999</v>
      </c>
      <c r="I3144" s="7">
        <f>-H3144/G3144</f>
        <v/>
      </c>
      <c r="J3144" s="11" t="n">
        <v>44693</v>
      </c>
      <c r="K3144" s="6">
        <f>+OPERAC[[#This Row],[cantidad]]</f>
        <v/>
      </c>
      <c r="L3144" s="6">
        <f>+OPERAC[[#This Row],[cantidad venta]]*74.848</f>
        <v/>
      </c>
      <c r="M3144" s="7">
        <f>IF(N3144=0,+L3144+H3144,0)</f>
        <v/>
      </c>
      <c r="N3144" s="7">
        <f>IF((+G3144-K3144)=0,0,+G3144-K3144)</f>
        <v/>
      </c>
      <c r="O3144" s="7">
        <f>IF(N3144=0,0,(L3144+H3144)/-N3144)</f>
        <v/>
      </c>
      <c r="P3144" s="7">
        <f>VLOOKUP(OPERAC[[#This Row],[especie]],[1]!ESPECIES[#All],6,0)</f>
        <v/>
      </c>
      <c r="Q3144" s="7">
        <f>IF(N3144&lt;&gt;0,P3144*N3144,0)</f>
        <v/>
      </c>
      <c r="R3144" s="8">
        <f>IF(Q3144&lt;&gt;0,Q3144+H3144+L3144,0)</f>
        <v/>
      </c>
      <c r="S3144" s="9">
        <f>VLOOKUP(OPERAC[[#This Row],[especie]],[1]!ESPECIES[#Data],9,FALSE)</f>
        <v/>
      </c>
    </row>
    <row r="3145">
      <c r="A3145" s="4" t="n">
        <v>21070</v>
      </c>
      <c r="B3145" s="5" t="n">
        <v>44680</v>
      </c>
      <c r="C3145" s="13" t="inlineStr">
        <is>
          <t>VTA</t>
        </is>
      </c>
      <c r="D3145" s="13" t="n">
        <v>42</v>
      </c>
      <c r="E3145" s="10">
        <f>IF(D3145&gt;0,VLOOKUP(OPERAC[[#This Row],[COD CART]],[1]!MatrizCortoLargoCyl[#All],3,0),"")</f>
        <v/>
      </c>
      <c r="F3145" s="14" t="inlineStr">
        <is>
          <t>XLP</t>
        </is>
      </c>
      <c r="G3145" s="6" t="n">
        <v>8</v>
      </c>
      <c r="H3145" s="6" t="n">
        <v>-635.4760199999999</v>
      </c>
      <c r="I3145" s="7">
        <f>-H3145/G3145</f>
        <v/>
      </c>
      <c r="J3145" s="11" t="n">
        <v>44693</v>
      </c>
      <c r="K3145" s="6">
        <f>+OPERAC[[#This Row],[cantidad]]</f>
        <v/>
      </c>
      <c r="L3145" s="6">
        <f>+OPERAC[[#This Row],[cantidad venta]]*74.848</f>
        <v/>
      </c>
      <c r="M3145" s="7">
        <f>IF(N3145=0,+L3145+H3145,0)</f>
        <v/>
      </c>
      <c r="N3145" s="7">
        <f>IF((+G3145-K3145)=0,0,+G3145-K3145)</f>
        <v/>
      </c>
      <c r="O3145" s="7">
        <f>IF(N3145=0,0,(L3145+H3145)/-N3145)</f>
        <v/>
      </c>
      <c r="P3145" s="7">
        <f>VLOOKUP(OPERAC[[#This Row],[especie]],[1]!ESPECIES[#All],6,0)</f>
        <v/>
      </c>
      <c r="Q3145" s="7">
        <f>IF(N3145&lt;&gt;0,P3145*N3145,0)</f>
        <v/>
      </c>
      <c r="R3145" s="8">
        <f>IF(Q3145&lt;&gt;0,Q3145+H3145+L3145,0)</f>
        <v/>
      </c>
      <c r="S3145" s="9">
        <f>VLOOKUP(OPERAC[[#This Row],[especie]],[1]!ESPECIES[#Data],9,FALSE)</f>
        <v/>
      </c>
    </row>
    <row r="3146">
      <c r="A3146" s="4" t="n">
        <v>26140</v>
      </c>
      <c r="B3146" s="5" t="n">
        <v>44680</v>
      </c>
      <c r="C3146" s="13" t="inlineStr">
        <is>
          <t>VTA</t>
        </is>
      </c>
      <c r="D3146" s="13" t="n">
        <v>42</v>
      </c>
      <c r="E3146" s="10">
        <f>IF(D3146&gt;0,VLOOKUP(OPERAC[[#This Row],[COD CART]],[1]!MatrizCortoLargoCyl[#All],3,0),"")</f>
        <v/>
      </c>
      <c r="F3146" s="14" t="inlineStr">
        <is>
          <t>XLP</t>
        </is>
      </c>
      <c r="G3146" s="6" t="n">
        <v>8</v>
      </c>
      <c r="H3146" s="6" t="n">
        <v>-635.4760199999999</v>
      </c>
      <c r="I3146" s="7">
        <f>-H3146/G3146</f>
        <v/>
      </c>
      <c r="J3146" s="11" t="n">
        <v>44693</v>
      </c>
      <c r="K3146" s="6">
        <f>+OPERAC[[#This Row],[cantidad]]</f>
        <v/>
      </c>
      <c r="L3146" s="6">
        <f>+OPERAC[[#This Row],[cantidad venta]]*74.848</f>
        <v/>
      </c>
      <c r="M3146" s="7">
        <f>IF(N3146=0,+L3146+H3146,0)</f>
        <v/>
      </c>
      <c r="N3146" s="7">
        <f>IF((+G3146-K3146)=0,0,+G3146-K3146)</f>
        <v/>
      </c>
      <c r="O3146" s="7">
        <f>IF(N3146=0,0,(L3146+H3146)/-N3146)</f>
        <v/>
      </c>
      <c r="P3146" s="7">
        <f>VLOOKUP(OPERAC[[#This Row],[especie]],[1]!ESPECIES[#All],6,0)</f>
        <v/>
      </c>
      <c r="Q3146" s="7">
        <f>IF(N3146&lt;&gt;0,P3146*N3146,0)</f>
        <v/>
      </c>
      <c r="R3146" s="8">
        <f>IF(Q3146&lt;&gt;0,Q3146+H3146+L3146,0)</f>
        <v/>
      </c>
      <c r="S3146" s="9">
        <f>VLOOKUP(OPERAC[[#This Row],[especie]],[1]!ESPECIES[#Data],9,FALSE)</f>
        <v/>
      </c>
    </row>
    <row r="3147">
      <c r="A3147" s="4" t="n">
        <v>20234</v>
      </c>
      <c r="B3147" s="5" t="n">
        <v>44649</v>
      </c>
      <c r="C3147" s="13" t="inlineStr">
        <is>
          <t>VTA</t>
        </is>
      </c>
      <c r="D3147" s="13" t="n">
        <v>42</v>
      </c>
      <c r="E3147" s="10">
        <f>IF(D3147&gt;0,VLOOKUP(OPERAC[[#This Row],[COD CART]],[1]!MatrizCortoLargoCyl[#All],3,0),"")</f>
        <v/>
      </c>
      <c r="F3147" s="13" t="inlineStr">
        <is>
          <t>MSFT</t>
        </is>
      </c>
      <c r="G3147" s="6" t="n">
        <v>2</v>
      </c>
      <c r="H3147" s="6" t="n">
        <v>-636.1408</v>
      </c>
      <c r="I3147" s="7">
        <f>-H3147/G3147</f>
        <v/>
      </c>
      <c r="J3147" s="11" t="n">
        <v>44662</v>
      </c>
      <c r="K3147" s="6">
        <f>+OPERAC[[#This Row],[cantidad]]</f>
        <v/>
      </c>
      <c r="L3147" s="6">
        <f>287.546*OPERAC[[#This Row],[cantidad venta]]</f>
        <v/>
      </c>
      <c r="M3147" s="7">
        <f>IF(N3147=0,+L3147+H3147,0)</f>
        <v/>
      </c>
      <c r="N3147" s="7">
        <f>IF((+G3147-K3147)=0,0,+G3147-K3147)</f>
        <v/>
      </c>
      <c r="O3147" s="7">
        <f>IF(N3147=0,0,(L3147+H3147)/-N3147)</f>
        <v/>
      </c>
      <c r="P3147" s="7">
        <f>VLOOKUP(OPERAC[[#This Row],[especie]],[1]!ESPECIES[#All],6,0)</f>
        <v/>
      </c>
      <c r="Q3147" s="7">
        <f>IF(N3147&lt;&gt;0,P3147*N3147,0)</f>
        <v/>
      </c>
      <c r="R3147" s="8">
        <f>IF(Q3147&lt;&gt;0,Q3147+H3147+L3147,0)</f>
        <v/>
      </c>
      <c r="S3147" s="9">
        <f>VLOOKUP(OPERAC[[#This Row],[especie]],[1]!ESPECIES[#Data],9,FALSE)</f>
        <v/>
      </c>
    </row>
    <row r="3148">
      <c r="A3148" s="4" t="n">
        <v>2257</v>
      </c>
      <c r="B3148" s="5" t="n">
        <v>44650</v>
      </c>
      <c r="C3148" s="13" t="inlineStr">
        <is>
          <t>VTA</t>
        </is>
      </c>
      <c r="D3148" s="13" t="n">
        <v>42</v>
      </c>
      <c r="E3148" s="10">
        <f>IF(D3148&gt;0,VLOOKUP(OPERAC[[#This Row],[COD CART]],[1]!MatrizCortoLargoCyl[#All],3,0),"")</f>
        <v/>
      </c>
      <c r="F3148" s="13" t="inlineStr">
        <is>
          <t>MSFT</t>
        </is>
      </c>
      <c r="G3148" s="6" t="n">
        <v>2</v>
      </c>
      <c r="H3148" s="6" t="n">
        <v>-636.1656</v>
      </c>
      <c r="I3148" s="7">
        <f>-H3148/G3148</f>
        <v/>
      </c>
      <c r="J3148" s="11" t="n">
        <v>44662</v>
      </c>
      <c r="K3148" s="6">
        <f>+OPERAC[[#This Row],[cantidad]]</f>
        <v/>
      </c>
      <c r="L3148" s="6">
        <f>287.546*OPERAC[[#This Row],[cantidad venta]]</f>
        <v/>
      </c>
      <c r="M3148" s="7">
        <f>IF(N3148=0,+L3148+H3148,0)</f>
        <v/>
      </c>
      <c r="N3148" s="7">
        <f>IF((+G3148-K3148)=0,0,+G3148-K3148)</f>
        <v/>
      </c>
      <c r="O3148" s="7">
        <f>IF(N3148=0,0,(L3148+H3148)/-N3148)</f>
        <v/>
      </c>
      <c r="P3148" s="7">
        <f>VLOOKUP(OPERAC[[#This Row],[especie]],[1]!ESPECIES[#All],6,0)</f>
        <v/>
      </c>
      <c r="Q3148" s="7">
        <f>IF(N3148&lt;&gt;0,P3148*N3148,0)</f>
        <v/>
      </c>
      <c r="R3148" s="8">
        <f>IF(Q3148&lt;&gt;0,Q3148+H3148+L3148,0)</f>
        <v/>
      </c>
      <c r="S3148" s="9">
        <f>VLOOKUP(OPERAC[[#This Row],[especie]],[1]!ESPECIES[#Data],9,FALSE)</f>
        <v/>
      </c>
    </row>
    <row r="3149">
      <c r="A3149" s="4" t="n">
        <v>13269</v>
      </c>
      <c r="B3149" s="5" t="n">
        <v>44650</v>
      </c>
      <c r="C3149" s="13" t="inlineStr">
        <is>
          <t>VTA</t>
        </is>
      </c>
      <c r="D3149" s="13" t="n">
        <v>42</v>
      </c>
      <c r="E3149" s="10">
        <f>IF(D3149&gt;0,VLOOKUP(OPERAC[[#This Row],[COD CART]],[1]!MatrizCortoLargoCyl[#All],3,0),"")</f>
        <v/>
      </c>
      <c r="F3149" s="13" t="inlineStr">
        <is>
          <t>MSFT</t>
        </is>
      </c>
      <c r="G3149" s="6" t="n">
        <v>2</v>
      </c>
      <c r="H3149" s="6" t="n">
        <v>-636.1656</v>
      </c>
      <c r="I3149" s="7">
        <f>-H3149/G3149</f>
        <v/>
      </c>
      <c r="J3149" s="11" t="n">
        <v>44662</v>
      </c>
      <c r="K3149" s="6">
        <f>+OPERAC[[#This Row],[cantidad]]</f>
        <v/>
      </c>
      <c r="L3149" s="6">
        <f>287.546*OPERAC[[#This Row],[cantidad venta]]</f>
        <v/>
      </c>
      <c r="M3149" s="7">
        <f>IF(N3149=0,+L3149+H3149,0)</f>
        <v/>
      </c>
      <c r="N3149" s="7">
        <f>IF((+G3149-K3149)=0,0,+G3149-K3149)</f>
        <v/>
      </c>
      <c r="O3149" s="7">
        <f>IF(N3149=0,0,(L3149+H3149)/-N3149)</f>
        <v/>
      </c>
      <c r="P3149" s="7">
        <f>VLOOKUP(OPERAC[[#This Row],[especie]],[1]!ESPECIES[#All],6,0)</f>
        <v/>
      </c>
      <c r="Q3149" s="7">
        <f>IF(N3149&lt;&gt;0,P3149*N3149,0)</f>
        <v/>
      </c>
      <c r="R3149" s="8">
        <f>IF(Q3149&lt;&gt;0,Q3149+H3149+L3149,0)</f>
        <v/>
      </c>
      <c r="S3149" s="9">
        <f>VLOOKUP(OPERAC[[#This Row],[especie]],[1]!ESPECIES[#Data],9,FALSE)</f>
        <v/>
      </c>
    </row>
    <row r="3150">
      <c r="A3150" s="4" t="n">
        <v>1792</v>
      </c>
      <c r="B3150" s="5" t="n">
        <v>44707</v>
      </c>
      <c r="C3150" s="13" t="inlineStr">
        <is>
          <t>VTA</t>
        </is>
      </c>
      <c r="D3150" s="13" t="n">
        <v>32</v>
      </c>
      <c r="E3150" s="10">
        <f>IF(D3150&gt;0,VLOOKUP(OPERAC[[#This Row],[COD CART]],[1]!MatrizCortoLargoCyl[#All],3,0),"")</f>
        <v/>
      </c>
      <c r="F3150" s="13" t="inlineStr">
        <is>
          <t>UUUU/CYL/8,00/17-06-22</t>
        </is>
      </c>
      <c r="G3150" s="6" t="n">
        <v>100</v>
      </c>
      <c r="H3150" s="6" t="n">
        <v>-636.316</v>
      </c>
      <c r="I3150" s="7">
        <f>-H3150/G3150</f>
        <v/>
      </c>
      <c r="J3150" s="5" t="n"/>
      <c r="K3150" s="6" t="n"/>
      <c r="L3150" s="6" t="n"/>
      <c r="M3150" s="7">
        <f>IF(N3150=0,+L3150+H3150,0)</f>
        <v/>
      </c>
      <c r="N3150" s="7">
        <f>IF((+G3150-K3150)=0,0,+G3150-K3150)</f>
        <v/>
      </c>
      <c r="O3150" s="7">
        <f>IF(N3150=0,0,(L3150+H3150)/-N3150)</f>
        <v/>
      </c>
      <c r="P3150" s="7">
        <f>VLOOKUP(OPERAC[[#This Row],[especie]],[1]!ESPECIES[#All],6,0)</f>
        <v/>
      </c>
      <c r="Q3150" s="7">
        <f>IF(N3150&lt;&gt;0,P3150*N3150,0)</f>
        <v/>
      </c>
      <c r="R3150" s="8">
        <f>IF(Q3150&lt;&gt;0,Q3150+H3150+L3150,0)</f>
        <v/>
      </c>
      <c r="S3150" s="9">
        <f>VLOOKUP(OPERAC[[#This Row],[especie]],[1]!ESPECIES[#Data],9,FALSE)</f>
        <v/>
      </c>
    </row>
    <row r="3151">
      <c r="A3151" s="4" t="n">
        <v>1792</v>
      </c>
      <c r="B3151" s="5" t="n">
        <v>44641</v>
      </c>
      <c r="C3151" s="13" t="inlineStr">
        <is>
          <t>VTA</t>
        </is>
      </c>
      <c r="D3151" s="13" t="n">
        <v>42</v>
      </c>
      <c r="E3151" s="10">
        <f>IF(D3151&gt;0,VLOOKUP(OPERAC[[#This Row],[COD CART]],[1]!MatrizCortoLargoCyl[#All],3,0),"")</f>
        <v/>
      </c>
      <c r="F3151" s="13" t="inlineStr">
        <is>
          <t>FB</t>
        </is>
      </c>
      <c r="G3151" s="6" t="n">
        <v>3</v>
      </c>
      <c r="H3151" s="6" t="n">
        <v>-636.4691399999999</v>
      </c>
      <c r="I3151" s="7">
        <f>-H3151/G3151</f>
        <v/>
      </c>
      <c r="J3151" s="11" t="n">
        <v>44669</v>
      </c>
      <c r="K3151" s="6">
        <f>1+2</f>
        <v/>
      </c>
      <c r="L3151" s="6">
        <f>207.61+426.345</f>
        <v/>
      </c>
      <c r="M3151" s="7">
        <f>IF(N3151=0,+L3151+H3151,0)</f>
        <v/>
      </c>
      <c r="N3151" s="7">
        <f>IF((+G3151-K3151)=0,0,+G3151-K3151)</f>
        <v/>
      </c>
      <c r="O3151" s="7">
        <f>IF(N3151=0,0,(L3151+H3151)/-N3151)</f>
        <v/>
      </c>
      <c r="P3151" s="7">
        <f>VLOOKUP(OPERAC[[#This Row],[especie]],[1]!ESPECIES[#All],6,0)</f>
        <v/>
      </c>
      <c r="Q3151" s="7">
        <f>IF(N3151&lt;&gt;0,P3151*N3151,0)</f>
        <v/>
      </c>
      <c r="R3151" s="8">
        <f>IF(Q3151&lt;&gt;0,Q3151+H3151+L3151,0)</f>
        <v/>
      </c>
      <c r="S3151" s="9">
        <f>VLOOKUP(OPERAC[[#This Row],[especie]],[1]!ESPECIES[#Data],9,FALSE)</f>
        <v/>
      </c>
    </row>
    <row r="3152">
      <c r="A3152" s="4" t="n">
        <v>6628</v>
      </c>
      <c r="B3152" s="5" t="n">
        <v>44641</v>
      </c>
      <c r="C3152" s="13" t="inlineStr">
        <is>
          <t>VTA</t>
        </is>
      </c>
      <c r="D3152" s="13" t="n">
        <v>42</v>
      </c>
      <c r="E3152" s="10">
        <f>IF(D3152&gt;0,VLOOKUP(OPERAC[[#This Row],[COD CART]],[1]!MatrizCortoLargoCyl[#All],3,0),"")</f>
        <v/>
      </c>
      <c r="F3152" s="13" t="inlineStr">
        <is>
          <t>FB</t>
        </is>
      </c>
      <c r="G3152" s="6" t="n">
        <v>3</v>
      </c>
      <c r="H3152" s="6" t="n">
        <v>-636.4691399999999</v>
      </c>
      <c r="I3152" s="7">
        <f>-H3152/G3152</f>
        <v/>
      </c>
      <c r="J3152" s="11" t="n">
        <v>44669</v>
      </c>
      <c r="K3152" s="6">
        <f>1+2</f>
        <v/>
      </c>
      <c r="L3152" s="6">
        <f>207.61+426.345</f>
        <v/>
      </c>
      <c r="M3152" s="7">
        <f>IF(N3152=0,+L3152+H3152,0)</f>
        <v/>
      </c>
      <c r="N3152" s="7">
        <f>IF((+G3152-K3152)=0,0,+G3152-K3152)</f>
        <v/>
      </c>
      <c r="O3152" s="7">
        <f>IF(N3152=0,0,(L3152+H3152)/-N3152)</f>
        <v/>
      </c>
      <c r="P3152" s="7">
        <f>VLOOKUP(OPERAC[[#This Row],[especie]],[1]!ESPECIES[#All],6,0)</f>
        <v/>
      </c>
      <c r="Q3152" s="7">
        <f>IF(N3152&lt;&gt;0,P3152*N3152,0)</f>
        <v/>
      </c>
      <c r="R3152" s="8">
        <f>IF(Q3152&lt;&gt;0,Q3152+H3152+L3152,0)</f>
        <v/>
      </c>
      <c r="S3152" s="9">
        <f>VLOOKUP(OPERAC[[#This Row],[especie]],[1]!ESPECIES[#Data],9,FALSE)</f>
        <v/>
      </c>
    </row>
    <row r="3153">
      <c r="A3153" s="4" t="n">
        <v>3853</v>
      </c>
      <c r="B3153" s="5" t="n">
        <v>44641</v>
      </c>
      <c r="C3153" s="13" t="inlineStr">
        <is>
          <t>VTA</t>
        </is>
      </c>
      <c r="D3153" s="13" t="n">
        <v>42</v>
      </c>
      <c r="E3153" s="10">
        <f>IF(D3153&gt;0,VLOOKUP(OPERAC[[#This Row],[COD CART]],[1]!MatrizCortoLargoCyl[#All],3,0),"")</f>
        <v/>
      </c>
      <c r="F3153" s="13" t="inlineStr">
        <is>
          <t>FB</t>
        </is>
      </c>
      <c r="G3153" s="6" t="n">
        <v>3</v>
      </c>
      <c r="H3153" s="6" t="n">
        <v>-636.4691399999999</v>
      </c>
      <c r="I3153" s="7">
        <f>-H3153/G3153</f>
        <v/>
      </c>
      <c r="J3153" s="11" t="n">
        <v>44671</v>
      </c>
      <c r="K3153" s="6">
        <f>+OPERAC[[#This Row],[cantidad]]</f>
        <v/>
      </c>
      <c r="L3153" s="6">
        <f>+OPERAC[[#This Row],[cantidad venta]]*213.173</f>
        <v/>
      </c>
      <c r="M3153" s="7">
        <f>IF(N3153=0,+L3153+H3153,0)</f>
        <v/>
      </c>
      <c r="N3153" s="7">
        <f>IF((+G3153-K3153)=0,0,+G3153-K3153)</f>
        <v/>
      </c>
      <c r="O3153" s="7">
        <f>IF(N3153=0,0,(L3153+H3153)/-N3153)</f>
        <v/>
      </c>
      <c r="P3153" s="7">
        <f>VLOOKUP(OPERAC[[#This Row],[especie]],[1]!ESPECIES[#All],6,0)</f>
        <v/>
      </c>
      <c r="Q3153" s="7">
        <f>IF(N3153&lt;&gt;0,P3153*N3153,0)</f>
        <v/>
      </c>
      <c r="R3153" s="8">
        <f>IF(Q3153&lt;&gt;0,Q3153+H3153+L3153,0)</f>
        <v/>
      </c>
      <c r="S3153" s="9">
        <f>VLOOKUP(OPERAC[[#This Row],[especie]],[1]!ESPECIES[#Data],9,FALSE)</f>
        <v/>
      </c>
    </row>
    <row r="3154">
      <c r="A3154" s="4" t="n">
        <v>6579</v>
      </c>
      <c r="B3154" s="5" t="n">
        <v>44641</v>
      </c>
      <c r="C3154" s="13" t="inlineStr">
        <is>
          <t>VTA</t>
        </is>
      </c>
      <c r="D3154" s="13" t="n">
        <v>42</v>
      </c>
      <c r="E3154" s="10">
        <f>IF(D3154&gt;0,VLOOKUP(OPERAC[[#This Row],[COD CART]],[1]!MatrizCortoLargoCyl[#All],3,0),"")</f>
        <v/>
      </c>
      <c r="F3154" s="13" t="inlineStr">
        <is>
          <t>FB</t>
        </is>
      </c>
      <c r="G3154" s="6" t="n">
        <v>3</v>
      </c>
      <c r="H3154" s="6" t="n">
        <v>-636.4691399999999</v>
      </c>
      <c r="I3154" s="7">
        <f>-H3154/G3154</f>
        <v/>
      </c>
      <c r="J3154" s="11" t="n">
        <v>44671</v>
      </c>
      <c r="K3154" s="6">
        <f>+OPERAC[[#This Row],[cantidad]]</f>
        <v/>
      </c>
      <c r="L3154" s="6">
        <f>+OPERAC[[#This Row],[cantidad venta]]*213.173</f>
        <v/>
      </c>
      <c r="M3154" s="7">
        <f>IF(N3154=0,+L3154+H3154,0)</f>
        <v/>
      </c>
      <c r="N3154" s="7">
        <f>IF((+G3154-K3154)=0,0,+G3154-K3154)</f>
        <v/>
      </c>
      <c r="O3154" s="7">
        <f>IF(N3154=0,0,(L3154+H3154)/-N3154)</f>
        <v/>
      </c>
      <c r="P3154" s="7">
        <f>VLOOKUP(OPERAC[[#This Row],[especie]],[1]!ESPECIES[#All],6,0)</f>
        <v/>
      </c>
      <c r="Q3154" s="7">
        <f>IF(N3154&lt;&gt;0,P3154*N3154,0)</f>
        <v/>
      </c>
      <c r="R3154" s="8">
        <f>IF(Q3154&lt;&gt;0,Q3154+H3154+L3154,0)</f>
        <v/>
      </c>
      <c r="S3154" s="9">
        <f>VLOOKUP(OPERAC[[#This Row],[especie]],[1]!ESPECIES[#Data],9,FALSE)</f>
        <v/>
      </c>
    </row>
    <row r="3155">
      <c r="A3155" s="4" t="n">
        <v>7493</v>
      </c>
      <c r="B3155" s="5" t="n">
        <v>44641</v>
      </c>
      <c r="C3155" s="13" t="inlineStr">
        <is>
          <t>VTA</t>
        </is>
      </c>
      <c r="D3155" s="13" t="n">
        <v>42</v>
      </c>
      <c r="E3155" s="10">
        <f>IF(D3155&gt;0,VLOOKUP(OPERAC[[#This Row],[COD CART]],[1]!MatrizCortoLargoCyl[#All],3,0),"")</f>
        <v/>
      </c>
      <c r="F3155" s="13" t="inlineStr">
        <is>
          <t>FB</t>
        </is>
      </c>
      <c r="G3155" s="6" t="n">
        <v>3</v>
      </c>
      <c r="H3155" s="6" t="n">
        <v>-636.4691399999999</v>
      </c>
      <c r="I3155" s="7">
        <f>-H3155/G3155</f>
        <v/>
      </c>
      <c r="J3155" s="11" t="n">
        <v>44671</v>
      </c>
      <c r="K3155" s="6">
        <f>+OPERAC[[#This Row],[cantidad]]</f>
        <v/>
      </c>
      <c r="L3155" s="6">
        <f>+OPERAC[[#This Row],[cantidad venta]]*213.173</f>
        <v/>
      </c>
      <c r="M3155" s="7">
        <f>IF(N3155=0,+L3155+H3155,0)</f>
        <v/>
      </c>
      <c r="N3155" s="7">
        <f>IF((+G3155-K3155)=0,0,+G3155-K3155)</f>
        <v/>
      </c>
      <c r="O3155" s="7">
        <f>IF(N3155=0,0,(L3155+H3155)/-N3155)</f>
        <v/>
      </c>
      <c r="P3155" s="7">
        <f>VLOOKUP(OPERAC[[#This Row],[especie]],[1]!ESPECIES[#All],6,0)</f>
        <v/>
      </c>
      <c r="Q3155" s="7">
        <f>IF(N3155&lt;&gt;0,P3155*N3155,0)</f>
        <v/>
      </c>
      <c r="R3155" s="8">
        <f>IF(Q3155&lt;&gt;0,Q3155+H3155+L3155,0)</f>
        <v/>
      </c>
      <c r="S3155" s="9">
        <f>VLOOKUP(OPERAC[[#This Row],[especie]],[1]!ESPECIES[#Data],9,FALSE)</f>
        <v/>
      </c>
    </row>
    <row r="3156">
      <c r="A3156" s="4" t="n">
        <v>7867</v>
      </c>
      <c r="B3156" s="5" t="n">
        <v>44641</v>
      </c>
      <c r="C3156" s="13" t="inlineStr">
        <is>
          <t>VTA</t>
        </is>
      </c>
      <c r="D3156" s="13" t="n">
        <v>42</v>
      </c>
      <c r="E3156" s="10">
        <f>IF(D3156&gt;0,VLOOKUP(OPERAC[[#This Row],[COD CART]],[1]!MatrizCortoLargoCyl[#All],3,0),"")</f>
        <v/>
      </c>
      <c r="F3156" s="13" t="inlineStr">
        <is>
          <t>FB</t>
        </is>
      </c>
      <c r="G3156" s="6" t="n">
        <v>3</v>
      </c>
      <c r="H3156" s="6" t="n">
        <v>-636.4691399999999</v>
      </c>
      <c r="I3156" s="7">
        <f>-H3156/G3156</f>
        <v/>
      </c>
      <c r="J3156" s="11" t="n">
        <v>44671</v>
      </c>
      <c r="K3156" s="6">
        <f>+OPERAC[[#This Row],[cantidad]]</f>
        <v/>
      </c>
      <c r="L3156" s="6">
        <f>+OPERAC[[#This Row],[cantidad venta]]*213.173</f>
        <v/>
      </c>
      <c r="M3156" s="7">
        <f>IF(N3156=0,+L3156+H3156,0)</f>
        <v/>
      </c>
      <c r="N3156" s="7">
        <f>IF((+G3156-K3156)=0,0,+G3156-K3156)</f>
        <v/>
      </c>
      <c r="O3156" s="7">
        <f>IF(N3156=0,0,(L3156+H3156)/-N3156)</f>
        <v/>
      </c>
      <c r="P3156" s="7">
        <f>VLOOKUP(OPERAC[[#This Row],[especie]],[1]!ESPECIES[#All],6,0)</f>
        <v/>
      </c>
      <c r="Q3156" s="7">
        <f>IF(N3156&lt;&gt;0,P3156*N3156,0)</f>
        <v/>
      </c>
      <c r="R3156" s="8">
        <f>IF(Q3156&lt;&gt;0,Q3156+H3156+L3156,0)</f>
        <v/>
      </c>
      <c r="S3156" s="9">
        <f>VLOOKUP(OPERAC[[#This Row],[especie]],[1]!ESPECIES[#Data],9,FALSE)</f>
        <v/>
      </c>
    </row>
    <row r="3157">
      <c r="A3157" s="4" t="n">
        <v>7895</v>
      </c>
      <c r="B3157" s="5" t="n">
        <v>44641</v>
      </c>
      <c r="C3157" s="13" t="inlineStr">
        <is>
          <t>VTA</t>
        </is>
      </c>
      <c r="D3157" s="13" t="n">
        <v>42</v>
      </c>
      <c r="E3157" s="10">
        <f>IF(D3157&gt;0,VLOOKUP(OPERAC[[#This Row],[COD CART]],[1]!MatrizCortoLargoCyl[#All],3,0),"")</f>
        <v/>
      </c>
      <c r="F3157" s="13" t="inlineStr">
        <is>
          <t>FB</t>
        </is>
      </c>
      <c r="G3157" s="6" t="n">
        <v>3</v>
      </c>
      <c r="H3157" s="6" t="n">
        <v>-636.4691399999999</v>
      </c>
      <c r="I3157" s="7">
        <f>-H3157/G3157</f>
        <v/>
      </c>
      <c r="J3157" s="11" t="n">
        <v>44671</v>
      </c>
      <c r="K3157" s="6">
        <f>+OPERAC[[#This Row],[cantidad]]</f>
        <v/>
      </c>
      <c r="L3157" s="6">
        <f>+OPERAC[[#This Row],[cantidad venta]]*213.173</f>
        <v/>
      </c>
      <c r="M3157" s="7">
        <f>IF(N3157=0,+L3157+H3157,0)</f>
        <v/>
      </c>
      <c r="N3157" s="7">
        <f>IF((+G3157-K3157)=0,0,+G3157-K3157)</f>
        <v/>
      </c>
      <c r="O3157" s="7">
        <f>IF(N3157=0,0,(L3157+H3157)/-N3157)</f>
        <v/>
      </c>
      <c r="P3157" s="7">
        <f>VLOOKUP(OPERAC[[#This Row],[especie]],[1]!ESPECIES[#All],6,0)</f>
        <v/>
      </c>
      <c r="Q3157" s="7">
        <f>IF(N3157&lt;&gt;0,P3157*N3157,0)</f>
        <v/>
      </c>
      <c r="R3157" s="8">
        <f>IF(Q3157&lt;&gt;0,Q3157+H3157+L3157,0)</f>
        <v/>
      </c>
      <c r="S3157" s="9">
        <f>VLOOKUP(OPERAC[[#This Row],[especie]],[1]!ESPECIES[#Data],9,FALSE)</f>
        <v/>
      </c>
    </row>
    <row r="3158">
      <c r="A3158" s="4" t="n">
        <v>13230</v>
      </c>
      <c r="B3158" s="5" t="n">
        <v>44641</v>
      </c>
      <c r="C3158" s="13" t="inlineStr">
        <is>
          <t>VTA</t>
        </is>
      </c>
      <c r="D3158" s="13" t="n">
        <v>42</v>
      </c>
      <c r="E3158" s="10">
        <f>IF(D3158&gt;0,VLOOKUP(OPERAC[[#This Row],[COD CART]],[1]!MatrizCortoLargoCyl[#All],3,0),"")</f>
        <v/>
      </c>
      <c r="F3158" s="13" t="inlineStr">
        <is>
          <t>FB</t>
        </is>
      </c>
      <c r="G3158" s="6" t="n">
        <v>3</v>
      </c>
      <c r="H3158" s="6" t="n">
        <v>-636.4691399999999</v>
      </c>
      <c r="I3158" s="7">
        <f>-H3158/G3158</f>
        <v/>
      </c>
      <c r="J3158" s="11" t="n">
        <v>44645</v>
      </c>
      <c r="K3158" s="6">
        <f>2+1</f>
        <v/>
      </c>
      <c r="L3158" s="6">
        <f>444.13+213.17</f>
        <v/>
      </c>
      <c r="M3158" s="7">
        <f>IF(N3158=0,+L3158+H3158,0)</f>
        <v/>
      </c>
      <c r="N3158" s="7">
        <f>IF((+G3158-K3158)=0,0,+G3158-K3158)</f>
        <v/>
      </c>
      <c r="O3158" s="7">
        <f>IF(N3158=0,0,(L3158+H3158)/-N3158)</f>
        <v/>
      </c>
      <c r="P3158" s="7">
        <f>VLOOKUP(OPERAC[[#This Row],[especie]],[1]!ESPECIES[#All],6,0)</f>
        <v/>
      </c>
      <c r="Q3158" s="7">
        <f>IF(N3158&lt;&gt;0,P3158*N3158,0)</f>
        <v/>
      </c>
      <c r="R3158" s="8">
        <f>IF(Q3158&lt;&gt;0,Q3158+H3158+L3158,0)</f>
        <v/>
      </c>
      <c r="S3158" s="9">
        <f>VLOOKUP(OPERAC[[#This Row],[especie]],[1]!ESPECIES[#Data],9,FALSE)</f>
        <v/>
      </c>
    </row>
    <row r="3159">
      <c r="A3159" s="4" t="n">
        <v>12619</v>
      </c>
      <c r="B3159" s="5" t="n">
        <v>44641</v>
      </c>
      <c r="C3159" s="13" t="inlineStr">
        <is>
          <t>VTA</t>
        </is>
      </c>
      <c r="D3159" s="13" t="n">
        <v>42</v>
      </c>
      <c r="E3159" s="10">
        <f>IF(D3159&gt;0,VLOOKUP(OPERAC[[#This Row],[COD CART]],[1]!MatrizCortoLargoCyl[#All],3,0),"")</f>
        <v/>
      </c>
      <c r="F3159" s="13" t="inlineStr">
        <is>
          <t>FB</t>
        </is>
      </c>
      <c r="G3159" s="6" t="n">
        <v>3</v>
      </c>
      <c r="H3159" s="6" t="n">
        <v>-636.4691399999999</v>
      </c>
      <c r="I3159" s="7">
        <f>-H3159/G3159</f>
        <v/>
      </c>
      <c r="J3159" s="11" t="n">
        <v>44671</v>
      </c>
      <c r="K3159" s="6">
        <f>+OPERAC[[#This Row],[cantidad]]</f>
        <v/>
      </c>
      <c r="L3159" s="6">
        <f>+OPERAC[[#This Row],[cantidad venta]]*213.173</f>
        <v/>
      </c>
      <c r="M3159" s="7">
        <f>IF(N3159=0,+L3159+H3159,0)</f>
        <v/>
      </c>
      <c r="N3159" s="7">
        <f>IF((+G3159-K3159)=0,0,+G3159-K3159)</f>
        <v/>
      </c>
      <c r="O3159" s="7">
        <f>IF(N3159=0,0,(L3159+H3159)/-N3159)</f>
        <v/>
      </c>
      <c r="P3159" s="7">
        <f>VLOOKUP(OPERAC[[#This Row],[especie]],[1]!ESPECIES[#All],6,0)</f>
        <v/>
      </c>
      <c r="Q3159" s="7">
        <f>IF(N3159&lt;&gt;0,P3159*N3159,0)</f>
        <v/>
      </c>
      <c r="R3159" s="8">
        <f>IF(Q3159&lt;&gt;0,Q3159+H3159+L3159,0)</f>
        <v/>
      </c>
      <c r="S3159" s="9">
        <f>VLOOKUP(OPERAC[[#This Row],[especie]],[1]!ESPECIES[#Data],9,FALSE)</f>
        <v/>
      </c>
    </row>
    <row r="3160">
      <c r="A3160" s="4" t="n">
        <v>13180</v>
      </c>
      <c r="B3160" s="5" t="n">
        <v>44641</v>
      </c>
      <c r="C3160" s="13" t="inlineStr">
        <is>
          <t>VTA</t>
        </is>
      </c>
      <c r="D3160" s="13" t="n">
        <v>42</v>
      </c>
      <c r="E3160" s="10">
        <f>IF(D3160&gt;0,VLOOKUP(OPERAC[[#This Row],[COD CART]],[1]!MatrizCortoLargoCyl[#All],3,0),"")</f>
        <v/>
      </c>
      <c r="F3160" s="13" t="inlineStr">
        <is>
          <t>FB</t>
        </is>
      </c>
      <c r="G3160" s="6" t="n">
        <v>3</v>
      </c>
      <c r="H3160" s="6" t="n">
        <v>-636.4691399999999</v>
      </c>
      <c r="I3160" s="7">
        <f>-H3160/G3160</f>
        <v/>
      </c>
      <c r="J3160" s="11" t="n">
        <v>44671</v>
      </c>
      <c r="K3160" s="6">
        <f>+OPERAC[[#This Row],[cantidad]]</f>
        <v/>
      </c>
      <c r="L3160" s="6">
        <f>+OPERAC[[#This Row],[cantidad venta]]*213.173</f>
        <v/>
      </c>
      <c r="M3160" s="7">
        <f>IF(N3160=0,+L3160+H3160,0)</f>
        <v/>
      </c>
      <c r="N3160" s="7">
        <f>IF((+G3160-K3160)=0,0,+G3160-K3160)</f>
        <v/>
      </c>
      <c r="O3160" s="7">
        <f>IF(N3160=0,0,(L3160+H3160)/-N3160)</f>
        <v/>
      </c>
      <c r="P3160" s="7">
        <f>VLOOKUP(OPERAC[[#This Row],[especie]],[1]!ESPECIES[#All],6,0)</f>
        <v/>
      </c>
      <c r="Q3160" s="7">
        <f>IF(N3160&lt;&gt;0,P3160*N3160,0)</f>
        <v/>
      </c>
      <c r="R3160" s="8">
        <f>IF(Q3160&lt;&gt;0,Q3160+H3160+L3160,0)</f>
        <v/>
      </c>
      <c r="S3160" s="9">
        <f>VLOOKUP(OPERAC[[#This Row],[especie]],[1]!ESPECIES[#Data],9,FALSE)</f>
        <v/>
      </c>
    </row>
    <row r="3161">
      <c r="A3161" s="4" t="n">
        <v>18662</v>
      </c>
      <c r="B3161" s="5" t="n">
        <v>44641</v>
      </c>
      <c r="C3161" s="13" t="inlineStr">
        <is>
          <t>VTA</t>
        </is>
      </c>
      <c r="D3161" s="13" t="n">
        <v>42</v>
      </c>
      <c r="E3161" s="10">
        <f>IF(D3161&gt;0,VLOOKUP(OPERAC[[#This Row],[COD CART]],[1]!MatrizCortoLargoCyl[#All],3,0),"")</f>
        <v/>
      </c>
      <c r="F3161" s="13" t="inlineStr">
        <is>
          <t>FB</t>
        </is>
      </c>
      <c r="G3161" s="6" t="n">
        <v>3</v>
      </c>
      <c r="H3161" s="6" t="n">
        <v>-636.4691399999999</v>
      </c>
      <c r="I3161" s="7">
        <f>-H3161/G3161</f>
        <v/>
      </c>
      <c r="J3161" s="11" t="n">
        <v>44671</v>
      </c>
      <c r="K3161" s="6">
        <f>+OPERAC[[#This Row],[cantidad]]</f>
        <v/>
      </c>
      <c r="L3161" s="6">
        <f>+OPERAC[[#This Row],[cantidad venta]]*213.173</f>
        <v/>
      </c>
      <c r="M3161" s="7">
        <f>IF(N3161=0,+L3161+H3161,0)</f>
        <v/>
      </c>
      <c r="N3161" s="7">
        <f>IF((+G3161-K3161)=0,0,+G3161-K3161)</f>
        <v/>
      </c>
      <c r="O3161" s="7">
        <f>IF(N3161=0,0,(L3161+H3161)/-N3161)</f>
        <v/>
      </c>
      <c r="P3161" s="7">
        <f>VLOOKUP(OPERAC[[#This Row],[especie]],[1]!ESPECIES[#All],6,0)</f>
        <v/>
      </c>
      <c r="Q3161" s="7">
        <f>IF(N3161&lt;&gt;0,P3161*N3161,0)</f>
        <v/>
      </c>
      <c r="R3161" s="8">
        <f>IF(Q3161&lt;&gt;0,Q3161+H3161+L3161,0)</f>
        <v/>
      </c>
      <c r="S3161" s="9">
        <f>VLOOKUP(OPERAC[[#This Row],[especie]],[1]!ESPECIES[#Data],9,FALSE)</f>
        <v/>
      </c>
    </row>
    <row r="3162">
      <c r="A3162" s="4" t="n">
        <v>18690</v>
      </c>
      <c r="B3162" s="5" t="n">
        <v>44641</v>
      </c>
      <c r="C3162" s="13" t="inlineStr">
        <is>
          <t>VTA</t>
        </is>
      </c>
      <c r="D3162" s="13" t="n">
        <v>42</v>
      </c>
      <c r="E3162" s="10">
        <f>IF(D3162&gt;0,VLOOKUP(OPERAC[[#This Row],[COD CART]],[1]!MatrizCortoLargoCyl[#All],3,0),"")</f>
        <v/>
      </c>
      <c r="F3162" s="13" t="inlineStr">
        <is>
          <t>FB</t>
        </is>
      </c>
      <c r="G3162" s="6" t="n">
        <v>3</v>
      </c>
      <c r="H3162" s="6" t="n">
        <v>-636.4691399999999</v>
      </c>
      <c r="I3162" s="7">
        <f>-H3162/G3162</f>
        <v/>
      </c>
      <c r="J3162" s="11" t="n">
        <v>44671</v>
      </c>
      <c r="K3162" s="6">
        <f>+OPERAC[[#This Row],[cantidad]]</f>
        <v/>
      </c>
      <c r="L3162" s="6">
        <f>+OPERAC[[#This Row],[cantidad venta]]*213.173</f>
        <v/>
      </c>
      <c r="M3162" s="7">
        <f>IF(N3162=0,+L3162+H3162,0)</f>
        <v/>
      </c>
      <c r="N3162" s="7">
        <f>IF((+G3162-K3162)=0,0,+G3162-K3162)</f>
        <v/>
      </c>
      <c r="O3162" s="7">
        <f>IF(N3162=0,0,(L3162+H3162)/-N3162)</f>
        <v/>
      </c>
      <c r="P3162" s="7">
        <f>VLOOKUP(OPERAC[[#This Row],[especie]],[1]!ESPECIES[#All],6,0)</f>
        <v/>
      </c>
      <c r="Q3162" s="7">
        <f>IF(N3162&lt;&gt;0,P3162*N3162,0)</f>
        <v/>
      </c>
      <c r="R3162" s="8">
        <f>IF(Q3162&lt;&gt;0,Q3162+H3162+L3162,0)</f>
        <v/>
      </c>
      <c r="S3162" s="9">
        <f>VLOOKUP(OPERAC[[#This Row],[especie]],[1]!ESPECIES[#Data],9,FALSE)</f>
        <v/>
      </c>
    </row>
    <row r="3163">
      <c r="A3163" s="4" t="n">
        <v>19888</v>
      </c>
      <c r="B3163" s="5" t="n">
        <v>44641</v>
      </c>
      <c r="C3163" s="13" t="inlineStr">
        <is>
          <t>VTA</t>
        </is>
      </c>
      <c r="D3163" s="13" t="n">
        <v>42</v>
      </c>
      <c r="E3163" s="10">
        <f>IF(D3163&gt;0,VLOOKUP(OPERAC[[#This Row],[COD CART]],[1]!MatrizCortoLargoCyl[#All],3,0),"")</f>
        <v/>
      </c>
      <c r="F3163" s="13" t="inlineStr">
        <is>
          <t>FB</t>
        </is>
      </c>
      <c r="G3163" s="6" t="n">
        <v>3</v>
      </c>
      <c r="H3163" s="6" t="n">
        <v>-636.4691399999999</v>
      </c>
      <c r="I3163" s="7">
        <f>-H3163/G3163</f>
        <v/>
      </c>
      <c r="J3163" s="11" t="n">
        <v>44671</v>
      </c>
      <c r="K3163" s="6">
        <f>+OPERAC[[#This Row],[cantidad]]</f>
        <v/>
      </c>
      <c r="L3163" s="6">
        <f>+OPERAC[[#This Row],[cantidad venta]]*213.173</f>
        <v/>
      </c>
      <c r="M3163" s="7">
        <f>IF(N3163=0,+L3163+H3163,0)</f>
        <v/>
      </c>
      <c r="N3163" s="7">
        <f>IF((+G3163-K3163)=0,0,+G3163-K3163)</f>
        <v/>
      </c>
      <c r="O3163" s="7">
        <f>IF(N3163=0,0,(L3163+H3163)/-N3163)</f>
        <v/>
      </c>
      <c r="P3163" s="7">
        <f>VLOOKUP(OPERAC[[#This Row],[especie]],[1]!ESPECIES[#All],6,0)</f>
        <v/>
      </c>
      <c r="Q3163" s="7">
        <f>IF(N3163&lt;&gt;0,P3163*N3163,0)</f>
        <v/>
      </c>
      <c r="R3163" s="8">
        <f>IF(Q3163&lt;&gt;0,Q3163+H3163+L3163,0)</f>
        <v/>
      </c>
      <c r="S3163" s="9">
        <f>VLOOKUP(OPERAC[[#This Row],[especie]],[1]!ESPECIES[#Data],9,FALSE)</f>
        <v/>
      </c>
    </row>
    <row r="3164">
      <c r="A3164" s="4" t="n">
        <v>20312</v>
      </c>
      <c r="B3164" s="5" t="n">
        <v>44641</v>
      </c>
      <c r="C3164" s="13" t="inlineStr">
        <is>
          <t>VTA</t>
        </is>
      </c>
      <c r="D3164" s="13" t="n">
        <v>42</v>
      </c>
      <c r="E3164" s="10">
        <f>IF(D3164&gt;0,VLOOKUP(OPERAC[[#This Row],[COD CART]],[1]!MatrizCortoLargoCyl[#All],3,0),"")</f>
        <v/>
      </c>
      <c r="F3164" s="13" t="inlineStr">
        <is>
          <t>FB</t>
        </is>
      </c>
      <c r="G3164" s="6" t="n">
        <v>3</v>
      </c>
      <c r="H3164" s="6" t="n">
        <v>-636.4691399999999</v>
      </c>
      <c r="I3164" s="7">
        <f>-H3164/G3164</f>
        <v/>
      </c>
      <c r="J3164" s="11" t="n">
        <v>44671</v>
      </c>
      <c r="K3164" s="6">
        <f>+OPERAC[[#This Row],[cantidad]]</f>
        <v/>
      </c>
      <c r="L3164" s="6">
        <f>+OPERAC[[#This Row],[cantidad venta]]*213.173</f>
        <v/>
      </c>
      <c r="M3164" s="7">
        <f>IF(N3164=0,+L3164+H3164,0)</f>
        <v/>
      </c>
      <c r="N3164" s="7">
        <f>IF((+G3164-K3164)=0,0,+G3164-K3164)</f>
        <v/>
      </c>
      <c r="O3164" s="7">
        <f>IF(N3164=0,0,(L3164+H3164)/-N3164)</f>
        <v/>
      </c>
      <c r="P3164" s="7">
        <f>VLOOKUP(OPERAC[[#This Row],[especie]],[1]!ESPECIES[#All],6,0)</f>
        <v/>
      </c>
      <c r="Q3164" s="7">
        <f>IF(N3164&lt;&gt;0,P3164*N3164,0)</f>
        <v/>
      </c>
      <c r="R3164" s="8">
        <f>IF(Q3164&lt;&gt;0,Q3164+H3164+L3164,0)</f>
        <v/>
      </c>
      <c r="S3164" s="9">
        <f>VLOOKUP(OPERAC[[#This Row],[especie]],[1]!ESPECIES[#Data],9,FALSE)</f>
        <v/>
      </c>
    </row>
    <row r="3165">
      <c r="A3165" s="4" t="n">
        <v>21070</v>
      </c>
      <c r="B3165" s="5" t="n">
        <v>44641</v>
      </c>
      <c r="C3165" s="13" t="inlineStr">
        <is>
          <t>VTA</t>
        </is>
      </c>
      <c r="D3165" s="13" t="n">
        <v>42</v>
      </c>
      <c r="E3165" s="10">
        <f>IF(D3165&gt;0,VLOOKUP(OPERAC[[#This Row],[COD CART]],[1]!MatrizCortoLargoCyl[#All],3,0),"")</f>
        <v/>
      </c>
      <c r="F3165" s="13" t="inlineStr">
        <is>
          <t>FB</t>
        </is>
      </c>
      <c r="G3165" s="6" t="n">
        <v>3</v>
      </c>
      <c r="H3165" s="6" t="n">
        <v>-636.4691399999999</v>
      </c>
      <c r="I3165" s="7">
        <f>-H3165/G3165</f>
        <v/>
      </c>
      <c r="J3165" s="11" t="n">
        <v>44671</v>
      </c>
      <c r="K3165" s="6">
        <f>+OPERAC[[#This Row],[cantidad]]</f>
        <v/>
      </c>
      <c r="L3165" s="6">
        <f>+OPERAC[[#This Row],[cantidad venta]]*213.173</f>
        <v/>
      </c>
      <c r="M3165" s="7">
        <f>IF(N3165=0,+L3165+H3165,0)</f>
        <v/>
      </c>
      <c r="N3165" s="7">
        <f>IF((+G3165-K3165)=0,0,+G3165-K3165)</f>
        <v/>
      </c>
      <c r="O3165" s="7">
        <f>IF(N3165=0,0,(L3165+H3165)/-N3165)</f>
        <v/>
      </c>
      <c r="P3165" s="7">
        <f>VLOOKUP(OPERAC[[#This Row],[especie]],[1]!ESPECIES[#All],6,0)</f>
        <v/>
      </c>
      <c r="Q3165" s="7">
        <f>IF(N3165&lt;&gt;0,P3165*N3165,0)</f>
        <v/>
      </c>
      <c r="R3165" s="8">
        <f>IF(Q3165&lt;&gt;0,Q3165+H3165+L3165,0)</f>
        <v/>
      </c>
      <c r="S3165" s="9">
        <f>VLOOKUP(OPERAC[[#This Row],[especie]],[1]!ESPECIES[#Data],9,FALSE)</f>
        <v/>
      </c>
    </row>
    <row r="3166">
      <c r="A3166" s="4" t="n">
        <v>22407</v>
      </c>
      <c r="B3166" s="5" t="n">
        <v>44641</v>
      </c>
      <c r="C3166" s="13" t="inlineStr">
        <is>
          <t>VTA</t>
        </is>
      </c>
      <c r="D3166" s="13" t="n">
        <v>42</v>
      </c>
      <c r="E3166" s="10">
        <f>IF(D3166&gt;0,VLOOKUP(OPERAC[[#This Row],[COD CART]],[1]!MatrizCortoLargoCyl[#All],3,0),"")</f>
        <v/>
      </c>
      <c r="F3166" s="13" t="inlineStr">
        <is>
          <t>FB</t>
        </is>
      </c>
      <c r="G3166" s="6" t="n">
        <v>3</v>
      </c>
      <c r="H3166" s="6" t="n">
        <v>-636.4691399999999</v>
      </c>
      <c r="I3166" s="7">
        <f>-H3166/G3166</f>
        <v/>
      </c>
      <c r="J3166" s="11" t="n">
        <v>44671</v>
      </c>
      <c r="K3166" s="6">
        <f>+OPERAC[[#This Row],[cantidad]]</f>
        <v/>
      </c>
      <c r="L3166" s="6">
        <f>+OPERAC[[#This Row],[cantidad venta]]*213.173</f>
        <v/>
      </c>
      <c r="M3166" s="7">
        <f>IF(N3166=0,+L3166+H3166,0)</f>
        <v/>
      </c>
      <c r="N3166" s="7">
        <f>IF((+G3166-K3166)=0,0,+G3166-K3166)</f>
        <v/>
      </c>
      <c r="O3166" s="7">
        <f>IF(N3166=0,0,(L3166+H3166)/-N3166)</f>
        <v/>
      </c>
      <c r="P3166" s="7">
        <f>VLOOKUP(OPERAC[[#This Row],[especie]],[1]!ESPECIES[#All],6,0)</f>
        <v/>
      </c>
      <c r="Q3166" s="7">
        <f>IF(N3166&lt;&gt;0,P3166*N3166,0)</f>
        <v/>
      </c>
      <c r="R3166" s="8">
        <f>IF(Q3166&lt;&gt;0,Q3166+H3166+L3166,0)</f>
        <v/>
      </c>
      <c r="S3166" s="9">
        <f>VLOOKUP(OPERAC[[#This Row],[especie]],[1]!ESPECIES[#Data],9,FALSE)</f>
        <v/>
      </c>
    </row>
    <row r="3167">
      <c r="A3167" s="4" t="n">
        <v>13253</v>
      </c>
      <c r="B3167" s="5" t="n">
        <v>44669</v>
      </c>
      <c r="C3167" s="13" t="inlineStr">
        <is>
          <t>VTA</t>
        </is>
      </c>
      <c r="D3167" s="13" t="n">
        <v>41</v>
      </c>
      <c r="E3167" s="10">
        <f>IF(D3167&gt;0,VLOOKUP(OPERAC[[#This Row],[COD CART]],[1]!MatrizCortoLargoCyl[#All],3,0),"")</f>
        <v/>
      </c>
      <c r="F3167" s="13" t="inlineStr">
        <is>
          <t>SFM</t>
        </is>
      </c>
      <c r="G3167" s="6" t="n">
        <v>20</v>
      </c>
      <c r="H3167" s="6" t="n">
        <v>-638.925</v>
      </c>
      <c r="I3167" s="7">
        <f>-H3167/G3167</f>
        <v/>
      </c>
      <c r="J3167" s="11" t="n"/>
      <c r="K3167" s="6" t="n"/>
      <c r="L3167" s="6" t="n"/>
      <c r="M3167" s="7">
        <f>IF(N3167=0,+L3167+H3167,0)</f>
        <v/>
      </c>
      <c r="N3167" s="7">
        <f>IF((+G3167-K3167)=0,0,+G3167-K3167)</f>
        <v/>
      </c>
      <c r="O3167" s="7">
        <f>IF(N3167=0,0,(L3167+H3167)/-N3167)</f>
        <v/>
      </c>
      <c r="P3167" s="7">
        <f>VLOOKUP(OPERAC[[#This Row],[especie]],[1]!ESPECIES[#All],6,0)</f>
        <v/>
      </c>
      <c r="Q3167" s="7">
        <f>IF(N3167&lt;&gt;0,P3167*N3167,0)</f>
        <v/>
      </c>
      <c r="R3167" s="8">
        <f>IF(Q3167&lt;&gt;0,Q3167+H3167+L3167,0)</f>
        <v/>
      </c>
      <c r="S3167" s="9">
        <f>VLOOKUP(OPERAC[[#This Row],[especie]],[1]!ESPECIES[#Data],9,FALSE)</f>
        <v/>
      </c>
    </row>
    <row r="3168">
      <c r="A3168" s="4" t="n">
        <v>1817</v>
      </c>
      <c r="B3168" s="5" t="n">
        <v>44690</v>
      </c>
      <c r="C3168" s="13" t="inlineStr">
        <is>
          <t>VTA</t>
        </is>
      </c>
      <c r="D3168" s="13" t="n">
        <v>32</v>
      </c>
      <c r="E3168" s="10">
        <f>IF(D3168&gt;0,VLOOKUP(OPERAC[[#This Row],[COD CART]],[1]!MatrizCortoLargoCyl[#All],3,0),"")</f>
        <v/>
      </c>
      <c r="F3168" s="13" t="inlineStr">
        <is>
          <t>COTY/CYL/7,00/17-06-22</t>
        </is>
      </c>
      <c r="G3168" s="6" t="n">
        <v>100</v>
      </c>
      <c r="H3168" s="6">
        <f>-653.983+14.873</f>
        <v/>
      </c>
      <c r="I3168" s="7">
        <f>-H3168/G3168</f>
        <v/>
      </c>
      <c r="J3168" s="11" t="n"/>
      <c r="K3168" s="6" t="n"/>
      <c r="L3168" s="6" t="n"/>
      <c r="M3168" s="7">
        <f>IF(N3168=0,+L3168+H3168,0)</f>
        <v/>
      </c>
      <c r="N3168" s="7">
        <f>IF((+G3168-K3168)=0,0,+G3168-K3168)</f>
        <v/>
      </c>
      <c r="O3168" s="7">
        <f>IF(N3168=0,0,(L3168+H3168)/-N3168)</f>
        <v/>
      </c>
      <c r="P3168" s="7">
        <f>VLOOKUP(OPERAC[[#This Row],[especie]],[1]!ESPECIES[#All],6,0)</f>
        <v/>
      </c>
      <c r="Q3168" s="7">
        <f>IF(N3168&lt;&gt;0,P3168*N3168,0)</f>
        <v/>
      </c>
      <c r="R3168" s="8">
        <f>IF(Q3168&lt;&gt;0,Q3168+H3168+L3168,0)</f>
        <v/>
      </c>
      <c r="S3168" s="9">
        <f>VLOOKUP(OPERAC[[#This Row],[especie]],[1]!ESPECIES[#Data],9,FALSE)</f>
        <v/>
      </c>
    </row>
    <row r="3169">
      <c r="A3169" s="4" t="n">
        <v>2289</v>
      </c>
      <c r="B3169" s="5" t="n">
        <v>44649</v>
      </c>
      <c r="C3169" s="13" t="inlineStr">
        <is>
          <t>VTA</t>
        </is>
      </c>
      <c r="D3169" s="13" t="n">
        <v>32</v>
      </c>
      <c r="E3169" s="10">
        <f>IF(D3169&gt;0,VLOOKUP(OPERAC[[#This Row],[COD CART]],[1]!MatrizCortoLargoCyl[#All],3,0),"")</f>
        <v/>
      </c>
      <c r="F3169" s="13" t="inlineStr">
        <is>
          <t>TLRY/CYL/7,00/15-07-22</t>
        </is>
      </c>
      <c r="G3169" s="6" t="n">
        <v>100</v>
      </c>
      <c r="H3169" s="6">
        <f>-672.216+18.839+13.881</f>
        <v/>
      </c>
      <c r="I3169" s="7">
        <f>-H3169/G3169</f>
        <v/>
      </c>
      <c r="J3169" s="11" t="n"/>
      <c r="K3169" s="6" t="n"/>
      <c r="L3169" s="6" t="n"/>
      <c r="M3169" s="7">
        <f>IF(N3169=0,+L3169+H3169,0)</f>
        <v/>
      </c>
      <c r="N3169" s="7">
        <f>IF((+G3169-K3169)=0,0,+G3169-K3169)</f>
        <v/>
      </c>
      <c r="O3169" s="7">
        <f>IF(N3169=0,0,(L3169+H3169)/-N3169)</f>
        <v/>
      </c>
      <c r="P3169" s="7">
        <f>VLOOKUP(OPERAC[[#This Row],[especie]],[1]!ESPECIES[#All],6,0)</f>
        <v/>
      </c>
      <c r="Q3169" s="7">
        <f>IF(N3169&lt;&gt;0,P3169*N3169,0)</f>
        <v/>
      </c>
      <c r="R3169" s="8">
        <f>IF(Q3169&lt;&gt;0,Q3169+H3169+L3169,0)</f>
        <v/>
      </c>
      <c r="S3169" s="9">
        <f>VLOOKUP(OPERAC[[#This Row],[especie]],[1]!ESPECIES[#Data],9,FALSE)</f>
        <v/>
      </c>
    </row>
    <row r="3170">
      <c r="A3170" s="4" t="n">
        <v>3823</v>
      </c>
      <c r="B3170" s="5" t="n">
        <v>44704</v>
      </c>
      <c r="C3170" s="13" t="inlineStr">
        <is>
          <t>VTA</t>
        </is>
      </c>
      <c r="D3170" s="13" t="n">
        <v>32</v>
      </c>
      <c r="E3170" s="10">
        <f>IF(D3170&gt;0,VLOOKUP(OPERAC[[#This Row],[COD CART]],[1]!MatrizCortoLargoCyl[#All],3,0),"")</f>
        <v/>
      </c>
      <c r="F3170" s="13" t="inlineStr">
        <is>
          <t>CRESY/CYL/7,50/17-06-22</t>
        </is>
      </c>
      <c r="G3170" s="6" t="n">
        <v>100</v>
      </c>
      <c r="H3170" s="6" t="n">
        <v>-641.75</v>
      </c>
      <c r="I3170" s="7">
        <f>-H3170/G3170</f>
        <v/>
      </c>
      <c r="J3170" s="5" t="n"/>
      <c r="K3170" s="6" t="n"/>
      <c r="L3170" s="6" t="n"/>
      <c r="M3170" s="7">
        <f>IF(N3170=0,+L3170+H3170,0)</f>
        <v/>
      </c>
      <c r="N3170" s="7">
        <f>IF((+G3170-K3170)=0,0,+G3170-K3170)</f>
        <v/>
      </c>
      <c r="O3170" s="7">
        <f>IF(N3170=0,0,(L3170+H3170)/-N3170)</f>
        <v/>
      </c>
      <c r="P3170" s="7">
        <f>VLOOKUP(OPERAC[[#This Row],[especie]],[1]!ESPECIES[#All],6,0)</f>
        <v/>
      </c>
      <c r="Q3170" s="7">
        <f>IF(N3170&lt;&gt;0,P3170*N3170,0)</f>
        <v/>
      </c>
      <c r="R3170" s="8">
        <f>IF(Q3170&lt;&gt;0,Q3170+H3170+L3170,0)</f>
        <v/>
      </c>
      <c r="S3170" s="9">
        <f>VLOOKUP(OPERAC[[#This Row],[especie]],[1]!ESPECIES[#Data],9,FALSE)</f>
        <v/>
      </c>
    </row>
    <row r="3171">
      <c r="A3171" s="4" t="n">
        <v>2257</v>
      </c>
      <c r="B3171" s="5" t="n">
        <v>44652</v>
      </c>
      <c r="C3171" s="13" t="inlineStr">
        <is>
          <t>VTA</t>
        </is>
      </c>
      <c r="D3171" s="13" t="n">
        <v>42</v>
      </c>
      <c r="E3171" s="10">
        <f>IF(D3171&gt;0,VLOOKUP(OPERAC[[#This Row],[COD CART]],[1]!MatrizCortoLargoCyl[#All],3,0),"")</f>
        <v/>
      </c>
      <c r="F3171" s="13" t="inlineStr">
        <is>
          <t>GBTC</t>
        </is>
      </c>
      <c r="G3171" s="6" t="n">
        <v>20</v>
      </c>
      <c r="H3171" s="6" t="n">
        <v>-642.196</v>
      </c>
      <c r="I3171" s="7">
        <f>-H3171/G3171</f>
        <v/>
      </c>
      <c r="J3171" s="11" t="n">
        <v>44662</v>
      </c>
      <c r="K3171" s="6">
        <f>+OPERAC[[#This Row],[cantidad]]</f>
        <v/>
      </c>
      <c r="L3171" s="6">
        <f>27.99*OPERAC[[#This Row],[cantidad venta]]</f>
        <v/>
      </c>
      <c r="M3171" s="7">
        <f>IF(N3171=0,+L3171+H3171,0)</f>
        <v/>
      </c>
      <c r="N3171" s="7">
        <f>IF((+G3171-K3171)=0,0,+G3171-K3171)</f>
        <v/>
      </c>
      <c r="O3171" s="7">
        <f>IF(N3171=0,0,(L3171+H3171)/-N3171)</f>
        <v/>
      </c>
      <c r="P3171" s="7">
        <f>VLOOKUP(OPERAC[[#This Row],[especie]],[1]!ESPECIES[#All],6,0)</f>
        <v/>
      </c>
      <c r="Q3171" s="7">
        <f>IF(N3171&lt;&gt;0,P3171*N3171,0)</f>
        <v/>
      </c>
      <c r="R3171" s="8">
        <f>IF(Q3171&lt;&gt;0,Q3171+H3171+L3171,0)</f>
        <v/>
      </c>
      <c r="S3171" s="9">
        <f>VLOOKUP(OPERAC[[#This Row],[especie]],[1]!ESPECIES[#Data],9,FALSE)</f>
        <v/>
      </c>
    </row>
    <row r="3172">
      <c r="A3172" s="4" t="n">
        <v>12662</v>
      </c>
      <c r="B3172" s="5" t="n">
        <v>44652</v>
      </c>
      <c r="C3172" s="13" t="inlineStr">
        <is>
          <t>VTA</t>
        </is>
      </c>
      <c r="D3172" s="13" t="n">
        <v>42</v>
      </c>
      <c r="E3172" s="10">
        <f>IF(D3172&gt;0,VLOOKUP(OPERAC[[#This Row],[COD CART]],[1]!MatrizCortoLargoCyl[#All],3,0),"")</f>
        <v/>
      </c>
      <c r="F3172" s="13" t="inlineStr">
        <is>
          <t>GBTC</t>
        </is>
      </c>
      <c r="G3172" s="6" t="n">
        <v>20</v>
      </c>
      <c r="H3172" s="6" t="n">
        <v>-642.196</v>
      </c>
      <c r="I3172" s="7">
        <f>-H3172/G3172</f>
        <v/>
      </c>
      <c r="J3172" s="11" t="n">
        <v>44662</v>
      </c>
      <c r="K3172" s="6">
        <f>+OPERAC[[#This Row],[cantidad]]</f>
        <v/>
      </c>
      <c r="L3172" s="6">
        <f>27.99*OPERAC[[#This Row],[cantidad venta]]</f>
        <v/>
      </c>
      <c r="M3172" s="7">
        <f>IF(N3172=0,+L3172+H3172,0)</f>
        <v/>
      </c>
      <c r="N3172" s="7">
        <f>IF((+G3172-K3172)=0,0,+G3172-K3172)</f>
        <v/>
      </c>
      <c r="O3172" s="7">
        <f>IF(N3172=0,0,(L3172+H3172)/-N3172)</f>
        <v/>
      </c>
      <c r="P3172" s="7">
        <f>VLOOKUP(OPERAC[[#This Row],[especie]],[1]!ESPECIES[#All],6,0)</f>
        <v/>
      </c>
      <c r="Q3172" s="7">
        <f>IF(N3172&lt;&gt;0,P3172*N3172,0)</f>
        <v/>
      </c>
      <c r="R3172" s="8">
        <f>IF(Q3172&lt;&gt;0,Q3172+H3172+L3172,0)</f>
        <v/>
      </c>
      <c r="S3172" s="9">
        <f>VLOOKUP(OPERAC[[#This Row],[especie]],[1]!ESPECIES[#Data],9,FALSE)</f>
        <v/>
      </c>
    </row>
    <row r="3173">
      <c r="A3173" s="4" t="n">
        <v>1760</v>
      </c>
      <c r="B3173" s="5" t="n">
        <v>44657</v>
      </c>
      <c r="C3173" s="13" t="inlineStr">
        <is>
          <t>VTA</t>
        </is>
      </c>
      <c r="D3173" s="13" t="n">
        <v>41</v>
      </c>
      <c r="E3173" s="10">
        <f>IF(D3173&gt;0,VLOOKUP(OPERAC[[#This Row],[COD CART]],[1]!MatrizCortoLargoCyl[#All],3,0),"")</f>
        <v/>
      </c>
      <c r="F3173" s="13" t="inlineStr">
        <is>
          <t>TEO</t>
        </is>
      </c>
      <c r="G3173" s="6" t="n">
        <v>100</v>
      </c>
      <c r="H3173" s="6" t="n">
        <v>-643.36</v>
      </c>
      <c r="I3173" s="7">
        <f>-H3173/G3173</f>
        <v/>
      </c>
      <c r="J3173" s="11" t="n"/>
      <c r="K3173" s="6" t="n"/>
      <c r="L3173" s="6" t="n"/>
      <c r="M3173" s="7">
        <f>IF(N3173=0,+L3173+H3173,0)</f>
        <v/>
      </c>
      <c r="N3173" s="7">
        <f>IF((+G3173-K3173)=0,0,+G3173-K3173)</f>
        <v/>
      </c>
      <c r="O3173" s="7">
        <f>IF(N3173=0,0,(L3173+H3173)/-N3173)</f>
        <v/>
      </c>
      <c r="P3173" s="7">
        <f>VLOOKUP(OPERAC[[#This Row],[especie]],[1]!ESPECIES[#All],6,0)</f>
        <v/>
      </c>
      <c r="Q3173" s="7">
        <f>IF(N3173&lt;&gt;0,P3173*N3173,0)</f>
        <v/>
      </c>
      <c r="R3173" s="8">
        <f>IF(Q3173&lt;&gt;0,Q3173+H3173+L3173,0)</f>
        <v/>
      </c>
      <c r="S3173" s="9">
        <f>VLOOKUP(OPERAC[[#This Row],[especie]],[1]!ESPECIES[#Data],9,FALSE)</f>
        <v/>
      </c>
    </row>
    <row r="3174">
      <c r="A3174" s="4" t="n">
        <v>3832</v>
      </c>
      <c r="B3174" s="5" t="n">
        <v>44643</v>
      </c>
      <c r="C3174" s="13" t="inlineStr">
        <is>
          <t>VTA</t>
        </is>
      </c>
      <c r="D3174" s="13" t="n">
        <v>42</v>
      </c>
      <c r="E3174" s="10">
        <f>IF(D3174&gt;0,VLOOKUP(OPERAC[[#This Row],[COD CART]],[1]!MatrizCortoLargoCyl[#All],3,0),"")</f>
        <v/>
      </c>
      <c r="F3174" s="13" t="inlineStr">
        <is>
          <t>FB</t>
        </is>
      </c>
      <c r="G3174" s="6" t="n">
        <v>3</v>
      </c>
      <c r="H3174" s="6" t="n">
        <v>-643.86738</v>
      </c>
      <c r="I3174" s="7">
        <f>-H3174/G3174</f>
        <v/>
      </c>
      <c r="J3174" s="11" t="n">
        <v>44671</v>
      </c>
      <c r="K3174" s="6">
        <f>+OPERAC[[#This Row],[cantidad]]</f>
        <v/>
      </c>
      <c r="L3174" s="6">
        <f>+OPERAC[[#This Row],[cantidad venta]]*213.173</f>
        <v/>
      </c>
      <c r="M3174" s="7">
        <f>IF(N3174=0,+L3174+H3174,0)</f>
        <v/>
      </c>
      <c r="N3174" s="7">
        <f>IF((+G3174-K3174)=0,0,+G3174-K3174)</f>
        <v/>
      </c>
      <c r="O3174" s="7">
        <f>IF(N3174=0,0,(L3174+H3174)/-N3174)</f>
        <v/>
      </c>
      <c r="P3174" s="7">
        <f>VLOOKUP(OPERAC[[#This Row],[especie]],[1]!ESPECIES[#All],6,0)</f>
        <v/>
      </c>
      <c r="Q3174" s="7">
        <f>IF(N3174&lt;&gt;0,P3174*N3174,0)</f>
        <v/>
      </c>
      <c r="R3174" s="8">
        <f>IF(Q3174&lt;&gt;0,Q3174+H3174+L3174,0)</f>
        <v/>
      </c>
      <c r="S3174" s="9">
        <f>VLOOKUP(OPERAC[[#This Row],[especie]],[1]!ESPECIES[#Data],9,FALSE)</f>
        <v/>
      </c>
    </row>
    <row r="3175">
      <c r="A3175" s="4" t="n">
        <v>19867</v>
      </c>
      <c r="B3175" s="5" t="n">
        <v>44459</v>
      </c>
      <c r="C3175" s="13" t="inlineStr">
        <is>
          <t>VTA</t>
        </is>
      </c>
      <c r="D3175" s="13" t="n">
        <v>40</v>
      </c>
      <c r="E3175" s="10">
        <f>IF(D3175&gt;0,VLOOKUP(OPERAC[[#This Row],[COD CART]],[1]!MatrizCortoLargoCyl[#All],3,0),"")</f>
        <v/>
      </c>
      <c r="F3175" s="13" t="inlineStr">
        <is>
          <t>EDU</t>
        </is>
      </c>
      <c r="G3175" s="6" t="n">
        <v>700</v>
      </c>
      <c r="H3175" s="6">
        <f>-672+0.04*OPERAC[[#This Row],[cantidad]]</f>
        <v/>
      </c>
      <c r="I3175" s="7">
        <f>-H3175/G3175</f>
        <v/>
      </c>
      <c r="J3175" s="11" t="n">
        <v>44622</v>
      </c>
      <c r="K3175" s="6" t="n">
        <v>700</v>
      </c>
      <c r="L3175" s="6">
        <f>+OPERAC[[#This Row],[cantidad venta]]*1.378</f>
        <v/>
      </c>
      <c r="M3175" s="7">
        <f>IF(N3175=0,+L3175+H3175,0)</f>
        <v/>
      </c>
      <c r="N3175" s="7">
        <f>IF((+G3175-K3175)=0,0,+G3175-K3175)</f>
        <v/>
      </c>
      <c r="O3175" s="7">
        <f>IF(N3175=0,0,(L3175+H3175)/-N3175)</f>
        <v/>
      </c>
      <c r="P3175" s="7">
        <f>VLOOKUP(OPERAC[[#This Row],[especie]],[1]!ESPECIES[#All],6,0)</f>
        <v/>
      </c>
      <c r="Q3175" s="7">
        <f>IF(N3175&lt;&gt;0,P3175*N3175,0)</f>
        <v/>
      </c>
      <c r="R3175" s="8">
        <f>IF(Q3175&lt;&gt;0,Q3175+H3175+L3175,0)</f>
        <v/>
      </c>
      <c r="S3175" s="9">
        <f>VLOOKUP(OPERAC[[#This Row],[especie]],[1]!ESPECIES[#Data],9,FALSE)</f>
        <v/>
      </c>
    </row>
    <row r="3176">
      <c r="A3176" s="4" t="n">
        <v>12690</v>
      </c>
      <c r="B3176" s="5" t="n">
        <v>44649</v>
      </c>
      <c r="C3176" s="13" t="inlineStr">
        <is>
          <t>VTA</t>
        </is>
      </c>
      <c r="D3176" s="13" t="n">
        <v>32</v>
      </c>
      <c r="E3176" s="10">
        <f>IF(D3176&gt;0,VLOOKUP(OPERAC[[#This Row],[COD CART]],[1]!MatrizCortoLargoCyl[#All],3,0),"")</f>
        <v/>
      </c>
      <c r="F3176" s="13" t="inlineStr">
        <is>
          <t>TLRY</t>
        </is>
      </c>
      <c r="G3176" s="6" t="n">
        <v>100</v>
      </c>
      <c r="H3176" s="6">
        <f>-672.216+27.762</f>
        <v/>
      </c>
      <c r="I3176" s="7">
        <f>-H3176/G3176</f>
        <v/>
      </c>
      <c r="J3176" s="11" t="n"/>
      <c r="K3176" s="6" t="n"/>
      <c r="L3176" s="6" t="n"/>
      <c r="M3176" s="7">
        <f>IF(N3176=0,+L3176+H3176,0)</f>
        <v/>
      </c>
      <c r="N3176" s="7">
        <f>IF((+G3176-K3176)=0,0,+G3176-K3176)</f>
        <v/>
      </c>
      <c r="O3176" s="7">
        <f>IF(N3176=0,0,(L3176+H3176)/-N3176)</f>
        <v/>
      </c>
      <c r="P3176" s="7">
        <f>VLOOKUP(OPERAC[[#This Row],[especie]],[1]!ESPECIES[#All],6,0)</f>
        <v/>
      </c>
      <c r="Q3176" s="7">
        <f>IF(N3176&lt;&gt;0,P3176*N3176,0)</f>
        <v/>
      </c>
      <c r="R3176" s="8">
        <f>IF(Q3176&lt;&gt;0,Q3176+H3176+L3176,0)</f>
        <v/>
      </c>
      <c r="S3176" s="9">
        <f>VLOOKUP(OPERAC[[#This Row],[especie]],[1]!ESPECIES[#Data],9,FALSE)</f>
        <v/>
      </c>
    </row>
    <row r="3177">
      <c r="A3177" s="4" t="n">
        <v>8066</v>
      </c>
      <c r="B3177" s="5" t="n">
        <v>44698</v>
      </c>
      <c r="C3177" s="13" t="inlineStr">
        <is>
          <t>VTA</t>
        </is>
      </c>
      <c r="D3177" s="13" t="n">
        <v>32</v>
      </c>
      <c r="E3177" s="10">
        <f>IF(D3177&gt;0,VLOOKUP(OPERAC[[#This Row],[COD CART]],[1]!MatrizCortoLargoCyl[#All],3,0),"")</f>
        <v/>
      </c>
      <c r="F3177" s="13" t="inlineStr">
        <is>
          <t>COTY/CYL/8,50/01-07-22</t>
        </is>
      </c>
      <c r="G3177" s="6" t="n">
        <v>100</v>
      </c>
      <c r="H3177" s="6" t="n">
        <v>-644.551</v>
      </c>
      <c r="I3177" s="7">
        <f>-H3177/G3177</f>
        <v/>
      </c>
      <c r="J3177" s="11" t="n"/>
      <c r="K3177" s="6" t="n"/>
      <c r="L3177" s="6" t="n"/>
      <c r="M3177" s="7">
        <f>IF(N3177=0,+L3177+H3177,0)</f>
        <v/>
      </c>
      <c r="N3177" s="7">
        <f>IF((+G3177-K3177)=0,0,+G3177-K3177)</f>
        <v/>
      </c>
      <c r="O3177" s="7">
        <f>IF(N3177=0,0,(L3177+H3177)/-N3177)</f>
        <v/>
      </c>
      <c r="P3177" s="7">
        <f>VLOOKUP(OPERAC[[#This Row],[especie]],[1]!ESPECIES[#All],6,0)</f>
        <v/>
      </c>
      <c r="Q3177" s="7">
        <f>IF(N3177&lt;&gt;0,P3177*N3177,0)</f>
        <v/>
      </c>
      <c r="R3177" s="8">
        <f>IF(Q3177&lt;&gt;0,Q3177+H3177+L3177,0)</f>
        <v/>
      </c>
      <c r="S3177" s="9">
        <f>VLOOKUP(OPERAC[[#This Row],[especie]],[1]!ESPECIES[#Data],9,FALSE)</f>
        <v/>
      </c>
    </row>
    <row r="3178">
      <c r="A3178" s="4" t="n">
        <v>13253</v>
      </c>
      <c r="B3178" s="5" t="n">
        <v>44635</v>
      </c>
      <c r="C3178" s="13" t="inlineStr">
        <is>
          <t>VTA</t>
        </is>
      </c>
      <c r="D3178" s="13" t="n">
        <v>41</v>
      </c>
      <c r="E3178" s="10">
        <f>IF(D3178&gt;0,VLOOKUP(OPERAC[[#This Row],[COD CART]],[1]!MatrizCortoLargoCyl[#All],3,0),"")</f>
        <v/>
      </c>
      <c r="F3178" s="13" t="inlineStr">
        <is>
          <t>EWZ</t>
        </is>
      </c>
      <c r="G3178" s="6" t="n">
        <v>20</v>
      </c>
      <c r="H3178" s="6" t="n">
        <v>-646.729</v>
      </c>
      <c r="I3178" s="7">
        <f>-H3178/G3178</f>
        <v/>
      </c>
      <c r="J3178" s="11" t="n"/>
      <c r="K3178" s="6" t="n"/>
      <c r="L3178" s="6" t="n"/>
      <c r="M3178" s="7">
        <f>IF(N3178=0,+L3178+H3178,0)</f>
        <v/>
      </c>
      <c r="N3178" s="7">
        <f>IF((+G3178-K3178)=0,0,+G3178-K3178)</f>
        <v/>
      </c>
      <c r="O3178" s="7">
        <f>IF(N3178=0,0,(L3178+H3178)/-N3178)</f>
        <v/>
      </c>
      <c r="P3178" s="7">
        <f>VLOOKUP(OPERAC[[#This Row],[especie]],[1]!ESPECIES[#All],6,0)</f>
        <v/>
      </c>
      <c r="Q3178" s="7">
        <f>IF(N3178&lt;&gt;0,P3178*N3178,0)</f>
        <v/>
      </c>
      <c r="R3178" s="8">
        <f>IF(Q3178&lt;&gt;0,Q3178+H3178+L3178,0)</f>
        <v/>
      </c>
      <c r="S3178" s="9">
        <f>VLOOKUP(OPERAC[[#This Row],[especie]],[1]!ESPECIES[#Data],9,FALSE)</f>
        <v/>
      </c>
    </row>
    <row r="3179">
      <c r="A3179" s="4" t="n">
        <v>19878</v>
      </c>
      <c r="B3179" s="5" t="n">
        <v>44643</v>
      </c>
      <c r="C3179" s="13" t="inlineStr">
        <is>
          <t>VTA</t>
        </is>
      </c>
      <c r="D3179" s="13" t="n">
        <v>42</v>
      </c>
      <c r="E3179" s="10">
        <f>IF(D3179&gt;0,VLOOKUP(OPERAC[[#This Row],[COD CART]],[1]!MatrizCortoLargoCyl[#All],3,0),"")</f>
        <v/>
      </c>
      <c r="F3179" s="13" t="inlineStr">
        <is>
          <t>FB</t>
        </is>
      </c>
      <c r="G3179" s="6" t="n">
        <v>3</v>
      </c>
      <c r="H3179" s="6" t="n">
        <v>-647.08338</v>
      </c>
      <c r="I3179" s="7">
        <f>-H3179/G3179</f>
        <v/>
      </c>
      <c r="J3179" s="11" t="n">
        <v>44671</v>
      </c>
      <c r="K3179" s="6">
        <f>+OPERAC[[#This Row],[cantidad]]</f>
        <v/>
      </c>
      <c r="L3179" s="6">
        <f>+OPERAC[[#This Row],[cantidad venta]]*213.173</f>
        <v/>
      </c>
      <c r="M3179" s="7">
        <f>IF(N3179=0,+L3179+H3179,0)</f>
        <v/>
      </c>
      <c r="N3179" s="7">
        <f>IF((+G3179-K3179)=0,0,+G3179-K3179)</f>
        <v/>
      </c>
      <c r="O3179" s="7">
        <f>IF(N3179=0,0,(L3179+H3179)/-N3179)</f>
        <v/>
      </c>
      <c r="P3179" s="7">
        <f>VLOOKUP(OPERAC[[#This Row],[especie]],[1]!ESPECIES[#All],6,0)</f>
        <v/>
      </c>
      <c r="Q3179" s="7">
        <f>IF(N3179&lt;&gt;0,P3179*N3179,0)</f>
        <v/>
      </c>
      <c r="R3179" s="8">
        <f>IF(Q3179&lt;&gt;0,Q3179+H3179+L3179,0)</f>
        <v/>
      </c>
      <c r="S3179" s="9">
        <f>VLOOKUP(OPERAC[[#This Row],[especie]],[1]!ESPECIES[#Data],9,FALSE)</f>
        <v/>
      </c>
    </row>
    <row r="3180">
      <c r="A3180" s="4" t="n">
        <v>2217</v>
      </c>
      <c r="B3180" s="5" t="n">
        <v>44643</v>
      </c>
      <c r="C3180" s="13" t="inlineStr">
        <is>
          <t>VTA</t>
        </is>
      </c>
      <c r="D3180" s="13" t="n">
        <v>42</v>
      </c>
      <c r="E3180" s="10">
        <f>IF(D3180&gt;0,VLOOKUP(OPERAC[[#This Row],[COD CART]],[1]!MatrizCortoLargoCyl[#All],3,0),"")</f>
        <v/>
      </c>
      <c r="F3180" s="13" t="inlineStr">
        <is>
          <t>FB</t>
        </is>
      </c>
      <c r="G3180" s="6" t="n">
        <v>3</v>
      </c>
      <c r="H3180" s="6" t="n">
        <v>-648.36978</v>
      </c>
      <c r="I3180" s="7">
        <f>-H3180/G3180</f>
        <v/>
      </c>
      <c r="J3180" s="11" t="n">
        <v>44671</v>
      </c>
      <c r="K3180" s="6">
        <f>+OPERAC[[#This Row],[cantidad]]</f>
        <v/>
      </c>
      <c r="L3180" s="6">
        <f>+OPERAC[[#This Row],[cantidad venta]]*213.173</f>
        <v/>
      </c>
      <c r="M3180" s="7">
        <f>IF(N3180=0,+L3180+H3180,0)</f>
        <v/>
      </c>
      <c r="N3180" s="7">
        <f>IF((+G3180-K3180)=0,0,+G3180-K3180)</f>
        <v/>
      </c>
      <c r="O3180" s="7">
        <f>IF(N3180=0,0,(L3180+H3180)/-N3180)</f>
        <v/>
      </c>
      <c r="P3180" s="7">
        <f>VLOOKUP(OPERAC[[#This Row],[especie]],[1]!ESPECIES[#All],6,0)</f>
        <v/>
      </c>
      <c r="Q3180" s="7">
        <f>IF(N3180&lt;&gt;0,P3180*N3180,0)</f>
        <v/>
      </c>
      <c r="R3180" s="8">
        <f>IF(Q3180&lt;&gt;0,Q3180+H3180+L3180,0)</f>
        <v/>
      </c>
      <c r="S3180" s="9">
        <f>VLOOKUP(OPERAC[[#This Row],[especie]],[1]!ESPECIES[#Data],9,FALSE)</f>
        <v/>
      </c>
    </row>
    <row r="3181">
      <c r="A3181" s="4" t="n">
        <v>2257</v>
      </c>
      <c r="B3181" s="5" t="n">
        <v>44643</v>
      </c>
      <c r="C3181" s="13" t="inlineStr">
        <is>
          <t>VTA</t>
        </is>
      </c>
      <c r="D3181" s="13" t="n">
        <v>42</v>
      </c>
      <c r="E3181" s="10">
        <f>IF(D3181&gt;0,VLOOKUP(OPERAC[[#This Row],[COD CART]],[1]!MatrizCortoLargoCyl[#All],3,0),"")</f>
        <v/>
      </c>
      <c r="F3181" s="13" t="inlineStr">
        <is>
          <t>FB</t>
        </is>
      </c>
      <c r="G3181" s="6" t="n">
        <v>3</v>
      </c>
      <c r="H3181" s="6" t="n">
        <v>-648.36978</v>
      </c>
      <c r="I3181" s="7">
        <f>-H3181/G3181</f>
        <v/>
      </c>
      <c r="J3181" s="11" t="n">
        <v>44671</v>
      </c>
      <c r="K3181" s="6">
        <f>+OPERAC[[#This Row],[cantidad]]</f>
        <v/>
      </c>
      <c r="L3181" s="6">
        <f>+OPERAC[[#This Row],[cantidad venta]]*213.173</f>
        <v/>
      </c>
      <c r="M3181" s="7">
        <f>IF(N3181=0,+L3181+H3181,0)</f>
        <v/>
      </c>
      <c r="N3181" s="7">
        <f>IF((+G3181-K3181)=0,0,+G3181-K3181)</f>
        <v/>
      </c>
      <c r="O3181" s="7">
        <f>IF(N3181=0,0,(L3181+H3181)/-N3181)</f>
        <v/>
      </c>
      <c r="P3181" s="7">
        <f>VLOOKUP(OPERAC[[#This Row],[especie]],[1]!ESPECIES[#All],6,0)</f>
        <v/>
      </c>
      <c r="Q3181" s="7">
        <f>IF(N3181&lt;&gt;0,P3181*N3181,0)</f>
        <v/>
      </c>
      <c r="R3181" s="8">
        <f>IF(Q3181&lt;&gt;0,Q3181+H3181+L3181,0)</f>
        <v/>
      </c>
      <c r="S3181" s="9">
        <f>VLOOKUP(OPERAC[[#This Row],[especie]],[1]!ESPECIES[#Data],9,FALSE)</f>
        <v/>
      </c>
    </row>
    <row r="3182">
      <c r="A3182" s="4" t="n">
        <v>20317</v>
      </c>
      <c r="B3182" s="5" t="n">
        <v>44643</v>
      </c>
      <c r="C3182" s="13" t="inlineStr">
        <is>
          <t>VTA</t>
        </is>
      </c>
      <c r="D3182" s="13" t="n">
        <v>42</v>
      </c>
      <c r="E3182" s="10">
        <f>IF(D3182&gt;0,VLOOKUP(OPERAC[[#This Row],[COD CART]],[1]!MatrizCortoLargoCyl[#All],3,0),"")</f>
        <v/>
      </c>
      <c r="F3182" s="13" t="inlineStr">
        <is>
          <t>FB</t>
        </is>
      </c>
      <c r="G3182" s="6" t="n">
        <v>3</v>
      </c>
      <c r="H3182" s="6" t="n">
        <v>-648.36978</v>
      </c>
      <c r="I3182" s="7">
        <f>-H3182/G3182</f>
        <v/>
      </c>
      <c r="J3182" s="11" t="n">
        <v>44671</v>
      </c>
      <c r="K3182" s="6">
        <f>+OPERAC[[#This Row],[cantidad]]</f>
        <v/>
      </c>
      <c r="L3182" s="6">
        <f>+OPERAC[[#This Row],[cantidad venta]]*213.173</f>
        <v/>
      </c>
      <c r="M3182" s="7">
        <f>IF(N3182=0,+L3182+H3182,0)</f>
        <v/>
      </c>
      <c r="N3182" s="7">
        <f>IF((+G3182-K3182)=0,0,+G3182-K3182)</f>
        <v/>
      </c>
      <c r="O3182" s="7">
        <f>IF(N3182=0,0,(L3182+H3182)/-N3182)</f>
        <v/>
      </c>
      <c r="P3182" s="7">
        <f>VLOOKUP(OPERAC[[#This Row],[especie]],[1]!ESPECIES[#All],6,0)</f>
        <v/>
      </c>
      <c r="Q3182" s="7">
        <f>IF(N3182&lt;&gt;0,P3182*N3182,0)</f>
        <v/>
      </c>
      <c r="R3182" s="8">
        <f>IF(Q3182&lt;&gt;0,Q3182+H3182+L3182,0)</f>
        <v/>
      </c>
      <c r="S3182" s="9">
        <f>VLOOKUP(OPERAC[[#This Row],[especie]],[1]!ESPECIES[#Data],9,FALSE)</f>
        <v/>
      </c>
    </row>
    <row r="3183">
      <c r="A3183" s="4" t="n">
        <v>25070</v>
      </c>
      <c r="B3183" s="5" t="n">
        <v>44643</v>
      </c>
      <c r="C3183" s="13" t="inlineStr">
        <is>
          <t>VTA</t>
        </is>
      </c>
      <c r="D3183" s="13" t="n">
        <v>42</v>
      </c>
      <c r="E3183" s="10">
        <f>IF(D3183&gt;0,VLOOKUP(OPERAC[[#This Row],[COD CART]],[1]!MatrizCortoLargoCyl[#All],3,0),"")</f>
        <v/>
      </c>
      <c r="F3183" s="13" t="inlineStr">
        <is>
          <t>FB</t>
        </is>
      </c>
      <c r="G3183" s="6" t="n">
        <v>3</v>
      </c>
      <c r="H3183" s="6" t="n">
        <v>-648.36978</v>
      </c>
      <c r="I3183" s="7">
        <f>-H3183/G3183</f>
        <v/>
      </c>
      <c r="J3183" s="11" t="n">
        <v>44671</v>
      </c>
      <c r="K3183" s="6">
        <f>+OPERAC[[#This Row],[cantidad]]</f>
        <v/>
      </c>
      <c r="L3183" s="6">
        <f>+OPERAC[[#This Row],[cantidad venta]]*213.173</f>
        <v/>
      </c>
      <c r="M3183" s="7">
        <f>IF(N3183=0,+L3183+H3183,0)</f>
        <v/>
      </c>
      <c r="N3183" s="7">
        <f>IF((+G3183-K3183)=0,0,+G3183-K3183)</f>
        <v/>
      </c>
      <c r="O3183" s="7">
        <f>IF(N3183=0,0,(L3183+H3183)/-N3183)</f>
        <v/>
      </c>
      <c r="P3183" s="7">
        <f>VLOOKUP(OPERAC[[#This Row],[especie]],[1]!ESPECIES[#All],6,0)</f>
        <v/>
      </c>
      <c r="Q3183" s="7">
        <f>IF(N3183&lt;&gt;0,P3183*N3183,0)</f>
        <v/>
      </c>
      <c r="R3183" s="8">
        <f>IF(Q3183&lt;&gt;0,Q3183+H3183+L3183,0)</f>
        <v/>
      </c>
      <c r="S3183" s="9">
        <f>VLOOKUP(OPERAC[[#This Row],[especie]],[1]!ESPECIES[#Data],9,FALSE)</f>
        <v/>
      </c>
    </row>
    <row r="3184">
      <c r="A3184" s="4" t="n">
        <v>26140</v>
      </c>
      <c r="B3184" s="5" t="n">
        <v>44643</v>
      </c>
      <c r="C3184" s="13" t="inlineStr">
        <is>
          <t>VTA</t>
        </is>
      </c>
      <c r="D3184" s="13" t="n">
        <v>42</v>
      </c>
      <c r="E3184" s="10">
        <f>IF(D3184&gt;0,VLOOKUP(OPERAC[[#This Row],[COD CART]],[1]!MatrizCortoLargoCyl[#All],3,0),"")</f>
        <v/>
      </c>
      <c r="F3184" s="13" t="inlineStr">
        <is>
          <t>FB</t>
        </is>
      </c>
      <c r="G3184" s="6" t="n">
        <v>3</v>
      </c>
      <c r="H3184" s="6" t="n">
        <v>-648.36978</v>
      </c>
      <c r="I3184" s="7">
        <f>-H3184/G3184</f>
        <v/>
      </c>
      <c r="J3184" s="11" t="n">
        <v>44671</v>
      </c>
      <c r="K3184" s="6">
        <f>+OPERAC[[#This Row],[cantidad]]</f>
        <v/>
      </c>
      <c r="L3184" s="6">
        <f>+OPERAC[[#This Row],[cantidad venta]]*213.173</f>
        <v/>
      </c>
      <c r="M3184" s="7">
        <f>IF(N3184=0,+L3184+H3184,0)</f>
        <v/>
      </c>
      <c r="N3184" s="7">
        <f>IF((+G3184-K3184)=0,0,+G3184-K3184)</f>
        <v/>
      </c>
      <c r="O3184" s="7">
        <f>IF(N3184=0,0,(L3184+H3184)/-N3184)</f>
        <v/>
      </c>
      <c r="P3184" s="7">
        <f>VLOOKUP(OPERAC[[#This Row],[especie]],[1]!ESPECIES[#All],6,0)</f>
        <v/>
      </c>
      <c r="Q3184" s="7">
        <f>IF(N3184&lt;&gt;0,P3184*N3184,0)</f>
        <v/>
      </c>
      <c r="R3184" s="8">
        <f>IF(Q3184&lt;&gt;0,Q3184+H3184+L3184,0)</f>
        <v/>
      </c>
      <c r="S3184" s="9">
        <f>VLOOKUP(OPERAC[[#This Row],[especie]],[1]!ESPECIES[#Data],9,FALSE)</f>
        <v/>
      </c>
    </row>
    <row r="3185">
      <c r="A3185" s="4" t="n">
        <v>12686</v>
      </c>
      <c r="B3185" s="5" t="n">
        <v>44649</v>
      </c>
      <c r="C3185" s="13" t="inlineStr">
        <is>
          <t>VTA</t>
        </is>
      </c>
      <c r="D3185" s="13" t="n">
        <v>32</v>
      </c>
      <c r="E3185" s="10">
        <f>IF(D3185&gt;0,VLOOKUP(OPERAC[[#This Row],[COD CART]],[1]!MatrizCortoLargoCyl[#All],3,0),"")</f>
        <v/>
      </c>
      <c r="F3185" s="13" t="inlineStr">
        <is>
          <t>TLRY/CYL/7,00/15-07-22</t>
        </is>
      </c>
      <c r="G3185" s="6" t="n">
        <v>100</v>
      </c>
      <c r="H3185" s="6">
        <f>-672.216+9.915+13.881</f>
        <v/>
      </c>
      <c r="I3185" s="7">
        <f>-H3185/G3185</f>
        <v/>
      </c>
      <c r="J3185" s="11" t="n"/>
      <c r="K3185" s="6" t="n"/>
      <c r="L3185" s="6" t="n"/>
      <c r="M3185" s="7">
        <f>IF(N3185=0,+L3185+H3185,0)</f>
        <v/>
      </c>
      <c r="N3185" s="7">
        <f>IF((+G3185-K3185)=0,0,+G3185-K3185)</f>
        <v/>
      </c>
      <c r="O3185" s="7">
        <f>IF(N3185=0,0,(L3185+H3185)/-N3185)</f>
        <v/>
      </c>
      <c r="P3185" s="7">
        <f>VLOOKUP(OPERAC[[#This Row],[especie]],[1]!ESPECIES[#All],6,0)</f>
        <v/>
      </c>
      <c r="Q3185" s="7">
        <f>IF(N3185&lt;&gt;0,P3185*N3185,0)</f>
        <v/>
      </c>
      <c r="R3185" s="8">
        <f>IF(Q3185&lt;&gt;0,Q3185+H3185+L3185,0)</f>
        <v/>
      </c>
      <c r="S3185" s="9">
        <f>VLOOKUP(OPERAC[[#This Row],[especie]],[1]!ESPECIES[#Data],9,FALSE)</f>
        <v/>
      </c>
    </row>
    <row r="3186">
      <c r="A3186" s="4" t="n">
        <v>1792</v>
      </c>
      <c r="B3186" s="5" t="n">
        <v>44536</v>
      </c>
      <c r="C3186" s="13" t="inlineStr">
        <is>
          <t>VTA</t>
        </is>
      </c>
      <c r="D3186" s="13" t="n">
        <v>40</v>
      </c>
      <c r="E3186" s="10">
        <f>IF(D3186&gt;0,VLOOKUP(OPERAC[[#This Row],[COD CART]],[1]!MatrizCortoLargoCyl[#All],3,0),"")</f>
        <v/>
      </c>
      <c r="F3186" s="13" t="inlineStr">
        <is>
          <t>UVXY</t>
        </is>
      </c>
      <c r="G3186" s="6" t="n">
        <v>28</v>
      </c>
      <c r="H3186" s="6" t="n">
        <v>-649.0097599999999</v>
      </c>
      <c r="I3186" s="7">
        <f>-H3186/G3186</f>
        <v/>
      </c>
      <c r="J3186" s="11" t="n">
        <v>44571</v>
      </c>
      <c r="K3186" s="6">
        <f>+OPERAC[[#This Row],[cantidad]]</f>
        <v/>
      </c>
      <c r="L3186" s="6">
        <f>+OPERAC[[#This Row],[cantidad venta]]*14.135</f>
        <v/>
      </c>
      <c r="M3186" s="7">
        <f>IF(N3186=0,+L3186+H3186,0)</f>
        <v/>
      </c>
      <c r="N3186" s="7">
        <f>IF((+G3186-K3186)=0,0,+G3186-K3186)</f>
        <v/>
      </c>
      <c r="O3186" s="7">
        <f>IF(N3186=0,0,(L3186+H3186)/-N3186)</f>
        <v/>
      </c>
      <c r="P3186" s="7">
        <f>VLOOKUP(OPERAC[[#This Row],[especie]],[1]!ESPECIES[#All],6,0)</f>
        <v/>
      </c>
      <c r="Q3186" s="7">
        <f>IF(N3186&lt;&gt;0,P3186*N3186,0)</f>
        <v/>
      </c>
      <c r="R3186" s="8">
        <f>IF(Q3186&lt;&gt;0,Q3186+H3186+L3186,0)</f>
        <v/>
      </c>
      <c r="S3186" s="9">
        <f>VLOOKUP(OPERAC[[#This Row],[especie]],[1]!ESPECIES[#Data],9,FALSE)</f>
        <v/>
      </c>
    </row>
    <row r="3187">
      <c r="A3187" s="4" t="n">
        <v>13240</v>
      </c>
      <c r="B3187" s="5" t="n">
        <v>44453</v>
      </c>
      <c r="C3187" s="13" t="inlineStr">
        <is>
          <t>VTA</t>
        </is>
      </c>
      <c r="D3187" s="13" t="n">
        <v>32</v>
      </c>
      <c r="E3187" s="10">
        <f>IF(D3187&gt;0,VLOOKUP(OPERAC[[#This Row],[COD CART]],[1]!MatrizCortoLargoCyl[#All],3,0),"")</f>
        <v/>
      </c>
      <c r="F3187" s="13" t="inlineStr">
        <is>
          <t>GMBL/CYL/7,50/21-01-22</t>
        </is>
      </c>
      <c r="G3187" s="6" t="n">
        <v>100</v>
      </c>
      <c r="H3187" s="6">
        <f>-702.83+31.802+21.796</f>
        <v/>
      </c>
      <c r="I3187" s="7">
        <f>-H3187/G3187</f>
        <v/>
      </c>
      <c r="J3187" s="11" t="n">
        <v>44573</v>
      </c>
      <c r="K3187" s="6" t="n">
        <v>100</v>
      </c>
      <c r="L3187" s="6" t="n">
        <v>343.214</v>
      </c>
      <c r="M3187" s="7">
        <f>IF(N3187=0,+L3187+H3187,0)</f>
        <v/>
      </c>
      <c r="N3187" s="7">
        <f>IF((+G3187-K3187)=0,0,+G3187-K3187)</f>
        <v/>
      </c>
      <c r="O3187" s="7">
        <f>IF(N3187=0,0,(L3187+H3187)/-N3187)</f>
        <v/>
      </c>
      <c r="P3187" s="7">
        <f>VLOOKUP(OPERAC[[#This Row],[especie]],[1]!ESPECIES[#All],6,0)</f>
        <v/>
      </c>
      <c r="Q3187" s="7">
        <f>IF(N3187&lt;&gt;0,P3187*N3187,0)</f>
        <v/>
      </c>
      <c r="R3187" s="8">
        <f>IF(Q3187&lt;&gt;0,Q3187+H3187+L3187,0)</f>
        <v/>
      </c>
      <c r="S3187" s="9">
        <f>VLOOKUP(OPERAC[[#This Row],[especie]],[1]!ESPECIES[#Data],9,FALSE)</f>
        <v/>
      </c>
    </row>
    <row r="3188">
      <c r="A3188" s="4" t="n">
        <v>18663</v>
      </c>
      <c r="B3188" s="5" t="n">
        <v>44483</v>
      </c>
      <c r="C3188" s="13" t="inlineStr">
        <is>
          <t>VTA</t>
        </is>
      </c>
      <c r="D3188" s="13" t="n">
        <v>41</v>
      </c>
      <c r="E3188" s="10">
        <f>IF(D3188&gt;0,VLOOKUP(OPERAC[[#This Row],[COD CART]],[1]!MatrizCortoLargoCyl[#All],3,0),"")</f>
        <v/>
      </c>
      <c r="F3188" s="13" t="inlineStr">
        <is>
          <t>GMBL</t>
        </is>
      </c>
      <c r="G3188" s="6">
        <f>50+50</f>
        <v/>
      </c>
      <c r="H3188" s="6">
        <f>-355.31-333.64+39.632</f>
        <v/>
      </c>
      <c r="I3188" s="7">
        <f>-H3188/G3188</f>
        <v/>
      </c>
      <c r="J3188" s="11" t="n"/>
      <c r="K3188" s="6" t="n"/>
      <c r="L3188" s="6" t="n"/>
      <c r="M3188" s="7">
        <f>IF(N3188=0,+L3188+H3188,0)</f>
        <v/>
      </c>
      <c r="N3188" s="7">
        <f>IF((+G3188-K3188)=0,0,+G3188-K3188)</f>
        <v/>
      </c>
      <c r="O3188" s="7">
        <f>IF(N3188=0,0,(L3188+H3188)/-N3188)</f>
        <v/>
      </c>
      <c r="P3188" s="7">
        <f>VLOOKUP(OPERAC[[#This Row],[especie]],[1]!ESPECIES[#All],6,0)</f>
        <v/>
      </c>
      <c r="Q3188" s="7">
        <f>IF(N3188&lt;&gt;0,P3188*N3188,0)</f>
        <v/>
      </c>
      <c r="R3188" s="8">
        <f>IF(Q3188&lt;&gt;0,Q3188+H3188+L3188,0)</f>
        <v/>
      </c>
      <c r="S3188" s="9">
        <f>VLOOKUP(OPERAC[[#This Row],[especie]],[1]!ESPECIES[#Data],9,FALSE)</f>
        <v/>
      </c>
    </row>
    <row r="3189">
      <c r="A3189" s="4" t="n">
        <v>7493</v>
      </c>
      <c r="B3189" s="5" t="n">
        <v>44529</v>
      </c>
      <c r="C3189" s="13" t="inlineStr">
        <is>
          <t>VTA</t>
        </is>
      </c>
      <c r="D3189" s="13" t="n">
        <v>32</v>
      </c>
      <c r="E3189" s="10">
        <f>IF(D3189&gt;0,VLOOKUP(OPERAC[[#This Row],[COD CART]],[1]!MatrizCortoLargoCyl[#All],3,0),"")</f>
        <v/>
      </c>
      <c r="F3189" s="13" t="inlineStr">
        <is>
          <t>INO/CYL/8,00/18-02-22</t>
        </is>
      </c>
      <c r="G3189" s="6" t="n">
        <v>100</v>
      </c>
      <c r="H3189" s="6">
        <f>-668.68+14.579+4.707</f>
        <v/>
      </c>
      <c r="I3189" s="7">
        <f>-H3189/G3189</f>
        <v/>
      </c>
      <c r="J3189" s="11" t="n">
        <v>44596</v>
      </c>
      <c r="K3189" s="6" t="n">
        <v>100</v>
      </c>
      <c r="L3189" s="6">
        <f>3.665*OPERAC[[#This Row],[cantidad venta]]</f>
        <v/>
      </c>
      <c r="M3189" s="7">
        <f>IF(N3189=0,+L3189+H3189,0)</f>
        <v/>
      </c>
      <c r="N3189" s="7">
        <f>IF((+G3189-K3189)=0,0,+G3189-K3189)</f>
        <v/>
      </c>
      <c r="O3189" s="7">
        <f>IF(N3189=0,0,(L3189+H3189)/-N3189)</f>
        <v/>
      </c>
      <c r="P3189" s="7">
        <f>VLOOKUP(OPERAC[[#This Row],[especie]],[1]!ESPECIES[#All],6,0)</f>
        <v/>
      </c>
      <c r="Q3189" s="7">
        <f>IF(N3189&lt;&gt;0,P3189*N3189,0)</f>
        <v/>
      </c>
      <c r="R3189" s="8">
        <f>IF(Q3189&lt;&gt;0,Q3189+H3189+L3189,0)</f>
        <v/>
      </c>
      <c r="S3189" s="9">
        <f>VLOOKUP(OPERAC[[#This Row],[especie]],[1]!ESPECIES[#Data],9,FALSE)</f>
        <v/>
      </c>
    </row>
    <row r="3190">
      <c r="A3190" s="4" t="n">
        <v>7895</v>
      </c>
      <c r="B3190" s="5" t="n">
        <v>44662</v>
      </c>
      <c r="C3190" s="13" t="inlineStr">
        <is>
          <t>VTA</t>
        </is>
      </c>
      <c r="D3190" s="13" t="n">
        <v>42</v>
      </c>
      <c r="E3190" s="10">
        <f>IF(D3190&gt;0,VLOOKUP(OPERAC[[#This Row],[COD CART]],[1]!MatrizCortoLargoCyl[#All],3,0),"")</f>
        <v/>
      </c>
      <c r="F3190" s="13" t="inlineStr">
        <is>
          <t>HYDR</t>
        </is>
      </c>
      <c r="G3190" s="6" t="n">
        <v>35</v>
      </c>
      <c r="H3190" s="6" t="n">
        <v>-649.96204</v>
      </c>
      <c r="I3190" s="7">
        <f>-H3190/G3190</f>
        <v/>
      </c>
      <c r="J3190" s="11" t="n">
        <v>44693</v>
      </c>
      <c r="K3190" s="6">
        <f>+OPERAC[[#This Row],[cantidad]]</f>
        <v/>
      </c>
      <c r="L3190" s="6">
        <f>+OPERAC[[#This Row],[cantidad venta]]*12.027</f>
        <v/>
      </c>
      <c r="M3190" s="7">
        <f>IF(N3190=0,+L3190+H3190,0)</f>
        <v/>
      </c>
      <c r="N3190" s="7">
        <f>IF((+G3190-K3190)=0,0,+G3190-K3190)</f>
        <v/>
      </c>
      <c r="O3190" s="7">
        <f>IF(N3190=0,0,(L3190+H3190)/-N3190)</f>
        <v/>
      </c>
      <c r="P3190" s="7">
        <f>VLOOKUP(OPERAC[[#This Row],[especie]],[1]!ESPECIES[#All],6,0)</f>
        <v/>
      </c>
      <c r="Q3190" s="7">
        <f>IF(N3190&lt;&gt;0,P3190*N3190,0)</f>
        <v/>
      </c>
      <c r="R3190" s="8">
        <f>IF(Q3190&lt;&gt;0,Q3190+H3190+L3190,0)</f>
        <v/>
      </c>
      <c r="S3190" s="9">
        <f>VLOOKUP(OPERAC[[#This Row],[especie]],[1]!ESPECIES[#Data],9,FALSE)</f>
        <v/>
      </c>
    </row>
    <row r="3191">
      <c r="A3191" s="4" t="n">
        <v>20317</v>
      </c>
      <c r="B3191" s="5" t="n">
        <v>44662</v>
      </c>
      <c r="C3191" s="13" t="inlineStr">
        <is>
          <t>VTA</t>
        </is>
      </c>
      <c r="D3191" s="13" t="n">
        <v>42</v>
      </c>
      <c r="E3191" s="10">
        <f>IF(D3191&gt;0,VLOOKUP(OPERAC[[#This Row],[COD CART]],[1]!MatrizCortoLargoCyl[#All],3,0),"")</f>
        <v/>
      </c>
      <c r="F3191" s="13" t="inlineStr">
        <is>
          <t>HYDR</t>
        </is>
      </c>
      <c r="G3191" s="6" t="n">
        <v>35</v>
      </c>
      <c r="H3191" s="6" t="n">
        <v>-649.96204</v>
      </c>
      <c r="I3191" s="7">
        <f>-H3191/G3191</f>
        <v/>
      </c>
      <c r="J3191" s="11" t="n">
        <v>44722</v>
      </c>
      <c r="K3191" s="6" t="n">
        <v>35</v>
      </c>
      <c r="L3191" s="6" t="n">
        <v>444.539</v>
      </c>
      <c r="M3191" s="7">
        <f>IF(N3191=0,+L3191+H3191,0)</f>
        <v/>
      </c>
      <c r="N3191" s="7">
        <f>IF((+G3191-K3191)=0,0,+G3191-K3191)</f>
        <v/>
      </c>
      <c r="O3191" s="7">
        <f>IF(N3191=0,0,(L3191+H3191)/-N3191)</f>
        <v/>
      </c>
      <c r="P3191" s="7">
        <f>VLOOKUP(OPERAC[[#This Row],[especie]],[1]!ESPECIES[#All],6,0)</f>
        <v/>
      </c>
      <c r="Q3191" s="7">
        <f>IF(N3191&lt;&gt;0,P3191*N3191,0)</f>
        <v/>
      </c>
      <c r="R3191" s="8">
        <f>IF(Q3191&lt;&gt;0,Q3191+H3191+L3191,0)</f>
        <v/>
      </c>
      <c r="S3191" s="9">
        <f>VLOOKUP(OPERAC[[#This Row],[especie]],[1]!ESPECIES[#Data],9,FALSE)</f>
        <v/>
      </c>
    </row>
    <row r="3192">
      <c r="A3192" s="4" t="n">
        <v>5212</v>
      </c>
      <c r="B3192" s="5" t="n">
        <v>44601</v>
      </c>
      <c r="C3192" s="13" t="inlineStr">
        <is>
          <t>VTA</t>
        </is>
      </c>
      <c r="D3192" s="13" t="n">
        <v>43</v>
      </c>
      <c r="E3192" s="10">
        <f>IF(D3192&gt;0,VLOOKUP(OPERAC[[#This Row],[COD CART]],[1]!MatrizCortoLargoCyl[#All],3,0),"")</f>
        <v/>
      </c>
      <c r="F3192" s="13" t="inlineStr">
        <is>
          <t>GMBL/CYL-PUT/2,50/20-01-23</t>
        </is>
      </c>
      <c r="G3192" s="6" t="n">
        <v>500</v>
      </c>
      <c r="H3192" s="6">
        <f>-1.3*OPERAC[[#This Row],[cantidad]]</f>
        <v/>
      </c>
      <c r="I3192" s="7">
        <f>-H3192/G3192</f>
        <v/>
      </c>
      <c r="J3192" s="11" t="n">
        <v>44704</v>
      </c>
      <c r="K3192" s="6" t="n">
        <v>500</v>
      </c>
      <c r="L3192" s="6" t="n">
        <v>-894.247</v>
      </c>
      <c r="M3192" s="7">
        <f>IF(N3192=0,+L3192+H3192,0)</f>
        <v/>
      </c>
      <c r="N3192" s="7">
        <f>IF((+G3192-K3192)=0,0,+G3192-K3192)</f>
        <v/>
      </c>
      <c r="O3192" s="7">
        <f>IF(N3192=0,0,(L3192+H3192)/-N3192)</f>
        <v/>
      </c>
      <c r="P3192" s="7">
        <f>VLOOKUP(OPERAC[[#This Row],[especie]],[1]!ESPECIES[#All],6,0)</f>
        <v/>
      </c>
      <c r="Q3192" s="7">
        <f>IF(N3192&lt;&gt;0,P3192*N3192,0)</f>
        <v/>
      </c>
      <c r="R3192" s="8">
        <f>IF(Q3192&lt;&gt;0,Q3192+H3192+L3192,0)</f>
        <v/>
      </c>
      <c r="S3192" s="9">
        <f>VLOOKUP(OPERAC[[#This Row],[especie]],[1]!ESPECIES[#Data],9,FALSE)</f>
        <v/>
      </c>
    </row>
    <row r="3193">
      <c r="A3193" s="4" t="n">
        <v>4561</v>
      </c>
      <c r="B3193" s="5" t="n">
        <v>44704</v>
      </c>
      <c r="C3193" s="13" t="inlineStr">
        <is>
          <t>VTA</t>
        </is>
      </c>
      <c r="D3193" s="13" t="n">
        <v>32</v>
      </c>
      <c r="E3193" s="10">
        <f>IF(D3193&gt;0,VLOOKUP(OPERAC[[#This Row],[COD CART]],[1]!MatrizCortoLargoCyl[#All],3,0),"")</f>
        <v/>
      </c>
      <c r="F3193" s="13" t="inlineStr">
        <is>
          <t>CRESY/CYL/7,50/17-06-22</t>
        </is>
      </c>
      <c r="G3193" s="6" t="n">
        <v>100</v>
      </c>
      <c r="H3193" s="6" t="n">
        <v>-650.41</v>
      </c>
      <c r="I3193" s="7">
        <f>-H3193/G3193</f>
        <v/>
      </c>
      <c r="J3193" s="5" t="n"/>
      <c r="K3193" s="6" t="n"/>
      <c r="L3193" s="6" t="n"/>
      <c r="M3193" s="7">
        <f>IF(N3193=0,+L3193+H3193,0)</f>
        <v/>
      </c>
      <c r="N3193" s="7">
        <f>IF((+G3193-K3193)=0,0,+G3193-K3193)</f>
        <v/>
      </c>
      <c r="O3193" s="7">
        <f>IF(N3193=0,0,(L3193+H3193)/-N3193)</f>
        <v/>
      </c>
      <c r="P3193" s="7">
        <f>VLOOKUP(OPERAC[[#This Row],[especie]],[1]!ESPECIES[#All],6,0)</f>
        <v/>
      </c>
      <c r="Q3193" s="7">
        <f>IF(N3193&lt;&gt;0,P3193*N3193,0)</f>
        <v/>
      </c>
      <c r="R3193" s="8">
        <f>IF(Q3193&lt;&gt;0,Q3193+H3193+L3193,0)</f>
        <v/>
      </c>
      <c r="S3193" s="9">
        <f>VLOOKUP(OPERAC[[#This Row],[especie]],[1]!ESPECIES[#Data],9,FALSE)</f>
        <v/>
      </c>
    </row>
    <row r="3194">
      <c r="A3194" s="4" t="n">
        <v>7493</v>
      </c>
      <c r="B3194" s="5" t="n">
        <v>44704</v>
      </c>
      <c r="C3194" s="13" t="inlineStr">
        <is>
          <t>VTA</t>
        </is>
      </c>
      <c r="D3194" s="13" t="n">
        <v>32</v>
      </c>
      <c r="E3194" s="10">
        <f>IF(D3194&gt;0,VLOOKUP(OPERAC[[#This Row],[COD CART]],[1]!MatrizCortoLargoCyl[#All],3,0),"")</f>
        <v/>
      </c>
      <c r="F3194" s="13" t="inlineStr">
        <is>
          <t>CRESY/CYL/7,50/17-06-22</t>
        </is>
      </c>
      <c r="G3194" s="6" t="n">
        <v>100</v>
      </c>
      <c r="H3194" s="6" t="n">
        <v>-650.41</v>
      </c>
      <c r="I3194" s="7">
        <f>-H3194/G3194</f>
        <v/>
      </c>
      <c r="J3194" s="5" t="n"/>
      <c r="K3194" s="6" t="n"/>
      <c r="L3194" s="6" t="n"/>
      <c r="M3194" s="7">
        <f>IF(N3194=0,+L3194+H3194,0)</f>
        <v/>
      </c>
      <c r="N3194" s="7">
        <f>IF((+G3194-K3194)=0,0,+G3194-K3194)</f>
        <v/>
      </c>
      <c r="O3194" s="7">
        <f>IF(N3194=0,0,(L3194+H3194)/-N3194)</f>
        <v/>
      </c>
      <c r="P3194" s="7">
        <f>VLOOKUP(OPERAC[[#This Row],[especie]],[1]!ESPECIES[#All],6,0)</f>
        <v/>
      </c>
      <c r="Q3194" s="7">
        <f>IF(N3194&lt;&gt;0,P3194*N3194,0)</f>
        <v/>
      </c>
      <c r="R3194" s="8">
        <f>IF(Q3194&lt;&gt;0,Q3194+H3194+L3194,0)</f>
        <v/>
      </c>
      <c r="S3194" s="9">
        <f>VLOOKUP(OPERAC[[#This Row],[especie]],[1]!ESPECIES[#Data],9,FALSE)</f>
        <v/>
      </c>
    </row>
    <row r="3195">
      <c r="A3195" s="4" t="n">
        <v>2289</v>
      </c>
      <c r="B3195" s="5" t="n">
        <v>44494</v>
      </c>
      <c r="C3195" s="13" t="inlineStr">
        <is>
          <t>VTA</t>
        </is>
      </c>
      <c r="D3195" s="13" t="n">
        <v>40</v>
      </c>
      <c r="E3195" s="10">
        <f>IF(D3195&gt;0,VLOOKUP(OPERAC[[#This Row],[COD CART]],[1]!MatrizCortoLargoCyl[#All],3,0),"")</f>
        <v/>
      </c>
      <c r="F3195" s="13" t="inlineStr">
        <is>
          <t>YPF</t>
        </is>
      </c>
      <c r="G3195" s="6" t="n">
        <v>140</v>
      </c>
      <c r="H3195" s="6" t="n">
        <v>-651.3808000000001</v>
      </c>
      <c r="I3195" s="7">
        <f>-H3195/G3195</f>
        <v/>
      </c>
      <c r="J3195" s="11" t="n">
        <v>44538</v>
      </c>
      <c r="K3195" s="6">
        <f>40+100</f>
        <v/>
      </c>
      <c r="L3195" s="6">
        <f>165.329+416.077</f>
        <v/>
      </c>
      <c r="M3195" s="7">
        <f>IF(N3195=0,+L3195+H3195,0)</f>
        <v/>
      </c>
      <c r="N3195" s="7">
        <f>IF((+G3195-K3195)=0,0,+G3195-K3195)</f>
        <v/>
      </c>
      <c r="O3195" s="7">
        <f>IF(N3195=0,0,(L3195+H3195)/-N3195)</f>
        <v/>
      </c>
      <c r="P3195" s="7">
        <f>VLOOKUP(OPERAC[[#This Row],[especie]],[1]!ESPECIES[#All],6,0)</f>
        <v/>
      </c>
      <c r="Q3195" s="7">
        <f>IF(N3195&lt;&gt;0,P3195*N3195,0)</f>
        <v/>
      </c>
      <c r="R3195" s="8">
        <f>IF(Q3195&lt;&gt;0,Q3195+H3195+L3195,0)</f>
        <v/>
      </c>
      <c r="S3195" s="9">
        <f>VLOOKUP(OPERAC[[#This Row],[especie]],[1]!ESPECIES[#Data],9,FALSE)</f>
        <v/>
      </c>
    </row>
    <row r="3196">
      <c r="A3196" s="4" t="n">
        <v>12652</v>
      </c>
      <c r="B3196" s="5" t="n">
        <v>44494</v>
      </c>
      <c r="C3196" s="13" t="inlineStr">
        <is>
          <t>VTA</t>
        </is>
      </c>
      <c r="D3196" s="13" t="n">
        <v>40</v>
      </c>
      <c r="E3196" s="10">
        <f>IF(D3196&gt;0,VLOOKUP(OPERAC[[#This Row],[COD CART]],[1]!MatrizCortoLargoCyl[#All],3,0),"")</f>
        <v/>
      </c>
      <c r="F3196" s="13" t="inlineStr">
        <is>
          <t>YPF</t>
        </is>
      </c>
      <c r="G3196" s="6" t="n">
        <v>140</v>
      </c>
      <c r="H3196" s="6" t="n">
        <v>-651.3808000000001</v>
      </c>
      <c r="I3196" s="7">
        <f>-H3196/G3196</f>
        <v/>
      </c>
      <c r="J3196" s="11" t="n">
        <v>44606</v>
      </c>
      <c r="K3196" s="6">
        <f>+OPERAC[[#This Row],[cantidad]]</f>
        <v/>
      </c>
      <c r="L3196" s="6">
        <f>+OPERAC[[#This Row],[cantidad venta]]*4.161</f>
        <v/>
      </c>
      <c r="M3196" s="7">
        <f>IF(N3196=0,+L3196+H3196,0)</f>
        <v/>
      </c>
      <c r="N3196" s="7">
        <f>IF((+G3196-K3196)=0,0,+G3196-K3196)</f>
        <v/>
      </c>
      <c r="O3196" s="7">
        <f>IF(N3196=0,0,(L3196+H3196)/-N3196)</f>
        <v/>
      </c>
      <c r="P3196" s="7">
        <f>VLOOKUP(OPERAC[[#This Row],[especie]],[1]!ESPECIES[#All],6,0)</f>
        <v/>
      </c>
      <c r="Q3196" s="7">
        <f>IF(N3196&lt;&gt;0,P3196*N3196,0)</f>
        <v/>
      </c>
      <c r="R3196" s="8">
        <f>IF(Q3196&lt;&gt;0,Q3196+H3196+L3196,0)</f>
        <v/>
      </c>
      <c r="S3196" s="9">
        <f>VLOOKUP(OPERAC[[#This Row],[especie]],[1]!ESPECIES[#Data],9,FALSE)</f>
        <v/>
      </c>
    </row>
    <row r="3197">
      <c r="A3197" s="4" t="n">
        <v>12674</v>
      </c>
      <c r="B3197" s="5" t="n">
        <v>44494</v>
      </c>
      <c r="C3197" s="13" t="inlineStr">
        <is>
          <t>VTA</t>
        </is>
      </c>
      <c r="D3197" s="13" t="n">
        <v>40</v>
      </c>
      <c r="E3197" s="10">
        <f>IF(D3197&gt;0,VLOOKUP(OPERAC[[#This Row],[COD CART]],[1]!MatrizCortoLargoCyl[#All],3,0),"")</f>
        <v/>
      </c>
      <c r="F3197" s="13" t="inlineStr">
        <is>
          <t>YPF</t>
        </is>
      </c>
      <c r="G3197" s="6" t="n">
        <v>140</v>
      </c>
      <c r="H3197" s="6" t="n">
        <v>-651.3808000000001</v>
      </c>
      <c r="I3197" s="7">
        <f>-H3197/G3197</f>
        <v/>
      </c>
      <c r="J3197" s="11" t="n">
        <v>44606</v>
      </c>
      <c r="K3197" s="6">
        <f>+OPERAC[[#This Row],[cantidad]]</f>
        <v/>
      </c>
      <c r="L3197" s="6">
        <f>+OPERAC[[#This Row],[cantidad venta]]*4.161</f>
        <v/>
      </c>
      <c r="M3197" s="7">
        <f>IF(N3197=0,+L3197+H3197,0)</f>
        <v/>
      </c>
      <c r="N3197" s="7">
        <f>IF((+G3197-K3197)=0,0,+G3197-K3197)</f>
        <v/>
      </c>
      <c r="O3197" s="7">
        <f>IF(N3197=0,0,(L3197+H3197)/-N3197)</f>
        <v/>
      </c>
      <c r="P3197" s="7">
        <f>VLOOKUP(OPERAC[[#This Row],[especie]],[1]!ESPECIES[#All],6,0)</f>
        <v/>
      </c>
      <c r="Q3197" s="7">
        <f>IF(N3197&lt;&gt;0,P3197*N3197,0)</f>
        <v/>
      </c>
      <c r="R3197" s="8">
        <f>IF(Q3197&lt;&gt;0,Q3197+H3197+L3197,0)</f>
        <v/>
      </c>
      <c r="S3197" s="9">
        <f>VLOOKUP(OPERAC[[#This Row],[especie]],[1]!ESPECIES[#Data],9,FALSE)</f>
        <v/>
      </c>
    </row>
    <row r="3198">
      <c r="A3198" s="4" t="n">
        <v>12686</v>
      </c>
      <c r="B3198" s="5" t="n">
        <v>44494</v>
      </c>
      <c r="C3198" s="13" t="inlineStr">
        <is>
          <t>VTA</t>
        </is>
      </c>
      <c r="D3198" s="13" t="n">
        <v>40</v>
      </c>
      <c r="E3198" s="10">
        <f>IF(D3198&gt;0,VLOOKUP(OPERAC[[#This Row],[COD CART]],[1]!MatrizCortoLargoCyl[#All],3,0),"")</f>
        <v/>
      </c>
      <c r="F3198" s="13" t="inlineStr">
        <is>
          <t>YPF</t>
        </is>
      </c>
      <c r="G3198" s="6" t="n">
        <v>140</v>
      </c>
      <c r="H3198" s="6" t="n">
        <v>-651.3808000000001</v>
      </c>
      <c r="I3198" s="7">
        <f>-H3198/G3198</f>
        <v/>
      </c>
      <c r="J3198" s="11" t="n">
        <v>44606</v>
      </c>
      <c r="K3198" s="6">
        <f>+OPERAC[[#This Row],[cantidad]]</f>
        <v/>
      </c>
      <c r="L3198" s="6">
        <f>+OPERAC[[#This Row],[cantidad venta]]*4.161</f>
        <v/>
      </c>
      <c r="M3198" s="7">
        <f>IF(N3198=0,+L3198+H3198,0)</f>
        <v/>
      </c>
      <c r="N3198" s="7">
        <f>IF((+G3198-K3198)=0,0,+G3198-K3198)</f>
        <v/>
      </c>
      <c r="O3198" s="7">
        <f>IF(N3198=0,0,(L3198+H3198)/-N3198)</f>
        <v/>
      </c>
      <c r="P3198" s="7">
        <f>VLOOKUP(OPERAC[[#This Row],[especie]],[1]!ESPECIES[#All],6,0)</f>
        <v/>
      </c>
      <c r="Q3198" s="7">
        <f>IF(N3198&lt;&gt;0,P3198*N3198,0)</f>
        <v/>
      </c>
      <c r="R3198" s="8">
        <f>IF(Q3198&lt;&gt;0,Q3198+H3198+L3198,0)</f>
        <v/>
      </c>
      <c r="S3198" s="9">
        <f>VLOOKUP(OPERAC[[#This Row],[especie]],[1]!ESPECIES[#Data],9,FALSE)</f>
        <v/>
      </c>
    </row>
    <row r="3199">
      <c r="A3199" s="4" t="n">
        <v>22433</v>
      </c>
      <c r="B3199" s="5" t="n">
        <v>44494</v>
      </c>
      <c r="C3199" s="13" t="inlineStr">
        <is>
          <t>VTA</t>
        </is>
      </c>
      <c r="D3199" s="13" t="n">
        <v>40</v>
      </c>
      <c r="E3199" s="10">
        <f>IF(D3199&gt;0,VLOOKUP(OPERAC[[#This Row],[COD CART]],[1]!MatrizCortoLargoCyl[#All],3,0),"")</f>
        <v/>
      </c>
      <c r="F3199" s="13" t="inlineStr">
        <is>
          <t>YPF</t>
        </is>
      </c>
      <c r="G3199" s="6" t="n">
        <v>140</v>
      </c>
      <c r="H3199" s="6" t="n">
        <v>-651.3808000000001</v>
      </c>
      <c r="I3199" s="7">
        <f>-H3199/G3199</f>
        <v/>
      </c>
      <c r="J3199" s="11" t="n">
        <v>44606</v>
      </c>
      <c r="K3199" s="6">
        <f>+OPERAC[[#This Row],[cantidad]]</f>
        <v/>
      </c>
      <c r="L3199" s="6">
        <f>+OPERAC[[#This Row],[cantidad venta]]*4.161</f>
        <v/>
      </c>
      <c r="M3199" s="7">
        <f>IF(N3199=0,+L3199+H3199,0)</f>
        <v/>
      </c>
      <c r="N3199" s="7">
        <f>IF((+G3199-K3199)=0,0,+G3199-K3199)</f>
        <v/>
      </c>
      <c r="O3199" s="7">
        <f>IF(N3199=0,0,(L3199+H3199)/-N3199)</f>
        <v/>
      </c>
      <c r="P3199" s="7">
        <f>VLOOKUP(OPERAC[[#This Row],[especie]],[1]!ESPECIES[#All],6,0)</f>
        <v/>
      </c>
      <c r="Q3199" s="7">
        <f>IF(N3199&lt;&gt;0,P3199*N3199,0)</f>
        <v/>
      </c>
      <c r="R3199" s="8">
        <f>IF(Q3199&lt;&gt;0,Q3199+H3199+L3199,0)</f>
        <v/>
      </c>
      <c r="S3199" s="9">
        <f>VLOOKUP(OPERAC[[#This Row],[especie]],[1]!ESPECIES[#Data],9,FALSE)</f>
        <v/>
      </c>
    </row>
    <row r="3200">
      <c r="A3200" s="4" t="n">
        <v>22439</v>
      </c>
      <c r="B3200" s="5" t="n">
        <v>44494</v>
      </c>
      <c r="C3200" s="13" t="inlineStr">
        <is>
          <t>VTA</t>
        </is>
      </c>
      <c r="D3200" s="13" t="n">
        <v>40</v>
      </c>
      <c r="E3200" s="10">
        <f>IF(D3200&gt;0,VLOOKUP(OPERAC[[#This Row],[COD CART]],[1]!MatrizCortoLargoCyl[#All],3,0),"")</f>
        <v/>
      </c>
      <c r="F3200" s="13" t="inlineStr">
        <is>
          <t>YPF</t>
        </is>
      </c>
      <c r="G3200" s="6" t="n">
        <v>140</v>
      </c>
      <c r="H3200" s="6" t="n">
        <v>-651.3808000000001</v>
      </c>
      <c r="I3200" s="7">
        <f>-H3200/G3200</f>
        <v/>
      </c>
      <c r="J3200" s="11" t="n">
        <v>44606</v>
      </c>
      <c r="K3200" s="6">
        <f>+OPERAC[[#This Row],[cantidad]]</f>
        <v/>
      </c>
      <c r="L3200" s="6">
        <f>+OPERAC[[#This Row],[cantidad venta]]*4.161</f>
        <v/>
      </c>
      <c r="M3200" s="7">
        <f>IF(N3200=0,+L3200+H3200,0)</f>
        <v/>
      </c>
      <c r="N3200" s="7">
        <f>IF((+G3200-K3200)=0,0,+G3200-K3200)</f>
        <v/>
      </c>
      <c r="O3200" s="7">
        <f>IF(N3200=0,0,(L3200+H3200)/-N3200)</f>
        <v/>
      </c>
      <c r="P3200" s="7">
        <f>VLOOKUP(OPERAC[[#This Row],[especie]],[1]!ESPECIES[#All],6,0)</f>
        <v/>
      </c>
      <c r="Q3200" s="7">
        <f>IF(N3200&lt;&gt;0,P3200*N3200,0)</f>
        <v/>
      </c>
      <c r="R3200" s="8">
        <f>IF(Q3200&lt;&gt;0,Q3200+H3200+L3200,0)</f>
        <v/>
      </c>
      <c r="S3200" s="9">
        <f>VLOOKUP(OPERAC[[#This Row],[especie]],[1]!ESPECIES[#Data],9,FALSE)</f>
        <v/>
      </c>
    </row>
    <row r="3201">
      <c r="A3201" s="4" t="n">
        <v>16832</v>
      </c>
      <c r="B3201" s="5" t="n">
        <v>44498</v>
      </c>
      <c r="C3201" s="13" t="inlineStr">
        <is>
          <t>VTA</t>
        </is>
      </c>
      <c r="D3201" s="13" t="n">
        <v>41</v>
      </c>
      <c r="E3201" s="10">
        <f>IF(D3201&gt;0,VLOOKUP(OPERAC[[#This Row],[COD CART]],[1]!MatrizCortoLargoCyl[#All],3,0),"")</f>
        <v/>
      </c>
      <c r="F3201" s="13" t="inlineStr">
        <is>
          <t>FB</t>
        </is>
      </c>
      <c r="G3201" s="6" t="n">
        <v>2</v>
      </c>
      <c r="H3201" s="6" t="n">
        <v>-651.704</v>
      </c>
      <c r="I3201" s="7">
        <f>-H3201/G3201</f>
        <v/>
      </c>
      <c r="J3201" s="11" t="n"/>
      <c r="K3201" s="6" t="n"/>
      <c r="L3201" s="6" t="n"/>
      <c r="M3201" s="7">
        <f>IF(N3201=0,+L3201+H3201,0)</f>
        <v/>
      </c>
      <c r="N3201" s="7">
        <f>IF((+G3201-K3201)=0,0,+G3201-K3201)</f>
        <v/>
      </c>
      <c r="O3201" s="7">
        <f>IF(N3201=0,0,(L3201+H3201)/-N3201)</f>
        <v/>
      </c>
      <c r="P3201" s="7">
        <f>VLOOKUP(OPERAC[[#This Row],[especie]],[1]!ESPECIES[#All],6,0)</f>
        <v/>
      </c>
      <c r="Q3201" s="7">
        <f>IF(N3201&lt;&gt;0,P3201*N3201,0)</f>
        <v/>
      </c>
      <c r="R3201" s="8">
        <f>IF(Q3201&lt;&gt;0,Q3201+H3201+L3201,0)</f>
        <v/>
      </c>
      <c r="S3201" s="9">
        <f>VLOOKUP(OPERAC[[#This Row],[especie]],[1]!ESPECIES[#Data],9,FALSE)</f>
        <v/>
      </c>
    </row>
    <row r="3202">
      <c r="A3202" s="4" t="n">
        <v>26137</v>
      </c>
      <c r="B3202" s="5" t="n">
        <v>44649</v>
      </c>
      <c r="C3202" s="13" t="inlineStr">
        <is>
          <t>VTA</t>
        </is>
      </c>
      <c r="D3202" s="13" t="n">
        <v>32</v>
      </c>
      <c r="E3202" s="10">
        <f>IF(D3202&gt;0,VLOOKUP(OPERAC[[#This Row],[COD CART]],[1]!MatrizCortoLargoCyl[#All],3,0),"")</f>
        <v/>
      </c>
      <c r="F3202" s="13" t="inlineStr">
        <is>
          <t>TLRY/CYL/7,00/15-07-22</t>
        </is>
      </c>
      <c r="G3202" s="6" t="n">
        <v>100</v>
      </c>
      <c r="H3202" s="6">
        <f>-672.216+9.915+9.915</f>
        <v/>
      </c>
      <c r="I3202" s="7">
        <f>-H3202/G3202</f>
        <v/>
      </c>
      <c r="J3202" s="11" t="n"/>
      <c r="K3202" s="6" t="n"/>
      <c r="L3202" s="6" t="n"/>
      <c r="M3202" s="7">
        <f>IF(N3202=0,+L3202+H3202,0)</f>
        <v/>
      </c>
      <c r="N3202" s="7">
        <f>IF((+G3202-K3202)=0,0,+G3202-K3202)</f>
        <v/>
      </c>
      <c r="O3202" s="7">
        <f>IF(N3202=0,0,(L3202+H3202)/-N3202)</f>
        <v/>
      </c>
      <c r="P3202" s="7">
        <f>VLOOKUP(OPERAC[[#This Row],[especie]],[1]!ESPECIES[#All],6,0)</f>
        <v/>
      </c>
      <c r="Q3202" s="7">
        <f>IF(N3202&lt;&gt;0,P3202*N3202,0)</f>
        <v/>
      </c>
      <c r="R3202" s="8">
        <f>IF(Q3202&lt;&gt;0,Q3202+H3202+L3202,0)</f>
        <v/>
      </c>
      <c r="S3202" s="9">
        <f>VLOOKUP(OPERAC[[#This Row],[especie]],[1]!ESPECIES[#Data],9,FALSE)</f>
        <v/>
      </c>
    </row>
    <row r="3203">
      <c r="A3203" s="4" t="n">
        <v>22407</v>
      </c>
      <c r="B3203" s="5" t="n">
        <v>44538</v>
      </c>
      <c r="C3203" s="13" t="inlineStr">
        <is>
          <t>VTA</t>
        </is>
      </c>
      <c r="D3203" s="13" t="n">
        <v>43</v>
      </c>
      <c r="E3203" s="10">
        <f>IF(D3203&gt;0,VLOOKUP(OPERAC[[#This Row],[COD CART]],[1]!MatrizCortoLargoCyl[#All],3,0),"")</f>
        <v/>
      </c>
      <c r="F3203" s="13" t="inlineStr">
        <is>
          <t>NNDM/CYL-PUT/2,50/19-01-24</t>
        </is>
      </c>
      <c r="G3203" s="6" t="n">
        <v>500</v>
      </c>
      <c r="H3203" s="6">
        <f>-1.306*OPERAC[[#This Row],[cantidad]]</f>
        <v/>
      </c>
      <c r="I3203" s="7">
        <f>-H3203/G3203</f>
        <v/>
      </c>
      <c r="J3203" s="11" t="n"/>
      <c r="K3203" s="6" t="n"/>
      <c r="L3203" s="6" t="n"/>
      <c r="M3203" s="7">
        <f>IF(N3203=0,+L3203+H3203,0)</f>
        <v/>
      </c>
      <c r="N3203" s="7">
        <f>IF((+G3203-K3203)=0,0,+G3203-K3203)</f>
        <v/>
      </c>
      <c r="O3203" s="7">
        <f>IF(N3203=0,0,(L3203+H3203)/-N3203)</f>
        <v/>
      </c>
      <c r="P3203" s="7">
        <f>VLOOKUP(OPERAC[[#This Row],[especie]],[1]!ESPECIES[#All],6,0)</f>
        <v/>
      </c>
      <c r="Q3203" s="7">
        <f>IF(N3203&lt;&gt;0,P3203*N3203,0)</f>
        <v/>
      </c>
      <c r="R3203" s="8">
        <f>IF(Q3203&lt;&gt;0,Q3203+H3203+L3203,0)</f>
        <v/>
      </c>
      <c r="S3203" s="9">
        <f>VLOOKUP(OPERAC[[#This Row],[especie]],[1]!ESPECIES[#Data],9,FALSE)</f>
        <v/>
      </c>
    </row>
    <row r="3204">
      <c r="A3204" s="4" t="n">
        <v>22421</v>
      </c>
      <c r="B3204" s="5" t="n">
        <v>44538</v>
      </c>
      <c r="C3204" s="13" t="inlineStr">
        <is>
          <t>VTA</t>
        </is>
      </c>
      <c r="D3204" s="13" t="n">
        <v>43</v>
      </c>
      <c r="E3204" s="10">
        <f>IF(D3204&gt;0,VLOOKUP(OPERAC[[#This Row],[COD CART]],[1]!MatrizCortoLargoCyl[#All],3,0),"")</f>
        <v/>
      </c>
      <c r="F3204" s="13" t="inlineStr">
        <is>
          <t>NNDM/CYL-PUT/2,50/19-01-24</t>
        </is>
      </c>
      <c r="G3204" s="6" t="n">
        <v>500</v>
      </c>
      <c r="H3204" s="6">
        <f>-1.306*OPERAC[[#This Row],[cantidad]]</f>
        <v/>
      </c>
      <c r="I3204" s="7">
        <f>-H3204/G3204</f>
        <v/>
      </c>
      <c r="J3204" s="11" t="n"/>
      <c r="K3204" s="6" t="n"/>
      <c r="L3204" s="6" t="n"/>
      <c r="M3204" s="7">
        <f>IF(N3204=0,+L3204+H3204,0)</f>
        <v/>
      </c>
      <c r="N3204" s="7">
        <f>IF((+G3204-K3204)=0,0,+G3204-K3204)</f>
        <v/>
      </c>
      <c r="O3204" s="7">
        <f>IF(N3204=0,0,(L3204+H3204)/-N3204)</f>
        <v/>
      </c>
      <c r="P3204" s="7">
        <f>VLOOKUP(OPERAC[[#This Row],[especie]],[1]!ESPECIES[#All],6,0)</f>
        <v/>
      </c>
      <c r="Q3204" s="7">
        <f>IF(N3204&lt;&gt;0,P3204*N3204,0)</f>
        <v/>
      </c>
      <c r="R3204" s="8">
        <f>IF(Q3204&lt;&gt;0,Q3204+H3204+L3204,0)</f>
        <v/>
      </c>
      <c r="S3204" s="9">
        <f>VLOOKUP(OPERAC[[#This Row],[especie]],[1]!ESPECIES[#Data],9,FALSE)</f>
        <v/>
      </c>
    </row>
    <row r="3205">
      <c r="A3205" s="4" t="n">
        <v>12688</v>
      </c>
      <c r="B3205" s="5" t="n">
        <v>44694</v>
      </c>
      <c r="C3205" s="13" t="inlineStr">
        <is>
          <t>VTA</t>
        </is>
      </c>
      <c r="D3205" s="13" t="n">
        <v>32</v>
      </c>
      <c r="E3205" s="10">
        <f>IF(D3205&gt;0,VLOOKUP(OPERAC[[#This Row],[COD CART]],[1]!MatrizCortoLargoCyl[#All],3,0),"")</f>
        <v/>
      </c>
      <c r="F3205" s="13" t="inlineStr">
        <is>
          <t>COTY/CYL/8,50/24-06-22</t>
        </is>
      </c>
      <c r="G3205" s="6" t="n">
        <v>100</v>
      </c>
      <c r="H3205" s="6" t="n">
        <v>-653.17</v>
      </c>
      <c r="I3205" s="7">
        <f>-H3205/G3205</f>
        <v/>
      </c>
      <c r="J3205" s="11" t="n"/>
      <c r="K3205" s="6" t="n"/>
      <c r="L3205" s="6" t="n"/>
      <c r="M3205" s="7">
        <f>IF(N3205=0,+L3205+H3205,0)</f>
        <v/>
      </c>
      <c r="N3205" s="7">
        <f>IF((+G3205-K3205)=0,0,+G3205-K3205)</f>
        <v/>
      </c>
      <c r="O3205" s="7">
        <f>IF(N3205=0,0,(L3205+H3205)/-N3205)</f>
        <v/>
      </c>
      <c r="P3205" s="7">
        <f>VLOOKUP(OPERAC[[#This Row],[especie]],[1]!ESPECIES[#All],6,0)</f>
        <v/>
      </c>
      <c r="Q3205" s="7">
        <f>IF(N3205&lt;&gt;0,P3205*N3205,0)</f>
        <v/>
      </c>
      <c r="R3205" s="8">
        <f>IF(Q3205&lt;&gt;0,Q3205+H3205+L3205,0)</f>
        <v/>
      </c>
      <c r="S3205" s="9">
        <f>VLOOKUP(OPERAC[[#This Row],[especie]],[1]!ESPECIES[#Data],9,FALSE)</f>
        <v/>
      </c>
    </row>
    <row r="3206">
      <c r="A3206" s="4" t="n">
        <v>22393</v>
      </c>
      <c r="B3206" s="5" t="n">
        <v>44714</v>
      </c>
      <c r="C3206" s="13" t="inlineStr">
        <is>
          <t>VTA</t>
        </is>
      </c>
      <c r="D3206" s="13" t="n">
        <v>39</v>
      </c>
      <c r="E3206" s="10">
        <f>IF(D3206&gt;0,VLOOKUP(OPERAC[[#This Row],[COD CART]],[1]!MatrizCortoLargoCyl[#All],3,0),"")</f>
        <v/>
      </c>
      <c r="F3206" s="13" t="inlineStr">
        <is>
          <t>ET/C/9,00/21-10-22</t>
        </is>
      </c>
      <c r="G3206" s="6" t="n">
        <v>200</v>
      </c>
      <c r="H3206" s="6" t="n">
        <v>-654.225</v>
      </c>
      <c r="I3206" s="7">
        <f>-H3206/G3206</f>
        <v/>
      </c>
      <c r="J3206" s="5" t="n"/>
      <c r="K3206" s="6" t="n"/>
      <c r="L3206" s="6" t="n"/>
      <c r="M3206" s="7">
        <f>IF(N3206=0,+L3206+H3206,0)</f>
        <v/>
      </c>
      <c r="N3206" s="7">
        <f>IF((+G3206-K3206)=0,0,+G3206-K3206)</f>
        <v/>
      </c>
      <c r="O3206" s="7">
        <f>IF(N3206=0,0,(L3206+H3206)/-N3206)</f>
        <v/>
      </c>
      <c r="P3206" s="7">
        <f>VLOOKUP(OPERAC[[#This Row],[especie]],[1]!ESPECIES[#All],6,0)</f>
        <v/>
      </c>
      <c r="Q3206" s="7">
        <f>IF(N3206&lt;&gt;0,P3206*N3206,0)</f>
        <v/>
      </c>
      <c r="R3206" s="8">
        <f>IF(Q3206&lt;&gt;0,Q3206+H3206+L3206,0)</f>
        <v/>
      </c>
      <c r="S3206" s="9">
        <f>VLOOKUP(OPERAC[[#This Row],[especie]],[1]!ESPECIES[#Data],9,FALSE)</f>
        <v/>
      </c>
    </row>
    <row r="3207">
      <c r="A3207" s="4" t="n">
        <v>19972</v>
      </c>
      <c r="B3207" s="5" t="n">
        <v>44543</v>
      </c>
      <c r="C3207" s="13" t="inlineStr">
        <is>
          <t>VTA</t>
        </is>
      </c>
      <c r="D3207" s="13" t="n">
        <v>41</v>
      </c>
      <c r="E3207" s="10">
        <f>IF(D3207&gt;0,VLOOKUP(OPERAC[[#This Row],[COD CART]],[1]!MatrizCortoLargoCyl[#All],3,0),"")</f>
        <v/>
      </c>
      <c r="F3207" s="13" t="inlineStr">
        <is>
          <t>ROKU</t>
        </is>
      </c>
      <c r="G3207" s="6" t="n">
        <v>3</v>
      </c>
      <c r="H3207" s="6" t="n">
        <v>-655.0307200000001</v>
      </c>
      <c r="I3207" s="7">
        <f>-H3207/G3207</f>
        <v/>
      </c>
      <c r="J3207" s="11" t="n">
        <v>44686</v>
      </c>
      <c r="K3207" s="6" t="n">
        <v>3</v>
      </c>
      <c r="L3207" s="6" t="n">
        <v>309.376</v>
      </c>
      <c r="M3207" s="7">
        <f>IF(N3207=0,+L3207+H3207,0)</f>
        <v/>
      </c>
      <c r="N3207" s="7">
        <f>IF((+G3207-K3207)=0,0,+G3207-K3207)</f>
        <v/>
      </c>
      <c r="O3207" s="7">
        <f>IF(N3207=0,0,(L3207+H3207)/-N3207)</f>
        <v/>
      </c>
      <c r="P3207" s="7">
        <f>VLOOKUP(OPERAC[[#This Row],[especie]],[1]!ESPECIES[#All],6,0)</f>
        <v/>
      </c>
      <c r="Q3207" s="7">
        <f>IF(N3207&lt;&gt;0,P3207*N3207,0)</f>
        <v/>
      </c>
      <c r="R3207" s="8">
        <f>IF(Q3207&lt;&gt;0,Q3207+H3207+L3207,0)</f>
        <v/>
      </c>
      <c r="S3207" s="9">
        <f>VLOOKUP(OPERAC[[#This Row],[especie]],[1]!ESPECIES[#Data],9,FALSE)</f>
        <v/>
      </c>
    </row>
    <row r="3208">
      <c r="A3208" s="4" t="n">
        <v>11168</v>
      </c>
      <c r="B3208" s="5" t="n">
        <v>44411</v>
      </c>
      <c r="C3208" s="13" t="inlineStr">
        <is>
          <t>VTA</t>
        </is>
      </c>
      <c r="D3208" s="13" t="n">
        <v>32</v>
      </c>
      <c r="E3208" s="10">
        <f>IF(D3208&gt;0,VLOOKUP(OPERAC[[#This Row],[COD CART]],[1]!MatrizCortoLargoCyl[#All],3,0),"")</f>
        <v/>
      </c>
      <c r="F3208" s="13" t="inlineStr">
        <is>
          <t>INO/CYL/8,00/21-01-22</t>
        </is>
      </c>
      <c r="G3208" s="6" t="n">
        <v>100</v>
      </c>
      <c r="H3208" s="6">
        <f>172.84-873.63+30.172+14.579</f>
        <v/>
      </c>
      <c r="I3208" s="7">
        <f>-H3208/G3208</f>
        <v/>
      </c>
      <c r="J3208" s="11" t="n">
        <v>44581</v>
      </c>
      <c r="K3208" s="6" t="n">
        <v>100</v>
      </c>
      <c r="L3208" s="6" t="n">
        <v>412.156</v>
      </c>
      <c r="M3208" s="7">
        <f>IF(N3208=0,+L3208+H3208,0)</f>
        <v/>
      </c>
      <c r="N3208" s="7">
        <f>IF((+G3208-K3208)=0,0,+G3208-K3208)</f>
        <v/>
      </c>
      <c r="O3208" s="7">
        <f>IF(N3208=0,0,(L3208+H3208)/-N3208)</f>
        <v/>
      </c>
      <c r="P3208" s="7">
        <f>VLOOKUP(OPERAC[[#This Row],[especie]],[1]!ESPECIES[#All],6,0)</f>
        <v/>
      </c>
      <c r="Q3208" s="7">
        <f>IF(N3208&lt;&gt;0,P3208*N3208,0)</f>
        <v/>
      </c>
      <c r="R3208" s="8">
        <f>IF(Q3208&lt;&gt;0,Q3208+H3208+L3208,0)</f>
        <v/>
      </c>
      <c r="S3208" s="9">
        <f>VLOOKUP(OPERAC[[#This Row],[especie]],[1]!ESPECIES[#Data],9,FALSE)</f>
        <v/>
      </c>
    </row>
    <row r="3209">
      <c r="A3209" s="4" t="n">
        <v>16776</v>
      </c>
      <c r="B3209" s="5" t="n">
        <v>44355</v>
      </c>
      <c r="C3209" s="13" t="inlineStr">
        <is>
          <t>VTA</t>
        </is>
      </c>
      <c r="D3209" s="13" t="n">
        <v>40</v>
      </c>
      <c r="E3209" s="10">
        <f>IF(D3209&gt;0,VLOOKUP(OPERAC[[#This Row],[COD CART]],[1]!MatrizCortoLargoCyl[#All],3,0),"")</f>
        <v/>
      </c>
      <c r="F3209" s="13" t="inlineStr">
        <is>
          <t>SOLO</t>
        </is>
      </c>
      <c r="G3209" s="6" t="n">
        <v>200</v>
      </c>
      <c r="H3209" s="6">
        <f>-3.59*OPERAC[[#This Row],[cantidad]]+18.43+43.098</f>
        <v/>
      </c>
      <c r="I3209" s="7">
        <f>-H3209/G3209</f>
        <v/>
      </c>
      <c r="J3209" s="11" t="n">
        <v>44630</v>
      </c>
      <c r="K3209" s="6" t="n">
        <v>200</v>
      </c>
      <c r="L3209" s="6" t="n">
        <v>390.413</v>
      </c>
      <c r="M3209" s="7">
        <f>IF(N3209=0,+L3209+H3209,0)</f>
        <v/>
      </c>
      <c r="N3209" s="7">
        <f>IF((+G3209-K3209)=0,0,+G3209-K3209)</f>
        <v/>
      </c>
      <c r="O3209" s="7">
        <f>IF(N3209=0,0,(L3209+H3209)/-N3209)</f>
        <v/>
      </c>
      <c r="P3209" s="7">
        <f>VLOOKUP(OPERAC[[#This Row],[especie]],[1]!ESPECIES[#All],6,0)</f>
        <v/>
      </c>
      <c r="Q3209" s="7">
        <f>IF(N3209&lt;&gt;0,P3209*N3209,0)</f>
        <v/>
      </c>
      <c r="R3209" s="8">
        <f>IF(Q3209&lt;&gt;0,Q3209+H3209+L3209,0)</f>
        <v/>
      </c>
      <c r="S3209" s="9">
        <f>VLOOKUP(OPERAC[[#This Row],[especie]],[1]!ESPECIES[#Data],9,FALSE)</f>
        <v/>
      </c>
    </row>
    <row r="3210">
      <c r="A3210" s="4" t="n">
        <v>16824</v>
      </c>
      <c r="B3210" s="5" t="n">
        <v>44616</v>
      </c>
      <c r="C3210" s="13" t="inlineStr">
        <is>
          <t>VTA</t>
        </is>
      </c>
      <c r="D3210" s="13" t="n">
        <v>41</v>
      </c>
      <c r="E3210" s="10">
        <f>IF(D3210&gt;0,VLOOKUP(OPERAC[[#This Row],[COD CART]],[1]!MatrizCortoLargoCyl[#All],3,0),"")</f>
        <v/>
      </c>
      <c r="F3210" s="13" t="inlineStr">
        <is>
          <t>URA</t>
        </is>
      </c>
      <c r="G3210" s="6" t="n">
        <v>30</v>
      </c>
      <c r="H3210" s="6" t="n">
        <v>-656.6032</v>
      </c>
      <c r="I3210" s="7">
        <f>-H3210/G3210</f>
        <v/>
      </c>
      <c r="J3210" s="11" t="n"/>
      <c r="K3210" s="6" t="n"/>
      <c r="L3210" s="6" t="n"/>
      <c r="M3210" s="7">
        <f>IF(N3210=0,+L3210+H3210,0)</f>
        <v/>
      </c>
      <c r="N3210" s="7">
        <f>IF((+G3210-K3210)=0,0,+G3210-K3210)</f>
        <v/>
      </c>
      <c r="O3210" s="7">
        <f>IF(N3210=0,0,(L3210+H3210)/-N3210)</f>
        <v/>
      </c>
      <c r="P3210" s="7">
        <f>VLOOKUP(OPERAC[[#This Row],[especie]],[1]!ESPECIES[#All],6,0)</f>
        <v/>
      </c>
      <c r="Q3210" s="7">
        <f>IF(N3210&lt;&gt;0,P3210*N3210,0)</f>
        <v/>
      </c>
      <c r="R3210" s="8">
        <f>IF(Q3210&lt;&gt;0,Q3210+H3210+L3210,0)</f>
        <v/>
      </c>
      <c r="S3210" s="9">
        <f>VLOOKUP(OPERAC[[#This Row],[especie]],[1]!ESPECIES[#Data],9,FALSE)</f>
        <v/>
      </c>
    </row>
    <row r="3211">
      <c r="A3211" s="4" t="n">
        <v>26146</v>
      </c>
      <c r="B3211" s="5" t="n">
        <v>44658</v>
      </c>
      <c r="C3211" s="13" t="inlineStr">
        <is>
          <t>VTA</t>
        </is>
      </c>
      <c r="D3211" s="13" t="n">
        <v>41</v>
      </c>
      <c r="E3211" s="10">
        <f>IF(D3211&gt;0,VLOOKUP(OPERAC[[#This Row],[COD CART]],[1]!MatrizCortoLargoCyl[#All],3,0),"")</f>
        <v/>
      </c>
      <c r="F3211" s="13" t="inlineStr">
        <is>
          <t>HYDR</t>
        </is>
      </c>
      <c r="G3211" s="6" t="n">
        <v>35</v>
      </c>
      <c r="H3211" s="6" t="n">
        <v>-657.208</v>
      </c>
      <c r="I3211" s="7">
        <f>-H3211/G3211</f>
        <v/>
      </c>
      <c r="J3211" s="11" t="n"/>
      <c r="K3211" s="6" t="n"/>
      <c r="L3211" s="6" t="n"/>
      <c r="M3211" s="7">
        <f>IF(N3211=0,+L3211+H3211,0)</f>
        <v/>
      </c>
      <c r="N3211" s="7">
        <f>IF((+G3211-K3211)=0,0,+G3211-K3211)</f>
        <v/>
      </c>
      <c r="O3211" s="7">
        <f>IF(N3211=0,0,(L3211+H3211)/-N3211)</f>
        <v/>
      </c>
      <c r="P3211" s="7">
        <f>VLOOKUP(OPERAC[[#This Row],[especie]],[1]!ESPECIES[#All],6,0)</f>
        <v/>
      </c>
      <c r="Q3211" s="7">
        <f>IF(N3211&lt;&gt;0,P3211*N3211,0)</f>
        <v/>
      </c>
      <c r="R3211" s="8">
        <f>IF(Q3211&lt;&gt;0,Q3211+H3211+L3211,0)</f>
        <v/>
      </c>
      <c r="S3211" s="9">
        <f>VLOOKUP(OPERAC[[#This Row],[especie]],[1]!ESPECIES[#Data],9,FALSE)</f>
        <v/>
      </c>
    </row>
    <row r="3212">
      <c r="A3212" s="4" t="n">
        <v>4561</v>
      </c>
      <c r="B3212" s="5" t="n">
        <v>44516</v>
      </c>
      <c r="C3212" s="13" t="inlineStr">
        <is>
          <t>VTA</t>
        </is>
      </c>
      <c r="D3212" s="13" t="n">
        <v>40</v>
      </c>
      <c r="E3212" s="10">
        <f>IF(D3212&gt;0,VLOOKUP(OPERAC[[#This Row],[COD CART]],[1]!MatrizCortoLargoCyl[#All],3,0),"")</f>
        <v/>
      </c>
      <c r="F3212" s="13" t="inlineStr">
        <is>
          <t>ACB</t>
        </is>
      </c>
      <c r="G3212" s="6" t="n">
        <v>100</v>
      </c>
      <c r="H3212" s="6">
        <f>-680.27+22.293</f>
        <v/>
      </c>
      <c r="I3212" s="7">
        <f>-H3212/G3212</f>
        <v/>
      </c>
      <c r="J3212" s="11" t="n">
        <v>44606</v>
      </c>
      <c r="K3212" s="6" t="n">
        <v>100</v>
      </c>
      <c r="L3212" s="6" t="n">
        <v>437.056</v>
      </c>
      <c r="M3212" s="7">
        <f>IF(N3212=0,+L3212+H3212,0)</f>
        <v/>
      </c>
      <c r="N3212" s="7">
        <f>IF((+G3212-K3212)=0,0,+G3212-K3212)</f>
        <v/>
      </c>
      <c r="O3212" s="7">
        <f>IF(N3212=0,0,(L3212+H3212)/-N3212)</f>
        <v/>
      </c>
      <c r="P3212" s="7">
        <f>VLOOKUP(OPERAC[[#This Row],[especie]],[1]!ESPECIES[#All],6,0)</f>
        <v/>
      </c>
      <c r="Q3212" s="7">
        <f>IF(N3212&lt;&gt;0,P3212*N3212,0)</f>
        <v/>
      </c>
      <c r="R3212" s="8">
        <f>IF(Q3212&lt;&gt;0,Q3212+H3212+L3212,0)</f>
        <v/>
      </c>
      <c r="S3212" s="9">
        <f>VLOOKUP(OPERAC[[#This Row],[especie]],[1]!ESPECIES[#Data],9,FALSE)</f>
        <v/>
      </c>
    </row>
    <row r="3213">
      <c r="A3213" s="4" t="n">
        <v>12652</v>
      </c>
      <c r="B3213" s="5" t="n">
        <v>44516</v>
      </c>
      <c r="C3213" s="13" t="inlineStr">
        <is>
          <t>VTA</t>
        </is>
      </c>
      <c r="D3213" s="13" t="n">
        <v>40</v>
      </c>
      <c r="E3213" s="10">
        <f>IF(D3213&gt;0,VLOOKUP(OPERAC[[#This Row],[COD CART]],[1]!MatrizCortoLargoCyl[#All],3,0),"")</f>
        <v/>
      </c>
      <c r="F3213" s="13" t="inlineStr">
        <is>
          <t>ACB</t>
        </is>
      </c>
      <c r="G3213" s="6" t="n">
        <v>100</v>
      </c>
      <c r="H3213" s="6">
        <f>-680.27+22.293</f>
        <v/>
      </c>
      <c r="I3213" s="7">
        <f>-H3213/G3213</f>
        <v/>
      </c>
      <c r="J3213" s="11" t="n">
        <v>44606</v>
      </c>
      <c r="K3213" s="6" t="n">
        <v>100</v>
      </c>
      <c r="L3213" s="6" t="n">
        <v>437.056</v>
      </c>
      <c r="M3213" s="7">
        <f>IF(N3213=0,+L3213+H3213,0)</f>
        <v/>
      </c>
      <c r="N3213" s="7">
        <f>IF((+G3213-K3213)=0,0,+G3213-K3213)</f>
        <v/>
      </c>
      <c r="O3213" s="7">
        <f>IF(N3213=0,0,(L3213+H3213)/-N3213)</f>
        <v/>
      </c>
      <c r="P3213" s="7">
        <f>VLOOKUP(OPERAC[[#This Row],[especie]],[1]!ESPECIES[#All],6,0)</f>
        <v/>
      </c>
      <c r="Q3213" s="7">
        <f>IF(N3213&lt;&gt;0,P3213*N3213,0)</f>
        <v/>
      </c>
      <c r="R3213" s="8">
        <f>IF(Q3213&lt;&gt;0,Q3213+H3213+L3213,0)</f>
        <v/>
      </c>
      <c r="S3213" s="9">
        <f>VLOOKUP(OPERAC[[#This Row],[especie]],[1]!ESPECIES[#Data],9,FALSE)</f>
        <v/>
      </c>
    </row>
    <row r="3214">
      <c r="A3214" s="4" t="n">
        <v>12674</v>
      </c>
      <c r="B3214" s="5" t="n">
        <v>44516</v>
      </c>
      <c r="C3214" s="13" t="inlineStr">
        <is>
          <t>VTA</t>
        </is>
      </c>
      <c r="D3214" s="13" t="n">
        <v>40</v>
      </c>
      <c r="E3214" s="10">
        <f>IF(D3214&gt;0,VLOOKUP(OPERAC[[#This Row],[COD CART]],[1]!MatrizCortoLargoCyl[#All],3,0),"")</f>
        <v/>
      </c>
      <c r="F3214" s="13" t="inlineStr">
        <is>
          <t>ACB</t>
        </is>
      </c>
      <c r="G3214" s="6" t="n">
        <v>100</v>
      </c>
      <c r="H3214" s="6">
        <f>-680.27+22.293</f>
        <v/>
      </c>
      <c r="I3214" s="7">
        <f>-H3214/G3214</f>
        <v/>
      </c>
      <c r="J3214" s="11" t="n">
        <v>44592</v>
      </c>
      <c r="K3214" s="6" t="n">
        <v>100</v>
      </c>
      <c r="L3214" s="6">
        <f>+OPERAC[[#This Row],[cantidad venta]]*4.107</f>
        <v/>
      </c>
      <c r="M3214" s="7">
        <f>IF(N3214=0,+L3214+H3214,0)</f>
        <v/>
      </c>
      <c r="N3214" s="7">
        <f>IF((+G3214-K3214)=0,0,+G3214-K3214)</f>
        <v/>
      </c>
      <c r="O3214" s="7">
        <f>IF(N3214=0,0,(L3214+H3214)/-N3214)</f>
        <v/>
      </c>
      <c r="P3214" s="7">
        <f>VLOOKUP(OPERAC[[#This Row],[especie]],[1]!ESPECIES[#All],6,0)</f>
        <v/>
      </c>
      <c r="Q3214" s="7">
        <f>IF(N3214&lt;&gt;0,P3214*N3214,0)</f>
        <v/>
      </c>
      <c r="R3214" s="8">
        <f>IF(Q3214&lt;&gt;0,Q3214+H3214+L3214,0)</f>
        <v/>
      </c>
      <c r="S3214" s="9">
        <f>VLOOKUP(OPERAC[[#This Row],[especie]],[1]!ESPECIES[#Data],9,FALSE)</f>
        <v/>
      </c>
    </row>
    <row r="3215">
      <c r="A3215" s="4" t="n">
        <v>12688</v>
      </c>
      <c r="B3215" s="5" t="n">
        <v>44516</v>
      </c>
      <c r="C3215" s="13" t="inlineStr">
        <is>
          <t>VTA</t>
        </is>
      </c>
      <c r="D3215" s="13" t="n">
        <v>40</v>
      </c>
      <c r="E3215" s="10">
        <f>IF(D3215&gt;0,VLOOKUP(OPERAC[[#This Row],[COD CART]],[1]!MatrizCortoLargoCyl[#All],3,0),"")</f>
        <v/>
      </c>
      <c r="F3215" s="13" t="inlineStr">
        <is>
          <t>ACB</t>
        </is>
      </c>
      <c r="G3215" s="6" t="n">
        <v>100</v>
      </c>
      <c r="H3215" s="6">
        <f>-680.27+22.293</f>
        <v/>
      </c>
      <c r="I3215" s="7">
        <f>-H3215/G3215</f>
        <v/>
      </c>
      <c r="J3215" s="11" t="n">
        <v>44606</v>
      </c>
      <c r="K3215" s="6" t="n">
        <v>100</v>
      </c>
      <c r="L3215" s="6" t="n">
        <v>437.056</v>
      </c>
      <c r="M3215" s="7">
        <f>IF(N3215=0,+L3215+H3215,0)</f>
        <v/>
      </c>
      <c r="N3215" s="7">
        <f>IF((+G3215-K3215)=0,0,+G3215-K3215)</f>
        <v/>
      </c>
      <c r="O3215" s="7">
        <f>IF(N3215=0,0,(L3215+H3215)/-N3215)</f>
        <v/>
      </c>
      <c r="P3215" s="7">
        <f>VLOOKUP(OPERAC[[#This Row],[especie]],[1]!ESPECIES[#All],6,0)</f>
        <v/>
      </c>
      <c r="Q3215" s="7">
        <f>IF(N3215&lt;&gt;0,P3215*N3215,0)</f>
        <v/>
      </c>
      <c r="R3215" s="8">
        <f>IF(Q3215&lt;&gt;0,Q3215+H3215+L3215,0)</f>
        <v/>
      </c>
      <c r="S3215" s="9">
        <f>VLOOKUP(OPERAC[[#This Row],[especie]],[1]!ESPECIES[#Data],9,FALSE)</f>
        <v/>
      </c>
    </row>
    <row r="3216">
      <c r="A3216" s="4" t="n">
        <v>12690</v>
      </c>
      <c r="B3216" s="5" t="n">
        <v>44516</v>
      </c>
      <c r="C3216" s="13" t="inlineStr">
        <is>
          <t>VTA</t>
        </is>
      </c>
      <c r="D3216" s="13" t="n">
        <v>40</v>
      </c>
      <c r="E3216" s="10">
        <f>IF(D3216&gt;0,VLOOKUP(OPERAC[[#This Row],[COD CART]],[1]!MatrizCortoLargoCyl[#All],3,0),"")</f>
        <v/>
      </c>
      <c r="F3216" s="13" t="inlineStr">
        <is>
          <t>ACB</t>
        </is>
      </c>
      <c r="G3216" s="6" t="n">
        <v>100</v>
      </c>
      <c r="H3216" s="6">
        <f>-680.27+22.293</f>
        <v/>
      </c>
      <c r="I3216" s="7">
        <f>-H3216/G3216</f>
        <v/>
      </c>
      <c r="J3216" s="11" t="n">
        <v>44606</v>
      </c>
      <c r="K3216" s="6" t="n">
        <v>100</v>
      </c>
      <c r="L3216" s="6" t="n">
        <v>437.056</v>
      </c>
      <c r="M3216" s="7">
        <f>IF(N3216=0,+L3216+H3216,0)</f>
        <v/>
      </c>
      <c r="N3216" s="7">
        <f>IF((+G3216-K3216)=0,0,+G3216-K3216)</f>
        <v/>
      </c>
      <c r="O3216" s="7">
        <f>IF(N3216=0,0,(L3216+H3216)/-N3216)</f>
        <v/>
      </c>
      <c r="P3216" s="7">
        <f>VLOOKUP(OPERAC[[#This Row],[especie]],[1]!ESPECIES[#All],6,0)</f>
        <v/>
      </c>
      <c r="Q3216" s="7">
        <f>IF(N3216&lt;&gt;0,P3216*N3216,0)</f>
        <v/>
      </c>
      <c r="R3216" s="8">
        <f>IF(Q3216&lt;&gt;0,Q3216+H3216+L3216,0)</f>
        <v/>
      </c>
      <c r="S3216" s="9">
        <f>VLOOKUP(OPERAC[[#This Row],[especie]],[1]!ESPECIES[#Data],9,FALSE)</f>
        <v/>
      </c>
    </row>
    <row r="3217">
      <c r="A3217" s="4" t="n">
        <v>26140</v>
      </c>
      <c r="B3217" s="5" t="n">
        <v>44516</v>
      </c>
      <c r="C3217" s="13" t="inlineStr">
        <is>
          <t>VTA</t>
        </is>
      </c>
      <c r="D3217" s="13" t="n">
        <v>40</v>
      </c>
      <c r="E3217" s="10">
        <f>IF(D3217&gt;0,VLOOKUP(OPERAC[[#This Row],[COD CART]],[1]!MatrizCortoLargoCyl[#All],3,0),"")</f>
        <v/>
      </c>
      <c r="F3217" s="13" t="inlineStr">
        <is>
          <t>ACB</t>
        </is>
      </c>
      <c r="G3217" s="6" t="n">
        <v>100</v>
      </c>
      <c r="H3217" s="6">
        <f>-680.27+22.293</f>
        <v/>
      </c>
      <c r="I3217" s="7">
        <f>-H3217/G3217</f>
        <v/>
      </c>
      <c r="J3217" s="11" t="n">
        <v>44606</v>
      </c>
      <c r="K3217" s="6" t="n">
        <v>100</v>
      </c>
      <c r="L3217" s="6" t="n">
        <v>437.056</v>
      </c>
      <c r="M3217" s="7">
        <f>IF(N3217=0,+L3217+H3217,0)</f>
        <v/>
      </c>
      <c r="N3217" s="7">
        <f>IF((+G3217-K3217)=0,0,+G3217-K3217)</f>
        <v/>
      </c>
      <c r="O3217" s="7">
        <f>IF(N3217=0,0,(L3217+H3217)/-N3217)</f>
        <v/>
      </c>
      <c r="P3217" s="7">
        <f>VLOOKUP(OPERAC[[#This Row],[especie]],[1]!ESPECIES[#All],6,0)</f>
        <v/>
      </c>
      <c r="Q3217" s="7">
        <f>IF(N3217&lt;&gt;0,P3217*N3217,0)</f>
        <v/>
      </c>
      <c r="R3217" s="8">
        <f>IF(Q3217&lt;&gt;0,Q3217+H3217+L3217,0)</f>
        <v/>
      </c>
      <c r="S3217" s="9">
        <f>VLOOKUP(OPERAC[[#This Row],[especie]],[1]!ESPECIES[#Data],9,FALSE)</f>
        <v/>
      </c>
    </row>
    <row r="3218">
      <c r="A3218" s="4" t="n">
        <v>19867</v>
      </c>
      <c r="B3218" s="5" t="n">
        <v>44643</v>
      </c>
      <c r="C3218" s="13" t="inlineStr">
        <is>
          <t>VTA</t>
        </is>
      </c>
      <c r="D3218" s="13" t="n">
        <v>31</v>
      </c>
      <c r="E3218" s="10">
        <f>IF(D3218&gt;0,VLOOKUP(OPERAC[[#This Row],[COD CART]],[1]!MatrizCortoLargoCyl[#All],3,0),"")</f>
        <v/>
      </c>
      <c r="F3218" s="13" t="inlineStr">
        <is>
          <t>SFM</t>
        </is>
      </c>
      <c r="G3218" s="6" t="n">
        <v>20</v>
      </c>
      <c r="H3218" s="6" t="n">
        <v>-658.216</v>
      </c>
      <c r="I3218" s="7">
        <f>-H3218/G3218</f>
        <v/>
      </c>
      <c r="J3218" s="11" t="n"/>
      <c r="K3218" s="6" t="n"/>
      <c r="L3218" s="6" t="n"/>
      <c r="M3218" s="7">
        <f>IF(N3218=0,+L3218+H3218,0)</f>
        <v/>
      </c>
      <c r="N3218" s="7">
        <f>IF((+G3218-K3218)=0,0,+G3218-K3218)</f>
        <v/>
      </c>
      <c r="O3218" s="7">
        <f>IF(N3218=0,0,(L3218+H3218)/-N3218)</f>
        <v/>
      </c>
      <c r="P3218" s="7">
        <f>VLOOKUP(OPERAC[[#This Row],[especie]],[1]!ESPECIES[#All],6,0)</f>
        <v/>
      </c>
      <c r="Q3218" s="7">
        <f>IF(N3218&lt;&gt;0,P3218*N3218,0)</f>
        <v/>
      </c>
      <c r="R3218" s="8">
        <f>IF(Q3218&lt;&gt;0,Q3218+H3218+L3218,0)</f>
        <v/>
      </c>
      <c r="S3218" s="9">
        <f>VLOOKUP(OPERAC[[#This Row],[especie]],[1]!ESPECIES[#Data],9,FALSE)</f>
        <v/>
      </c>
    </row>
    <row r="3219">
      <c r="A3219" s="4" t="n">
        <v>12671</v>
      </c>
      <c r="B3219" s="5" t="n">
        <v>44643</v>
      </c>
      <c r="C3219" s="13" t="inlineStr">
        <is>
          <t>VTA</t>
        </is>
      </c>
      <c r="D3219" s="13" t="n">
        <v>32</v>
      </c>
      <c r="E3219" s="10">
        <f>IF(D3219&gt;0,VLOOKUP(OPERAC[[#This Row],[COD CART]],[1]!MatrizCortoLargoCyl[#All],3,0),"")</f>
        <v/>
      </c>
      <c r="F3219" s="13" t="inlineStr">
        <is>
          <t>CRESY/CYL/7,50/17-06-22</t>
        </is>
      </c>
      <c r="G3219" s="6" t="n">
        <v>100</v>
      </c>
      <c r="H3219" s="6">
        <f>-680.303+19.87</f>
        <v/>
      </c>
      <c r="I3219" s="7">
        <f>-H3219/G3219</f>
        <v/>
      </c>
      <c r="J3219" s="11" t="n"/>
      <c r="K3219" s="6" t="n"/>
      <c r="L3219" s="6" t="n"/>
      <c r="M3219" s="7">
        <f>IF(N3219=0,+L3219+H3219,0)</f>
        <v/>
      </c>
      <c r="N3219" s="7">
        <f>IF((+G3219-K3219)=0,0,+G3219-K3219)</f>
        <v/>
      </c>
      <c r="O3219" s="7">
        <f>IF(N3219=0,0,(L3219+H3219)/-N3219)</f>
        <v/>
      </c>
      <c r="P3219" s="7">
        <f>VLOOKUP(OPERAC[[#This Row],[especie]],[1]!ESPECIES[#All],6,0)</f>
        <v/>
      </c>
      <c r="Q3219" s="7">
        <f>IF(N3219&lt;&gt;0,P3219*N3219,0)</f>
        <v/>
      </c>
      <c r="R3219" s="8">
        <f>IF(Q3219&lt;&gt;0,Q3219+H3219+L3219,0)</f>
        <v/>
      </c>
      <c r="S3219" s="9">
        <f>VLOOKUP(OPERAC[[#This Row],[especie]],[1]!ESPECIES[#Data],9,FALSE)</f>
        <v/>
      </c>
    </row>
    <row r="3220">
      <c r="A3220" s="4" t="n">
        <v>2203</v>
      </c>
      <c r="B3220" s="5" t="n">
        <v>44649</v>
      </c>
      <c r="C3220" s="13" t="inlineStr">
        <is>
          <t>VTA</t>
        </is>
      </c>
      <c r="D3220" s="13" t="n">
        <v>32</v>
      </c>
      <c r="E3220" s="10">
        <f>IF(D3220&gt;0,VLOOKUP(OPERAC[[#This Row],[COD CART]],[1]!MatrizCortoLargoCyl[#All],3,0),"")</f>
        <v/>
      </c>
      <c r="F3220" s="13" t="inlineStr">
        <is>
          <t>TLRY</t>
        </is>
      </c>
      <c r="G3220" s="6" t="n">
        <v>100</v>
      </c>
      <c r="H3220" s="6">
        <f>-672.216+9.915</f>
        <v/>
      </c>
      <c r="I3220" s="7">
        <f>-H3220/G3220</f>
        <v/>
      </c>
      <c r="J3220" s="11" t="n">
        <v>44704</v>
      </c>
      <c r="K3220" s="6" t="n">
        <v>100</v>
      </c>
      <c r="L3220" s="6" t="n">
        <v>454.305</v>
      </c>
      <c r="M3220" s="7">
        <f>IF(N3220=0,+L3220+H3220,0)</f>
        <v/>
      </c>
      <c r="N3220" s="7">
        <f>IF((+G3220-K3220)=0,0,+G3220-K3220)</f>
        <v/>
      </c>
      <c r="O3220" s="7">
        <f>IF(N3220=0,0,(L3220+H3220)/-N3220)</f>
        <v/>
      </c>
      <c r="P3220" s="7">
        <f>VLOOKUP(OPERAC[[#This Row],[especie]],[1]!ESPECIES[#All],6,0)</f>
        <v/>
      </c>
      <c r="Q3220" s="7">
        <f>IF(N3220&lt;&gt;0,P3220*N3220,0)</f>
        <v/>
      </c>
      <c r="R3220" s="8">
        <f>IF(Q3220&lt;&gt;0,Q3220+H3220+L3220,0)</f>
        <v/>
      </c>
      <c r="S3220" s="9">
        <f>VLOOKUP(OPERAC[[#This Row],[especie]],[1]!ESPECIES[#Data],9,FALSE)</f>
        <v/>
      </c>
    </row>
    <row r="3221">
      <c r="A3221" s="4" t="n">
        <v>3853</v>
      </c>
      <c r="B3221" s="5" t="n">
        <v>44649</v>
      </c>
      <c r="C3221" s="13" t="inlineStr">
        <is>
          <t>VTA</t>
        </is>
      </c>
      <c r="D3221" s="13" t="n">
        <v>32</v>
      </c>
      <c r="E3221" s="10">
        <f>IF(D3221&gt;0,VLOOKUP(OPERAC[[#This Row],[COD CART]],[1]!MatrizCortoLargoCyl[#All],3,0),"")</f>
        <v/>
      </c>
      <c r="F3221" s="13" t="inlineStr">
        <is>
          <t>TLRY</t>
        </is>
      </c>
      <c r="G3221" s="6" t="n">
        <v>100</v>
      </c>
      <c r="H3221" s="6">
        <f>-672.216+9.915</f>
        <v/>
      </c>
      <c r="I3221" s="7">
        <f>-H3221/G3221</f>
        <v/>
      </c>
      <c r="J3221" s="11" t="n">
        <v>44704</v>
      </c>
      <c r="K3221" s="6" t="n">
        <v>100</v>
      </c>
      <c r="L3221" s="6" t="n">
        <v>454.305</v>
      </c>
      <c r="M3221" s="7">
        <f>IF(N3221=0,+L3221+H3221,0)</f>
        <v/>
      </c>
      <c r="N3221" s="7">
        <f>IF((+G3221-K3221)=0,0,+G3221-K3221)</f>
        <v/>
      </c>
      <c r="O3221" s="7">
        <f>IF(N3221=0,0,(L3221+H3221)/-N3221)</f>
        <v/>
      </c>
      <c r="P3221" s="7">
        <f>VLOOKUP(OPERAC[[#This Row],[especie]],[1]!ESPECIES[#All],6,0)</f>
        <v/>
      </c>
      <c r="Q3221" s="7">
        <f>IF(N3221&lt;&gt;0,P3221*N3221,0)</f>
        <v/>
      </c>
      <c r="R3221" s="8">
        <f>IF(Q3221&lt;&gt;0,Q3221+H3221+L3221,0)</f>
        <v/>
      </c>
      <c r="S3221" s="9">
        <f>VLOOKUP(OPERAC[[#This Row],[especie]],[1]!ESPECIES[#Data],9,FALSE)</f>
        <v/>
      </c>
    </row>
    <row r="3222">
      <c r="A3222" s="4" t="n">
        <v>7879</v>
      </c>
      <c r="B3222" s="5" t="n">
        <v>44649</v>
      </c>
      <c r="C3222" s="13" t="inlineStr">
        <is>
          <t>VTA</t>
        </is>
      </c>
      <c r="D3222" s="13" t="n">
        <v>32</v>
      </c>
      <c r="E3222" s="10">
        <f>IF(D3222&gt;0,VLOOKUP(OPERAC[[#This Row],[COD CART]],[1]!MatrizCortoLargoCyl[#All],3,0),"")</f>
        <v/>
      </c>
      <c r="F3222" s="13" t="inlineStr">
        <is>
          <t>TLRY</t>
        </is>
      </c>
      <c r="G3222" s="6" t="n">
        <v>100</v>
      </c>
      <c r="H3222" s="6">
        <f>-672.216+9.915</f>
        <v/>
      </c>
      <c r="I3222" s="7">
        <f>-H3222/G3222</f>
        <v/>
      </c>
      <c r="J3222" s="11" t="n"/>
      <c r="K3222" s="6" t="n"/>
      <c r="L3222" s="6" t="n"/>
      <c r="M3222" s="7">
        <f>IF(N3222=0,+L3222+H3222,0)</f>
        <v/>
      </c>
      <c r="N3222" s="7">
        <f>IF((+G3222-K3222)=0,0,+G3222-K3222)</f>
        <v/>
      </c>
      <c r="O3222" s="7">
        <f>IF(N3222=0,0,(L3222+H3222)/-N3222)</f>
        <v/>
      </c>
      <c r="P3222" s="7">
        <f>VLOOKUP(OPERAC[[#This Row],[especie]],[1]!ESPECIES[#All],6,0)</f>
        <v/>
      </c>
      <c r="Q3222" s="7">
        <f>IF(N3222&lt;&gt;0,P3222*N3222,0)</f>
        <v/>
      </c>
      <c r="R3222" s="8">
        <f>IF(Q3222&lt;&gt;0,Q3222+H3222+L3222,0)</f>
        <v/>
      </c>
      <c r="S3222" s="9">
        <f>VLOOKUP(OPERAC[[#This Row],[especie]],[1]!ESPECIES[#Data],9,FALSE)</f>
        <v/>
      </c>
    </row>
    <row r="3223">
      <c r="A3223" s="4" t="n">
        <v>15194</v>
      </c>
      <c r="B3223" s="5" t="n">
        <v>44649</v>
      </c>
      <c r="C3223" s="13" t="inlineStr">
        <is>
          <t>VTA</t>
        </is>
      </c>
      <c r="D3223" s="13" t="n">
        <v>32</v>
      </c>
      <c r="E3223" s="10">
        <f>IF(D3223&gt;0,VLOOKUP(OPERAC[[#This Row],[COD CART]],[1]!MatrizCortoLargoCyl[#All],3,0),"")</f>
        <v/>
      </c>
      <c r="F3223" s="13" t="inlineStr">
        <is>
          <t>TLRY</t>
        </is>
      </c>
      <c r="G3223" s="6" t="n">
        <v>100</v>
      </c>
      <c r="H3223" s="6">
        <f>-672.216+9.915</f>
        <v/>
      </c>
      <c r="I3223" s="7">
        <f>-H3223/G3223</f>
        <v/>
      </c>
      <c r="J3223" s="11" t="n"/>
      <c r="K3223" s="6" t="n"/>
      <c r="L3223" s="6" t="n"/>
      <c r="M3223" s="7">
        <f>IF(N3223=0,+L3223+H3223,0)</f>
        <v/>
      </c>
      <c r="N3223" s="7">
        <f>IF((+G3223-K3223)=0,0,+G3223-K3223)</f>
        <v/>
      </c>
      <c r="O3223" s="7">
        <f>IF(N3223=0,0,(L3223+H3223)/-N3223)</f>
        <v/>
      </c>
      <c r="P3223" s="7">
        <f>VLOOKUP(OPERAC[[#This Row],[especie]],[1]!ESPECIES[#All],6,0)</f>
        <v/>
      </c>
      <c r="Q3223" s="7">
        <f>IF(N3223&lt;&gt;0,P3223*N3223,0)</f>
        <v/>
      </c>
      <c r="R3223" s="8">
        <f>IF(Q3223&lt;&gt;0,Q3223+H3223+L3223,0)</f>
        <v/>
      </c>
      <c r="S3223" s="9">
        <f>VLOOKUP(OPERAC[[#This Row],[especie]],[1]!ESPECIES[#Data],9,FALSE)</f>
        <v/>
      </c>
    </row>
    <row r="3224">
      <c r="A3224" s="4" t="n">
        <v>16776</v>
      </c>
      <c r="B3224" s="5" t="n">
        <v>44649</v>
      </c>
      <c r="C3224" s="13" t="inlineStr">
        <is>
          <t>VTA</t>
        </is>
      </c>
      <c r="D3224" s="13" t="n">
        <v>32</v>
      </c>
      <c r="E3224" s="10">
        <f>IF(D3224&gt;0,VLOOKUP(OPERAC[[#This Row],[COD CART]],[1]!MatrizCortoLargoCyl[#All],3,0),"")</f>
        <v/>
      </c>
      <c r="F3224" s="13" t="inlineStr">
        <is>
          <t>TLRY</t>
        </is>
      </c>
      <c r="G3224" s="6" t="n">
        <v>100</v>
      </c>
      <c r="H3224" s="6">
        <f>-672.216+9.915</f>
        <v/>
      </c>
      <c r="I3224" s="7">
        <f>-H3224/G3224</f>
        <v/>
      </c>
      <c r="J3224" s="11" t="n"/>
      <c r="K3224" s="6" t="n"/>
      <c r="L3224" s="6" t="n"/>
      <c r="M3224" s="7">
        <f>IF(N3224=0,+L3224+H3224,0)</f>
        <v/>
      </c>
      <c r="N3224" s="7">
        <f>IF((+G3224-K3224)=0,0,+G3224-K3224)</f>
        <v/>
      </c>
      <c r="O3224" s="7">
        <f>IF(N3224=0,0,(L3224+H3224)/-N3224)</f>
        <v/>
      </c>
      <c r="P3224" s="7">
        <f>VLOOKUP(OPERAC[[#This Row],[especie]],[1]!ESPECIES[#All],6,0)</f>
        <v/>
      </c>
      <c r="Q3224" s="7">
        <f>IF(N3224&lt;&gt;0,P3224*N3224,0)</f>
        <v/>
      </c>
      <c r="R3224" s="8">
        <f>IF(Q3224&lt;&gt;0,Q3224+H3224+L3224,0)</f>
        <v/>
      </c>
      <c r="S3224" s="9">
        <f>VLOOKUP(OPERAC[[#This Row],[especie]],[1]!ESPECIES[#Data],9,FALSE)</f>
        <v/>
      </c>
    </row>
    <row r="3225">
      <c r="A3225" s="4" t="n">
        <v>18677</v>
      </c>
      <c r="B3225" s="5" t="n">
        <v>44649</v>
      </c>
      <c r="C3225" s="13" t="inlineStr">
        <is>
          <t>VTA</t>
        </is>
      </c>
      <c r="D3225" s="13" t="n">
        <v>32</v>
      </c>
      <c r="E3225" s="10">
        <f>IF(D3225&gt;0,VLOOKUP(OPERAC[[#This Row],[COD CART]],[1]!MatrizCortoLargoCyl[#All],3,0),"")</f>
        <v/>
      </c>
      <c r="F3225" s="13" t="inlineStr">
        <is>
          <t>TLRY</t>
        </is>
      </c>
      <c r="G3225" s="6" t="n">
        <v>100</v>
      </c>
      <c r="H3225" s="6">
        <f>-672.216+9.915</f>
        <v/>
      </c>
      <c r="I3225" s="7">
        <f>-H3225/G3225</f>
        <v/>
      </c>
      <c r="J3225" s="11" t="n"/>
      <c r="K3225" s="6" t="n"/>
      <c r="L3225" s="6" t="n"/>
      <c r="M3225" s="7">
        <f>IF(N3225=0,+L3225+H3225,0)</f>
        <v/>
      </c>
      <c r="N3225" s="7">
        <f>IF((+G3225-K3225)=0,0,+G3225-K3225)</f>
        <v/>
      </c>
      <c r="O3225" s="7">
        <f>IF(N3225=0,0,(L3225+H3225)/-N3225)</f>
        <v/>
      </c>
      <c r="P3225" s="7">
        <f>VLOOKUP(OPERAC[[#This Row],[especie]],[1]!ESPECIES[#All],6,0)</f>
        <v/>
      </c>
      <c r="Q3225" s="7">
        <f>IF(N3225&lt;&gt;0,P3225*N3225,0)</f>
        <v/>
      </c>
      <c r="R3225" s="8">
        <f>IF(Q3225&lt;&gt;0,Q3225+H3225+L3225,0)</f>
        <v/>
      </c>
      <c r="S3225" s="9">
        <f>VLOOKUP(OPERAC[[#This Row],[especie]],[1]!ESPECIES[#Data],9,FALSE)</f>
        <v/>
      </c>
    </row>
    <row r="3226">
      <c r="A3226" s="4" t="n">
        <v>18703</v>
      </c>
      <c r="B3226" s="5" t="n">
        <v>44649</v>
      </c>
      <c r="C3226" s="13" t="inlineStr">
        <is>
          <t>VTA</t>
        </is>
      </c>
      <c r="D3226" s="13" t="n">
        <v>32</v>
      </c>
      <c r="E3226" s="10">
        <f>IF(D3226&gt;0,VLOOKUP(OPERAC[[#This Row],[COD CART]],[1]!MatrizCortoLargoCyl[#All],3,0),"")</f>
        <v/>
      </c>
      <c r="F3226" s="13" t="inlineStr">
        <is>
          <t>TLRY</t>
        </is>
      </c>
      <c r="G3226" s="6" t="n">
        <v>100</v>
      </c>
      <c r="H3226" s="6">
        <f>-672.216+9.915</f>
        <v/>
      </c>
      <c r="I3226" s="7">
        <f>-H3226/G3226</f>
        <v/>
      </c>
      <c r="J3226" s="11" t="n"/>
      <c r="K3226" s="6" t="n"/>
      <c r="L3226" s="6" t="n"/>
      <c r="M3226" s="7">
        <f>IF(N3226=0,+L3226+H3226,0)</f>
        <v/>
      </c>
      <c r="N3226" s="7">
        <f>IF((+G3226-K3226)=0,0,+G3226-K3226)</f>
        <v/>
      </c>
      <c r="O3226" s="7">
        <f>IF(N3226=0,0,(L3226+H3226)/-N3226)</f>
        <v/>
      </c>
      <c r="P3226" s="7">
        <f>VLOOKUP(OPERAC[[#This Row],[especie]],[1]!ESPECIES[#All],6,0)</f>
        <v/>
      </c>
      <c r="Q3226" s="7">
        <f>IF(N3226&lt;&gt;0,P3226*N3226,0)</f>
        <v/>
      </c>
      <c r="R3226" s="8">
        <f>IF(Q3226&lt;&gt;0,Q3226+H3226+L3226,0)</f>
        <v/>
      </c>
      <c r="S3226" s="9">
        <f>VLOOKUP(OPERAC[[#This Row],[especie]],[1]!ESPECIES[#Data],9,FALSE)</f>
        <v/>
      </c>
    </row>
    <row r="3227">
      <c r="A3227" s="4" t="n">
        <v>18726</v>
      </c>
      <c r="B3227" s="5" t="n">
        <v>44649</v>
      </c>
      <c r="C3227" s="13" t="inlineStr">
        <is>
          <t>VTA</t>
        </is>
      </c>
      <c r="D3227" s="13" t="n">
        <v>32</v>
      </c>
      <c r="E3227" s="10">
        <f>IF(D3227&gt;0,VLOOKUP(OPERAC[[#This Row],[COD CART]],[1]!MatrizCortoLargoCyl[#All],3,0),"")</f>
        <v/>
      </c>
      <c r="F3227" s="13" t="inlineStr">
        <is>
          <t>TLRY</t>
        </is>
      </c>
      <c r="G3227" s="6" t="n">
        <v>100</v>
      </c>
      <c r="H3227" s="6">
        <f>-672.216+9.915</f>
        <v/>
      </c>
      <c r="I3227" s="7">
        <f>-H3227/G3227</f>
        <v/>
      </c>
      <c r="J3227" s="11" t="n"/>
      <c r="K3227" s="6" t="n"/>
      <c r="L3227" s="6" t="n"/>
      <c r="M3227" s="7">
        <f>IF(N3227=0,+L3227+H3227,0)</f>
        <v/>
      </c>
      <c r="N3227" s="7">
        <f>IF((+G3227-K3227)=0,0,+G3227-K3227)</f>
        <v/>
      </c>
      <c r="O3227" s="7">
        <f>IF(N3227=0,0,(L3227+H3227)/-N3227)</f>
        <v/>
      </c>
      <c r="P3227" s="7">
        <f>VLOOKUP(OPERAC[[#This Row],[especie]],[1]!ESPECIES[#All],6,0)</f>
        <v/>
      </c>
      <c r="Q3227" s="7">
        <f>IF(N3227&lt;&gt;0,P3227*N3227,0)</f>
        <v/>
      </c>
      <c r="R3227" s="8">
        <f>IF(Q3227&lt;&gt;0,Q3227+H3227+L3227,0)</f>
        <v/>
      </c>
      <c r="S3227" s="9">
        <f>VLOOKUP(OPERAC[[#This Row],[especie]],[1]!ESPECIES[#Data],9,FALSE)</f>
        <v/>
      </c>
    </row>
    <row r="3228">
      <c r="A3228" s="4" t="n">
        <v>7879</v>
      </c>
      <c r="B3228" s="5" t="n">
        <v>44585</v>
      </c>
      <c r="C3228" s="13" t="inlineStr">
        <is>
          <t>VTA</t>
        </is>
      </c>
      <c r="D3228" s="13" t="n">
        <v>41</v>
      </c>
      <c r="E3228" s="10">
        <f>IF(D3228&gt;0,VLOOKUP(OPERAC[[#This Row],[COD CART]],[1]!MatrizCortoLargoCyl[#All],3,0),"")</f>
        <v/>
      </c>
      <c r="F3228" s="13" t="inlineStr">
        <is>
          <t>ETHE</t>
        </is>
      </c>
      <c r="G3228" s="6" t="n">
        <v>40</v>
      </c>
      <c r="H3228" s="6" t="n">
        <v>-662.651</v>
      </c>
      <c r="I3228" s="7">
        <f>-H3228/G3228</f>
        <v/>
      </c>
      <c r="J3228" s="11" t="n">
        <v>44599</v>
      </c>
      <c r="K3228" s="6">
        <f>15+25</f>
        <v/>
      </c>
      <c r="L3228" s="6">
        <f>368.18+591.258</f>
        <v/>
      </c>
      <c r="M3228" s="7">
        <f>IF(N3228=0,+L3228+H3228,0)</f>
        <v/>
      </c>
      <c r="N3228" s="7">
        <f>IF((+G3228-K3228)=0,0,+G3228-K3228)</f>
        <v/>
      </c>
      <c r="O3228" s="7">
        <f>IF(N3228=0,0,(L3228+H3228)/-N3228)</f>
        <v/>
      </c>
      <c r="P3228" s="7">
        <f>VLOOKUP(OPERAC[[#This Row],[especie]],[1]!ESPECIES[#All],6,0)</f>
        <v/>
      </c>
      <c r="Q3228" s="7">
        <f>IF(N3228&lt;&gt;0,P3228*N3228,0)</f>
        <v/>
      </c>
      <c r="R3228" s="8">
        <f>IF(Q3228&lt;&gt;0,Q3228+H3228+L3228,0)</f>
        <v/>
      </c>
      <c r="S3228" s="9">
        <f>VLOOKUP(OPERAC[[#This Row],[especie]],[1]!ESPECIES[#Data],9,FALSE)</f>
        <v/>
      </c>
    </row>
    <row r="3229">
      <c r="A3229" s="4" t="n">
        <v>2203</v>
      </c>
      <c r="B3229" s="5" t="n">
        <v>44634</v>
      </c>
      <c r="C3229" s="13" t="inlineStr">
        <is>
          <t>VTA</t>
        </is>
      </c>
      <c r="D3229" s="13" t="n">
        <v>42</v>
      </c>
      <c r="E3229" s="10">
        <f>IF(D3229&gt;0,VLOOKUP(OPERAC[[#This Row],[COD CART]],[1]!MatrizCortoLargoCyl[#All],3,0),"")</f>
        <v/>
      </c>
      <c r="F3229" s="13" t="inlineStr">
        <is>
          <t>INO</t>
        </is>
      </c>
      <c r="G3229" s="6" t="n">
        <v>200</v>
      </c>
      <c r="H3229" s="6" t="n">
        <v>-664.1632</v>
      </c>
      <c r="I3229" s="7">
        <f>-H3229/G3229</f>
        <v/>
      </c>
      <c r="J3229" s="11" t="n">
        <v>44634</v>
      </c>
      <c r="K3229" s="6" t="n">
        <v>200</v>
      </c>
      <c r="L3229" s="6" t="n">
        <v>597.771</v>
      </c>
      <c r="M3229" s="7">
        <f>IF(N3229=0,+L3229+H3229,0)</f>
        <v/>
      </c>
      <c r="N3229" s="7">
        <f>IF((+G3229-K3229)=0,0,+G3229-K3229)</f>
        <v/>
      </c>
      <c r="O3229" s="7">
        <f>IF(N3229=0,0,(L3229+H3229)/-N3229)</f>
        <v/>
      </c>
      <c r="P3229" s="7">
        <f>VLOOKUP(OPERAC[[#This Row],[especie]],[1]!ESPECIES[#All],6,0)</f>
        <v/>
      </c>
      <c r="Q3229" s="7">
        <f>IF(N3229&lt;&gt;0,P3229*N3229,0)</f>
        <v/>
      </c>
      <c r="R3229" s="8">
        <f>IF(Q3229&lt;&gt;0,Q3229+H3229+L3229,0)</f>
        <v/>
      </c>
      <c r="S3229" s="9">
        <f>VLOOKUP(OPERAC[[#This Row],[especie]],[1]!ESPECIES[#Data],9,FALSE)</f>
        <v/>
      </c>
    </row>
    <row r="3230">
      <c r="A3230" s="4" t="n">
        <v>12655</v>
      </c>
      <c r="B3230" s="5" t="n">
        <v>44634</v>
      </c>
      <c r="C3230" s="13" t="inlineStr">
        <is>
          <t>CPR</t>
        </is>
      </c>
      <c r="D3230" s="13" t="n">
        <v>42</v>
      </c>
      <c r="E3230" s="10">
        <f>IF(D3230&gt;0,VLOOKUP(OPERAC[[#This Row],[COD CART]],[1]!MatrizCortoLargoCyl[#All],3,0),"")</f>
        <v/>
      </c>
      <c r="F3230" s="13" t="inlineStr">
        <is>
          <t>INO</t>
        </is>
      </c>
      <c r="G3230" s="6" t="n">
        <v>200</v>
      </c>
      <c r="H3230" s="6" t="n">
        <v>-664.1632</v>
      </c>
      <c r="I3230" s="7">
        <f>-H3230/G3230</f>
        <v/>
      </c>
      <c r="J3230" s="11" t="n">
        <v>44634</v>
      </c>
      <c r="K3230" s="6" t="n">
        <v>200</v>
      </c>
      <c r="L3230" s="6" t="n">
        <v>597.771</v>
      </c>
      <c r="M3230" s="7">
        <f>IF(N3230=0,+L3230+H3230,0)</f>
        <v/>
      </c>
      <c r="N3230" s="7">
        <f>IF((+G3230-K3230)=0,0,+G3230-K3230)</f>
        <v/>
      </c>
      <c r="O3230" s="7">
        <f>IF(N3230=0,0,(L3230+H3230)/-N3230)</f>
        <v/>
      </c>
      <c r="P3230" s="7">
        <f>VLOOKUP(OPERAC[[#This Row],[especie]],[1]!ESPECIES[#All],6,0)</f>
        <v/>
      </c>
      <c r="Q3230" s="7">
        <f>IF(N3230&lt;&gt;0,P3230*N3230,0)</f>
        <v/>
      </c>
      <c r="R3230" s="8">
        <f>IF(Q3230&lt;&gt;0,Q3230+H3230+L3230,0)</f>
        <v/>
      </c>
      <c r="S3230" s="9">
        <f>VLOOKUP(OPERAC[[#This Row],[especie]],[1]!ESPECIES[#Data],9,FALSE)</f>
        <v/>
      </c>
    </row>
    <row r="3231">
      <c r="A3231" s="4" t="n">
        <v>13180</v>
      </c>
      <c r="B3231" s="5" t="n">
        <v>44634</v>
      </c>
      <c r="C3231" s="13" t="inlineStr">
        <is>
          <t>CPR</t>
        </is>
      </c>
      <c r="D3231" s="13" t="n">
        <v>42</v>
      </c>
      <c r="E3231" s="10">
        <f>IF(D3231&gt;0,VLOOKUP(OPERAC[[#This Row],[COD CART]],[1]!MatrizCortoLargoCyl[#All],3,0),"")</f>
        <v/>
      </c>
      <c r="F3231" s="13" t="inlineStr">
        <is>
          <t>INO</t>
        </is>
      </c>
      <c r="G3231" s="6" t="n">
        <v>200</v>
      </c>
      <c r="H3231" s="6" t="n">
        <v>-664.1632</v>
      </c>
      <c r="I3231" s="7">
        <f>-H3231/G3231</f>
        <v/>
      </c>
      <c r="J3231" s="11" t="n">
        <v>44634</v>
      </c>
      <c r="K3231" s="6" t="n">
        <v>200</v>
      </c>
      <c r="L3231" s="6" t="n">
        <v>597.771</v>
      </c>
      <c r="M3231" s="7">
        <f>IF(N3231=0,+L3231+H3231,0)</f>
        <v/>
      </c>
      <c r="N3231" s="7">
        <f>IF((+G3231-K3231)=0,0,+G3231-K3231)</f>
        <v/>
      </c>
      <c r="O3231" s="7">
        <f>IF(N3231=0,0,(L3231+H3231)/-N3231)</f>
        <v/>
      </c>
      <c r="P3231" s="7">
        <f>VLOOKUP(OPERAC[[#This Row],[especie]],[1]!ESPECIES[#All],6,0)</f>
        <v/>
      </c>
      <c r="Q3231" s="7">
        <f>IF(N3231&lt;&gt;0,P3231*N3231,0)</f>
        <v/>
      </c>
      <c r="R3231" s="8">
        <f>IF(Q3231&lt;&gt;0,Q3231+H3231+L3231,0)</f>
        <v/>
      </c>
      <c r="S3231" s="9">
        <f>VLOOKUP(OPERAC[[#This Row],[especie]],[1]!ESPECIES[#Data],9,FALSE)</f>
        <v/>
      </c>
    </row>
    <row r="3232">
      <c r="A3232" s="4" t="n">
        <v>16780</v>
      </c>
      <c r="B3232" s="5" t="n">
        <v>44634</v>
      </c>
      <c r="C3232" s="13" t="inlineStr">
        <is>
          <t>CPR</t>
        </is>
      </c>
      <c r="D3232" s="13" t="n">
        <v>42</v>
      </c>
      <c r="E3232" s="10">
        <f>IF(D3232&gt;0,VLOOKUP(OPERAC[[#This Row],[COD CART]],[1]!MatrizCortoLargoCyl[#All],3,0),"")</f>
        <v/>
      </c>
      <c r="F3232" s="13" t="inlineStr">
        <is>
          <t>INO</t>
        </is>
      </c>
      <c r="G3232" s="6" t="n">
        <v>200</v>
      </c>
      <c r="H3232" s="6" t="n">
        <v>-664.1632</v>
      </c>
      <c r="I3232" s="7">
        <f>-H3232/G3232</f>
        <v/>
      </c>
      <c r="J3232" s="11" t="n">
        <v>44634</v>
      </c>
      <c r="K3232" s="6" t="n">
        <v>200</v>
      </c>
      <c r="L3232" s="6" t="n">
        <v>597.771</v>
      </c>
      <c r="M3232" s="7">
        <f>IF(N3232=0,+L3232+H3232,0)</f>
        <v/>
      </c>
      <c r="N3232" s="7">
        <f>IF((+G3232-K3232)=0,0,+G3232-K3232)</f>
        <v/>
      </c>
      <c r="O3232" s="7">
        <f>IF(N3232=0,0,(L3232+H3232)/-N3232)</f>
        <v/>
      </c>
      <c r="P3232" s="7">
        <f>VLOOKUP(OPERAC[[#This Row],[especie]],[1]!ESPECIES[#All],6,0)</f>
        <v/>
      </c>
      <c r="Q3232" s="7">
        <f>IF(N3232&lt;&gt;0,P3232*N3232,0)</f>
        <v/>
      </c>
      <c r="R3232" s="8">
        <f>IF(Q3232&lt;&gt;0,Q3232+H3232+L3232,0)</f>
        <v/>
      </c>
      <c r="S3232" s="9">
        <f>VLOOKUP(OPERAC[[#This Row],[especie]],[1]!ESPECIES[#Data],9,FALSE)</f>
        <v/>
      </c>
    </row>
    <row r="3233">
      <c r="A3233" s="4" t="n">
        <v>18711</v>
      </c>
      <c r="B3233" s="5" t="n">
        <v>44634</v>
      </c>
      <c r="C3233" s="13" t="inlineStr">
        <is>
          <t>CPR</t>
        </is>
      </c>
      <c r="D3233" s="13" t="n">
        <v>42</v>
      </c>
      <c r="E3233" s="10">
        <f>IF(D3233&gt;0,VLOOKUP(OPERAC[[#This Row],[COD CART]],[1]!MatrizCortoLargoCyl[#All],3,0),"")</f>
        <v/>
      </c>
      <c r="F3233" s="13" t="inlineStr">
        <is>
          <t>INO</t>
        </is>
      </c>
      <c r="G3233" s="6" t="n">
        <v>200</v>
      </c>
      <c r="H3233" s="6" t="n">
        <v>-664.1632</v>
      </c>
      <c r="I3233" s="7">
        <f>-H3233/G3233</f>
        <v/>
      </c>
      <c r="J3233" s="11" t="n">
        <v>44634</v>
      </c>
      <c r="K3233" s="6" t="n">
        <v>200</v>
      </c>
      <c r="L3233" s="6" t="n">
        <v>597.771</v>
      </c>
      <c r="M3233" s="7">
        <f>IF(N3233=0,+L3233+H3233,0)</f>
        <v/>
      </c>
      <c r="N3233" s="7">
        <f>IF((+G3233-K3233)=0,0,+G3233-K3233)</f>
        <v/>
      </c>
      <c r="O3233" s="7">
        <f>IF(N3233=0,0,(L3233+H3233)/-N3233)</f>
        <v/>
      </c>
      <c r="P3233" s="7">
        <f>VLOOKUP(OPERAC[[#This Row],[especie]],[1]!ESPECIES[#All],6,0)</f>
        <v/>
      </c>
      <c r="Q3233" s="7">
        <f>IF(N3233&lt;&gt;0,P3233*N3233,0)</f>
        <v/>
      </c>
      <c r="R3233" s="8">
        <f>IF(Q3233&lt;&gt;0,Q3233+H3233+L3233,0)</f>
        <v/>
      </c>
      <c r="S3233" s="9">
        <f>VLOOKUP(OPERAC[[#This Row],[especie]],[1]!ESPECIES[#Data],9,FALSE)</f>
        <v/>
      </c>
    </row>
    <row r="3234">
      <c r="A3234" s="4" t="n">
        <v>22433</v>
      </c>
      <c r="B3234" s="5" t="n">
        <v>44634</v>
      </c>
      <c r="C3234" s="13" t="inlineStr">
        <is>
          <t>CPR</t>
        </is>
      </c>
      <c r="D3234" s="13" t="n">
        <v>42</v>
      </c>
      <c r="E3234" s="10">
        <f>IF(D3234&gt;0,VLOOKUP(OPERAC[[#This Row],[COD CART]],[1]!MatrizCortoLargoCyl[#All],3,0),"")</f>
        <v/>
      </c>
      <c r="F3234" s="13" t="inlineStr">
        <is>
          <t>INO</t>
        </is>
      </c>
      <c r="G3234" s="6" t="n">
        <v>200</v>
      </c>
      <c r="H3234" s="6" t="n">
        <v>-664.1632</v>
      </c>
      <c r="I3234" s="7">
        <f>-H3234/G3234</f>
        <v/>
      </c>
      <c r="J3234" s="11" t="n">
        <v>44634</v>
      </c>
      <c r="K3234" s="6" t="n">
        <v>200</v>
      </c>
      <c r="L3234" s="6" t="n">
        <v>597.771</v>
      </c>
      <c r="M3234" s="7">
        <f>IF(N3234=0,+L3234+H3234,0)</f>
        <v/>
      </c>
      <c r="N3234" s="7">
        <f>IF((+G3234-K3234)=0,0,+G3234-K3234)</f>
        <v/>
      </c>
      <c r="O3234" s="7">
        <f>IF(N3234=0,0,(L3234+H3234)/-N3234)</f>
        <v/>
      </c>
      <c r="P3234" s="7">
        <f>VLOOKUP(OPERAC[[#This Row],[especie]],[1]!ESPECIES[#All],6,0)</f>
        <v/>
      </c>
      <c r="Q3234" s="7">
        <f>IF(N3234&lt;&gt;0,P3234*N3234,0)</f>
        <v/>
      </c>
      <c r="R3234" s="8">
        <f>IF(Q3234&lt;&gt;0,Q3234+H3234+L3234,0)</f>
        <v/>
      </c>
      <c r="S3234" s="9">
        <f>VLOOKUP(OPERAC[[#This Row],[especie]],[1]!ESPECIES[#Data],9,FALSE)</f>
        <v/>
      </c>
    </row>
    <row r="3235">
      <c r="A3235" s="4" t="n">
        <v>25070</v>
      </c>
      <c r="B3235" s="5" t="n">
        <v>44634</v>
      </c>
      <c r="C3235" s="13" t="inlineStr">
        <is>
          <t>CPR</t>
        </is>
      </c>
      <c r="D3235" s="13" t="n">
        <v>42</v>
      </c>
      <c r="E3235" s="10">
        <f>IF(D3235&gt;0,VLOOKUP(OPERAC[[#This Row],[COD CART]],[1]!MatrizCortoLargoCyl[#All],3,0),"")</f>
        <v/>
      </c>
      <c r="F3235" s="13" t="inlineStr">
        <is>
          <t>INO</t>
        </is>
      </c>
      <c r="G3235" s="6" t="n">
        <v>200</v>
      </c>
      <c r="H3235" s="6" t="n">
        <v>-664.1632</v>
      </c>
      <c r="I3235" s="7">
        <f>-H3235/G3235</f>
        <v/>
      </c>
      <c r="J3235" s="11" t="n">
        <v>44634</v>
      </c>
      <c r="K3235" s="6" t="n">
        <v>200</v>
      </c>
      <c r="L3235" s="6" t="n">
        <v>597.771</v>
      </c>
      <c r="M3235" s="7">
        <f>IF(N3235=0,+L3235+H3235,0)</f>
        <v/>
      </c>
      <c r="N3235" s="7">
        <f>IF((+G3235-K3235)=0,0,+G3235-K3235)</f>
        <v/>
      </c>
      <c r="O3235" s="7">
        <f>IF(N3235=0,0,(L3235+H3235)/-N3235)</f>
        <v/>
      </c>
      <c r="P3235" s="7">
        <f>VLOOKUP(OPERAC[[#This Row],[especie]],[1]!ESPECIES[#All],6,0)</f>
        <v/>
      </c>
      <c r="Q3235" s="7">
        <f>IF(N3235&lt;&gt;0,P3235*N3235,0)</f>
        <v/>
      </c>
      <c r="R3235" s="8">
        <f>IF(Q3235&lt;&gt;0,Q3235+H3235+L3235,0)</f>
        <v/>
      </c>
      <c r="S3235" s="9">
        <f>VLOOKUP(OPERAC[[#This Row],[especie]],[1]!ESPECIES[#Data],9,FALSE)</f>
        <v/>
      </c>
    </row>
    <row r="3236">
      <c r="A3236" s="4" t="n">
        <v>7950</v>
      </c>
      <c r="B3236" s="5" t="n">
        <v>44680</v>
      </c>
      <c r="C3236" s="13" t="inlineStr">
        <is>
          <t>CPR</t>
        </is>
      </c>
      <c r="D3236" s="13" t="n">
        <v>31</v>
      </c>
      <c r="E3236" s="10">
        <f>IF(D3236&gt;0,VLOOKUP(OPERAC[[#This Row],[COD CART]],[1]!MatrizCortoLargoCyl[#All],3,0),"")</f>
        <v/>
      </c>
      <c r="F3236" s="13" t="inlineStr">
        <is>
          <t>TGS</t>
        </is>
      </c>
      <c r="G3236" s="6" t="n">
        <v>100</v>
      </c>
      <c r="H3236" s="6" t="n">
        <v>-664.58</v>
      </c>
      <c r="I3236" s="7">
        <f>-H3236/G3236</f>
        <v/>
      </c>
      <c r="J3236" s="11" t="n"/>
      <c r="K3236" s="6" t="n"/>
      <c r="L3236" s="6" t="n"/>
      <c r="M3236" s="7">
        <f>IF(N3236=0,+L3236+H3236,0)</f>
        <v/>
      </c>
      <c r="N3236" s="7">
        <f>IF((+G3236-K3236)=0,0,+G3236-K3236)</f>
        <v/>
      </c>
      <c r="O3236" s="7">
        <f>IF(N3236=0,0,(L3236+H3236)/-N3236)</f>
        <v/>
      </c>
      <c r="P3236" s="7">
        <f>VLOOKUP(OPERAC[[#This Row],[especie]],[1]!ESPECIES[#All],6,0)</f>
        <v/>
      </c>
      <c r="Q3236" s="7">
        <f>IF(N3236&lt;&gt;0,P3236*N3236,0)</f>
        <v/>
      </c>
      <c r="R3236" s="8">
        <f>IF(Q3236&lt;&gt;0,Q3236+H3236+L3236,0)</f>
        <v/>
      </c>
      <c r="S3236" s="9">
        <f>VLOOKUP(OPERAC[[#This Row],[especie]],[1]!ESPECIES[#Data],9,FALSE)</f>
        <v/>
      </c>
    </row>
    <row r="3237">
      <c r="A3237" s="4" t="n">
        <v>13253</v>
      </c>
      <c r="B3237" s="5" t="n">
        <v>44536</v>
      </c>
      <c r="C3237" s="13" t="inlineStr">
        <is>
          <t>CPR</t>
        </is>
      </c>
      <c r="D3237" s="13" t="n">
        <v>41</v>
      </c>
      <c r="E3237" s="10">
        <f>IF(D3237&gt;0,VLOOKUP(OPERAC[[#This Row],[COD CART]],[1]!MatrizCortoLargoCyl[#All],3,0),"")</f>
        <v/>
      </c>
      <c r="F3237" s="13" t="inlineStr">
        <is>
          <t>LTC</t>
        </is>
      </c>
      <c r="G3237" s="6" t="n">
        <v>20</v>
      </c>
      <c r="H3237" s="6" t="n">
        <v>-665.33248</v>
      </c>
      <c r="I3237" s="7">
        <f>-H3237/G3237</f>
        <v/>
      </c>
      <c r="J3237" s="11" t="n"/>
      <c r="K3237" s="6" t="n"/>
      <c r="L3237" s="6" t="n"/>
      <c r="M3237" s="7">
        <f>IF(N3237=0,+L3237+H3237,0)</f>
        <v/>
      </c>
      <c r="N3237" s="7">
        <f>IF((+G3237-K3237)=0,0,+G3237-K3237)</f>
        <v/>
      </c>
      <c r="O3237" s="7">
        <f>IF(N3237=0,0,(L3237+H3237)/-N3237)</f>
        <v/>
      </c>
      <c r="P3237" s="7">
        <f>VLOOKUP(OPERAC[[#This Row],[especie]],[1]!ESPECIES[#All],6,0)</f>
        <v/>
      </c>
      <c r="Q3237" s="7">
        <f>IF(N3237&lt;&gt;0,P3237*N3237,0)</f>
        <v/>
      </c>
      <c r="R3237" s="8">
        <f>IF(Q3237&lt;&gt;0,Q3237+H3237+L3237,0)</f>
        <v/>
      </c>
      <c r="S3237" s="9">
        <f>VLOOKUP(OPERAC[[#This Row],[especie]],[1]!ESPECIES[#Data],9,FALSE)</f>
        <v/>
      </c>
    </row>
    <row r="3238">
      <c r="A3238" s="4" t="n">
        <v>3823</v>
      </c>
      <c r="B3238" s="5" t="n">
        <v>44643</v>
      </c>
      <c r="C3238" s="13" t="inlineStr">
        <is>
          <t>CPR</t>
        </is>
      </c>
      <c r="D3238" s="13" t="n">
        <v>32</v>
      </c>
      <c r="E3238" s="10">
        <f>IF(D3238&gt;0,VLOOKUP(OPERAC[[#This Row],[COD CART]],[1]!MatrizCortoLargoCyl[#All],3,0),"")</f>
        <v/>
      </c>
      <c r="F3238" s="13" t="inlineStr">
        <is>
          <t>CRESY/CYL/7,50/17-06-22</t>
        </is>
      </c>
      <c r="G3238" s="6" t="n">
        <v>100</v>
      </c>
      <c r="H3238" s="6">
        <f>-680.303+14.873</f>
        <v/>
      </c>
      <c r="I3238" s="7">
        <f>-H3238/G3238</f>
        <v/>
      </c>
      <c r="J3238" s="11" t="n"/>
      <c r="K3238" s="6" t="n"/>
      <c r="L3238" s="6" t="n"/>
      <c r="M3238" s="7">
        <f>IF(N3238=0,+L3238+H3238,0)</f>
        <v/>
      </c>
      <c r="N3238" s="7">
        <f>IF((+G3238-K3238)=0,0,+G3238-K3238)</f>
        <v/>
      </c>
      <c r="O3238" s="7">
        <f>IF(N3238=0,0,(L3238+H3238)/-N3238)</f>
        <v/>
      </c>
      <c r="P3238" s="7">
        <f>VLOOKUP(OPERAC[[#This Row],[especie]],[1]!ESPECIES[#All],6,0)</f>
        <v/>
      </c>
      <c r="Q3238" s="7">
        <f>IF(N3238&lt;&gt;0,P3238*N3238,0)</f>
        <v/>
      </c>
      <c r="R3238" s="8">
        <f>IF(Q3238&lt;&gt;0,Q3238+H3238+L3238,0)</f>
        <v/>
      </c>
      <c r="S3238" s="9">
        <f>VLOOKUP(OPERAC[[#This Row],[especie]],[1]!ESPECIES[#Data],9,FALSE)</f>
        <v/>
      </c>
    </row>
    <row r="3239">
      <c r="A3239" s="4" t="n">
        <v>3867</v>
      </c>
      <c r="B3239" s="5" t="n">
        <v>44643</v>
      </c>
      <c r="C3239" s="13" t="inlineStr">
        <is>
          <t>CPR</t>
        </is>
      </c>
      <c r="D3239" s="13" t="n">
        <v>32</v>
      </c>
      <c r="E3239" s="10">
        <f>IF(D3239&gt;0,VLOOKUP(OPERAC[[#This Row],[COD CART]],[1]!MatrizCortoLargoCyl[#All],3,0),"")</f>
        <v/>
      </c>
      <c r="F3239" s="13" t="inlineStr">
        <is>
          <t>CRESY/CYL/7,50/17-06-22</t>
        </is>
      </c>
      <c r="G3239" s="6" t="n">
        <v>100</v>
      </c>
      <c r="H3239" s="6">
        <f>-680.303+14.873</f>
        <v/>
      </c>
      <c r="I3239" s="7">
        <f>-H3239/G3239</f>
        <v/>
      </c>
      <c r="J3239" s="11" t="n"/>
      <c r="K3239" s="6" t="n"/>
      <c r="L3239" s="6" t="n"/>
      <c r="M3239" s="7">
        <f>IF(N3239=0,+L3239+H3239,0)</f>
        <v/>
      </c>
      <c r="N3239" s="7">
        <f>IF((+G3239-K3239)=0,0,+G3239-K3239)</f>
        <v/>
      </c>
      <c r="O3239" s="7">
        <f>IF(N3239=0,0,(L3239+H3239)/-N3239)</f>
        <v/>
      </c>
      <c r="P3239" s="7">
        <f>VLOOKUP(OPERAC[[#This Row],[especie]],[1]!ESPECIES[#All],6,0)</f>
        <v/>
      </c>
      <c r="Q3239" s="7">
        <f>IF(N3239&lt;&gt;0,P3239*N3239,0)</f>
        <v/>
      </c>
      <c r="R3239" s="8">
        <f>IF(Q3239&lt;&gt;0,Q3239+H3239+L3239,0)</f>
        <v/>
      </c>
      <c r="S3239" s="9">
        <f>VLOOKUP(OPERAC[[#This Row],[especie]],[1]!ESPECIES[#Data],9,FALSE)</f>
        <v/>
      </c>
    </row>
    <row r="3240">
      <c r="A3240" s="4" t="n">
        <v>13271</v>
      </c>
      <c r="B3240" s="5" t="n">
        <v>44725</v>
      </c>
      <c r="C3240" s="13" t="inlineStr">
        <is>
          <t>CPR</t>
        </is>
      </c>
      <c r="D3240" s="13" t="n">
        <v>40</v>
      </c>
      <c r="E3240" s="10">
        <f>IF(D3240&gt;0,VLOOKUP(OPERAC[[#This Row],[COD CART]],[1]!MatrizCortoLargoCyl[#All],3,0),"")</f>
        <v/>
      </c>
      <c r="F3240" s="13" t="inlineStr">
        <is>
          <t>COTY</t>
        </is>
      </c>
      <c r="G3240" s="6" t="n">
        <v>100</v>
      </c>
      <c r="H3240" s="6" t="n">
        <v>-666.619</v>
      </c>
      <c r="I3240" s="7">
        <f>-H3240/G3240</f>
        <v/>
      </c>
      <c r="J3240" s="5" t="n"/>
      <c r="K3240" s="6" t="n"/>
      <c r="L3240" s="6" t="n"/>
      <c r="M3240" s="7">
        <f>IF(N3240=0,+L3240+H3240,0)</f>
        <v/>
      </c>
      <c r="N3240" s="7">
        <f>IF((+G3240-K3240)=0,0,+G3240-K3240)</f>
        <v/>
      </c>
      <c r="O3240" s="7">
        <f>IF(N3240=0,0,(L3240+H3240)/-N3240)</f>
        <v/>
      </c>
      <c r="P3240" s="7">
        <f>VLOOKUP(OPERAC[[#This Row],[especie]],[1]!ESPECIES[#All],6,0)</f>
        <v/>
      </c>
      <c r="Q3240" s="7">
        <f>IF(N3240&lt;&gt;0,P3240*N3240,0)</f>
        <v/>
      </c>
      <c r="R3240" s="8">
        <f>IF(Q3240&lt;&gt;0,Q3240+H3240+L3240,0)</f>
        <v/>
      </c>
      <c r="S3240" s="9">
        <f>VLOOKUP(OPERAC[[#This Row],[especie]],[1]!ESPECIES[#Data],9,FALSE)</f>
        <v/>
      </c>
    </row>
    <row r="3241">
      <c r="A3241" s="4" t="n">
        <v>7895</v>
      </c>
      <c r="B3241" s="5" t="n">
        <v>44378</v>
      </c>
      <c r="C3241" s="13" t="inlineStr">
        <is>
          <t>CPR</t>
        </is>
      </c>
      <c r="D3241" s="13" t="n">
        <v>32</v>
      </c>
      <c r="E3241" s="10">
        <f>IF(D3241&gt;0,VLOOKUP(OPERAC[[#This Row],[COD CART]],[1]!MatrizCortoLargoCyl[#All],3,0),"")</f>
        <v/>
      </c>
      <c r="F3241" s="13" t="inlineStr">
        <is>
          <t>INO</t>
        </is>
      </c>
      <c r="G3241" s="6" t="n">
        <v>100</v>
      </c>
      <c r="H3241" s="6">
        <f>-7.87*OPERAC[[#This Row],[cantidad]]+15.402+4.909+30.132+46.896+14.579+4.707+2.674</f>
        <v/>
      </c>
      <c r="I3241" s="7">
        <f>-H3241/G3241</f>
        <v/>
      </c>
      <c r="J3241" s="11" t="n">
        <v>44662</v>
      </c>
      <c r="K3241" s="6" t="n">
        <v>100</v>
      </c>
      <c r="L3241" s="6">
        <f>+OPERAC[[#This Row],[cantidad venta]]*3.154</f>
        <v/>
      </c>
      <c r="M3241" s="7">
        <f>IF(N3241=0,+L3241+H3241,0)</f>
        <v/>
      </c>
      <c r="N3241" s="7">
        <f>IF((+G3241-K3241)=0,0,+G3241-K3241)</f>
        <v/>
      </c>
      <c r="O3241" s="7">
        <f>IF(N3241=0,0,(L3241+H3241)/-N3241)</f>
        <v/>
      </c>
      <c r="P3241" s="7">
        <f>VLOOKUP(OPERAC[[#This Row],[especie]],[1]!ESPECIES[#All],6,0)</f>
        <v/>
      </c>
      <c r="Q3241" s="7">
        <f>IF(N3241&lt;&gt;0,P3241*N3241,0)</f>
        <v/>
      </c>
      <c r="R3241" s="8">
        <f>IF(Q3241&lt;&gt;0,Q3241+H3241+L3241,0)</f>
        <v/>
      </c>
      <c r="S3241" s="9">
        <f>VLOOKUP(OPERAC[[#This Row],[especie]],[1]!ESPECIES[#Data],9,FALSE)</f>
        <v/>
      </c>
    </row>
    <row r="3242">
      <c r="A3242" s="4" t="n">
        <v>2257</v>
      </c>
      <c r="B3242" s="5" t="n">
        <v>44536</v>
      </c>
      <c r="C3242" s="13" t="inlineStr">
        <is>
          <t>CPR</t>
        </is>
      </c>
      <c r="D3242" s="13" t="n">
        <v>43</v>
      </c>
      <c r="E3242" s="10">
        <f>IF(D3242&gt;0,VLOOKUP(OPERAC[[#This Row],[COD CART]],[1]!MatrizCortoLargoCyl[#All],3,0),"")</f>
        <v/>
      </c>
      <c r="F3242" s="13" t="inlineStr">
        <is>
          <t>HEXO1/CYL-PUT/1,00/20-01-23</t>
        </is>
      </c>
      <c r="G3242" s="6" t="n">
        <v>4000</v>
      </c>
      <c r="H3242" s="6">
        <f>-0.1671*OPERAC[[#This Row],[cantidad]]</f>
        <v/>
      </c>
      <c r="I3242" s="7">
        <f>-H3242/G3242</f>
        <v/>
      </c>
      <c r="J3242" s="11" t="n"/>
      <c r="K3242" s="6" t="n"/>
      <c r="L3242" s="6" t="n"/>
      <c r="M3242" s="7">
        <f>IF(N3242=0,+L3242+H3242,0)</f>
        <v/>
      </c>
      <c r="N3242" s="7">
        <f>IF((+G3242-K3242)=0,0,+G3242-K3242)</f>
        <v/>
      </c>
      <c r="O3242" s="7">
        <f>IF(N3242=0,0,(L3242+H3242)/-N3242)</f>
        <v/>
      </c>
      <c r="P3242" s="7">
        <f>VLOOKUP(OPERAC[[#This Row],[especie]],[1]!ESPECIES[#All],6,0)</f>
        <v/>
      </c>
      <c r="Q3242" s="7">
        <f>IF(N3242&lt;&gt;0,P3242*N3242,0)</f>
        <v/>
      </c>
      <c r="R3242" s="8">
        <f>IF(Q3242&lt;&gt;0,Q3242+H3242+L3242,0)</f>
        <v/>
      </c>
      <c r="S3242" s="9">
        <f>VLOOKUP(OPERAC[[#This Row],[especie]],[1]!ESPECIES[#Data],9,FALSE)</f>
        <v/>
      </c>
    </row>
    <row r="3243">
      <c r="A3243" s="4" t="n">
        <v>19932</v>
      </c>
      <c r="B3243" s="5" t="n">
        <v>44536</v>
      </c>
      <c r="C3243" s="13" t="inlineStr">
        <is>
          <t>CPR</t>
        </is>
      </c>
      <c r="D3243" s="13" t="n">
        <v>43</v>
      </c>
      <c r="E3243" s="10">
        <f>IF(D3243&gt;0,VLOOKUP(OPERAC[[#This Row],[COD CART]],[1]!MatrizCortoLargoCyl[#All],3,0),"")</f>
        <v/>
      </c>
      <c r="F3243" s="13" t="inlineStr">
        <is>
          <t>HEXO/CYL-PUT/1,00/20-01-23</t>
        </is>
      </c>
      <c r="G3243" s="6" t="n">
        <v>4000</v>
      </c>
      <c r="H3243" s="6">
        <f>-0.1671*OPERAC[[#This Row],[cantidad]]</f>
        <v/>
      </c>
      <c r="I3243" s="7">
        <f>-H3243/G3243</f>
        <v/>
      </c>
      <c r="J3243" s="11" t="n"/>
      <c r="K3243" s="6" t="n"/>
      <c r="L3243" s="6" t="n"/>
      <c r="M3243" s="7">
        <f>IF(N3243=0,+L3243+H3243,0)</f>
        <v/>
      </c>
      <c r="N3243" s="7">
        <f>IF((+G3243-K3243)=0,0,+G3243-K3243)</f>
        <v/>
      </c>
      <c r="O3243" s="7">
        <f>IF(N3243=0,0,(L3243+H3243)/-N3243)</f>
        <v/>
      </c>
      <c r="P3243" s="7">
        <f>VLOOKUP(OPERAC[[#This Row],[especie]],[1]!ESPECIES[#All],6,0)</f>
        <v/>
      </c>
      <c r="Q3243" s="7">
        <f>IF(N3243&lt;&gt;0,P3243*N3243,0)</f>
        <v/>
      </c>
      <c r="R3243" s="8">
        <f>IF(Q3243&lt;&gt;0,Q3243+H3243+L3243,0)</f>
        <v/>
      </c>
      <c r="S3243" s="9">
        <f>VLOOKUP(OPERAC[[#This Row],[especie]],[1]!ESPECIES[#Data],9,FALSE)</f>
        <v/>
      </c>
    </row>
    <row r="3244">
      <c r="A3244" s="4" t="n">
        <v>7493</v>
      </c>
      <c r="B3244" s="5" t="n">
        <v>44643</v>
      </c>
      <c r="C3244" s="13" t="inlineStr">
        <is>
          <t>CPR</t>
        </is>
      </c>
      <c r="D3244" s="13" t="n">
        <v>31</v>
      </c>
      <c r="E3244" s="10">
        <f>IF(D3244&gt;0,VLOOKUP(OPERAC[[#This Row],[COD CART]],[1]!MatrizCortoLargoCyl[#All],3,0),"")</f>
        <v/>
      </c>
      <c r="F3244" s="13" t="inlineStr">
        <is>
          <t>LAC</t>
        </is>
      </c>
      <c r="G3244" s="6" t="n">
        <v>20</v>
      </c>
      <c r="H3244" s="6" t="n">
        <v>-670.263968</v>
      </c>
      <c r="I3244" s="7">
        <f>-H3244/G3244</f>
        <v/>
      </c>
      <c r="J3244" s="11" t="n"/>
      <c r="K3244" s="6" t="n"/>
      <c r="L3244" s="6" t="n"/>
      <c r="M3244" s="7">
        <f>IF(N3244=0,+L3244+H3244,0)</f>
        <v/>
      </c>
      <c r="N3244" s="7">
        <f>IF((+G3244-K3244)=0,0,+G3244-K3244)</f>
        <v/>
      </c>
      <c r="O3244" s="7">
        <f>IF(N3244=0,0,(L3244+H3244)/-N3244)</f>
        <v/>
      </c>
      <c r="P3244" s="7">
        <f>VLOOKUP(OPERAC[[#This Row],[especie]],[1]!ESPECIES[#All],6,0)</f>
        <v/>
      </c>
      <c r="Q3244" s="7">
        <f>IF(N3244&lt;&gt;0,P3244*N3244,0)</f>
        <v/>
      </c>
      <c r="R3244" s="8">
        <f>IF(Q3244&lt;&gt;0,Q3244+H3244+L3244,0)</f>
        <v/>
      </c>
      <c r="S3244" s="9">
        <f>VLOOKUP(OPERAC[[#This Row],[especie]],[1]!ESPECIES[#Data],9,FALSE)</f>
        <v/>
      </c>
    </row>
    <row r="3245">
      <c r="A3245" s="4" t="n">
        <v>3787</v>
      </c>
      <c r="B3245" s="5" t="n">
        <v>44553</v>
      </c>
      <c r="C3245" s="13" t="inlineStr">
        <is>
          <t>CPR</t>
        </is>
      </c>
      <c r="D3245" s="13" t="n">
        <v>40</v>
      </c>
      <c r="E3245" s="10">
        <f>IF(D3245&gt;0,VLOOKUP(OPERAC[[#This Row],[COD CART]],[1]!MatrizCortoLargoCyl[#All],3,0),"")</f>
        <v/>
      </c>
      <c r="F3245" s="13" t="inlineStr">
        <is>
          <t>ON</t>
        </is>
      </c>
      <c r="G3245" s="6" t="n">
        <v>10</v>
      </c>
      <c r="H3245" s="6" t="n">
        <v>-671.13608</v>
      </c>
      <c r="I3245" s="7">
        <f>-H3245/G3245</f>
        <v/>
      </c>
      <c r="J3245" s="11" t="n">
        <v>44606</v>
      </c>
      <c r="K3245" s="6">
        <f>+OPERAC[[#This Row],[cantidad]]</f>
        <v/>
      </c>
      <c r="L3245" s="6">
        <f>+OPERAC[[#This Row],[cantidad venta]]*58.449</f>
        <v/>
      </c>
      <c r="M3245" s="7">
        <f>IF(N3245=0,+L3245+H3245,0)</f>
        <v/>
      </c>
      <c r="N3245" s="7">
        <f>IF((+G3245-K3245)=0,0,+G3245-K3245)</f>
        <v/>
      </c>
      <c r="O3245" s="7">
        <f>IF(N3245=0,0,(L3245+H3245)/-N3245)</f>
        <v/>
      </c>
      <c r="P3245" s="7">
        <f>VLOOKUP(OPERAC[[#This Row],[especie]],[1]!ESPECIES[#All],6,0)</f>
        <v/>
      </c>
      <c r="Q3245" s="7">
        <f>IF(N3245&lt;&gt;0,P3245*N3245,0)</f>
        <v/>
      </c>
      <c r="R3245" s="8">
        <f>IF(Q3245&lt;&gt;0,Q3245+H3245+L3245,0)</f>
        <v/>
      </c>
      <c r="S3245" s="9">
        <f>VLOOKUP(OPERAC[[#This Row],[especie]],[1]!ESPECIES[#Data],9,FALSE)</f>
        <v/>
      </c>
    </row>
    <row r="3246">
      <c r="A3246" s="4" t="n">
        <v>26146</v>
      </c>
      <c r="B3246" s="5" t="n">
        <v>44658</v>
      </c>
      <c r="C3246" s="13" t="inlineStr">
        <is>
          <t>CPR</t>
        </is>
      </c>
      <c r="D3246" s="13" t="n">
        <v>41</v>
      </c>
      <c r="E3246" s="10">
        <f>IF(D3246&gt;0,VLOOKUP(OPERAC[[#This Row],[COD CART]],[1]!MatrizCortoLargoCyl[#All],3,0),"")</f>
        <v/>
      </c>
      <c r="F3246" s="13" t="inlineStr">
        <is>
          <t>CRESY</t>
        </is>
      </c>
      <c r="G3246" s="6" t="n">
        <v>85</v>
      </c>
      <c r="H3246" s="6" t="n">
        <v>-673.356664</v>
      </c>
      <c r="I3246" s="7">
        <f>-H3246/G3246</f>
        <v/>
      </c>
      <c r="J3246" s="11" t="n"/>
      <c r="K3246" s="6" t="n"/>
      <c r="L3246" s="6" t="n"/>
      <c r="M3246" s="7">
        <f>IF(N3246=0,+L3246+H3246,0)</f>
        <v/>
      </c>
      <c r="N3246" s="7">
        <f>IF((+G3246-K3246)=0,0,+G3246-K3246)</f>
        <v/>
      </c>
      <c r="O3246" s="7">
        <f>IF(N3246=0,0,(L3246+H3246)/-N3246)</f>
        <v/>
      </c>
      <c r="P3246" s="7">
        <f>VLOOKUP(OPERAC[[#This Row],[especie]],[1]!ESPECIES[#All],6,0)</f>
        <v/>
      </c>
      <c r="Q3246" s="7">
        <f>IF(N3246&lt;&gt;0,P3246*N3246,0)</f>
        <v/>
      </c>
      <c r="R3246" s="8">
        <f>IF(Q3246&lt;&gt;0,Q3246+H3246+L3246,0)</f>
        <v/>
      </c>
      <c r="S3246" s="9">
        <f>VLOOKUP(OPERAC[[#This Row],[especie]],[1]!ESPECIES[#Data],9,FALSE)</f>
        <v/>
      </c>
    </row>
    <row r="3247">
      <c r="A3247" s="4" t="n">
        <v>18662</v>
      </c>
      <c r="B3247" s="5" t="n">
        <v>44713</v>
      </c>
      <c r="C3247" s="13" t="inlineStr">
        <is>
          <t>CPR</t>
        </is>
      </c>
      <c r="D3247" s="13" t="n">
        <v>32</v>
      </c>
      <c r="E3247" s="10">
        <f>IF(D3247&gt;0,VLOOKUP(OPERAC[[#This Row],[COD CART]],[1]!MatrizCortoLargoCyl[#All],3,0),"")</f>
        <v/>
      </c>
      <c r="F3247" s="13" t="inlineStr">
        <is>
          <t>CRESY/CYL/7,50/17-06-22</t>
        </is>
      </c>
      <c r="G3247" s="6" t="n">
        <v>100</v>
      </c>
      <c r="H3247" s="6" t="n">
        <v>-675.95</v>
      </c>
      <c r="I3247" s="7">
        <f>-H3247/G3247</f>
        <v/>
      </c>
      <c r="J3247" s="5" t="n"/>
      <c r="K3247" s="6" t="n"/>
      <c r="L3247" s="6" t="n"/>
      <c r="M3247" s="7">
        <f>IF(N3247=0,+L3247+H3247,0)</f>
        <v/>
      </c>
      <c r="N3247" s="7">
        <f>IF((+G3247-K3247)=0,0,+G3247-K3247)</f>
        <v/>
      </c>
      <c r="O3247" s="7">
        <f>IF(N3247=0,0,(L3247+H3247)/-N3247)</f>
        <v/>
      </c>
      <c r="P3247" s="7">
        <f>VLOOKUP(OPERAC[[#This Row],[especie]],[1]!ESPECIES[#All],6,0)</f>
        <v/>
      </c>
      <c r="Q3247" s="7">
        <f>IF(N3247&lt;&gt;0,P3247*N3247,0)</f>
        <v/>
      </c>
      <c r="R3247" s="8">
        <f>IF(Q3247&lt;&gt;0,Q3247+H3247+L3247,0)</f>
        <v/>
      </c>
      <c r="S3247" s="9">
        <f>VLOOKUP(OPERAC[[#This Row],[especie]],[1]!ESPECIES[#Data],9,FALSE)</f>
        <v/>
      </c>
    </row>
    <row r="3248">
      <c r="A3248" s="4" t="n">
        <v>3787</v>
      </c>
      <c r="B3248" s="5" t="n">
        <v>44712</v>
      </c>
      <c r="C3248" s="13" t="inlineStr">
        <is>
          <t>CPR</t>
        </is>
      </c>
      <c r="D3248" s="13" t="n">
        <v>32</v>
      </c>
      <c r="E3248" s="10">
        <f>IF(D3248&gt;0,VLOOKUP(OPERAC[[#This Row],[COD CART]],[1]!MatrizCortoLargoCyl[#All],3,0),"")</f>
        <v/>
      </c>
      <c r="F3248" s="13" t="inlineStr">
        <is>
          <t>COTY/CYL/7,00/17-06-22</t>
        </is>
      </c>
      <c r="G3248" s="6" t="n">
        <v>100</v>
      </c>
      <c r="H3248" s="6" t="n">
        <v>-677.42</v>
      </c>
      <c r="I3248" s="7">
        <f>-H3248/G3248</f>
        <v/>
      </c>
      <c r="J3248" s="5" t="n"/>
      <c r="K3248" s="6" t="n"/>
      <c r="L3248" s="6" t="n"/>
      <c r="M3248" s="7">
        <f>IF(N3248=0,+L3248+H3248,0)</f>
        <v/>
      </c>
      <c r="N3248" s="7">
        <f>IF((+G3248-K3248)=0,0,+G3248-K3248)</f>
        <v/>
      </c>
      <c r="O3248" s="7">
        <f>IF(N3248=0,0,(L3248+H3248)/-N3248)</f>
        <v/>
      </c>
      <c r="P3248" s="7">
        <f>VLOOKUP(OPERAC[[#This Row],[especie]],[1]!ESPECIES[#All],6,0)</f>
        <v/>
      </c>
      <c r="Q3248" s="7">
        <f>IF(N3248&lt;&gt;0,P3248*N3248,0)</f>
        <v/>
      </c>
      <c r="R3248" s="8">
        <f>IF(Q3248&lt;&gt;0,Q3248+H3248+L3248,0)</f>
        <v/>
      </c>
      <c r="S3248" s="9">
        <f>VLOOKUP(OPERAC[[#This Row],[especie]],[1]!ESPECIES[#Data],9,FALSE)</f>
        <v/>
      </c>
    </row>
    <row r="3249">
      <c r="A3249" s="4" t="n">
        <v>6578</v>
      </c>
      <c r="B3249" s="5" t="n">
        <v>44712</v>
      </c>
      <c r="C3249" s="13" t="inlineStr">
        <is>
          <t>CPR</t>
        </is>
      </c>
      <c r="D3249" s="13" t="n">
        <v>32</v>
      </c>
      <c r="E3249" s="10">
        <f>IF(D3249&gt;0,VLOOKUP(OPERAC[[#This Row],[COD CART]],[1]!MatrizCortoLargoCyl[#All],3,0),"")</f>
        <v/>
      </c>
      <c r="F3249" s="13" t="inlineStr">
        <is>
          <t>COTY/CYL/7,00/17-06-22</t>
        </is>
      </c>
      <c r="G3249" s="6" t="n">
        <v>100</v>
      </c>
      <c r="H3249" s="6" t="n">
        <v>-677.42</v>
      </c>
      <c r="I3249" s="7">
        <f>-H3249/G3249</f>
        <v/>
      </c>
      <c r="J3249" s="5" t="n"/>
      <c r="K3249" s="6" t="n"/>
      <c r="L3249" s="6" t="n"/>
      <c r="M3249" s="7">
        <f>IF(N3249=0,+L3249+H3249,0)</f>
        <v/>
      </c>
      <c r="N3249" s="7">
        <f>IF((+G3249-K3249)=0,0,+G3249-K3249)</f>
        <v/>
      </c>
      <c r="O3249" s="7">
        <f>IF(N3249=0,0,(L3249+H3249)/-N3249)</f>
        <v/>
      </c>
      <c r="P3249" s="7">
        <f>VLOOKUP(OPERAC[[#This Row],[especie]],[1]!ESPECIES[#All],6,0)</f>
        <v/>
      </c>
      <c r="Q3249" s="7">
        <f>IF(N3249&lt;&gt;0,P3249*N3249,0)</f>
        <v/>
      </c>
      <c r="R3249" s="8">
        <f>IF(Q3249&lt;&gt;0,Q3249+H3249+L3249,0)</f>
        <v/>
      </c>
      <c r="S3249" s="9">
        <f>VLOOKUP(OPERAC[[#This Row],[especie]],[1]!ESPECIES[#Data],9,FALSE)</f>
        <v/>
      </c>
    </row>
    <row r="3250">
      <c r="A3250" s="4" t="n">
        <v>6579</v>
      </c>
      <c r="B3250" s="5" t="n">
        <v>44712</v>
      </c>
      <c r="C3250" s="13" t="inlineStr">
        <is>
          <t>CPR</t>
        </is>
      </c>
      <c r="D3250" s="13" t="n">
        <v>32</v>
      </c>
      <c r="E3250" s="10">
        <f>IF(D3250&gt;0,VLOOKUP(OPERAC[[#This Row],[COD CART]],[1]!MatrizCortoLargoCyl[#All],3,0),"")</f>
        <v/>
      </c>
      <c r="F3250" s="13" t="inlineStr">
        <is>
          <t>COTY/CYL/7,00/17-06-22</t>
        </is>
      </c>
      <c r="G3250" s="6" t="n">
        <v>100</v>
      </c>
      <c r="H3250" s="6" t="n">
        <v>-677.42</v>
      </c>
      <c r="I3250" s="7">
        <f>-H3250/G3250</f>
        <v/>
      </c>
      <c r="J3250" s="5" t="n"/>
      <c r="K3250" s="6" t="n"/>
      <c r="L3250" s="6" t="n"/>
      <c r="M3250" s="7">
        <f>IF(N3250=0,+L3250+H3250,0)</f>
        <v/>
      </c>
      <c r="N3250" s="7">
        <f>IF((+G3250-K3250)=0,0,+G3250-K3250)</f>
        <v/>
      </c>
      <c r="O3250" s="7">
        <f>IF(N3250=0,0,(L3250+H3250)/-N3250)</f>
        <v/>
      </c>
      <c r="P3250" s="7">
        <f>VLOOKUP(OPERAC[[#This Row],[especie]],[1]!ESPECIES[#All],6,0)</f>
        <v/>
      </c>
      <c r="Q3250" s="7">
        <f>IF(N3250&lt;&gt;0,P3250*N3250,0)</f>
        <v/>
      </c>
      <c r="R3250" s="8">
        <f>IF(Q3250&lt;&gt;0,Q3250+H3250+L3250,0)</f>
        <v/>
      </c>
      <c r="S3250" s="9">
        <f>VLOOKUP(OPERAC[[#This Row],[especie]],[1]!ESPECIES[#Data],9,FALSE)</f>
        <v/>
      </c>
    </row>
    <row r="3251">
      <c r="A3251" s="4" t="n">
        <v>13180</v>
      </c>
      <c r="B3251" s="5" t="n">
        <v>44712</v>
      </c>
      <c r="C3251" s="13" t="inlineStr">
        <is>
          <t>CPR</t>
        </is>
      </c>
      <c r="D3251" s="13" t="n">
        <v>32</v>
      </c>
      <c r="E3251" s="10">
        <f>IF(D3251&gt;0,VLOOKUP(OPERAC[[#This Row],[COD CART]],[1]!MatrizCortoLargoCyl[#All],3,0),"")</f>
        <v/>
      </c>
      <c r="F3251" s="13" t="inlineStr">
        <is>
          <t>COTY/CYL/7,00/17-06-22</t>
        </is>
      </c>
      <c r="G3251" s="6" t="n">
        <v>100</v>
      </c>
      <c r="H3251" s="6" t="n">
        <v>-677.42</v>
      </c>
      <c r="I3251" s="7">
        <f>-H3251/G3251</f>
        <v/>
      </c>
      <c r="J3251" s="5" t="n"/>
      <c r="K3251" s="6" t="n"/>
      <c r="L3251" s="6" t="n"/>
      <c r="M3251" s="7">
        <f>IF(N3251=0,+L3251+H3251,0)</f>
        <v/>
      </c>
      <c r="N3251" s="7">
        <f>IF((+G3251-K3251)=0,0,+G3251-K3251)</f>
        <v/>
      </c>
      <c r="O3251" s="7">
        <f>IF(N3251=0,0,(L3251+H3251)/-N3251)</f>
        <v/>
      </c>
      <c r="P3251" s="7">
        <f>VLOOKUP(OPERAC[[#This Row],[especie]],[1]!ESPECIES[#All],6,0)</f>
        <v/>
      </c>
      <c r="Q3251" s="7">
        <f>IF(N3251&lt;&gt;0,P3251*N3251,0)</f>
        <v/>
      </c>
      <c r="R3251" s="8">
        <f>IF(Q3251&lt;&gt;0,Q3251+H3251+L3251,0)</f>
        <v/>
      </c>
      <c r="S3251" s="9">
        <f>VLOOKUP(OPERAC[[#This Row],[especie]],[1]!ESPECIES[#Data],9,FALSE)</f>
        <v/>
      </c>
    </row>
    <row r="3252">
      <c r="A3252" s="4" t="n">
        <v>20339</v>
      </c>
      <c r="B3252" s="5" t="n">
        <v>44712</v>
      </c>
      <c r="C3252" s="13" t="inlineStr">
        <is>
          <t>CPR</t>
        </is>
      </c>
      <c r="D3252" s="13" t="n">
        <v>32</v>
      </c>
      <c r="E3252" s="10">
        <f>IF(D3252&gt;0,VLOOKUP(OPERAC[[#This Row],[COD CART]],[1]!MatrizCortoLargoCyl[#All],3,0),"")</f>
        <v/>
      </c>
      <c r="F3252" s="13" t="inlineStr">
        <is>
          <t>COTY/CYL/7,00/17-06-22</t>
        </is>
      </c>
      <c r="G3252" s="6" t="n">
        <v>100</v>
      </c>
      <c r="H3252" s="6" t="n">
        <v>-677.42</v>
      </c>
      <c r="I3252" s="7">
        <f>-H3252/G3252</f>
        <v/>
      </c>
      <c r="J3252" s="5" t="n"/>
      <c r="K3252" s="6" t="n"/>
      <c r="L3252" s="6" t="n"/>
      <c r="M3252" s="7">
        <f>IF(N3252=0,+L3252+H3252,0)</f>
        <v/>
      </c>
      <c r="N3252" s="7">
        <f>IF((+G3252-K3252)=0,0,+G3252-K3252)</f>
        <v/>
      </c>
      <c r="O3252" s="7">
        <f>IF(N3252=0,0,(L3252+H3252)/-N3252)</f>
        <v/>
      </c>
      <c r="P3252" s="7">
        <f>VLOOKUP(OPERAC[[#This Row],[especie]],[1]!ESPECIES[#All],6,0)</f>
        <v/>
      </c>
      <c r="Q3252" s="7">
        <f>IF(N3252&lt;&gt;0,P3252*N3252,0)</f>
        <v/>
      </c>
      <c r="R3252" s="8">
        <f>IF(Q3252&lt;&gt;0,Q3252+H3252+L3252,0)</f>
        <v/>
      </c>
      <c r="S3252" s="9">
        <f>VLOOKUP(OPERAC[[#This Row],[especie]],[1]!ESPECIES[#Data],9,FALSE)</f>
        <v/>
      </c>
    </row>
    <row r="3253">
      <c r="A3253" s="4" t="n">
        <v>19932</v>
      </c>
      <c r="B3253" s="5" t="n">
        <v>44712</v>
      </c>
      <c r="C3253" s="13" t="inlineStr">
        <is>
          <t>CPR</t>
        </is>
      </c>
      <c r="D3253" s="13" t="n">
        <v>32</v>
      </c>
      <c r="E3253" s="10">
        <f>IF(D3253&gt;0,VLOOKUP(OPERAC[[#This Row],[COD CART]],[1]!MatrizCortoLargoCyl[#All],3,0),"")</f>
        <v/>
      </c>
      <c r="F3253" s="13" t="inlineStr">
        <is>
          <t>COTY/CYL/7,00/17-06-22</t>
        </is>
      </c>
      <c r="G3253" s="6" t="n">
        <v>100</v>
      </c>
      <c r="H3253" s="6" t="n">
        <v>-677.42</v>
      </c>
      <c r="I3253" s="7">
        <f>-H3253/G3253</f>
        <v/>
      </c>
      <c r="J3253" s="5" t="n"/>
      <c r="K3253" s="6" t="n"/>
      <c r="L3253" s="6" t="n"/>
      <c r="M3253" s="7">
        <f>IF(N3253=0,+L3253+H3253,0)</f>
        <v/>
      </c>
      <c r="N3253" s="7">
        <f>IF((+G3253-K3253)=0,0,+G3253-K3253)</f>
        <v/>
      </c>
      <c r="O3253" s="7">
        <f>IF(N3253=0,0,(L3253+H3253)/-N3253)</f>
        <v/>
      </c>
      <c r="P3253" s="7">
        <f>VLOOKUP(OPERAC[[#This Row],[especie]],[1]!ESPECIES[#All],6,0)</f>
        <v/>
      </c>
      <c r="Q3253" s="7">
        <f>IF(N3253&lt;&gt;0,P3253*N3253,0)</f>
        <v/>
      </c>
      <c r="R3253" s="8">
        <f>IF(Q3253&lt;&gt;0,Q3253+H3253+L3253,0)</f>
        <v/>
      </c>
      <c r="S3253" s="9">
        <f>VLOOKUP(OPERAC[[#This Row],[especie]],[1]!ESPECIES[#Data],9,FALSE)</f>
        <v/>
      </c>
    </row>
    <row r="3254">
      <c r="A3254" s="4" t="n">
        <v>22439</v>
      </c>
      <c r="B3254" s="5" t="n">
        <v>44712</v>
      </c>
      <c r="C3254" s="13" t="inlineStr">
        <is>
          <t>CPR</t>
        </is>
      </c>
      <c r="D3254" s="13" t="n">
        <v>32</v>
      </c>
      <c r="E3254" s="10">
        <f>IF(D3254&gt;0,VLOOKUP(OPERAC[[#This Row],[COD CART]],[1]!MatrizCortoLargoCyl[#All],3,0),"")</f>
        <v/>
      </c>
      <c r="F3254" s="13" t="inlineStr">
        <is>
          <t>COTY/CYL/7,00/17-06-22</t>
        </is>
      </c>
      <c r="G3254" s="6" t="n">
        <v>100</v>
      </c>
      <c r="H3254" s="6" t="n">
        <v>-677.42</v>
      </c>
      <c r="I3254" s="7">
        <f>-H3254/G3254</f>
        <v/>
      </c>
      <c r="J3254" s="5" t="n"/>
      <c r="K3254" s="6" t="n"/>
      <c r="L3254" s="6" t="n"/>
      <c r="M3254" s="7">
        <f>IF(N3254=0,+L3254+H3254,0)</f>
        <v/>
      </c>
      <c r="N3254" s="7">
        <f>IF((+G3254-K3254)=0,0,+G3254-K3254)</f>
        <v/>
      </c>
      <c r="O3254" s="7">
        <f>IF(N3254=0,0,(L3254+H3254)/-N3254)</f>
        <v/>
      </c>
      <c r="P3254" s="7">
        <f>VLOOKUP(OPERAC[[#This Row],[especie]],[1]!ESPECIES[#All],6,0)</f>
        <v/>
      </c>
      <c r="Q3254" s="7">
        <f>IF(N3254&lt;&gt;0,P3254*N3254,0)</f>
        <v/>
      </c>
      <c r="R3254" s="8">
        <f>IF(Q3254&lt;&gt;0,Q3254+H3254+L3254,0)</f>
        <v/>
      </c>
      <c r="S3254" s="9">
        <f>VLOOKUP(OPERAC[[#This Row],[especie]],[1]!ESPECIES[#Data],9,FALSE)</f>
        <v/>
      </c>
    </row>
    <row r="3255">
      <c r="A3255" s="4" t="n">
        <v>26137</v>
      </c>
      <c r="B3255" s="5" t="n">
        <v>44712</v>
      </c>
      <c r="C3255" s="13" t="inlineStr">
        <is>
          <t>CPR</t>
        </is>
      </c>
      <c r="D3255" s="13" t="n">
        <v>32</v>
      </c>
      <c r="E3255" s="10">
        <f>IF(D3255&gt;0,VLOOKUP(OPERAC[[#This Row],[COD CART]],[1]!MatrizCortoLargoCyl[#All],3,0),"")</f>
        <v/>
      </c>
      <c r="F3255" s="13" t="inlineStr">
        <is>
          <t>COTY/CYL/7,00/17-06-22</t>
        </is>
      </c>
      <c r="G3255" s="6" t="n">
        <v>100</v>
      </c>
      <c r="H3255" s="6" t="n">
        <v>-677.42</v>
      </c>
      <c r="I3255" s="7">
        <f>-H3255/G3255</f>
        <v/>
      </c>
      <c r="J3255" s="5" t="n"/>
      <c r="K3255" s="6" t="n"/>
      <c r="L3255" s="6" t="n"/>
      <c r="M3255" s="7">
        <f>IF(N3255=0,+L3255+H3255,0)</f>
        <v/>
      </c>
      <c r="N3255" s="7">
        <f>IF((+G3255-K3255)=0,0,+G3255-K3255)</f>
        <v/>
      </c>
      <c r="O3255" s="7">
        <f>IF(N3255=0,0,(L3255+H3255)/-N3255)</f>
        <v/>
      </c>
      <c r="P3255" s="7">
        <f>VLOOKUP(OPERAC[[#This Row],[especie]],[1]!ESPECIES[#All],6,0)</f>
        <v/>
      </c>
      <c r="Q3255" s="7">
        <f>IF(N3255&lt;&gt;0,P3255*N3255,0)</f>
        <v/>
      </c>
      <c r="R3255" s="8">
        <f>IF(Q3255&lt;&gt;0,Q3255+H3255+L3255,0)</f>
        <v/>
      </c>
      <c r="S3255" s="9">
        <f>VLOOKUP(OPERAC[[#This Row],[especie]],[1]!ESPECIES[#Data],9,FALSE)</f>
        <v/>
      </c>
    </row>
    <row r="3256">
      <c r="A3256" s="4" t="n">
        <v>26140</v>
      </c>
      <c r="B3256" s="5" t="n">
        <v>44712</v>
      </c>
      <c r="C3256" s="13" t="inlineStr">
        <is>
          <t>CPR</t>
        </is>
      </c>
      <c r="D3256" s="13" t="n">
        <v>32</v>
      </c>
      <c r="E3256" s="10">
        <f>IF(D3256&gt;0,VLOOKUP(OPERAC[[#This Row],[COD CART]],[1]!MatrizCortoLargoCyl[#All],3,0),"")</f>
        <v/>
      </c>
      <c r="F3256" s="13" t="inlineStr">
        <is>
          <t>COTY/CYL/7,00/17-06-22</t>
        </is>
      </c>
      <c r="G3256" s="6" t="n">
        <v>100</v>
      </c>
      <c r="H3256" s="6" t="n">
        <v>-677.42</v>
      </c>
      <c r="I3256" s="7">
        <f>-H3256/G3256</f>
        <v/>
      </c>
      <c r="J3256" s="5" t="n"/>
      <c r="K3256" s="6" t="n"/>
      <c r="L3256" s="6" t="n"/>
      <c r="M3256" s="7">
        <f>IF(N3256=0,+L3256+H3256,0)</f>
        <v/>
      </c>
      <c r="N3256" s="7">
        <f>IF((+G3256-K3256)=0,0,+G3256-K3256)</f>
        <v/>
      </c>
      <c r="O3256" s="7">
        <f>IF(N3256=0,0,(L3256+H3256)/-N3256)</f>
        <v/>
      </c>
      <c r="P3256" s="7">
        <f>VLOOKUP(OPERAC[[#This Row],[especie]],[1]!ESPECIES[#All],6,0)</f>
        <v/>
      </c>
      <c r="Q3256" s="7">
        <f>IF(N3256&lt;&gt;0,P3256*N3256,0)</f>
        <v/>
      </c>
      <c r="R3256" s="8">
        <f>IF(Q3256&lt;&gt;0,Q3256+H3256+L3256,0)</f>
        <v/>
      </c>
      <c r="S3256" s="9">
        <f>VLOOKUP(OPERAC[[#This Row],[especie]],[1]!ESPECIES[#Data],9,FALSE)</f>
        <v/>
      </c>
    </row>
    <row r="3257">
      <c r="A3257" s="4" t="n">
        <v>7867</v>
      </c>
      <c r="B3257" s="5" t="n">
        <v>44712</v>
      </c>
      <c r="C3257" s="13" t="inlineStr">
        <is>
          <t>CPR</t>
        </is>
      </c>
      <c r="D3257" s="13" t="n">
        <v>32</v>
      </c>
      <c r="E3257" s="10">
        <f>IF(D3257&gt;0,VLOOKUP(OPERAC[[#This Row],[COD CART]],[1]!MatrizCortoLargoCyl[#All],3,0),"")</f>
        <v/>
      </c>
      <c r="F3257" s="13" t="inlineStr">
        <is>
          <t>COTY/CYL/7,00/17-06-22</t>
        </is>
      </c>
      <c r="G3257" s="6" t="n">
        <v>100</v>
      </c>
      <c r="H3257" s="6" t="n">
        <v>-677.42</v>
      </c>
      <c r="I3257" s="7">
        <f>-H3257/G3257</f>
        <v/>
      </c>
      <c r="J3257" s="5" t="n"/>
      <c r="K3257" s="6" t="n"/>
      <c r="L3257" s="6" t="n"/>
      <c r="M3257" s="7">
        <f>IF(N3257=0,+L3257+H3257,0)</f>
        <v/>
      </c>
      <c r="N3257" s="7">
        <f>IF((+G3257-K3257)=0,0,+G3257-K3257)</f>
        <v/>
      </c>
      <c r="O3257" s="7">
        <f>IF(N3257=0,0,(L3257+H3257)/-N3257)</f>
        <v/>
      </c>
      <c r="P3257" s="7">
        <f>VLOOKUP(OPERAC[[#This Row],[especie]],[1]!ESPECIES[#All],6,0)</f>
        <v/>
      </c>
      <c r="Q3257" s="7">
        <f>IF(N3257&lt;&gt;0,P3257*N3257,0)</f>
        <v/>
      </c>
      <c r="R3257" s="8">
        <f>IF(Q3257&lt;&gt;0,Q3257+H3257+L3257,0)</f>
        <v/>
      </c>
      <c r="S3257" s="9">
        <f>VLOOKUP(OPERAC[[#This Row],[especie]],[1]!ESPECIES[#Data],9,FALSE)</f>
        <v/>
      </c>
    </row>
    <row r="3258">
      <c r="A3258" s="4" t="n">
        <v>26146</v>
      </c>
      <c r="B3258" s="5" t="n">
        <v>44659</v>
      </c>
      <c r="C3258" s="13" t="inlineStr">
        <is>
          <t>CPR</t>
        </is>
      </c>
      <c r="D3258" s="13" t="n">
        <v>42</v>
      </c>
      <c r="E3258" s="10">
        <f>IF(D3258&gt;0,VLOOKUP(OPERAC[[#This Row],[COD CART]],[1]!MatrizCortoLargoCyl[#All],3,0),"")</f>
        <v/>
      </c>
      <c r="F3258" s="13" t="inlineStr">
        <is>
          <t>FB</t>
        </is>
      </c>
      <c r="G3258" s="6" t="n">
        <v>3</v>
      </c>
      <c r="H3258" s="6" t="n">
        <v>-678.255</v>
      </c>
      <c r="I3258" s="7">
        <f>-H3258/G3258</f>
        <v/>
      </c>
      <c r="J3258" s="11" t="n">
        <v>44671</v>
      </c>
      <c r="K3258" s="6">
        <f>+OPERAC[[#This Row],[cantidad]]</f>
        <v/>
      </c>
      <c r="L3258" s="6">
        <f>+OPERAC[[#This Row],[cantidad venta]]*213.173</f>
        <v/>
      </c>
      <c r="M3258" s="7">
        <f>IF(N3258=0,+L3258+H3258,0)</f>
        <v/>
      </c>
      <c r="N3258" s="7">
        <f>IF((+G3258-K3258)=0,0,+G3258-K3258)</f>
        <v/>
      </c>
      <c r="O3258" s="7">
        <f>IF(N3258=0,0,(L3258+H3258)/-N3258)</f>
        <v/>
      </c>
      <c r="P3258" s="7">
        <f>VLOOKUP(OPERAC[[#This Row],[especie]],[1]!ESPECIES[#All],6,0)</f>
        <v/>
      </c>
      <c r="Q3258" s="7">
        <f>IF(N3258&lt;&gt;0,P3258*N3258,0)</f>
        <v/>
      </c>
      <c r="R3258" s="8">
        <f>IF(Q3258&lt;&gt;0,Q3258+H3258+L3258,0)</f>
        <v/>
      </c>
      <c r="S3258" s="9">
        <f>VLOOKUP(OPERAC[[#This Row],[especie]],[1]!ESPECIES[#Data],9,FALSE)</f>
        <v/>
      </c>
    </row>
    <row r="3259">
      <c r="A3259" s="4" t="n">
        <v>15195</v>
      </c>
      <c r="B3259" s="5" t="n">
        <v>44468</v>
      </c>
      <c r="C3259" s="13" t="inlineStr">
        <is>
          <t>CPR</t>
        </is>
      </c>
      <c r="D3259" s="13" t="n">
        <v>32</v>
      </c>
      <c r="E3259" s="10">
        <f>IF(D3259&gt;0,VLOOKUP(OPERAC[[#This Row],[COD CART]],[1]!MatrizCortoLargoCyl[#All],3,0),"")</f>
        <v/>
      </c>
      <c r="F3259" s="13" t="inlineStr">
        <is>
          <t>INO/CYL/8,00/18-02-22</t>
        </is>
      </c>
      <c r="G3259" s="6" t="n">
        <v>100</v>
      </c>
      <c r="H3259" s="6">
        <f>-7.72*OPERAC[[#This Row],[cantidad]]+15.814+27.502+30.172+14.579+4.707</f>
        <v/>
      </c>
      <c r="I3259" s="7">
        <f>-H3259/G3259</f>
        <v/>
      </c>
      <c r="J3259" s="11" t="n">
        <v>44596</v>
      </c>
      <c r="K3259" s="6" t="n">
        <v>100</v>
      </c>
      <c r="L3259" s="6">
        <f>3.665*OPERAC[[#This Row],[cantidad venta]]</f>
        <v/>
      </c>
      <c r="M3259" s="7">
        <f>IF(N3259=0,+L3259+H3259,0)</f>
        <v/>
      </c>
      <c r="N3259" s="7">
        <f>IF((+G3259-K3259)=0,0,+G3259-K3259)</f>
        <v/>
      </c>
      <c r="O3259" s="7">
        <f>IF(N3259=0,0,(L3259+H3259)/-N3259)</f>
        <v/>
      </c>
      <c r="P3259" s="7">
        <f>VLOOKUP(OPERAC[[#This Row],[especie]],[1]!ESPECIES[#All],6,0)</f>
        <v/>
      </c>
      <c r="Q3259" s="7">
        <f>IF(N3259&lt;&gt;0,P3259*N3259,0)</f>
        <v/>
      </c>
      <c r="R3259" s="8">
        <f>IF(Q3259&lt;&gt;0,Q3259+H3259+L3259,0)</f>
        <v/>
      </c>
      <c r="S3259" s="9">
        <f>VLOOKUP(OPERAC[[#This Row],[especie]],[1]!ESPECIES[#Data],9,FALSE)</f>
        <v/>
      </c>
    </row>
    <row r="3260">
      <c r="A3260" s="4" t="n">
        <v>7895</v>
      </c>
      <c r="B3260" s="5" t="n">
        <v>44446</v>
      </c>
      <c r="C3260" s="13" t="inlineStr">
        <is>
          <t>CPR</t>
        </is>
      </c>
      <c r="D3260" s="13" t="n">
        <v>32</v>
      </c>
      <c r="E3260" s="10">
        <f>IF(D3260&gt;0,VLOOKUP(OPERAC[[#This Row],[COD CART]],[1]!MatrizCortoLargoCyl[#All],3,0),"")</f>
        <v/>
      </c>
      <c r="F3260" s="13" t="inlineStr">
        <is>
          <t>INO</t>
        </is>
      </c>
      <c r="G3260" s="6" t="n">
        <v>100</v>
      </c>
      <c r="H3260" s="6">
        <f>-758.932+27.502+30.172+14.579+4.707+2.674</f>
        <v/>
      </c>
      <c r="I3260" s="7">
        <f>-H3260/G3260</f>
        <v/>
      </c>
      <c r="J3260" s="11" t="n">
        <v>44662</v>
      </c>
      <c r="K3260" s="6" t="n">
        <v>100</v>
      </c>
      <c r="L3260" s="6">
        <f>+OPERAC[[#This Row],[cantidad venta]]*3.154</f>
        <v/>
      </c>
      <c r="M3260" s="7">
        <f>IF(N3260=0,+L3260+H3260,0)</f>
        <v/>
      </c>
      <c r="N3260" s="7">
        <f>IF((+G3260-K3260)=0,0,+G3260-K3260)</f>
        <v/>
      </c>
      <c r="O3260" s="7">
        <f>IF(N3260=0,0,(L3260+H3260)/-N3260)</f>
        <v/>
      </c>
      <c r="P3260" s="7">
        <f>VLOOKUP(OPERAC[[#This Row],[especie]],[1]!ESPECIES[#All],6,0)</f>
        <v/>
      </c>
      <c r="Q3260" s="7">
        <f>IF(N3260&lt;&gt;0,P3260*N3260,0)</f>
        <v/>
      </c>
      <c r="R3260" s="8">
        <f>IF(Q3260&lt;&gt;0,Q3260+H3260+L3260,0)</f>
        <v/>
      </c>
      <c r="S3260" s="9">
        <f>VLOOKUP(OPERAC[[#This Row],[especie]],[1]!ESPECIES[#Data],9,FALSE)</f>
        <v/>
      </c>
    </row>
    <row r="3261">
      <c r="A3261" s="4" t="n">
        <v>22399</v>
      </c>
      <c r="B3261" s="5" t="n">
        <v>44446</v>
      </c>
      <c r="C3261" s="13" t="inlineStr">
        <is>
          <t>CPR</t>
        </is>
      </c>
      <c r="D3261" s="13" t="n">
        <v>32</v>
      </c>
      <c r="E3261" s="10">
        <f>IF(D3261&gt;0,VLOOKUP(OPERAC[[#This Row],[COD CART]],[1]!MatrizCortoLargoCyl[#All],3,0),"")</f>
        <v/>
      </c>
      <c r="F3261" s="13" t="inlineStr">
        <is>
          <t>INO/CYL/6,00/18-03-22</t>
        </is>
      </c>
      <c r="G3261" s="6" t="n">
        <v>100</v>
      </c>
      <c r="H3261" s="6">
        <f>-758.932+27.502+30.172+14.579+4.707+2.674</f>
        <v/>
      </c>
      <c r="I3261" s="7">
        <f>-H3261/G3261</f>
        <v/>
      </c>
      <c r="J3261" s="11" t="n">
        <v>44617</v>
      </c>
      <c r="K3261" s="6" t="n">
        <v>100</v>
      </c>
      <c r="L3261" s="6" t="n">
        <v>315.636</v>
      </c>
      <c r="M3261" s="7">
        <f>IF(N3261=0,+L3261+H3261,0)</f>
        <v/>
      </c>
      <c r="N3261" s="7">
        <f>IF((+G3261-K3261)=0,0,+G3261-K3261)</f>
        <v/>
      </c>
      <c r="O3261" s="7">
        <f>IF(N3261=0,0,(L3261+H3261)/-N3261)</f>
        <v/>
      </c>
      <c r="P3261" s="7">
        <f>VLOOKUP(OPERAC[[#This Row],[especie]],[1]!ESPECIES[#All],6,0)</f>
        <v/>
      </c>
      <c r="Q3261" s="7">
        <f>IF(N3261&lt;&gt;0,P3261*N3261,0)</f>
        <v/>
      </c>
      <c r="R3261" s="8">
        <f>IF(Q3261&lt;&gt;0,Q3261+H3261+L3261,0)</f>
        <v/>
      </c>
      <c r="S3261" s="9">
        <f>VLOOKUP(OPERAC[[#This Row],[especie]],[1]!ESPECIES[#Data],9,FALSE)</f>
        <v/>
      </c>
    </row>
    <row r="3262">
      <c r="A3262" s="4" t="n">
        <v>2194</v>
      </c>
      <c r="B3262" s="5" t="n">
        <v>44312</v>
      </c>
      <c r="C3262" s="13" t="inlineStr">
        <is>
          <t>CPR</t>
        </is>
      </c>
      <c r="D3262" s="13" t="n">
        <v>41</v>
      </c>
      <c r="E3262" s="10">
        <f>IF(D3262&gt;0,VLOOKUP(OPERAC[[#This Row],[COD CART]],[1]!MatrizCortoLargoCyl[#All],3,0),"")</f>
        <v/>
      </c>
      <c r="F3262" s="13" t="inlineStr">
        <is>
          <t>AAPL</t>
        </is>
      </c>
      <c r="G3262" s="6" t="n">
        <v>5</v>
      </c>
      <c r="H3262" s="6" t="n">
        <v>-679.4848000000001</v>
      </c>
      <c r="I3262" s="7">
        <f>-H3262/G3262</f>
        <v/>
      </c>
      <c r="J3262" s="11" t="n"/>
      <c r="K3262" s="6" t="n"/>
      <c r="L3262" s="6" t="n"/>
      <c r="M3262" s="7">
        <f>IF(N3262=0,+L3262+H3262,0)</f>
        <v/>
      </c>
      <c r="N3262" s="7">
        <f>IF((+G3262-K3262)=0,0,+G3262-K3262)</f>
        <v/>
      </c>
      <c r="O3262" s="7">
        <f>IF(N3262=0,0,(L3262+H3262)/-N3262)</f>
        <v/>
      </c>
      <c r="P3262" s="7">
        <f>VLOOKUP(OPERAC[[#This Row],[especie]],[1]!ESPECIES[#All],6,0)</f>
        <v/>
      </c>
      <c r="Q3262" s="7">
        <f>IF(N3262&lt;&gt;0,P3262*N3262,0)</f>
        <v/>
      </c>
      <c r="R3262" s="8">
        <f>IF(Q3262&lt;&gt;0,Q3262+H3262+L3262,0)</f>
        <v/>
      </c>
      <c r="S3262" s="9">
        <f>VLOOKUP(OPERAC[[#This Row],[especie]],[1]!ESPECIES[#Data],9,FALSE)</f>
        <v/>
      </c>
    </row>
    <row r="3263">
      <c r="A3263" s="4" t="n">
        <v>1760</v>
      </c>
      <c r="B3263" s="5" t="n">
        <v>44643</v>
      </c>
      <c r="C3263" s="13" t="inlineStr">
        <is>
          <t>CPR</t>
        </is>
      </c>
      <c r="D3263" s="13" t="n">
        <v>32</v>
      </c>
      <c r="E3263" s="10">
        <f>IF(D3263&gt;0,VLOOKUP(OPERAC[[#This Row],[COD CART]],[1]!MatrizCortoLargoCyl[#All],3,0),"")</f>
        <v/>
      </c>
      <c r="F3263" s="13" t="inlineStr">
        <is>
          <t>CRESY</t>
        </is>
      </c>
      <c r="G3263" s="6" t="n">
        <v>100</v>
      </c>
      <c r="H3263" s="6" t="n">
        <v>-680.303</v>
      </c>
      <c r="I3263" s="7">
        <f>-H3263/G3263</f>
        <v/>
      </c>
      <c r="J3263" s="11" t="n">
        <v>44708</v>
      </c>
      <c r="K3263" s="6" t="n">
        <v>100</v>
      </c>
      <c r="L3263" s="6" t="n">
        <v>733.71</v>
      </c>
      <c r="M3263" s="7">
        <f>IF(N3263=0,+L3263+H3263,0)</f>
        <v/>
      </c>
      <c r="N3263" s="7">
        <f>IF((+G3263-K3263)=0,0,+G3263-K3263)</f>
        <v/>
      </c>
      <c r="O3263" s="7">
        <f>IF(N3263=0,0,(L3263+H3263)/-N3263)</f>
        <v/>
      </c>
      <c r="P3263" s="7">
        <f>VLOOKUP(OPERAC[[#This Row],[especie]],[1]!ESPECIES[#All],6,0)</f>
        <v/>
      </c>
      <c r="Q3263" s="7">
        <f>IF(N3263&lt;&gt;0,P3263*N3263,0)</f>
        <v/>
      </c>
      <c r="R3263" s="8">
        <f>IF(Q3263&lt;&gt;0,Q3263+H3263+L3263,0)</f>
        <v/>
      </c>
      <c r="S3263" s="9">
        <f>VLOOKUP(OPERAC[[#This Row],[especie]],[1]!ESPECIES[#Data],9,FALSE)</f>
        <v/>
      </c>
    </row>
    <row r="3264">
      <c r="A3264" s="4" t="n">
        <v>2194</v>
      </c>
      <c r="B3264" s="5" t="n">
        <v>44643</v>
      </c>
      <c r="C3264" s="13" t="inlineStr">
        <is>
          <t>CPR</t>
        </is>
      </c>
      <c r="D3264" s="13" t="n">
        <v>32</v>
      </c>
      <c r="E3264" s="10">
        <f>IF(D3264&gt;0,VLOOKUP(OPERAC[[#This Row],[COD CART]],[1]!MatrizCortoLargoCyl[#All],3,0),"")</f>
        <v/>
      </c>
      <c r="F3264" s="13" t="inlineStr">
        <is>
          <t>CRESY</t>
        </is>
      </c>
      <c r="G3264" s="6" t="n">
        <v>100</v>
      </c>
      <c r="H3264" s="6" t="n">
        <v>-680.303</v>
      </c>
      <c r="I3264" s="7">
        <f>-H3264/G3264</f>
        <v/>
      </c>
      <c r="J3264" s="11" t="n">
        <v>44708</v>
      </c>
      <c r="K3264" s="6" t="n">
        <v>100</v>
      </c>
      <c r="L3264" s="6" t="n">
        <v>733.71</v>
      </c>
      <c r="M3264" s="7">
        <f>IF(N3264=0,+L3264+H3264,0)</f>
        <v/>
      </c>
      <c r="N3264" s="7">
        <f>IF((+G3264-K3264)=0,0,+G3264-K3264)</f>
        <v/>
      </c>
      <c r="O3264" s="7">
        <f>IF(N3264=0,0,(L3264+H3264)/-N3264)</f>
        <v/>
      </c>
      <c r="P3264" s="7">
        <f>VLOOKUP(OPERAC[[#This Row],[especie]],[1]!ESPECIES[#All],6,0)</f>
        <v/>
      </c>
      <c r="Q3264" s="7">
        <f>IF(N3264&lt;&gt;0,P3264*N3264,0)</f>
        <v/>
      </c>
      <c r="R3264" s="8">
        <f>IF(Q3264&lt;&gt;0,Q3264+H3264+L3264,0)</f>
        <v/>
      </c>
      <c r="S3264" s="9">
        <f>VLOOKUP(OPERAC[[#This Row],[especie]],[1]!ESPECIES[#Data],9,FALSE)</f>
        <v/>
      </c>
    </row>
    <row r="3265">
      <c r="A3265" s="4" t="n">
        <v>2257</v>
      </c>
      <c r="B3265" s="5" t="n">
        <v>44643</v>
      </c>
      <c r="C3265" s="13" t="inlineStr">
        <is>
          <t>CPR</t>
        </is>
      </c>
      <c r="D3265" s="13" t="n">
        <v>32</v>
      </c>
      <c r="E3265" s="10">
        <f>IF(D3265&gt;0,VLOOKUP(OPERAC[[#This Row],[COD CART]],[1]!MatrizCortoLargoCyl[#All],3,0),"")</f>
        <v/>
      </c>
      <c r="F3265" s="13" t="inlineStr">
        <is>
          <t>CRESY</t>
        </is>
      </c>
      <c r="G3265" s="6" t="n">
        <v>100</v>
      </c>
      <c r="H3265" s="6" t="n">
        <v>-680.303</v>
      </c>
      <c r="I3265" s="7">
        <f>-H3265/G3265</f>
        <v/>
      </c>
      <c r="J3265" s="11" t="n">
        <v>44704</v>
      </c>
      <c r="K3265" s="6" t="n">
        <v>100</v>
      </c>
      <c r="L3265" s="6" t="n">
        <v>643.721</v>
      </c>
      <c r="M3265" s="7">
        <f>IF(N3265=0,+L3265+H3265,0)</f>
        <v/>
      </c>
      <c r="N3265" s="7">
        <f>IF((+G3265-K3265)=0,0,+G3265-K3265)</f>
        <v/>
      </c>
      <c r="O3265" s="7">
        <f>IF(N3265=0,0,(L3265+H3265)/-N3265)</f>
        <v/>
      </c>
      <c r="P3265" s="7">
        <f>VLOOKUP(OPERAC[[#This Row],[especie]],[1]!ESPECIES[#All],6,0)</f>
        <v/>
      </c>
      <c r="Q3265" s="7">
        <f>IF(N3265&lt;&gt;0,P3265*N3265,0)</f>
        <v/>
      </c>
      <c r="R3265" s="8">
        <f>IF(Q3265&lt;&gt;0,Q3265+H3265+L3265,0)</f>
        <v/>
      </c>
      <c r="S3265" s="9">
        <f>VLOOKUP(OPERAC[[#This Row],[especie]],[1]!ESPECIES[#Data],9,FALSE)</f>
        <v/>
      </c>
    </row>
    <row r="3266">
      <c r="A3266" s="4" t="n">
        <v>3853</v>
      </c>
      <c r="B3266" s="5" t="n">
        <v>44643</v>
      </c>
      <c r="C3266" s="13" t="inlineStr">
        <is>
          <t>CPR</t>
        </is>
      </c>
      <c r="D3266" s="13" t="n">
        <v>32</v>
      </c>
      <c r="E3266" s="10">
        <f>IF(D3266&gt;0,VLOOKUP(OPERAC[[#This Row],[COD CART]],[1]!MatrizCortoLargoCyl[#All],3,0),"")</f>
        <v/>
      </c>
      <c r="F3266" s="13" t="inlineStr">
        <is>
          <t>CRESY</t>
        </is>
      </c>
      <c r="G3266" s="6" t="n">
        <v>100</v>
      </c>
      <c r="H3266" s="6" t="n">
        <v>-680.303</v>
      </c>
      <c r="I3266" s="7">
        <f>-H3266/G3266</f>
        <v/>
      </c>
      <c r="J3266" s="11" t="n">
        <v>44704</v>
      </c>
      <c r="K3266" s="6" t="n">
        <v>100</v>
      </c>
      <c r="L3266" s="6" t="n">
        <v>643.721</v>
      </c>
      <c r="M3266" s="7">
        <f>IF(N3266=0,+L3266+H3266,0)</f>
        <v/>
      </c>
      <c r="N3266" s="7">
        <f>IF((+G3266-K3266)=0,0,+G3266-K3266)</f>
        <v/>
      </c>
      <c r="O3266" s="7">
        <f>IF(N3266=0,0,(L3266+H3266)/-N3266)</f>
        <v/>
      </c>
      <c r="P3266" s="7">
        <f>VLOOKUP(OPERAC[[#This Row],[especie]],[1]!ESPECIES[#All],6,0)</f>
        <v/>
      </c>
      <c r="Q3266" s="7">
        <f>IF(N3266&lt;&gt;0,P3266*N3266,0)</f>
        <v/>
      </c>
      <c r="R3266" s="8">
        <f>IF(Q3266&lt;&gt;0,Q3266+H3266+L3266,0)</f>
        <v/>
      </c>
      <c r="S3266" s="9">
        <f>VLOOKUP(OPERAC[[#This Row],[especie]],[1]!ESPECIES[#Data],9,FALSE)</f>
        <v/>
      </c>
    </row>
    <row r="3267">
      <c r="A3267" s="4" t="n">
        <v>12022</v>
      </c>
      <c r="B3267" s="5" t="n">
        <v>44643</v>
      </c>
      <c r="C3267" s="13" t="inlineStr">
        <is>
          <t>CPR</t>
        </is>
      </c>
      <c r="D3267" s="13" t="n">
        <v>32</v>
      </c>
      <c r="E3267" s="10">
        <f>IF(D3267&gt;0,VLOOKUP(OPERAC[[#This Row],[COD CART]],[1]!MatrizCortoLargoCyl[#All],3,0),"")</f>
        <v/>
      </c>
      <c r="F3267" s="13" t="inlineStr">
        <is>
          <t>CRESY</t>
        </is>
      </c>
      <c r="G3267" s="6" t="n">
        <v>100</v>
      </c>
      <c r="H3267" s="6" t="n">
        <v>-680.303</v>
      </c>
      <c r="I3267" s="7">
        <f>-H3267/G3267</f>
        <v/>
      </c>
      <c r="J3267" s="11" t="n">
        <v>44708</v>
      </c>
      <c r="K3267" s="6" t="n">
        <v>100</v>
      </c>
      <c r="L3267" s="6" t="n">
        <v>733.71</v>
      </c>
      <c r="M3267" s="7">
        <f>IF(N3267=0,+L3267+H3267,0)</f>
        <v/>
      </c>
      <c r="N3267" s="7">
        <f>IF((+G3267-K3267)=0,0,+G3267-K3267)</f>
        <v/>
      </c>
      <c r="O3267" s="7">
        <f>IF(N3267=0,0,(L3267+H3267)/-N3267)</f>
        <v/>
      </c>
      <c r="P3267" s="7">
        <f>VLOOKUP(OPERAC[[#This Row],[especie]],[1]!ESPECIES[#All],6,0)</f>
        <v/>
      </c>
      <c r="Q3267" s="7">
        <f>IF(N3267&lt;&gt;0,P3267*N3267,0)</f>
        <v/>
      </c>
      <c r="R3267" s="8">
        <f>IF(Q3267&lt;&gt;0,Q3267+H3267+L3267,0)</f>
        <v/>
      </c>
      <c r="S3267" s="9">
        <f>VLOOKUP(OPERAC[[#This Row],[especie]],[1]!ESPECIES[#Data],9,FALSE)</f>
        <v/>
      </c>
    </row>
    <row r="3268">
      <c r="A3268" s="4" t="n">
        <v>13188</v>
      </c>
      <c r="B3268" s="5" t="n">
        <v>44643</v>
      </c>
      <c r="C3268" s="13" t="inlineStr">
        <is>
          <t>CPR</t>
        </is>
      </c>
      <c r="D3268" s="13" t="n">
        <v>32</v>
      </c>
      <c r="E3268" s="10">
        <f>IF(D3268&gt;0,VLOOKUP(OPERAC[[#This Row],[COD CART]],[1]!MatrizCortoLargoCyl[#All],3,0),"")</f>
        <v/>
      </c>
      <c r="F3268" s="13" t="inlineStr">
        <is>
          <t>CRESY</t>
        </is>
      </c>
      <c r="G3268" s="6" t="n">
        <v>100</v>
      </c>
      <c r="H3268" s="6" t="n">
        <v>-680.303</v>
      </c>
      <c r="I3268" s="7">
        <f>-H3268/G3268</f>
        <v/>
      </c>
      <c r="J3268" s="11" t="n">
        <v>44708</v>
      </c>
      <c r="K3268" s="6" t="n">
        <v>100</v>
      </c>
      <c r="L3268" s="6" t="n">
        <v>733.71</v>
      </c>
      <c r="M3268" s="7">
        <f>IF(N3268=0,+L3268+H3268,0)</f>
        <v/>
      </c>
      <c r="N3268" s="7">
        <f>IF((+G3268-K3268)=0,0,+G3268-K3268)</f>
        <v/>
      </c>
      <c r="O3268" s="7">
        <f>IF(N3268=0,0,(L3268+H3268)/-N3268)</f>
        <v/>
      </c>
      <c r="P3268" s="7">
        <f>VLOOKUP(OPERAC[[#This Row],[especie]],[1]!ESPECIES[#All],6,0)</f>
        <v/>
      </c>
      <c r="Q3268" s="7">
        <f>IF(N3268&lt;&gt;0,P3268*N3268,0)</f>
        <v/>
      </c>
      <c r="R3268" s="8">
        <f>IF(Q3268&lt;&gt;0,Q3268+H3268+L3268,0)</f>
        <v/>
      </c>
      <c r="S3268" s="9">
        <f>VLOOKUP(OPERAC[[#This Row],[especie]],[1]!ESPECIES[#Data],9,FALSE)</f>
        <v/>
      </c>
    </row>
    <row r="3269">
      <c r="A3269" s="4" t="n">
        <v>13240</v>
      </c>
      <c r="B3269" s="5" t="n">
        <v>44643</v>
      </c>
      <c r="C3269" s="13" t="inlineStr">
        <is>
          <t>CPR</t>
        </is>
      </c>
      <c r="D3269" s="13" t="n">
        <v>32</v>
      </c>
      <c r="E3269" s="10">
        <f>IF(D3269&gt;0,VLOOKUP(OPERAC[[#This Row],[COD CART]],[1]!MatrizCortoLargoCyl[#All],3,0),"")</f>
        <v/>
      </c>
      <c r="F3269" s="13" t="inlineStr">
        <is>
          <t>CRESY</t>
        </is>
      </c>
      <c r="G3269" s="6" t="n">
        <v>100</v>
      </c>
      <c r="H3269" s="6" t="n">
        <v>-680.303</v>
      </c>
      <c r="I3269" s="7">
        <f>-H3269/G3269</f>
        <v/>
      </c>
      <c r="J3269" s="11" t="n">
        <v>44708</v>
      </c>
      <c r="K3269" s="6" t="n">
        <v>100</v>
      </c>
      <c r="L3269" s="6" t="n">
        <v>733.71</v>
      </c>
      <c r="M3269" s="7">
        <f>IF(N3269=0,+L3269+H3269,0)</f>
        <v/>
      </c>
      <c r="N3269" s="7">
        <f>IF((+G3269-K3269)=0,0,+G3269-K3269)</f>
        <v/>
      </c>
      <c r="O3269" s="7">
        <f>IF(N3269=0,0,(L3269+H3269)/-N3269)</f>
        <v/>
      </c>
      <c r="P3269" s="7">
        <f>VLOOKUP(OPERAC[[#This Row],[especie]],[1]!ESPECIES[#All],6,0)</f>
        <v/>
      </c>
      <c r="Q3269" s="7">
        <f>IF(N3269&lt;&gt;0,P3269*N3269,0)</f>
        <v/>
      </c>
      <c r="R3269" s="8">
        <f>IF(Q3269&lt;&gt;0,Q3269+H3269+L3269,0)</f>
        <v/>
      </c>
      <c r="S3269" s="9">
        <f>VLOOKUP(OPERAC[[#This Row],[especie]],[1]!ESPECIES[#Data],9,FALSE)</f>
        <v/>
      </c>
    </row>
    <row r="3270">
      <c r="A3270" s="4" t="n">
        <v>13271</v>
      </c>
      <c r="B3270" s="5" t="n">
        <v>44643</v>
      </c>
      <c r="C3270" s="13" t="inlineStr">
        <is>
          <t>CPR</t>
        </is>
      </c>
      <c r="D3270" s="13" t="n">
        <v>32</v>
      </c>
      <c r="E3270" s="10">
        <f>IF(D3270&gt;0,VLOOKUP(OPERAC[[#This Row],[COD CART]],[1]!MatrizCortoLargoCyl[#All],3,0),"")</f>
        <v/>
      </c>
      <c r="F3270" s="13" t="inlineStr">
        <is>
          <t>CRESY</t>
        </is>
      </c>
      <c r="G3270" s="6" t="n">
        <v>100</v>
      </c>
      <c r="H3270" s="6" t="n">
        <v>-680.303</v>
      </c>
      <c r="I3270" s="7">
        <f>-H3270/G3270</f>
        <v/>
      </c>
      <c r="J3270" s="11" t="n">
        <v>44708</v>
      </c>
      <c r="K3270" s="6" t="n">
        <v>100</v>
      </c>
      <c r="L3270" s="6" t="n">
        <v>733.71</v>
      </c>
      <c r="M3270" s="7">
        <f>IF(N3270=0,+L3270+H3270,0)</f>
        <v/>
      </c>
      <c r="N3270" s="7">
        <f>IF((+G3270-K3270)=0,0,+G3270-K3270)</f>
        <v/>
      </c>
      <c r="O3270" s="7">
        <f>IF(N3270=0,0,(L3270+H3270)/-N3270)</f>
        <v/>
      </c>
      <c r="P3270" s="7">
        <f>VLOOKUP(OPERAC[[#This Row],[especie]],[1]!ESPECIES[#All],6,0)</f>
        <v/>
      </c>
      <c r="Q3270" s="7">
        <f>IF(N3270&lt;&gt;0,P3270*N3270,0)</f>
        <v/>
      </c>
      <c r="R3270" s="8">
        <f>IF(Q3270&lt;&gt;0,Q3270+H3270+L3270,0)</f>
        <v/>
      </c>
      <c r="S3270" s="9">
        <f>VLOOKUP(OPERAC[[#This Row],[especie]],[1]!ESPECIES[#Data],9,FALSE)</f>
        <v/>
      </c>
    </row>
    <row r="3271">
      <c r="A3271" s="4" t="n">
        <v>13273</v>
      </c>
      <c r="B3271" s="5" t="n">
        <v>44643</v>
      </c>
      <c r="C3271" s="13" t="inlineStr">
        <is>
          <t>CPR</t>
        </is>
      </c>
      <c r="D3271" s="13" t="n">
        <v>32</v>
      </c>
      <c r="E3271" s="10">
        <f>IF(D3271&gt;0,VLOOKUP(OPERAC[[#This Row],[COD CART]],[1]!MatrizCortoLargoCyl[#All],3,0),"")</f>
        <v/>
      </c>
      <c r="F3271" s="13" t="inlineStr">
        <is>
          <t>CRESY</t>
        </is>
      </c>
      <c r="G3271" s="6" t="n">
        <v>100</v>
      </c>
      <c r="H3271" s="6" t="n">
        <v>-680.303</v>
      </c>
      <c r="I3271" s="7">
        <f>-H3271/G3271</f>
        <v/>
      </c>
      <c r="J3271" s="11" t="n">
        <v>44708</v>
      </c>
      <c r="K3271" s="6" t="n">
        <v>100</v>
      </c>
      <c r="L3271" s="6" t="n">
        <v>733.71</v>
      </c>
      <c r="M3271" s="7">
        <f>IF(N3271=0,+L3271+H3271,0)</f>
        <v/>
      </c>
      <c r="N3271" s="7">
        <f>IF((+G3271-K3271)=0,0,+G3271-K3271)</f>
        <v/>
      </c>
      <c r="O3271" s="7">
        <f>IF(N3271=0,0,(L3271+H3271)/-N3271)</f>
        <v/>
      </c>
      <c r="P3271" s="7">
        <f>VLOOKUP(OPERAC[[#This Row],[especie]],[1]!ESPECIES[#All],6,0)</f>
        <v/>
      </c>
      <c r="Q3271" s="7">
        <f>IF(N3271&lt;&gt;0,P3271*N3271,0)</f>
        <v/>
      </c>
      <c r="R3271" s="8">
        <f>IF(Q3271&lt;&gt;0,Q3271+H3271+L3271,0)</f>
        <v/>
      </c>
      <c r="S3271" s="9">
        <f>VLOOKUP(OPERAC[[#This Row],[especie]],[1]!ESPECIES[#Data],9,FALSE)</f>
        <v/>
      </c>
    </row>
    <row r="3272">
      <c r="A3272" s="4" t="n">
        <v>15189</v>
      </c>
      <c r="B3272" s="5" t="n">
        <v>44643</v>
      </c>
      <c r="C3272" s="13" t="inlineStr">
        <is>
          <t>CPR</t>
        </is>
      </c>
      <c r="D3272" s="13" t="n">
        <v>32</v>
      </c>
      <c r="E3272" s="10">
        <f>IF(D3272&gt;0,VLOOKUP(OPERAC[[#This Row],[COD CART]],[1]!MatrizCortoLargoCyl[#All],3,0),"")</f>
        <v/>
      </c>
      <c r="F3272" s="13" t="inlineStr">
        <is>
          <t>CRESY</t>
        </is>
      </c>
      <c r="G3272" s="6" t="n">
        <v>100</v>
      </c>
      <c r="H3272" s="6" t="n">
        <v>-680.303</v>
      </c>
      <c r="I3272" s="7">
        <f>-H3272/G3272</f>
        <v/>
      </c>
      <c r="J3272" s="11" t="n">
        <v>44708</v>
      </c>
      <c r="K3272" s="6" t="n">
        <v>100</v>
      </c>
      <c r="L3272" s="6" t="n">
        <v>733.71</v>
      </c>
      <c r="M3272" s="7">
        <f>IF(N3272=0,+L3272+H3272,0)</f>
        <v/>
      </c>
      <c r="N3272" s="7">
        <f>IF((+G3272-K3272)=0,0,+G3272-K3272)</f>
        <v/>
      </c>
      <c r="O3272" s="7">
        <f>IF(N3272=0,0,(L3272+H3272)/-N3272)</f>
        <v/>
      </c>
      <c r="P3272" s="7">
        <f>VLOOKUP(OPERAC[[#This Row],[especie]],[1]!ESPECIES[#All],6,0)</f>
        <v/>
      </c>
      <c r="Q3272" s="7">
        <f>IF(N3272&lt;&gt;0,P3272*N3272,0)</f>
        <v/>
      </c>
      <c r="R3272" s="8">
        <f>IF(Q3272&lt;&gt;0,Q3272+H3272+L3272,0)</f>
        <v/>
      </c>
      <c r="S3272" s="9">
        <f>VLOOKUP(OPERAC[[#This Row],[especie]],[1]!ESPECIES[#Data],9,FALSE)</f>
        <v/>
      </c>
    </row>
    <row r="3273">
      <c r="A3273" s="4" t="n">
        <v>16795</v>
      </c>
      <c r="B3273" s="5" t="n">
        <v>44643</v>
      </c>
      <c r="C3273" s="13" t="inlineStr">
        <is>
          <t>CPR</t>
        </is>
      </c>
      <c r="D3273" s="13" t="n">
        <v>32</v>
      </c>
      <c r="E3273" s="10">
        <f>IF(D3273&gt;0,VLOOKUP(OPERAC[[#This Row],[COD CART]],[1]!MatrizCortoLargoCyl[#All],3,0),"")</f>
        <v/>
      </c>
      <c r="F3273" s="13" t="inlineStr">
        <is>
          <t>CRESY</t>
        </is>
      </c>
      <c r="G3273" s="6" t="n">
        <v>100</v>
      </c>
      <c r="H3273" s="6" t="n">
        <v>-680.303</v>
      </c>
      <c r="I3273" s="7">
        <f>-H3273/G3273</f>
        <v/>
      </c>
      <c r="J3273" s="11" t="n">
        <v>44708</v>
      </c>
      <c r="K3273" s="6" t="n">
        <v>100</v>
      </c>
      <c r="L3273" s="6" t="n">
        <v>733.71</v>
      </c>
      <c r="M3273" s="7">
        <f>IF(N3273=0,+L3273+H3273,0)</f>
        <v/>
      </c>
      <c r="N3273" s="7">
        <f>IF((+G3273-K3273)=0,0,+G3273-K3273)</f>
        <v/>
      </c>
      <c r="O3273" s="7">
        <f>IF(N3273=0,0,(L3273+H3273)/-N3273)</f>
        <v/>
      </c>
      <c r="P3273" s="7">
        <f>VLOOKUP(OPERAC[[#This Row],[especie]],[1]!ESPECIES[#All],6,0)</f>
        <v/>
      </c>
      <c r="Q3273" s="7">
        <f>IF(N3273&lt;&gt;0,P3273*N3273,0)</f>
        <v/>
      </c>
      <c r="R3273" s="8">
        <f>IF(Q3273&lt;&gt;0,Q3273+H3273+L3273,0)</f>
        <v/>
      </c>
      <c r="S3273" s="9">
        <f>VLOOKUP(OPERAC[[#This Row],[especie]],[1]!ESPECIES[#Data],9,FALSE)</f>
        <v/>
      </c>
    </row>
    <row r="3274">
      <c r="A3274" s="4" t="n">
        <v>19932</v>
      </c>
      <c r="B3274" s="5" t="n">
        <v>44643</v>
      </c>
      <c r="C3274" s="13" t="inlineStr">
        <is>
          <t>CPR</t>
        </is>
      </c>
      <c r="D3274" s="13" t="n">
        <v>32</v>
      </c>
      <c r="E3274" s="10">
        <f>IF(D3274&gt;0,VLOOKUP(OPERAC[[#This Row],[COD CART]],[1]!MatrizCortoLargoCyl[#All],3,0),"")</f>
        <v/>
      </c>
      <c r="F3274" s="13" t="inlineStr">
        <is>
          <t>CRESY</t>
        </is>
      </c>
      <c r="G3274" s="6" t="n">
        <v>100</v>
      </c>
      <c r="H3274" s="6" t="n">
        <v>-680.303</v>
      </c>
      <c r="I3274" s="7">
        <f>-H3274/G3274</f>
        <v/>
      </c>
      <c r="J3274" s="11" t="n">
        <v>44708</v>
      </c>
      <c r="K3274" s="6" t="n">
        <v>100</v>
      </c>
      <c r="L3274" s="6" t="n">
        <v>733.71</v>
      </c>
      <c r="M3274" s="7">
        <f>IF(N3274=0,+L3274+H3274,0)</f>
        <v/>
      </c>
      <c r="N3274" s="7">
        <f>IF((+G3274-K3274)=0,0,+G3274-K3274)</f>
        <v/>
      </c>
      <c r="O3274" s="7">
        <f>IF(N3274=0,0,(L3274+H3274)/-N3274)</f>
        <v/>
      </c>
      <c r="P3274" s="7">
        <f>VLOOKUP(OPERAC[[#This Row],[especie]],[1]!ESPECIES[#All],6,0)</f>
        <v/>
      </c>
      <c r="Q3274" s="7">
        <f>IF(N3274&lt;&gt;0,P3274*N3274,0)</f>
        <v/>
      </c>
      <c r="R3274" s="8">
        <f>IF(Q3274&lt;&gt;0,Q3274+H3274+L3274,0)</f>
        <v/>
      </c>
      <c r="S3274" s="9">
        <f>VLOOKUP(OPERAC[[#This Row],[especie]],[1]!ESPECIES[#Data],9,FALSE)</f>
        <v/>
      </c>
    </row>
    <row r="3275">
      <c r="A3275" s="4" t="n">
        <v>22407</v>
      </c>
      <c r="B3275" s="5" t="n">
        <v>44643</v>
      </c>
      <c r="C3275" s="13" t="inlineStr">
        <is>
          <t>CPR</t>
        </is>
      </c>
      <c r="D3275" s="13" t="n">
        <v>32</v>
      </c>
      <c r="E3275" s="10">
        <f>IF(D3275&gt;0,VLOOKUP(OPERAC[[#This Row],[COD CART]],[1]!MatrizCortoLargoCyl[#All],3,0),"")</f>
        <v/>
      </c>
      <c r="F3275" s="13" t="inlineStr">
        <is>
          <t>CRESY</t>
        </is>
      </c>
      <c r="G3275" s="6" t="n">
        <v>100</v>
      </c>
      <c r="H3275" s="6" t="n">
        <v>-680.303</v>
      </c>
      <c r="I3275" s="7">
        <f>-H3275/G3275</f>
        <v/>
      </c>
      <c r="J3275" s="11" t="n">
        <v>44708</v>
      </c>
      <c r="K3275" s="6" t="n">
        <v>100</v>
      </c>
      <c r="L3275" s="6" t="n">
        <v>733.71</v>
      </c>
      <c r="M3275" s="7">
        <f>IF(N3275=0,+L3275+H3275,0)</f>
        <v/>
      </c>
      <c r="N3275" s="7">
        <f>IF((+G3275-K3275)=0,0,+G3275-K3275)</f>
        <v/>
      </c>
      <c r="O3275" s="7">
        <f>IF(N3275=0,0,(L3275+H3275)/-N3275)</f>
        <v/>
      </c>
      <c r="P3275" s="7">
        <f>VLOOKUP(OPERAC[[#This Row],[especie]],[1]!ESPECIES[#All],6,0)</f>
        <v/>
      </c>
      <c r="Q3275" s="7">
        <f>IF(N3275&lt;&gt;0,P3275*N3275,0)</f>
        <v/>
      </c>
      <c r="R3275" s="8">
        <f>IF(Q3275&lt;&gt;0,Q3275+H3275+L3275,0)</f>
        <v/>
      </c>
      <c r="S3275" s="9">
        <f>VLOOKUP(OPERAC[[#This Row],[especie]],[1]!ESPECIES[#Data],9,FALSE)</f>
        <v/>
      </c>
    </row>
    <row r="3276">
      <c r="A3276" s="4" t="n">
        <v>1792</v>
      </c>
      <c r="B3276" s="5" t="n">
        <v>44643</v>
      </c>
      <c r="C3276" s="13" t="inlineStr">
        <is>
          <t>CPR</t>
        </is>
      </c>
      <c r="D3276" s="13" t="n">
        <v>32</v>
      </c>
      <c r="E3276" s="10">
        <f>IF(D3276&gt;0,VLOOKUP(OPERAC[[#This Row],[COD CART]],[1]!MatrizCortoLargoCyl[#All],3,0),"")</f>
        <v/>
      </c>
      <c r="F3276" s="13" t="inlineStr">
        <is>
          <t>CRESY</t>
        </is>
      </c>
      <c r="G3276" s="6" t="n">
        <v>100</v>
      </c>
      <c r="H3276" s="6" t="n">
        <v>-680.303</v>
      </c>
      <c r="I3276" s="7">
        <f>-H3276/G3276</f>
        <v/>
      </c>
      <c r="J3276" s="11" t="n">
        <v>44704</v>
      </c>
      <c r="K3276" s="6" t="n">
        <v>100</v>
      </c>
      <c r="L3276" s="6" t="n">
        <v>643.72</v>
      </c>
      <c r="M3276" s="7">
        <f>IF(N3276=0,+L3276+H3276,0)</f>
        <v/>
      </c>
      <c r="N3276" s="7">
        <f>IF((+G3276-K3276)=0,0,+G3276-K3276)</f>
        <v/>
      </c>
      <c r="O3276" s="7">
        <f>IF(N3276=0,0,(L3276+H3276)/-N3276)</f>
        <v/>
      </c>
      <c r="P3276" s="7">
        <f>VLOOKUP(OPERAC[[#This Row],[especie]],[1]!ESPECIES[#All],6,0)</f>
        <v/>
      </c>
      <c r="Q3276" s="7">
        <f>IF(N3276&lt;&gt;0,P3276*N3276,0)</f>
        <v/>
      </c>
      <c r="R3276" s="8">
        <f>IF(Q3276&lt;&gt;0,Q3276+H3276+L3276,0)</f>
        <v/>
      </c>
      <c r="S3276" s="9">
        <f>VLOOKUP(OPERAC[[#This Row],[especie]],[1]!ESPECIES[#Data],9,FALSE)</f>
        <v/>
      </c>
    </row>
    <row r="3277">
      <c r="A3277" s="4" t="n">
        <v>18724</v>
      </c>
      <c r="B3277" s="5" t="n">
        <v>44643</v>
      </c>
      <c r="C3277" s="13" t="inlineStr">
        <is>
          <t>CPR</t>
        </is>
      </c>
      <c r="D3277" s="13" t="n">
        <v>32</v>
      </c>
      <c r="E3277" s="10">
        <f>IF(D3277&gt;0,VLOOKUP(OPERAC[[#This Row],[COD CART]],[1]!MatrizCortoLargoCyl[#All],3,0),"")</f>
        <v/>
      </c>
      <c r="F3277" s="13" t="inlineStr">
        <is>
          <t>CRESY</t>
        </is>
      </c>
      <c r="G3277" s="6" t="n">
        <v>100</v>
      </c>
      <c r="H3277" s="6" t="n">
        <v>-680.303</v>
      </c>
      <c r="I3277" s="7">
        <f>-H3277/G3277</f>
        <v/>
      </c>
      <c r="J3277" s="11" t="n">
        <v>44708</v>
      </c>
      <c r="K3277" s="6" t="n">
        <v>100</v>
      </c>
      <c r="L3277" s="6" t="n">
        <v>733.71</v>
      </c>
      <c r="M3277" s="7">
        <f>IF(N3277=0,+L3277+H3277,0)</f>
        <v/>
      </c>
      <c r="N3277" s="7">
        <f>IF((+G3277-K3277)=0,0,+G3277-K3277)</f>
        <v/>
      </c>
      <c r="O3277" s="7">
        <f>IF(N3277=0,0,(L3277+H3277)/-N3277)</f>
        <v/>
      </c>
      <c r="P3277" s="7">
        <f>VLOOKUP(OPERAC[[#This Row],[especie]],[1]!ESPECIES[#All],6,0)</f>
        <v/>
      </c>
      <c r="Q3277" s="7">
        <f>IF(N3277&lt;&gt;0,P3277*N3277,0)</f>
        <v/>
      </c>
      <c r="R3277" s="8">
        <f>IF(Q3277&lt;&gt;0,Q3277+H3277+L3277,0)</f>
        <v/>
      </c>
      <c r="S3277" s="9">
        <f>VLOOKUP(OPERAC[[#This Row],[especie]],[1]!ESPECIES[#Data],9,FALSE)</f>
        <v/>
      </c>
    </row>
    <row r="3278">
      <c r="A3278" s="4" t="n">
        <v>16833</v>
      </c>
      <c r="B3278" s="5" t="n">
        <v>44718</v>
      </c>
      <c r="C3278" s="13" t="inlineStr">
        <is>
          <t>CPR</t>
        </is>
      </c>
      <c r="D3278" s="13" t="n">
        <v>32</v>
      </c>
      <c r="E3278" s="10">
        <f>IF(D3278&gt;0,VLOOKUP(OPERAC[[#This Row],[COD CART]],[1]!MatrizCortoLargoCyl[#All],3,0),"")</f>
        <v/>
      </c>
      <c r="F3278" s="13" t="inlineStr">
        <is>
          <t>HMY/CYL/4,00/15-07-22</t>
        </is>
      </c>
      <c r="G3278" s="6" t="n">
        <v>200</v>
      </c>
      <c r="H3278" s="6" t="n">
        <v>-681.109</v>
      </c>
      <c r="I3278" s="7">
        <f>-H3278/G3278</f>
        <v/>
      </c>
      <c r="J3278" s="5" t="n"/>
      <c r="K3278" s="6" t="n"/>
      <c r="L3278" s="6" t="n"/>
      <c r="M3278" s="7">
        <f>IF(N3278=0,+L3278+H3278,0)</f>
        <v/>
      </c>
      <c r="N3278" s="7">
        <f>IF((+G3278-K3278)=0,0,+G3278-K3278)</f>
        <v/>
      </c>
      <c r="O3278" s="7">
        <f>IF(N3278=0,0,(L3278+H3278)/-N3278)</f>
        <v/>
      </c>
      <c r="P3278" s="7">
        <f>VLOOKUP(OPERAC[[#This Row],[especie]],[1]!ESPECIES[#All],6,0)</f>
        <v/>
      </c>
      <c r="Q3278" s="7">
        <f>IF(N3278&lt;&gt;0,P3278*N3278,0)</f>
        <v/>
      </c>
      <c r="R3278" s="8">
        <f>IF(Q3278&lt;&gt;0,Q3278+H3278+L3278,0)</f>
        <v/>
      </c>
      <c r="S3278" s="9">
        <f>VLOOKUP(OPERAC[[#This Row],[especie]],[1]!ESPECIES[#Data],9,FALSE)</f>
        <v/>
      </c>
    </row>
    <row r="3279">
      <c r="A3279" s="4" t="n">
        <v>13253</v>
      </c>
      <c r="B3279" s="5" t="n">
        <v>44722</v>
      </c>
      <c r="C3279" s="13" t="inlineStr">
        <is>
          <t>CPR</t>
        </is>
      </c>
      <c r="D3279" s="13" t="n">
        <v>32</v>
      </c>
      <c r="E3279" s="10">
        <f>IF(D3279&gt;0,VLOOKUP(OPERAC[[#This Row],[COD CART]],[1]!MatrizCortoLargoCyl[#All],3,0),"")</f>
        <v/>
      </c>
      <c r="F3279" s="13" t="inlineStr">
        <is>
          <t>COTY/CYL/7,00/17-06-22</t>
        </is>
      </c>
      <c r="G3279" s="6" t="n">
        <v>100</v>
      </c>
      <c r="H3279" s="6" t="n">
        <v>-681.46</v>
      </c>
      <c r="I3279" s="7">
        <f>-H3279/G3279</f>
        <v/>
      </c>
      <c r="J3279" s="5" t="n"/>
      <c r="K3279" s="6" t="n"/>
      <c r="L3279" s="6" t="n"/>
      <c r="M3279" s="7">
        <f>IF(N3279=0,+L3279+H3279,0)</f>
        <v/>
      </c>
      <c r="N3279" s="7">
        <f>IF((+G3279-K3279)=0,0,+G3279-K3279)</f>
        <v/>
      </c>
      <c r="O3279" s="7">
        <f>IF(N3279=0,0,(L3279+H3279)/-N3279)</f>
        <v/>
      </c>
      <c r="P3279" s="7">
        <f>VLOOKUP(OPERAC[[#This Row],[especie]],[1]!ESPECIES[#All],6,0)</f>
        <v/>
      </c>
      <c r="Q3279" s="7">
        <f>IF(N3279&lt;&gt;0,P3279*N3279,0)</f>
        <v/>
      </c>
      <c r="R3279" s="8">
        <f>IF(Q3279&lt;&gt;0,Q3279+H3279+L3279,0)</f>
        <v/>
      </c>
      <c r="S3279" s="9">
        <f>VLOOKUP(OPERAC[[#This Row],[especie]],[1]!ESPECIES[#Data],9,FALSE)</f>
        <v/>
      </c>
    </row>
    <row r="3280">
      <c r="A3280" s="4" t="n">
        <v>2194</v>
      </c>
      <c r="B3280" s="5" t="n">
        <v>44446</v>
      </c>
      <c r="C3280" s="13" t="inlineStr">
        <is>
          <t>CPR</t>
        </is>
      </c>
      <c r="D3280" s="13" t="n">
        <v>32</v>
      </c>
      <c r="E3280" s="10">
        <f>IF(D3280&gt;0,VLOOKUP(OPERAC[[#This Row],[COD CART]],[1]!MatrizCortoLargoCyl[#All],3,0),"")</f>
        <v/>
      </c>
      <c r="F3280" s="13" t="inlineStr">
        <is>
          <t>INO/CYL/8,00/18-02-22</t>
        </is>
      </c>
      <c r="G3280" s="6" t="n">
        <v>100</v>
      </c>
      <c r="H3280" s="6">
        <f>-758.932+27.502+30.172+14.579+4.707</f>
        <v/>
      </c>
      <c r="I3280" s="7">
        <f>-H3280/G3280</f>
        <v/>
      </c>
      <c r="J3280" s="11" t="n">
        <v>44596</v>
      </c>
      <c r="K3280" s="6" t="n">
        <v>100</v>
      </c>
      <c r="L3280" s="6">
        <f>3.665*OPERAC[[#This Row],[cantidad venta]]</f>
        <v/>
      </c>
      <c r="M3280" s="7">
        <f>IF(N3280=0,+L3280+H3280,0)</f>
        <v/>
      </c>
      <c r="N3280" s="7">
        <f>IF((+G3280-K3280)=0,0,+G3280-K3280)</f>
        <v/>
      </c>
      <c r="O3280" s="7">
        <f>IF(N3280=0,0,(L3280+H3280)/-N3280)</f>
        <v/>
      </c>
      <c r="P3280" s="7">
        <f>VLOOKUP(OPERAC[[#This Row],[especie]],[1]!ESPECIES[#All],6,0)</f>
        <v/>
      </c>
      <c r="Q3280" s="7">
        <f>IF(N3280&lt;&gt;0,P3280*N3280,0)</f>
        <v/>
      </c>
      <c r="R3280" s="8">
        <f>IF(Q3280&lt;&gt;0,Q3280+H3280+L3280,0)</f>
        <v/>
      </c>
      <c r="S3280" s="9">
        <f>VLOOKUP(OPERAC[[#This Row],[especie]],[1]!ESPECIES[#Data],9,FALSE)</f>
        <v/>
      </c>
    </row>
    <row r="3281">
      <c r="A3281" s="4" t="n">
        <v>2289</v>
      </c>
      <c r="B3281" s="5" t="n">
        <v>44446</v>
      </c>
      <c r="C3281" s="13" t="inlineStr">
        <is>
          <t>CPR</t>
        </is>
      </c>
      <c r="D3281" s="13" t="n">
        <v>32</v>
      </c>
      <c r="E3281" s="10">
        <f>IF(D3281&gt;0,VLOOKUP(OPERAC[[#This Row],[COD CART]],[1]!MatrizCortoLargoCyl[#All],3,0),"")</f>
        <v/>
      </c>
      <c r="F3281" s="13" t="inlineStr">
        <is>
          <t>INO/CYL/8,00/18-02-22</t>
        </is>
      </c>
      <c r="G3281" s="6" t="n">
        <v>100</v>
      </c>
      <c r="H3281" s="6">
        <f>-758.932+27.502+30.172+14.579+4.707</f>
        <v/>
      </c>
      <c r="I3281" s="7">
        <f>-H3281/G3281</f>
        <v/>
      </c>
      <c r="J3281" s="11" t="n">
        <v>44596</v>
      </c>
      <c r="K3281" s="6" t="n">
        <v>100</v>
      </c>
      <c r="L3281" s="6">
        <f>3.665*OPERAC[[#This Row],[cantidad venta]]</f>
        <v/>
      </c>
      <c r="M3281" s="7">
        <f>IF(N3281=0,+L3281+H3281,0)</f>
        <v/>
      </c>
      <c r="N3281" s="7">
        <f>IF((+G3281-K3281)=0,0,+G3281-K3281)</f>
        <v/>
      </c>
      <c r="O3281" s="7">
        <f>IF(N3281=0,0,(L3281+H3281)/-N3281)</f>
        <v/>
      </c>
      <c r="P3281" s="7">
        <f>VLOOKUP(OPERAC[[#This Row],[especie]],[1]!ESPECIES[#All],6,0)</f>
        <v/>
      </c>
      <c r="Q3281" s="7">
        <f>IF(N3281&lt;&gt;0,P3281*N3281,0)</f>
        <v/>
      </c>
      <c r="R3281" s="8">
        <f>IF(Q3281&lt;&gt;0,Q3281+H3281+L3281,0)</f>
        <v/>
      </c>
      <c r="S3281" s="9">
        <f>VLOOKUP(OPERAC[[#This Row],[especie]],[1]!ESPECIES[#Data],9,FALSE)</f>
        <v/>
      </c>
    </row>
    <row r="3282">
      <c r="A3282" s="4" t="n">
        <v>3823</v>
      </c>
      <c r="B3282" s="5" t="n">
        <v>44446</v>
      </c>
      <c r="C3282" s="13" t="inlineStr">
        <is>
          <t>CPR</t>
        </is>
      </c>
      <c r="D3282" s="13" t="n">
        <v>32</v>
      </c>
      <c r="E3282" s="10">
        <f>IF(D3282&gt;0,VLOOKUP(OPERAC[[#This Row],[COD CART]],[1]!MatrizCortoLargoCyl[#All],3,0),"")</f>
        <v/>
      </c>
      <c r="F3282" s="13" t="inlineStr">
        <is>
          <t>INO/CYL/8,00/18-02-22</t>
        </is>
      </c>
      <c r="G3282" s="6" t="n">
        <v>100</v>
      </c>
      <c r="H3282" s="6">
        <f>-758.932+27.502+30.172+14.579+4.707</f>
        <v/>
      </c>
      <c r="I3282" s="7">
        <f>-H3282/G3282</f>
        <v/>
      </c>
      <c r="J3282" s="11" t="n">
        <v>44596</v>
      </c>
      <c r="K3282" s="6" t="n">
        <v>100</v>
      </c>
      <c r="L3282" s="6">
        <f>3.665*OPERAC[[#This Row],[cantidad venta]]</f>
        <v/>
      </c>
      <c r="M3282" s="7">
        <f>IF(N3282=0,+L3282+H3282,0)</f>
        <v/>
      </c>
      <c r="N3282" s="7">
        <f>IF((+G3282-K3282)=0,0,+G3282-K3282)</f>
        <v/>
      </c>
      <c r="O3282" s="7">
        <f>IF(N3282=0,0,(L3282+H3282)/-N3282)</f>
        <v/>
      </c>
      <c r="P3282" s="7">
        <f>VLOOKUP(OPERAC[[#This Row],[especie]],[1]!ESPECIES[#All],6,0)</f>
        <v/>
      </c>
      <c r="Q3282" s="7">
        <f>IF(N3282&lt;&gt;0,P3282*N3282,0)</f>
        <v/>
      </c>
      <c r="R3282" s="8">
        <f>IF(Q3282&lt;&gt;0,Q3282+H3282+L3282,0)</f>
        <v/>
      </c>
      <c r="S3282" s="9">
        <f>VLOOKUP(OPERAC[[#This Row],[especie]],[1]!ESPECIES[#Data],9,FALSE)</f>
        <v/>
      </c>
    </row>
    <row r="3283">
      <c r="A3283" s="4" t="n">
        <v>4543</v>
      </c>
      <c r="B3283" s="5" t="n">
        <v>44446</v>
      </c>
      <c r="C3283" s="13" t="inlineStr">
        <is>
          <t>CPR</t>
        </is>
      </c>
      <c r="D3283" s="13" t="n">
        <v>32</v>
      </c>
      <c r="E3283" s="10">
        <f>IF(D3283&gt;0,VLOOKUP(OPERAC[[#This Row],[COD CART]],[1]!MatrizCortoLargoCyl[#All],3,0),"")</f>
        <v/>
      </c>
      <c r="F3283" s="13" t="inlineStr">
        <is>
          <t>INO/CYL/8,00/18-02-22</t>
        </is>
      </c>
      <c r="G3283" s="6" t="n">
        <v>100</v>
      </c>
      <c r="H3283" s="6">
        <f>-758.932+27.502+30.172+14.579+4.707</f>
        <v/>
      </c>
      <c r="I3283" s="7">
        <f>-H3283/G3283</f>
        <v/>
      </c>
      <c r="J3283" s="11" t="n">
        <v>44596</v>
      </c>
      <c r="K3283" s="6" t="n">
        <v>100</v>
      </c>
      <c r="L3283" s="6">
        <f>3.665*OPERAC[[#This Row],[cantidad venta]]</f>
        <v/>
      </c>
      <c r="M3283" s="7">
        <f>IF(N3283=0,+L3283+H3283,0)</f>
        <v/>
      </c>
      <c r="N3283" s="7">
        <f>IF((+G3283-K3283)=0,0,+G3283-K3283)</f>
        <v/>
      </c>
      <c r="O3283" s="7">
        <f>IF(N3283=0,0,(L3283+H3283)/-N3283)</f>
        <v/>
      </c>
      <c r="P3283" s="7">
        <f>VLOOKUP(OPERAC[[#This Row],[especie]],[1]!ESPECIES[#All],6,0)</f>
        <v/>
      </c>
      <c r="Q3283" s="7">
        <f>IF(N3283&lt;&gt;0,P3283*N3283,0)</f>
        <v/>
      </c>
      <c r="R3283" s="8">
        <f>IF(Q3283&lt;&gt;0,Q3283+H3283+L3283,0)</f>
        <v/>
      </c>
      <c r="S3283" s="9">
        <f>VLOOKUP(OPERAC[[#This Row],[especie]],[1]!ESPECIES[#Data],9,FALSE)</f>
        <v/>
      </c>
    </row>
    <row r="3284">
      <c r="A3284" s="4" t="n">
        <v>6578</v>
      </c>
      <c r="B3284" s="5" t="n">
        <v>44446</v>
      </c>
      <c r="C3284" s="13" t="inlineStr">
        <is>
          <t>CPR</t>
        </is>
      </c>
      <c r="D3284" s="13" t="n">
        <v>32</v>
      </c>
      <c r="E3284" s="10">
        <f>IF(D3284&gt;0,VLOOKUP(OPERAC[[#This Row],[COD CART]],[1]!MatrizCortoLargoCyl[#All],3,0),"")</f>
        <v/>
      </c>
      <c r="F3284" s="13" t="inlineStr">
        <is>
          <t>INO/CYL/8,00/18-02-22</t>
        </is>
      </c>
      <c r="G3284" s="6" t="n">
        <v>100</v>
      </c>
      <c r="H3284" s="6">
        <f>-758.932+27.502+30.172+14.579+4.707</f>
        <v/>
      </c>
      <c r="I3284" s="7">
        <f>-H3284/G3284</f>
        <v/>
      </c>
      <c r="J3284" s="11" t="n">
        <v>44595</v>
      </c>
      <c r="K3284" s="6" t="n">
        <v>100</v>
      </c>
      <c r="L3284" s="6">
        <f>+OPERAC[[#This Row],[cantidad venta]]*3.599</f>
        <v/>
      </c>
      <c r="M3284" s="7">
        <f>IF(N3284=0,+L3284+H3284,0)</f>
        <v/>
      </c>
      <c r="N3284" s="7">
        <f>IF((+G3284-K3284)=0,0,+G3284-K3284)</f>
        <v/>
      </c>
      <c r="O3284" s="7">
        <f>IF(N3284=0,0,(L3284+H3284)/-N3284)</f>
        <v/>
      </c>
      <c r="P3284" s="7">
        <f>VLOOKUP(OPERAC[[#This Row],[especie]],[1]!ESPECIES[#All],6,0)</f>
        <v/>
      </c>
      <c r="Q3284" s="7">
        <f>IF(N3284&lt;&gt;0,P3284*N3284,0)</f>
        <v/>
      </c>
      <c r="R3284" s="8">
        <f>IF(Q3284&lt;&gt;0,Q3284+H3284+L3284,0)</f>
        <v/>
      </c>
      <c r="S3284" s="9">
        <f>VLOOKUP(OPERAC[[#This Row],[especie]],[1]!ESPECIES[#Data],9,FALSE)</f>
        <v/>
      </c>
    </row>
    <row r="3285">
      <c r="A3285" s="4" t="n">
        <v>7867</v>
      </c>
      <c r="B3285" s="5" t="n">
        <v>44446</v>
      </c>
      <c r="C3285" s="13" t="inlineStr">
        <is>
          <t>CPR</t>
        </is>
      </c>
      <c r="D3285" s="13" t="n">
        <v>32</v>
      </c>
      <c r="E3285" s="10">
        <f>IF(D3285&gt;0,VLOOKUP(OPERAC[[#This Row],[COD CART]],[1]!MatrizCortoLargoCyl[#All],3,0),"")</f>
        <v/>
      </c>
      <c r="F3285" s="13" t="inlineStr">
        <is>
          <t>INO/CYL/8,00/18-02-22</t>
        </is>
      </c>
      <c r="G3285" s="6" t="n">
        <v>100</v>
      </c>
      <c r="H3285" s="6">
        <f>-758.932+27.502+30.172+14.579+4.707</f>
        <v/>
      </c>
      <c r="I3285" s="7">
        <f>-H3285/G3285</f>
        <v/>
      </c>
      <c r="J3285" s="11" t="n">
        <v>44585</v>
      </c>
      <c r="K3285" s="6" t="n">
        <v>100</v>
      </c>
      <c r="L3285" s="6" t="n">
        <v>350.03</v>
      </c>
      <c r="M3285" s="7">
        <f>IF(N3285=0,+L3285+H3285,0)</f>
        <v/>
      </c>
      <c r="N3285" s="7">
        <f>IF((+G3285-K3285)=0,0,+G3285-K3285)</f>
        <v/>
      </c>
      <c r="O3285" s="7">
        <f>IF(N3285=0,0,(L3285+H3285)/-N3285)</f>
        <v/>
      </c>
      <c r="P3285" s="7">
        <f>VLOOKUP(OPERAC[[#This Row],[especie]],[1]!ESPECIES[#All],6,0)</f>
        <v/>
      </c>
      <c r="Q3285" s="7">
        <f>IF(N3285&lt;&gt;0,P3285*N3285,0)</f>
        <v/>
      </c>
      <c r="R3285" s="8">
        <f>IF(Q3285&lt;&gt;0,Q3285+H3285+L3285,0)</f>
        <v/>
      </c>
      <c r="S3285" s="9">
        <f>VLOOKUP(OPERAC[[#This Row],[especie]],[1]!ESPECIES[#Data],9,FALSE)</f>
        <v/>
      </c>
    </row>
    <row r="3286">
      <c r="A3286" s="4" t="n">
        <v>11170</v>
      </c>
      <c r="B3286" s="5" t="n">
        <v>44446</v>
      </c>
      <c r="C3286" s="13" t="inlineStr">
        <is>
          <t>CPR</t>
        </is>
      </c>
      <c r="D3286" s="13" t="n">
        <v>32</v>
      </c>
      <c r="E3286" s="10">
        <f>IF(D3286&gt;0,VLOOKUP(OPERAC[[#This Row],[COD CART]],[1]!MatrizCortoLargoCyl[#All],3,0),"")</f>
        <v/>
      </c>
      <c r="F3286" s="13" t="inlineStr">
        <is>
          <t>INO/CYL/8,00/18-02-22</t>
        </is>
      </c>
      <c r="G3286" s="6" t="n">
        <v>100</v>
      </c>
      <c r="H3286" s="6">
        <f>-758.932+27.502+30.172+14.579+4.707</f>
        <v/>
      </c>
      <c r="I3286" s="7">
        <f>-H3286/G3286</f>
        <v/>
      </c>
      <c r="J3286" s="11" t="n">
        <v>44596</v>
      </c>
      <c r="K3286" s="6" t="n">
        <v>100</v>
      </c>
      <c r="L3286" s="6">
        <f>3.665*OPERAC[[#This Row],[cantidad venta]]</f>
        <v/>
      </c>
      <c r="M3286" s="7">
        <f>IF(N3286=0,+L3286+H3286,0)</f>
        <v/>
      </c>
      <c r="N3286" s="7">
        <f>IF((+G3286-K3286)=0,0,+G3286-K3286)</f>
        <v/>
      </c>
      <c r="O3286" s="7">
        <f>IF(N3286=0,0,(L3286+H3286)/-N3286)</f>
        <v/>
      </c>
      <c r="P3286" s="7">
        <f>VLOOKUP(OPERAC[[#This Row],[especie]],[1]!ESPECIES[#All],6,0)</f>
        <v/>
      </c>
      <c r="Q3286" s="7">
        <f>IF(N3286&lt;&gt;0,P3286*N3286,0)</f>
        <v/>
      </c>
      <c r="R3286" s="8">
        <f>IF(Q3286&lt;&gt;0,Q3286+H3286+L3286,0)</f>
        <v/>
      </c>
      <c r="S3286" s="9">
        <f>VLOOKUP(OPERAC[[#This Row],[especie]],[1]!ESPECIES[#Data],9,FALSE)</f>
        <v/>
      </c>
    </row>
    <row r="3287">
      <c r="A3287" s="4" t="n">
        <v>12674</v>
      </c>
      <c r="B3287" s="5" t="n">
        <v>44446</v>
      </c>
      <c r="C3287" s="13" t="inlineStr">
        <is>
          <t>CPR</t>
        </is>
      </c>
      <c r="D3287" s="13" t="n">
        <v>32</v>
      </c>
      <c r="E3287" s="10">
        <f>IF(D3287&gt;0,VLOOKUP(OPERAC[[#This Row],[COD CART]],[1]!MatrizCortoLargoCyl[#All],3,0),"")</f>
        <v/>
      </c>
      <c r="F3287" s="13" t="inlineStr">
        <is>
          <t>INO/CYL/8,00/18-02-22</t>
        </is>
      </c>
      <c r="G3287" s="6" t="n">
        <v>100</v>
      </c>
      <c r="H3287" s="6">
        <f>-758.932+27.502+30.172+14.579+4.707</f>
        <v/>
      </c>
      <c r="I3287" s="7">
        <f>-H3287/G3287</f>
        <v/>
      </c>
      <c r="J3287" s="11" t="n">
        <v>44596</v>
      </c>
      <c r="K3287" s="6" t="n">
        <v>100</v>
      </c>
      <c r="L3287" s="6">
        <f>3.665*OPERAC[[#This Row],[cantidad venta]]</f>
        <v/>
      </c>
      <c r="M3287" s="7">
        <f>IF(N3287=0,+L3287+H3287,0)</f>
        <v/>
      </c>
      <c r="N3287" s="7">
        <f>IF((+G3287-K3287)=0,0,+G3287-K3287)</f>
        <v/>
      </c>
      <c r="O3287" s="7">
        <f>IF(N3287=0,0,(L3287+H3287)/-N3287)</f>
        <v/>
      </c>
      <c r="P3287" s="7">
        <f>VLOOKUP(OPERAC[[#This Row],[especie]],[1]!ESPECIES[#All],6,0)</f>
        <v/>
      </c>
      <c r="Q3287" s="7">
        <f>IF(N3287&lt;&gt;0,P3287*N3287,0)</f>
        <v/>
      </c>
      <c r="R3287" s="8">
        <f>IF(Q3287&lt;&gt;0,Q3287+H3287+L3287,0)</f>
        <v/>
      </c>
      <c r="S3287" s="9">
        <f>VLOOKUP(OPERAC[[#This Row],[especie]],[1]!ESPECIES[#Data],9,FALSE)</f>
        <v/>
      </c>
    </row>
    <row r="3288">
      <c r="A3288" s="4" t="n">
        <v>18662</v>
      </c>
      <c r="B3288" s="5" t="n">
        <v>44446</v>
      </c>
      <c r="C3288" s="13" t="inlineStr">
        <is>
          <t>CPR</t>
        </is>
      </c>
      <c r="D3288" s="13" t="n">
        <v>32</v>
      </c>
      <c r="E3288" s="10">
        <f>IF(D3288&gt;0,VLOOKUP(OPERAC[[#This Row],[COD CART]],[1]!MatrizCortoLargoCyl[#All],3,0),"")</f>
        <v/>
      </c>
      <c r="F3288" s="13" t="inlineStr">
        <is>
          <t>INO/CYL/8,00/18-02-22</t>
        </is>
      </c>
      <c r="G3288" s="6" t="n">
        <v>100</v>
      </c>
      <c r="H3288" s="6">
        <f>-758.932+27.502+30.172+14.579+4.707</f>
        <v/>
      </c>
      <c r="I3288" s="7">
        <f>-H3288/G3288</f>
        <v/>
      </c>
      <c r="J3288" s="11" t="n">
        <v>44596</v>
      </c>
      <c r="K3288" s="6" t="n">
        <v>100</v>
      </c>
      <c r="L3288" s="6">
        <f>3.665*OPERAC[[#This Row],[cantidad venta]]</f>
        <v/>
      </c>
      <c r="M3288" s="7">
        <f>IF(N3288=0,+L3288+H3288,0)</f>
        <v/>
      </c>
      <c r="N3288" s="7">
        <f>IF((+G3288-K3288)=0,0,+G3288-K3288)</f>
        <v/>
      </c>
      <c r="O3288" s="7">
        <f>IF(N3288=0,0,(L3288+H3288)/-N3288)</f>
        <v/>
      </c>
      <c r="P3288" s="7">
        <f>VLOOKUP(OPERAC[[#This Row],[especie]],[1]!ESPECIES[#All],6,0)</f>
        <v/>
      </c>
      <c r="Q3288" s="7">
        <f>IF(N3288&lt;&gt;0,P3288*N3288,0)</f>
        <v/>
      </c>
      <c r="R3288" s="8">
        <f>IF(Q3288&lt;&gt;0,Q3288+H3288+L3288,0)</f>
        <v/>
      </c>
      <c r="S3288" s="9">
        <f>VLOOKUP(OPERAC[[#This Row],[especie]],[1]!ESPECIES[#Data],9,FALSE)</f>
        <v/>
      </c>
    </row>
    <row r="3289">
      <c r="A3289" s="4" t="n">
        <v>18703</v>
      </c>
      <c r="B3289" s="5" t="n">
        <v>44446</v>
      </c>
      <c r="C3289" s="13" t="inlineStr">
        <is>
          <t>CPR</t>
        </is>
      </c>
      <c r="D3289" s="13" t="n">
        <v>32</v>
      </c>
      <c r="E3289" s="10">
        <f>IF(D3289&gt;0,VLOOKUP(OPERAC[[#This Row],[COD CART]],[1]!MatrizCortoLargoCyl[#All],3,0),"")</f>
        <v/>
      </c>
      <c r="F3289" s="13" t="inlineStr">
        <is>
          <t>INO/CYL/8,00/18-02-22</t>
        </is>
      </c>
      <c r="G3289" s="6" t="n">
        <v>100</v>
      </c>
      <c r="H3289" s="6">
        <f>-758.932+27.502+30.172+14.579+4.707</f>
        <v/>
      </c>
      <c r="I3289" s="7">
        <f>-H3289/G3289</f>
        <v/>
      </c>
      <c r="J3289" s="11" t="n">
        <v>44596</v>
      </c>
      <c r="K3289" s="6" t="n">
        <v>100</v>
      </c>
      <c r="L3289" s="6">
        <f>3.665*OPERAC[[#This Row],[cantidad venta]]</f>
        <v/>
      </c>
      <c r="M3289" s="7">
        <f>IF(N3289=0,+L3289+H3289,0)</f>
        <v/>
      </c>
      <c r="N3289" s="7">
        <f>IF((+G3289-K3289)=0,0,+G3289-K3289)</f>
        <v/>
      </c>
      <c r="O3289" s="7">
        <f>IF(N3289=0,0,(L3289+H3289)/-N3289)</f>
        <v/>
      </c>
      <c r="P3289" s="7">
        <f>VLOOKUP(OPERAC[[#This Row],[especie]],[1]!ESPECIES[#All],6,0)</f>
        <v/>
      </c>
      <c r="Q3289" s="7">
        <f>IF(N3289&lt;&gt;0,P3289*N3289,0)</f>
        <v/>
      </c>
      <c r="R3289" s="8">
        <f>IF(Q3289&lt;&gt;0,Q3289+H3289+L3289,0)</f>
        <v/>
      </c>
      <c r="S3289" s="9">
        <f>VLOOKUP(OPERAC[[#This Row],[especie]],[1]!ESPECIES[#Data],9,FALSE)</f>
        <v/>
      </c>
    </row>
    <row r="3290">
      <c r="A3290" s="4" t="n">
        <v>22439</v>
      </c>
      <c r="B3290" s="5" t="n">
        <v>44446</v>
      </c>
      <c r="C3290" s="13" t="inlineStr">
        <is>
          <t>CPR</t>
        </is>
      </c>
      <c r="D3290" s="13" t="n">
        <v>32</v>
      </c>
      <c r="E3290" s="10">
        <f>IF(D3290&gt;0,VLOOKUP(OPERAC[[#This Row],[COD CART]],[1]!MatrizCortoLargoCyl[#All],3,0),"")</f>
        <v/>
      </c>
      <c r="F3290" s="13" t="inlineStr">
        <is>
          <t>INO/CYL/8,00/18-02-22</t>
        </is>
      </c>
      <c r="G3290" s="6" t="n">
        <v>100</v>
      </c>
      <c r="H3290" s="6">
        <f>-758.932+27.502+30.172+14.579+4.707</f>
        <v/>
      </c>
      <c r="I3290" s="7">
        <f>-H3290/G3290</f>
        <v/>
      </c>
      <c r="J3290" s="11" t="n">
        <v>44596</v>
      </c>
      <c r="K3290" s="6" t="n">
        <v>100</v>
      </c>
      <c r="L3290" s="6">
        <f>3.665*OPERAC[[#This Row],[cantidad venta]]</f>
        <v/>
      </c>
      <c r="M3290" s="7">
        <f>IF(N3290=0,+L3290+H3290,0)</f>
        <v/>
      </c>
      <c r="N3290" s="7">
        <f>IF((+G3290-K3290)=0,0,+G3290-K3290)</f>
        <v/>
      </c>
      <c r="O3290" s="7">
        <f>IF(N3290=0,0,(L3290+H3290)/-N3290)</f>
        <v/>
      </c>
      <c r="P3290" s="7">
        <f>VLOOKUP(OPERAC[[#This Row],[especie]],[1]!ESPECIES[#All],6,0)</f>
        <v/>
      </c>
      <c r="Q3290" s="7">
        <f>IF(N3290&lt;&gt;0,P3290*N3290,0)</f>
        <v/>
      </c>
      <c r="R3290" s="8">
        <f>IF(Q3290&lt;&gt;0,Q3290+H3290+L3290,0)</f>
        <v/>
      </c>
      <c r="S3290" s="9">
        <f>VLOOKUP(OPERAC[[#This Row],[especie]],[1]!ESPECIES[#Data],9,FALSE)</f>
        <v/>
      </c>
    </row>
    <row r="3291">
      <c r="A3291" s="4" t="n">
        <v>3823</v>
      </c>
      <c r="B3291" s="5" t="n">
        <v>44616</v>
      </c>
      <c r="C3291" s="13" t="inlineStr">
        <is>
          <t>CPR</t>
        </is>
      </c>
      <c r="D3291" s="13" t="n">
        <v>32</v>
      </c>
      <c r="E3291" s="10">
        <f>IF(D3291&gt;0,VLOOKUP(OPERAC[[#This Row],[COD CART]],[1]!MatrizCortoLargoCyl[#All],3,0),"")</f>
        <v/>
      </c>
      <c r="F3291" s="13" t="inlineStr">
        <is>
          <t>UUUU/CYL/8,00/18-03-22</t>
        </is>
      </c>
      <c r="G3291" s="6" t="n">
        <v>100</v>
      </c>
      <c r="H3291" s="6" t="n">
        <v>-683.826</v>
      </c>
      <c r="I3291" s="7">
        <f>-H3291/G3291</f>
        <v/>
      </c>
      <c r="J3291" s="11" t="n">
        <v>44636</v>
      </c>
      <c r="K3291" s="6">
        <f>+OPERAC[[#This Row],[cantidad]]</f>
        <v/>
      </c>
      <c r="L3291" s="6" t="n">
        <v>767.46</v>
      </c>
      <c r="M3291" s="7">
        <f>IF(N3291=0,+L3291+H3291,0)</f>
        <v/>
      </c>
      <c r="N3291" s="7">
        <f>IF((+G3291-K3291)=0,0,+G3291-K3291)</f>
        <v/>
      </c>
      <c r="O3291" s="7">
        <f>IF(N3291=0,0,(L3291+H3291)/-N3291)</f>
        <v/>
      </c>
      <c r="P3291" s="7">
        <f>VLOOKUP(OPERAC[[#This Row],[especie]],[1]!ESPECIES[#All],6,0)</f>
        <v/>
      </c>
      <c r="Q3291" s="7">
        <f>IF(N3291&lt;&gt;0,P3291*N3291,0)</f>
        <v/>
      </c>
      <c r="R3291" s="8">
        <f>IF(Q3291&lt;&gt;0,Q3291+H3291+L3291,0)</f>
        <v/>
      </c>
      <c r="S3291" s="9">
        <f>VLOOKUP(OPERAC[[#This Row],[especie]],[1]!ESPECIES[#Data],9,FALSE)</f>
        <v/>
      </c>
    </row>
    <row r="3292">
      <c r="A3292" s="4" t="n">
        <v>7916</v>
      </c>
      <c r="B3292" s="5" t="n">
        <v>44616</v>
      </c>
      <c r="C3292" s="13" t="inlineStr">
        <is>
          <t>CPR</t>
        </is>
      </c>
      <c r="D3292" s="13" t="n">
        <v>32</v>
      </c>
      <c r="E3292" s="10">
        <f>IF(D3292&gt;0,VLOOKUP(OPERAC[[#This Row],[COD CART]],[1]!MatrizCortoLargoCyl[#All],3,0),"")</f>
        <v/>
      </c>
      <c r="F3292" s="13" t="inlineStr">
        <is>
          <t>UUUU/CYL/8,00/18-03-22</t>
        </is>
      </c>
      <c r="G3292" s="6" t="n">
        <v>100</v>
      </c>
      <c r="H3292" s="6" t="n">
        <v>-683.826</v>
      </c>
      <c r="I3292" s="7">
        <f>-H3292/G3292</f>
        <v/>
      </c>
      <c r="J3292" s="11" t="n">
        <v>44636</v>
      </c>
      <c r="K3292" s="6">
        <f>+OPERAC[[#This Row],[cantidad]]</f>
        <v/>
      </c>
      <c r="L3292" s="6" t="n">
        <v>767.46</v>
      </c>
      <c r="M3292" s="7">
        <f>IF(N3292=0,+L3292+H3292,0)</f>
        <v/>
      </c>
      <c r="N3292" s="7">
        <f>IF((+G3292-K3292)=0,0,+G3292-K3292)</f>
        <v/>
      </c>
      <c r="O3292" s="7">
        <f>IF(N3292=0,0,(L3292+H3292)/-N3292)</f>
        <v/>
      </c>
      <c r="P3292" s="7">
        <f>VLOOKUP(OPERAC[[#This Row],[especie]],[1]!ESPECIES[#All],6,0)</f>
        <v/>
      </c>
      <c r="Q3292" s="7">
        <f>IF(N3292&lt;&gt;0,P3292*N3292,0)</f>
        <v/>
      </c>
      <c r="R3292" s="8">
        <f>IF(Q3292&lt;&gt;0,Q3292+H3292+L3292,0)</f>
        <v/>
      </c>
      <c r="S3292" s="9">
        <f>VLOOKUP(OPERAC[[#This Row],[especie]],[1]!ESPECIES[#Data],9,FALSE)</f>
        <v/>
      </c>
    </row>
    <row r="3293">
      <c r="A3293" s="4" t="n">
        <v>12619</v>
      </c>
      <c r="B3293" s="5" t="n">
        <v>44616</v>
      </c>
      <c r="C3293" s="13" t="inlineStr">
        <is>
          <t>CPR</t>
        </is>
      </c>
      <c r="D3293" s="13" t="n">
        <v>32</v>
      </c>
      <c r="E3293" s="10">
        <f>IF(D3293&gt;0,VLOOKUP(OPERAC[[#This Row],[COD CART]],[1]!MatrizCortoLargoCyl[#All],3,0),"")</f>
        <v/>
      </c>
      <c r="F3293" s="13" t="inlineStr">
        <is>
          <t>UUUU/CYL/8,00/18-03-22</t>
        </is>
      </c>
      <c r="G3293" s="6" t="n">
        <v>100</v>
      </c>
      <c r="H3293" s="6" t="n">
        <v>-683.826</v>
      </c>
      <c r="I3293" s="7">
        <f>-H3293/G3293</f>
        <v/>
      </c>
      <c r="J3293" s="11" t="n">
        <v>44636</v>
      </c>
      <c r="K3293" s="6">
        <f>+OPERAC[[#This Row],[cantidad]]</f>
        <v/>
      </c>
      <c r="L3293" s="6" t="n">
        <v>767.46</v>
      </c>
      <c r="M3293" s="7">
        <f>IF(N3293=0,+L3293+H3293,0)</f>
        <v/>
      </c>
      <c r="N3293" s="7">
        <f>IF((+G3293-K3293)=0,0,+G3293-K3293)</f>
        <v/>
      </c>
      <c r="O3293" s="7">
        <f>IF(N3293=0,0,(L3293+H3293)/-N3293)</f>
        <v/>
      </c>
      <c r="P3293" s="7">
        <f>VLOOKUP(OPERAC[[#This Row],[especie]],[1]!ESPECIES[#All],6,0)</f>
        <v/>
      </c>
      <c r="Q3293" s="7">
        <f>IF(N3293&lt;&gt;0,P3293*N3293,0)</f>
        <v/>
      </c>
      <c r="R3293" s="8">
        <f>IF(Q3293&lt;&gt;0,Q3293+H3293+L3293,0)</f>
        <v/>
      </c>
      <c r="S3293" s="9">
        <f>VLOOKUP(OPERAC[[#This Row],[especie]],[1]!ESPECIES[#Data],9,FALSE)</f>
        <v/>
      </c>
    </row>
    <row r="3294">
      <c r="A3294" s="4" t="n">
        <v>12662</v>
      </c>
      <c r="B3294" s="5" t="n">
        <v>44616</v>
      </c>
      <c r="C3294" s="13" t="inlineStr">
        <is>
          <t>CPR</t>
        </is>
      </c>
      <c r="D3294" s="13" t="n">
        <v>32</v>
      </c>
      <c r="E3294" s="10">
        <f>IF(D3294&gt;0,VLOOKUP(OPERAC[[#This Row],[COD CART]],[1]!MatrizCortoLargoCyl[#All],3,0),"")</f>
        <v/>
      </c>
      <c r="F3294" s="13" t="inlineStr">
        <is>
          <t>UUUU/CYL/8,00/18-03-22</t>
        </is>
      </c>
      <c r="G3294" s="6" t="n">
        <v>100</v>
      </c>
      <c r="H3294" s="6" t="n">
        <v>-683.826</v>
      </c>
      <c r="I3294" s="7">
        <f>-H3294/G3294</f>
        <v/>
      </c>
      <c r="J3294" s="11" t="n">
        <v>44636</v>
      </c>
      <c r="K3294" s="6">
        <f>+OPERAC[[#This Row],[cantidad]]</f>
        <v/>
      </c>
      <c r="L3294" s="6" t="n">
        <v>767.46</v>
      </c>
      <c r="M3294" s="7">
        <f>IF(N3294=0,+L3294+H3294,0)</f>
        <v/>
      </c>
      <c r="N3294" s="7">
        <f>IF((+G3294-K3294)=0,0,+G3294-K3294)</f>
        <v/>
      </c>
      <c r="O3294" s="7">
        <f>IF(N3294=0,0,(L3294+H3294)/-N3294)</f>
        <v/>
      </c>
      <c r="P3294" s="7">
        <f>VLOOKUP(OPERAC[[#This Row],[especie]],[1]!ESPECIES[#All],6,0)</f>
        <v/>
      </c>
      <c r="Q3294" s="7">
        <f>IF(N3294&lt;&gt;0,P3294*N3294,0)</f>
        <v/>
      </c>
      <c r="R3294" s="8">
        <f>IF(Q3294&lt;&gt;0,Q3294+H3294+L3294,0)</f>
        <v/>
      </c>
      <c r="S3294" s="9">
        <f>VLOOKUP(OPERAC[[#This Row],[especie]],[1]!ESPECIES[#Data],9,FALSE)</f>
        <v/>
      </c>
    </row>
    <row r="3295">
      <c r="A3295" s="4" t="n">
        <v>13180</v>
      </c>
      <c r="B3295" s="5" t="n">
        <v>44616</v>
      </c>
      <c r="C3295" s="13" t="inlineStr">
        <is>
          <t>CPR</t>
        </is>
      </c>
      <c r="D3295" s="13" t="n">
        <v>32</v>
      </c>
      <c r="E3295" s="10">
        <f>IF(D3295&gt;0,VLOOKUP(OPERAC[[#This Row],[COD CART]],[1]!MatrizCortoLargoCyl[#All],3,0),"")</f>
        <v/>
      </c>
      <c r="F3295" s="13" t="inlineStr">
        <is>
          <t>UUUU/CYL/8,00/18-03-22</t>
        </is>
      </c>
      <c r="G3295" s="6" t="n">
        <v>100</v>
      </c>
      <c r="H3295" s="6" t="n">
        <v>-683.826</v>
      </c>
      <c r="I3295" s="7">
        <f>-H3295/G3295</f>
        <v/>
      </c>
      <c r="J3295" s="11" t="n">
        <v>44636</v>
      </c>
      <c r="K3295" s="6">
        <f>+OPERAC[[#This Row],[cantidad]]</f>
        <v/>
      </c>
      <c r="L3295" s="6" t="n">
        <v>767.46</v>
      </c>
      <c r="M3295" s="7">
        <f>IF(N3295=0,+L3295+H3295,0)</f>
        <v/>
      </c>
      <c r="N3295" s="7">
        <f>IF((+G3295-K3295)=0,0,+G3295-K3295)</f>
        <v/>
      </c>
      <c r="O3295" s="7">
        <f>IF(N3295=0,0,(L3295+H3295)/-N3295)</f>
        <v/>
      </c>
      <c r="P3295" s="7">
        <f>VLOOKUP(OPERAC[[#This Row],[especie]],[1]!ESPECIES[#All],6,0)</f>
        <v/>
      </c>
      <c r="Q3295" s="7">
        <f>IF(N3295&lt;&gt;0,P3295*N3295,0)</f>
        <v/>
      </c>
      <c r="R3295" s="8">
        <f>IF(Q3295&lt;&gt;0,Q3295+H3295+L3295,0)</f>
        <v/>
      </c>
      <c r="S3295" s="9">
        <f>VLOOKUP(OPERAC[[#This Row],[especie]],[1]!ESPECIES[#Data],9,FALSE)</f>
        <v/>
      </c>
    </row>
    <row r="3296">
      <c r="A3296" s="4" t="n">
        <v>16795</v>
      </c>
      <c r="B3296" s="5" t="n">
        <v>44616</v>
      </c>
      <c r="C3296" s="13" t="inlineStr">
        <is>
          <t>CPR</t>
        </is>
      </c>
      <c r="D3296" s="13" t="n">
        <v>32</v>
      </c>
      <c r="E3296" s="10">
        <f>IF(D3296&gt;0,VLOOKUP(OPERAC[[#This Row],[COD CART]],[1]!MatrizCortoLargoCyl[#All],3,0),"")</f>
        <v/>
      </c>
      <c r="F3296" s="13" t="inlineStr">
        <is>
          <t>UUUU/CYL/8,00/18-03-22</t>
        </is>
      </c>
      <c r="G3296" s="6" t="n">
        <v>100</v>
      </c>
      <c r="H3296" s="6" t="n">
        <v>-683.826</v>
      </c>
      <c r="I3296" s="7">
        <f>-H3296/G3296</f>
        <v/>
      </c>
      <c r="J3296" s="11" t="n">
        <v>44636</v>
      </c>
      <c r="K3296" s="6">
        <f>+OPERAC[[#This Row],[cantidad]]</f>
        <v/>
      </c>
      <c r="L3296" s="6" t="n">
        <v>767.46</v>
      </c>
      <c r="M3296" s="7">
        <f>IF(N3296=0,+L3296+H3296,0)</f>
        <v/>
      </c>
      <c r="N3296" s="7">
        <f>IF((+G3296-K3296)=0,0,+G3296-K3296)</f>
        <v/>
      </c>
      <c r="O3296" s="7">
        <f>IF(N3296=0,0,(L3296+H3296)/-N3296)</f>
        <v/>
      </c>
      <c r="P3296" s="7">
        <f>VLOOKUP(OPERAC[[#This Row],[especie]],[1]!ESPECIES[#All],6,0)</f>
        <v/>
      </c>
      <c r="Q3296" s="7">
        <f>IF(N3296&lt;&gt;0,P3296*N3296,0)</f>
        <v/>
      </c>
      <c r="R3296" s="8">
        <f>IF(Q3296&lt;&gt;0,Q3296+H3296+L3296,0)</f>
        <v/>
      </c>
      <c r="S3296" s="9">
        <f>VLOOKUP(OPERAC[[#This Row],[especie]],[1]!ESPECIES[#Data],9,FALSE)</f>
        <v/>
      </c>
    </row>
    <row r="3297">
      <c r="A3297" s="4" t="n">
        <v>18677</v>
      </c>
      <c r="B3297" s="5" t="n">
        <v>44616</v>
      </c>
      <c r="C3297" s="13" t="inlineStr">
        <is>
          <t>CPR</t>
        </is>
      </c>
      <c r="D3297" s="13" t="n">
        <v>32</v>
      </c>
      <c r="E3297" s="10">
        <f>IF(D3297&gt;0,VLOOKUP(OPERAC[[#This Row],[COD CART]],[1]!MatrizCortoLargoCyl[#All],3,0),"")</f>
        <v/>
      </c>
      <c r="F3297" s="13" t="inlineStr">
        <is>
          <t>UUUU/CYL/8,00/18-03-22</t>
        </is>
      </c>
      <c r="G3297" s="6" t="n">
        <v>100</v>
      </c>
      <c r="H3297" s="6" t="n">
        <v>-683.826</v>
      </c>
      <c r="I3297" s="7">
        <f>-H3297/G3297</f>
        <v/>
      </c>
      <c r="J3297" s="11" t="n">
        <v>44636</v>
      </c>
      <c r="K3297" s="6">
        <f>+OPERAC[[#This Row],[cantidad]]</f>
        <v/>
      </c>
      <c r="L3297" s="6" t="n">
        <v>767.46</v>
      </c>
      <c r="M3297" s="7">
        <f>IF(N3297=0,+L3297+H3297,0)</f>
        <v/>
      </c>
      <c r="N3297" s="7">
        <f>IF((+G3297-K3297)=0,0,+G3297-K3297)</f>
        <v/>
      </c>
      <c r="O3297" s="7">
        <f>IF(N3297=0,0,(L3297+H3297)/-N3297)</f>
        <v/>
      </c>
      <c r="P3297" s="7">
        <f>VLOOKUP(OPERAC[[#This Row],[especie]],[1]!ESPECIES[#All],6,0)</f>
        <v/>
      </c>
      <c r="Q3297" s="7">
        <f>IF(N3297&lt;&gt;0,P3297*N3297,0)</f>
        <v/>
      </c>
      <c r="R3297" s="8">
        <f>IF(Q3297&lt;&gt;0,Q3297+H3297+L3297,0)</f>
        <v/>
      </c>
      <c r="S3297" s="9">
        <f>VLOOKUP(OPERAC[[#This Row],[especie]],[1]!ESPECIES[#Data],9,FALSE)</f>
        <v/>
      </c>
    </row>
    <row r="3298">
      <c r="A3298" s="4" t="n">
        <v>18690</v>
      </c>
      <c r="B3298" s="5" t="n">
        <v>44616</v>
      </c>
      <c r="C3298" s="13" t="inlineStr">
        <is>
          <t>CPR</t>
        </is>
      </c>
      <c r="D3298" s="13" t="n">
        <v>32</v>
      </c>
      <c r="E3298" s="10">
        <f>IF(D3298&gt;0,VLOOKUP(OPERAC[[#This Row],[COD CART]],[1]!MatrizCortoLargoCyl[#All],3,0),"")</f>
        <v/>
      </c>
      <c r="F3298" s="13" t="inlineStr">
        <is>
          <t>UUUU/CYL/8,00/18-03-22</t>
        </is>
      </c>
      <c r="G3298" s="6" t="n">
        <v>100</v>
      </c>
      <c r="H3298" s="6" t="n">
        <v>-683.826</v>
      </c>
      <c r="I3298" s="7">
        <f>-H3298/G3298</f>
        <v/>
      </c>
      <c r="J3298" s="11" t="n">
        <v>44636</v>
      </c>
      <c r="K3298" s="6">
        <f>+OPERAC[[#This Row],[cantidad]]</f>
        <v/>
      </c>
      <c r="L3298" s="6" t="n">
        <v>767.46</v>
      </c>
      <c r="M3298" s="7">
        <f>IF(N3298=0,+L3298+H3298,0)</f>
        <v/>
      </c>
      <c r="N3298" s="7">
        <f>IF((+G3298-K3298)=0,0,+G3298-K3298)</f>
        <v/>
      </c>
      <c r="O3298" s="7">
        <f>IF(N3298=0,0,(L3298+H3298)/-N3298)</f>
        <v/>
      </c>
      <c r="P3298" s="7">
        <f>VLOOKUP(OPERAC[[#This Row],[especie]],[1]!ESPECIES[#All],6,0)</f>
        <v/>
      </c>
      <c r="Q3298" s="7">
        <f>IF(N3298&lt;&gt;0,P3298*N3298,0)</f>
        <v/>
      </c>
      <c r="R3298" s="8">
        <f>IF(Q3298&lt;&gt;0,Q3298+H3298+L3298,0)</f>
        <v/>
      </c>
      <c r="S3298" s="9">
        <f>VLOOKUP(OPERAC[[#This Row],[especie]],[1]!ESPECIES[#Data],9,FALSE)</f>
        <v/>
      </c>
    </row>
    <row r="3299">
      <c r="A3299" s="4" t="n">
        <v>19897</v>
      </c>
      <c r="B3299" s="5" t="n">
        <v>44616</v>
      </c>
      <c r="C3299" s="13" t="inlineStr">
        <is>
          <t>CPR</t>
        </is>
      </c>
      <c r="D3299" s="13" t="n">
        <v>32</v>
      </c>
      <c r="E3299" s="10">
        <f>IF(D3299&gt;0,VLOOKUP(OPERAC[[#This Row],[COD CART]],[1]!MatrizCortoLargoCyl[#All],3,0),"")</f>
        <v/>
      </c>
      <c r="F3299" s="13" t="inlineStr">
        <is>
          <t>UUUU/CYL/8,00/18-03-22</t>
        </is>
      </c>
      <c r="G3299" s="6" t="n">
        <v>100</v>
      </c>
      <c r="H3299" s="6" t="n">
        <v>-683.826</v>
      </c>
      <c r="I3299" s="7">
        <f>-H3299/G3299</f>
        <v/>
      </c>
      <c r="J3299" s="11" t="n">
        <v>44636</v>
      </c>
      <c r="K3299" s="6">
        <f>+OPERAC[[#This Row],[cantidad]]</f>
        <v/>
      </c>
      <c r="L3299" s="6" t="n">
        <v>767.46</v>
      </c>
      <c r="M3299" s="7">
        <f>IF(N3299=0,+L3299+H3299,0)</f>
        <v/>
      </c>
      <c r="N3299" s="7">
        <f>IF((+G3299-K3299)=0,0,+G3299-K3299)</f>
        <v/>
      </c>
      <c r="O3299" s="7">
        <f>IF(N3299=0,0,(L3299+H3299)/-N3299)</f>
        <v/>
      </c>
      <c r="P3299" s="7">
        <f>VLOOKUP(OPERAC[[#This Row],[especie]],[1]!ESPECIES[#All],6,0)</f>
        <v/>
      </c>
      <c r="Q3299" s="7">
        <f>IF(N3299&lt;&gt;0,P3299*N3299,0)</f>
        <v/>
      </c>
      <c r="R3299" s="8">
        <f>IF(Q3299&lt;&gt;0,Q3299+H3299+L3299,0)</f>
        <v/>
      </c>
      <c r="S3299" s="9">
        <f>VLOOKUP(OPERAC[[#This Row],[especie]],[1]!ESPECIES[#Data],9,FALSE)</f>
        <v/>
      </c>
    </row>
    <row r="3300">
      <c r="A3300" s="4" t="n">
        <v>19934</v>
      </c>
      <c r="B3300" s="5" t="n">
        <v>44616</v>
      </c>
      <c r="C3300" s="13" t="inlineStr">
        <is>
          <t>CPR</t>
        </is>
      </c>
      <c r="D3300" s="13" t="n">
        <v>32</v>
      </c>
      <c r="E3300" s="10">
        <f>IF(D3300&gt;0,VLOOKUP(OPERAC[[#This Row],[COD CART]],[1]!MatrizCortoLargoCyl[#All],3,0),"")</f>
        <v/>
      </c>
      <c r="F3300" s="13" t="inlineStr">
        <is>
          <t>UUUU/CYL/8,00/18-03-22</t>
        </is>
      </c>
      <c r="G3300" s="6" t="n">
        <v>100</v>
      </c>
      <c r="H3300" s="6" t="n">
        <v>-683.826</v>
      </c>
      <c r="I3300" s="7">
        <f>-H3300/G3300</f>
        <v/>
      </c>
      <c r="J3300" s="11" t="n">
        <v>44636</v>
      </c>
      <c r="K3300" s="6">
        <f>+OPERAC[[#This Row],[cantidad]]</f>
        <v/>
      </c>
      <c r="L3300" s="6" t="n">
        <v>767.46</v>
      </c>
      <c r="M3300" s="7">
        <f>IF(N3300=0,+L3300+H3300,0)</f>
        <v/>
      </c>
      <c r="N3300" s="7">
        <f>IF((+G3300-K3300)=0,0,+G3300-K3300)</f>
        <v/>
      </c>
      <c r="O3300" s="7">
        <f>IF(N3300=0,0,(L3300+H3300)/-N3300)</f>
        <v/>
      </c>
      <c r="P3300" s="7">
        <f>VLOOKUP(OPERAC[[#This Row],[especie]],[1]!ESPECIES[#All],6,0)</f>
        <v/>
      </c>
      <c r="Q3300" s="7">
        <f>IF(N3300&lt;&gt;0,P3300*N3300,0)</f>
        <v/>
      </c>
      <c r="R3300" s="8">
        <f>IF(Q3300&lt;&gt;0,Q3300+H3300+L3300,0)</f>
        <v/>
      </c>
      <c r="S3300" s="9">
        <f>VLOOKUP(OPERAC[[#This Row],[especie]],[1]!ESPECIES[#Data],9,FALSE)</f>
        <v/>
      </c>
    </row>
    <row r="3301">
      <c r="A3301" s="4" t="n">
        <v>20317</v>
      </c>
      <c r="B3301" s="5" t="n">
        <v>44616</v>
      </c>
      <c r="C3301" s="13" t="inlineStr">
        <is>
          <t>CPR</t>
        </is>
      </c>
      <c r="D3301" s="13" t="n">
        <v>32</v>
      </c>
      <c r="E3301" s="10">
        <f>IF(D3301&gt;0,VLOOKUP(OPERAC[[#This Row],[COD CART]],[1]!MatrizCortoLargoCyl[#All],3,0),"")</f>
        <v/>
      </c>
      <c r="F3301" s="13" t="inlineStr">
        <is>
          <t>UUUU/CYL/8,00/18-03-22</t>
        </is>
      </c>
      <c r="G3301" s="6" t="n">
        <v>100</v>
      </c>
      <c r="H3301" s="6" t="n">
        <v>-683.826</v>
      </c>
      <c r="I3301" s="7">
        <f>-H3301/G3301</f>
        <v/>
      </c>
      <c r="J3301" s="11" t="n">
        <v>44636</v>
      </c>
      <c r="K3301" s="6">
        <f>+OPERAC[[#This Row],[cantidad]]</f>
        <v/>
      </c>
      <c r="L3301" s="6" t="n">
        <v>767.46</v>
      </c>
      <c r="M3301" s="7">
        <f>IF(N3301=0,+L3301+H3301,0)</f>
        <v/>
      </c>
      <c r="N3301" s="7">
        <f>IF((+G3301-K3301)=0,0,+G3301-K3301)</f>
        <v/>
      </c>
      <c r="O3301" s="7">
        <f>IF(N3301=0,0,(L3301+H3301)/-N3301)</f>
        <v/>
      </c>
      <c r="P3301" s="7">
        <f>VLOOKUP(OPERAC[[#This Row],[especie]],[1]!ESPECIES[#All],6,0)</f>
        <v/>
      </c>
      <c r="Q3301" s="7">
        <f>IF(N3301&lt;&gt;0,P3301*N3301,0)</f>
        <v/>
      </c>
      <c r="R3301" s="8">
        <f>IF(Q3301&lt;&gt;0,Q3301+H3301+L3301,0)</f>
        <v/>
      </c>
      <c r="S3301" s="9">
        <f>VLOOKUP(OPERAC[[#This Row],[especie]],[1]!ESPECIES[#Data],9,FALSE)</f>
        <v/>
      </c>
    </row>
    <row r="3302">
      <c r="A3302" s="4" t="n">
        <v>7879</v>
      </c>
      <c r="B3302" s="5" t="n">
        <v>44211</v>
      </c>
      <c r="C3302" s="13" t="inlineStr">
        <is>
          <t>CPR</t>
        </is>
      </c>
      <c r="D3302" s="13" t="n">
        <v>41</v>
      </c>
      <c r="E3302" s="10">
        <f>IF(D3302&gt;0,VLOOKUP(OPERAC[[#This Row],[COD CART]],[1]!MatrizCortoLargoCyl[#All],3,0),"")</f>
        <v/>
      </c>
      <c r="F3302" s="13" t="inlineStr">
        <is>
          <t>GBTC</t>
        </is>
      </c>
      <c r="G3302" s="6" t="n">
        <v>17</v>
      </c>
      <c r="H3302" s="6" t="n">
        <v>-684.55504</v>
      </c>
      <c r="I3302" s="7">
        <f>-H3302/G3302</f>
        <v/>
      </c>
      <c r="J3302" s="11" t="n"/>
      <c r="K3302" s="6" t="n"/>
      <c r="L3302" s="6" t="n"/>
      <c r="M3302" s="7">
        <f>IF(N3302=0,+L3302+H3302,0)</f>
        <v/>
      </c>
      <c r="N3302" s="7">
        <f>IF((+G3302-K3302)=0,0,+G3302-K3302)</f>
        <v/>
      </c>
      <c r="O3302" s="7" t="n">
        <v>23.7</v>
      </c>
      <c r="P3302" s="7">
        <f>VLOOKUP(OPERAC[[#This Row],[especie]],[1]!ESPECIES[#All],6,0)</f>
        <v/>
      </c>
      <c r="Q3302" s="7">
        <f>IF(N3302&lt;&gt;0,P3302*N3302,0)</f>
        <v/>
      </c>
      <c r="R3302" s="8">
        <f>IF(Q3302&lt;&gt;0,Q3302+H3302+L3302,0)</f>
        <v/>
      </c>
      <c r="S3302" s="9">
        <f>VLOOKUP(OPERAC[[#This Row],[especie]],[1]!ESPECIES[#Data],9,FALSE)</f>
        <v/>
      </c>
    </row>
    <row r="3303">
      <c r="A3303" s="4" t="n">
        <v>16780</v>
      </c>
      <c r="B3303" s="5" t="n">
        <v>44683</v>
      </c>
      <c r="C3303" s="13" t="inlineStr">
        <is>
          <t>CPR</t>
        </is>
      </c>
      <c r="D3303" s="13" t="n">
        <v>32</v>
      </c>
      <c r="E3303" s="10">
        <f>IF(D3303&gt;0,VLOOKUP(OPERAC[[#This Row],[COD CART]],[1]!MatrizCortoLargoCyl[#All],3,0),"")</f>
        <v/>
      </c>
      <c r="F3303" s="13" t="inlineStr">
        <is>
          <t>CRESY/CYL/7,50/17-06-22</t>
        </is>
      </c>
      <c r="G3303" s="6" t="n">
        <v>100</v>
      </c>
      <c r="H3303" s="6">
        <f>-704.698+19.83</f>
        <v/>
      </c>
      <c r="I3303" s="7">
        <f>-H3303/G3303</f>
        <v/>
      </c>
      <c r="J3303" s="11" t="n"/>
      <c r="K3303" s="6" t="n"/>
      <c r="L3303" s="6" t="n"/>
      <c r="M3303" s="7">
        <f>IF(N3303=0,+L3303+H3303,0)</f>
        <v/>
      </c>
      <c r="N3303" s="7">
        <f>IF((+G3303-K3303)=0,0,+G3303-K3303)</f>
        <v/>
      </c>
      <c r="O3303" s="7">
        <f>IF(N3303=0,0,(L3303+H3303)/-N3303)</f>
        <v/>
      </c>
      <c r="P3303" s="7">
        <f>VLOOKUP(OPERAC[[#This Row],[especie]],[1]!ESPECIES[#All],6,0)</f>
        <v/>
      </c>
      <c r="Q3303" s="7">
        <f>IF(N3303&lt;&gt;0,P3303*N3303,0)</f>
        <v/>
      </c>
      <c r="R3303" s="8">
        <f>IF(Q3303&lt;&gt;0,Q3303+H3303+L3303,0)</f>
        <v/>
      </c>
      <c r="S3303" s="9">
        <f>VLOOKUP(OPERAC[[#This Row],[especie]],[1]!ESPECIES[#Data],9,FALSE)</f>
        <v/>
      </c>
    </row>
    <row r="3304">
      <c r="A3304" s="4" t="n">
        <v>1000</v>
      </c>
      <c r="B3304" s="5" t="n">
        <v>44573</v>
      </c>
      <c r="C3304" s="13" t="inlineStr">
        <is>
          <t>CPR</t>
        </is>
      </c>
      <c r="D3304" s="13" t="n">
        <v>41</v>
      </c>
      <c r="E3304" s="10">
        <f>IF(D3304&gt;0,VLOOKUP(OPERAC[[#This Row],[COD CART]],[1]!MatrizCortoLargoCyl[#All],3,0),"")</f>
        <v/>
      </c>
      <c r="F3304" s="13" t="inlineStr">
        <is>
          <t>BABA</t>
        </is>
      </c>
      <c r="G3304" s="6" t="n">
        <v>5</v>
      </c>
      <c r="H3304" s="6" t="n">
        <v>-686.4299999999999</v>
      </c>
      <c r="I3304" s="7">
        <f>-H3304/G3304</f>
        <v/>
      </c>
      <c r="J3304" s="11" t="n"/>
      <c r="K3304" s="6" t="n"/>
      <c r="L3304" s="6" t="n"/>
      <c r="M3304" s="7">
        <f>IF(N3304=0,+L3304+H3304,0)</f>
        <v/>
      </c>
      <c r="N3304" s="7">
        <f>IF((+G3304-K3304)=0,0,+G3304-K3304)</f>
        <v/>
      </c>
      <c r="O3304" s="7">
        <f>IF(N3304=0,0,(L3304+H3304)/-N3304)</f>
        <v/>
      </c>
      <c r="P3304" s="7">
        <f>VLOOKUP(OPERAC[[#This Row],[especie]],[1]!ESPECIES[#All],6,0)</f>
        <v/>
      </c>
      <c r="Q3304" s="7">
        <f>IF(N3304&lt;&gt;0,P3304*N3304,0)</f>
        <v/>
      </c>
      <c r="R3304" s="8">
        <f>IF(Q3304&lt;&gt;0,Q3304+H3304+L3304,0)</f>
        <v/>
      </c>
      <c r="S3304" s="9">
        <f>VLOOKUP(OPERAC[[#This Row],[especie]],[1]!ESPECIES[#Data],9,FALSE)</f>
        <v/>
      </c>
    </row>
    <row r="3305">
      <c r="A3305" s="4" t="n">
        <v>7879</v>
      </c>
      <c r="B3305" s="5" t="n">
        <v>44446</v>
      </c>
      <c r="C3305" s="13" t="inlineStr">
        <is>
          <t>CPR</t>
        </is>
      </c>
      <c r="D3305" s="13" t="n">
        <v>32</v>
      </c>
      <c r="E3305" s="10">
        <f>IF(D3305&gt;0,VLOOKUP(OPERAC[[#This Row],[COD CART]],[1]!MatrizCortoLargoCyl[#All],3,0),"")</f>
        <v/>
      </c>
      <c r="F3305" s="13" t="inlineStr">
        <is>
          <t>INO/CYL/8,00/21-01-22</t>
        </is>
      </c>
      <c r="G3305" s="6" t="n">
        <v>100</v>
      </c>
      <c r="H3305" s="6">
        <f>-758.932+27.502+30.172+14.579</f>
        <v/>
      </c>
      <c r="I3305" s="7">
        <f>-H3305/G3305</f>
        <v/>
      </c>
      <c r="J3305" s="11" t="n">
        <v>44581</v>
      </c>
      <c r="K3305" s="6" t="n">
        <v>100</v>
      </c>
      <c r="L3305" s="6" t="n">
        <v>412.156</v>
      </c>
      <c r="M3305" s="7">
        <f>IF(N3305=0,+L3305+H3305,0)</f>
        <v/>
      </c>
      <c r="N3305" s="7">
        <f>IF((+G3305-K3305)=0,0,+G3305-K3305)</f>
        <v/>
      </c>
      <c r="O3305" s="7">
        <f>IF(N3305=0,0,(L3305+H3305)/-N3305)</f>
        <v/>
      </c>
      <c r="P3305" s="7">
        <f>VLOOKUP(OPERAC[[#This Row],[especie]],[1]!ESPECIES[#All],6,0)</f>
        <v/>
      </c>
      <c r="Q3305" s="7">
        <f>IF(N3305&lt;&gt;0,P3305*N3305,0)</f>
        <v/>
      </c>
      <c r="R3305" s="8">
        <f>IF(Q3305&lt;&gt;0,Q3305+H3305+L3305,0)</f>
        <v/>
      </c>
      <c r="S3305" s="9">
        <f>VLOOKUP(OPERAC[[#This Row],[especie]],[1]!ESPECIES[#Data],9,FALSE)</f>
        <v/>
      </c>
    </row>
    <row r="3306">
      <c r="A3306" s="4" t="n">
        <v>16786</v>
      </c>
      <c r="B3306" s="5" t="n">
        <v>44446</v>
      </c>
      <c r="C3306" s="13" t="inlineStr">
        <is>
          <t>CPR</t>
        </is>
      </c>
      <c r="D3306" s="13" t="n">
        <v>32</v>
      </c>
      <c r="E3306" s="10">
        <f>IF(D3306&gt;0,VLOOKUP(OPERAC[[#This Row],[COD CART]],[1]!MatrizCortoLargoCyl[#All],3,0),"")</f>
        <v/>
      </c>
      <c r="F3306" s="13" t="inlineStr">
        <is>
          <t>INO/CYL/8,00/21-01-22</t>
        </is>
      </c>
      <c r="G3306" s="6" t="n">
        <v>100</v>
      </c>
      <c r="H3306" s="6">
        <f>-758.932+27.502+30.172+14.579</f>
        <v/>
      </c>
      <c r="I3306" s="7">
        <f>-H3306/G3306</f>
        <v/>
      </c>
      <c r="J3306" s="11" t="n">
        <v>44581</v>
      </c>
      <c r="K3306" s="6" t="n">
        <v>100</v>
      </c>
      <c r="L3306" s="6" t="n">
        <v>412.156</v>
      </c>
      <c r="M3306" s="7">
        <f>IF(N3306=0,+L3306+H3306,0)</f>
        <v/>
      </c>
      <c r="N3306" s="7">
        <f>IF((+G3306-K3306)=0,0,+G3306-K3306)</f>
        <v/>
      </c>
      <c r="O3306" s="7">
        <f>IF(N3306=0,0,(L3306+H3306)/-N3306)</f>
        <v/>
      </c>
      <c r="P3306" s="7">
        <f>VLOOKUP(OPERAC[[#This Row],[especie]],[1]!ESPECIES[#All],6,0)</f>
        <v/>
      </c>
      <c r="Q3306" s="7">
        <f>IF(N3306&lt;&gt;0,P3306*N3306,0)</f>
        <v/>
      </c>
      <c r="R3306" s="8">
        <f>IF(Q3306&lt;&gt;0,Q3306+H3306+L3306,0)</f>
        <v/>
      </c>
      <c r="S3306" s="9">
        <f>VLOOKUP(OPERAC[[#This Row],[especie]],[1]!ESPECIES[#Data],9,FALSE)</f>
        <v/>
      </c>
    </row>
    <row r="3307">
      <c r="A3307" s="4" t="n">
        <v>16833</v>
      </c>
      <c r="B3307" s="5" t="n">
        <v>44446</v>
      </c>
      <c r="C3307" s="13" t="inlineStr">
        <is>
          <t>CPR</t>
        </is>
      </c>
      <c r="D3307" s="13" t="n">
        <v>32</v>
      </c>
      <c r="E3307" s="10">
        <f>IF(D3307&gt;0,VLOOKUP(OPERAC[[#This Row],[COD CART]],[1]!MatrizCortoLargoCyl[#All],3,0),"")</f>
        <v/>
      </c>
      <c r="F3307" s="13" t="inlineStr">
        <is>
          <t>INO/CYL/8,00/21-01-22</t>
        </is>
      </c>
      <c r="G3307" s="6" t="n">
        <v>100</v>
      </c>
      <c r="H3307" s="6">
        <f>-758.932+27.502+30.172+14.579</f>
        <v/>
      </c>
      <c r="I3307" s="7">
        <f>-H3307/G3307</f>
        <v/>
      </c>
      <c r="J3307" s="11" t="n">
        <v>44581</v>
      </c>
      <c r="K3307" s="6" t="n">
        <v>100</v>
      </c>
      <c r="L3307" s="6" t="n">
        <v>412.156</v>
      </c>
      <c r="M3307" s="7">
        <f>IF(N3307=0,+L3307+H3307,0)</f>
        <v/>
      </c>
      <c r="N3307" s="7">
        <f>IF((+G3307-K3307)=0,0,+G3307-K3307)</f>
        <v/>
      </c>
      <c r="O3307" s="7">
        <f>IF(N3307=0,0,(L3307+H3307)/-N3307)</f>
        <v/>
      </c>
      <c r="P3307" s="7">
        <f>VLOOKUP(OPERAC[[#This Row],[especie]],[1]!ESPECIES[#All],6,0)</f>
        <v/>
      </c>
      <c r="Q3307" s="7">
        <f>IF(N3307&lt;&gt;0,P3307*N3307,0)</f>
        <v/>
      </c>
      <c r="R3307" s="8">
        <f>IF(Q3307&lt;&gt;0,Q3307+H3307+L3307,0)</f>
        <v/>
      </c>
      <c r="S3307" s="9">
        <f>VLOOKUP(OPERAC[[#This Row],[especie]],[1]!ESPECIES[#Data],9,FALSE)</f>
        <v/>
      </c>
    </row>
    <row r="3308">
      <c r="A3308" s="4" t="n">
        <v>1792</v>
      </c>
      <c r="B3308" s="5" t="n">
        <v>44463</v>
      </c>
      <c r="C3308" s="13" t="inlineStr">
        <is>
          <t>CPR</t>
        </is>
      </c>
      <c r="D3308" s="13" t="n">
        <v>32</v>
      </c>
      <c r="E3308" s="10">
        <f>IF(D3308&gt;0,VLOOKUP(OPERAC[[#This Row],[COD CART]],[1]!MatrizCortoLargoCyl[#All],3,0),"")</f>
        <v/>
      </c>
      <c r="F3308" s="13" t="inlineStr">
        <is>
          <t>INO/CYL/8,00/21-01-22</t>
        </is>
      </c>
      <c r="G3308" s="6" t="n">
        <v>100</v>
      </c>
      <c r="H3308" s="6">
        <f>-806.19+46.98+27.502+30.172+14.579</f>
        <v/>
      </c>
      <c r="I3308" s="7">
        <f>-H3308/G3308</f>
        <v/>
      </c>
      <c r="J3308" s="11" t="n">
        <v>44581</v>
      </c>
      <c r="K3308" s="6" t="n">
        <v>100</v>
      </c>
      <c r="L3308" s="6" t="n">
        <v>412.156</v>
      </c>
      <c r="M3308" s="7">
        <f>IF(N3308=0,+L3308+H3308,0)</f>
        <v/>
      </c>
      <c r="N3308" s="7">
        <f>IF((+G3308-K3308)=0,0,+G3308-K3308)</f>
        <v/>
      </c>
      <c r="O3308" s="7">
        <f>IF(N3308=0,0,(L3308+H3308)/-N3308)</f>
        <v/>
      </c>
      <c r="P3308" s="7">
        <f>VLOOKUP(OPERAC[[#This Row],[especie]],[1]!ESPECIES[#All],6,0)</f>
        <v/>
      </c>
      <c r="Q3308" s="7">
        <f>IF(N3308&lt;&gt;0,P3308*N3308,0)</f>
        <v/>
      </c>
      <c r="R3308" s="8">
        <f>IF(Q3308&lt;&gt;0,Q3308+H3308+L3308,0)</f>
        <v/>
      </c>
      <c r="S3308" s="9">
        <f>VLOOKUP(OPERAC[[#This Row],[especie]],[1]!ESPECIES[#Data],9,FALSE)</f>
        <v/>
      </c>
    </row>
    <row r="3309">
      <c r="A3309" s="4" t="n">
        <v>2194</v>
      </c>
      <c r="B3309" s="5" t="n">
        <v>44312</v>
      </c>
      <c r="C3309" s="13" t="inlineStr">
        <is>
          <t>CPR</t>
        </is>
      </c>
      <c r="D3309" s="13" t="n">
        <v>41</v>
      </c>
      <c r="E3309" s="10">
        <f>IF(D3309&gt;0,VLOOKUP(OPERAC[[#This Row],[COD CART]],[1]!MatrizCortoLargoCyl[#All],3,0),"")</f>
        <v/>
      </c>
      <c r="F3309" s="13" t="inlineStr">
        <is>
          <t>BNTX</t>
        </is>
      </c>
      <c r="G3309" s="6" t="n">
        <v>4</v>
      </c>
      <c r="H3309" s="6" t="n">
        <v>-688.0528</v>
      </c>
      <c r="I3309" s="7">
        <f>-H3309/G3309</f>
        <v/>
      </c>
      <c r="J3309" s="11" t="n"/>
      <c r="K3309" s="6" t="n"/>
      <c r="L3309" s="6" t="n"/>
      <c r="M3309" s="7">
        <f>IF(N3309=0,+L3309+H3309,0)</f>
        <v/>
      </c>
      <c r="N3309" s="7">
        <f>IF((+G3309-K3309)=0,0,+G3309-K3309)</f>
        <v/>
      </c>
      <c r="O3309" s="7">
        <f>IF(N3309=0,0,(L3309+H3309)/-N3309)</f>
        <v/>
      </c>
      <c r="P3309" s="7">
        <f>VLOOKUP(OPERAC[[#This Row],[especie]],[1]!ESPECIES[#All],6,0)</f>
        <v/>
      </c>
      <c r="Q3309" s="7">
        <f>IF(N3309&lt;&gt;0,P3309*N3309,0)</f>
        <v/>
      </c>
      <c r="R3309" s="8">
        <f>IF(Q3309&lt;&gt;0,Q3309+H3309+L3309,0)</f>
        <v/>
      </c>
      <c r="S3309" s="9">
        <f>VLOOKUP(OPERAC[[#This Row],[especie]],[1]!ESPECIES[#Data],9,FALSE)</f>
        <v/>
      </c>
    </row>
    <row r="3310">
      <c r="A3310" s="4" t="n">
        <v>13253</v>
      </c>
      <c r="B3310" s="5" t="n">
        <v>44614</v>
      </c>
      <c r="C3310" s="13" t="inlineStr">
        <is>
          <t>CPR</t>
        </is>
      </c>
      <c r="D3310" s="13" t="n">
        <v>41</v>
      </c>
      <c r="E3310" s="10">
        <f>IF(D3310&gt;0,VLOOKUP(OPERAC[[#This Row],[COD CART]],[1]!MatrizCortoLargoCyl[#All],3,0),"")</f>
        <v/>
      </c>
      <c r="F3310" s="13" t="inlineStr">
        <is>
          <t>LTC</t>
        </is>
      </c>
      <c r="G3310" s="6" t="n">
        <v>20</v>
      </c>
      <c r="H3310" s="6" t="n">
        <v>-688.053</v>
      </c>
      <c r="I3310" s="7">
        <f>-H3310/G3310</f>
        <v/>
      </c>
      <c r="J3310" s="11" t="n"/>
      <c r="K3310" s="6" t="n"/>
      <c r="L3310" s="6" t="n"/>
      <c r="M3310" s="7">
        <f>IF(N3310=0,+L3310+H3310,0)</f>
        <v/>
      </c>
      <c r="N3310" s="7">
        <f>IF((+G3310-K3310)=0,0,+G3310-K3310)</f>
        <v/>
      </c>
      <c r="O3310" s="7">
        <f>IF(N3310=0,0,(L3310+H3310)/-N3310)</f>
        <v/>
      </c>
      <c r="P3310" s="7">
        <f>VLOOKUP(OPERAC[[#This Row],[especie]],[1]!ESPECIES[#All],6,0)</f>
        <v/>
      </c>
      <c r="Q3310" s="7">
        <f>IF(N3310&lt;&gt;0,P3310*N3310,0)</f>
        <v/>
      </c>
      <c r="R3310" s="8">
        <f>IF(Q3310&lt;&gt;0,Q3310+H3310+L3310,0)</f>
        <v/>
      </c>
      <c r="S3310" s="9">
        <f>VLOOKUP(OPERAC[[#This Row],[especie]],[1]!ESPECIES[#Data],9,FALSE)</f>
        <v/>
      </c>
    </row>
    <row r="3311">
      <c r="A3311" s="4" t="n">
        <v>19931</v>
      </c>
      <c r="B3311" s="5" t="n">
        <v>44722</v>
      </c>
      <c r="C3311" s="13" t="inlineStr">
        <is>
          <t>CPR</t>
        </is>
      </c>
      <c r="D3311" s="13" t="n">
        <v>40</v>
      </c>
      <c r="E3311" s="10">
        <f>IF(D3311&gt;0,VLOOKUP(OPERAC[[#This Row],[COD CART]],[1]!MatrizCortoLargoCyl[#All],3,0),"")</f>
        <v/>
      </c>
      <c r="F3311" s="13" t="inlineStr">
        <is>
          <t>BIOX</t>
        </is>
      </c>
      <c r="G3311" s="6" t="n">
        <v>50</v>
      </c>
      <c r="H3311" s="6" t="n">
        <v>-688.30125</v>
      </c>
      <c r="I3311" s="7">
        <f>-H3311/G3311</f>
        <v/>
      </c>
      <c r="J3311" s="5" t="n"/>
      <c r="K3311" s="6" t="n"/>
      <c r="L3311" s="6" t="n"/>
      <c r="M3311" s="7">
        <f>IF(N3311=0,+L3311+H3311,0)</f>
        <v/>
      </c>
      <c r="N3311" s="7">
        <f>IF((+G3311-K3311)=0,0,+G3311-K3311)</f>
        <v/>
      </c>
      <c r="O3311" s="7">
        <f>IF(N3311=0,0,(L3311+H3311)/-N3311)</f>
        <v/>
      </c>
      <c r="P3311" s="7">
        <f>VLOOKUP(OPERAC[[#This Row],[especie]],[1]!ESPECIES[#All],6,0)</f>
        <v/>
      </c>
      <c r="Q3311" s="7">
        <f>IF(N3311&lt;&gt;0,P3311*N3311,0)</f>
        <v/>
      </c>
      <c r="R3311" s="8">
        <f>IF(Q3311&lt;&gt;0,Q3311+H3311+L3311,0)</f>
        <v/>
      </c>
      <c r="S3311" s="9">
        <f>VLOOKUP(OPERAC[[#This Row],[especie]],[1]!ESPECIES[#Data],9,FALSE)</f>
        <v/>
      </c>
    </row>
    <row r="3312">
      <c r="A3312" s="4" t="n">
        <v>18661</v>
      </c>
      <c r="B3312" s="5" t="n">
        <v>43971</v>
      </c>
      <c r="C3312" s="13" t="inlineStr">
        <is>
          <t>CPR</t>
        </is>
      </c>
      <c r="D3312" s="13" t="n">
        <v>31</v>
      </c>
      <c r="E3312" s="10">
        <f>IF(D3312&gt;0,VLOOKUP(OPERAC[[#This Row],[COD CART]],[1]!MatrizCortoLargoCyl[#All],3,0),"")</f>
        <v/>
      </c>
      <c r="F3312" s="13" t="inlineStr">
        <is>
          <t>VIST</t>
        </is>
      </c>
      <c r="G3312" s="6" t="n">
        <v>200</v>
      </c>
      <c r="H3312" s="6" t="n">
        <v>-689.104</v>
      </c>
      <c r="I3312" s="7" t="n">
        <v>3.44552</v>
      </c>
      <c r="J3312" s="5" t="n">
        <v>44351</v>
      </c>
      <c r="K3312" s="6" t="n">
        <v>100</v>
      </c>
      <c r="L3312" s="6" t="n">
        <v>403.726</v>
      </c>
      <c r="M3312" s="7">
        <f>IF(N3312=0,+L3312+H3312,0)</f>
        <v/>
      </c>
      <c r="N3312" s="7">
        <f>IF((+G3312-K3312)=0,0,+G3312-K3312)</f>
        <v/>
      </c>
      <c r="O3312" s="7">
        <f>IF(N3312=0,0,(L3312+H3312)/-N3312)</f>
        <v/>
      </c>
      <c r="P3312" s="7">
        <f>VLOOKUP(OPERAC[[#This Row],[especie]],[1]!ESPECIES[#All],6,0)</f>
        <v/>
      </c>
      <c r="Q3312" s="7">
        <f>IF(N3312&lt;&gt;0,P3312*N3312,0)</f>
        <v/>
      </c>
      <c r="R3312" s="8">
        <f>IF(Q3312&lt;&gt;0,Q3312+H3312+L3312,0)</f>
        <v/>
      </c>
      <c r="S3312" s="9">
        <f>VLOOKUP(OPERAC[[#This Row],[especie]],[1]!ESPECIES[#Data],9,FALSE)</f>
        <v/>
      </c>
    </row>
    <row r="3313">
      <c r="A3313" s="4" t="n">
        <v>16780</v>
      </c>
      <c r="B3313" s="5" t="n">
        <v>44712</v>
      </c>
      <c r="C3313" s="13" t="inlineStr">
        <is>
          <t>CPR</t>
        </is>
      </c>
      <c r="D3313" s="13" t="n">
        <v>32</v>
      </c>
      <c r="E3313" s="10">
        <f>IF(D3313&gt;0,VLOOKUP(OPERAC[[#This Row],[COD CART]],[1]!MatrizCortoLargoCyl[#All],3,0),"")</f>
        <v/>
      </c>
      <c r="F3313" s="13" t="inlineStr">
        <is>
          <t>CRESY/CYL/7,50/17-06-22</t>
        </is>
      </c>
      <c r="G3313" s="6" t="n">
        <v>100</v>
      </c>
      <c r="H3313" s="6" t="n">
        <v>-689.1799999999999</v>
      </c>
      <c r="I3313" s="7">
        <f>-H3313/G3313</f>
        <v/>
      </c>
      <c r="J3313" s="5" t="n"/>
      <c r="K3313" s="6" t="n"/>
      <c r="L3313" s="6" t="n"/>
      <c r="M3313" s="7">
        <f>IF(N3313=0,+L3313+H3313,0)</f>
        <v/>
      </c>
      <c r="N3313" s="7">
        <f>IF((+G3313-K3313)=0,0,+G3313-K3313)</f>
        <v/>
      </c>
      <c r="O3313" s="7">
        <f>IF(N3313=0,0,(L3313+H3313)/-N3313)</f>
        <v/>
      </c>
      <c r="P3313" s="7">
        <f>VLOOKUP(OPERAC[[#This Row],[especie]],[1]!ESPECIES[#All],6,0)</f>
        <v/>
      </c>
      <c r="Q3313" s="7">
        <f>IF(N3313&lt;&gt;0,P3313*N3313,0)</f>
        <v/>
      </c>
      <c r="R3313" s="8">
        <f>IF(Q3313&lt;&gt;0,Q3313+H3313+L3313,0)</f>
        <v/>
      </c>
      <c r="S3313" s="9">
        <f>VLOOKUP(OPERAC[[#This Row],[especie]],[1]!ESPECIES[#Data],9,FALSE)</f>
        <v/>
      </c>
    </row>
    <row r="3314">
      <c r="A3314" s="4" t="n">
        <v>16786</v>
      </c>
      <c r="B3314" s="5" t="n">
        <v>44663</v>
      </c>
      <c r="C3314" s="13" t="inlineStr">
        <is>
          <t>CPR</t>
        </is>
      </c>
      <c r="D3314" s="13" t="n">
        <v>42</v>
      </c>
      <c r="E3314" s="10">
        <f>IF(D3314&gt;0,VLOOKUP(OPERAC[[#This Row],[COD CART]],[1]!MatrizCortoLargoCyl[#All],3,0),"")</f>
        <v/>
      </c>
      <c r="F3314" s="13" t="inlineStr">
        <is>
          <t>AMD</t>
        </is>
      </c>
      <c r="G3314" s="6" t="n">
        <v>7</v>
      </c>
      <c r="H3314" s="6" t="n">
        <v>-689.807</v>
      </c>
      <c r="I3314" s="7">
        <f>-H3314/G3314</f>
        <v/>
      </c>
      <c r="J3314" s="11" t="n">
        <v>44693</v>
      </c>
      <c r="K3314" s="6">
        <f>+OPERAC[[#This Row],[cantidad]]</f>
        <v/>
      </c>
      <c r="L3314" s="6">
        <f>+OPERAC[[#This Row],[cantidad venta]]*85.26</f>
        <v/>
      </c>
      <c r="M3314" s="7">
        <f>IF(N3314=0,+L3314+H3314,0)</f>
        <v/>
      </c>
      <c r="N3314" s="7">
        <f>IF((+G3314-K3314)=0,0,+G3314-K3314)</f>
        <v/>
      </c>
      <c r="O3314" s="7">
        <f>IF(N3314=0,0,(L3314+H3314)/-N3314)</f>
        <v/>
      </c>
      <c r="P3314" s="7">
        <f>VLOOKUP(OPERAC[[#This Row],[especie]],[1]!ESPECIES[#All],6,0)</f>
        <v/>
      </c>
      <c r="Q3314" s="7">
        <f>IF(N3314&lt;&gt;0,P3314*N3314,0)</f>
        <v/>
      </c>
      <c r="R3314" s="8">
        <f>IF(Q3314&lt;&gt;0,Q3314+H3314+L3314,0)</f>
        <v/>
      </c>
      <c r="S3314" s="9">
        <f>VLOOKUP(OPERAC[[#This Row],[especie]],[1]!ESPECIES[#Data],9,FALSE)</f>
        <v/>
      </c>
    </row>
    <row r="3315">
      <c r="A3315" s="4" t="n">
        <v>1817</v>
      </c>
      <c r="B3315" s="5" t="n">
        <v>44697</v>
      </c>
      <c r="C3315" s="13" t="inlineStr">
        <is>
          <t>CPR</t>
        </is>
      </c>
      <c r="D3315" s="13" t="n">
        <v>32</v>
      </c>
      <c r="E3315" s="10">
        <f>IF(D3315&gt;0,VLOOKUP(OPERAC[[#This Row],[COD CART]],[1]!MatrizCortoLargoCyl[#All],3,0),"")</f>
        <v/>
      </c>
      <c r="F3315" s="13" t="inlineStr">
        <is>
          <t>DDD/CYL/7,00/27-05-22</t>
        </is>
      </c>
      <c r="G3315" s="6" t="n">
        <v>100</v>
      </c>
      <c r="H3315" s="6" t="n">
        <v>-691.033</v>
      </c>
      <c r="I3315" s="7">
        <f>-H3315/G3315</f>
        <v/>
      </c>
      <c r="J3315" s="11" t="n">
        <v>44708</v>
      </c>
      <c r="K3315" s="6" t="n">
        <v>100</v>
      </c>
      <c r="L3315" s="6" t="n">
        <v>697.2</v>
      </c>
      <c r="M3315" s="7">
        <f>IF(N3315=0,+L3315+H3315,0)</f>
        <v/>
      </c>
      <c r="N3315" s="7">
        <f>IF((+G3315-K3315)=0,0,+G3315-K3315)</f>
        <v/>
      </c>
      <c r="O3315" s="7">
        <f>IF(N3315=0,0,(L3315+H3315)/-N3315)</f>
        <v/>
      </c>
      <c r="P3315" s="7">
        <f>VLOOKUP(OPERAC[[#This Row],[especie]],[1]!ESPECIES[#All],6,0)</f>
        <v/>
      </c>
      <c r="Q3315" s="7">
        <f>IF(N3315&lt;&gt;0,P3315*N3315,0)</f>
        <v/>
      </c>
      <c r="R3315" s="8">
        <f>IF(Q3315&lt;&gt;0,Q3315+H3315+L3315,0)</f>
        <v/>
      </c>
      <c r="S3315" s="9">
        <f>VLOOKUP(OPERAC[[#This Row],[especie]],[1]!ESPECIES[#Data],9,FALSE)</f>
        <v/>
      </c>
    </row>
    <row r="3316">
      <c r="A3316" s="4" t="n">
        <v>1760</v>
      </c>
      <c r="B3316" s="5" t="n">
        <v>44663</v>
      </c>
      <c r="C3316" s="13" t="inlineStr">
        <is>
          <t>CPR</t>
        </is>
      </c>
      <c r="D3316" s="13" t="n">
        <v>32</v>
      </c>
      <c r="E3316" s="10">
        <f>IF(D3316&gt;0,VLOOKUP(OPERAC[[#This Row],[COD CART]],[1]!MatrizCortoLargoCyl[#All],3,0),"")</f>
        <v/>
      </c>
      <c r="F3316" s="13" t="inlineStr">
        <is>
          <t>PCT/CYL/7,50/20-05-22</t>
        </is>
      </c>
      <c r="G3316" s="6" t="n">
        <v>100</v>
      </c>
      <c r="H3316" s="6" t="n">
        <v>-691.124</v>
      </c>
      <c r="I3316" s="7">
        <f>-H3316/G3316</f>
        <v/>
      </c>
      <c r="J3316" s="11" t="n">
        <v>44698</v>
      </c>
      <c r="K3316" s="6">
        <f>+OPERAC[[#This Row],[cantidad]]</f>
        <v/>
      </c>
      <c r="L3316" s="6" t="n">
        <v>736.16</v>
      </c>
      <c r="M3316" s="7">
        <f>IF(N3316=0,+L3316+H3316,0)</f>
        <v/>
      </c>
      <c r="N3316" s="7">
        <f>IF((+G3316-K3316)=0,0,+G3316-K3316)</f>
        <v/>
      </c>
      <c r="O3316" s="7">
        <f>IF(N3316=0,0,(L3316+H3316)/-N3316)</f>
        <v/>
      </c>
      <c r="P3316" s="7">
        <f>VLOOKUP(OPERAC[[#This Row],[especie]],[1]!ESPECIES[#All],6,0)</f>
        <v/>
      </c>
      <c r="Q3316" s="7">
        <f>IF(N3316&lt;&gt;0,P3316*N3316,0)</f>
        <v/>
      </c>
      <c r="R3316" s="8">
        <f>IF(Q3316&lt;&gt;0,Q3316+H3316+L3316,0)</f>
        <v/>
      </c>
      <c r="S3316" s="9">
        <f>VLOOKUP(OPERAC[[#This Row],[especie]],[1]!ESPECIES[#Data],9,FALSE)</f>
        <v/>
      </c>
    </row>
    <row r="3317">
      <c r="A3317" s="4" t="n">
        <v>2218</v>
      </c>
      <c r="B3317" s="5" t="n">
        <v>44663</v>
      </c>
      <c r="C3317" s="13" t="inlineStr">
        <is>
          <t>CPR</t>
        </is>
      </c>
      <c r="D3317" s="13" t="n">
        <v>32</v>
      </c>
      <c r="E3317" s="10">
        <f>IF(D3317&gt;0,VLOOKUP(OPERAC[[#This Row],[COD CART]],[1]!MatrizCortoLargoCyl[#All],3,0),"")</f>
        <v/>
      </c>
      <c r="F3317" s="13" t="inlineStr">
        <is>
          <t>PCT/CYL/7,50/20-05-22</t>
        </is>
      </c>
      <c r="G3317" s="6" t="n">
        <v>100</v>
      </c>
      <c r="H3317" s="6" t="n">
        <v>-691.124</v>
      </c>
      <c r="I3317" s="7">
        <f>-H3317/G3317</f>
        <v/>
      </c>
      <c r="J3317" s="11" t="n">
        <v>44698</v>
      </c>
      <c r="K3317" s="6">
        <f>+OPERAC[[#This Row],[cantidad]]</f>
        <v/>
      </c>
      <c r="L3317" s="6">
        <f>7.3616*OPERAC[[#This Row],[cantidad venta]]</f>
        <v/>
      </c>
      <c r="M3317" s="7">
        <f>IF(N3317=0,+L3317+H3317,0)</f>
        <v/>
      </c>
      <c r="N3317" s="7">
        <f>IF((+G3317-K3317)=0,0,+G3317-K3317)</f>
        <v/>
      </c>
      <c r="O3317" s="7">
        <f>IF(N3317=0,0,(L3317+H3317)/-N3317)</f>
        <v/>
      </c>
      <c r="P3317" s="7">
        <f>VLOOKUP(OPERAC[[#This Row],[especie]],[1]!ESPECIES[#All],6,0)</f>
        <v/>
      </c>
      <c r="Q3317" s="7">
        <f>IF(N3317&lt;&gt;0,P3317*N3317,0)</f>
        <v/>
      </c>
      <c r="R3317" s="8">
        <f>IF(Q3317&lt;&gt;0,Q3317+H3317+L3317,0)</f>
        <v/>
      </c>
      <c r="S3317" s="9">
        <f>VLOOKUP(OPERAC[[#This Row],[especie]],[1]!ESPECIES[#Data],9,FALSE)</f>
        <v/>
      </c>
    </row>
    <row r="3318">
      <c r="A3318" s="4" t="n">
        <v>22393</v>
      </c>
      <c r="B3318" s="5" t="n">
        <v>44663</v>
      </c>
      <c r="C3318" s="13" t="inlineStr">
        <is>
          <t>CPR</t>
        </is>
      </c>
      <c r="D3318" s="13" t="n">
        <v>32</v>
      </c>
      <c r="E3318" s="10">
        <f>IF(D3318&gt;0,VLOOKUP(OPERAC[[#This Row],[COD CART]],[1]!MatrizCortoLargoCyl[#All],3,0),"")</f>
        <v/>
      </c>
      <c r="F3318" s="13" t="inlineStr">
        <is>
          <t>PCT/CYL/7,50/20-05-22</t>
        </is>
      </c>
      <c r="G3318" s="6" t="n">
        <v>100</v>
      </c>
      <c r="H3318" s="6" t="n">
        <v>-691.124</v>
      </c>
      <c r="I3318" s="7">
        <f>-H3318/G3318</f>
        <v/>
      </c>
      <c r="J3318" s="11" t="n">
        <v>44698</v>
      </c>
      <c r="K3318" s="6">
        <f>+OPERAC[[#This Row],[cantidad]]</f>
        <v/>
      </c>
      <c r="L3318" s="6">
        <f>7.3616*OPERAC[[#This Row],[cantidad venta]]</f>
        <v/>
      </c>
      <c r="M3318" s="7">
        <f>IF(N3318=0,+L3318+H3318,0)</f>
        <v/>
      </c>
      <c r="N3318" s="7">
        <f>IF((+G3318-K3318)=0,0,+G3318-K3318)</f>
        <v/>
      </c>
      <c r="O3318" s="7">
        <f>IF(N3318=0,0,(L3318+H3318)/-N3318)</f>
        <v/>
      </c>
      <c r="P3318" s="7">
        <f>VLOOKUP(OPERAC[[#This Row],[especie]],[1]!ESPECIES[#All],6,0)</f>
        <v/>
      </c>
      <c r="Q3318" s="7">
        <f>IF(N3318&lt;&gt;0,P3318*N3318,0)</f>
        <v/>
      </c>
      <c r="R3318" s="8">
        <f>IF(Q3318&lt;&gt;0,Q3318+H3318+L3318,0)</f>
        <v/>
      </c>
      <c r="S3318" s="9">
        <f>VLOOKUP(OPERAC[[#This Row],[especie]],[1]!ESPECIES[#Data],9,FALSE)</f>
        <v/>
      </c>
    </row>
    <row r="3319">
      <c r="A3319" s="4" t="n">
        <v>1807</v>
      </c>
      <c r="B3319" s="5" t="n">
        <v>44712</v>
      </c>
      <c r="C3319" s="13" t="inlineStr">
        <is>
          <t>CPR</t>
        </is>
      </c>
      <c r="D3319" s="13" t="n">
        <v>32</v>
      </c>
      <c r="E3319" s="10">
        <f>IF(D3319&gt;0,VLOOKUP(OPERAC[[#This Row],[COD CART]],[1]!MatrizCortoLargoCyl[#All],3,0),"")</f>
        <v/>
      </c>
      <c r="F3319" s="13" t="inlineStr">
        <is>
          <t>CRESY/CYL/7,50/17-06-22</t>
        </is>
      </c>
      <c r="G3319" s="6" t="n">
        <v>100</v>
      </c>
      <c r="H3319" s="6" t="n">
        <v>-693.075</v>
      </c>
      <c r="I3319" s="7">
        <f>-H3319/G3319</f>
        <v/>
      </c>
      <c r="J3319" s="5" t="n"/>
      <c r="K3319" s="6" t="n"/>
      <c r="L3319" s="6" t="n"/>
      <c r="M3319" s="7">
        <f>IF(N3319=0,+L3319+H3319,0)</f>
        <v/>
      </c>
      <c r="N3319" s="7">
        <f>IF((+G3319-K3319)=0,0,+G3319-K3319)</f>
        <v/>
      </c>
      <c r="O3319" s="7">
        <f>IF(N3319=0,0,(L3319+H3319)/-N3319)</f>
        <v/>
      </c>
      <c r="P3319" s="7">
        <f>VLOOKUP(OPERAC[[#This Row],[especie]],[1]!ESPECIES[#All],6,0)</f>
        <v/>
      </c>
      <c r="Q3319" s="7">
        <f>IF(N3319&lt;&gt;0,P3319*N3319,0)</f>
        <v/>
      </c>
      <c r="R3319" s="8">
        <f>IF(Q3319&lt;&gt;0,Q3319+H3319+L3319,0)</f>
        <v/>
      </c>
      <c r="S3319" s="9">
        <f>VLOOKUP(OPERAC[[#This Row],[especie]],[1]!ESPECIES[#Data],9,FALSE)</f>
        <v/>
      </c>
    </row>
    <row r="3320">
      <c r="A3320" s="4" t="n">
        <v>2203</v>
      </c>
      <c r="B3320" s="5" t="n">
        <v>44712</v>
      </c>
      <c r="C3320" s="13" t="inlineStr">
        <is>
          <t>CPR</t>
        </is>
      </c>
      <c r="D3320" s="13" t="n">
        <v>32</v>
      </c>
      <c r="E3320" s="10">
        <f>IF(D3320&gt;0,VLOOKUP(OPERAC[[#This Row],[COD CART]],[1]!MatrizCortoLargoCyl[#All],3,0),"")</f>
        <v/>
      </c>
      <c r="F3320" s="13" t="inlineStr">
        <is>
          <t>CRESY/CYL/7,50/17-06-22</t>
        </is>
      </c>
      <c r="G3320" s="6" t="n">
        <v>100</v>
      </c>
      <c r="H3320" s="6" t="n">
        <v>-693.075</v>
      </c>
      <c r="I3320" s="7">
        <f>-H3320/G3320</f>
        <v/>
      </c>
      <c r="J3320" s="5" t="n"/>
      <c r="K3320" s="6" t="n"/>
      <c r="L3320" s="6" t="n"/>
      <c r="M3320" s="7">
        <f>IF(N3320=0,+L3320+H3320,0)</f>
        <v/>
      </c>
      <c r="N3320" s="7">
        <f>IF((+G3320-K3320)=0,0,+G3320-K3320)</f>
        <v/>
      </c>
      <c r="O3320" s="7">
        <f>IF(N3320=0,0,(L3320+H3320)/-N3320)</f>
        <v/>
      </c>
      <c r="P3320" s="7">
        <f>VLOOKUP(OPERAC[[#This Row],[especie]],[1]!ESPECIES[#All],6,0)</f>
        <v/>
      </c>
      <c r="Q3320" s="7">
        <f>IF(N3320&lt;&gt;0,P3320*N3320,0)</f>
        <v/>
      </c>
      <c r="R3320" s="8">
        <f>IF(Q3320&lt;&gt;0,Q3320+H3320+L3320,0)</f>
        <v/>
      </c>
      <c r="S3320" s="9">
        <f>VLOOKUP(OPERAC[[#This Row],[especie]],[1]!ESPECIES[#Data],9,FALSE)</f>
        <v/>
      </c>
    </row>
    <row r="3321">
      <c r="A3321" s="4" t="n">
        <v>2217</v>
      </c>
      <c r="B3321" s="5" t="n">
        <v>44712</v>
      </c>
      <c r="C3321" s="13" t="inlineStr">
        <is>
          <t>CPR</t>
        </is>
      </c>
      <c r="D3321" s="13" t="n">
        <v>32</v>
      </c>
      <c r="E3321" s="10">
        <f>IF(D3321&gt;0,VLOOKUP(OPERAC[[#This Row],[COD CART]],[1]!MatrizCortoLargoCyl[#All],3,0),"")</f>
        <v/>
      </c>
      <c r="F3321" s="13" t="inlineStr">
        <is>
          <t>CRESY/CYL/7,50/17-06-22</t>
        </is>
      </c>
      <c r="G3321" s="6" t="n">
        <v>100</v>
      </c>
      <c r="H3321" s="6" t="n">
        <v>-693.075</v>
      </c>
      <c r="I3321" s="7">
        <f>-H3321/G3321</f>
        <v/>
      </c>
      <c r="J3321" s="5" t="n"/>
      <c r="K3321" s="6" t="n"/>
      <c r="L3321" s="6" t="n"/>
      <c r="M3321" s="7">
        <f>IF(N3321=0,+L3321+H3321,0)</f>
        <v/>
      </c>
      <c r="N3321" s="7">
        <f>IF((+G3321-K3321)=0,0,+G3321-K3321)</f>
        <v/>
      </c>
      <c r="O3321" s="7">
        <f>IF(N3321=0,0,(L3321+H3321)/-N3321)</f>
        <v/>
      </c>
      <c r="P3321" s="7">
        <f>VLOOKUP(OPERAC[[#This Row],[especie]],[1]!ESPECIES[#All],6,0)</f>
        <v/>
      </c>
      <c r="Q3321" s="7">
        <f>IF(N3321&lt;&gt;0,P3321*N3321,0)</f>
        <v/>
      </c>
      <c r="R3321" s="8">
        <f>IF(Q3321&lt;&gt;0,Q3321+H3321+L3321,0)</f>
        <v/>
      </c>
      <c r="S3321" s="9">
        <f>VLOOKUP(OPERAC[[#This Row],[especie]],[1]!ESPECIES[#Data],9,FALSE)</f>
        <v/>
      </c>
    </row>
    <row r="3322">
      <c r="A3322" s="4" t="n">
        <v>2279</v>
      </c>
      <c r="B3322" s="5" t="n">
        <v>44712</v>
      </c>
      <c r="C3322" s="13" t="inlineStr">
        <is>
          <t>CPR</t>
        </is>
      </c>
      <c r="D3322" s="13" t="n">
        <v>32</v>
      </c>
      <c r="E3322" s="10">
        <f>IF(D3322&gt;0,VLOOKUP(OPERAC[[#This Row],[COD CART]],[1]!MatrizCortoLargoCyl[#All],3,0),"")</f>
        <v/>
      </c>
      <c r="F3322" s="13" t="inlineStr">
        <is>
          <t>CRESY/CYL/7,50/17-06-22</t>
        </is>
      </c>
      <c r="G3322" s="6" t="n">
        <v>100</v>
      </c>
      <c r="H3322" s="6" t="n">
        <v>-693.075</v>
      </c>
      <c r="I3322" s="7">
        <f>-H3322/G3322</f>
        <v/>
      </c>
      <c r="J3322" s="5" t="n"/>
      <c r="K3322" s="6" t="n"/>
      <c r="L3322" s="6" t="n"/>
      <c r="M3322" s="7">
        <f>IF(N3322=0,+L3322+H3322,0)</f>
        <v/>
      </c>
      <c r="N3322" s="7">
        <f>IF((+G3322-K3322)=0,0,+G3322-K3322)</f>
        <v/>
      </c>
      <c r="O3322" s="7">
        <f>IF(N3322=0,0,(L3322+H3322)/-N3322)</f>
        <v/>
      </c>
      <c r="P3322" s="7">
        <f>VLOOKUP(OPERAC[[#This Row],[especie]],[1]!ESPECIES[#All],6,0)</f>
        <v/>
      </c>
      <c r="Q3322" s="7">
        <f>IF(N3322&lt;&gt;0,P3322*N3322,0)</f>
        <v/>
      </c>
      <c r="R3322" s="8">
        <f>IF(Q3322&lt;&gt;0,Q3322+H3322+L3322,0)</f>
        <v/>
      </c>
      <c r="S3322" s="9">
        <f>VLOOKUP(OPERAC[[#This Row],[especie]],[1]!ESPECIES[#Data],9,FALSE)</f>
        <v/>
      </c>
    </row>
    <row r="3323">
      <c r="A3323" s="4" t="n">
        <v>2289</v>
      </c>
      <c r="B3323" s="5" t="n">
        <v>44712</v>
      </c>
      <c r="C3323" s="13" t="inlineStr">
        <is>
          <t>CPR</t>
        </is>
      </c>
      <c r="D3323" s="13" t="n">
        <v>32</v>
      </c>
      <c r="E3323" s="10">
        <f>IF(D3323&gt;0,VLOOKUP(OPERAC[[#This Row],[COD CART]],[1]!MatrizCortoLargoCyl[#All],3,0),"")</f>
        <v/>
      </c>
      <c r="F3323" s="13" t="inlineStr">
        <is>
          <t>CRESY/CYL/7,50/17-06-22</t>
        </is>
      </c>
      <c r="G3323" s="6" t="n">
        <v>100</v>
      </c>
      <c r="H3323" s="6" t="n">
        <v>-693.075</v>
      </c>
      <c r="I3323" s="7">
        <f>-H3323/G3323</f>
        <v/>
      </c>
      <c r="J3323" s="5" t="n"/>
      <c r="K3323" s="6" t="n"/>
      <c r="L3323" s="6" t="n"/>
      <c r="M3323" s="7">
        <f>IF(N3323=0,+L3323+H3323,0)</f>
        <v/>
      </c>
      <c r="N3323" s="7">
        <f>IF((+G3323-K3323)=0,0,+G3323-K3323)</f>
        <v/>
      </c>
      <c r="O3323" s="7">
        <f>IF(N3323=0,0,(L3323+H3323)/-N3323)</f>
        <v/>
      </c>
      <c r="P3323" s="7">
        <f>VLOOKUP(OPERAC[[#This Row],[especie]],[1]!ESPECIES[#All],6,0)</f>
        <v/>
      </c>
      <c r="Q3323" s="7">
        <f>IF(N3323&lt;&gt;0,P3323*N3323,0)</f>
        <v/>
      </c>
      <c r="R3323" s="8">
        <f>IF(Q3323&lt;&gt;0,Q3323+H3323+L3323,0)</f>
        <v/>
      </c>
      <c r="S3323" s="9">
        <f>VLOOKUP(OPERAC[[#This Row],[especie]],[1]!ESPECIES[#Data],9,FALSE)</f>
        <v/>
      </c>
    </row>
    <row r="3324">
      <c r="A3324" s="4" t="n">
        <v>3820</v>
      </c>
      <c r="B3324" s="5" t="n">
        <v>44712</v>
      </c>
      <c r="C3324" s="13" t="inlineStr">
        <is>
          <t>CPR</t>
        </is>
      </c>
      <c r="D3324" s="13" t="n">
        <v>32</v>
      </c>
      <c r="E3324" s="10">
        <f>IF(D3324&gt;0,VLOOKUP(OPERAC[[#This Row],[COD CART]],[1]!MatrizCortoLargoCyl[#All],3,0),"")</f>
        <v/>
      </c>
      <c r="F3324" s="13" t="inlineStr">
        <is>
          <t>CRESY/CYL/7,50/17-06-22</t>
        </is>
      </c>
      <c r="G3324" s="6" t="n">
        <v>100</v>
      </c>
      <c r="H3324" s="6" t="n">
        <v>-693.075</v>
      </c>
      <c r="I3324" s="7">
        <f>-H3324/G3324</f>
        <v/>
      </c>
      <c r="J3324" s="5" t="n"/>
      <c r="K3324" s="6" t="n"/>
      <c r="L3324" s="6" t="n"/>
      <c r="M3324" s="7">
        <f>IF(N3324=0,+L3324+H3324,0)</f>
        <v/>
      </c>
      <c r="N3324" s="7">
        <f>IF((+G3324-K3324)=0,0,+G3324-K3324)</f>
        <v/>
      </c>
      <c r="O3324" s="7">
        <f>IF(N3324=0,0,(L3324+H3324)/-N3324)</f>
        <v/>
      </c>
      <c r="P3324" s="7">
        <f>VLOOKUP(OPERAC[[#This Row],[especie]],[1]!ESPECIES[#All],6,0)</f>
        <v/>
      </c>
      <c r="Q3324" s="7">
        <f>IF(N3324&lt;&gt;0,P3324*N3324,0)</f>
        <v/>
      </c>
      <c r="R3324" s="8">
        <f>IF(Q3324&lt;&gt;0,Q3324+H3324+L3324,0)</f>
        <v/>
      </c>
      <c r="S3324" s="9">
        <f>VLOOKUP(OPERAC[[#This Row],[especie]],[1]!ESPECIES[#Data],9,FALSE)</f>
        <v/>
      </c>
    </row>
    <row r="3325">
      <c r="A3325" s="4" t="n">
        <v>26138</v>
      </c>
      <c r="B3325" s="5" t="n">
        <v>44712</v>
      </c>
      <c r="C3325" s="13" t="inlineStr">
        <is>
          <t>CPR</t>
        </is>
      </c>
      <c r="D3325" s="13" t="n">
        <v>32</v>
      </c>
      <c r="E3325" s="10">
        <f>IF(D3325&gt;0,VLOOKUP(OPERAC[[#This Row],[COD CART]],[1]!MatrizCortoLargoCyl[#All],3,0),"")</f>
        <v/>
      </c>
      <c r="F3325" s="13" t="inlineStr">
        <is>
          <t>CRESY/CYL/7,50/17-06-22</t>
        </is>
      </c>
      <c r="G3325" s="6" t="n">
        <v>100</v>
      </c>
      <c r="H3325" s="6" t="n">
        <v>-693.075</v>
      </c>
      <c r="I3325" s="7">
        <f>-H3325/G3325</f>
        <v/>
      </c>
      <c r="J3325" s="5" t="n"/>
      <c r="K3325" s="6" t="n"/>
      <c r="L3325" s="6" t="n"/>
      <c r="M3325" s="7">
        <f>IF(N3325=0,+L3325+H3325,0)</f>
        <v/>
      </c>
      <c r="N3325" s="7">
        <f>IF((+G3325-K3325)=0,0,+G3325-K3325)</f>
        <v/>
      </c>
      <c r="O3325" s="7">
        <f>IF(N3325=0,0,(L3325+H3325)/-N3325)</f>
        <v/>
      </c>
      <c r="P3325" s="7">
        <f>VLOOKUP(OPERAC[[#This Row],[especie]],[1]!ESPECIES[#All],6,0)</f>
        <v/>
      </c>
      <c r="Q3325" s="7">
        <f>IF(N3325&lt;&gt;0,P3325*N3325,0)</f>
        <v/>
      </c>
      <c r="R3325" s="8">
        <f>IF(Q3325&lt;&gt;0,Q3325+H3325+L3325,0)</f>
        <v/>
      </c>
      <c r="S3325" s="9">
        <f>VLOOKUP(OPERAC[[#This Row],[especie]],[1]!ESPECIES[#Data],9,FALSE)</f>
        <v/>
      </c>
    </row>
    <row r="3326">
      <c r="A3326" s="4" t="n">
        <v>25070</v>
      </c>
      <c r="B3326" s="5" t="n">
        <v>44712</v>
      </c>
      <c r="C3326" s="13" t="inlineStr">
        <is>
          <t>CPR</t>
        </is>
      </c>
      <c r="D3326" s="13" t="n">
        <v>32</v>
      </c>
      <c r="E3326" s="10">
        <f>IF(D3326&gt;0,VLOOKUP(OPERAC[[#This Row],[COD CART]],[1]!MatrizCortoLargoCyl[#All],3,0),"")</f>
        <v/>
      </c>
      <c r="F3326" s="13" t="inlineStr">
        <is>
          <t>CRESY/CYL/7,50/17-06-22</t>
        </is>
      </c>
      <c r="G3326" s="6" t="n">
        <v>100</v>
      </c>
      <c r="H3326" s="6" t="n">
        <v>-693.075</v>
      </c>
      <c r="I3326" s="7">
        <f>-H3326/G3326</f>
        <v/>
      </c>
      <c r="J3326" s="5" t="n"/>
      <c r="K3326" s="6" t="n"/>
      <c r="L3326" s="6" t="n"/>
      <c r="M3326" s="7">
        <f>IF(N3326=0,+L3326+H3326,0)</f>
        <v/>
      </c>
      <c r="N3326" s="7">
        <f>IF((+G3326-K3326)=0,0,+G3326-K3326)</f>
        <v/>
      </c>
      <c r="O3326" s="7">
        <f>IF(N3326=0,0,(L3326+H3326)/-N3326)</f>
        <v/>
      </c>
      <c r="P3326" s="7">
        <f>VLOOKUP(OPERAC[[#This Row],[especie]],[1]!ESPECIES[#All],6,0)</f>
        <v/>
      </c>
      <c r="Q3326" s="7">
        <f>IF(N3326&lt;&gt;0,P3326*N3326,0)</f>
        <v/>
      </c>
      <c r="R3326" s="8">
        <f>IF(Q3326&lt;&gt;0,Q3326+H3326+L3326,0)</f>
        <v/>
      </c>
      <c r="S3326" s="9">
        <f>VLOOKUP(OPERAC[[#This Row],[especie]],[1]!ESPECIES[#Data],9,FALSE)</f>
        <v/>
      </c>
    </row>
    <row r="3327">
      <c r="A3327" s="4" t="n">
        <v>22421</v>
      </c>
      <c r="B3327" s="5" t="n">
        <v>44712</v>
      </c>
      <c r="C3327" s="13" t="inlineStr">
        <is>
          <t>CPR</t>
        </is>
      </c>
      <c r="D3327" s="13" t="n">
        <v>32</v>
      </c>
      <c r="E3327" s="10">
        <f>IF(D3327&gt;0,VLOOKUP(OPERAC[[#This Row],[COD CART]],[1]!MatrizCortoLargoCyl[#All],3,0),"")</f>
        <v/>
      </c>
      <c r="F3327" s="13" t="inlineStr">
        <is>
          <t>CRESY/CYL/7,50/17-06-22</t>
        </is>
      </c>
      <c r="G3327" s="6" t="n">
        <v>100</v>
      </c>
      <c r="H3327" s="6" t="n">
        <v>-693.075</v>
      </c>
      <c r="I3327" s="7">
        <f>-H3327/G3327</f>
        <v/>
      </c>
      <c r="J3327" s="5" t="n"/>
      <c r="K3327" s="6" t="n"/>
      <c r="L3327" s="6" t="n"/>
      <c r="M3327" s="7">
        <f>IF(N3327=0,+L3327+H3327,0)</f>
        <v/>
      </c>
      <c r="N3327" s="7">
        <f>IF((+G3327-K3327)=0,0,+G3327-K3327)</f>
        <v/>
      </c>
      <c r="O3327" s="7">
        <f>IF(N3327=0,0,(L3327+H3327)/-N3327)</f>
        <v/>
      </c>
      <c r="P3327" s="7">
        <f>VLOOKUP(OPERAC[[#This Row],[especie]],[1]!ESPECIES[#All],6,0)</f>
        <v/>
      </c>
      <c r="Q3327" s="7">
        <f>IF(N3327&lt;&gt;0,P3327*N3327,0)</f>
        <v/>
      </c>
      <c r="R3327" s="8">
        <f>IF(Q3327&lt;&gt;0,Q3327+H3327+L3327,0)</f>
        <v/>
      </c>
      <c r="S3327" s="9">
        <f>VLOOKUP(OPERAC[[#This Row],[especie]],[1]!ESPECIES[#Data],9,FALSE)</f>
        <v/>
      </c>
    </row>
    <row r="3328">
      <c r="A3328" s="4" t="n">
        <v>22407</v>
      </c>
      <c r="B3328" s="5" t="n">
        <v>44712</v>
      </c>
      <c r="C3328" s="13" t="inlineStr">
        <is>
          <t>CPR</t>
        </is>
      </c>
      <c r="D3328" s="13" t="n">
        <v>32</v>
      </c>
      <c r="E3328" s="10">
        <f>IF(D3328&gt;0,VLOOKUP(OPERAC[[#This Row],[COD CART]],[1]!MatrizCortoLargoCyl[#All],3,0),"")</f>
        <v/>
      </c>
      <c r="F3328" s="13" t="inlineStr">
        <is>
          <t>CRESY/CYL/7,50/17-06-22</t>
        </is>
      </c>
      <c r="G3328" s="6" t="n">
        <v>100</v>
      </c>
      <c r="H3328" s="6" t="n">
        <v>-693.075</v>
      </c>
      <c r="I3328" s="7">
        <f>-H3328/G3328</f>
        <v/>
      </c>
      <c r="J3328" s="5" t="n"/>
      <c r="K3328" s="6" t="n"/>
      <c r="L3328" s="6" t="n"/>
      <c r="M3328" s="7">
        <f>IF(N3328=0,+L3328+H3328,0)</f>
        <v/>
      </c>
      <c r="N3328" s="7">
        <f>IF((+G3328-K3328)=0,0,+G3328-K3328)</f>
        <v/>
      </c>
      <c r="O3328" s="7">
        <f>IF(N3328=0,0,(L3328+H3328)/-N3328)</f>
        <v/>
      </c>
      <c r="P3328" s="7">
        <f>VLOOKUP(OPERAC[[#This Row],[especie]],[1]!ESPECIES[#All],6,0)</f>
        <v/>
      </c>
      <c r="Q3328" s="7">
        <f>IF(N3328&lt;&gt;0,P3328*N3328,0)</f>
        <v/>
      </c>
      <c r="R3328" s="8">
        <f>IF(Q3328&lt;&gt;0,Q3328+H3328+L3328,0)</f>
        <v/>
      </c>
      <c r="S3328" s="9">
        <f>VLOOKUP(OPERAC[[#This Row],[especie]],[1]!ESPECIES[#Data],9,FALSE)</f>
        <v/>
      </c>
    </row>
    <row r="3329">
      <c r="A3329" s="4" t="n">
        <v>21070</v>
      </c>
      <c r="B3329" s="5" t="n">
        <v>44712</v>
      </c>
      <c r="C3329" s="13" t="inlineStr">
        <is>
          <t>CPR</t>
        </is>
      </c>
      <c r="D3329" s="13" t="n">
        <v>32</v>
      </c>
      <c r="E3329" s="10">
        <f>IF(D3329&gt;0,VLOOKUP(OPERAC[[#This Row],[COD CART]],[1]!MatrizCortoLargoCyl[#All],3,0),"")</f>
        <v/>
      </c>
      <c r="F3329" s="13" t="inlineStr">
        <is>
          <t>CRESY/CYL/7,50/17-06-22</t>
        </is>
      </c>
      <c r="G3329" s="6" t="n">
        <v>100</v>
      </c>
      <c r="H3329" s="6" t="n">
        <v>-693.075</v>
      </c>
      <c r="I3329" s="7">
        <f>-H3329/G3329</f>
        <v/>
      </c>
      <c r="J3329" s="5" t="n"/>
      <c r="K3329" s="6" t="n"/>
      <c r="L3329" s="6" t="n"/>
      <c r="M3329" s="7">
        <f>IF(N3329=0,+L3329+H3329,0)</f>
        <v/>
      </c>
      <c r="N3329" s="7">
        <f>IF((+G3329-K3329)=0,0,+G3329-K3329)</f>
        <v/>
      </c>
      <c r="O3329" s="7">
        <f>IF(N3329=0,0,(L3329+H3329)/-N3329)</f>
        <v/>
      </c>
      <c r="P3329" s="7">
        <f>VLOOKUP(OPERAC[[#This Row],[especie]],[1]!ESPECIES[#All],6,0)</f>
        <v/>
      </c>
      <c r="Q3329" s="7">
        <f>IF(N3329&lt;&gt;0,P3329*N3329,0)</f>
        <v/>
      </c>
      <c r="R3329" s="8">
        <f>IF(Q3329&lt;&gt;0,Q3329+H3329+L3329,0)</f>
        <v/>
      </c>
      <c r="S3329" s="9">
        <f>VLOOKUP(OPERAC[[#This Row],[especie]],[1]!ESPECIES[#Data],9,FALSE)</f>
        <v/>
      </c>
    </row>
    <row r="3330">
      <c r="A3330" s="4" t="n">
        <v>20339</v>
      </c>
      <c r="B3330" s="5" t="n">
        <v>44712</v>
      </c>
      <c r="C3330" s="13" t="inlineStr">
        <is>
          <t>CPR</t>
        </is>
      </c>
      <c r="D3330" s="13" t="n">
        <v>32</v>
      </c>
      <c r="E3330" s="10">
        <f>IF(D3330&gt;0,VLOOKUP(OPERAC[[#This Row],[COD CART]],[1]!MatrizCortoLargoCyl[#All],3,0),"")</f>
        <v/>
      </c>
      <c r="F3330" s="13" t="inlineStr">
        <is>
          <t>CRESY/CYL/7,50/17-06-22</t>
        </is>
      </c>
      <c r="G3330" s="6" t="n">
        <v>100</v>
      </c>
      <c r="H3330" s="6" t="n">
        <v>-693.075</v>
      </c>
      <c r="I3330" s="7">
        <f>-H3330/G3330</f>
        <v/>
      </c>
      <c r="J3330" s="5" t="n"/>
      <c r="K3330" s="6" t="n"/>
      <c r="L3330" s="6" t="n"/>
      <c r="M3330" s="7">
        <f>IF(N3330=0,+L3330+H3330,0)</f>
        <v/>
      </c>
      <c r="N3330" s="7">
        <f>IF((+G3330-K3330)=0,0,+G3330-K3330)</f>
        <v/>
      </c>
      <c r="O3330" s="7">
        <f>IF(N3330=0,0,(L3330+H3330)/-N3330)</f>
        <v/>
      </c>
      <c r="P3330" s="7">
        <f>VLOOKUP(OPERAC[[#This Row],[especie]],[1]!ESPECIES[#All],6,0)</f>
        <v/>
      </c>
      <c r="Q3330" s="7">
        <f>IF(N3330&lt;&gt;0,P3330*N3330,0)</f>
        <v/>
      </c>
      <c r="R3330" s="8">
        <f>IF(Q3330&lt;&gt;0,Q3330+H3330+L3330,0)</f>
        <v/>
      </c>
      <c r="S3330" s="9">
        <f>VLOOKUP(OPERAC[[#This Row],[especie]],[1]!ESPECIES[#Data],9,FALSE)</f>
        <v/>
      </c>
    </row>
    <row r="3331">
      <c r="A3331" s="4" t="n">
        <v>20317</v>
      </c>
      <c r="B3331" s="5" t="n">
        <v>44712</v>
      </c>
      <c r="C3331" s="13" t="inlineStr">
        <is>
          <t>CPR</t>
        </is>
      </c>
      <c r="D3331" s="13" t="n">
        <v>32</v>
      </c>
      <c r="E3331" s="10">
        <f>IF(D3331&gt;0,VLOOKUP(OPERAC[[#This Row],[COD CART]],[1]!MatrizCortoLargoCyl[#All],3,0),"")</f>
        <v/>
      </c>
      <c r="F3331" s="13" t="inlineStr">
        <is>
          <t>CRESY/CYL/7,50/17-06-22</t>
        </is>
      </c>
      <c r="G3331" s="6" t="n">
        <v>100</v>
      </c>
      <c r="H3331" s="6" t="n">
        <v>-693.075</v>
      </c>
      <c r="I3331" s="7">
        <f>-H3331/G3331</f>
        <v/>
      </c>
      <c r="J3331" s="5" t="n"/>
      <c r="K3331" s="6" t="n"/>
      <c r="L3331" s="6" t="n"/>
      <c r="M3331" s="7">
        <f>IF(N3331=0,+L3331+H3331,0)</f>
        <v/>
      </c>
      <c r="N3331" s="7">
        <f>IF((+G3331-K3331)=0,0,+G3331-K3331)</f>
        <v/>
      </c>
      <c r="O3331" s="7">
        <f>IF(N3331=0,0,(L3331+H3331)/-N3331)</f>
        <v/>
      </c>
      <c r="P3331" s="7">
        <f>VLOOKUP(OPERAC[[#This Row],[especie]],[1]!ESPECIES[#All],6,0)</f>
        <v/>
      </c>
      <c r="Q3331" s="7">
        <f>IF(N3331&lt;&gt;0,P3331*N3331,0)</f>
        <v/>
      </c>
      <c r="R3331" s="8">
        <f>IF(Q3331&lt;&gt;0,Q3331+H3331+L3331,0)</f>
        <v/>
      </c>
      <c r="S3331" s="9">
        <f>VLOOKUP(OPERAC[[#This Row],[especie]],[1]!ESPECIES[#Data],9,FALSE)</f>
        <v/>
      </c>
    </row>
    <row r="3332">
      <c r="A3332" s="4" t="n">
        <v>20312</v>
      </c>
      <c r="B3332" s="5" t="n">
        <v>44712</v>
      </c>
      <c r="C3332" s="13" t="inlineStr">
        <is>
          <t>CPR</t>
        </is>
      </c>
      <c r="D3332" s="13" t="n">
        <v>32</v>
      </c>
      <c r="E3332" s="10">
        <f>IF(D3332&gt;0,VLOOKUP(OPERAC[[#This Row],[COD CART]],[1]!MatrizCortoLargoCyl[#All],3,0),"")</f>
        <v/>
      </c>
      <c r="F3332" s="13" t="inlineStr">
        <is>
          <t>CRESY/CYL/7,50/17-06-22</t>
        </is>
      </c>
      <c r="G3332" s="6" t="n">
        <v>100</v>
      </c>
      <c r="H3332" s="6" t="n">
        <v>-693.075</v>
      </c>
      <c r="I3332" s="7">
        <f>-H3332/G3332</f>
        <v/>
      </c>
      <c r="J3332" s="5" t="n"/>
      <c r="K3332" s="6" t="n"/>
      <c r="L3332" s="6" t="n"/>
      <c r="M3332" s="7">
        <f>IF(N3332=0,+L3332+H3332,0)</f>
        <v/>
      </c>
      <c r="N3332" s="7">
        <f>IF((+G3332-K3332)=0,0,+G3332-K3332)</f>
        <v/>
      </c>
      <c r="O3332" s="7">
        <f>IF(N3332=0,0,(L3332+H3332)/-N3332)</f>
        <v/>
      </c>
      <c r="P3332" s="7">
        <f>VLOOKUP(OPERAC[[#This Row],[especie]],[1]!ESPECIES[#All],6,0)</f>
        <v/>
      </c>
      <c r="Q3332" s="7">
        <f>IF(N3332&lt;&gt;0,P3332*N3332,0)</f>
        <v/>
      </c>
      <c r="R3332" s="8">
        <f>IF(Q3332&lt;&gt;0,Q3332+H3332+L3332,0)</f>
        <v/>
      </c>
      <c r="S3332" s="9">
        <f>VLOOKUP(OPERAC[[#This Row],[especie]],[1]!ESPECIES[#Data],9,FALSE)</f>
        <v/>
      </c>
    </row>
    <row r="3333">
      <c r="A3333" s="4" t="n">
        <v>15195</v>
      </c>
      <c r="B3333" s="5" t="n">
        <v>44712</v>
      </c>
      <c r="C3333" s="13" t="inlineStr">
        <is>
          <t>CPR</t>
        </is>
      </c>
      <c r="D3333" s="13" t="n">
        <v>32</v>
      </c>
      <c r="E3333" s="10">
        <f>IF(D3333&gt;0,VLOOKUP(OPERAC[[#This Row],[COD CART]],[1]!MatrizCortoLargoCyl[#All],3,0),"")</f>
        <v/>
      </c>
      <c r="F3333" s="13" t="inlineStr">
        <is>
          <t>CRESY/CYL/7,50/17-06-22</t>
        </is>
      </c>
      <c r="G3333" s="6" t="n">
        <v>100</v>
      </c>
      <c r="H3333" s="6" t="n">
        <v>-693.075</v>
      </c>
      <c r="I3333" s="7">
        <f>-H3333/G3333</f>
        <v/>
      </c>
      <c r="J3333" s="5" t="n"/>
      <c r="K3333" s="6" t="n"/>
      <c r="L3333" s="6" t="n"/>
      <c r="M3333" s="7">
        <f>IF(N3333=0,+L3333+H3333,0)</f>
        <v/>
      </c>
      <c r="N3333" s="7">
        <f>IF((+G3333-K3333)=0,0,+G3333-K3333)</f>
        <v/>
      </c>
      <c r="O3333" s="7">
        <f>IF(N3333=0,0,(L3333+H3333)/-N3333)</f>
        <v/>
      </c>
      <c r="P3333" s="7">
        <f>VLOOKUP(OPERAC[[#This Row],[especie]],[1]!ESPECIES[#All],6,0)</f>
        <v/>
      </c>
      <c r="Q3333" s="7">
        <f>IF(N3333&lt;&gt;0,P3333*N3333,0)</f>
        <v/>
      </c>
      <c r="R3333" s="8">
        <f>IF(Q3333&lt;&gt;0,Q3333+H3333+L3333,0)</f>
        <v/>
      </c>
      <c r="S3333" s="9">
        <f>VLOOKUP(OPERAC[[#This Row],[especie]],[1]!ESPECIES[#Data],9,FALSE)</f>
        <v/>
      </c>
    </row>
    <row r="3334">
      <c r="A3334" s="4" t="n">
        <v>12688</v>
      </c>
      <c r="B3334" s="5" t="n">
        <v>44712</v>
      </c>
      <c r="C3334" s="13" t="inlineStr">
        <is>
          <t>CPR</t>
        </is>
      </c>
      <c r="D3334" s="13" t="n">
        <v>32</v>
      </c>
      <c r="E3334" s="10">
        <f>IF(D3334&gt;0,VLOOKUP(OPERAC[[#This Row],[COD CART]],[1]!MatrizCortoLargoCyl[#All],3,0),"")</f>
        <v/>
      </c>
      <c r="F3334" s="13" t="inlineStr">
        <is>
          <t>CRESY/CYL/7,50/17-06-22</t>
        </is>
      </c>
      <c r="G3334" s="6" t="n">
        <v>100</v>
      </c>
      <c r="H3334" s="6" t="n">
        <v>-693.075</v>
      </c>
      <c r="I3334" s="7">
        <f>-H3334/G3334</f>
        <v/>
      </c>
      <c r="J3334" s="5" t="n"/>
      <c r="K3334" s="6" t="n"/>
      <c r="L3334" s="6" t="n"/>
      <c r="M3334" s="7">
        <f>IF(N3334=0,+L3334+H3334,0)</f>
        <v/>
      </c>
      <c r="N3334" s="7">
        <f>IF((+G3334-K3334)=0,0,+G3334-K3334)</f>
        <v/>
      </c>
      <c r="O3334" s="7">
        <f>IF(N3334=0,0,(L3334+H3334)/-N3334)</f>
        <v/>
      </c>
      <c r="P3334" s="7">
        <f>VLOOKUP(OPERAC[[#This Row],[especie]],[1]!ESPECIES[#All],6,0)</f>
        <v/>
      </c>
      <c r="Q3334" s="7">
        <f>IF(N3334&lt;&gt;0,P3334*N3334,0)</f>
        <v/>
      </c>
      <c r="R3334" s="8">
        <f>IF(Q3334&lt;&gt;0,Q3334+H3334+L3334,0)</f>
        <v/>
      </c>
      <c r="S3334" s="9">
        <f>VLOOKUP(OPERAC[[#This Row],[especie]],[1]!ESPECIES[#Data],9,FALSE)</f>
        <v/>
      </c>
    </row>
    <row r="3335">
      <c r="A3335" s="4" t="n">
        <v>12686</v>
      </c>
      <c r="B3335" s="5" t="n">
        <v>44712</v>
      </c>
      <c r="C3335" s="13" t="inlineStr">
        <is>
          <t>CPR</t>
        </is>
      </c>
      <c r="D3335" s="13" t="n">
        <v>32</v>
      </c>
      <c r="E3335" s="10">
        <f>IF(D3335&gt;0,VLOOKUP(OPERAC[[#This Row],[COD CART]],[1]!MatrizCortoLargoCyl[#All],3,0),"")</f>
        <v/>
      </c>
      <c r="F3335" s="13" t="inlineStr">
        <is>
          <t>CRESY/CYL/7,50/17-06-22</t>
        </is>
      </c>
      <c r="G3335" s="6" t="n">
        <v>100</v>
      </c>
      <c r="H3335" s="6" t="n">
        <v>-693.075</v>
      </c>
      <c r="I3335" s="7">
        <f>-H3335/G3335</f>
        <v/>
      </c>
      <c r="J3335" s="5" t="n"/>
      <c r="K3335" s="6" t="n"/>
      <c r="L3335" s="6" t="n"/>
      <c r="M3335" s="7">
        <f>IF(N3335=0,+L3335+H3335,0)</f>
        <v/>
      </c>
      <c r="N3335" s="7">
        <f>IF((+G3335-K3335)=0,0,+G3335-K3335)</f>
        <v/>
      </c>
      <c r="O3335" s="7">
        <f>IF(N3335=0,0,(L3335+H3335)/-N3335)</f>
        <v/>
      </c>
      <c r="P3335" s="7">
        <f>VLOOKUP(OPERAC[[#This Row],[especie]],[1]!ESPECIES[#All],6,0)</f>
        <v/>
      </c>
      <c r="Q3335" s="7">
        <f>IF(N3335&lt;&gt;0,P3335*N3335,0)</f>
        <v/>
      </c>
      <c r="R3335" s="8">
        <f>IF(Q3335&lt;&gt;0,Q3335+H3335+L3335,0)</f>
        <v/>
      </c>
      <c r="S3335" s="9">
        <f>VLOOKUP(OPERAC[[#This Row],[especie]],[1]!ESPECIES[#Data],9,FALSE)</f>
        <v/>
      </c>
    </row>
    <row r="3336">
      <c r="A3336" s="4" t="n">
        <v>12662</v>
      </c>
      <c r="B3336" s="5" t="n">
        <v>44712</v>
      </c>
      <c r="C3336" s="13" t="inlineStr">
        <is>
          <t>CPR</t>
        </is>
      </c>
      <c r="D3336" s="13" t="n">
        <v>32</v>
      </c>
      <c r="E3336" s="10">
        <f>IF(D3336&gt;0,VLOOKUP(OPERAC[[#This Row],[COD CART]],[1]!MatrizCortoLargoCyl[#All],3,0),"")</f>
        <v/>
      </c>
      <c r="F3336" s="13" t="inlineStr">
        <is>
          <t>CRESY/CYL/7,50/17-06-22</t>
        </is>
      </c>
      <c r="G3336" s="6" t="n">
        <v>100</v>
      </c>
      <c r="H3336" s="6" t="n">
        <v>-693.075</v>
      </c>
      <c r="I3336" s="7">
        <f>-H3336/G3336</f>
        <v/>
      </c>
      <c r="J3336" s="5" t="n"/>
      <c r="K3336" s="6" t="n"/>
      <c r="L3336" s="6" t="n"/>
      <c r="M3336" s="7">
        <f>IF(N3336=0,+L3336+H3336,0)</f>
        <v/>
      </c>
      <c r="N3336" s="7">
        <f>IF((+G3336-K3336)=0,0,+G3336-K3336)</f>
        <v/>
      </c>
      <c r="O3336" s="7">
        <f>IF(N3336=0,0,(L3336+H3336)/-N3336)</f>
        <v/>
      </c>
      <c r="P3336" s="7">
        <f>VLOOKUP(OPERAC[[#This Row],[especie]],[1]!ESPECIES[#All],6,0)</f>
        <v/>
      </c>
      <c r="Q3336" s="7">
        <f>IF(N3336&lt;&gt;0,P3336*N3336,0)</f>
        <v/>
      </c>
      <c r="R3336" s="8">
        <f>IF(Q3336&lt;&gt;0,Q3336+H3336+L3336,0)</f>
        <v/>
      </c>
      <c r="S3336" s="9">
        <f>VLOOKUP(OPERAC[[#This Row],[especie]],[1]!ESPECIES[#Data],9,FALSE)</f>
        <v/>
      </c>
    </row>
    <row r="3337">
      <c r="A3337" s="4" t="n">
        <v>12619</v>
      </c>
      <c r="B3337" s="5" t="n">
        <v>44712</v>
      </c>
      <c r="C3337" s="13" t="inlineStr">
        <is>
          <t>CPR</t>
        </is>
      </c>
      <c r="D3337" s="13" t="n">
        <v>32</v>
      </c>
      <c r="E3337" s="10">
        <f>IF(D3337&gt;0,VLOOKUP(OPERAC[[#This Row],[COD CART]],[1]!MatrizCortoLargoCyl[#All],3,0),"")</f>
        <v/>
      </c>
      <c r="F3337" s="13" t="inlineStr">
        <is>
          <t>CRESY/CYL/7,50/17-06-22</t>
        </is>
      </c>
      <c r="G3337" s="6" t="n">
        <v>100</v>
      </c>
      <c r="H3337" s="6" t="n">
        <v>-693.075</v>
      </c>
      <c r="I3337" s="7">
        <f>-H3337/G3337</f>
        <v/>
      </c>
      <c r="J3337" s="5" t="n"/>
      <c r="K3337" s="6" t="n"/>
      <c r="L3337" s="6" t="n"/>
      <c r="M3337" s="7">
        <f>IF(N3337=0,+L3337+H3337,0)</f>
        <v/>
      </c>
      <c r="N3337" s="7">
        <f>IF((+G3337-K3337)=0,0,+G3337-K3337)</f>
        <v/>
      </c>
      <c r="O3337" s="7">
        <f>IF(N3337=0,0,(L3337+H3337)/-N3337)</f>
        <v/>
      </c>
      <c r="P3337" s="7">
        <f>VLOOKUP(OPERAC[[#This Row],[especie]],[1]!ESPECIES[#All],6,0)</f>
        <v/>
      </c>
      <c r="Q3337" s="7">
        <f>IF(N3337&lt;&gt;0,P3337*N3337,0)</f>
        <v/>
      </c>
      <c r="R3337" s="8">
        <f>IF(Q3337&lt;&gt;0,Q3337+H3337+L3337,0)</f>
        <v/>
      </c>
      <c r="S3337" s="9">
        <f>VLOOKUP(OPERAC[[#This Row],[especie]],[1]!ESPECIES[#Data],9,FALSE)</f>
        <v/>
      </c>
    </row>
    <row r="3338">
      <c r="A3338" s="4" t="n">
        <v>9195</v>
      </c>
      <c r="B3338" s="5" t="n">
        <v>44645</v>
      </c>
      <c r="C3338" s="13" t="inlineStr">
        <is>
          <t>CPR</t>
        </is>
      </c>
      <c r="D3338" s="13" t="n">
        <v>42</v>
      </c>
      <c r="E3338" s="10">
        <f>IF(D3338&gt;0,VLOOKUP(OPERAC[[#This Row],[COD CART]],[1]!MatrizCortoLargoCyl[#All],3,0),"")</f>
        <v/>
      </c>
      <c r="F3338" s="13" t="inlineStr">
        <is>
          <t>PLUG</t>
        </is>
      </c>
      <c r="G3338" s="6" t="n">
        <v>25</v>
      </c>
      <c r="H3338" s="6" t="n">
        <v>-695.5205</v>
      </c>
      <c r="I3338" s="7">
        <f>-H3338/G3338</f>
        <v/>
      </c>
      <c r="J3338" s="11" t="n">
        <v>44652</v>
      </c>
      <c r="K3338" s="6">
        <f>+OPERAC[[#This Row],[cantidad]]</f>
        <v/>
      </c>
      <c r="L3338" s="6">
        <f>+OPERAC[[#This Row],[cantidad venta]]*27.754</f>
        <v/>
      </c>
      <c r="M3338" s="7">
        <f>IF(N3338=0,+L3338+H3338,0)</f>
        <v/>
      </c>
      <c r="N3338" s="7">
        <f>IF((+G3338-K3338)=0,0,+G3338-K3338)</f>
        <v/>
      </c>
      <c r="O3338" s="7">
        <f>IF(N3338=0,0,(L3338+H3338)/-N3338)</f>
        <v/>
      </c>
      <c r="P3338" s="7">
        <f>VLOOKUP(OPERAC[[#This Row],[especie]],[1]!ESPECIES[#All],6,0)</f>
        <v/>
      </c>
      <c r="Q3338" s="7">
        <f>IF(N3338&lt;&gt;0,P3338*N3338,0)</f>
        <v/>
      </c>
      <c r="R3338" s="8">
        <f>IF(Q3338&lt;&gt;0,Q3338+H3338+L3338,0)</f>
        <v/>
      </c>
      <c r="S3338" s="9">
        <f>VLOOKUP(OPERAC[[#This Row],[especie]],[1]!ESPECIES[#Data],9,FALSE)</f>
        <v/>
      </c>
    </row>
    <row r="3339">
      <c r="A3339" s="4" t="n">
        <v>3853</v>
      </c>
      <c r="B3339" s="5" t="n">
        <v>44641</v>
      </c>
      <c r="C3339" s="13" t="inlineStr">
        <is>
          <t>CPR</t>
        </is>
      </c>
      <c r="D3339" s="13" t="n">
        <v>42</v>
      </c>
      <c r="E3339" s="10">
        <f>IF(D3339&gt;0,VLOOKUP(OPERAC[[#This Row],[COD CART]],[1]!MatrizCortoLargoCyl[#All],3,0),"")</f>
        <v/>
      </c>
      <c r="F3339" s="13" t="inlineStr">
        <is>
          <t>DIS</t>
        </is>
      </c>
      <c r="G3339" s="6" t="n">
        <v>5</v>
      </c>
      <c r="H3339" s="6" t="n">
        <v>-696.356</v>
      </c>
      <c r="I3339" s="7">
        <f>-H3339/G3339</f>
        <v/>
      </c>
      <c r="J3339" s="11" t="n">
        <v>44671</v>
      </c>
      <c r="K3339" s="6">
        <f>+OPERAC[[#This Row],[cantidad]]</f>
        <v/>
      </c>
      <c r="L3339" s="6">
        <f>+OPERAC[[#This Row],[cantidad venta]]*123.621</f>
        <v/>
      </c>
      <c r="M3339" s="7">
        <f>IF(N3339=0,+L3339+H3339,0)</f>
        <v/>
      </c>
      <c r="N3339" s="7">
        <f>IF((+G3339-K3339)=0,0,+G3339-K3339)</f>
        <v/>
      </c>
      <c r="O3339" s="7">
        <f>IF(N3339=0,0,(L3339+H3339)/-N3339)</f>
        <v/>
      </c>
      <c r="P3339" s="7">
        <f>VLOOKUP(OPERAC[[#This Row],[especie]],[1]!ESPECIES[#All],6,0)</f>
        <v/>
      </c>
      <c r="Q3339" s="7">
        <f>IF(N3339&lt;&gt;0,P3339*N3339,0)</f>
        <v/>
      </c>
      <c r="R3339" s="8">
        <f>IF(Q3339&lt;&gt;0,Q3339+H3339+L3339,0)</f>
        <v/>
      </c>
      <c r="S3339" s="9">
        <f>VLOOKUP(OPERAC[[#This Row],[especie]],[1]!ESPECIES[#Data],9,FALSE)</f>
        <v/>
      </c>
    </row>
    <row r="3340">
      <c r="A3340" s="4" t="n">
        <v>6578</v>
      </c>
      <c r="B3340" s="5" t="n">
        <v>44641</v>
      </c>
      <c r="C3340" s="13" t="inlineStr">
        <is>
          <t>CPR</t>
        </is>
      </c>
      <c r="D3340" s="13" t="n">
        <v>42</v>
      </c>
      <c r="E3340" s="10">
        <f>IF(D3340&gt;0,VLOOKUP(OPERAC[[#This Row],[COD CART]],[1]!MatrizCortoLargoCyl[#All],3,0),"")</f>
        <v/>
      </c>
      <c r="F3340" s="13" t="inlineStr">
        <is>
          <t>DIS</t>
        </is>
      </c>
      <c r="G3340" s="6" t="n">
        <v>5</v>
      </c>
      <c r="H3340" s="6" t="n">
        <v>-696.356</v>
      </c>
      <c r="I3340" s="7">
        <f>-H3340/G3340</f>
        <v/>
      </c>
      <c r="J3340" s="11" t="n">
        <v>44671</v>
      </c>
      <c r="K3340" s="6">
        <f>+OPERAC[[#This Row],[cantidad]]</f>
        <v/>
      </c>
      <c r="L3340" s="6">
        <f>+OPERAC[[#This Row],[cantidad venta]]*123.621</f>
        <v/>
      </c>
      <c r="M3340" s="7">
        <f>IF(N3340=0,+L3340+H3340,0)</f>
        <v/>
      </c>
      <c r="N3340" s="7">
        <f>IF((+G3340-K3340)=0,0,+G3340-K3340)</f>
        <v/>
      </c>
      <c r="O3340" s="7">
        <f>IF(N3340=0,0,(L3340+H3340)/-N3340)</f>
        <v/>
      </c>
      <c r="P3340" s="7">
        <f>VLOOKUP(OPERAC[[#This Row],[especie]],[1]!ESPECIES[#All],6,0)</f>
        <v/>
      </c>
      <c r="Q3340" s="7">
        <f>IF(N3340&lt;&gt;0,P3340*N3340,0)</f>
        <v/>
      </c>
      <c r="R3340" s="8">
        <f>IF(Q3340&lt;&gt;0,Q3340+H3340+L3340,0)</f>
        <v/>
      </c>
      <c r="S3340" s="9">
        <f>VLOOKUP(OPERAC[[#This Row],[especie]],[1]!ESPECIES[#Data],9,FALSE)</f>
        <v/>
      </c>
    </row>
    <row r="3341">
      <c r="A3341" s="4" t="n">
        <v>7916</v>
      </c>
      <c r="B3341" s="5" t="n">
        <v>44641</v>
      </c>
      <c r="C3341" s="13" t="inlineStr">
        <is>
          <t>CPR</t>
        </is>
      </c>
      <c r="D3341" s="13" t="n">
        <v>42</v>
      </c>
      <c r="E3341" s="10">
        <f>IF(D3341&gt;0,VLOOKUP(OPERAC[[#This Row],[COD CART]],[1]!MatrizCortoLargoCyl[#All],3,0),"")</f>
        <v/>
      </c>
      <c r="F3341" s="13" t="inlineStr">
        <is>
          <t>DIS</t>
        </is>
      </c>
      <c r="G3341" s="6" t="n">
        <v>5</v>
      </c>
      <c r="H3341" s="6" t="n">
        <v>-696.356</v>
      </c>
      <c r="I3341" s="7">
        <f>-H3341/G3341</f>
        <v/>
      </c>
      <c r="J3341" s="11" t="n">
        <v>44671</v>
      </c>
      <c r="K3341" s="6">
        <f>+OPERAC[[#This Row],[cantidad]]</f>
        <v/>
      </c>
      <c r="L3341" s="6">
        <f>+OPERAC[[#This Row],[cantidad venta]]*123.621</f>
        <v/>
      </c>
      <c r="M3341" s="7">
        <f>IF(N3341=0,+L3341+H3341,0)</f>
        <v/>
      </c>
      <c r="N3341" s="7">
        <f>IF((+G3341-K3341)=0,0,+G3341-K3341)</f>
        <v/>
      </c>
      <c r="O3341" s="7">
        <f>IF(N3341=0,0,(L3341+H3341)/-N3341)</f>
        <v/>
      </c>
      <c r="P3341" s="7">
        <f>VLOOKUP(OPERAC[[#This Row],[especie]],[1]!ESPECIES[#All],6,0)</f>
        <v/>
      </c>
      <c r="Q3341" s="7">
        <f>IF(N3341&lt;&gt;0,P3341*N3341,0)</f>
        <v/>
      </c>
      <c r="R3341" s="8">
        <f>IF(Q3341&lt;&gt;0,Q3341+H3341+L3341,0)</f>
        <v/>
      </c>
      <c r="S3341" s="9">
        <f>VLOOKUP(OPERAC[[#This Row],[especie]],[1]!ESPECIES[#Data],9,FALSE)</f>
        <v/>
      </c>
    </row>
    <row r="3342">
      <c r="A3342" s="4" t="n">
        <v>20312</v>
      </c>
      <c r="B3342" s="5" t="n">
        <v>44641</v>
      </c>
      <c r="C3342" s="13" t="inlineStr">
        <is>
          <t>CPR</t>
        </is>
      </c>
      <c r="D3342" s="13" t="n">
        <v>42</v>
      </c>
      <c r="E3342" s="10">
        <f>IF(D3342&gt;0,VLOOKUP(OPERAC[[#This Row],[COD CART]],[1]!MatrizCortoLargoCyl[#All],3,0),"")</f>
        <v/>
      </c>
      <c r="F3342" s="13" t="inlineStr">
        <is>
          <t>DIS</t>
        </is>
      </c>
      <c r="G3342" s="6" t="n">
        <v>5</v>
      </c>
      <c r="H3342" s="6" t="n">
        <v>-696.356</v>
      </c>
      <c r="I3342" s="7">
        <f>-H3342/G3342</f>
        <v/>
      </c>
      <c r="J3342" s="11" t="n">
        <v>44671</v>
      </c>
      <c r="K3342" s="6">
        <f>+OPERAC[[#This Row],[cantidad]]</f>
        <v/>
      </c>
      <c r="L3342" s="6">
        <f>+OPERAC[[#This Row],[cantidad venta]]*123.621</f>
        <v/>
      </c>
      <c r="M3342" s="7">
        <f>IF(N3342=0,+L3342+H3342,0)</f>
        <v/>
      </c>
      <c r="N3342" s="7">
        <f>IF((+G3342-K3342)=0,0,+G3342-K3342)</f>
        <v/>
      </c>
      <c r="O3342" s="7">
        <f>IF(N3342=0,0,(L3342+H3342)/-N3342)</f>
        <v/>
      </c>
      <c r="P3342" s="7">
        <f>VLOOKUP(OPERAC[[#This Row],[especie]],[1]!ESPECIES[#All],6,0)</f>
        <v/>
      </c>
      <c r="Q3342" s="7">
        <f>IF(N3342&lt;&gt;0,P3342*N3342,0)</f>
        <v/>
      </c>
      <c r="R3342" s="8">
        <f>IF(Q3342&lt;&gt;0,Q3342+H3342+L3342,0)</f>
        <v/>
      </c>
      <c r="S3342" s="9">
        <f>VLOOKUP(OPERAC[[#This Row],[especie]],[1]!ESPECIES[#Data],9,FALSE)</f>
        <v/>
      </c>
    </row>
    <row r="3343">
      <c r="A3343" s="4" t="n">
        <v>16829</v>
      </c>
      <c r="B3343" s="5" t="n">
        <v>44453</v>
      </c>
      <c r="C3343" s="13" t="inlineStr">
        <is>
          <t>CPR</t>
        </is>
      </c>
      <c r="D3343" s="13" t="n">
        <v>40</v>
      </c>
      <c r="E3343" s="10">
        <f>IF(D3343&gt;0,VLOOKUP(OPERAC[[#This Row],[COD CART]],[1]!MatrizCortoLargoCyl[#All],3,0),"")</f>
        <v/>
      </c>
      <c r="F3343" s="13" t="inlineStr">
        <is>
          <t>GMBL</t>
        </is>
      </c>
      <c r="G3343" s="6" t="n">
        <v>100</v>
      </c>
      <c r="H3343" s="6" t="n">
        <v>-697.2320000000001</v>
      </c>
      <c r="I3343" s="7">
        <f>-H3343/G3343</f>
        <v/>
      </c>
      <c r="J3343" s="11" t="n">
        <v>44706</v>
      </c>
      <c r="K3343" s="6" t="n">
        <v>100</v>
      </c>
      <c r="L3343" s="6" t="n">
        <v>35.35</v>
      </c>
      <c r="M3343" s="7">
        <f>IF(N3343=0,+L3343+H3343,0)</f>
        <v/>
      </c>
      <c r="N3343" s="7">
        <f>IF((+G3343-K3343)=0,0,+G3343-K3343)</f>
        <v/>
      </c>
      <c r="O3343" s="7">
        <f>IF(N3343=0,0,(L3343+H3343)/-N3343)</f>
        <v/>
      </c>
      <c r="P3343" s="7">
        <f>VLOOKUP(OPERAC[[#This Row],[especie]],[1]!ESPECIES[#All],6,0)</f>
        <v/>
      </c>
      <c r="Q3343" s="7">
        <f>IF(N3343&lt;&gt;0,P3343*N3343,0)</f>
        <v/>
      </c>
      <c r="R3343" s="8">
        <f>IF(Q3343&lt;&gt;0,Q3343+H3343+L3343,0)</f>
        <v/>
      </c>
      <c r="S3343" s="9">
        <f>VLOOKUP(OPERAC[[#This Row],[especie]],[1]!ESPECIES[#Data],9,FALSE)</f>
        <v/>
      </c>
    </row>
    <row r="3344">
      <c r="A3344" s="4" t="n">
        <v>3853</v>
      </c>
      <c r="B3344" s="5" t="n">
        <v>44655</v>
      </c>
      <c r="C3344" s="13" t="inlineStr">
        <is>
          <t>CPR</t>
        </is>
      </c>
      <c r="D3344" s="13" t="n">
        <v>31</v>
      </c>
      <c r="E3344" s="10">
        <f>IF(D3344&gt;0,VLOOKUP(OPERAC[[#This Row],[COD CART]],[1]!MatrizCortoLargoCyl[#All],3,0),"")</f>
        <v/>
      </c>
      <c r="F3344" s="13" t="inlineStr">
        <is>
          <t>BRK B</t>
        </is>
      </c>
      <c r="G3344" s="6" t="n">
        <v>2</v>
      </c>
      <c r="H3344" s="6" t="n">
        <v>-697.2505600000001</v>
      </c>
      <c r="I3344" s="7">
        <f>-H3344/G3344</f>
        <v/>
      </c>
      <c r="J3344" s="11" t="n">
        <v>44693</v>
      </c>
      <c r="K3344" s="6" t="n">
        <v>2</v>
      </c>
      <c r="L3344" s="6" t="n">
        <v>612.523</v>
      </c>
      <c r="M3344" s="7">
        <f>IF(N3344=0,+L3344+H3344,0)</f>
        <v/>
      </c>
      <c r="N3344" s="7">
        <f>IF((+G3344-K3344)=0,0,+G3344-K3344)</f>
        <v/>
      </c>
      <c r="O3344" s="7">
        <f>IF(N3344=0,0,(L3344+H3344)/-N3344)</f>
        <v/>
      </c>
      <c r="P3344" s="7">
        <f>VLOOKUP(OPERAC[[#This Row],[especie]],[1]!ESPECIES[#All],6,0)</f>
        <v/>
      </c>
      <c r="Q3344" s="7">
        <f>IF(N3344&lt;&gt;0,P3344*N3344,0)</f>
        <v/>
      </c>
      <c r="R3344" s="8">
        <f>IF(Q3344&lt;&gt;0,Q3344+H3344+L3344,0)</f>
        <v/>
      </c>
      <c r="S3344" s="9">
        <f>VLOOKUP(OPERAC[[#This Row],[especie]],[1]!ESPECIES[#Data],9,FALSE)</f>
        <v/>
      </c>
    </row>
    <row r="3345">
      <c r="A3345" s="4" t="n">
        <v>16795</v>
      </c>
      <c r="B3345" s="5" t="n">
        <v>44655</v>
      </c>
      <c r="C3345" s="13" t="inlineStr">
        <is>
          <t>CPR</t>
        </is>
      </c>
      <c r="D3345" s="13" t="n">
        <v>31</v>
      </c>
      <c r="E3345" s="10">
        <f>IF(D3345&gt;0,VLOOKUP(OPERAC[[#This Row],[COD CART]],[1]!MatrizCortoLargoCyl[#All],3,0),"")</f>
        <v/>
      </c>
      <c r="F3345" s="13" t="inlineStr">
        <is>
          <t>BRK B</t>
        </is>
      </c>
      <c r="G3345" s="6" t="n">
        <v>2</v>
      </c>
      <c r="H3345" s="6" t="n">
        <v>-697.2505600000001</v>
      </c>
      <c r="I3345" s="7">
        <f>-H3345/G3345</f>
        <v/>
      </c>
      <c r="J3345" s="11" t="n">
        <v>44693</v>
      </c>
      <c r="K3345" s="6" t="n">
        <v>2</v>
      </c>
      <c r="L3345" s="6" t="n">
        <v>605.2859999999999</v>
      </c>
      <c r="M3345" s="7">
        <f>IF(N3345=0,+L3345+H3345,0)</f>
        <v/>
      </c>
      <c r="N3345" s="7">
        <f>IF((+G3345-K3345)=0,0,+G3345-K3345)</f>
        <v/>
      </c>
      <c r="O3345" s="7">
        <f>IF(N3345=0,0,(L3345+H3345)/-N3345)</f>
        <v/>
      </c>
      <c r="P3345" s="7">
        <f>VLOOKUP(OPERAC[[#This Row],[especie]],[1]!ESPECIES[#All],6,0)</f>
        <v/>
      </c>
      <c r="Q3345" s="7">
        <f>IF(N3345&lt;&gt;0,P3345*N3345,0)</f>
        <v/>
      </c>
      <c r="R3345" s="8">
        <f>IF(Q3345&lt;&gt;0,Q3345+H3345+L3345,0)</f>
        <v/>
      </c>
      <c r="S3345" s="9">
        <f>VLOOKUP(OPERAC[[#This Row],[especie]],[1]!ESPECIES[#Data],9,FALSE)</f>
        <v/>
      </c>
    </row>
    <row r="3346">
      <c r="A3346" s="4" t="n">
        <v>13253</v>
      </c>
      <c r="B3346" s="5" t="n">
        <v>44539</v>
      </c>
      <c r="C3346" s="13" t="inlineStr">
        <is>
          <t>CPR</t>
        </is>
      </c>
      <c r="D3346" s="13" t="n">
        <v>41</v>
      </c>
      <c r="E3346" s="10">
        <f>IF(D3346&gt;0,VLOOKUP(OPERAC[[#This Row],[COD CART]],[1]!MatrizCortoLargoCyl[#All],3,0),"")</f>
        <v/>
      </c>
      <c r="F3346" s="13" t="inlineStr">
        <is>
          <t>BEP</t>
        </is>
      </c>
      <c r="G3346" s="6" t="n">
        <v>20</v>
      </c>
      <c r="H3346" s="6" t="n">
        <v>-697.2659200000001</v>
      </c>
      <c r="I3346" s="7">
        <f>-H3346/G3346</f>
        <v/>
      </c>
      <c r="J3346" s="11" t="n"/>
      <c r="K3346" s="6" t="n"/>
      <c r="L3346" s="6" t="n"/>
      <c r="M3346" s="7">
        <f>IF(N3346=0,+L3346+H3346,0)</f>
        <v/>
      </c>
      <c r="N3346" s="7">
        <f>IF((+G3346-K3346)=0,0,+G3346-K3346)</f>
        <v/>
      </c>
      <c r="O3346" s="7">
        <f>IF(N3346=0,0,(L3346+H3346)/-N3346)</f>
        <v/>
      </c>
      <c r="P3346" s="7">
        <f>VLOOKUP(OPERAC[[#This Row],[especie]],[1]!ESPECIES[#All],6,0)</f>
        <v/>
      </c>
      <c r="Q3346" s="7">
        <f>IF(N3346&lt;&gt;0,P3346*N3346,0)</f>
        <v/>
      </c>
      <c r="R3346" s="8">
        <f>IF(Q3346&lt;&gt;0,Q3346+H3346+L3346,0)</f>
        <v/>
      </c>
      <c r="S3346" s="9">
        <f>VLOOKUP(OPERAC[[#This Row],[especie]],[1]!ESPECIES[#Data],9,FALSE)</f>
        <v/>
      </c>
    </row>
    <row r="3347">
      <c r="A3347" s="4" t="n">
        <v>25070</v>
      </c>
      <c r="B3347" s="5" t="n">
        <v>44650</v>
      </c>
      <c r="C3347" s="13" t="inlineStr">
        <is>
          <t>CPR</t>
        </is>
      </c>
      <c r="D3347" s="13" t="n">
        <v>42</v>
      </c>
      <c r="E3347" s="10">
        <f>IF(D3347&gt;0,VLOOKUP(OPERAC[[#This Row],[COD CART]],[1]!MatrizCortoLargoCyl[#All],3,0),"")</f>
        <v/>
      </c>
      <c r="F3347" s="13" t="inlineStr">
        <is>
          <t>FB</t>
        </is>
      </c>
      <c r="G3347" s="6" t="n">
        <v>3</v>
      </c>
      <c r="H3347" s="6" t="n">
        <v>-697.386</v>
      </c>
      <c r="I3347" s="7">
        <f>-H3347/G3347</f>
        <v/>
      </c>
      <c r="J3347" s="11" t="n">
        <v>44671</v>
      </c>
      <c r="K3347" s="6">
        <f>+OPERAC[[#This Row],[cantidad]]</f>
        <v/>
      </c>
      <c r="L3347" s="6">
        <f>+OPERAC[[#This Row],[cantidad venta]]*213.173</f>
        <v/>
      </c>
      <c r="M3347" s="7">
        <f>IF(N3347=0,+L3347+H3347,0)</f>
        <v/>
      </c>
      <c r="N3347" s="7">
        <f>IF((+G3347-K3347)=0,0,+G3347-K3347)</f>
        <v/>
      </c>
      <c r="O3347" s="7">
        <f>IF(N3347=0,0,(L3347+H3347)/-N3347)</f>
        <v/>
      </c>
      <c r="P3347" s="7">
        <f>VLOOKUP(OPERAC[[#This Row],[especie]],[1]!ESPECIES[#All],6,0)</f>
        <v/>
      </c>
      <c r="Q3347" s="7">
        <f>IF(N3347&lt;&gt;0,P3347*N3347,0)</f>
        <v/>
      </c>
      <c r="R3347" s="8">
        <f>IF(Q3347&lt;&gt;0,Q3347+H3347+L3347,0)</f>
        <v/>
      </c>
      <c r="S3347" s="9">
        <f>VLOOKUP(OPERAC[[#This Row],[especie]],[1]!ESPECIES[#Data],9,FALSE)</f>
        <v/>
      </c>
    </row>
    <row r="3348">
      <c r="A3348" s="4" t="n">
        <v>13185</v>
      </c>
      <c r="B3348" s="5" t="n">
        <v>44650</v>
      </c>
      <c r="C3348" s="13" t="inlineStr">
        <is>
          <t>CPR</t>
        </is>
      </c>
      <c r="D3348" s="13" t="n">
        <v>42</v>
      </c>
      <c r="E3348" s="10">
        <f>IF(D3348&gt;0,VLOOKUP(OPERAC[[#This Row],[COD CART]],[1]!MatrizCortoLargoCyl[#All],3,0),"")</f>
        <v/>
      </c>
      <c r="F3348" s="13" t="inlineStr">
        <is>
          <t>FB</t>
        </is>
      </c>
      <c r="G3348" s="6" t="n">
        <v>3</v>
      </c>
      <c r="H3348" s="6" t="n">
        <v>-697.38648</v>
      </c>
      <c r="I3348" s="7">
        <f>-H3348/G3348</f>
        <v/>
      </c>
      <c r="J3348" s="11" t="n">
        <v>44671</v>
      </c>
      <c r="K3348" s="6">
        <f>+OPERAC[[#This Row],[cantidad]]</f>
        <v/>
      </c>
      <c r="L3348" s="6">
        <f>+OPERAC[[#This Row],[cantidad venta]]*213.173</f>
        <v/>
      </c>
      <c r="M3348" s="7">
        <f>IF(N3348=0,+L3348+H3348,0)</f>
        <v/>
      </c>
      <c r="N3348" s="7">
        <f>IF((+G3348-K3348)=0,0,+G3348-K3348)</f>
        <v/>
      </c>
      <c r="O3348" s="7">
        <f>IF(N3348=0,0,(L3348+H3348)/-N3348)</f>
        <v/>
      </c>
      <c r="P3348" s="7">
        <f>VLOOKUP(OPERAC[[#This Row],[especie]],[1]!ESPECIES[#All],6,0)</f>
        <v/>
      </c>
      <c r="Q3348" s="7">
        <f>IF(N3348&lt;&gt;0,P3348*N3348,0)</f>
        <v/>
      </c>
      <c r="R3348" s="8">
        <f>IF(Q3348&lt;&gt;0,Q3348+H3348+L3348,0)</f>
        <v/>
      </c>
      <c r="S3348" s="9">
        <f>VLOOKUP(OPERAC[[#This Row],[especie]],[1]!ESPECIES[#Data],9,FALSE)</f>
        <v/>
      </c>
    </row>
    <row r="3349">
      <c r="A3349" s="4" t="n">
        <v>20317</v>
      </c>
      <c r="B3349" s="5" t="n">
        <v>44722</v>
      </c>
      <c r="C3349" s="13" t="inlineStr">
        <is>
          <t>CPR</t>
        </is>
      </c>
      <c r="D3349" s="13" t="n">
        <v>40</v>
      </c>
      <c r="E3349" s="10">
        <f>IF(D3349&gt;0,VLOOKUP(OPERAC[[#This Row],[COD CART]],[1]!MatrizCortoLargoCyl[#All],3,0),"")</f>
        <v/>
      </c>
      <c r="F3349" s="13" t="inlineStr">
        <is>
          <t>COTY</t>
        </is>
      </c>
      <c r="G3349" s="6" t="n">
        <v>100</v>
      </c>
      <c r="H3349" s="6" t="n">
        <v>-697.8819999999999</v>
      </c>
      <c r="I3349" s="7">
        <f>-H3349/G3349</f>
        <v/>
      </c>
      <c r="J3349" s="5" t="n"/>
      <c r="K3349" s="6" t="n"/>
      <c r="L3349" s="6" t="n"/>
      <c r="M3349" s="7">
        <f>IF(N3349=0,+L3349+H3349,0)</f>
        <v/>
      </c>
      <c r="N3349" s="7">
        <f>IF((+G3349-K3349)=0,0,+G3349-K3349)</f>
        <v/>
      </c>
      <c r="O3349" s="7">
        <f>IF(N3349=0,0,(L3349+H3349)/-N3349)</f>
        <v/>
      </c>
      <c r="P3349" s="7">
        <f>VLOOKUP(OPERAC[[#This Row],[especie]],[1]!ESPECIES[#All],6,0)</f>
        <v/>
      </c>
      <c r="Q3349" s="7">
        <f>IF(N3349&lt;&gt;0,P3349*N3349,0)</f>
        <v/>
      </c>
      <c r="R3349" s="8">
        <f>IF(Q3349&lt;&gt;0,Q3349+H3349+L3349,0)</f>
        <v/>
      </c>
      <c r="S3349" s="9">
        <f>VLOOKUP(OPERAC[[#This Row],[especie]],[1]!ESPECIES[#Data],9,FALSE)</f>
        <v/>
      </c>
    </row>
    <row r="3350">
      <c r="A3350" s="4" t="n">
        <v>22399</v>
      </c>
      <c r="B3350" s="5" t="n">
        <v>44649</v>
      </c>
      <c r="C3350" s="13" t="inlineStr">
        <is>
          <t>CPR</t>
        </is>
      </c>
      <c r="D3350" s="13" t="n">
        <v>42</v>
      </c>
      <c r="E3350" s="10">
        <f>IF(D3350&gt;0,VLOOKUP(OPERAC[[#This Row],[COD CART]],[1]!MatrizCortoLargoCyl[#All],3,0),"")</f>
        <v/>
      </c>
      <c r="F3350" s="13" t="inlineStr">
        <is>
          <t>FB</t>
        </is>
      </c>
      <c r="G3350" s="6" t="n">
        <v>3</v>
      </c>
      <c r="H3350" s="6" t="n">
        <v>-697.90932</v>
      </c>
      <c r="I3350" s="7">
        <f>-H3350/G3350</f>
        <v/>
      </c>
      <c r="J3350" s="11" t="n">
        <v>44671</v>
      </c>
      <c r="K3350" s="6">
        <f>+OPERAC[[#This Row],[cantidad]]</f>
        <v/>
      </c>
      <c r="L3350" s="6">
        <f>+OPERAC[[#This Row],[cantidad venta]]*213.173</f>
        <v/>
      </c>
      <c r="M3350" s="7">
        <f>IF(N3350=0,+L3350+H3350,0)</f>
        <v/>
      </c>
      <c r="N3350" s="7">
        <f>IF((+G3350-K3350)=0,0,+G3350-K3350)</f>
        <v/>
      </c>
      <c r="O3350" s="7">
        <f>IF(N3350=0,0,(L3350+H3350)/-N3350)</f>
        <v/>
      </c>
      <c r="P3350" s="7">
        <f>VLOOKUP(OPERAC[[#This Row],[especie]],[1]!ESPECIES[#All],6,0)</f>
        <v/>
      </c>
      <c r="Q3350" s="7">
        <f>IF(N3350&lt;&gt;0,P3350*N3350,0)</f>
        <v/>
      </c>
      <c r="R3350" s="8">
        <f>IF(Q3350&lt;&gt;0,Q3350+H3350+L3350,0)</f>
        <v/>
      </c>
      <c r="S3350" s="9">
        <f>VLOOKUP(OPERAC[[#This Row],[especie]],[1]!ESPECIES[#Data],9,FALSE)</f>
        <v/>
      </c>
    </row>
    <row r="3351">
      <c r="A3351" s="4" t="n">
        <v>19920</v>
      </c>
      <c r="B3351" s="5" t="n">
        <v>44637</v>
      </c>
      <c r="C3351" s="13" t="inlineStr">
        <is>
          <t>CPR</t>
        </is>
      </c>
      <c r="D3351" s="13" t="n">
        <v>31</v>
      </c>
      <c r="E3351" s="10">
        <f>IF(D3351&gt;0,VLOOKUP(OPERAC[[#This Row],[COD CART]],[1]!MatrizCortoLargoCyl[#All],3,0),"")</f>
        <v/>
      </c>
      <c r="F3351" s="13" t="inlineStr">
        <is>
          <t>DIS</t>
        </is>
      </c>
      <c r="G3351" s="6" t="n">
        <v>5</v>
      </c>
      <c r="H3351" s="6" t="n">
        <v>-698.0359999999999</v>
      </c>
      <c r="I3351" s="7">
        <f>-H3351/G3351</f>
        <v/>
      </c>
      <c r="J3351" s="11" t="n"/>
      <c r="K3351" s="6" t="n"/>
      <c r="L3351" s="6" t="n"/>
      <c r="M3351" s="7">
        <f>IF(N3351=0,+L3351+H3351,0)</f>
        <v/>
      </c>
      <c r="N3351" s="7">
        <f>IF((+G3351-K3351)=0,0,+G3351-K3351)</f>
        <v/>
      </c>
      <c r="O3351" s="7">
        <f>IF(N3351=0,0,(L3351+H3351)/-N3351)</f>
        <v/>
      </c>
      <c r="P3351" s="7">
        <f>VLOOKUP(OPERAC[[#This Row],[especie]],[1]!ESPECIES[#All],6,0)</f>
        <v/>
      </c>
      <c r="Q3351" s="7">
        <f>IF(N3351&lt;&gt;0,P3351*N3351,0)</f>
        <v/>
      </c>
      <c r="R3351" s="8">
        <f>IF(Q3351&lt;&gt;0,Q3351+H3351+L3351,0)</f>
        <v/>
      </c>
      <c r="S3351" s="9">
        <f>VLOOKUP(OPERAC[[#This Row],[especie]],[1]!ESPECIES[#Data],9,FALSE)</f>
        <v/>
      </c>
    </row>
    <row r="3352">
      <c r="A3352" s="4" t="n">
        <v>18690</v>
      </c>
      <c r="B3352" s="5" t="n">
        <v>44637</v>
      </c>
      <c r="C3352" s="13" t="inlineStr">
        <is>
          <t>CPR</t>
        </is>
      </c>
      <c r="D3352" s="13" t="n">
        <v>31</v>
      </c>
      <c r="E3352" s="10">
        <f>IF(D3352&gt;0,VLOOKUP(OPERAC[[#This Row],[COD CART]],[1]!MatrizCortoLargoCyl[#All],3,0),"")</f>
        <v/>
      </c>
      <c r="F3352" s="13" t="inlineStr">
        <is>
          <t>DIS</t>
        </is>
      </c>
      <c r="G3352" s="6" t="n">
        <v>5</v>
      </c>
      <c r="H3352" s="6" t="n">
        <v>-698.0359999999999</v>
      </c>
      <c r="I3352" s="7">
        <f>-H3352/G3352</f>
        <v/>
      </c>
      <c r="J3352" s="11" t="n"/>
      <c r="K3352" s="6" t="n"/>
      <c r="L3352" s="6" t="n"/>
      <c r="M3352" s="7">
        <f>IF(N3352=0,+L3352+H3352,0)</f>
        <v/>
      </c>
      <c r="N3352" s="7">
        <f>IF((+G3352-K3352)=0,0,+G3352-K3352)</f>
        <v/>
      </c>
      <c r="O3352" s="7">
        <f>IF(N3352=0,0,(L3352+H3352)/-N3352)</f>
        <v/>
      </c>
      <c r="P3352" s="7">
        <f>VLOOKUP(OPERAC[[#This Row],[especie]],[1]!ESPECIES[#All],6,0)</f>
        <v/>
      </c>
      <c r="Q3352" s="7">
        <f>IF(N3352&lt;&gt;0,P3352*N3352,0)</f>
        <v/>
      </c>
      <c r="R3352" s="8">
        <f>IF(Q3352&lt;&gt;0,Q3352+H3352+L3352,0)</f>
        <v/>
      </c>
      <c r="S3352" s="9">
        <f>VLOOKUP(OPERAC[[#This Row],[especie]],[1]!ESPECIES[#Data],9,FALSE)</f>
        <v/>
      </c>
    </row>
    <row r="3353">
      <c r="A3353" s="4" t="n">
        <v>19934</v>
      </c>
      <c r="B3353" s="5" t="n">
        <v>44722</v>
      </c>
      <c r="C3353" s="13" t="inlineStr">
        <is>
          <t>CPR</t>
        </is>
      </c>
      <c r="D3353" s="13" t="n">
        <v>40</v>
      </c>
      <c r="E3353" s="10">
        <f>IF(D3353&gt;0,VLOOKUP(OPERAC[[#This Row],[COD CART]],[1]!MatrizCortoLargoCyl[#All],3,0),"")</f>
        <v/>
      </c>
      <c r="F3353" s="13" t="inlineStr">
        <is>
          <t>MELI</t>
        </is>
      </c>
      <c r="G3353" s="6" t="n">
        <v>1</v>
      </c>
      <c r="H3353" s="6" t="n">
        <v>-698.3257400000001</v>
      </c>
      <c r="I3353" s="7">
        <f>-H3353/G3353</f>
        <v/>
      </c>
      <c r="J3353" s="5" t="n"/>
      <c r="K3353" s="6" t="n"/>
      <c r="L3353" s="6" t="n"/>
      <c r="M3353" s="7">
        <f>IF(N3353=0,+L3353+H3353,0)</f>
        <v/>
      </c>
      <c r="N3353" s="7">
        <f>IF((+G3353-K3353)=0,0,+G3353-K3353)</f>
        <v/>
      </c>
      <c r="O3353" s="7">
        <f>IF(N3353=0,0,(L3353+H3353)/-N3353)</f>
        <v/>
      </c>
      <c r="P3353" s="7">
        <f>VLOOKUP(OPERAC[[#This Row],[especie]],[1]!ESPECIES[#All],6,0)</f>
        <v/>
      </c>
      <c r="Q3353" s="7">
        <f>IF(N3353&lt;&gt;0,P3353*N3353,0)</f>
        <v/>
      </c>
      <c r="R3353" s="8">
        <f>IF(Q3353&lt;&gt;0,Q3353+H3353+L3353,0)</f>
        <v/>
      </c>
      <c r="S3353" s="9">
        <f>VLOOKUP(OPERAC[[#This Row],[especie]],[1]!ESPECIES[#Data],9,FALSE)</f>
        <v/>
      </c>
    </row>
    <row r="3354">
      <c r="A3354" s="4" t="n">
        <v>12672</v>
      </c>
      <c r="B3354" s="5" t="n">
        <v>44643</v>
      </c>
      <c r="C3354" s="13" t="inlineStr">
        <is>
          <t>CPR</t>
        </is>
      </c>
      <c r="D3354" s="13" t="n">
        <v>42</v>
      </c>
      <c r="E3354" s="10">
        <f>IF(D3354&gt;0,VLOOKUP(OPERAC[[#This Row],[COD CART]],[1]!MatrizCortoLargoCyl[#All],3,0),"")</f>
        <v/>
      </c>
      <c r="F3354" s="13" t="inlineStr">
        <is>
          <t>DIS</t>
        </is>
      </c>
      <c r="G3354" s="6" t="n">
        <v>5</v>
      </c>
      <c r="H3354" s="6" t="n">
        <v>-698.51075</v>
      </c>
      <c r="I3354" s="7">
        <f>-H3354/G3354</f>
        <v/>
      </c>
      <c r="J3354" s="11" t="n">
        <v>44671</v>
      </c>
      <c r="K3354" s="6">
        <f>+OPERAC[[#This Row],[cantidad]]</f>
        <v/>
      </c>
      <c r="L3354" s="6">
        <f>+OPERAC[[#This Row],[cantidad venta]]*123.621</f>
        <v/>
      </c>
      <c r="M3354" s="7">
        <f>IF(N3354=0,+L3354+H3354,0)</f>
        <v/>
      </c>
      <c r="N3354" s="7">
        <f>IF((+G3354-K3354)=0,0,+G3354-K3354)</f>
        <v/>
      </c>
      <c r="O3354" s="7">
        <f>IF(N3354=0,0,(L3354+H3354)/-N3354)</f>
        <v/>
      </c>
      <c r="P3354" s="7">
        <f>VLOOKUP(OPERAC[[#This Row],[especie]],[1]!ESPECIES[#All],6,0)</f>
        <v/>
      </c>
      <c r="Q3354" s="7">
        <f>IF(N3354&lt;&gt;0,P3354*N3354,0)</f>
        <v/>
      </c>
      <c r="R3354" s="8">
        <f>IF(Q3354&lt;&gt;0,Q3354+H3354+L3354,0)</f>
        <v/>
      </c>
      <c r="S3354" s="9">
        <f>VLOOKUP(OPERAC[[#This Row],[especie]],[1]!ESPECIES[#Data],9,FALSE)</f>
        <v/>
      </c>
    </row>
    <row r="3355">
      <c r="A3355" s="4" t="n">
        <v>19888</v>
      </c>
      <c r="B3355" s="5" t="n">
        <v>44643</v>
      </c>
      <c r="C3355" s="13" t="inlineStr">
        <is>
          <t>CPR</t>
        </is>
      </c>
      <c r="D3355" s="13" t="n">
        <v>42</v>
      </c>
      <c r="E3355" s="10">
        <f>IF(D3355&gt;0,VLOOKUP(OPERAC[[#This Row],[COD CART]],[1]!MatrizCortoLargoCyl[#All],3,0),"")</f>
        <v/>
      </c>
      <c r="F3355" s="13" t="inlineStr">
        <is>
          <t>DIS</t>
        </is>
      </c>
      <c r="G3355" s="6" t="n">
        <v>5</v>
      </c>
      <c r="H3355" s="6" t="n">
        <v>-698.51075</v>
      </c>
      <c r="I3355" s="7">
        <f>-H3355/G3355</f>
        <v/>
      </c>
      <c r="J3355" s="11" t="n">
        <v>44671</v>
      </c>
      <c r="K3355" s="6">
        <f>+OPERAC[[#This Row],[cantidad]]</f>
        <v/>
      </c>
      <c r="L3355" s="6">
        <f>+OPERAC[[#This Row],[cantidad venta]]*123.621</f>
        <v/>
      </c>
      <c r="M3355" s="7">
        <f>IF(N3355=0,+L3355+H3355,0)</f>
        <v/>
      </c>
      <c r="N3355" s="7">
        <f>IF((+G3355-K3355)=0,0,+G3355-K3355)</f>
        <v/>
      </c>
      <c r="O3355" s="7">
        <f>IF(N3355=0,0,(L3355+H3355)/-N3355)</f>
        <v/>
      </c>
      <c r="P3355" s="7">
        <f>VLOOKUP(OPERAC[[#This Row],[especie]],[1]!ESPECIES[#All],6,0)</f>
        <v/>
      </c>
      <c r="Q3355" s="7">
        <f>IF(N3355&lt;&gt;0,P3355*N3355,0)</f>
        <v/>
      </c>
      <c r="R3355" s="8">
        <f>IF(Q3355&lt;&gt;0,Q3355+H3355+L3355,0)</f>
        <v/>
      </c>
      <c r="S3355" s="9">
        <f>VLOOKUP(OPERAC[[#This Row],[especie]],[1]!ESPECIES[#Data],9,FALSE)</f>
        <v/>
      </c>
    </row>
    <row r="3356">
      <c r="A3356" s="4" t="n">
        <v>22421</v>
      </c>
      <c r="B3356" s="5" t="n">
        <v>44643</v>
      </c>
      <c r="C3356" s="13" t="inlineStr">
        <is>
          <t>CPR</t>
        </is>
      </c>
      <c r="D3356" s="13" t="n">
        <v>42</v>
      </c>
      <c r="E3356" s="10">
        <f>IF(D3356&gt;0,VLOOKUP(OPERAC[[#This Row],[COD CART]],[1]!MatrizCortoLargoCyl[#All],3,0),"")</f>
        <v/>
      </c>
      <c r="F3356" s="13" t="inlineStr">
        <is>
          <t>DIS</t>
        </is>
      </c>
      <c r="G3356" s="6" t="n">
        <v>5</v>
      </c>
      <c r="H3356" s="6" t="n">
        <v>-698.51075</v>
      </c>
      <c r="I3356" s="7">
        <f>-H3356/G3356</f>
        <v/>
      </c>
      <c r="J3356" s="11" t="n">
        <v>44671</v>
      </c>
      <c r="K3356" s="6">
        <f>+OPERAC[[#This Row],[cantidad]]</f>
        <v/>
      </c>
      <c r="L3356" s="6">
        <f>+OPERAC[[#This Row],[cantidad venta]]*123.621</f>
        <v/>
      </c>
      <c r="M3356" s="7">
        <f>IF(N3356=0,+L3356+H3356,0)</f>
        <v/>
      </c>
      <c r="N3356" s="7">
        <f>IF((+G3356-K3356)=0,0,+G3356-K3356)</f>
        <v/>
      </c>
      <c r="O3356" s="7">
        <f>IF(N3356=0,0,(L3356+H3356)/-N3356)</f>
        <v/>
      </c>
      <c r="P3356" s="7">
        <f>VLOOKUP(OPERAC[[#This Row],[especie]],[1]!ESPECIES[#All],6,0)</f>
        <v/>
      </c>
      <c r="Q3356" s="7">
        <f>IF(N3356&lt;&gt;0,P3356*N3356,0)</f>
        <v/>
      </c>
      <c r="R3356" s="8">
        <f>IF(Q3356&lt;&gt;0,Q3356+H3356+L3356,0)</f>
        <v/>
      </c>
      <c r="S3356" s="9">
        <f>VLOOKUP(OPERAC[[#This Row],[especie]],[1]!ESPECIES[#Data],9,FALSE)</f>
        <v/>
      </c>
    </row>
    <row r="3357">
      <c r="A3357" s="4" t="n">
        <v>19931</v>
      </c>
      <c r="B3357" s="5" t="n">
        <v>44722</v>
      </c>
      <c r="C3357" s="13" t="inlineStr">
        <is>
          <t>CPR</t>
        </is>
      </c>
      <c r="D3357" s="13" t="n">
        <v>40</v>
      </c>
      <c r="E3357" s="10">
        <f>IF(D3357&gt;0,VLOOKUP(OPERAC[[#This Row],[COD CART]],[1]!MatrizCortoLargoCyl[#All],3,0),"")</f>
        <v/>
      </c>
      <c r="F3357" s="13" t="inlineStr">
        <is>
          <t>MELI</t>
        </is>
      </c>
      <c r="G3357" s="6" t="n">
        <v>1</v>
      </c>
      <c r="H3357" s="6" t="n">
        <v>-698.981265</v>
      </c>
      <c r="I3357" s="7">
        <f>-H3357/G3357</f>
        <v/>
      </c>
      <c r="J3357" s="5" t="n"/>
      <c r="K3357" s="6" t="n"/>
      <c r="L3357" s="6" t="n"/>
      <c r="M3357" s="7">
        <f>IF(N3357=0,+L3357+H3357,0)</f>
        <v/>
      </c>
      <c r="N3357" s="7">
        <f>IF((+G3357-K3357)=0,0,+G3357-K3357)</f>
        <v/>
      </c>
      <c r="O3357" s="7">
        <f>IF(N3357=0,0,(L3357+H3357)/-N3357)</f>
        <v/>
      </c>
      <c r="P3357" s="7">
        <f>VLOOKUP(OPERAC[[#This Row],[especie]],[1]!ESPECIES[#All],6,0)</f>
        <v/>
      </c>
      <c r="Q3357" s="7">
        <f>IF(N3357&lt;&gt;0,P3357*N3357,0)</f>
        <v/>
      </c>
      <c r="R3357" s="8">
        <f>IF(Q3357&lt;&gt;0,Q3357+H3357+L3357,0)</f>
        <v/>
      </c>
      <c r="S3357" s="9">
        <f>VLOOKUP(OPERAC[[#This Row],[especie]],[1]!ESPECIES[#Data],9,FALSE)</f>
        <v/>
      </c>
    </row>
    <row r="3358">
      <c r="A3358" s="4" t="n">
        <v>13253</v>
      </c>
      <c r="B3358" s="5" t="n">
        <v>44539</v>
      </c>
      <c r="C3358" s="13" t="inlineStr">
        <is>
          <t>CPR</t>
        </is>
      </c>
      <c r="D3358" s="13" t="n">
        <v>41</v>
      </c>
      <c r="E3358" s="10">
        <f>IF(D3358&gt;0,VLOOKUP(OPERAC[[#This Row],[COD CART]],[1]!MatrizCortoLargoCyl[#All],3,0),"")</f>
        <v/>
      </c>
      <c r="F3358" s="13" t="inlineStr">
        <is>
          <t>T</t>
        </is>
      </c>
      <c r="G3358" s="6" t="n">
        <v>40</v>
      </c>
      <c r="H3358" s="6">
        <f>-17.52*OPERAC[[#This Row],[cantidad]]</f>
        <v/>
      </c>
      <c r="I3358" s="7">
        <f>-H3358/G3358</f>
        <v/>
      </c>
      <c r="J3358" s="11" t="n"/>
      <c r="K3358" s="6" t="n"/>
      <c r="L3358" s="6" t="n"/>
      <c r="M3358" s="7">
        <f>IF(N3358=0,+L3358+H3358,0)</f>
        <v/>
      </c>
      <c r="N3358" s="7">
        <f>IF((+G3358-K3358)=0,0,+G3358-K3358)</f>
        <v/>
      </c>
      <c r="O3358" s="7">
        <f>IF(N3358=0,0,(L3358+H3358)/-N3358)</f>
        <v/>
      </c>
      <c r="P3358" s="7">
        <f>VLOOKUP(OPERAC[[#This Row],[especie]],[1]!ESPECIES[#All],6,0)</f>
        <v/>
      </c>
      <c r="Q3358" s="7">
        <f>IF(N3358&lt;&gt;0,P3358*N3358,0)</f>
        <v/>
      </c>
      <c r="R3358" s="8">
        <f>IF(Q3358&lt;&gt;0,Q3358+H3358+L3358,0)</f>
        <v/>
      </c>
      <c r="S3358" s="9">
        <f>VLOOKUP(OPERAC[[#This Row],[especie]],[1]!ESPECIES[#Data],9,FALSE)</f>
        <v/>
      </c>
    </row>
    <row r="3359">
      <c r="A3359" s="4" t="n">
        <v>7493</v>
      </c>
      <c r="B3359" s="5" t="n">
        <v>44643</v>
      </c>
      <c r="C3359" s="13" t="inlineStr">
        <is>
          <t>CPR</t>
        </is>
      </c>
      <c r="D3359" s="13" t="n">
        <v>31</v>
      </c>
      <c r="E3359" s="10">
        <f>IF(D3359&gt;0,VLOOKUP(OPERAC[[#This Row],[COD CART]],[1]!MatrizCortoLargoCyl[#All],3,0),"")</f>
        <v/>
      </c>
      <c r="F3359" s="13" t="inlineStr">
        <is>
          <t>BRK B</t>
        </is>
      </c>
      <c r="G3359" s="6" t="n">
        <v>2</v>
      </c>
      <c r="H3359" s="6" t="n">
        <v>-701.3446400000001</v>
      </c>
      <c r="I3359" s="7">
        <f>-H3359/G3359</f>
        <v/>
      </c>
      <c r="J3359" s="11" t="n">
        <v>44693</v>
      </c>
      <c r="K3359" s="6" t="n">
        <v>2</v>
      </c>
      <c r="L3359" s="6" t="n">
        <v>612.523</v>
      </c>
      <c r="M3359" s="7">
        <f>IF(N3359=0,+L3359+H3359,0)</f>
        <v/>
      </c>
      <c r="N3359" s="7">
        <f>IF((+G3359-K3359)=0,0,+G3359-K3359)</f>
        <v/>
      </c>
      <c r="O3359" s="7">
        <f>IF(N3359=0,0,(L3359+H3359)/-N3359)</f>
        <v/>
      </c>
      <c r="P3359" s="7">
        <f>VLOOKUP(OPERAC[[#This Row],[especie]],[1]!ESPECIES[#All],6,0)</f>
        <v/>
      </c>
      <c r="Q3359" s="7">
        <f>IF(N3359&lt;&gt;0,P3359*N3359,0)</f>
        <v/>
      </c>
      <c r="R3359" s="8">
        <f>IF(Q3359&lt;&gt;0,Q3359+H3359+L3359,0)</f>
        <v/>
      </c>
      <c r="S3359" s="9">
        <f>VLOOKUP(OPERAC[[#This Row],[especie]],[1]!ESPECIES[#Data],9,FALSE)</f>
        <v/>
      </c>
    </row>
    <row r="3360">
      <c r="A3360" s="4" t="n">
        <v>13180</v>
      </c>
      <c r="B3360" s="5" t="n">
        <v>44643</v>
      </c>
      <c r="C3360" s="13" t="inlineStr">
        <is>
          <t>CPR</t>
        </is>
      </c>
      <c r="D3360" s="13" t="n">
        <v>31</v>
      </c>
      <c r="E3360" s="10">
        <f>IF(D3360&gt;0,VLOOKUP(OPERAC[[#This Row],[COD CART]],[1]!MatrizCortoLargoCyl[#All],3,0),"")</f>
        <v/>
      </c>
      <c r="F3360" s="13" t="inlineStr">
        <is>
          <t>BRK B</t>
        </is>
      </c>
      <c r="G3360" s="6" t="n">
        <v>2</v>
      </c>
      <c r="H3360" s="6" t="n">
        <v>-701.3446400000001</v>
      </c>
      <c r="I3360" s="7">
        <f>-H3360/G3360</f>
        <v/>
      </c>
      <c r="J3360" s="11" t="n"/>
      <c r="K3360" s="6" t="n"/>
      <c r="L3360" s="6" t="n"/>
      <c r="M3360" s="7">
        <f>IF(N3360=0,+L3360+H3360,0)</f>
        <v/>
      </c>
      <c r="N3360" s="7">
        <f>IF((+G3360-K3360)=0,0,+G3360-K3360)</f>
        <v/>
      </c>
      <c r="O3360" s="7">
        <f>IF(N3360=0,0,(L3360+H3360)/-N3360)</f>
        <v/>
      </c>
      <c r="P3360" s="7">
        <f>VLOOKUP(OPERAC[[#This Row],[especie]],[1]!ESPECIES[#All],6,0)</f>
        <v/>
      </c>
      <c r="Q3360" s="7">
        <f>IF(N3360&lt;&gt;0,P3360*N3360,0)</f>
        <v/>
      </c>
      <c r="R3360" s="8">
        <f>IF(Q3360&lt;&gt;0,Q3360+H3360+L3360,0)</f>
        <v/>
      </c>
      <c r="S3360" s="9">
        <f>VLOOKUP(OPERAC[[#This Row],[especie]],[1]!ESPECIES[#Data],9,FALSE)</f>
        <v/>
      </c>
    </row>
    <row r="3361">
      <c r="A3361" s="4" t="n">
        <v>13253</v>
      </c>
      <c r="B3361" s="5" t="n">
        <v>44559</v>
      </c>
      <c r="C3361" s="13" t="inlineStr">
        <is>
          <t>CPR</t>
        </is>
      </c>
      <c r="D3361" s="13" t="n">
        <v>41</v>
      </c>
      <c r="E3361" s="10">
        <f>IF(D3361&gt;0,VLOOKUP(OPERAC[[#This Row],[COD CART]],[1]!MatrizCortoLargoCyl[#All],3,0),"")</f>
        <v/>
      </c>
      <c r="F3361" s="13" t="inlineStr">
        <is>
          <t>BEP</t>
        </is>
      </c>
      <c r="G3361" s="6" t="n">
        <v>20</v>
      </c>
      <c r="H3361" s="6" t="n">
        <v>-702.165</v>
      </c>
      <c r="I3361" s="7">
        <f>-H3361/G3361</f>
        <v/>
      </c>
      <c r="J3361" s="11" t="n"/>
      <c r="K3361" s="6" t="n"/>
      <c r="L3361" s="6" t="n"/>
      <c r="M3361" s="7">
        <f>IF(N3361=0,+L3361+H3361,0)</f>
        <v/>
      </c>
      <c r="N3361" s="7">
        <f>IF((+G3361-K3361)=0,0,+G3361-K3361)</f>
        <v/>
      </c>
      <c r="O3361" s="7">
        <f>IF(N3361=0,0,(L3361+H3361)/-N3361)</f>
        <v/>
      </c>
      <c r="P3361" s="7">
        <f>VLOOKUP(OPERAC[[#This Row],[especie]],[1]!ESPECIES[#All],6,0)</f>
        <v/>
      </c>
      <c r="Q3361" s="7">
        <f>IF(N3361&lt;&gt;0,P3361*N3361,0)</f>
        <v/>
      </c>
      <c r="R3361" s="8">
        <f>IF(Q3361&lt;&gt;0,Q3361+H3361+L3361,0)</f>
        <v/>
      </c>
      <c r="S3361" s="9">
        <f>VLOOKUP(OPERAC[[#This Row],[especie]],[1]!ESPECIES[#Data],9,FALSE)</f>
        <v/>
      </c>
    </row>
    <row r="3362">
      <c r="A3362" s="4" t="n">
        <v>2305</v>
      </c>
      <c r="B3362" s="5" t="n">
        <v>44641</v>
      </c>
      <c r="C3362" s="13" t="inlineStr">
        <is>
          <t>CPR</t>
        </is>
      </c>
      <c r="D3362" s="13" t="n">
        <v>42</v>
      </c>
      <c r="E3362" s="10">
        <f>IF(D3362&gt;0,VLOOKUP(OPERAC[[#This Row],[COD CART]],[1]!MatrizCortoLargoCyl[#All],3,0),"")</f>
        <v/>
      </c>
      <c r="F3362" s="13" t="inlineStr">
        <is>
          <t>JPM</t>
        </is>
      </c>
      <c r="G3362" s="6" t="n">
        <v>5</v>
      </c>
      <c r="H3362" s="6" t="n">
        <v>-702.2717000000001</v>
      </c>
      <c r="I3362" s="7">
        <f>-H3362/G3362</f>
        <v/>
      </c>
      <c r="J3362" s="11" t="n">
        <v>44664</v>
      </c>
      <c r="K3362" s="6">
        <f>+OPERAC[[#This Row],[cantidad]]</f>
        <v/>
      </c>
      <c r="L3362" s="6">
        <f>+OPERAC[[#This Row],[cantidad venta]]*125.943</f>
        <v/>
      </c>
      <c r="M3362" s="7">
        <f>IF(N3362=0,+L3362+H3362,0)</f>
        <v/>
      </c>
      <c r="N3362" s="7">
        <f>IF((+G3362-K3362)=0,0,+G3362-K3362)</f>
        <v/>
      </c>
      <c r="O3362" s="7">
        <f>IF(N3362=0,0,(L3362+H3362)/-N3362)</f>
        <v/>
      </c>
      <c r="P3362" s="7">
        <f>VLOOKUP(OPERAC[[#This Row],[especie]],[1]!ESPECIES[#All],6,0)</f>
        <v/>
      </c>
      <c r="Q3362" s="7">
        <f>IF(N3362&lt;&gt;0,P3362*N3362,0)</f>
        <v/>
      </c>
      <c r="R3362" s="8">
        <f>IF(Q3362&lt;&gt;0,Q3362+H3362+L3362,0)</f>
        <v/>
      </c>
      <c r="S3362" s="9">
        <f>VLOOKUP(OPERAC[[#This Row],[especie]],[1]!ESPECIES[#Data],9,FALSE)</f>
        <v/>
      </c>
    </row>
    <row r="3363">
      <c r="A3363" s="4" t="n">
        <v>3853</v>
      </c>
      <c r="B3363" s="5" t="n">
        <v>44641</v>
      </c>
      <c r="C3363" s="13" t="inlineStr">
        <is>
          <t>CPR</t>
        </is>
      </c>
      <c r="D3363" s="13" t="n">
        <v>42</v>
      </c>
      <c r="E3363" s="10">
        <f>IF(D3363&gt;0,VLOOKUP(OPERAC[[#This Row],[COD CART]],[1]!MatrizCortoLargoCyl[#All],3,0),"")</f>
        <v/>
      </c>
      <c r="F3363" s="13" t="inlineStr">
        <is>
          <t>JPM</t>
        </is>
      </c>
      <c r="G3363" s="6" t="n">
        <v>5</v>
      </c>
      <c r="H3363" s="6" t="n">
        <v>-702.2717000000001</v>
      </c>
      <c r="I3363" s="7">
        <f>-H3363/G3363</f>
        <v/>
      </c>
      <c r="J3363" s="11" t="n">
        <v>44664</v>
      </c>
      <c r="K3363" s="6">
        <f>+OPERAC[[#This Row],[cantidad]]</f>
        <v/>
      </c>
      <c r="L3363" s="6">
        <f>+OPERAC[[#This Row],[cantidad venta]]*125.943</f>
        <v/>
      </c>
      <c r="M3363" s="7">
        <f>IF(N3363=0,+L3363+H3363,0)</f>
        <v/>
      </c>
      <c r="N3363" s="7">
        <f>IF((+G3363-K3363)=0,0,+G3363-K3363)</f>
        <v/>
      </c>
      <c r="O3363" s="7">
        <f>IF(N3363=0,0,(L3363+H3363)/-N3363)</f>
        <v/>
      </c>
      <c r="P3363" s="7">
        <f>VLOOKUP(OPERAC[[#This Row],[especie]],[1]!ESPECIES[#All],6,0)</f>
        <v/>
      </c>
      <c r="Q3363" s="7">
        <f>IF(N3363&lt;&gt;0,P3363*N3363,0)</f>
        <v/>
      </c>
      <c r="R3363" s="8">
        <f>IF(Q3363&lt;&gt;0,Q3363+H3363+L3363,0)</f>
        <v/>
      </c>
      <c r="S3363" s="9">
        <f>VLOOKUP(OPERAC[[#This Row],[especie]],[1]!ESPECIES[#Data],9,FALSE)</f>
        <v/>
      </c>
    </row>
    <row r="3364">
      <c r="A3364" s="4" t="n">
        <v>4543</v>
      </c>
      <c r="B3364" s="5" t="n">
        <v>44641</v>
      </c>
      <c r="C3364" s="13" t="inlineStr">
        <is>
          <t>CPR</t>
        </is>
      </c>
      <c r="D3364" s="13" t="n">
        <v>42</v>
      </c>
      <c r="E3364" s="10">
        <f>IF(D3364&gt;0,VLOOKUP(OPERAC[[#This Row],[COD CART]],[1]!MatrizCortoLargoCyl[#All],3,0),"")</f>
        <v/>
      </c>
      <c r="F3364" s="13" t="inlineStr">
        <is>
          <t>JPM</t>
        </is>
      </c>
      <c r="G3364" s="6" t="n">
        <v>5</v>
      </c>
      <c r="H3364" s="6" t="n">
        <v>-702.2717000000001</v>
      </c>
      <c r="I3364" s="7">
        <f>-H3364/G3364</f>
        <v/>
      </c>
      <c r="J3364" s="11" t="n">
        <v>44664</v>
      </c>
      <c r="K3364" s="6">
        <f>+OPERAC[[#This Row],[cantidad]]</f>
        <v/>
      </c>
      <c r="L3364" s="6">
        <f>+OPERAC[[#This Row],[cantidad venta]]*125.943</f>
        <v/>
      </c>
      <c r="M3364" s="7">
        <f>IF(N3364=0,+L3364+H3364,0)</f>
        <v/>
      </c>
      <c r="N3364" s="7">
        <f>IF((+G3364-K3364)=0,0,+G3364-K3364)</f>
        <v/>
      </c>
      <c r="O3364" s="7">
        <f>IF(N3364=0,0,(L3364+H3364)/-N3364)</f>
        <v/>
      </c>
      <c r="P3364" s="7">
        <f>VLOOKUP(OPERAC[[#This Row],[especie]],[1]!ESPECIES[#All],6,0)</f>
        <v/>
      </c>
      <c r="Q3364" s="7">
        <f>IF(N3364&lt;&gt;0,P3364*N3364,0)</f>
        <v/>
      </c>
      <c r="R3364" s="8">
        <f>IF(Q3364&lt;&gt;0,Q3364+H3364+L3364,0)</f>
        <v/>
      </c>
      <c r="S3364" s="9">
        <f>VLOOKUP(OPERAC[[#This Row],[especie]],[1]!ESPECIES[#Data],9,FALSE)</f>
        <v/>
      </c>
    </row>
    <row r="3365">
      <c r="A3365" s="4" t="n">
        <v>7493</v>
      </c>
      <c r="B3365" s="5" t="n">
        <v>44641</v>
      </c>
      <c r="C3365" s="13" t="inlineStr">
        <is>
          <t>CPR</t>
        </is>
      </c>
      <c r="D3365" s="13" t="n">
        <v>42</v>
      </c>
      <c r="E3365" s="10">
        <f>IF(D3365&gt;0,VLOOKUP(OPERAC[[#This Row],[COD CART]],[1]!MatrizCortoLargoCyl[#All],3,0),"")</f>
        <v/>
      </c>
      <c r="F3365" s="13" t="inlineStr">
        <is>
          <t>JPM</t>
        </is>
      </c>
      <c r="G3365" s="6" t="n">
        <v>5</v>
      </c>
      <c r="H3365" s="6" t="n">
        <v>-702.2717000000001</v>
      </c>
      <c r="I3365" s="7">
        <f>-H3365/G3365</f>
        <v/>
      </c>
      <c r="J3365" s="11" t="n">
        <v>44664</v>
      </c>
      <c r="K3365" s="6">
        <f>+OPERAC[[#This Row],[cantidad]]</f>
        <v/>
      </c>
      <c r="L3365" s="6">
        <f>+OPERAC[[#This Row],[cantidad venta]]*125.943</f>
        <v/>
      </c>
      <c r="M3365" s="7">
        <f>IF(N3365=0,+L3365+H3365,0)</f>
        <v/>
      </c>
      <c r="N3365" s="7">
        <f>IF((+G3365-K3365)=0,0,+G3365-K3365)</f>
        <v/>
      </c>
      <c r="O3365" s="7">
        <f>IF(N3365=0,0,(L3365+H3365)/-N3365)</f>
        <v/>
      </c>
      <c r="P3365" s="7">
        <f>VLOOKUP(OPERAC[[#This Row],[especie]],[1]!ESPECIES[#All],6,0)</f>
        <v/>
      </c>
      <c r="Q3365" s="7">
        <f>IF(N3365&lt;&gt;0,P3365*N3365,0)</f>
        <v/>
      </c>
      <c r="R3365" s="8">
        <f>IF(Q3365&lt;&gt;0,Q3365+H3365+L3365,0)</f>
        <v/>
      </c>
      <c r="S3365" s="9">
        <f>VLOOKUP(OPERAC[[#This Row],[especie]],[1]!ESPECIES[#Data],9,FALSE)</f>
        <v/>
      </c>
    </row>
    <row r="3366">
      <c r="A3366" s="4" t="n">
        <v>7916</v>
      </c>
      <c r="B3366" s="5" t="n">
        <v>44641</v>
      </c>
      <c r="C3366" s="13" t="inlineStr">
        <is>
          <t>CPR</t>
        </is>
      </c>
      <c r="D3366" s="13" t="n">
        <v>42</v>
      </c>
      <c r="E3366" s="10">
        <f>IF(D3366&gt;0,VLOOKUP(OPERAC[[#This Row],[COD CART]],[1]!MatrizCortoLargoCyl[#All],3,0),"")</f>
        <v/>
      </c>
      <c r="F3366" s="13" t="inlineStr">
        <is>
          <t>JPM</t>
        </is>
      </c>
      <c r="G3366" s="6" t="n">
        <v>5</v>
      </c>
      <c r="H3366" s="6" t="n">
        <v>-702.2717000000001</v>
      </c>
      <c r="I3366" s="7">
        <f>-H3366/G3366</f>
        <v/>
      </c>
      <c r="J3366" s="11" t="n">
        <v>44664</v>
      </c>
      <c r="K3366" s="6">
        <f>+OPERAC[[#This Row],[cantidad]]</f>
        <v/>
      </c>
      <c r="L3366" s="6">
        <f>+OPERAC[[#This Row],[cantidad venta]]*125.943</f>
        <v/>
      </c>
      <c r="M3366" s="7">
        <f>IF(N3366=0,+L3366+H3366,0)</f>
        <v/>
      </c>
      <c r="N3366" s="7">
        <f>IF((+G3366-K3366)=0,0,+G3366-K3366)</f>
        <v/>
      </c>
      <c r="O3366" s="7">
        <f>IF(N3366=0,0,(L3366+H3366)/-N3366)</f>
        <v/>
      </c>
      <c r="P3366" s="7">
        <f>VLOOKUP(OPERAC[[#This Row],[especie]],[1]!ESPECIES[#All],6,0)</f>
        <v/>
      </c>
      <c r="Q3366" s="7">
        <f>IF(N3366&lt;&gt;0,P3366*N3366,0)</f>
        <v/>
      </c>
      <c r="R3366" s="8">
        <f>IF(Q3366&lt;&gt;0,Q3366+H3366+L3366,0)</f>
        <v/>
      </c>
      <c r="S3366" s="9">
        <f>VLOOKUP(OPERAC[[#This Row],[especie]],[1]!ESPECIES[#Data],9,FALSE)</f>
        <v/>
      </c>
    </row>
    <row r="3367">
      <c r="A3367" s="4" t="n">
        <v>13180</v>
      </c>
      <c r="B3367" s="5" t="n">
        <v>44641</v>
      </c>
      <c r="C3367" s="13" t="inlineStr">
        <is>
          <t>CPR</t>
        </is>
      </c>
      <c r="D3367" s="13" t="n">
        <v>42</v>
      </c>
      <c r="E3367" s="10">
        <f>IF(D3367&gt;0,VLOOKUP(OPERAC[[#This Row],[COD CART]],[1]!MatrizCortoLargoCyl[#All],3,0),"")</f>
        <v/>
      </c>
      <c r="F3367" s="13" t="inlineStr">
        <is>
          <t>JPM</t>
        </is>
      </c>
      <c r="G3367" s="6" t="n">
        <v>5</v>
      </c>
      <c r="H3367" s="6" t="n">
        <v>-702.2717000000001</v>
      </c>
      <c r="I3367" s="7">
        <f>-H3367/G3367</f>
        <v/>
      </c>
      <c r="J3367" s="11" t="n">
        <v>44664</v>
      </c>
      <c r="K3367" s="6">
        <f>+OPERAC[[#This Row],[cantidad]]</f>
        <v/>
      </c>
      <c r="L3367" s="6">
        <f>+OPERAC[[#This Row],[cantidad venta]]*125.943</f>
        <v/>
      </c>
      <c r="M3367" s="7">
        <f>IF(N3367=0,+L3367+H3367,0)</f>
        <v/>
      </c>
      <c r="N3367" s="7">
        <f>IF((+G3367-K3367)=0,0,+G3367-K3367)</f>
        <v/>
      </c>
      <c r="O3367" s="7">
        <f>IF(N3367=0,0,(L3367+H3367)/-N3367)</f>
        <v/>
      </c>
      <c r="P3367" s="7">
        <f>VLOOKUP(OPERAC[[#This Row],[especie]],[1]!ESPECIES[#All],6,0)</f>
        <v/>
      </c>
      <c r="Q3367" s="7">
        <f>IF(N3367&lt;&gt;0,P3367*N3367,0)</f>
        <v/>
      </c>
      <c r="R3367" s="8">
        <f>IF(Q3367&lt;&gt;0,Q3367+H3367+L3367,0)</f>
        <v/>
      </c>
      <c r="S3367" s="9">
        <f>VLOOKUP(OPERAC[[#This Row],[especie]],[1]!ESPECIES[#Data],9,FALSE)</f>
        <v/>
      </c>
    </row>
    <row r="3368">
      <c r="A3368" s="4" t="n">
        <v>18662</v>
      </c>
      <c r="B3368" s="5" t="n">
        <v>44641</v>
      </c>
      <c r="C3368" s="13" t="inlineStr">
        <is>
          <t>CPR</t>
        </is>
      </c>
      <c r="D3368" s="13" t="n">
        <v>42</v>
      </c>
      <c r="E3368" s="10">
        <f>IF(D3368&gt;0,VLOOKUP(OPERAC[[#This Row],[COD CART]],[1]!MatrizCortoLargoCyl[#All],3,0),"")</f>
        <v/>
      </c>
      <c r="F3368" s="13" t="inlineStr">
        <is>
          <t>JPM</t>
        </is>
      </c>
      <c r="G3368" s="6" t="n">
        <v>5</v>
      </c>
      <c r="H3368" s="6" t="n">
        <v>-702.2717000000001</v>
      </c>
      <c r="I3368" s="7">
        <f>-H3368/G3368</f>
        <v/>
      </c>
      <c r="J3368" s="11" t="n">
        <v>44664</v>
      </c>
      <c r="K3368" s="6">
        <f>+OPERAC[[#This Row],[cantidad]]</f>
        <v/>
      </c>
      <c r="L3368" s="6">
        <f>+OPERAC[[#This Row],[cantidad venta]]*125.943</f>
        <v/>
      </c>
      <c r="M3368" s="7">
        <f>IF(N3368=0,+L3368+H3368,0)</f>
        <v/>
      </c>
      <c r="N3368" s="7">
        <f>IF((+G3368-K3368)=0,0,+G3368-K3368)</f>
        <v/>
      </c>
      <c r="O3368" s="7">
        <f>IF(N3368=0,0,(L3368+H3368)/-N3368)</f>
        <v/>
      </c>
      <c r="P3368" s="7">
        <f>VLOOKUP(OPERAC[[#This Row],[especie]],[1]!ESPECIES[#All],6,0)</f>
        <v/>
      </c>
      <c r="Q3368" s="7">
        <f>IF(N3368&lt;&gt;0,P3368*N3368,0)</f>
        <v/>
      </c>
      <c r="R3368" s="8">
        <f>IF(Q3368&lt;&gt;0,Q3368+H3368+L3368,0)</f>
        <v/>
      </c>
      <c r="S3368" s="9">
        <f>VLOOKUP(OPERAC[[#This Row],[especie]],[1]!ESPECIES[#Data],9,FALSE)</f>
        <v/>
      </c>
    </row>
    <row r="3369">
      <c r="A3369" s="4" t="n">
        <v>16776</v>
      </c>
      <c r="B3369" s="5" t="n">
        <v>44369</v>
      </c>
      <c r="C3369" s="13" t="inlineStr">
        <is>
          <t>CPR</t>
        </is>
      </c>
      <c r="D3369" s="13" t="n">
        <v>40</v>
      </c>
      <c r="E3369" s="10">
        <f>IF(D3369&gt;0,VLOOKUP(OPERAC[[#This Row],[COD CART]],[1]!MatrizCortoLargoCyl[#All],3,0),"")</f>
        <v/>
      </c>
      <c r="F3369" s="13" t="inlineStr">
        <is>
          <t>ATOS</t>
        </is>
      </c>
      <c r="G3369" s="6" t="n">
        <v>200</v>
      </c>
      <c r="H3369" s="6">
        <f>-4.25*OPERAC[[#This Row],[cantidad]]+89.28+58.112</f>
        <v/>
      </c>
      <c r="I3369" s="7">
        <f>-H3369/G3369</f>
        <v/>
      </c>
      <c r="J3369" s="11" t="n">
        <v>44630</v>
      </c>
      <c r="K3369" s="6" t="n">
        <v>200</v>
      </c>
      <c r="L3369" s="6" t="n">
        <v>257.287</v>
      </c>
      <c r="M3369" s="7">
        <f>IF(N3369=0,+L3369+H3369,0)</f>
        <v/>
      </c>
      <c r="N3369" s="7">
        <f>IF((+G3369-K3369)=0,0,+G3369-K3369)</f>
        <v/>
      </c>
      <c r="O3369" s="7">
        <f>IF(N3369=0,0,(L3369+H3369)/-N3369)</f>
        <v/>
      </c>
      <c r="P3369" s="7">
        <f>VLOOKUP(OPERAC[[#This Row],[especie]],[1]!ESPECIES[#All],6,0)</f>
        <v/>
      </c>
      <c r="Q3369" s="7">
        <f>IF(N3369&lt;&gt;0,P3369*N3369,0)</f>
        <v/>
      </c>
      <c r="R3369" s="8">
        <f>IF(Q3369&lt;&gt;0,Q3369+H3369+L3369,0)</f>
        <v/>
      </c>
      <c r="S3369" s="9">
        <f>VLOOKUP(OPERAC[[#This Row],[especie]],[1]!ESPECIES[#Data],9,FALSE)</f>
        <v/>
      </c>
    </row>
    <row r="3370">
      <c r="A3370" s="4" t="n">
        <v>22407</v>
      </c>
      <c r="B3370" s="5" t="n">
        <v>44655</v>
      </c>
      <c r="C3370" s="13" t="inlineStr">
        <is>
          <t>CPR</t>
        </is>
      </c>
      <c r="D3370" s="13" t="n">
        <v>31</v>
      </c>
      <c r="E3370" s="10">
        <f>IF(D3370&gt;0,VLOOKUP(OPERAC[[#This Row],[COD CART]],[1]!MatrizCortoLargoCyl[#All],3,0),"")</f>
        <v/>
      </c>
      <c r="F3370" s="13" t="inlineStr">
        <is>
          <t>BRK B</t>
        </is>
      </c>
      <c r="G3370" s="6" t="n">
        <v>2</v>
      </c>
      <c r="H3370" s="6" t="n">
        <v>-702.80992</v>
      </c>
      <c r="I3370" s="7">
        <f>-H3370/G3370</f>
        <v/>
      </c>
      <c r="J3370" s="11" t="n"/>
      <c r="K3370" s="6" t="n"/>
      <c r="L3370" s="6" t="n"/>
      <c r="M3370" s="7">
        <f>IF(N3370=0,+L3370+H3370,0)</f>
        <v/>
      </c>
      <c r="N3370" s="7">
        <f>IF((+G3370-K3370)=0,0,+G3370-K3370)</f>
        <v/>
      </c>
      <c r="O3370" s="7">
        <f>IF(N3370=0,0,(L3370+H3370)/-N3370)</f>
        <v/>
      </c>
      <c r="P3370" s="7">
        <f>VLOOKUP(OPERAC[[#This Row],[especie]],[1]!ESPECIES[#All],6,0)</f>
        <v/>
      </c>
      <c r="Q3370" s="7">
        <f>IF(N3370&lt;&gt;0,P3370*N3370,0)</f>
        <v/>
      </c>
      <c r="R3370" s="8">
        <f>IF(Q3370&lt;&gt;0,Q3370+H3370+L3370,0)</f>
        <v/>
      </c>
      <c r="S3370" s="9">
        <f>VLOOKUP(OPERAC[[#This Row],[especie]],[1]!ESPECIES[#Data],9,FALSE)</f>
        <v/>
      </c>
    </row>
    <row r="3371">
      <c r="A3371" s="4" t="n">
        <v>19972</v>
      </c>
      <c r="B3371" s="5" t="n">
        <v>44453</v>
      </c>
      <c r="C3371" s="13" t="inlineStr">
        <is>
          <t>CPR</t>
        </is>
      </c>
      <c r="D3371" s="13" t="n">
        <v>40</v>
      </c>
      <c r="E3371" s="10">
        <f>IF(D3371&gt;0,VLOOKUP(OPERAC[[#This Row],[COD CART]],[1]!MatrizCortoLargoCyl[#All],3,0),"")</f>
        <v/>
      </c>
      <c r="F3371" s="13" t="inlineStr">
        <is>
          <t>GMBL</t>
        </is>
      </c>
      <c r="G3371" s="6" t="n">
        <v>100</v>
      </c>
      <c r="H3371" s="6" t="n">
        <v>-702.8300000000002</v>
      </c>
      <c r="I3371" s="7">
        <f>-H3371/G3371</f>
        <v/>
      </c>
      <c r="J3371" s="11" t="n">
        <v>44686</v>
      </c>
      <c r="K3371" s="6" t="n">
        <v>100</v>
      </c>
      <c r="L3371" s="6" t="n">
        <v>54.672</v>
      </c>
      <c r="M3371" s="7">
        <f>IF(N3371=0,+L3371+H3371,0)</f>
        <v/>
      </c>
      <c r="N3371" s="7">
        <f>IF((+G3371-K3371)=0,0,+G3371-K3371)</f>
        <v/>
      </c>
      <c r="O3371" s="7">
        <f>IF(N3371=0,0,(L3371+H3371)/-N3371)</f>
        <v/>
      </c>
      <c r="P3371" s="7">
        <f>VLOOKUP(OPERAC[[#This Row],[especie]],[1]!ESPECIES[#All],6,0)</f>
        <v/>
      </c>
      <c r="Q3371" s="7">
        <f>IF(N3371&lt;&gt;0,P3371*N3371,0)</f>
        <v/>
      </c>
      <c r="R3371" s="8">
        <f>IF(Q3371&lt;&gt;0,Q3371+H3371+L3371,0)</f>
        <v/>
      </c>
      <c r="S3371" s="9">
        <f>VLOOKUP(OPERAC[[#This Row],[especie]],[1]!ESPECIES[#Data],9,FALSE)</f>
        <v/>
      </c>
    </row>
    <row r="3372">
      <c r="A3372" s="4" t="n">
        <v>2306</v>
      </c>
      <c r="B3372" s="5" t="n">
        <v>44683</v>
      </c>
      <c r="C3372" s="13" t="inlineStr">
        <is>
          <t>CPR</t>
        </is>
      </c>
      <c r="D3372" s="13" t="n">
        <v>32</v>
      </c>
      <c r="E3372" s="10">
        <f>IF(D3372&gt;0,VLOOKUP(OPERAC[[#This Row],[COD CART]],[1]!MatrizCortoLargoCyl[#All],3,0),"")</f>
        <v/>
      </c>
      <c r="F3372" s="13" t="inlineStr">
        <is>
          <t>CRESY/CYL/7,50/17-06-22</t>
        </is>
      </c>
      <c r="G3372" s="6" t="n">
        <v>100</v>
      </c>
      <c r="H3372" s="6" t="n">
        <v>-704.698</v>
      </c>
      <c r="I3372" s="7">
        <f>-H3372/G3372</f>
        <v/>
      </c>
      <c r="J3372" s="11" t="n"/>
      <c r="K3372" s="6" t="n"/>
      <c r="L3372" s="6" t="n"/>
      <c r="M3372" s="7">
        <f>IF(N3372=0,+L3372+H3372,0)</f>
        <v/>
      </c>
      <c r="N3372" s="7">
        <f>IF((+G3372-K3372)=0,0,+G3372-K3372)</f>
        <v/>
      </c>
      <c r="O3372" s="7">
        <f>IF(N3372=0,0,(L3372+H3372)/-N3372)</f>
        <v/>
      </c>
      <c r="P3372" s="7">
        <f>VLOOKUP(OPERAC[[#This Row],[especie]],[1]!ESPECIES[#All],6,0)</f>
        <v/>
      </c>
      <c r="Q3372" s="7">
        <f>IF(N3372&lt;&gt;0,P3372*N3372,0)</f>
        <v/>
      </c>
      <c r="R3372" s="8">
        <f>IF(Q3372&lt;&gt;0,Q3372+H3372+L3372,0)</f>
        <v/>
      </c>
      <c r="S3372" s="9">
        <f>VLOOKUP(OPERAC[[#This Row],[especie]],[1]!ESPECIES[#Data],9,FALSE)</f>
        <v/>
      </c>
    </row>
    <row r="3373">
      <c r="A3373" s="4" t="n">
        <v>12022</v>
      </c>
      <c r="B3373" s="5" t="n">
        <v>44683</v>
      </c>
      <c r="C3373" s="13" t="inlineStr">
        <is>
          <t>CPR</t>
        </is>
      </c>
      <c r="D3373" s="13" t="n">
        <v>32</v>
      </c>
      <c r="E3373" s="10">
        <f>IF(D3373&gt;0,VLOOKUP(OPERAC[[#This Row],[COD CART]],[1]!MatrizCortoLargoCyl[#All],3,0),"")</f>
        <v/>
      </c>
      <c r="F3373" s="13" t="inlineStr">
        <is>
          <t>CRESY</t>
        </is>
      </c>
      <c r="G3373" s="6" t="n">
        <v>100</v>
      </c>
      <c r="H3373" s="6" t="n">
        <v>-704.698</v>
      </c>
      <c r="I3373" s="7">
        <f>-H3373/G3373</f>
        <v/>
      </c>
      <c r="J3373" s="11" t="n">
        <v>44708</v>
      </c>
      <c r="K3373" s="6" t="n">
        <v>100</v>
      </c>
      <c r="L3373" s="6" t="n">
        <v>733.71</v>
      </c>
      <c r="M3373" s="7">
        <f>IF(N3373=0,+L3373+H3373,0)</f>
        <v/>
      </c>
      <c r="N3373" s="7">
        <f>IF((+G3373-K3373)=0,0,+G3373-K3373)</f>
        <v/>
      </c>
      <c r="O3373" s="7">
        <f>IF(N3373=0,0,(L3373+H3373)/-N3373)</f>
        <v/>
      </c>
      <c r="P3373" s="7">
        <f>VLOOKUP(OPERAC[[#This Row],[especie]],[1]!ESPECIES[#All],6,0)</f>
        <v/>
      </c>
      <c r="Q3373" s="7">
        <f>IF(N3373&lt;&gt;0,P3373*N3373,0)</f>
        <v/>
      </c>
      <c r="R3373" s="8">
        <f>IF(Q3373&lt;&gt;0,Q3373+H3373+L3373,0)</f>
        <v/>
      </c>
      <c r="S3373" s="9">
        <f>VLOOKUP(OPERAC[[#This Row],[especie]],[1]!ESPECIES[#Data],9,FALSE)</f>
        <v/>
      </c>
    </row>
    <row r="3374">
      <c r="A3374" s="4" t="n">
        <v>16783</v>
      </c>
      <c r="B3374" s="5" t="n">
        <v>44683</v>
      </c>
      <c r="C3374" s="13" t="inlineStr">
        <is>
          <t>CPR</t>
        </is>
      </c>
      <c r="D3374" s="13" t="n">
        <v>32</v>
      </c>
      <c r="E3374" s="10">
        <f>IF(D3374&gt;0,VLOOKUP(OPERAC[[#This Row],[COD CART]],[1]!MatrizCortoLargoCyl[#All],3,0),"")</f>
        <v/>
      </c>
      <c r="F3374" s="13" t="inlineStr">
        <is>
          <t>CRESY</t>
        </is>
      </c>
      <c r="G3374" s="6" t="n">
        <v>100</v>
      </c>
      <c r="H3374" s="6" t="n">
        <v>-704.698</v>
      </c>
      <c r="I3374" s="7">
        <f>-H3374/G3374</f>
        <v/>
      </c>
      <c r="J3374" s="11" t="n">
        <v>44708</v>
      </c>
      <c r="K3374" s="6" t="n">
        <v>100</v>
      </c>
      <c r="L3374" s="6" t="n">
        <v>733.71</v>
      </c>
      <c r="M3374" s="7">
        <f>IF(N3374=0,+L3374+H3374,0)</f>
        <v/>
      </c>
      <c r="N3374" s="7">
        <f>IF((+G3374-K3374)=0,0,+G3374-K3374)</f>
        <v/>
      </c>
      <c r="O3374" s="7">
        <f>IF(N3374=0,0,(L3374+H3374)/-N3374)</f>
        <v/>
      </c>
      <c r="P3374" s="7">
        <f>VLOOKUP(OPERAC[[#This Row],[especie]],[1]!ESPECIES[#All],6,0)</f>
        <v/>
      </c>
      <c r="Q3374" s="7">
        <f>IF(N3374&lt;&gt;0,P3374*N3374,0)</f>
        <v/>
      </c>
      <c r="R3374" s="8">
        <f>IF(Q3374&lt;&gt;0,Q3374+H3374+L3374,0)</f>
        <v/>
      </c>
      <c r="S3374" s="9">
        <f>VLOOKUP(OPERAC[[#This Row],[especie]],[1]!ESPECIES[#Data],9,FALSE)</f>
        <v/>
      </c>
    </row>
    <row r="3375">
      <c r="A3375" s="4" t="n">
        <v>18724</v>
      </c>
      <c r="B3375" s="5" t="n">
        <v>44683</v>
      </c>
      <c r="C3375" s="13" t="inlineStr">
        <is>
          <t>CPR</t>
        </is>
      </c>
      <c r="D3375" s="13" t="n">
        <v>32</v>
      </c>
      <c r="E3375" s="10">
        <f>IF(D3375&gt;0,VLOOKUP(OPERAC[[#This Row],[COD CART]],[1]!MatrizCortoLargoCyl[#All],3,0),"")</f>
        <v/>
      </c>
      <c r="F3375" s="13" t="inlineStr">
        <is>
          <t>CRESY</t>
        </is>
      </c>
      <c r="G3375" s="6" t="n">
        <v>100</v>
      </c>
      <c r="H3375" s="6" t="n">
        <v>-704.698</v>
      </c>
      <c r="I3375" s="7">
        <f>-H3375/G3375</f>
        <v/>
      </c>
      <c r="J3375" s="11" t="n">
        <v>44708</v>
      </c>
      <c r="K3375" s="6" t="n">
        <v>100</v>
      </c>
      <c r="L3375" s="6" t="n">
        <v>733.71</v>
      </c>
      <c r="M3375" s="7">
        <f>IF(N3375=0,+L3375+H3375,0)</f>
        <v/>
      </c>
      <c r="N3375" s="7">
        <f>IF((+G3375-K3375)=0,0,+G3375-K3375)</f>
        <v/>
      </c>
      <c r="O3375" s="7">
        <f>IF(N3375=0,0,(L3375+H3375)/-N3375)</f>
        <v/>
      </c>
      <c r="P3375" s="7">
        <f>VLOOKUP(OPERAC[[#This Row],[especie]],[1]!ESPECIES[#All],6,0)</f>
        <v/>
      </c>
      <c r="Q3375" s="7">
        <f>IF(N3375&lt;&gt;0,P3375*N3375,0)</f>
        <v/>
      </c>
      <c r="R3375" s="8">
        <f>IF(Q3375&lt;&gt;0,Q3375+H3375+L3375,0)</f>
        <v/>
      </c>
      <c r="S3375" s="9">
        <f>VLOOKUP(OPERAC[[#This Row],[especie]],[1]!ESPECIES[#Data],9,FALSE)</f>
        <v/>
      </c>
    </row>
    <row r="3376">
      <c r="A3376" s="4" t="n">
        <v>13246</v>
      </c>
      <c r="B3376" s="5" t="n">
        <v>44705</v>
      </c>
      <c r="C3376" s="13" t="inlineStr">
        <is>
          <t>CPR</t>
        </is>
      </c>
      <c r="D3376" s="13" t="n">
        <v>42</v>
      </c>
      <c r="E3376" s="10">
        <f>IF(D3376&gt;0,VLOOKUP(OPERAC[[#This Row],[COD CART]],[1]!MatrizCortoLargoCyl[#All],3,0),"")</f>
        <v/>
      </c>
      <c r="F3376" s="14" t="inlineStr">
        <is>
          <t>MELI</t>
        </is>
      </c>
      <c r="G3376" s="6" t="n">
        <v>1</v>
      </c>
      <c r="H3376" s="6" t="n">
        <v>-704.808</v>
      </c>
      <c r="I3376" s="7">
        <f>-H3376/G3376</f>
        <v/>
      </c>
      <c r="J3376" s="5" t="n">
        <v>44706</v>
      </c>
      <c r="K3376" s="6" t="n">
        <v>1</v>
      </c>
      <c r="L3376" s="6" t="n">
        <v>725.8734000000001</v>
      </c>
      <c r="M3376" s="7">
        <f>IF(N3376=0,+L3376+H3376,0)</f>
        <v/>
      </c>
      <c r="N3376" s="7">
        <f>IF((+G3376-K3376)=0,0,+G3376-K3376)</f>
        <v/>
      </c>
      <c r="O3376" s="7">
        <f>IF(N3376=0,0,(L3376+H3376)/-N3376)</f>
        <v/>
      </c>
      <c r="P3376" s="7">
        <f>VLOOKUP(OPERAC[[#This Row],[especie]],[1]!ESPECIES[#All],6,0)</f>
        <v/>
      </c>
      <c r="Q3376" s="7">
        <f>IF(N3376&lt;&gt;0,P3376*N3376,0)</f>
        <v/>
      </c>
      <c r="R3376" s="8">
        <f>IF(Q3376&lt;&gt;0,Q3376+H3376+L3376,0)</f>
        <v/>
      </c>
      <c r="S3376" s="9">
        <f>VLOOKUP(OPERAC[[#This Row],[especie]],[1]!ESPECIES[#Data],9,FALSE)</f>
        <v/>
      </c>
    </row>
    <row r="3377">
      <c r="A3377" s="4" t="n">
        <v>13271</v>
      </c>
      <c r="B3377" s="5" t="n">
        <v>44705</v>
      </c>
      <c r="C3377" s="13" t="inlineStr">
        <is>
          <t>CPR</t>
        </is>
      </c>
      <c r="D3377" s="13" t="n">
        <v>42</v>
      </c>
      <c r="E3377" s="10">
        <f>IF(D3377&gt;0,VLOOKUP(OPERAC[[#This Row],[COD CART]],[1]!MatrizCortoLargoCyl[#All],3,0),"")</f>
        <v/>
      </c>
      <c r="F3377" s="14" t="inlineStr">
        <is>
          <t>MELI</t>
        </is>
      </c>
      <c r="G3377" s="6" t="n">
        <v>1</v>
      </c>
      <c r="H3377" s="6" t="n">
        <v>-704.808</v>
      </c>
      <c r="I3377" s="7">
        <f>-H3377/G3377</f>
        <v/>
      </c>
      <c r="J3377" s="5" t="n">
        <v>44706</v>
      </c>
      <c r="K3377" s="6">
        <f>+OPERAC[[#This Row],[cantidad]]</f>
        <v/>
      </c>
      <c r="L3377" s="6" t="n">
        <v>725.8734000000001</v>
      </c>
      <c r="M3377" s="7">
        <f>IF(N3377=0,+L3377+H3377,0)</f>
        <v/>
      </c>
      <c r="N3377" s="7">
        <f>IF((+G3377-K3377)=0,0,+G3377-K3377)</f>
        <v/>
      </c>
      <c r="O3377" s="7">
        <f>IF(N3377=0,0,(L3377+H3377)/-N3377)</f>
        <v/>
      </c>
      <c r="P3377" s="7">
        <f>VLOOKUP(OPERAC[[#This Row],[especie]],[1]!ESPECIES[#All],6,0)</f>
        <v/>
      </c>
      <c r="Q3377" s="7">
        <f>IF(N3377&lt;&gt;0,P3377*N3377,0)</f>
        <v/>
      </c>
      <c r="R3377" s="8">
        <f>IF(Q3377&lt;&gt;0,Q3377+H3377+L3377,0)</f>
        <v/>
      </c>
      <c r="S3377" s="9">
        <f>VLOOKUP(OPERAC[[#This Row],[especie]],[1]!ESPECIES[#Data],9,FALSE)</f>
        <v/>
      </c>
    </row>
    <row r="3378">
      <c r="A3378" s="4" t="n">
        <v>18703</v>
      </c>
      <c r="B3378" s="5" t="n">
        <v>44705</v>
      </c>
      <c r="C3378" s="13" t="inlineStr">
        <is>
          <t>CPR</t>
        </is>
      </c>
      <c r="D3378" s="13" t="n">
        <v>42</v>
      </c>
      <c r="E3378" s="10">
        <f>IF(D3378&gt;0,VLOOKUP(OPERAC[[#This Row],[COD CART]],[1]!MatrizCortoLargoCyl[#All],3,0),"")</f>
        <v/>
      </c>
      <c r="F3378" s="14" t="inlineStr">
        <is>
          <t>MELI</t>
        </is>
      </c>
      <c r="G3378" s="6" t="n">
        <v>1</v>
      </c>
      <c r="H3378" s="6" t="n">
        <v>-704.808</v>
      </c>
      <c r="I3378" s="7">
        <f>-H3378/G3378</f>
        <v/>
      </c>
      <c r="J3378" s="5" t="n">
        <v>44706</v>
      </c>
      <c r="K3378" s="6">
        <f>+OPERAC[[#This Row],[cantidad]]</f>
        <v/>
      </c>
      <c r="L3378" s="6" t="n">
        <v>725.8734000000001</v>
      </c>
      <c r="M3378" s="7">
        <f>IF(N3378=0,+L3378+H3378,0)</f>
        <v/>
      </c>
      <c r="N3378" s="7">
        <f>IF((+G3378-K3378)=0,0,+G3378-K3378)</f>
        <v/>
      </c>
      <c r="O3378" s="7">
        <f>IF(N3378=0,0,(L3378+H3378)/-N3378)</f>
        <v/>
      </c>
      <c r="P3378" s="7">
        <f>VLOOKUP(OPERAC[[#This Row],[especie]],[1]!ESPECIES[#All],6,0)</f>
        <v/>
      </c>
      <c r="Q3378" s="7">
        <f>IF(N3378&lt;&gt;0,P3378*N3378,0)</f>
        <v/>
      </c>
      <c r="R3378" s="8">
        <f>IF(Q3378&lt;&gt;0,Q3378+H3378+L3378,0)</f>
        <v/>
      </c>
      <c r="S3378" s="9">
        <f>VLOOKUP(OPERAC[[#This Row],[especie]],[1]!ESPECIES[#Data],9,FALSE)</f>
        <v/>
      </c>
    </row>
    <row r="3379">
      <c r="A3379" s="4" t="n">
        <v>18724</v>
      </c>
      <c r="B3379" s="5" t="n">
        <v>44722</v>
      </c>
      <c r="C3379" s="13" t="inlineStr">
        <is>
          <t>CPR</t>
        </is>
      </c>
      <c r="D3379" s="13" t="n">
        <v>40</v>
      </c>
      <c r="E3379" s="10">
        <f>IF(D3379&gt;0,VLOOKUP(OPERAC[[#This Row],[COD CART]],[1]!MatrizCortoLargoCyl[#All],3,0),"")</f>
        <v/>
      </c>
      <c r="F3379" s="13" t="inlineStr">
        <is>
          <t>GLD</t>
        </is>
      </c>
      <c r="G3379" s="6" t="n">
        <v>4</v>
      </c>
      <c r="H3379" s="6" t="n">
        <v>-705.5034362</v>
      </c>
      <c r="I3379" s="7">
        <f>-H3379/G3379</f>
        <v/>
      </c>
      <c r="J3379" s="5" t="n"/>
      <c r="K3379" s="6" t="n"/>
      <c r="L3379" s="6" t="n"/>
      <c r="M3379" s="7">
        <f>IF(N3379=0,+L3379+H3379,0)</f>
        <v/>
      </c>
      <c r="N3379" s="7">
        <f>IF((+G3379-K3379)=0,0,+G3379-K3379)</f>
        <v/>
      </c>
      <c r="O3379" s="7">
        <f>IF(N3379=0,0,(L3379+H3379)/-N3379)</f>
        <v/>
      </c>
      <c r="P3379" s="7">
        <f>VLOOKUP(OPERAC[[#This Row],[especie]],[1]!ESPECIES[#All],6,0)</f>
        <v/>
      </c>
      <c r="Q3379" s="7">
        <f>IF(N3379&lt;&gt;0,P3379*N3379,0)</f>
        <v/>
      </c>
      <c r="R3379" s="8">
        <f>IF(Q3379&lt;&gt;0,Q3379+H3379+L3379,0)</f>
        <v/>
      </c>
      <c r="S3379" s="9">
        <f>VLOOKUP(OPERAC[[#This Row],[especie]],[1]!ESPECIES[#Data],9,FALSE)</f>
        <v/>
      </c>
    </row>
    <row r="3380">
      <c r="A3380" s="4" t="n">
        <v>2257</v>
      </c>
      <c r="B3380" s="5" t="n">
        <v>44643</v>
      </c>
      <c r="C3380" s="13" t="inlineStr">
        <is>
          <t>CPR</t>
        </is>
      </c>
      <c r="D3380" s="13" t="n">
        <v>42</v>
      </c>
      <c r="E3380" s="10">
        <f>IF(D3380&gt;0,VLOOKUP(OPERAC[[#This Row],[COD CART]],[1]!MatrizCortoLargoCyl[#All],3,0),"")</f>
        <v/>
      </c>
      <c r="F3380" s="13" t="inlineStr">
        <is>
          <t>JPM</t>
        </is>
      </c>
      <c r="G3380" s="6" t="n">
        <v>5</v>
      </c>
      <c r="H3380" s="6" t="n">
        <v>-706.2332</v>
      </c>
      <c r="I3380" s="7">
        <f>-H3380/G3380</f>
        <v/>
      </c>
      <c r="J3380" s="11" t="n">
        <v>44664</v>
      </c>
      <c r="K3380" s="6">
        <f>+OPERAC[[#This Row],[cantidad]]</f>
        <v/>
      </c>
      <c r="L3380" s="6">
        <f>+OPERAC[[#This Row],[cantidad venta]]*125.943</f>
        <v/>
      </c>
      <c r="M3380" s="7">
        <f>IF(N3380=0,+L3380+H3380,0)</f>
        <v/>
      </c>
      <c r="N3380" s="7">
        <f>IF((+G3380-K3380)=0,0,+G3380-K3380)</f>
        <v/>
      </c>
      <c r="O3380" s="7">
        <f>IF(N3380=0,0,(L3380+H3380)/-N3380)</f>
        <v/>
      </c>
      <c r="P3380" s="7">
        <f>VLOOKUP(OPERAC[[#This Row],[especie]],[1]!ESPECIES[#All],6,0)</f>
        <v/>
      </c>
      <c r="Q3380" s="7">
        <f>IF(N3380&lt;&gt;0,P3380*N3380,0)</f>
        <v/>
      </c>
      <c r="R3380" s="8">
        <f>IF(Q3380&lt;&gt;0,Q3380+H3380+L3380,0)</f>
        <v/>
      </c>
      <c r="S3380" s="9">
        <f>VLOOKUP(OPERAC[[#This Row],[especie]],[1]!ESPECIES[#Data],9,FALSE)</f>
        <v/>
      </c>
    </row>
    <row r="3381">
      <c r="A3381" s="4" t="n">
        <v>20317</v>
      </c>
      <c r="B3381" s="5" t="n">
        <v>44643</v>
      </c>
      <c r="C3381" s="13" t="inlineStr">
        <is>
          <t>CPR</t>
        </is>
      </c>
      <c r="D3381" s="13" t="n">
        <v>42</v>
      </c>
      <c r="E3381" s="10">
        <f>IF(D3381&gt;0,VLOOKUP(OPERAC[[#This Row],[COD CART]],[1]!MatrizCortoLargoCyl[#All],3,0),"")</f>
        <v/>
      </c>
      <c r="F3381" s="13" t="inlineStr">
        <is>
          <t>JPM</t>
        </is>
      </c>
      <c r="G3381" s="6" t="n">
        <v>5</v>
      </c>
      <c r="H3381" s="6" t="n">
        <v>-706.2332</v>
      </c>
      <c r="I3381" s="7">
        <f>-H3381/G3381</f>
        <v/>
      </c>
      <c r="J3381" s="11" t="n">
        <v>44664</v>
      </c>
      <c r="K3381" s="6">
        <f>+OPERAC[[#This Row],[cantidad]]</f>
        <v/>
      </c>
      <c r="L3381" s="6">
        <f>+OPERAC[[#This Row],[cantidad venta]]*125.943</f>
        <v/>
      </c>
      <c r="M3381" s="7">
        <f>IF(N3381=0,+L3381+H3381,0)</f>
        <v/>
      </c>
      <c r="N3381" s="7">
        <f>IF((+G3381-K3381)=0,0,+G3381-K3381)</f>
        <v/>
      </c>
      <c r="O3381" s="7">
        <f>IF(N3381=0,0,(L3381+H3381)/-N3381)</f>
        <v/>
      </c>
      <c r="P3381" s="7">
        <f>VLOOKUP(OPERAC[[#This Row],[especie]],[1]!ESPECIES[#All],6,0)</f>
        <v/>
      </c>
      <c r="Q3381" s="7">
        <f>IF(N3381&lt;&gt;0,P3381*N3381,0)</f>
        <v/>
      </c>
      <c r="R3381" s="8">
        <f>IF(Q3381&lt;&gt;0,Q3381+H3381+L3381,0)</f>
        <v/>
      </c>
      <c r="S3381" s="9">
        <f>VLOOKUP(OPERAC[[#This Row],[especie]],[1]!ESPECIES[#Data],9,FALSE)</f>
        <v/>
      </c>
    </row>
    <row r="3382">
      <c r="A3382" s="4" t="n">
        <v>2306</v>
      </c>
      <c r="B3382" s="5" t="n">
        <v>44670</v>
      </c>
      <c r="C3382" s="13" t="inlineStr">
        <is>
          <t>CPR</t>
        </is>
      </c>
      <c r="D3382" s="13" t="n">
        <v>32</v>
      </c>
      <c r="E3382" s="10">
        <f>IF(D3382&gt;0,VLOOKUP(OPERAC[[#This Row],[COD CART]],[1]!MatrizCortoLargoCyl[#All],3,0),"")</f>
        <v/>
      </c>
      <c r="F3382" s="13" t="inlineStr">
        <is>
          <t>PCT/CYL/7,50/20-05-22</t>
        </is>
      </c>
      <c r="G3382" s="6" t="n">
        <v>100</v>
      </c>
      <c r="H3382" s="6" t="n">
        <v>-710.274</v>
      </c>
      <c r="I3382" s="7">
        <f>-H3382/G3382</f>
        <v/>
      </c>
      <c r="J3382" s="11" t="n">
        <v>44698</v>
      </c>
      <c r="K3382" s="6">
        <f>+OPERAC[[#This Row],[cantidad]]</f>
        <v/>
      </c>
      <c r="L3382" s="6">
        <f>7.3616*OPERAC[[#This Row],[cantidad venta]]</f>
        <v/>
      </c>
      <c r="M3382" s="7">
        <f>IF(N3382=0,+L3382+H3382,0)</f>
        <v/>
      </c>
      <c r="N3382" s="7">
        <f>IF((+G3382-K3382)=0,0,+G3382-K3382)</f>
        <v/>
      </c>
      <c r="O3382" s="7">
        <f>IF(N3382=0,0,(L3382+H3382)/-N3382)</f>
        <v/>
      </c>
      <c r="P3382" s="7">
        <f>VLOOKUP(OPERAC[[#This Row],[especie]],[1]!ESPECIES[#All],6,0)</f>
        <v/>
      </c>
      <c r="Q3382" s="7">
        <f>IF(N3382&lt;&gt;0,P3382*N3382,0)</f>
        <v/>
      </c>
      <c r="R3382" s="8">
        <f>IF(Q3382&lt;&gt;0,Q3382+H3382+L3382,0)</f>
        <v/>
      </c>
      <c r="S3382" s="9">
        <f>VLOOKUP(OPERAC[[#This Row],[especie]],[1]!ESPECIES[#Data],9,FALSE)</f>
        <v/>
      </c>
    </row>
    <row r="3383">
      <c r="A3383" s="4" t="n">
        <v>26146</v>
      </c>
      <c r="B3383" s="5" t="n">
        <v>44670</v>
      </c>
      <c r="C3383" s="13" t="inlineStr">
        <is>
          <t>CPR</t>
        </is>
      </c>
      <c r="D3383" s="13" t="n">
        <v>32</v>
      </c>
      <c r="E3383" s="10">
        <f>IF(D3383&gt;0,VLOOKUP(OPERAC[[#This Row],[COD CART]],[1]!MatrizCortoLargoCyl[#All],3,0),"")</f>
        <v/>
      </c>
      <c r="F3383" s="13" t="inlineStr">
        <is>
          <t>PCT/CYL/7,50/20-05-22</t>
        </is>
      </c>
      <c r="G3383" s="6" t="n">
        <v>100</v>
      </c>
      <c r="H3383" s="6" t="n">
        <v>-710.274</v>
      </c>
      <c r="I3383" s="7">
        <f>-H3383/G3383</f>
        <v/>
      </c>
      <c r="J3383" s="11" t="n">
        <v>44698</v>
      </c>
      <c r="K3383" s="6">
        <f>+OPERAC[[#This Row],[cantidad]]</f>
        <v/>
      </c>
      <c r="L3383" s="6">
        <f>7.3616*OPERAC[[#This Row],[cantidad venta]]</f>
        <v/>
      </c>
      <c r="M3383" s="7">
        <f>IF(N3383=0,+L3383+H3383,0)</f>
        <v/>
      </c>
      <c r="N3383" s="7">
        <f>IF((+G3383-K3383)=0,0,+G3383-K3383)</f>
        <v/>
      </c>
      <c r="O3383" s="7">
        <f>IF(N3383=0,0,(L3383+H3383)/-N3383)</f>
        <v/>
      </c>
      <c r="P3383" s="7">
        <f>VLOOKUP(OPERAC[[#This Row],[especie]],[1]!ESPECIES[#All],6,0)</f>
        <v/>
      </c>
      <c r="Q3383" s="7">
        <f>IF(N3383&lt;&gt;0,P3383*N3383,0)</f>
        <v/>
      </c>
      <c r="R3383" s="8">
        <f>IF(Q3383&lt;&gt;0,Q3383+H3383+L3383,0)</f>
        <v/>
      </c>
      <c r="S3383" s="9">
        <f>VLOOKUP(OPERAC[[#This Row],[especie]],[1]!ESPECIES[#Data],9,FALSE)</f>
        <v/>
      </c>
    </row>
    <row r="3384">
      <c r="A3384" s="4" t="n">
        <v>19867</v>
      </c>
      <c r="B3384" s="5" t="n">
        <v>44670</v>
      </c>
      <c r="C3384" s="13" t="inlineStr">
        <is>
          <t>CPR</t>
        </is>
      </c>
      <c r="D3384" s="13" t="n">
        <v>32</v>
      </c>
      <c r="E3384" s="10">
        <f>IF(D3384&gt;0,VLOOKUP(OPERAC[[#This Row],[COD CART]],[1]!MatrizCortoLargoCyl[#All],3,0),"")</f>
        <v/>
      </c>
      <c r="F3384" s="13" t="inlineStr">
        <is>
          <t>PCT/CYL/7,50/20-05-22</t>
        </is>
      </c>
      <c r="G3384" s="6" t="n">
        <v>100</v>
      </c>
      <c r="H3384" s="6" t="n">
        <v>-710.274</v>
      </c>
      <c r="I3384" s="7">
        <f>-H3384/G3384</f>
        <v/>
      </c>
      <c r="J3384" s="11" t="n">
        <v>44698</v>
      </c>
      <c r="K3384" s="6">
        <f>+OPERAC[[#This Row],[cantidad]]</f>
        <v/>
      </c>
      <c r="L3384" s="6">
        <f>7.3616*OPERAC[[#This Row],[cantidad venta]]</f>
        <v/>
      </c>
      <c r="M3384" s="7">
        <f>IF(N3384=0,+L3384+H3384,0)</f>
        <v/>
      </c>
      <c r="N3384" s="7">
        <f>IF((+G3384-K3384)=0,0,+G3384-K3384)</f>
        <v/>
      </c>
      <c r="O3384" s="7">
        <f>IF(N3384=0,0,(L3384+H3384)/-N3384)</f>
        <v/>
      </c>
      <c r="P3384" s="7">
        <f>VLOOKUP(OPERAC[[#This Row],[especie]],[1]!ESPECIES[#All],6,0)</f>
        <v/>
      </c>
      <c r="Q3384" s="7">
        <f>IF(N3384&lt;&gt;0,P3384*N3384,0)</f>
        <v/>
      </c>
      <c r="R3384" s="8">
        <f>IF(Q3384&lt;&gt;0,Q3384+H3384+L3384,0)</f>
        <v/>
      </c>
      <c r="S3384" s="9">
        <f>VLOOKUP(OPERAC[[#This Row],[especie]],[1]!ESPECIES[#Data],9,FALSE)</f>
        <v/>
      </c>
    </row>
    <row r="3385">
      <c r="A3385" s="4" t="n">
        <v>3838</v>
      </c>
      <c r="B3385" s="5" t="n">
        <v>44670</v>
      </c>
      <c r="C3385" s="13" t="inlineStr">
        <is>
          <t>CPR</t>
        </is>
      </c>
      <c r="D3385" s="13" t="n">
        <v>32</v>
      </c>
      <c r="E3385" s="10">
        <f>IF(D3385&gt;0,VLOOKUP(OPERAC[[#This Row],[COD CART]],[1]!MatrizCortoLargoCyl[#All],3,0),"")</f>
        <v/>
      </c>
      <c r="F3385" s="13" t="inlineStr">
        <is>
          <t>PCT/CYL/7,50/20-05-22</t>
        </is>
      </c>
      <c r="G3385" s="6" t="n">
        <v>100</v>
      </c>
      <c r="H3385" s="6" t="n">
        <v>-710.274</v>
      </c>
      <c r="I3385" s="7">
        <f>-H3385/G3385</f>
        <v/>
      </c>
      <c r="J3385" s="11" t="n">
        <v>44698</v>
      </c>
      <c r="K3385" s="6">
        <f>+OPERAC[[#This Row],[cantidad]]</f>
        <v/>
      </c>
      <c r="L3385" s="6">
        <f>7.3616*OPERAC[[#This Row],[cantidad venta]]</f>
        <v/>
      </c>
      <c r="M3385" s="7">
        <f>IF(N3385=0,+L3385+H3385,0)</f>
        <v/>
      </c>
      <c r="N3385" s="7">
        <f>IF((+G3385-K3385)=0,0,+G3385-K3385)</f>
        <v/>
      </c>
      <c r="O3385" s="7">
        <f>IF(N3385=0,0,(L3385+H3385)/-N3385)</f>
        <v/>
      </c>
      <c r="P3385" s="7">
        <f>VLOOKUP(OPERAC[[#This Row],[especie]],[1]!ESPECIES[#All],6,0)</f>
        <v/>
      </c>
      <c r="Q3385" s="7">
        <f>IF(N3385&lt;&gt;0,P3385*N3385,0)</f>
        <v/>
      </c>
      <c r="R3385" s="8">
        <f>IF(Q3385&lt;&gt;0,Q3385+H3385+L3385,0)</f>
        <v/>
      </c>
      <c r="S3385" s="9">
        <f>VLOOKUP(OPERAC[[#This Row],[especie]],[1]!ESPECIES[#Data],9,FALSE)</f>
        <v/>
      </c>
    </row>
    <row r="3386">
      <c r="A3386" s="4" t="n">
        <v>12688</v>
      </c>
      <c r="B3386" s="5" t="n">
        <v>44670</v>
      </c>
      <c r="C3386" s="13" t="inlineStr">
        <is>
          <t>CPR</t>
        </is>
      </c>
      <c r="D3386" s="13" t="n">
        <v>32</v>
      </c>
      <c r="E3386" s="10">
        <f>IF(D3386&gt;0,VLOOKUP(OPERAC[[#This Row],[COD CART]],[1]!MatrizCortoLargoCyl[#All],3,0),"")</f>
        <v/>
      </c>
      <c r="F3386" s="13" t="inlineStr">
        <is>
          <t>PCT/CYL/7,50/20-05-22</t>
        </is>
      </c>
      <c r="G3386" s="6" t="n">
        <v>100</v>
      </c>
      <c r="H3386" s="6" t="n">
        <v>-710.274</v>
      </c>
      <c r="I3386" s="7">
        <f>-H3386/G3386</f>
        <v/>
      </c>
      <c r="J3386" s="11" t="n">
        <v>44698</v>
      </c>
      <c r="K3386" s="6">
        <f>+OPERAC[[#This Row],[cantidad]]</f>
        <v/>
      </c>
      <c r="L3386" s="6">
        <f>7.3616*OPERAC[[#This Row],[cantidad venta]]</f>
        <v/>
      </c>
      <c r="M3386" s="7">
        <f>IF(N3386=0,+L3386+H3386,0)</f>
        <v/>
      </c>
      <c r="N3386" s="7">
        <f>IF((+G3386-K3386)=0,0,+G3386-K3386)</f>
        <v/>
      </c>
      <c r="O3386" s="7">
        <f>IF(N3386=0,0,(L3386+H3386)/-N3386)</f>
        <v/>
      </c>
      <c r="P3386" s="7">
        <f>VLOOKUP(OPERAC[[#This Row],[especie]],[1]!ESPECIES[#All],6,0)</f>
        <v/>
      </c>
      <c r="Q3386" s="7">
        <f>IF(N3386&lt;&gt;0,P3386*N3386,0)</f>
        <v/>
      </c>
      <c r="R3386" s="8">
        <f>IF(Q3386&lt;&gt;0,Q3386+H3386+L3386,0)</f>
        <v/>
      </c>
      <c r="S3386" s="9">
        <f>VLOOKUP(OPERAC[[#This Row],[especie]],[1]!ESPECIES[#Data],9,FALSE)</f>
        <v/>
      </c>
    </row>
    <row r="3387">
      <c r="A3387" s="4" t="n">
        <v>12022</v>
      </c>
      <c r="B3387" s="5" t="n">
        <v>44670</v>
      </c>
      <c r="C3387" s="13" t="inlineStr">
        <is>
          <t>CPR</t>
        </is>
      </c>
      <c r="D3387" s="13" t="n">
        <v>32</v>
      </c>
      <c r="E3387" s="10">
        <f>IF(D3387&gt;0,VLOOKUP(OPERAC[[#This Row],[COD CART]],[1]!MatrizCortoLargoCyl[#All],3,0),"")</f>
        <v/>
      </c>
      <c r="F3387" s="13" t="inlineStr">
        <is>
          <t>PCT/CYL/7,50/20-05-22</t>
        </is>
      </c>
      <c r="G3387" s="6" t="n">
        <v>100</v>
      </c>
      <c r="H3387" s="6" t="n">
        <v>-710.274</v>
      </c>
      <c r="I3387" s="7">
        <f>-H3387/G3387</f>
        <v/>
      </c>
      <c r="J3387" s="11" t="n">
        <v>44698</v>
      </c>
      <c r="K3387" s="6">
        <f>+OPERAC[[#This Row],[cantidad]]</f>
        <v/>
      </c>
      <c r="L3387" s="6">
        <f>7.3616*OPERAC[[#This Row],[cantidad venta]]</f>
        <v/>
      </c>
      <c r="M3387" s="7">
        <f>IF(N3387=0,+L3387+H3387,0)</f>
        <v/>
      </c>
      <c r="N3387" s="7">
        <f>IF((+G3387-K3387)=0,0,+G3387-K3387)</f>
        <v/>
      </c>
      <c r="O3387" s="7">
        <f>IF(N3387=0,0,(L3387+H3387)/-N3387)</f>
        <v/>
      </c>
      <c r="P3387" s="7">
        <f>VLOOKUP(OPERAC[[#This Row],[especie]],[1]!ESPECIES[#All],6,0)</f>
        <v/>
      </c>
      <c r="Q3387" s="7">
        <f>IF(N3387&lt;&gt;0,P3387*N3387,0)</f>
        <v/>
      </c>
      <c r="R3387" s="8">
        <f>IF(Q3387&lt;&gt;0,Q3387+H3387+L3387,0)</f>
        <v/>
      </c>
      <c r="S3387" s="9">
        <f>VLOOKUP(OPERAC[[#This Row],[especie]],[1]!ESPECIES[#Data],9,FALSE)</f>
        <v/>
      </c>
    </row>
    <row r="3388">
      <c r="A3388" s="4" t="n">
        <v>13253</v>
      </c>
      <c r="B3388" s="5" t="n">
        <v>44677</v>
      </c>
      <c r="C3388" s="13" t="inlineStr">
        <is>
          <t>CPR</t>
        </is>
      </c>
      <c r="D3388" s="13" t="n">
        <v>41</v>
      </c>
      <c r="E3388" s="10">
        <f>IF(D3388&gt;0,VLOOKUP(OPERAC[[#This Row],[COD CART]],[1]!MatrizCortoLargoCyl[#All],3,0),"")</f>
        <v/>
      </c>
      <c r="F3388" s="13" t="inlineStr">
        <is>
          <t>COTY</t>
        </is>
      </c>
      <c r="G3388" s="6" t="n">
        <v>100</v>
      </c>
      <c r="H3388" s="6">
        <f>-722.052-3.026+13.881</f>
        <v/>
      </c>
      <c r="I3388" s="7">
        <f>-H3388/G3388</f>
        <v/>
      </c>
      <c r="J3388" s="11" t="n">
        <v>44708</v>
      </c>
      <c r="K3388" s="6" t="n">
        <v>100</v>
      </c>
      <c r="L3388" s="6" t="n">
        <v>692.308</v>
      </c>
      <c r="M3388" s="7">
        <f>IF(N3388=0,+L3388+H3388,0)</f>
        <v/>
      </c>
      <c r="N3388" s="7">
        <f>IF((+G3388-K3388)=0,0,+G3388-K3388)</f>
        <v/>
      </c>
      <c r="O3388" s="7">
        <f>IF(N3388=0,0,(L3388+H3388)/-N3388)</f>
        <v/>
      </c>
      <c r="P3388" s="7">
        <f>VLOOKUP(OPERAC[[#This Row],[especie]],[1]!ESPECIES[#All],6,0)</f>
        <v/>
      </c>
      <c r="Q3388" s="7">
        <f>IF(N3388&lt;&gt;0,P3388*N3388,0)</f>
        <v/>
      </c>
      <c r="R3388" s="8">
        <f>IF(Q3388&lt;&gt;0,Q3388+H3388+L3388,0)</f>
        <v/>
      </c>
      <c r="S3388" s="9">
        <f>VLOOKUP(OPERAC[[#This Row],[especie]],[1]!ESPECIES[#Data],9,FALSE)</f>
        <v/>
      </c>
    </row>
    <row r="3389">
      <c r="A3389" s="4" t="n">
        <v>1779</v>
      </c>
      <c r="B3389" s="5" t="n">
        <v>44718</v>
      </c>
      <c r="C3389" s="13" t="inlineStr">
        <is>
          <t>CPR</t>
        </is>
      </c>
      <c r="D3389" s="13" t="n">
        <v>32</v>
      </c>
      <c r="E3389" s="10">
        <f>IF(D3389&gt;0,VLOOKUP(OPERAC[[#This Row],[COD CART]],[1]!MatrizCortoLargoCyl[#All],3,0),"")</f>
        <v/>
      </c>
      <c r="F3389" s="13" t="inlineStr">
        <is>
          <t>HMY</t>
        </is>
      </c>
      <c r="G3389" s="6" t="n">
        <v>200</v>
      </c>
      <c r="H3389" s="6" t="n">
        <v>-712</v>
      </c>
      <c r="I3389" s="7">
        <f>-H3389/G3389</f>
        <v/>
      </c>
      <c r="J3389" s="5" t="n"/>
      <c r="K3389" s="6" t="n"/>
      <c r="L3389" s="6" t="n"/>
      <c r="M3389" s="7">
        <f>IF(N3389=0,+L3389+H3389,0)</f>
        <v/>
      </c>
      <c r="N3389" s="7">
        <f>IF((+G3389-K3389)=0,0,+G3389-K3389)</f>
        <v/>
      </c>
      <c r="O3389" s="7">
        <f>IF(N3389=0,0,(L3389+H3389)/-N3389)</f>
        <v/>
      </c>
      <c r="P3389" s="7">
        <f>VLOOKUP(OPERAC[[#This Row],[especie]],[1]!ESPECIES[#All],6,0)</f>
        <v/>
      </c>
      <c r="Q3389" s="7">
        <f>IF(N3389&lt;&gt;0,P3389*N3389,0)</f>
        <v/>
      </c>
      <c r="R3389" s="8">
        <f>IF(Q3389&lt;&gt;0,Q3389+H3389+L3389,0)</f>
        <v/>
      </c>
      <c r="S3389" s="9">
        <f>VLOOKUP(OPERAC[[#This Row],[especie]],[1]!ESPECIES[#Data],9,FALSE)</f>
        <v/>
      </c>
    </row>
    <row r="3390">
      <c r="A3390" s="4" t="n">
        <v>22393</v>
      </c>
      <c r="B3390" s="5" t="n">
        <v>44630</v>
      </c>
      <c r="C3390" s="13" t="inlineStr">
        <is>
          <t>CPR</t>
        </is>
      </c>
      <c r="D3390" s="13" t="n">
        <v>32</v>
      </c>
      <c r="E3390" s="10">
        <f>IF(D3390&gt;0,VLOOKUP(OPERAC[[#This Row],[COD CART]],[1]!MatrizCortoLargoCyl[#All],3,0),"")</f>
        <v/>
      </c>
      <c r="F3390" s="13" t="inlineStr">
        <is>
          <t>CRESY/CYL/7,50/18-03-22</t>
        </is>
      </c>
      <c r="G3390" s="6" t="n">
        <v>100</v>
      </c>
      <c r="H3390" s="6" t="n">
        <v>-715.1180000000001</v>
      </c>
      <c r="I3390" s="7">
        <f>-H3390/G3390</f>
        <v/>
      </c>
      <c r="J3390" s="11" t="n">
        <v>44638</v>
      </c>
      <c r="K3390" s="6" t="n">
        <v>100</v>
      </c>
      <c r="L3390" s="6" t="n">
        <v>744</v>
      </c>
      <c r="M3390" s="7">
        <f>IF(N3390=0,+L3390+H3390,0)</f>
        <v/>
      </c>
      <c r="N3390" s="7">
        <f>IF((+G3390-K3390)=0,0,+G3390-K3390)</f>
        <v/>
      </c>
      <c r="O3390" s="7">
        <f>IF(N3390=0,0,(L3390+H3390)/-N3390)</f>
        <v/>
      </c>
      <c r="P3390" s="7">
        <f>VLOOKUP(OPERAC[[#This Row],[especie]],[1]!ESPECIES[#All],6,0)</f>
        <v/>
      </c>
      <c r="Q3390" s="7">
        <f>IF(N3390&lt;&gt;0,P3390*N3390,0)</f>
        <v/>
      </c>
      <c r="R3390" s="8">
        <f>IF(Q3390&lt;&gt;0,Q3390+H3390+L3390,0)</f>
        <v/>
      </c>
      <c r="S3390" s="9">
        <f>VLOOKUP(OPERAC[[#This Row],[especie]],[1]!ESPECIES[#Data],9,FALSE)</f>
        <v/>
      </c>
    </row>
    <row r="3391">
      <c r="A3391" s="4" t="n">
        <v>2218</v>
      </c>
      <c r="B3391" s="5" t="n">
        <v>44599</v>
      </c>
      <c r="C3391" s="13" t="inlineStr">
        <is>
          <t>CPR</t>
        </is>
      </c>
      <c r="D3391" s="13" t="n">
        <v>40</v>
      </c>
      <c r="E3391" s="10">
        <f>IF(D3391&gt;0,VLOOKUP(OPERAC[[#This Row],[COD CART]],[1]!MatrizCortoLargoCyl[#All],3,0),"")</f>
        <v/>
      </c>
      <c r="F3391" s="13" t="inlineStr">
        <is>
          <t>FB</t>
        </is>
      </c>
      <c r="G3391" s="6" t="n">
        <v>3</v>
      </c>
      <c r="H3391" s="6" t="n">
        <v>-715.38</v>
      </c>
      <c r="I3391" s="7">
        <f>-H3391/G3391</f>
        <v/>
      </c>
      <c r="J3391" s="11" t="n">
        <v>44616</v>
      </c>
      <c r="K3391" s="6">
        <f>+OPERAC[[#This Row],[cantidad]]</f>
        <v/>
      </c>
      <c r="L3391" s="6">
        <f>200.299*OPERAC[[#This Row],[cantidad venta]]</f>
        <v/>
      </c>
      <c r="M3391" s="7">
        <f>IF(N3391=0,+L3391+H3391,0)</f>
        <v/>
      </c>
      <c r="N3391" s="7">
        <f>IF((+G3391-K3391)=0,0,+G3391-K3391)</f>
        <v/>
      </c>
      <c r="O3391" s="7">
        <f>IF(N3391=0,0,(L3391+H3391)/-N3391)</f>
        <v/>
      </c>
      <c r="P3391" s="7">
        <f>VLOOKUP(OPERAC[[#This Row],[especie]],[1]!ESPECIES[#All],6,0)</f>
        <v/>
      </c>
      <c r="Q3391" s="7">
        <f>IF(N3391&lt;&gt;0,P3391*N3391,0)</f>
        <v/>
      </c>
      <c r="R3391" s="8">
        <f>IF(Q3391&lt;&gt;0,Q3391+H3391+L3391,0)</f>
        <v/>
      </c>
      <c r="S3391" s="9">
        <f>VLOOKUP(OPERAC[[#This Row],[especie]],[1]!ESPECIES[#Data],9,FALSE)</f>
        <v/>
      </c>
    </row>
    <row r="3392">
      <c r="A3392" s="4" t="n">
        <v>12619</v>
      </c>
      <c r="B3392" s="5" t="n">
        <v>44599</v>
      </c>
      <c r="C3392" s="13" t="inlineStr">
        <is>
          <t>CPR</t>
        </is>
      </c>
      <c r="D3392" s="13" t="n">
        <v>40</v>
      </c>
      <c r="E3392" s="10">
        <f>IF(D3392&gt;0,VLOOKUP(OPERAC[[#This Row],[COD CART]],[1]!MatrizCortoLargoCyl[#All],3,0),"")</f>
        <v/>
      </c>
      <c r="F3392" s="13" t="inlineStr">
        <is>
          <t>FB</t>
        </is>
      </c>
      <c r="G3392" s="6" t="n">
        <v>3</v>
      </c>
      <c r="H3392" s="6" t="n">
        <v>-715.38</v>
      </c>
      <c r="I3392" s="7">
        <f>-H3392/G3392</f>
        <v/>
      </c>
      <c r="J3392" s="11" t="n">
        <v>44616</v>
      </c>
      <c r="K3392" s="6">
        <f>+OPERAC[[#This Row],[cantidad]]</f>
        <v/>
      </c>
      <c r="L3392" s="6">
        <f>200.299*OPERAC[[#This Row],[cantidad venta]]</f>
        <v/>
      </c>
      <c r="M3392" s="7">
        <f>IF(N3392=0,+L3392+H3392,0)</f>
        <v/>
      </c>
      <c r="N3392" s="7">
        <f>IF((+G3392-K3392)=0,0,+G3392-K3392)</f>
        <v/>
      </c>
      <c r="O3392" s="7">
        <f>IF(N3392=0,0,(L3392+H3392)/-N3392)</f>
        <v/>
      </c>
      <c r="P3392" s="7">
        <f>VLOOKUP(OPERAC[[#This Row],[especie]],[1]!ESPECIES[#All],6,0)</f>
        <v/>
      </c>
      <c r="Q3392" s="7">
        <f>IF(N3392&lt;&gt;0,P3392*N3392,0)</f>
        <v/>
      </c>
      <c r="R3392" s="8">
        <f>IF(Q3392&lt;&gt;0,Q3392+H3392+L3392,0)</f>
        <v/>
      </c>
      <c r="S3392" s="9">
        <f>VLOOKUP(OPERAC[[#This Row],[especie]],[1]!ESPECIES[#Data],9,FALSE)</f>
        <v/>
      </c>
    </row>
    <row r="3393">
      <c r="A3393" s="4" t="n">
        <v>16795</v>
      </c>
      <c r="B3393" s="5" t="n">
        <v>44649</v>
      </c>
      <c r="C3393" s="13" t="inlineStr">
        <is>
          <t>CPR</t>
        </is>
      </c>
      <c r="D3393" s="13" t="n">
        <v>42</v>
      </c>
      <c r="E3393" s="10">
        <f>IF(D3393&gt;0,VLOOKUP(OPERAC[[#This Row],[COD CART]],[1]!MatrizCortoLargoCyl[#All],3,0),"")</f>
        <v/>
      </c>
      <c r="F3393" s="13" t="inlineStr">
        <is>
          <t>DIS</t>
        </is>
      </c>
      <c r="G3393" s="6" t="n">
        <v>5</v>
      </c>
      <c r="H3393" s="6" t="n">
        <v>-716.1998</v>
      </c>
      <c r="I3393" s="7">
        <f>-H3393/G3393</f>
        <v/>
      </c>
      <c r="J3393" s="11" t="n">
        <v>44671</v>
      </c>
      <c r="K3393" s="6">
        <f>+OPERAC[[#This Row],[cantidad]]</f>
        <v/>
      </c>
      <c r="L3393" s="6">
        <f>+OPERAC[[#This Row],[cantidad venta]]*123.621</f>
        <v/>
      </c>
      <c r="M3393" s="7">
        <f>IF(N3393=0,+L3393+H3393,0)</f>
        <v/>
      </c>
      <c r="N3393" s="7">
        <f>IF((+G3393-K3393)=0,0,+G3393-K3393)</f>
        <v/>
      </c>
      <c r="O3393" s="7">
        <f>IF(N3393=0,0,(L3393+H3393)/-N3393)</f>
        <v/>
      </c>
      <c r="P3393" s="7">
        <f>VLOOKUP(OPERAC[[#This Row],[especie]],[1]!ESPECIES[#All],6,0)</f>
        <v/>
      </c>
      <c r="Q3393" s="7">
        <f>IF(N3393&lt;&gt;0,P3393*N3393,0)</f>
        <v/>
      </c>
      <c r="R3393" s="8">
        <f>IF(Q3393&lt;&gt;0,Q3393+H3393+L3393,0)</f>
        <v/>
      </c>
      <c r="S3393" s="9">
        <f>VLOOKUP(OPERAC[[#This Row],[especie]],[1]!ESPECIES[#Data],9,FALSE)</f>
        <v/>
      </c>
    </row>
    <row r="3394">
      <c r="A3394" s="4" t="n">
        <v>13190</v>
      </c>
      <c r="B3394" s="5" t="n">
        <v>44649</v>
      </c>
      <c r="C3394" s="13" t="inlineStr">
        <is>
          <t>CPR</t>
        </is>
      </c>
      <c r="D3394" s="13" t="n">
        <v>31</v>
      </c>
      <c r="E3394" s="10">
        <f>IF(D3394&gt;0,VLOOKUP(OPERAC[[#This Row],[COD CART]],[1]!MatrizCortoLargoCyl[#All],3,0),"")</f>
        <v/>
      </c>
      <c r="F3394" s="13" t="inlineStr">
        <is>
          <t>BRK B</t>
        </is>
      </c>
      <c r="G3394" s="6" t="n">
        <v>2</v>
      </c>
      <c r="H3394" s="6" t="n">
        <v>-716.3977600000001</v>
      </c>
      <c r="I3394" s="7">
        <f>-H3394/G3394</f>
        <v/>
      </c>
      <c r="J3394" s="11" t="n">
        <v>44663</v>
      </c>
      <c r="K3394" s="6" t="n">
        <v>2</v>
      </c>
      <c r="L3394" s="6" t="n">
        <v>697.348</v>
      </c>
      <c r="M3394" s="7">
        <f>IF(N3394=0,+L3394+H3394,0)</f>
        <v/>
      </c>
      <c r="N3394" s="7">
        <f>IF((+G3394-K3394)=0,0,+G3394-K3394)</f>
        <v/>
      </c>
      <c r="O3394" s="7">
        <f>IF(N3394=0,0,(L3394+H3394)/-N3394)</f>
        <v/>
      </c>
      <c r="P3394" s="7">
        <f>VLOOKUP(OPERAC[[#This Row],[especie]],[1]!ESPECIES[#All],6,0)</f>
        <v/>
      </c>
      <c r="Q3394" s="7">
        <f>IF(N3394&lt;&gt;0,P3394*N3394,0)</f>
        <v/>
      </c>
      <c r="R3394" s="8">
        <f>IF(Q3394&lt;&gt;0,Q3394+H3394+L3394,0)</f>
        <v/>
      </c>
      <c r="S3394" s="9">
        <f>VLOOKUP(OPERAC[[#This Row],[especie]],[1]!ESPECIES[#Data],9,FALSE)</f>
        <v/>
      </c>
    </row>
    <row r="3395">
      <c r="A3395" s="4" t="n">
        <v>12671</v>
      </c>
      <c r="B3395" s="5" t="n">
        <v>44628</v>
      </c>
      <c r="C3395" s="13" t="inlineStr">
        <is>
          <t>CPR</t>
        </is>
      </c>
      <c r="D3395" s="13" t="n">
        <v>32</v>
      </c>
      <c r="E3395" s="10">
        <f>IF(D3395&gt;0,VLOOKUP(OPERAC[[#This Row],[COD CART]],[1]!MatrizCortoLargoCyl[#All],3,0),"")</f>
        <v/>
      </c>
      <c r="F3395" s="13" t="inlineStr">
        <is>
          <t>COTY/CYL/8,00/14-04-22</t>
        </is>
      </c>
      <c r="G3395" s="6" t="n">
        <v>100</v>
      </c>
      <c r="H3395" s="6" t="n">
        <v>-716.4416999999999</v>
      </c>
      <c r="I3395" s="7">
        <f>-H3395/G3395</f>
        <v/>
      </c>
      <c r="J3395" s="11" t="n">
        <v>44643</v>
      </c>
      <c r="K3395" s="6" t="n">
        <v>100</v>
      </c>
      <c r="L3395" s="6" t="n">
        <v>779.3200000000001</v>
      </c>
      <c r="M3395" s="7">
        <f>IF(N3395=0,+L3395+H3395,0)</f>
        <v/>
      </c>
      <c r="N3395" s="7">
        <f>IF((+G3395-K3395)=0,0,+G3395-K3395)</f>
        <v/>
      </c>
      <c r="O3395" s="7">
        <f>IF(N3395=0,0,(L3395+H3395)/-N3395)</f>
        <v/>
      </c>
      <c r="P3395" s="7">
        <f>VLOOKUP(OPERAC[[#This Row],[especie]],[1]!ESPECIES[#All],6,0)</f>
        <v/>
      </c>
      <c r="Q3395" s="7">
        <f>IF(N3395&lt;&gt;0,P3395*N3395,0)</f>
        <v/>
      </c>
      <c r="R3395" s="8">
        <f>IF(Q3395&lt;&gt;0,Q3395+H3395+L3395,0)</f>
        <v/>
      </c>
      <c r="S3395" s="9">
        <f>VLOOKUP(OPERAC[[#This Row],[especie]],[1]!ESPECIES[#Data],9,FALSE)</f>
        <v/>
      </c>
    </row>
    <row r="3396">
      <c r="A3396" s="4" t="n">
        <v>1800</v>
      </c>
      <c r="B3396" s="5" t="n">
        <v>44628</v>
      </c>
      <c r="C3396" s="13" t="inlineStr">
        <is>
          <t>CPR</t>
        </is>
      </c>
      <c r="D3396" s="13" t="n">
        <v>32</v>
      </c>
      <c r="E3396" s="10">
        <f>IF(D3396&gt;0,VLOOKUP(OPERAC[[#This Row],[COD CART]],[1]!MatrizCortoLargoCyl[#All],3,0),"")</f>
        <v/>
      </c>
      <c r="F3396" s="13" t="inlineStr">
        <is>
          <t>COTY/CYL/8,00/14-04-22</t>
        </is>
      </c>
      <c r="G3396" s="6" t="n">
        <v>100</v>
      </c>
      <c r="H3396" s="6" t="n">
        <v>-718.0550999999999</v>
      </c>
      <c r="I3396" s="7">
        <f>-H3396/G3396</f>
        <v/>
      </c>
      <c r="J3396" s="11" t="n">
        <v>44643</v>
      </c>
      <c r="K3396" s="6" t="n">
        <v>100</v>
      </c>
      <c r="L3396" s="6" t="n">
        <v>779.3200000000001</v>
      </c>
      <c r="M3396" s="7">
        <f>IF(N3396=0,+L3396+H3396,0)</f>
        <v/>
      </c>
      <c r="N3396" s="7">
        <f>IF((+G3396-K3396)=0,0,+G3396-K3396)</f>
        <v/>
      </c>
      <c r="O3396" s="7">
        <f>IF(N3396=0,0,(L3396+H3396)/-N3396)</f>
        <v/>
      </c>
      <c r="P3396" s="7">
        <f>VLOOKUP(OPERAC[[#This Row],[especie]],[1]!ESPECIES[#All],6,0)</f>
        <v/>
      </c>
      <c r="Q3396" s="7">
        <f>IF(N3396&lt;&gt;0,P3396*N3396,0)</f>
        <v/>
      </c>
      <c r="R3396" s="8">
        <f>IF(Q3396&lt;&gt;0,Q3396+H3396+L3396,0)</f>
        <v/>
      </c>
      <c r="S3396" s="9">
        <f>VLOOKUP(OPERAC[[#This Row],[especie]],[1]!ESPECIES[#Data],9,FALSE)</f>
        <v/>
      </c>
    </row>
    <row r="3397">
      <c r="A3397" s="4" t="n">
        <v>6628</v>
      </c>
      <c r="B3397" s="5" t="n">
        <v>44628</v>
      </c>
      <c r="C3397" s="13" t="inlineStr">
        <is>
          <t>CPR</t>
        </is>
      </c>
      <c r="D3397" s="13" t="n">
        <v>32</v>
      </c>
      <c r="E3397" s="10">
        <f>IF(D3397&gt;0,VLOOKUP(OPERAC[[#This Row],[COD CART]],[1]!MatrizCortoLargoCyl[#All],3,0),"")</f>
        <v/>
      </c>
      <c r="F3397" s="13" t="inlineStr">
        <is>
          <t>COTY/CYL/8,00/14-04-22</t>
        </is>
      </c>
      <c r="G3397" s="6" t="n">
        <v>100</v>
      </c>
      <c r="H3397" s="6" t="n">
        <v>-718.0550999999999</v>
      </c>
      <c r="I3397" s="7">
        <f>-H3397/G3397</f>
        <v/>
      </c>
      <c r="J3397" s="11" t="n">
        <v>44643</v>
      </c>
      <c r="K3397" s="6" t="n">
        <v>100</v>
      </c>
      <c r="L3397" s="6" t="n">
        <v>779.3200000000001</v>
      </c>
      <c r="M3397" s="7">
        <f>IF(N3397=0,+L3397+H3397,0)</f>
        <v/>
      </c>
      <c r="N3397" s="7">
        <f>IF((+G3397-K3397)=0,0,+G3397-K3397)</f>
        <v/>
      </c>
      <c r="O3397" s="7">
        <f>IF(N3397=0,0,(L3397+H3397)/-N3397)</f>
        <v/>
      </c>
      <c r="P3397" s="7">
        <f>VLOOKUP(OPERAC[[#This Row],[especie]],[1]!ESPECIES[#All],6,0)</f>
        <v/>
      </c>
      <c r="Q3397" s="7">
        <f>IF(N3397&lt;&gt;0,P3397*N3397,0)</f>
        <v/>
      </c>
      <c r="R3397" s="8">
        <f>IF(Q3397&lt;&gt;0,Q3397+H3397+L3397,0)</f>
        <v/>
      </c>
      <c r="S3397" s="9">
        <f>VLOOKUP(OPERAC[[#This Row],[especie]],[1]!ESPECIES[#Data],9,FALSE)</f>
        <v/>
      </c>
    </row>
    <row r="3398">
      <c r="A3398" s="4" t="n">
        <v>12690</v>
      </c>
      <c r="B3398" s="5" t="n">
        <v>44628</v>
      </c>
      <c r="C3398" s="13" t="inlineStr">
        <is>
          <t>CPR</t>
        </is>
      </c>
      <c r="D3398" s="13" t="n">
        <v>32</v>
      </c>
      <c r="E3398" s="10">
        <f>IF(D3398&gt;0,VLOOKUP(OPERAC[[#This Row],[COD CART]],[1]!MatrizCortoLargoCyl[#All],3,0),"")</f>
        <v/>
      </c>
      <c r="F3398" s="13" t="inlineStr">
        <is>
          <t>COTY/CYL/8,00/14-04-22</t>
        </is>
      </c>
      <c r="G3398" s="6" t="n">
        <v>100</v>
      </c>
      <c r="H3398" s="6" t="n">
        <v>-718.0550999999999</v>
      </c>
      <c r="I3398" s="7">
        <f>-H3398/G3398</f>
        <v/>
      </c>
      <c r="J3398" s="11" t="n">
        <v>44643</v>
      </c>
      <c r="K3398" s="6" t="n">
        <v>100</v>
      </c>
      <c r="L3398" s="6" t="n">
        <v>779.3200000000001</v>
      </c>
      <c r="M3398" s="7">
        <f>IF(N3398=0,+L3398+H3398,0)</f>
        <v/>
      </c>
      <c r="N3398" s="7">
        <f>IF((+G3398-K3398)=0,0,+G3398-K3398)</f>
        <v/>
      </c>
      <c r="O3398" s="7">
        <f>IF(N3398=0,0,(L3398+H3398)/-N3398)</f>
        <v/>
      </c>
      <c r="P3398" s="7">
        <f>VLOOKUP(OPERAC[[#This Row],[especie]],[1]!ESPECIES[#All],6,0)</f>
        <v/>
      </c>
      <c r="Q3398" s="7">
        <f>IF(N3398&lt;&gt;0,P3398*N3398,0)</f>
        <v/>
      </c>
      <c r="R3398" s="8">
        <f>IF(Q3398&lt;&gt;0,Q3398+H3398+L3398,0)</f>
        <v/>
      </c>
      <c r="S3398" s="9">
        <f>VLOOKUP(OPERAC[[#This Row],[especie]],[1]!ESPECIES[#Data],9,FALSE)</f>
        <v/>
      </c>
    </row>
    <row r="3399">
      <c r="A3399" s="4" t="n">
        <v>13271</v>
      </c>
      <c r="B3399" s="5" t="n">
        <v>44628</v>
      </c>
      <c r="C3399" s="13" t="inlineStr">
        <is>
          <t>CPR</t>
        </is>
      </c>
      <c r="D3399" s="13" t="n">
        <v>32</v>
      </c>
      <c r="E3399" s="10">
        <f>IF(D3399&gt;0,VLOOKUP(OPERAC[[#This Row],[COD CART]],[1]!MatrizCortoLargoCyl[#All],3,0),"")</f>
        <v/>
      </c>
      <c r="F3399" s="13" t="inlineStr">
        <is>
          <t>COTY/CYL/8,00/14-04-22</t>
        </is>
      </c>
      <c r="G3399" s="6" t="n">
        <v>100</v>
      </c>
      <c r="H3399" s="6" t="n">
        <v>-718.0550999999999</v>
      </c>
      <c r="I3399" s="7">
        <f>-H3399/G3399</f>
        <v/>
      </c>
      <c r="J3399" s="11" t="n">
        <v>44643</v>
      </c>
      <c r="K3399" s="6" t="n">
        <v>100</v>
      </c>
      <c r="L3399" s="6" t="n">
        <v>779.3200000000001</v>
      </c>
      <c r="M3399" s="7">
        <f>IF(N3399=0,+L3399+H3399,0)</f>
        <v/>
      </c>
      <c r="N3399" s="7">
        <f>IF((+G3399-K3399)=0,0,+G3399-K3399)</f>
        <v/>
      </c>
      <c r="O3399" s="7">
        <f>IF(N3399=0,0,(L3399+H3399)/-N3399)</f>
        <v/>
      </c>
      <c r="P3399" s="7">
        <f>VLOOKUP(OPERAC[[#This Row],[especie]],[1]!ESPECIES[#All],6,0)</f>
        <v/>
      </c>
      <c r="Q3399" s="7">
        <f>IF(N3399&lt;&gt;0,P3399*N3399,0)</f>
        <v/>
      </c>
      <c r="R3399" s="8">
        <f>IF(Q3399&lt;&gt;0,Q3399+H3399+L3399,0)</f>
        <v/>
      </c>
      <c r="S3399" s="9">
        <f>VLOOKUP(OPERAC[[#This Row],[especie]],[1]!ESPECIES[#Data],9,FALSE)</f>
        <v/>
      </c>
    </row>
    <row r="3400">
      <c r="A3400" s="4" t="n">
        <v>15189</v>
      </c>
      <c r="B3400" s="5" t="n">
        <v>44628</v>
      </c>
      <c r="C3400" s="13" t="inlineStr">
        <is>
          <t>CPR</t>
        </is>
      </c>
      <c r="D3400" s="13" t="n">
        <v>32</v>
      </c>
      <c r="E3400" s="10">
        <f>IF(D3400&gt;0,VLOOKUP(OPERAC[[#This Row],[COD CART]],[1]!MatrizCortoLargoCyl[#All],3,0),"")</f>
        <v/>
      </c>
      <c r="F3400" s="13" t="inlineStr">
        <is>
          <t>COTY/CYL/8,00/14-04-22</t>
        </is>
      </c>
      <c r="G3400" s="6" t="n">
        <v>100</v>
      </c>
      <c r="H3400" s="6" t="n">
        <v>-718.0550999999999</v>
      </c>
      <c r="I3400" s="7">
        <f>-H3400/G3400</f>
        <v/>
      </c>
      <c r="J3400" s="11" t="n">
        <v>44643</v>
      </c>
      <c r="K3400" s="6" t="n">
        <v>100</v>
      </c>
      <c r="L3400" s="6" t="n">
        <v>779.3200000000001</v>
      </c>
      <c r="M3400" s="7">
        <f>IF(N3400=0,+L3400+H3400,0)</f>
        <v/>
      </c>
      <c r="N3400" s="7">
        <f>IF((+G3400-K3400)=0,0,+G3400-K3400)</f>
        <v/>
      </c>
      <c r="O3400" s="7">
        <f>IF(N3400=0,0,(L3400+H3400)/-N3400)</f>
        <v/>
      </c>
      <c r="P3400" s="7">
        <f>VLOOKUP(OPERAC[[#This Row],[especie]],[1]!ESPECIES[#All],6,0)</f>
        <v/>
      </c>
      <c r="Q3400" s="7">
        <f>IF(N3400&lt;&gt;0,P3400*N3400,0)</f>
        <v/>
      </c>
      <c r="R3400" s="8">
        <f>IF(Q3400&lt;&gt;0,Q3400+H3400+L3400,0)</f>
        <v/>
      </c>
      <c r="S3400" s="9">
        <f>VLOOKUP(OPERAC[[#This Row],[especie]],[1]!ESPECIES[#Data],9,FALSE)</f>
        <v/>
      </c>
    </row>
    <row r="3401">
      <c r="A3401" s="4" t="n">
        <v>16833</v>
      </c>
      <c r="B3401" s="5" t="n">
        <v>44628</v>
      </c>
      <c r="C3401" s="13" t="inlineStr">
        <is>
          <t>CPR</t>
        </is>
      </c>
      <c r="D3401" s="13" t="n">
        <v>32</v>
      </c>
      <c r="E3401" s="10">
        <f>IF(D3401&gt;0,VLOOKUP(OPERAC[[#This Row],[COD CART]],[1]!MatrizCortoLargoCyl[#All],3,0),"")</f>
        <v/>
      </c>
      <c r="F3401" s="13" t="inlineStr">
        <is>
          <t>COTY/CYL/8,00/14-04-22</t>
        </is>
      </c>
      <c r="G3401" s="6" t="n">
        <v>100</v>
      </c>
      <c r="H3401" s="6" t="n">
        <v>-718.0550999999999</v>
      </c>
      <c r="I3401" s="7">
        <f>-H3401/G3401</f>
        <v/>
      </c>
      <c r="J3401" s="11" t="n">
        <v>44643</v>
      </c>
      <c r="K3401" s="6" t="n">
        <v>100</v>
      </c>
      <c r="L3401" s="6" t="n">
        <v>779.3200000000001</v>
      </c>
      <c r="M3401" s="7">
        <f>IF(N3401=0,+L3401+H3401,0)</f>
        <v/>
      </c>
      <c r="N3401" s="7">
        <f>IF((+G3401-K3401)=0,0,+G3401-K3401)</f>
        <v/>
      </c>
      <c r="O3401" s="7">
        <f>IF(N3401=0,0,(L3401+H3401)/-N3401)</f>
        <v/>
      </c>
      <c r="P3401" s="7">
        <f>VLOOKUP(OPERAC[[#This Row],[especie]],[1]!ESPECIES[#All],6,0)</f>
        <v/>
      </c>
      <c r="Q3401" s="7">
        <f>IF(N3401&lt;&gt;0,P3401*N3401,0)</f>
        <v/>
      </c>
      <c r="R3401" s="8">
        <f>IF(Q3401&lt;&gt;0,Q3401+H3401+L3401,0)</f>
        <v/>
      </c>
      <c r="S3401" s="9">
        <f>VLOOKUP(OPERAC[[#This Row],[especie]],[1]!ESPECIES[#Data],9,FALSE)</f>
        <v/>
      </c>
    </row>
    <row r="3402">
      <c r="A3402" s="4" t="n">
        <v>19888</v>
      </c>
      <c r="B3402" s="5" t="n">
        <v>44628</v>
      </c>
      <c r="C3402" s="13" t="inlineStr">
        <is>
          <t>CPR</t>
        </is>
      </c>
      <c r="D3402" s="13" t="n">
        <v>32</v>
      </c>
      <c r="E3402" s="10">
        <f>IF(D3402&gt;0,VLOOKUP(OPERAC[[#This Row],[COD CART]],[1]!MatrizCortoLargoCyl[#All],3,0),"")</f>
        <v/>
      </c>
      <c r="F3402" s="13" t="inlineStr">
        <is>
          <t>COTY/CYL/8,00/14-04-22</t>
        </is>
      </c>
      <c r="G3402" s="6" t="n">
        <v>100</v>
      </c>
      <c r="H3402" s="6" t="n">
        <v>-718.0550999999999</v>
      </c>
      <c r="I3402" s="7">
        <f>-H3402/G3402</f>
        <v/>
      </c>
      <c r="J3402" s="11" t="n">
        <v>44643</v>
      </c>
      <c r="K3402" s="6" t="n">
        <v>100</v>
      </c>
      <c r="L3402" s="6" t="n">
        <v>779.3200000000001</v>
      </c>
      <c r="M3402" s="7">
        <f>IF(N3402=0,+L3402+H3402,0)</f>
        <v/>
      </c>
      <c r="N3402" s="7">
        <f>IF((+G3402-K3402)=0,0,+G3402-K3402)</f>
        <v/>
      </c>
      <c r="O3402" s="7">
        <f>IF(N3402=0,0,(L3402+H3402)/-N3402)</f>
        <v/>
      </c>
      <c r="P3402" s="7">
        <f>VLOOKUP(OPERAC[[#This Row],[especie]],[1]!ESPECIES[#All],6,0)</f>
        <v/>
      </c>
      <c r="Q3402" s="7">
        <f>IF(N3402&lt;&gt;0,P3402*N3402,0)</f>
        <v/>
      </c>
      <c r="R3402" s="8">
        <f>IF(Q3402&lt;&gt;0,Q3402+H3402+L3402,0)</f>
        <v/>
      </c>
      <c r="S3402" s="9">
        <f>VLOOKUP(OPERAC[[#This Row],[especie]],[1]!ESPECIES[#Data],9,FALSE)</f>
        <v/>
      </c>
    </row>
    <row r="3403">
      <c r="A3403" s="4" t="n">
        <v>22431</v>
      </c>
      <c r="B3403" s="5" t="n">
        <v>44628</v>
      </c>
      <c r="C3403" s="13" t="inlineStr">
        <is>
          <t>CPR</t>
        </is>
      </c>
      <c r="D3403" s="13" t="n">
        <v>32</v>
      </c>
      <c r="E3403" s="10">
        <f>IF(D3403&gt;0,VLOOKUP(OPERAC[[#This Row],[COD CART]],[1]!MatrizCortoLargoCyl[#All],3,0),"")</f>
        <v/>
      </c>
      <c r="F3403" s="13" t="inlineStr">
        <is>
          <t>COTY/CYL/8,00/14-04-22</t>
        </is>
      </c>
      <c r="G3403" s="6" t="n">
        <v>100</v>
      </c>
      <c r="H3403" s="6" t="n">
        <v>-718.0550999999999</v>
      </c>
      <c r="I3403" s="7">
        <f>-H3403/G3403</f>
        <v/>
      </c>
      <c r="J3403" s="11" t="n">
        <v>44643</v>
      </c>
      <c r="K3403" s="6" t="n">
        <v>100</v>
      </c>
      <c r="L3403" s="6" t="n">
        <v>779.3200000000001</v>
      </c>
      <c r="M3403" s="7">
        <f>IF(N3403=0,+L3403+H3403,0)</f>
        <v/>
      </c>
      <c r="N3403" s="7">
        <f>IF((+G3403-K3403)=0,0,+G3403-K3403)</f>
        <v/>
      </c>
      <c r="O3403" s="7">
        <f>IF(N3403=0,0,(L3403+H3403)/-N3403)</f>
        <v/>
      </c>
      <c r="P3403" s="7">
        <f>VLOOKUP(OPERAC[[#This Row],[especie]],[1]!ESPECIES[#All],6,0)</f>
        <v/>
      </c>
      <c r="Q3403" s="7">
        <f>IF(N3403&lt;&gt;0,P3403*N3403,0)</f>
        <v/>
      </c>
      <c r="R3403" s="8">
        <f>IF(Q3403&lt;&gt;0,Q3403+H3403+L3403,0)</f>
        <v/>
      </c>
      <c r="S3403" s="9">
        <f>VLOOKUP(OPERAC[[#This Row],[especie]],[1]!ESPECIES[#Data],9,FALSE)</f>
        <v/>
      </c>
    </row>
    <row r="3404">
      <c r="A3404" s="4" t="n">
        <v>22439</v>
      </c>
      <c r="B3404" s="5" t="n">
        <v>44628</v>
      </c>
      <c r="C3404" s="13" t="inlineStr">
        <is>
          <t>CPR</t>
        </is>
      </c>
      <c r="D3404" s="13" t="n">
        <v>32</v>
      </c>
      <c r="E3404" s="10">
        <f>IF(D3404&gt;0,VLOOKUP(OPERAC[[#This Row],[COD CART]],[1]!MatrizCortoLargoCyl[#All],3,0),"")</f>
        <v/>
      </c>
      <c r="F3404" s="13" t="inlineStr">
        <is>
          <t>COTY/CYL/8,00/14-04-22</t>
        </is>
      </c>
      <c r="G3404" s="6" t="n">
        <v>100</v>
      </c>
      <c r="H3404" s="6" t="n">
        <v>-718.0550999999999</v>
      </c>
      <c r="I3404" s="7">
        <f>-H3404/G3404</f>
        <v/>
      </c>
      <c r="J3404" s="11" t="n">
        <v>44643</v>
      </c>
      <c r="K3404" s="6" t="n">
        <v>100</v>
      </c>
      <c r="L3404" s="6" t="n">
        <v>779.3200000000001</v>
      </c>
      <c r="M3404" s="7">
        <f>IF(N3404=0,+L3404+H3404,0)</f>
        <v/>
      </c>
      <c r="N3404" s="7">
        <f>IF((+G3404-K3404)=0,0,+G3404-K3404)</f>
        <v/>
      </c>
      <c r="O3404" s="7">
        <f>IF(N3404=0,0,(L3404+H3404)/-N3404)</f>
        <v/>
      </c>
      <c r="P3404" s="7">
        <f>VLOOKUP(OPERAC[[#This Row],[especie]],[1]!ESPECIES[#All],6,0)</f>
        <v/>
      </c>
      <c r="Q3404" s="7">
        <f>IF(N3404&lt;&gt;0,P3404*N3404,0)</f>
        <v/>
      </c>
      <c r="R3404" s="8">
        <f>IF(Q3404&lt;&gt;0,Q3404+H3404+L3404,0)</f>
        <v/>
      </c>
      <c r="S3404" s="9">
        <f>VLOOKUP(OPERAC[[#This Row],[especie]],[1]!ESPECIES[#Data],9,FALSE)</f>
        <v/>
      </c>
    </row>
    <row r="3405">
      <c r="A3405" s="4" t="n">
        <v>25070</v>
      </c>
      <c r="B3405" s="5" t="n">
        <v>44628</v>
      </c>
      <c r="C3405" s="13" t="inlineStr">
        <is>
          <t>CPR</t>
        </is>
      </c>
      <c r="D3405" s="13" t="n">
        <v>32</v>
      </c>
      <c r="E3405" s="10">
        <f>IF(D3405&gt;0,VLOOKUP(OPERAC[[#This Row],[COD CART]],[1]!MatrizCortoLargoCyl[#All],3,0),"")</f>
        <v/>
      </c>
      <c r="F3405" s="13" t="inlineStr">
        <is>
          <t>COTY/CYL/8,00/14-04-22</t>
        </is>
      </c>
      <c r="G3405" s="6" t="n">
        <v>100</v>
      </c>
      <c r="H3405" s="6" t="n">
        <v>-718.0550999999999</v>
      </c>
      <c r="I3405" s="7">
        <f>-H3405/G3405</f>
        <v/>
      </c>
      <c r="J3405" s="11" t="n">
        <v>44643</v>
      </c>
      <c r="K3405" s="6" t="n">
        <v>100</v>
      </c>
      <c r="L3405" s="6" t="n">
        <v>779.3200000000001</v>
      </c>
      <c r="M3405" s="7">
        <f>IF(N3405=0,+L3405+H3405,0)</f>
        <v/>
      </c>
      <c r="N3405" s="7">
        <f>IF((+G3405-K3405)=0,0,+G3405-K3405)</f>
        <v/>
      </c>
      <c r="O3405" s="7">
        <f>IF(N3405=0,0,(L3405+H3405)/-N3405)</f>
        <v/>
      </c>
      <c r="P3405" s="7">
        <f>VLOOKUP(OPERAC[[#This Row],[especie]],[1]!ESPECIES[#All],6,0)</f>
        <v/>
      </c>
      <c r="Q3405" s="7">
        <f>IF(N3405&lt;&gt;0,P3405*N3405,0)</f>
        <v/>
      </c>
      <c r="R3405" s="8">
        <f>IF(Q3405&lt;&gt;0,Q3405+H3405+L3405,0)</f>
        <v/>
      </c>
      <c r="S3405" s="9">
        <f>VLOOKUP(OPERAC[[#This Row],[especie]],[1]!ESPECIES[#Data],9,FALSE)</f>
        <v/>
      </c>
    </row>
    <row r="3406">
      <c r="A3406" s="4" t="n">
        <v>2194</v>
      </c>
      <c r="B3406" s="5" t="n">
        <v>44537</v>
      </c>
      <c r="C3406" s="13" t="inlineStr">
        <is>
          <t>CPR</t>
        </is>
      </c>
      <c r="D3406" s="13" t="n">
        <v>32</v>
      </c>
      <c r="E3406" s="10">
        <f>IF(D3406&gt;0,VLOOKUP(OPERAC[[#This Row],[COD CART]],[1]!MatrizCortoLargoCyl[#All],3,0),"")</f>
        <v/>
      </c>
      <c r="F3406" s="13" t="inlineStr">
        <is>
          <t>INO/CYL/7,00/21-01-22</t>
        </is>
      </c>
      <c r="G3406" s="6" t="n">
        <v>100</v>
      </c>
      <c r="H3406" s="6">
        <f>-7.72*OPERAC[[#This Row],[cantidad]]+53.74</f>
        <v/>
      </c>
      <c r="I3406" s="7">
        <f>-H3406/G3406</f>
        <v/>
      </c>
      <c r="J3406" s="11" t="n">
        <v>44581</v>
      </c>
      <c r="K3406" s="6" t="n">
        <v>100</v>
      </c>
      <c r="L3406" s="6" t="n">
        <v>423.262</v>
      </c>
      <c r="M3406" s="7">
        <f>IF(N3406=0,+L3406+H3406,0)</f>
        <v/>
      </c>
      <c r="N3406" s="7">
        <f>IF((+G3406-K3406)=0,0,+G3406-K3406)</f>
        <v/>
      </c>
      <c r="O3406" s="7">
        <f>IF(N3406=0,0,(L3406+H3406)/-N3406)</f>
        <v/>
      </c>
      <c r="P3406" s="7">
        <f>VLOOKUP(OPERAC[[#This Row],[especie]],[1]!ESPECIES[#All],6,0)</f>
        <v/>
      </c>
      <c r="Q3406" s="7">
        <f>IF(N3406&lt;&gt;0,P3406*N3406,0)</f>
        <v/>
      </c>
      <c r="R3406" s="8">
        <f>IF(Q3406&lt;&gt;0,Q3406+H3406+L3406,0)</f>
        <v/>
      </c>
      <c r="S3406" s="9">
        <f>VLOOKUP(OPERAC[[#This Row],[especie]],[1]!ESPECIES[#Data],9,FALSE)</f>
        <v/>
      </c>
    </row>
    <row r="3407">
      <c r="A3407" s="4" t="n">
        <v>6579</v>
      </c>
      <c r="B3407" s="5" t="n">
        <v>44529</v>
      </c>
      <c r="C3407" s="13" t="inlineStr">
        <is>
          <t>CPR</t>
        </is>
      </c>
      <c r="D3407" s="13" t="n">
        <v>41</v>
      </c>
      <c r="E3407" s="10">
        <f>IF(D3407&gt;0,VLOOKUP(OPERAC[[#This Row],[COD CART]],[1]!MatrizCortoLargoCyl[#All],3,0),"")</f>
        <v/>
      </c>
      <c r="F3407" s="13" t="inlineStr">
        <is>
          <t>BBAR</t>
        </is>
      </c>
      <c r="G3407" s="6" t="n">
        <v>250</v>
      </c>
      <c r="H3407" s="6" t="n">
        <v>-718.946</v>
      </c>
      <c r="I3407" s="7">
        <f>-H3407/G3407</f>
        <v/>
      </c>
      <c r="J3407" s="11" t="n"/>
      <c r="K3407" s="6" t="n"/>
      <c r="L3407" s="6" t="n"/>
      <c r="M3407" s="7">
        <f>IF(N3407=0,+L3407+H3407,0)</f>
        <v/>
      </c>
      <c r="N3407" s="7">
        <f>IF((+G3407-K3407)=0,0,+G3407-K3407)</f>
        <v/>
      </c>
      <c r="O3407" s="7">
        <f>IF(N3407=0,0,(L3407+H3407)/-N3407)</f>
        <v/>
      </c>
      <c r="P3407" s="7">
        <f>VLOOKUP(OPERAC[[#This Row],[especie]],[1]!ESPECIES[#All],6,0)</f>
        <v/>
      </c>
      <c r="Q3407" s="7">
        <f>IF(N3407&lt;&gt;0,P3407*N3407,0)</f>
        <v/>
      </c>
      <c r="R3407" s="8">
        <f>IF(Q3407&lt;&gt;0,Q3407+H3407+L3407,0)</f>
        <v/>
      </c>
      <c r="S3407" s="9">
        <f>VLOOKUP(OPERAC[[#This Row],[especie]],[1]!ESPECIES[#Data],9,FALSE)</f>
        <v/>
      </c>
    </row>
    <row r="3408">
      <c r="A3408" s="4" t="n">
        <v>16833</v>
      </c>
      <c r="B3408" s="5" t="n">
        <v>44718</v>
      </c>
      <c r="C3408" s="13" t="inlineStr">
        <is>
          <t>CPR</t>
        </is>
      </c>
      <c r="D3408" s="13" t="n">
        <v>32</v>
      </c>
      <c r="E3408" s="10">
        <f>IF(D3408&gt;0,VLOOKUP(OPERAC[[#This Row],[COD CART]],[1]!MatrizCortoLargoCyl[#All],3,0),"")</f>
        <v/>
      </c>
      <c r="F3408" s="13" t="inlineStr">
        <is>
          <t>COTY/CYL/8,50/08-07-22</t>
        </is>
      </c>
      <c r="G3408" s="6" t="n">
        <v>100</v>
      </c>
      <c r="H3408" s="6" t="n">
        <v>-720.7089999999999</v>
      </c>
      <c r="I3408" s="7">
        <f>-H3408/G3408</f>
        <v/>
      </c>
      <c r="J3408" s="5" t="n"/>
      <c r="K3408" s="6" t="n"/>
      <c r="L3408" s="6" t="n"/>
      <c r="M3408" s="7">
        <f>IF(N3408=0,+L3408+H3408,0)</f>
        <v/>
      </c>
      <c r="N3408" s="7">
        <f>IF((+G3408-K3408)=0,0,+G3408-K3408)</f>
        <v/>
      </c>
      <c r="O3408" s="7">
        <f>IF(N3408=0,0,(L3408+H3408)/-N3408)</f>
        <v/>
      </c>
      <c r="P3408" s="7">
        <f>VLOOKUP(OPERAC[[#This Row],[especie]],[1]!ESPECIES[#All],6,0)</f>
        <v/>
      </c>
      <c r="Q3408" s="7">
        <f>IF(N3408&lt;&gt;0,P3408*N3408,0)</f>
        <v/>
      </c>
      <c r="R3408" s="8">
        <f>IF(Q3408&lt;&gt;0,Q3408+H3408+L3408,0)</f>
        <v/>
      </c>
      <c r="S3408" s="9">
        <f>VLOOKUP(OPERAC[[#This Row],[especie]],[1]!ESPECIES[#Data],9,FALSE)</f>
        <v/>
      </c>
    </row>
    <row r="3409">
      <c r="A3409" s="4" t="n">
        <v>3838</v>
      </c>
      <c r="B3409" s="5" t="n">
        <v>44713</v>
      </c>
      <c r="C3409" s="13" t="inlineStr">
        <is>
          <t>CPR</t>
        </is>
      </c>
      <c r="D3409" s="13" t="n">
        <v>42</v>
      </c>
      <c r="E3409" s="10">
        <f>IF(D3409&gt;0,VLOOKUP(OPERAC[[#This Row],[COD CART]],[1]!MatrizCortoLargoCyl[#All],3,0),"")</f>
        <v/>
      </c>
      <c r="F3409" s="13" t="inlineStr">
        <is>
          <t>UPST</t>
        </is>
      </c>
      <c r="G3409" s="6" t="n">
        <v>15</v>
      </c>
      <c r="H3409" s="6" t="n">
        <v>-722.2022999999999</v>
      </c>
      <c r="I3409" s="7">
        <f>-H3409/G3409</f>
        <v/>
      </c>
      <c r="J3409" s="5" t="n">
        <v>44714</v>
      </c>
      <c r="K3409" s="6">
        <f>+OPERAC[[#This Row],[cantidad]]</f>
        <v/>
      </c>
      <c r="L3409" s="6">
        <f>+OPERAC[[#This Row],[cantidad venta]]*49.312</f>
        <v/>
      </c>
      <c r="M3409" s="7">
        <f>IF(N3409=0,+L3409+H3409,0)</f>
        <v/>
      </c>
      <c r="N3409" s="7">
        <f>IF((+G3409-K3409)=0,0,+G3409-K3409)</f>
        <v/>
      </c>
      <c r="O3409" s="7">
        <f>IF(N3409=0,0,(L3409+H3409)/-N3409)</f>
        <v/>
      </c>
      <c r="P3409" s="7">
        <f>VLOOKUP(OPERAC[[#This Row],[especie]],[1]!ESPECIES[#All],6,0)</f>
        <v/>
      </c>
      <c r="Q3409" s="7">
        <f>IF(N3409&lt;&gt;0,P3409*N3409,0)</f>
        <v/>
      </c>
      <c r="R3409" s="8">
        <f>IF(Q3409&lt;&gt;0,Q3409+H3409+L3409,0)</f>
        <v/>
      </c>
      <c r="S3409" s="9">
        <f>VLOOKUP(OPERAC[[#This Row],[especie]],[1]!ESPECIES[#Data],9,FALSE)</f>
        <v/>
      </c>
    </row>
    <row r="3410">
      <c r="A3410" s="4" t="n">
        <v>18651</v>
      </c>
      <c r="B3410" s="5" t="n">
        <v>44713</v>
      </c>
      <c r="C3410" s="13" t="inlineStr">
        <is>
          <t>CPR</t>
        </is>
      </c>
      <c r="D3410" s="13" t="n">
        <v>42</v>
      </c>
      <c r="E3410" s="10">
        <f>IF(D3410&gt;0,VLOOKUP(OPERAC[[#This Row],[COD CART]],[1]!MatrizCortoLargoCyl[#All],3,0),"")</f>
        <v/>
      </c>
      <c r="F3410" s="13" t="inlineStr">
        <is>
          <t>UPST</t>
        </is>
      </c>
      <c r="G3410" s="6" t="n">
        <v>15</v>
      </c>
      <c r="H3410" s="6" t="n">
        <v>-722.2022999999999</v>
      </c>
      <c r="I3410" s="7">
        <f>-H3410/G3410</f>
        <v/>
      </c>
      <c r="J3410" s="5" t="n">
        <v>44714</v>
      </c>
      <c r="K3410" s="6">
        <f>+OPERAC[[#This Row],[cantidad]]</f>
        <v/>
      </c>
      <c r="L3410" s="6">
        <f>+OPERAC[[#This Row],[cantidad venta]]*49.312</f>
        <v/>
      </c>
      <c r="M3410" s="7">
        <f>IF(N3410=0,+L3410+H3410,0)</f>
        <v/>
      </c>
      <c r="N3410" s="7">
        <f>IF((+G3410-K3410)=0,0,+G3410-K3410)</f>
        <v/>
      </c>
      <c r="O3410" s="7">
        <f>IF(N3410=0,0,(L3410+H3410)/-N3410)</f>
        <v/>
      </c>
      <c r="P3410" s="7">
        <f>VLOOKUP(OPERAC[[#This Row],[especie]],[1]!ESPECIES[#All],6,0)</f>
        <v/>
      </c>
      <c r="Q3410" s="7">
        <f>IF(N3410&lt;&gt;0,P3410*N3410,0)</f>
        <v/>
      </c>
      <c r="R3410" s="8">
        <f>IF(Q3410&lt;&gt;0,Q3410+H3410+L3410,0)</f>
        <v/>
      </c>
      <c r="S3410" s="9">
        <f>VLOOKUP(OPERAC[[#This Row],[especie]],[1]!ESPECIES[#Data],9,FALSE)</f>
        <v/>
      </c>
    </row>
    <row r="3411">
      <c r="A3411" s="4" t="n">
        <v>18662</v>
      </c>
      <c r="B3411" s="5" t="n">
        <v>44713</v>
      </c>
      <c r="C3411" s="13" t="inlineStr">
        <is>
          <t>CPR</t>
        </is>
      </c>
      <c r="D3411" s="13" t="n">
        <v>40</v>
      </c>
      <c r="E3411" s="10">
        <f>IF(D3411&gt;0,VLOOKUP(OPERAC[[#This Row],[COD CART]],[1]!MatrizCortoLargoCyl[#All],3,0),"")</f>
        <v/>
      </c>
      <c r="F3411" s="13" t="inlineStr">
        <is>
          <t>KWEB</t>
        </is>
      </c>
      <c r="G3411" s="6" t="n">
        <v>25</v>
      </c>
      <c r="H3411" s="6" t="n">
        <v>-723.665</v>
      </c>
      <c r="I3411" s="7">
        <f>-H3411/G3411</f>
        <v/>
      </c>
      <c r="J3411" s="5" t="n">
        <v>44726</v>
      </c>
      <c r="K3411" s="6" t="n">
        <v>25</v>
      </c>
      <c r="L3411" s="6" t="n">
        <v>768.9</v>
      </c>
      <c r="M3411" s="7">
        <f>IF(N3411=0,+L3411+H3411,0)</f>
        <v/>
      </c>
      <c r="N3411" s="7">
        <f>IF((+G3411-K3411)=0,0,+G3411-K3411)</f>
        <v/>
      </c>
      <c r="O3411" s="7">
        <f>IF(N3411=0,0,(L3411+H3411)/-N3411)</f>
        <v/>
      </c>
      <c r="P3411" s="7">
        <f>VLOOKUP(OPERAC[[#This Row],[especie]],[1]!ESPECIES[#All],6,0)</f>
        <v/>
      </c>
      <c r="Q3411" s="7">
        <f>IF(N3411&lt;&gt;0,P3411*N3411,0)</f>
        <v/>
      </c>
      <c r="R3411" s="8">
        <f>IF(Q3411&lt;&gt;0,Q3411+H3411+L3411,0)</f>
        <v/>
      </c>
      <c r="S3411" s="9">
        <f>VLOOKUP(OPERAC[[#This Row],[especie]],[1]!ESPECIES[#Data],9,FALSE)</f>
        <v/>
      </c>
    </row>
    <row r="3412">
      <c r="A3412" s="4" t="n">
        <v>13273</v>
      </c>
      <c r="B3412" s="5" t="n">
        <v>44715</v>
      </c>
      <c r="C3412" s="13" t="inlineStr">
        <is>
          <t>CPR</t>
        </is>
      </c>
      <c r="D3412" s="13" t="n">
        <v>32</v>
      </c>
      <c r="E3412" s="10">
        <f>IF(D3412&gt;0,VLOOKUP(OPERAC[[#This Row],[COD CART]],[1]!MatrizCortoLargoCyl[#All],3,0),"")</f>
        <v/>
      </c>
      <c r="F3412" s="13" t="inlineStr">
        <is>
          <t>COTY/CYL/8,00/17-06-22</t>
        </is>
      </c>
      <c r="G3412" s="6" t="n">
        <v>100</v>
      </c>
      <c r="H3412" s="6" t="n">
        <v>-725.0599999999999</v>
      </c>
      <c r="I3412" s="7">
        <f>-H3412/G3412</f>
        <v/>
      </c>
      <c r="J3412" s="5" t="n"/>
      <c r="K3412" s="6" t="n"/>
      <c r="L3412" s="6" t="n"/>
      <c r="M3412" s="7">
        <f>IF(N3412=0,+L3412+H3412,0)</f>
        <v/>
      </c>
      <c r="N3412" s="7">
        <f>IF((+G3412-K3412)=0,0,+G3412-K3412)</f>
        <v/>
      </c>
      <c r="O3412" s="7">
        <f>IF(N3412=0,0,(L3412+H3412)/-N3412)</f>
        <v/>
      </c>
      <c r="P3412" s="7">
        <f>VLOOKUP(OPERAC[[#This Row],[especie]],[1]!ESPECIES[#All],6,0)</f>
        <v/>
      </c>
      <c r="Q3412" s="7">
        <f>IF(N3412&lt;&gt;0,P3412*N3412,0)</f>
        <v/>
      </c>
      <c r="R3412" s="8">
        <f>IF(Q3412&lt;&gt;0,Q3412+H3412+L3412,0)</f>
        <v/>
      </c>
      <c r="S3412" s="9">
        <f>VLOOKUP(OPERAC[[#This Row],[especie]],[1]!ESPECIES[#Data],9,FALSE)</f>
        <v/>
      </c>
    </row>
    <row r="3413">
      <c r="A3413" s="4" t="n">
        <v>3832</v>
      </c>
      <c r="B3413" s="5" t="n">
        <v>44601</v>
      </c>
      <c r="C3413" s="13" t="inlineStr">
        <is>
          <t>CPR</t>
        </is>
      </c>
      <c r="D3413" s="13" t="n">
        <v>43</v>
      </c>
      <c r="E3413" s="10">
        <f>IF(D3413&gt;0,VLOOKUP(OPERAC[[#This Row],[COD CART]],[1]!MatrizCortoLargoCyl[#All],3,0),"")</f>
        <v/>
      </c>
      <c r="F3413" s="13" t="inlineStr">
        <is>
          <t>GMBL</t>
        </is>
      </c>
      <c r="G3413" s="6">
        <f>200+200</f>
        <v/>
      </c>
      <c r="H3413" s="6">
        <f>-1.13*200-500.5</f>
        <v/>
      </c>
      <c r="I3413" s="7">
        <f>-H3413/G3413</f>
        <v/>
      </c>
      <c r="J3413" s="11" t="n"/>
      <c r="K3413" s="6" t="n"/>
      <c r="L3413" s="6" t="n"/>
      <c r="M3413" s="7">
        <f>IF(N3413=0,+L3413+H3413,0)</f>
        <v/>
      </c>
      <c r="N3413" s="7">
        <f>IF((+G3413-K3413)=0,0,+G3413-K3413)</f>
        <v/>
      </c>
      <c r="O3413" s="7">
        <f>IF(N3413=0,0,(L3413+H3413)/-N3413)</f>
        <v/>
      </c>
      <c r="P3413" s="7">
        <f>VLOOKUP(OPERAC[[#This Row],[especie]],[1]!ESPECIES[#All],6,0)</f>
        <v/>
      </c>
      <c r="Q3413" s="7">
        <f>IF(N3413&lt;&gt;0,P3413*N3413,0)</f>
        <v/>
      </c>
      <c r="R3413" s="8">
        <f>IF(Q3413&lt;&gt;0,Q3413+H3413+L3413,0)</f>
        <v/>
      </c>
      <c r="S3413" s="9">
        <f>VLOOKUP(OPERAC[[#This Row],[especie]],[1]!ESPECIES[#Data],9,FALSE)</f>
        <v/>
      </c>
    </row>
    <row r="3414">
      <c r="A3414" s="4" t="n">
        <v>19897</v>
      </c>
      <c r="B3414" s="5" t="n">
        <v>44693</v>
      </c>
      <c r="C3414" s="13" t="inlineStr">
        <is>
          <t>CPR</t>
        </is>
      </c>
      <c r="D3414" s="13" t="n">
        <v>40</v>
      </c>
      <c r="E3414" s="10">
        <f>IF(D3414&gt;0,VLOOKUP(OPERAC[[#This Row],[COD CART]],[1]!MatrizCortoLargoCyl[#All],3,0),"")</f>
        <v/>
      </c>
      <c r="F3414" s="13" t="inlineStr">
        <is>
          <t>MELI</t>
        </is>
      </c>
      <c r="G3414" s="6" t="n">
        <v>1</v>
      </c>
      <c r="H3414" s="6" t="n">
        <v>-726.8566</v>
      </c>
      <c r="I3414" s="7">
        <f>-H3414/G3414</f>
        <v/>
      </c>
      <c r="J3414" s="11" t="n"/>
      <c r="K3414" s="6" t="n"/>
      <c r="L3414" s="6" t="n"/>
      <c r="M3414" s="7">
        <f>IF(N3414=0,+L3414+H3414,0)</f>
        <v/>
      </c>
      <c r="N3414" s="7">
        <f>IF((+G3414-K3414)=0,0,+G3414-K3414)</f>
        <v/>
      </c>
      <c r="O3414" s="7">
        <f>IF(N3414=0,0,(L3414+H3414)/-N3414)</f>
        <v/>
      </c>
      <c r="P3414" s="7">
        <f>VLOOKUP(OPERAC[[#This Row],[especie]],[1]!ESPECIES[#All],6,0)</f>
        <v/>
      </c>
      <c r="Q3414" s="7">
        <f>IF(N3414&lt;&gt;0,P3414*N3414,0)</f>
        <v/>
      </c>
      <c r="R3414" s="8">
        <f>IF(Q3414&lt;&gt;0,Q3414+H3414+L3414,0)</f>
        <v/>
      </c>
      <c r="S3414" s="9">
        <f>VLOOKUP(OPERAC[[#This Row],[especie]],[1]!ESPECIES[#Data],9,FALSE)</f>
        <v/>
      </c>
    </row>
    <row r="3415">
      <c r="A3415" s="4" t="n">
        <v>16776</v>
      </c>
      <c r="B3415" s="5" t="n">
        <v>44361</v>
      </c>
      <c r="C3415" s="13" t="inlineStr">
        <is>
          <t>CPR</t>
        </is>
      </c>
      <c r="D3415" s="13" t="n">
        <v>40</v>
      </c>
      <c r="E3415" s="10">
        <f>IF(D3415&gt;0,VLOOKUP(OPERAC[[#This Row],[COD CART]],[1]!MatrizCortoLargoCyl[#All],3,0),"")</f>
        <v/>
      </c>
      <c r="F3415" s="13" t="inlineStr">
        <is>
          <t>EDU</t>
        </is>
      </c>
      <c r="G3415" s="6" t="n">
        <v>100</v>
      </c>
      <c r="H3415" s="6" t="n">
        <v>-727.665</v>
      </c>
      <c r="I3415" s="7">
        <f>-H3415/G3415</f>
        <v/>
      </c>
      <c r="J3415" s="11" t="n">
        <v>44630</v>
      </c>
      <c r="K3415" s="6" t="n">
        <v>100</v>
      </c>
      <c r="L3415" s="6" t="n">
        <v>117.306</v>
      </c>
      <c r="M3415" s="7">
        <f>IF(N3415=0,+L3415+H3415,0)</f>
        <v/>
      </c>
      <c r="N3415" s="7">
        <f>IF((+G3415-K3415)=0,0,+G3415-K3415)</f>
        <v/>
      </c>
      <c r="O3415" s="7">
        <f>IF(N3415=0,0,(L3415+H3415)/-N3415)</f>
        <v/>
      </c>
      <c r="P3415" s="7">
        <f>VLOOKUP(OPERAC[[#This Row],[especie]],[1]!ESPECIES[#All],6,0)</f>
        <v/>
      </c>
      <c r="Q3415" s="7">
        <f>IF(N3415&lt;&gt;0,P3415*N3415,0)</f>
        <v/>
      </c>
      <c r="R3415" s="8">
        <f>IF(Q3415&lt;&gt;0,Q3415+H3415+L3415,0)</f>
        <v/>
      </c>
      <c r="S3415" s="9">
        <f>VLOOKUP(OPERAC[[#This Row],[especie]],[1]!ESPECIES[#Data],9,FALSE)</f>
        <v/>
      </c>
    </row>
    <row r="3416">
      <c r="A3416" s="4" t="n">
        <v>3838</v>
      </c>
      <c r="B3416" s="5" t="n">
        <v>44460</v>
      </c>
      <c r="C3416" s="13" t="inlineStr">
        <is>
          <t>CPR</t>
        </is>
      </c>
      <c r="D3416" s="13" t="n">
        <v>40</v>
      </c>
      <c r="E3416" s="10">
        <f>IF(D3416&gt;0,VLOOKUP(OPERAC[[#This Row],[COD CART]],[1]!MatrizCortoLargoCyl[#All],3,0),"")</f>
        <v/>
      </c>
      <c r="F3416" s="13" t="inlineStr">
        <is>
          <t>EDU</t>
        </is>
      </c>
      <c r="G3416" s="6" t="n">
        <v>700</v>
      </c>
      <c r="H3416" s="6">
        <f>OPERAC[[#This Row],[cantidad]]*-1.084+0.04*OPERAC[[#This Row],[cantidad]]</f>
        <v/>
      </c>
      <c r="I3416" s="7">
        <f>-H3416/G3416</f>
        <v/>
      </c>
      <c r="J3416" s="11" t="n">
        <v>44617</v>
      </c>
      <c r="K3416" s="6" t="n">
        <v>700</v>
      </c>
      <c r="L3416" s="6">
        <f>+OPERAC[[#This Row],[cantidad venta]]*1.364</f>
        <v/>
      </c>
      <c r="M3416" s="7">
        <f>IF(N3416=0,+L3416+H3416,0)</f>
        <v/>
      </c>
      <c r="N3416" s="7">
        <f>IF((+G3416-K3416)=0,0,+G3416-K3416)</f>
        <v/>
      </c>
      <c r="O3416" s="7">
        <f>IF(N3416=0,0,(L3416+H3416)/-N3416)</f>
        <v/>
      </c>
      <c r="P3416" s="7">
        <f>VLOOKUP(OPERAC[[#This Row],[especie]],[1]!ESPECIES[#All],6,0)</f>
        <v/>
      </c>
      <c r="Q3416" s="7">
        <f>IF(N3416&lt;&gt;0,P3416*N3416,0)</f>
        <v/>
      </c>
      <c r="R3416" s="8">
        <f>IF(Q3416&lt;&gt;0,Q3416+H3416+L3416,0)</f>
        <v/>
      </c>
      <c r="S3416" s="9">
        <f>VLOOKUP(OPERAC[[#This Row],[especie]],[1]!ESPECIES[#Data],9,FALSE)</f>
        <v/>
      </c>
    </row>
    <row r="3417">
      <c r="A3417" s="4" t="n">
        <v>13180</v>
      </c>
      <c r="B3417" s="5" t="n">
        <v>44635</v>
      </c>
      <c r="C3417" s="13" t="inlineStr">
        <is>
          <t>CPR</t>
        </is>
      </c>
      <c r="D3417" s="13" t="n">
        <v>40</v>
      </c>
      <c r="E3417" s="10">
        <f>IF(D3417&gt;0,VLOOKUP(OPERAC[[#This Row],[COD CART]],[1]!MatrizCortoLargoCyl[#All],3,0),"")</f>
        <v/>
      </c>
      <c r="F3417" s="13" t="inlineStr">
        <is>
          <t>GMBL</t>
        </is>
      </c>
      <c r="G3417" s="6" t="n">
        <v>400</v>
      </c>
      <c r="H3417" s="6">
        <f>-1.835*OPERAC[[#This Row],[cantidad]]</f>
        <v/>
      </c>
      <c r="I3417" s="7">
        <f>-H3417/G3417</f>
        <v/>
      </c>
      <c r="J3417" s="11" t="n">
        <v>44642</v>
      </c>
      <c r="K3417" s="6" t="n">
        <v>400</v>
      </c>
      <c r="L3417" s="6" t="n">
        <v>319.156</v>
      </c>
      <c r="M3417" s="7">
        <f>IF(N3417=0,+L3417+H3417,0)</f>
        <v/>
      </c>
      <c r="N3417" s="7">
        <f>IF((+G3417-K3417)=0,0,+G3417-K3417)</f>
        <v/>
      </c>
      <c r="O3417" s="7">
        <f>IF(N3417=0,0,(L3417+H3417)/-N3417)</f>
        <v/>
      </c>
      <c r="P3417" s="7">
        <f>VLOOKUP(OPERAC[[#This Row],[especie]],[1]!ESPECIES[#All],6,0)</f>
        <v/>
      </c>
      <c r="Q3417" s="7">
        <f>IF(N3417&lt;&gt;0,P3417*N3417,0)</f>
        <v/>
      </c>
      <c r="R3417" s="8">
        <f>IF(Q3417&lt;&gt;0,Q3417+H3417+L3417,0)</f>
        <v/>
      </c>
      <c r="S3417" s="9">
        <f>VLOOKUP(OPERAC[[#This Row],[especie]],[1]!ESPECIES[#Data],9,FALSE)</f>
        <v/>
      </c>
    </row>
    <row r="3418">
      <c r="A3418" s="4" t="n">
        <v>15195</v>
      </c>
      <c r="B3418" s="5" t="n">
        <v>44636</v>
      </c>
      <c r="C3418" s="13" t="inlineStr">
        <is>
          <t>CPR</t>
        </is>
      </c>
      <c r="D3418" s="13" t="n">
        <v>43</v>
      </c>
      <c r="E3418" s="10">
        <f>IF(D3418&gt;0,VLOOKUP(OPERAC[[#This Row],[COD CART]],[1]!MatrizCortoLargoCyl[#All],3,0),"")</f>
        <v/>
      </c>
      <c r="F3418" s="13" t="inlineStr">
        <is>
          <t>GMBL/CYL-PUT/1,00/20-01-23</t>
        </is>
      </c>
      <c r="G3418" s="6" t="n">
        <v>4500</v>
      </c>
      <c r="H3418" s="6" t="n">
        <v>-735.2489249999999</v>
      </c>
      <c r="I3418" s="7">
        <f>-H3418/G3418</f>
        <v/>
      </c>
      <c r="J3418" s="11" t="n"/>
      <c r="K3418" s="6" t="n"/>
      <c r="L3418" s="6" t="n"/>
      <c r="M3418" s="7">
        <f>IF(N3418=0,+L3418+H3418,0)</f>
        <v/>
      </c>
      <c r="N3418" s="7">
        <f>IF((+G3418-K3418)=0,0,+G3418-K3418)</f>
        <v/>
      </c>
      <c r="O3418" s="7">
        <f>IF(N3418=0,0,(L3418+H3418)/-N3418)</f>
        <v/>
      </c>
      <c r="P3418" s="7">
        <f>VLOOKUP(OPERAC[[#This Row],[especie]],[1]!ESPECIES[#All],6,0)</f>
        <v/>
      </c>
      <c r="Q3418" s="7">
        <f>IF(N3418&lt;&gt;0,P3418*N3418,0)</f>
        <v/>
      </c>
      <c r="R3418" s="8">
        <f>IF(Q3418&lt;&gt;0,Q3418+H3418+L3418,0)</f>
        <v/>
      </c>
      <c r="S3418" s="9">
        <f>VLOOKUP(OPERAC[[#This Row],[especie]],[1]!ESPECIES[#Data],9,FALSE)</f>
        <v/>
      </c>
    </row>
    <row r="3419">
      <c r="A3419" s="4" t="n">
        <v>16824</v>
      </c>
      <c r="B3419" s="5" t="n">
        <v>44636</v>
      </c>
      <c r="C3419" s="13" t="inlineStr">
        <is>
          <t>CPR</t>
        </is>
      </c>
      <c r="D3419" s="13" t="n">
        <v>43</v>
      </c>
      <c r="E3419" s="10">
        <f>IF(D3419&gt;0,VLOOKUP(OPERAC[[#This Row],[COD CART]],[1]!MatrizCortoLargoCyl[#All],3,0),"")</f>
        <v/>
      </c>
      <c r="F3419" s="13" t="inlineStr">
        <is>
          <t>GMBL/CYL-PUT/1,00/20-01-23</t>
        </is>
      </c>
      <c r="G3419" s="6" t="n">
        <v>4500</v>
      </c>
      <c r="H3419" s="6" t="n">
        <v>-735.2489249999999</v>
      </c>
      <c r="I3419" s="7">
        <f>-H3419/G3419</f>
        <v/>
      </c>
      <c r="J3419" s="11" t="n"/>
      <c r="K3419" s="6" t="n"/>
      <c r="L3419" s="6" t="n"/>
      <c r="M3419" s="7">
        <f>IF(N3419=0,+L3419+H3419,0)</f>
        <v/>
      </c>
      <c r="N3419" s="7">
        <f>IF((+G3419-K3419)=0,0,+G3419-K3419)</f>
        <v/>
      </c>
      <c r="O3419" s="7">
        <f>IF(N3419=0,0,(L3419+H3419)/-N3419)</f>
        <v/>
      </c>
      <c r="P3419" s="7">
        <f>VLOOKUP(OPERAC[[#This Row],[especie]],[1]!ESPECIES[#All],6,0)</f>
        <v/>
      </c>
      <c r="Q3419" s="7">
        <f>IF(N3419&lt;&gt;0,P3419*N3419,0)</f>
        <v/>
      </c>
      <c r="R3419" s="8">
        <f>IF(Q3419&lt;&gt;0,Q3419+H3419+L3419,0)</f>
        <v/>
      </c>
      <c r="S3419" s="9">
        <f>VLOOKUP(OPERAC[[#This Row],[especie]],[1]!ESPECIES[#Data],9,FALSE)</f>
        <v/>
      </c>
    </row>
    <row r="3420">
      <c r="A3420" s="4" t="n">
        <v>26138</v>
      </c>
      <c r="B3420" s="5" t="n">
        <v>44671</v>
      </c>
      <c r="C3420" s="13" t="inlineStr">
        <is>
          <t>CPR</t>
        </is>
      </c>
      <c r="D3420" s="13" t="n">
        <v>42</v>
      </c>
      <c r="E3420" s="10">
        <f>IF(D3420&gt;0,VLOOKUP(OPERAC[[#This Row],[COD CART]],[1]!MatrizCortoLargoCyl[#All],3,0),"")</f>
        <v/>
      </c>
      <c r="F3420" s="13" t="inlineStr">
        <is>
          <t>TLT</t>
        </is>
      </c>
      <c r="G3420" s="6" t="n">
        <v>6</v>
      </c>
      <c r="H3420" s="6" t="n">
        <v>-735.3780300000001</v>
      </c>
      <c r="I3420" s="7">
        <f>-H3420/G3420</f>
        <v/>
      </c>
      <c r="J3420" s="11" t="n">
        <v>44722</v>
      </c>
      <c r="K3420" s="6" t="n">
        <v>6</v>
      </c>
      <c r="L3420" s="6" t="n">
        <v>674.026</v>
      </c>
      <c r="M3420" s="7">
        <f>IF(N3420=0,+L3420+H3420,0)</f>
        <v/>
      </c>
      <c r="N3420" s="7">
        <f>IF((+G3420-K3420)=0,0,+G3420-K3420)</f>
        <v/>
      </c>
      <c r="O3420" s="7">
        <f>IF(N3420=0,0,(L3420+H3420)/-N3420)</f>
        <v/>
      </c>
      <c r="P3420" s="7">
        <f>VLOOKUP(OPERAC[[#This Row],[especie]],[1]!ESPECIES[#All],6,0)</f>
        <v/>
      </c>
      <c r="Q3420" s="7">
        <f>IF(N3420&lt;&gt;0,P3420*N3420,0)</f>
        <v/>
      </c>
      <c r="R3420" s="8">
        <f>IF(Q3420&lt;&gt;0,Q3420+H3420+L3420,0)</f>
        <v/>
      </c>
      <c r="S3420" s="9">
        <f>VLOOKUP(OPERAC[[#This Row],[especie]],[1]!ESPECIES[#Data],9,FALSE)</f>
        <v/>
      </c>
    </row>
    <row r="3421">
      <c r="A3421" s="4" t="n">
        <v>3787</v>
      </c>
      <c r="B3421" s="5" t="n">
        <v>44671</v>
      </c>
      <c r="C3421" s="13" t="inlineStr">
        <is>
          <t>CPR</t>
        </is>
      </c>
      <c r="D3421" s="13" t="n">
        <v>42</v>
      </c>
      <c r="E3421" s="10">
        <f>IF(D3421&gt;0,VLOOKUP(OPERAC[[#This Row],[COD CART]],[1]!MatrizCortoLargoCyl[#All],3,0),"")</f>
        <v/>
      </c>
      <c r="F3421" s="13" t="inlineStr">
        <is>
          <t>TLT</t>
        </is>
      </c>
      <c r="G3421" s="6" t="n">
        <v>6</v>
      </c>
      <c r="H3421" s="6" t="n">
        <v>-735.3780300000001</v>
      </c>
      <c r="I3421" s="7">
        <f>-H3421/G3421</f>
        <v/>
      </c>
      <c r="J3421" s="11" t="n">
        <v>44691</v>
      </c>
      <c r="K3421" s="6" t="n">
        <v>6</v>
      </c>
      <c r="L3421" s="6" t="n">
        <v>692.345</v>
      </c>
      <c r="M3421" s="7">
        <f>IF(N3421=0,+L3421+H3421,0)</f>
        <v/>
      </c>
      <c r="N3421" s="7">
        <f>IF((+G3421-K3421)=0,0,+G3421-K3421)</f>
        <v/>
      </c>
      <c r="O3421" s="7">
        <f>IF(N3421=0,0,(L3421+H3421)/-N3421)</f>
        <v/>
      </c>
      <c r="P3421" s="7">
        <f>VLOOKUP(OPERAC[[#This Row],[especie]],[1]!ESPECIES[#All],6,0)</f>
        <v/>
      </c>
      <c r="Q3421" s="7">
        <f>IF(N3421&lt;&gt;0,P3421*N3421,0)</f>
        <v/>
      </c>
      <c r="R3421" s="8">
        <f>IF(Q3421&lt;&gt;0,Q3421+H3421+L3421,0)</f>
        <v/>
      </c>
      <c r="S3421" s="9">
        <f>VLOOKUP(OPERAC[[#This Row],[especie]],[1]!ESPECIES[#Data],9,FALSE)</f>
        <v/>
      </c>
    </row>
    <row r="3422">
      <c r="A3422" s="4" t="n">
        <v>2257</v>
      </c>
      <c r="B3422" s="5" t="n">
        <v>44671</v>
      </c>
      <c r="C3422" s="13" t="inlineStr">
        <is>
          <t>CPR</t>
        </is>
      </c>
      <c r="D3422" s="13" t="n">
        <v>42</v>
      </c>
      <c r="E3422" s="10">
        <f>IF(D3422&gt;0,VLOOKUP(OPERAC[[#This Row],[COD CART]],[1]!MatrizCortoLargoCyl[#All],3,0),"")</f>
        <v/>
      </c>
      <c r="F3422" s="13" t="inlineStr">
        <is>
          <t>TLT</t>
        </is>
      </c>
      <c r="G3422" s="6" t="n">
        <v>6</v>
      </c>
      <c r="H3422" s="6" t="n">
        <v>-735.3780300000001</v>
      </c>
      <c r="I3422" s="7">
        <f>-H3422/G3422</f>
        <v/>
      </c>
      <c r="J3422" s="11" t="n"/>
      <c r="K3422" s="6" t="n"/>
      <c r="L3422" s="6" t="n"/>
      <c r="M3422" s="7">
        <f>IF(N3422=0,+L3422+H3422,0)</f>
        <v/>
      </c>
      <c r="N3422" s="7">
        <f>IF((+G3422-K3422)=0,0,+G3422-K3422)</f>
        <v/>
      </c>
      <c r="O3422" s="7">
        <f>IF(N3422=0,0,(L3422+H3422)/-N3422)</f>
        <v/>
      </c>
      <c r="P3422" s="7">
        <f>VLOOKUP(OPERAC[[#This Row],[especie]],[1]!ESPECIES[#All],6,0)</f>
        <v/>
      </c>
      <c r="Q3422" s="7">
        <f>IF(N3422&lt;&gt;0,P3422*N3422,0)</f>
        <v/>
      </c>
      <c r="R3422" s="8">
        <f>IF(Q3422&lt;&gt;0,Q3422+H3422+L3422,0)</f>
        <v/>
      </c>
      <c r="S3422" s="9">
        <f>VLOOKUP(OPERAC[[#This Row],[especie]],[1]!ESPECIES[#Data],9,FALSE)</f>
        <v/>
      </c>
    </row>
    <row r="3423">
      <c r="A3423" s="4" t="n">
        <v>16795</v>
      </c>
      <c r="B3423" s="5" t="n">
        <v>44655</v>
      </c>
      <c r="C3423" s="13" t="inlineStr">
        <is>
          <t>CPR</t>
        </is>
      </c>
      <c r="D3423" s="13" t="n">
        <v>31</v>
      </c>
      <c r="E3423" s="10">
        <f>IF(D3423&gt;0,VLOOKUP(OPERAC[[#This Row],[COD CART]],[1]!MatrizCortoLargoCyl[#All],3,0),"")</f>
        <v/>
      </c>
      <c r="F3423" s="13" t="inlineStr">
        <is>
          <t>BBAR</t>
        </is>
      </c>
      <c r="G3423" s="6" t="n">
        <v>200</v>
      </c>
      <c r="H3423" s="6" t="n">
        <v>-738.0496000000001</v>
      </c>
      <c r="I3423" s="7">
        <f>-H3423/G3423</f>
        <v/>
      </c>
      <c r="J3423" s="11" t="n"/>
      <c r="K3423" s="6" t="n"/>
      <c r="L3423" s="6" t="n"/>
      <c r="M3423" s="7">
        <f>IF(N3423=0,+L3423+H3423,0)</f>
        <v/>
      </c>
      <c r="N3423" s="7">
        <f>IF((+G3423-K3423)=0,0,+G3423-K3423)</f>
        <v/>
      </c>
      <c r="O3423" s="7">
        <f>IF(N3423=0,0,(L3423+H3423)/-N3423)</f>
        <v/>
      </c>
      <c r="P3423" s="7">
        <f>VLOOKUP(OPERAC[[#This Row],[especie]],[1]!ESPECIES[#All],6,0)</f>
        <v/>
      </c>
      <c r="Q3423" s="7">
        <f>IF(N3423&lt;&gt;0,P3423*N3423,0)</f>
        <v/>
      </c>
      <c r="R3423" s="8">
        <f>IF(Q3423&lt;&gt;0,Q3423+H3423+L3423,0)</f>
        <v/>
      </c>
      <c r="S3423" s="9">
        <f>VLOOKUP(OPERAC[[#This Row],[especie]],[1]!ESPECIES[#Data],9,FALSE)</f>
        <v/>
      </c>
    </row>
    <row r="3424">
      <c r="A3424" s="4" t="n">
        <v>9195</v>
      </c>
      <c r="B3424" s="5" t="n">
        <v>44662</v>
      </c>
      <c r="C3424" s="13" t="inlineStr">
        <is>
          <t>CPR</t>
        </is>
      </c>
      <c r="D3424" s="13" t="n">
        <v>42</v>
      </c>
      <c r="E3424" s="10">
        <f>IF(D3424&gt;0,VLOOKUP(OPERAC[[#This Row],[COD CART]],[1]!MatrizCortoLargoCyl[#All],3,0),"")</f>
        <v/>
      </c>
      <c r="F3424" s="13" t="inlineStr">
        <is>
          <t>HYDR</t>
        </is>
      </c>
      <c r="G3424" s="6" t="n">
        <v>40</v>
      </c>
      <c r="H3424" s="6" t="n">
        <v>-739.86688</v>
      </c>
      <c r="I3424" s="7">
        <f>-H3424/G3424</f>
        <v/>
      </c>
      <c r="J3424" s="11" t="n"/>
      <c r="K3424" s="6" t="n"/>
      <c r="L3424" s="6" t="n"/>
      <c r="M3424" s="7">
        <f>IF(N3424=0,+L3424+H3424,0)</f>
        <v/>
      </c>
      <c r="N3424" s="7">
        <f>IF((+G3424-K3424)=0,0,+G3424-K3424)</f>
        <v/>
      </c>
      <c r="O3424" s="7">
        <f>IF(N3424=0,0,(L3424+H3424)/-N3424)</f>
        <v/>
      </c>
      <c r="P3424" s="7">
        <f>VLOOKUP(OPERAC[[#This Row],[especie]],[1]!ESPECIES[#All],6,0)</f>
        <v/>
      </c>
      <c r="Q3424" s="7">
        <f>IF(N3424&lt;&gt;0,P3424*N3424,0)</f>
        <v/>
      </c>
      <c r="R3424" s="8">
        <f>IF(Q3424&lt;&gt;0,Q3424+H3424+L3424,0)</f>
        <v/>
      </c>
      <c r="S3424" s="9">
        <f>VLOOKUP(OPERAC[[#This Row],[especie]],[1]!ESPECIES[#Data],9,FALSE)</f>
        <v/>
      </c>
    </row>
    <row r="3425">
      <c r="A3425" s="4" t="n">
        <v>12022</v>
      </c>
      <c r="B3425" s="5" t="n">
        <v>44662</v>
      </c>
      <c r="C3425" s="13" t="inlineStr">
        <is>
          <t>CPR</t>
        </is>
      </c>
      <c r="D3425" s="13" t="n">
        <v>42</v>
      </c>
      <c r="E3425" s="10">
        <f>IF(D3425&gt;0,VLOOKUP(OPERAC[[#This Row],[COD CART]],[1]!MatrizCortoLargoCyl[#All],3,0),"")</f>
        <v/>
      </c>
      <c r="F3425" s="13" t="inlineStr">
        <is>
          <t>HYDR</t>
        </is>
      </c>
      <c r="G3425" s="6" t="n">
        <v>40</v>
      </c>
      <c r="H3425" s="6" t="n">
        <v>-742.8137600000001</v>
      </c>
      <c r="I3425" s="7">
        <f>-H3425/G3425</f>
        <v/>
      </c>
      <c r="J3425" s="11" t="n">
        <v>44693</v>
      </c>
      <c r="K3425" s="6">
        <f>+OPERAC[[#This Row],[cantidad]]</f>
        <v/>
      </c>
      <c r="L3425" s="6">
        <f>+OPERAC[[#This Row],[cantidad venta]]*12.027</f>
        <v/>
      </c>
      <c r="M3425" s="7">
        <f>IF(N3425=0,+L3425+H3425,0)</f>
        <v/>
      </c>
      <c r="N3425" s="7">
        <f>IF((+G3425-K3425)=0,0,+G3425-K3425)</f>
        <v/>
      </c>
      <c r="O3425" s="7">
        <f>IF(N3425=0,0,(L3425+H3425)/-N3425)</f>
        <v/>
      </c>
      <c r="P3425" s="7">
        <f>VLOOKUP(OPERAC[[#This Row],[especie]],[1]!ESPECIES[#All],6,0)</f>
        <v/>
      </c>
      <c r="Q3425" s="7">
        <f>IF(N3425&lt;&gt;0,P3425*N3425,0)</f>
        <v/>
      </c>
      <c r="R3425" s="8">
        <f>IF(Q3425&lt;&gt;0,Q3425+H3425+L3425,0)</f>
        <v/>
      </c>
      <c r="S3425" s="9">
        <f>VLOOKUP(OPERAC[[#This Row],[especie]],[1]!ESPECIES[#Data],9,FALSE)</f>
        <v/>
      </c>
    </row>
    <row r="3426">
      <c r="A3426" s="4" t="n">
        <v>13269</v>
      </c>
      <c r="B3426" s="5" t="n">
        <v>44662</v>
      </c>
      <c r="C3426" s="13" t="inlineStr">
        <is>
          <t>CPR</t>
        </is>
      </c>
      <c r="D3426" s="13" t="n">
        <v>42</v>
      </c>
      <c r="E3426" s="10">
        <f>IF(D3426&gt;0,VLOOKUP(OPERAC[[#This Row],[COD CART]],[1]!MatrizCortoLargoCyl[#All],3,0),"")</f>
        <v/>
      </c>
      <c r="F3426" s="13" t="inlineStr">
        <is>
          <t>HYDR</t>
        </is>
      </c>
      <c r="G3426" s="6" t="n">
        <v>40</v>
      </c>
      <c r="H3426" s="6" t="n">
        <v>-742.8137600000001</v>
      </c>
      <c r="I3426" s="7">
        <f>-H3426/G3426</f>
        <v/>
      </c>
      <c r="J3426" s="11" t="n">
        <v>44693</v>
      </c>
      <c r="K3426" s="6">
        <f>+OPERAC[[#This Row],[cantidad]]</f>
        <v/>
      </c>
      <c r="L3426" s="6">
        <f>+OPERAC[[#This Row],[cantidad venta]]*12.027</f>
        <v/>
      </c>
      <c r="M3426" s="7">
        <f>IF(N3426=0,+L3426+H3426,0)</f>
        <v/>
      </c>
      <c r="N3426" s="7">
        <f>IF((+G3426-K3426)=0,0,+G3426-K3426)</f>
        <v/>
      </c>
      <c r="O3426" s="7">
        <f>IF(N3426=0,0,(L3426+H3426)/-N3426)</f>
        <v/>
      </c>
      <c r="P3426" s="7">
        <f>VLOOKUP(OPERAC[[#This Row],[especie]],[1]!ESPECIES[#All],6,0)</f>
        <v/>
      </c>
      <c r="Q3426" s="7">
        <f>IF(N3426&lt;&gt;0,P3426*N3426,0)</f>
        <v/>
      </c>
      <c r="R3426" s="8">
        <f>IF(Q3426&lt;&gt;0,Q3426+H3426+L3426,0)</f>
        <v/>
      </c>
      <c r="S3426" s="9">
        <f>VLOOKUP(OPERAC[[#This Row],[especie]],[1]!ESPECIES[#Data],9,FALSE)</f>
        <v/>
      </c>
    </row>
    <row r="3427">
      <c r="A3427" s="4" t="n">
        <v>16795</v>
      </c>
      <c r="B3427" s="5" t="n">
        <v>44664</v>
      </c>
      <c r="C3427" s="13" t="inlineStr">
        <is>
          <t>CPR</t>
        </is>
      </c>
      <c r="D3427" s="13" t="n">
        <v>42</v>
      </c>
      <c r="E3427" s="10">
        <f>IF(D3427&gt;0,VLOOKUP(OPERAC[[#This Row],[COD CART]],[1]!MatrizCortoLargoCyl[#All],3,0),"")</f>
        <v/>
      </c>
      <c r="F3427" s="13" t="inlineStr">
        <is>
          <t>PSQ</t>
        </is>
      </c>
      <c r="G3427" s="6" t="n">
        <v>60</v>
      </c>
      <c r="H3427" s="6" t="n">
        <v>-745.9543308599999</v>
      </c>
      <c r="I3427" s="7">
        <f>-H3427/G3427</f>
        <v/>
      </c>
      <c r="J3427" s="11" t="n">
        <v>44680</v>
      </c>
      <c r="K3427" s="6">
        <f>+OPERAC[[#This Row],[cantidad]]</f>
        <v/>
      </c>
      <c r="L3427" s="6">
        <f>12.848*OPERAC[[#This Row],[cantidad venta]]</f>
        <v/>
      </c>
      <c r="M3427" s="7">
        <f>IF(N3427=0,+L3427+H3427,0)</f>
        <v/>
      </c>
      <c r="N3427" s="7">
        <f>IF((+G3427-K3427)=0,0,+G3427-K3427)</f>
        <v/>
      </c>
      <c r="O3427" s="7">
        <f>IF(N3427=0,0,(L3427+H3427)/-N3427)</f>
        <v/>
      </c>
      <c r="P3427" s="7">
        <f>VLOOKUP(OPERAC[[#This Row],[especie]],[1]!ESPECIES[#All],6,0)</f>
        <v/>
      </c>
      <c r="Q3427" s="7">
        <f>IF(N3427&lt;&gt;0,P3427*N3427,0)</f>
        <v/>
      </c>
      <c r="R3427" s="8">
        <f>IF(Q3427&lt;&gt;0,Q3427+H3427+L3427,0)</f>
        <v/>
      </c>
      <c r="S3427" s="9">
        <f>VLOOKUP(OPERAC[[#This Row],[especie]],[1]!ESPECIES[#Data],9,FALSE)</f>
        <v/>
      </c>
    </row>
    <row r="3428">
      <c r="A3428" s="4" t="n">
        <v>13281</v>
      </c>
      <c r="B3428" s="5" t="n">
        <v>44217</v>
      </c>
      <c r="C3428" s="13" t="inlineStr">
        <is>
          <t>CPR</t>
        </is>
      </c>
      <c r="D3428" s="13" t="n">
        <v>41</v>
      </c>
      <c r="E3428" s="10">
        <f>IF(D3428&gt;0,VLOOKUP(OPERAC[[#This Row],[COD CART]],[1]!MatrizCortoLargoCyl[#All],3,0),"")</f>
        <v/>
      </c>
      <c r="F3428" s="13" t="inlineStr">
        <is>
          <t>YPF</t>
        </is>
      </c>
      <c r="G3428" s="6" t="n">
        <v>220</v>
      </c>
      <c r="H3428" s="6" t="n">
        <v>-747.77</v>
      </c>
      <c r="I3428" s="7">
        <f>-H3428/G3428</f>
        <v/>
      </c>
      <c r="J3428" s="11" t="n"/>
      <c r="K3428" s="6" t="n"/>
      <c r="L3428" s="6" t="n"/>
      <c r="M3428" s="7">
        <f>IF(N3428=0,+L3428+H3428,0)</f>
        <v/>
      </c>
      <c r="N3428" s="7">
        <f>IF((+G3428-K3428)=0,0,+G3428-K3428)</f>
        <v/>
      </c>
      <c r="O3428" s="7">
        <f>IF(N3428=0,0,(L3428+H3428)/-N3428)</f>
        <v/>
      </c>
      <c r="P3428" s="7">
        <f>VLOOKUP(OPERAC[[#This Row],[especie]],[1]!ESPECIES[#All],6,0)</f>
        <v/>
      </c>
      <c r="Q3428" s="7">
        <f>IF(N3428&lt;&gt;0,P3428*N3428,0)</f>
        <v/>
      </c>
      <c r="R3428" s="8">
        <f>IF(Q3428&lt;&gt;0,Q3428+H3428+L3428,0)</f>
        <v/>
      </c>
      <c r="S3428" s="9">
        <f>VLOOKUP(OPERAC[[#This Row],[especie]],[1]!ESPECIES[#Data],9,FALSE)</f>
        <v/>
      </c>
    </row>
    <row r="3429">
      <c r="A3429" s="4" t="n">
        <v>3853</v>
      </c>
      <c r="B3429" s="5" t="n">
        <v>44650</v>
      </c>
      <c r="C3429" s="13" t="inlineStr">
        <is>
          <t>CPR</t>
        </is>
      </c>
      <c r="D3429" s="13" t="n">
        <v>32</v>
      </c>
      <c r="E3429" s="10">
        <f>IF(D3429&gt;0,VLOOKUP(OPERAC[[#This Row],[COD CART]],[1]!MatrizCortoLargoCyl[#All],3,0),"")</f>
        <v/>
      </c>
      <c r="F3429" s="13" t="inlineStr">
        <is>
          <t>UUUU/CYL/8,00/20-05-22</t>
        </is>
      </c>
      <c r="G3429" s="6" t="n">
        <v>100</v>
      </c>
      <c r="H3429" s="6" t="n">
        <v>-748.0204</v>
      </c>
      <c r="I3429" s="7">
        <f>-H3429/G3429</f>
        <v/>
      </c>
      <c r="J3429" s="11" t="n">
        <v>44665</v>
      </c>
      <c r="K3429" s="6" t="n">
        <v>100</v>
      </c>
      <c r="L3429" s="6" t="n">
        <v>776</v>
      </c>
      <c r="M3429" s="7">
        <f>IF(N3429=0,+L3429+H3429,0)</f>
        <v/>
      </c>
      <c r="N3429" s="7">
        <f>IF((+G3429-K3429)=0,0,+G3429-K3429)</f>
        <v/>
      </c>
      <c r="O3429" s="7">
        <f>IF(N3429=0,0,(L3429+H3429)/-N3429)</f>
        <v/>
      </c>
      <c r="P3429" s="7">
        <f>VLOOKUP(OPERAC[[#This Row],[especie]],[1]!ESPECIES[#All],6,0)</f>
        <v/>
      </c>
      <c r="Q3429" s="7">
        <f>IF(N3429&lt;&gt;0,P3429*N3429,0)</f>
        <v/>
      </c>
      <c r="R3429" s="8">
        <f>IF(Q3429&lt;&gt;0,Q3429+H3429+L3429,0)</f>
        <v/>
      </c>
      <c r="S3429" s="9">
        <f>VLOOKUP(OPERAC[[#This Row],[especie]],[1]!ESPECIES[#Data],9,FALSE)</f>
        <v/>
      </c>
    </row>
    <row r="3430">
      <c r="A3430" s="4" t="n">
        <v>4561</v>
      </c>
      <c r="B3430" s="5" t="n">
        <v>44650</v>
      </c>
      <c r="C3430" s="13" t="inlineStr">
        <is>
          <t>CPR</t>
        </is>
      </c>
      <c r="D3430" s="13" t="n">
        <v>32</v>
      </c>
      <c r="E3430" s="10">
        <f>IF(D3430&gt;0,VLOOKUP(OPERAC[[#This Row],[COD CART]],[1]!MatrizCortoLargoCyl[#All],3,0),"")</f>
        <v/>
      </c>
      <c r="F3430" s="13" t="inlineStr">
        <is>
          <t>UUUU/CYL/8,00/20-05-22</t>
        </is>
      </c>
      <c r="G3430" s="6" t="n">
        <v>100</v>
      </c>
      <c r="H3430" s="6" t="n">
        <v>-748.0204</v>
      </c>
      <c r="I3430" s="7">
        <f>-H3430/G3430</f>
        <v/>
      </c>
      <c r="J3430" s="11" t="n">
        <v>44665</v>
      </c>
      <c r="K3430" s="6" t="n">
        <v>100</v>
      </c>
      <c r="L3430" s="6" t="n">
        <v>776</v>
      </c>
      <c r="M3430" s="7">
        <f>IF(N3430=0,+L3430+H3430,0)</f>
        <v/>
      </c>
      <c r="N3430" s="7">
        <f>IF((+G3430-K3430)=0,0,+G3430-K3430)</f>
        <v/>
      </c>
      <c r="O3430" s="7">
        <f>IF(N3430=0,0,(L3430+H3430)/-N3430)</f>
        <v/>
      </c>
      <c r="P3430" s="7">
        <f>VLOOKUP(OPERAC[[#This Row],[especie]],[1]!ESPECIES[#All],6,0)</f>
        <v/>
      </c>
      <c r="Q3430" s="7">
        <f>IF(N3430&lt;&gt;0,P3430*N3430,0)</f>
        <v/>
      </c>
      <c r="R3430" s="8">
        <f>IF(Q3430&lt;&gt;0,Q3430+H3430+L3430,0)</f>
        <v/>
      </c>
      <c r="S3430" s="9">
        <f>VLOOKUP(OPERAC[[#This Row],[especie]],[1]!ESPECIES[#Data],9,FALSE)</f>
        <v/>
      </c>
    </row>
    <row r="3431">
      <c r="A3431" s="4" t="n">
        <v>12690</v>
      </c>
      <c r="B3431" s="5" t="n">
        <v>44650</v>
      </c>
      <c r="C3431" s="13" t="inlineStr">
        <is>
          <t>CPR</t>
        </is>
      </c>
      <c r="D3431" s="13" t="n">
        <v>32</v>
      </c>
      <c r="E3431" s="10">
        <f>IF(D3431&gt;0,VLOOKUP(OPERAC[[#This Row],[COD CART]],[1]!MatrizCortoLargoCyl[#All],3,0),"")</f>
        <v/>
      </c>
      <c r="F3431" s="13" t="inlineStr">
        <is>
          <t>UUUU/CYL/8,00/20-05-22</t>
        </is>
      </c>
      <c r="G3431" s="6" t="n">
        <v>100</v>
      </c>
      <c r="H3431" s="6" t="n">
        <v>-748.0204</v>
      </c>
      <c r="I3431" s="7">
        <f>-H3431/G3431</f>
        <v/>
      </c>
      <c r="J3431" s="11" t="n">
        <v>44665</v>
      </c>
      <c r="K3431" s="6" t="n">
        <v>100</v>
      </c>
      <c r="L3431" s="6" t="n">
        <v>776</v>
      </c>
      <c r="M3431" s="7">
        <f>IF(N3431=0,+L3431+H3431,0)</f>
        <v/>
      </c>
      <c r="N3431" s="7">
        <f>IF((+G3431-K3431)=0,0,+G3431-K3431)</f>
        <v/>
      </c>
      <c r="O3431" s="7">
        <f>IF(N3431=0,0,(L3431+H3431)/-N3431)</f>
        <v/>
      </c>
      <c r="P3431" s="7">
        <f>VLOOKUP(OPERAC[[#This Row],[especie]],[1]!ESPECIES[#All],6,0)</f>
        <v/>
      </c>
      <c r="Q3431" s="7">
        <f>IF(N3431&lt;&gt;0,P3431*N3431,0)</f>
        <v/>
      </c>
      <c r="R3431" s="8">
        <f>IF(Q3431&lt;&gt;0,Q3431+H3431+L3431,0)</f>
        <v/>
      </c>
      <c r="S3431" s="9">
        <f>VLOOKUP(OPERAC[[#This Row],[especie]],[1]!ESPECIES[#Data],9,FALSE)</f>
        <v/>
      </c>
    </row>
    <row r="3432">
      <c r="A3432" s="4" t="n">
        <v>13190</v>
      </c>
      <c r="B3432" s="5" t="n">
        <v>44650</v>
      </c>
      <c r="C3432" s="13" t="inlineStr">
        <is>
          <t>CPR</t>
        </is>
      </c>
      <c r="D3432" s="13" t="n">
        <v>32</v>
      </c>
      <c r="E3432" s="10">
        <f>IF(D3432&gt;0,VLOOKUP(OPERAC[[#This Row],[COD CART]],[1]!MatrizCortoLargoCyl[#All],3,0),"")</f>
        <v/>
      </c>
      <c r="F3432" s="13" t="inlineStr">
        <is>
          <t>UUUU/CYL/8,00/20-05-22</t>
        </is>
      </c>
      <c r="G3432" s="6" t="n">
        <v>100</v>
      </c>
      <c r="H3432" s="6" t="n">
        <v>-748.0204</v>
      </c>
      <c r="I3432" s="7">
        <f>-H3432/G3432</f>
        <v/>
      </c>
      <c r="J3432" s="11" t="n">
        <v>44665</v>
      </c>
      <c r="K3432" s="6" t="n">
        <v>100</v>
      </c>
      <c r="L3432" s="6" t="n">
        <v>776</v>
      </c>
      <c r="M3432" s="7">
        <f>IF(N3432=0,+L3432+H3432,0)</f>
        <v/>
      </c>
      <c r="N3432" s="7">
        <f>IF((+G3432-K3432)=0,0,+G3432-K3432)</f>
        <v/>
      </c>
      <c r="O3432" s="7">
        <f>IF(N3432=0,0,(L3432+H3432)/-N3432)</f>
        <v/>
      </c>
      <c r="P3432" s="7">
        <f>VLOOKUP(OPERAC[[#This Row],[especie]],[1]!ESPECIES[#All],6,0)</f>
        <v/>
      </c>
      <c r="Q3432" s="7">
        <f>IF(N3432&lt;&gt;0,P3432*N3432,0)</f>
        <v/>
      </c>
      <c r="R3432" s="8">
        <f>IF(Q3432&lt;&gt;0,Q3432+H3432+L3432,0)</f>
        <v/>
      </c>
      <c r="S3432" s="9">
        <f>VLOOKUP(OPERAC[[#This Row],[especie]],[1]!ESPECIES[#Data],9,FALSE)</f>
        <v/>
      </c>
    </row>
    <row r="3433">
      <c r="A3433" s="4" t="n">
        <v>18677</v>
      </c>
      <c r="B3433" s="5" t="n">
        <v>44650</v>
      </c>
      <c r="C3433" s="13" t="inlineStr">
        <is>
          <t>CPR</t>
        </is>
      </c>
      <c r="D3433" s="13" t="n">
        <v>32</v>
      </c>
      <c r="E3433" s="10">
        <f>IF(D3433&gt;0,VLOOKUP(OPERAC[[#This Row],[COD CART]],[1]!MatrizCortoLargoCyl[#All],3,0),"")</f>
        <v/>
      </c>
      <c r="F3433" s="13" t="inlineStr">
        <is>
          <t>UUUU/CYL/8,00/20-05-22</t>
        </is>
      </c>
      <c r="G3433" s="6" t="n">
        <v>100</v>
      </c>
      <c r="H3433" s="6" t="n">
        <v>-748.0204</v>
      </c>
      <c r="I3433" s="7">
        <f>-H3433/G3433</f>
        <v/>
      </c>
      <c r="J3433" s="11" t="n">
        <v>44665</v>
      </c>
      <c r="K3433" s="6" t="n">
        <v>100</v>
      </c>
      <c r="L3433" s="6" t="n">
        <v>776</v>
      </c>
      <c r="M3433" s="7">
        <f>IF(N3433=0,+L3433+H3433,0)</f>
        <v/>
      </c>
      <c r="N3433" s="7">
        <f>IF((+G3433-K3433)=0,0,+G3433-K3433)</f>
        <v/>
      </c>
      <c r="O3433" s="7">
        <f>IF(N3433=0,0,(L3433+H3433)/-N3433)</f>
        <v/>
      </c>
      <c r="P3433" s="7">
        <f>VLOOKUP(OPERAC[[#This Row],[especie]],[1]!ESPECIES[#All],6,0)</f>
        <v/>
      </c>
      <c r="Q3433" s="7">
        <f>IF(N3433&lt;&gt;0,P3433*N3433,0)</f>
        <v/>
      </c>
      <c r="R3433" s="8">
        <f>IF(Q3433&lt;&gt;0,Q3433+H3433+L3433,0)</f>
        <v/>
      </c>
      <c r="S3433" s="9">
        <f>VLOOKUP(OPERAC[[#This Row],[especie]],[1]!ESPECIES[#Data],9,FALSE)</f>
        <v/>
      </c>
    </row>
    <row r="3434">
      <c r="A3434" s="4" t="n">
        <v>20234</v>
      </c>
      <c r="B3434" s="5" t="n">
        <v>44650</v>
      </c>
      <c r="C3434" s="13" t="inlineStr">
        <is>
          <t>CPR</t>
        </is>
      </c>
      <c r="D3434" s="13" t="n">
        <v>32</v>
      </c>
      <c r="E3434" s="10">
        <f>IF(D3434&gt;0,VLOOKUP(OPERAC[[#This Row],[COD CART]],[1]!MatrizCortoLargoCyl[#All],3,0),"")</f>
        <v/>
      </c>
      <c r="F3434" s="13" t="inlineStr">
        <is>
          <t>UUUU/CYL/8,00/20-05-22</t>
        </is>
      </c>
      <c r="G3434" s="6" t="n">
        <v>100</v>
      </c>
      <c r="H3434" s="6" t="n">
        <v>-748.0204</v>
      </c>
      <c r="I3434" s="7">
        <f>-H3434/G3434</f>
        <v/>
      </c>
      <c r="J3434" s="11" t="n">
        <v>44665</v>
      </c>
      <c r="K3434" s="6" t="n">
        <v>100</v>
      </c>
      <c r="L3434" s="6" t="n">
        <v>776</v>
      </c>
      <c r="M3434" s="7">
        <f>IF(N3434=0,+L3434+H3434,0)</f>
        <v/>
      </c>
      <c r="N3434" s="7">
        <f>IF((+G3434-K3434)=0,0,+G3434-K3434)</f>
        <v/>
      </c>
      <c r="O3434" s="7">
        <f>IF(N3434=0,0,(L3434+H3434)/-N3434)</f>
        <v/>
      </c>
      <c r="P3434" s="7">
        <f>VLOOKUP(OPERAC[[#This Row],[especie]],[1]!ESPECIES[#All],6,0)</f>
        <v/>
      </c>
      <c r="Q3434" s="7">
        <f>IF(N3434&lt;&gt;0,P3434*N3434,0)</f>
        <v/>
      </c>
      <c r="R3434" s="8">
        <f>IF(Q3434&lt;&gt;0,Q3434+H3434+L3434,0)</f>
        <v/>
      </c>
      <c r="S3434" s="9">
        <f>VLOOKUP(OPERAC[[#This Row],[especie]],[1]!ESPECIES[#Data],9,FALSE)</f>
        <v/>
      </c>
    </row>
    <row r="3435">
      <c r="A3435" s="4" t="n">
        <v>26137</v>
      </c>
      <c r="B3435" s="5" t="n">
        <v>44650</v>
      </c>
      <c r="C3435" s="13" t="inlineStr">
        <is>
          <t>CPR</t>
        </is>
      </c>
      <c r="D3435" s="13" t="n">
        <v>32</v>
      </c>
      <c r="E3435" s="10">
        <f>IF(D3435&gt;0,VLOOKUP(OPERAC[[#This Row],[COD CART]],[1]!MatrizCortoLargoCyl[#All],3,0),"")</f>
        <v/>
      </c>
      <c r="F3435" s="13" t="inlineStr">
        <is>
          <t>UUUU/CYL/8,00/20-05-22</t>
        </is>
      </c>
      <c r="G3435" s="6" t="n">
        <v>100</v>
      </c>
      <c r="H3435" s="6" t="n">
        <v>-748.0204</v>
      </c>
      <c r="I3435" s="7">
        <f>-H3435/G3435</f>
        <v/>
      </c>
      <c r="J3435" s="11" t="n">
        <v>44665</v>
      </c>
      <c r="K3435" s="6" t="n">
        <v>100</v>
      </c>
      <c r="L3435" s="6" t="n">
        <v>776</v>
      </c>
      <c r="M3435" s="7">
        <f>IF(N3435=0,+L3435+H3435,0)</f>
        <v/>
      </c>
      <c r="N3435" s="7">
        <f>IF((+G3435-K3435)=0,0,+G3435-K3435)</f>
        <v/>
      </c>
      <c r="O3435" s="7">
        <f>IF(N3435=0,0,(L3435+H3435)/-N3435)</f>
        <v/>
      </c>
      <c r="P3435" s="7">
        <f>VLOOKUP(OPERAC[[#This Row],[especie]],[1]!ESPECIES[#All],6,0)</f>
        <v/>
      </c>
      <c r="Q3435" s="7">
        <f>IF(N3435&lt;&gt;0,P3435*N3435,0)</f>
        <v/>
      </c>
      <c r="R3435" s="8">
        <f>IF(Q3435&lt;&gt;0,Q3435+H3435+L3435,0)</f>
        <v/>
      </c>
      <c r="S3435" s="9">
        <f>VLOOKUP(OPERAC[[#This Row],[especie]],[1]!ESPECIES[#Data],9,FALSE)</f>
        <v/>
      </c>
    </row>
    <row r="3436">
      <c r="A3436" s="4" t="n">
        <v>2255</v>
      </c>
      <c r="B3436" s="5" t="n">
        <v>43987</v>
      </c>
      <c r="C3436" s="13" t="inlineStr">
        <is>
          <t>CPR</t>
        </is>
      </c>
      <c r="D3436" s="13" t="n">
        <v>41</v>
      </c>
      <c r="E3436" s="10">
        <f>IF(D3436&gt;0,VLOOKUP(OPERAC[[#This Row],[COD CART]],[1]!MatrizCortoLargoCyl[#All],3,0),"")</f>
        <v/>
      </c>
      <c r="F3436" s="13" t="inlineStr">
        <is>
          <t>MSFT</t>
        </is>
      </c>
      <c r="G3436" s="6" t="n">
        <v>4</v>
      </c>
      <c r="H3436" s="6" t="n">
        <v>-748.08032</v>
      </c>
      <c r="I3436" s="7" t="n">
        <v>187.02008</v>
      </c>
      <c r="J3436" s="5" t="n"/>
      <c r="K3436" s="6" t="n"/>
      <c r="L3436" s="6" t="n"/>
      <c r="M3436" s="7">
        <f>IF(N3436=0,+L3436+H3436,0)</f>
        <v/>
      </c>
      <c r="N3436" s="7">
        <f>IF((+G3436-K3436)=0,0,+G3436-K3436)</f>
        <v/>
      </c>
      <c r="O3436" s="7">
        <f>IF(N3436=0,0,(L3436+H3436)/-N3436)</f>
        <v/>
      </c>
      <c r="P3436" s="7">
        <f>VLOOKUP(OPERAC[[#This Row],[especie]],[1]!ESPECIES[#All],6,0)</f>
        <v/>
      </c>
      <c r="Q3436" s="7">
        <f>IF(N3436&lt;&gt;0,P3436*N3436,0)</f>
        <v/>
      </c>
      <c r="R3436" s="8">
        <f>IF(Q3436&lt;&gt;0,Q3436+H3436+L3436,0)</f>
        <v/>
      </c>
      <c r="S3436" s="9">
        <f>VLOOKUP(OPERAC[[#This Row],[especie]],[1]!ESPECIES[#Data],9,FALSE)</f>
        <v/>
      </c>
    </row>
    <row r="3437">
      <c r="A3437" s="4" t="n">
        <v>22393</v>
      </c>
      <c r="B3437" s="5" t="n">
        <v>44628</v>
      </c>
      <c r="C3437" s="13" t="inlineStr">
        <is>
          <t>CPR</t>
        </is>
      </c>
      <c r="D3437" s="13" t="n">
        <v>32</v>
      </c>
      <c r="E3437" s="10">
        <f>IF(D3437&gt;0,VLOOKUP(OPERAC[[#This Row],[COD CART]],[1]!MatrizCortoLargoCyl[#All],3,0),"")</f>
        <v/>
      </c>
      <c r="F3437" s="13" t="inlineStr">
        <is>
          <t>COTY/CYL/8,00/18-03-22</t>
        </is>
      </c>
      <c r="G3437" s="6" t="n">
        <v>100</v>
      </c>
      <c r="H3437" s="6" t="n">
        <v>-748.322</v>
      </c>
      <c r="I3437" s="7">
        <f>-H3437/G3437</f>
        <v/>
      </c>
      <c r="J3437" s="11" t="n">
        <v>44638</v>
      </c>
      <c r="K3437" s="6" t="n">
        <v>100</v>
      </c>
      <c r="L3437" s="6" t="n">
        <v>793.6</v>
      </c>
      <c r="M3437" s="7">
        <f>IF(N3437=0,+L3437+H3437,0)</f>
        <v/>
      </c>
      <c r="N3437" s="7">
        <f>IF((+G3437-K3437)=0,0,+G3437-K3437)</f>
        <v/>
      </c>
      <c r="O3437" s="7">
        <f>IF(N3437=0,0,(L3437+H3437)/-N3437)</f>
        <v/>
      </c>
      <c r="P3437" s="7">
        <f>VLOOKUP(OPERAC[[#This Row],[especie]],[1]!ESPECIES[#All],6,0)</f>
        <v/>
      </c>
      <c r="Q3437" s="7">
        <f>IF(N3437&lt;&gt;0,P3437*N3437,0)</f>
        <v/>
      </c>
      <c r="R3437" s="8">
        <f>IF(Q3437&lt;&gt;0,Q3437+H3437+L3437,0)</f>
        <v/>
      </c>
      <c r="S3437" s="9">
        <f>VLOOKUP(OPERAC[[#This Row],[especie]],[1]!ESPECIES[#Data],9,FALSE)</f>
        <v/>
      </c>
    </row>
    <row r="3438">
      <c r="A3438" s="4" t="n">
        <v>7950</v>
      </c>
      <c r="B3438" s="5" t="n">
        <v>44680</v>
      </c>
      <c r="C3438" s="13" t="inlineStr">
        <is>
          <t>CPR</t>
        </is>
      </c>
      <c r="D3438" s="13" t="n">
        <v>31</v>
      </c>
      <c r="E3438" s="10">
        <f>IF(D3438&gt;0,VLOOKUP(OPERAC[[#This Row],[COD CART]],[1]!MatrizCortoLargoCyl[#All],3,0),"")</f>
        <v/>
      </c>
      <c r="F3438" s="13" t="inlineStr">
        <is>
          <t>BMA</t>
        </is>
      </c>
      <c r="G3438" s="6" t="n">
        <v>50</v>
      </c>
      <c r="H3438" s="6" t="n">
        <v>-748.915</v>
      </c>
      <c r="I3438" s="7">
        <f>-H3438/G3438</f>
        <v/>
      </c>
      <c r="J3438" s="11" t="n"/>
      <c r="K3438" s="6" t="n"/>
      <c r="L3438" s="6" t="n"/>
      <c r="M3438" s="7">
        <f>IF(N3438=0,+L3438+H3438,0)</f>
        <v/>
      </c>
      <c r="N3438" s="7">
        <f>IF((+G3438-K3438)=0,0,+G3438-K3438)</f>
        <v/>
      </c>
      <c r="O3438" s="7">
        <f>IF(N3438=0,0,(L3438+H3438)/-N3438)</f>
        <v/>
      </c>
      <c r="P3438" s="7">
        <f>VLOOKUP(OPERAC[[#This Row],[especie]],[1]!ESPECIES[#All],6,0)</f>
        <v/>
      </c>
      <c r="Q3438" s="7">
        <f>IF(N3438&lt;&gt;0,P3438*N3438,0)</f>
        <v/>
      </c>
      <c r="R3438" s="8">
        <f>IF(Q3438&lt;&gt;0,Q3438+H3438+L3438,0)</f>
        <v/>
      </c>
      <c r="S3438" s="9">
        <f>VLOOKUP(OPERAC[[#This Row],[especie]],[1]!ESPECIES[#Data],9,FALSE)</f>
        <v/>
      </c>
    </row>
    <row r="3439">
      <c r="A3439" s="4" t="n">
        <v>15194</v>
      </c>
      <c r="B3439" s="5" t="n">
        <v>44630</v>
      </c>
      <c r="C3439" s="13" t="inlineStr">
        <is>
          <t>CPR</t>
        </is>
      </c>
      <c r="D3439" s="13" t="n">
        <v>32</v>
      </c>
      <c r="E3439" s="10">
        <f>IF(D3439&gt;0,VLOOKUP(OPERAC[[#This Row],[COD CART]],[1]!MatrizCortoLargoCyl[#All],3,0),"")</f>
        <v/>
      </c>
      <c r="F3439" s="13" t="inlineStr">
        <is>
          <t>TEVA/CYL/8,00/14-04-22</t>
        </is>
      </c>
      <c r="G3439" s="6" t="n">
        <v>100</v>
      </c>
      <c r="H3439" s="6" t="n">
        <v>-749.698</v>
      </c>
      <c r="I3439" s="7">
        <f>-H3439/G3439</f>
        <v/>
      </c>
      <c r="J3439" s="11" t="n">
        <v>44645</v>
      </c>
      <c r="K3439" s="6" t="n">
        <v>100</v>
      </c>
      <c r="L3439" s="6" t="n">
        <v>779.3579999999999</v>
      </c>
      <c r="M3439" s="7">
        <f>IF(N3439=0,+L3439+H3439,0)</f>
        <v/>
      </c>
      <c r="N3439" s="7">
        <f>IF((+G3439-K3439)=0,0,+G3439-K3439)</f>
        <v/>
      </c>
      <c r="O3439" s="7">
        <f>IF(N3439=0,0,(L3439+H3439)/-N3439)</f>
        <v/>
      </c>
      <c r="P3439" s="7">
        <f>VLOOKUP(OPERAC[[#This Row],[especie]],[1]!ESPECIES[#All],6,0)</f>
        <v/>
      </c>
      <c r="Q3439" s="7">
        <f>IF(N3439&lt;&gt;0,P3439*N3439,0)</f>
        <v/>
      </c>
      <c r="R3439" s="8">
        <f>IF(Q3439&lt;&gt;0,Q3439+H3439+L3439,0)</f>
        <v/>
      </c>
      <c r="S3439" s="9">
        <f>VLOOKUP(OPERAC[[#This Row],[especie]],[1]!ESPECIES[#Data],9,FALSE)</f>
        <v/>
      </c>
    </row>
    <row r="3440">
      <c r="A3440" s="4" t="n">
        <v>2255</v>
      </c>
      <c r="B3440" s="5" t="n">
        <v>44558</v>
      </c>
      <c r="C3440" s="13" t="inlineStr">
        <is>
          <t>CPR</t>
        </is>
      </c>
      <c r="D3440" s="13" t="n">
        <v>40</v>
      </c>
      <c r="E3440" s="10">
        <f>IF(D3440&gt;0,VLOOKUP(OPERAC[[#This Row],[COD CART]],[1]!MatrizCortoLargoCyl[#All],3,0),"")</f>
        <v/>
      </c>
      <c r="F3440" s="13" t="inlineStr">
        <is>
          <t>UPST</t>
        </is>
      </c>
      <c r="G3440" s="6" t="n">
        <v>5</v>
      </c>
      <c r="H3440" s="6" t="n">
        <v>-750.013</v>
      </c>
      <c r="I3440" s="7">
        <f>-H3440/G3440</f>
        <v/>
      </c>
      <c r="J3440" s="11" t="n">
        <v>44606</v>
      </c>
      <c r="K3440" s="6">
        <f>+OPERAC[[#This Row],[cantidad]]</f>
        <v/>
      </c>
      <c r="L3440" s="6">
        <f>+OPERAC[[#This Row],[cantidad venta]]*98.994</f>
        <v/>
      </c>
      <c r="M3440" s="7">
        <f>IF(N3440=0,+L3440+H3440,0)</f>
        <v/>
      </c>
      <c r="N3440" s="7">
        <f>IF((+G3440-K3440)=0,0,+G3440-K3440)</f>
        <v/>
      </c>
      <c r="O3440" s="7">
        <f>IF(N3440=0,0,(L3440+H3440)/-N3440)</f>
        <v/>
      </c>
      <c r="P3440" s="7">
        <f>VLOOKUP(OPERAC[[#This Row],[especie]],[1]!ESPECIES[#All],6,0)</f>
        <v/>
      </c>
      <c r="Q3440" s="7">
        <f>IF(N3440&lt;&gt;0,P3440*N3440,0)</f>
        <v/>
      </c>
      <c r="R3440" s="8">
        <f>IF(Q3440&lt;&gt;0,Q3440+H3440+L3440,0)</f>
        <v/>
      </c>
      <c r="S3440" s="9">
        <f>VLOOKUP(OPERAC[[#This Row],[especie]],[1]!ESPECIES[#Data],9,FALSE)</f>
        <v/>
      </c>
    </row>
    <row r="3441">
      <c r="A3441" s="4" t="n">
        <v>19972</v>
      </c>
      <c r="B3441" s="5" t="n">
        <v>44543</v>
      </c>
      <c r="C3441" s="13" t="inlineStr">
        <is>
          <t>CPR</t>
        </is>
      </c>
      <c r="D3441" s="13" t="n">
        <v>41</v>
      </c>
      <c r="E3441" s="10">
        <f>IF(D3441&gt;0,VLOOKUP(OPERAC[[#This Row],[COD CART]],[1]!MatrizCortoLargoCyl[#All],3,0),"")</f>
        <v/>
      </c>
      <c r="F3441" s="13" t="inlineStr">
        <is>
          <t>PYPL</t>
        </is>
      </c>
      <c r="G3441" s="6" t="n">
        <v>4</v>
      </c>
      <c r="H3441" s="6" t="n">
        <v>-750.7503999999999</v>
      </c>
      <c r="I3441" s="7">
        <f>-H3441/G3441</f>
        <v/>
      </c>
      <c r="J3441" s="11" t="n">
        <v>44686</v>
      </c>
      <c r="K3441" s="6" t="n">
        <v>4</v>
      </c>
      <c r="L3441" s="6" t="n">
        <v>344.864</v>
      </c>
      <c r="M3441" s="7">
        <f>IF(N3441=0,+L3441+H3441,0)</f>
        <v/>
      </c>
      <c r="N3441" s="7">
        <f>IF((+G3441-K3441)=0,0,+G3441-K3441)</f>
        <v/>
      </c>
      <c r="O3441" s="7">
        <f>IF(N3441=0,0,(L3441+H3441)/-N3441)</f>
        <v/>
      </c>
      <c r="P3441" s="7">
        <f>VLOOKUP(OPERAC[[#This Row],[especie]],[1]!ESPECIES[#All],6,0)</f>
        <v/>
      </c>
      <c r="Q3441" s="7">
        <f>IF(N3441&lt;&gt;0,P3441*N3441,0)</f>
        <v/>
      </c>
      <c r="R3441" s="8">
        <f>IF(Q3441&lt;&gt;0,Q3441+H3441+L3441,0)</f>
        <v/>
      </c>
      <c r="S3441" s="9">
        <f>VLOOKUP(OPERAC[[#This Row],[especie]],[1]!ESPECIES[#Data],9,FALSE)</f>
        <v/>
      </c>
    </row>
    <row r="3442">
      <c r="A3442" s="4" t="n">
        <v>2305</v>
      </c>
      <c r="B3442" s="5" t="n">
        <v>44614</v>
      </c>
      <c r="C3442" s="13" t="inlineStr">
        <is>
          <t>CPR</t>
        </is>
      </c>
      <c r="D3442" s="13" t="n">
        <v>32</v>
      </c>
      <c r="E3442" s="10">
        <f>IF(D3442&gt;0,VLOOKUP(OPERAC[[#This Row],[COD CART]],[1]!MatrizCortoLargoCyl[#All],3,0),"")</f>
        <v/>
      </c>
      <c r="F3442" s="13" t="inlineStr">
        <is>
          <t>HMY/CYL/4,00/18-03-22</t>
        </is>
      </c>
      <c r="G3442" s="6" t="n">
        <v>200</v>
      </c>
      <c r="H3442" s="6" t="n">
        <v>-751.157</v>
      </c>
      <c r="I3442" s="7">
        <f>-H3442/G3442</f>
        <v/>
      </c>
      <c r="J3442" s="11" t="n">
        <v>44622</v>
      </c>
      <c r="K3442" s="6">
        <f>+OPERAC[[#This Row],[cantidad]]</f>
        <v/>
      </c>
      <c r="L3442" s="6" t="n">
        <v>787.9</v>
      </c>
      <c r="M3442" s="7">
        <f>IF(N3442=0,+L3442+H3442,0)</f>
        <v/>
      </c>
      <c r="N3442" s="7">
        <f>IF((+G3442-K3442)=0,0,+G3442-K3442)</f>
        <v/>
      </c>
      <c r="O3442" s="7">
        <f>IF(N3442=0,0,(L3442+H3442)/-N3442)</f>
        <v/>
      </c>
      <c r="P3442" s="7">
        <f>VLOOKUP(OPERAC[[#This Row],[especie]],[1]!ESPECIES[#All],6,0)</f>
        <v/>
      </c>
      <c r="Q3442" s="7">
        <f>IF(N3442&lt;&gt;0,P3442*N3442,0)</f>
        <v/>
      </c>
      <c r="R3442" s="8">
        <f>IF(Q3442&lt;&gt;0,Q3442+H3442+L3442,0)</f>
        <v/>
      </c>
      <c r="S3442" s="9">
        <f>VLOOKUP(OPERAC[[#This Row],[especie]],[1]!ESPECIES[#Data],9,FALSE)</f>
        <v/>
      </c>
    </row>
    <row r="3443">
      <c r="A3443" s="4" t="n">
        <v>6578</v>
      </c>
      <c r="B3443" s="5" t="n">
        <v>44378</v>
      </c>
      <c r="C3443" s="13" t="inlineStr">
        <is>
          <t>CPR</t>
        </is>
      </c>
      <c r="D3443" s="13" t="n">
        <v>32</v>
      </c>
      <c r="E3443" s="10">
        <f>IF(D3443&gt;0,VLOOKUP(OPERAC[[#This Row],[COD CART]],[1]!MatrizCortoLargoCyl[#All],3,0),"")</f>
        <v/>
      </c>
      <c r="F3443" s="13" t="inlineStr">
        <is>
          <t>INO/CYL/8,00/18-02-22</t>
        </is>
      </c>
      <c r="G3443" s="6" t="n">
        <v>100</v>
      </c>
      <c r="H3443" s="6">
        <f>-7.87*OPERAC[[#This Row],[cantidad]]+15.402+0.474+14.852+4.707</f>
        <v/>
      </c>
      <c r="I3443" s="7">
        <f>-H3443/G3443</f>
        <v/>
      </c>
      <c r="J3443" s="11" t="n">
        <v>44595</v>
      </c>
      <c r="K3443" s="6" t="n">
        <v>100</v>
      </c>
      <c r="L3443" s="6">
        <f>+OPERAC[[#This Row],[cantidad venta]]*3.599</f>
        <v/>
      </c>
      <c r="M3443" s="7">
        <f>IF(N3443=0,+L3443+H3443,0)</f>
        <v/>
      </c>
      <c r="N3443" s="7">
        <f>IF((+G3443-K3443)=0,0,+G3443-K3443)</f>
        <v/>
      </c>
      <c r="O3443" s="7">
        <f>IF(N3443=0,0,(L3443+H3443)/-N3443)</f>
        <v/>
      </c>
      <c r="P3443" s="7">
        <f>VLOOKUP(OPERAC[[#This Row],[especie]],[1]!ESPECIES[#All],6,0)</f>
        <v/>
      </c>
      <c r="Q3443" s="7">
        <f>IF(N3443&lt;&gt;0,P3443*N3443,0)</f>
        <v/>
      </c>
      <c r="R3443" s="8">
        <f>IF(Q3443&lt;&gt;0,Q3443+H3443+L3443,0)</f>
        <v/>
      </c>
      <c r="S3443" s="9">
        <f>VLOOKUP(OPERAC[[#This Row],[especie]],[1]!ESPECIES[#Data],9,FALSE)</f>
        <v/>
      </c>
    </row>
    <row r="3444">
      <c r="A3444" s="4" t="n">
        <v>26146</v>
      </c>
      <c r="B3444" s="5" t="n">
        <v>44658</v>
      </c>
      <c r="C3444" s="13" t="inlineStr">
        <is>
          <t>CPR</t>
        </is>
      </c>
      <c r="D3444" s="13" t="n">
        <v>32</v>
      </c>
      <c r="E3444" s="10">
        <f>IF(D3444&gt;0,VLOOKUP(OPERAC[[#This Row],[COD CART]],[1]!MatrizCortoLargoCyl[#All],3,0),"")</f>
        <v/>
      </c>
      <c r="F3444" s="13" t="inlineStr">
        <is>
          <t>COTY/CYL/8,00/24-06-22</t>
        </is>
      </c>
      <c r="G3444" s="6" t="n">
        <v>100</v>
      </c>
      <c r="H3444" s="6">
        <f>-761.606+9.915</f>
        <v/>
      </c>
      <c r="I3444" s="7">
        <f>-H3444/G3444</f>
        <v/>
      </c>
      <c r="J3444" s="11" t="n"/>
      <c r="K3444" s="6" t="n"/>
      <c r="L3444" s="6" t="n"/>
      <c r="M3444" s="7">
        <f>IF(N3444=0,+L3444+H3444,0)</f>
        <v/>
      </c>
      <c r="N3444" s="7">
        <f>IF((+G3444-K3444)=0,0,+G3444-K3444)</f>
        <v/>
      </c>
      <c r="O3444" s="7">
        <f>IF(N3444=0,0,(L3444+H3444)/-N3444)</f>
        <v/>
      </c>
      <c r="P3444" s="7">
        <f>VLOOKUP(OPERAC[[#This Row],[especie]],[1]!ESPECIES[#All],6,0)</f>
        <v/>
      </c>
      <c r="Q3444" s="7">
        <f>IF(N3444&lt;&gt;0,P3444*N3444,0)</f>
        <v/>
      </c>
      <c r="R3444" s="8">
        <f>IF(Q3444&lt;&gt;0,Q3444+H3444+L3444,0)</f>
        <v/>
      </c>
      <c r="S3444" s="9">
        <f>VLOOKUP(OPERAC[[#This Row],[especie]],[1]!ESPECIES[#Data],9,FALSE)</f>
        <v/>
      </c>
    </row>
    <row r="3445">
      <c r="A3445" s="4" t="n">
        <v>12627</v>
      </c>
      <c r="B3445" s="5" t="n">
        <v>44378</v>
      </c>
      <c r="C3445" s="13" t="inlineStr">
        <is>
          <t>CPR</t>
        </is>
      </c>
      <c r="D3445" s="13" t="n">
        <v>32</v>
      </c>
      <c r="E3445" s="10">
        <f>IF(D3445&gt;0,VLOOKUP(OPERAC[[#This Row],[COD CART]],[1]!MatrizCortoLargoCyl[#All],3,0),"")</f>
        <v/>
      </c>
      <c r="F3445" s="13" t="inlineStr">
        <is>
          <t>INO/CYL/8,00/18-02-22</t>
        </is>
      </c>
      <c r="G3445" s="6" t="n">
        <v>100</v>
      </c>
      <c r="H3445" s="6">
        <f>-7.87*OPERAC[[#This Row],[cantidad]]+15.402+14.579+4.707</f>
        <v/>
      </c>
      <c r="I3445" s="7">
        <f>-H3445/G3445</f>
        <v/>
      </c>
      <c r="J3445" s="11" t="n">
        <v>44596</v>
      </c>
      <c r="K3445" s="6" t="n">
        <v>100</v>
      </c>
      <c r="L3445" s="6">
        <f>3.665*OPERAC[[#This Row],[cantidad venta]]</f>
        <v/>
      </c>
      <c r="M3445" s="7">
        <f>IF(N3445=0,+L3445+H3445,0)</f>
        <v/>
      </c>
      <c r="N3445" s="7">
        <f>IF((+G3445-K3445)=0,0,+G3445-K3445)</f>
        <v/>
      </c>
      <c r="O3445" s="7">
        <f>IF(N3445=0,0,(L3445+H3445)/-N3445)</f>
        <v/>
      </c>
      <c r="P3445" s="7">
        <f>VLOOKUP(OPERAC[[#This Row],[especie]],[1]!ESPECIES[#All],6,0)</f>
        <v/>
      </c>
      <c r="Q3445" s="7">
        <f>IF(N3445&lt;&gt;0,P3445*N3445,0)</f>
        <v/>
      </c>
      <c r="R3445" s="8">
        <f>IF(Q3445&lt;&gt;0,Q3445+H3445+L3445,0)</f>
        <v/>
      </c>
      <c r="S3445" s="9">
        <f>VLOOKUP(OPERAC[[#This Row],[especie]],[1]!ESPECIES[#Data],9,FALSE)</f>
        <v/>
      </c>
    </row>
    <row r="3446">
      <c r="A3446" s="4" t="n">
        <v>1792</v>
      </c>
      <c r="B3446" s="5" t="n">
        <v>44558</v>
      </c>
      <c r="C3446" s="13" t="inlineStr">
        <is>
          <t>CPR</t>
        </is>
      </c>
      <c r="D3446" s="13" t="n">
        <v>40</v>
      </c>
      <c r="E3446" s="10">
        <f>IF(D3446&gt;0,VLOOKUP(OPERAC[[#This Row],[COD CART]],[1]!MatrizCortoLargoCyl[#All],3,0),"")</f>
        <v/>
      </c>
      <c r="F3446" s="13" t="inlineStr">
        <is>
          <t>UPST</t>
        </is>
      </c>
      <c r="G3446" s="6" t="n">
        <v>5</v>
      </c>
      <c r="H3446" s="6" t="n">
        <v>-753.001</v>
      </c>
      <c r="I3446" s="7">
        <f>-H3446/G3446</f>
        <v/>
      </c>
      <c r="J3446" s="11" t="n">
        <v>44606</v>
      </c>
      <c r="K3446" s="6">
        <f>+OPERAC[[#This Row],[cantidad]]</f>
        <v/>
      </c>
      <c r="L3446" s="6">
        <f>+OPERAC[[#This Row],[cantidad venta]]*98.994+164.15</f>
        <v/>
      </c>
      <c r="M3446" s="7">
        <f>IF(N3446=0,+L3446+H3446,0)</f>
        <v/>
      </c>
      <c r="N3446" s="7">
        <f>IF((+G3446-K3446)=0,0,+G3446-K3446)</f>
        <v/>
      </c>
      <c r="O3446" s="7">
        <f>IF(N3446=0,0,(L3446+H3446)/-N3446)</f>
        <v/>
      </c>
      <c r="P3446" s="7">
        <f>VLOOKUP(OPERAC[[#This Row],[especie]],[1]!ESPECIES[#All],6,0)</f>
        <v/>
      </c>
      <c r="Q3446" s="7">
        <f>IF(N3446&lt;&gt;0,P3446*N3446,0)</f>
        <v/>
      </c>
      <c r="R3446" s="8">
        <f>IF(Q3446&lt;&gt;0,Q3446+H3446+L3446,0)</f>
        <v/>
      </c>
      <c r="S3446" s="9">
        <f>VLOOKUP(OPERAC[[#This Row],[especie]],[1]!ESPECIES[#Data],9,FALSE)</f>
        <v/>
      </c>
    </row>
    <row r="3447">
      <c r="A3447" s="4" t="n">
        <v>2257</v>
      </c>
      <c r="B3447" s="5" t="n">
        <v>44558</v>
      </c>
      <c r="C3447" s="13" t="inlineStr">
        <is>
          <t>CPR</t>
        </is>
      </c>
      <c r="D3447" s="13" t="n">
        <v>40</v>
      </c>
      <c r="E3447" s="10">
        <f>IF(D3447&gt;0,VLOOKUP(OPERAC[[#This Row],[COD CART]],[1]!MatrizCortoLargoCyl[#All],3,0),"")</f>
        <v/>
      </c>
      <c r="F3447" s="13" t="inlineStr">
        <is>
          <t>UPST</t>
        </is>
      </c>
      <c r="G3447" s="6" t="n">
        <v>5</v>
      </c>
      <c r="H3447" s="6" t="n">
        <v>-753.001</v>
      </c>
      <c r="I3447" s="7">
        <f>-H3447/G3447</f>
        <v/>
      </c>
      <c r="J3447" s="11" t="n">
        <v>44606</v>
      </c>
      <c r="K3447" s="6">
        <f>+OPERAC[[#This Row],[cantidad]]</f>
        <v/>
      </c>
      <c r="L3447" s="6">
        <f>+OPERAC[[#This Row],[cantidad venta]]*98.994</f>
        <v/>
      </c>
      <c r="M3447" s="7">
        <f>IF(N3447=0,+L3447+H3447,0)</f>
        <v/>
      </c>
      <c r="N3447" s="7">
        <f>IF((+G3447-K3447)=0,0,+G3447-K3447)</f>
        <v/>
      </c>
      <c r="O3447" s="7">
        <f>IF(N3447=0,0,(L3447+H3447)/-N3447)</f>
        <v/>
      </c>
      <c r="P3447" s="7">
        <f>VLOOKUP(OPERAC[[#This Row],[especie]],[1]!ESPECIES[#All],6,0)</f>
        <v/>
      </c>
      <c r="Q3447" s="7">
        <f>IF(N3447&lt;&gt;0,P3447*N3447,0)</f>
        <v/>
      </c>
      <c r="R3447" s="8">
        <f>IF(Q3447&lt;&gt;0,Q3447+H3447+L3447,0)</f>
        <v/>
      </c>
      <c r="S3447" s="9">
        <f>VLOOKUP(OPERAC[[#This Row],[especie]],[1]!ESPECIES[#Data],9,FALSE)</f>
        <v/>
      </c>
    </row>
    <row r="3448">
      <c r="A3448" s="4" t="n">
        <v>7914</v>
      </c>
      <c r="B3448" s="5" t="n">
        <v>44558</v>
      </c>
      <c r="C3448" s="13" t="inlineStr">
        <is>
          <t>CPR</t>
        </is>
      </c>
      <c r="D3448" s="13" t="n">
        <v>40</v>
      </c>
      <c r="E3448" s="10">
        <f>IF(D3448&gt;0,VLOOKUP(OPERAC[[#This Row],[COD CART]],[1]!MatrizCortoLargoCyl[#All],3,0),"")</f>
        <v/>
      </c>
      <c r="F3448" s="13" t="inlineStr">
        <is>
          <t>UPST</t>
        </is>
      </c>
      <c r="G3448" s="6" t="n">
        <v>5</v>
      </c>
      <c r="H3448" s="6" t="n">
        <v>-753.001</v>
      </c>
      <c r="I3448" s="7">
        <f>-H3448/G3448</f>
        <v/>
      </c>
      <c r="J3448" s="11" t="n">
        <v>44573</v>
      </c>
      <c r="K3448" s="6" t="n">
        <v>5</v>
      </c>
      <c r="L3448" s="6" t="n">
        <v>625.051</v>
      </c>
      <c r="M3448" s="7">
        <f>IF(N3448=0,+L3448+H3448,0)</f>
        <v/>
      </c>
      <c r="N3448" s="7">
        <f>IF((+G3448-K3448)=0,0,+G3448-K3448)</f>
        <v/>
      </c>
      <c r="O3448" s="7">
        <f>IF(N3448=0,0,(L3448+H3448)/-N3448)</f>
        <v/>
      </c>
      <c r="P3448" s="7">
        <f>VLOOKUP(OPERAC[[#This Row],[especie]],[1]!ESPECIES[#All],6,0)</f>
        <v/>
      </c>
      <c r="Q3448" s="7">
        <f>IF(N3448&lt;&gt;0,P3448*N3448,0)</f>
        <v/>
      </c>
      <c r="R3448" s="8">
        <f>IF(Q3448&lt;&gt;0,Q3448+H3448+L3448,0)</f>
        <v/>
      </c>
      <c r="S3448" s="9">
        <f>VLOOKUP(OPERAC[[#This Row],[especie]],[1]!ESPECIES[#Data],9,FALSE)</f>
        <v/>
      </c>
    </row>
    <row r="3449">
      <c r="A3449" s="4" t="n">
        <v>13180</v>
      </c>
      <c r="B3449" s="5" t="n">
        <v>44558</v>
      </c>
      <c r="C3449" s="13" t="inlineStr">
        <is>
          <t>CPR</t>
        </is>
      </c>
      <c r="D3449" s="13" t="n">
        <v>40</v>
      </c>
      <c r="E3449" s="10">
        <f>IF(D3449&gt;0,VLOOKUP(OPERAC[[#This Row],[COD CART]],[1]!MatrizCortoLargoCyl[#All],3,0),"")</f>
        <v/>
      </c>
      <c r="F3449" s="13" t="inlineStr">
        <is>
          <t>UPST</t>
        </is>
      </c>
      <c r="G3449" s="6" t="n">
        <v>5</v>
      </c>
      <c r="H3449" s="6" t="n">
        <v>-753.001</v>
      </c>
      <c r="I3449" s="7">
        <f>-H3449/G3449</f>
        <v/>
      </c>
      <c r="J3449" s="11" t="n">
        <v>44606</v>
      </c>
      <c r="K3449" s="6">
        <f>+OPERAC[[#This Row],[cantidad]]</f>
        <v/>
      </c>
      <c r="L3449" s="6">
        <f>+OPERAC[[#This Row],[cantidad venta]]*98.994</f>
        <v/>
      </c>
      <c r="M3449" s="7">
        <f>IF(N3449=0,+L3449+H3449,0)</f>
        <v/>
      </c>
      <c r="N3449" s="7">
        <f>IF((+G3449-K3449)=0,0,+G3449-K3449)</f>
        <v/>
      </c>
      <c r="O3449" s="7">
        <f>IF(N3449=0,0,(L3449+H3449)/-N3449)</f>
        <v/>
      </c>
      <c r="P3449" s="7">
        <f>VLOOKUP(OPERAC[[#This Row],[especie]],[1]!ESPECIES[#All],6,0)</f>
        <v/>
      </c>
      <c r="Q3449" s="7">
        <f>IF(N3449&lt;&gt;0,P3449*N3449,0)</f>
        <v/>
      </c>
      <c r="R3449" s="8">
        <f>IF(Q3449&lt;&gt;0,Q3449+H3449+L3449,0)</f>
        <v/>
      </c>
      <c r="S3449" s="9">
        <f>VLOOKUP(OPERAC[[#This Row],[especie]],[1]!ESPECIES[#Data],9,FALSE)</f>
        <v/>
      </c>
    </row>
    <row r="3450">
      <c r="A3450" s="4" t="n">
        <v>13188</v>
      </c>
      <c r="B3450" s="5" t="n">
        <v>44558</v>
      </c>
      <c r="C3450" s="13" t="inlineStr">
        <is>
          <t>CPR</t>
        </is>
      </c>
      <c r="D3450" s="13" t="n">
        <v>40</v>
      </c>
      <c r="E3450" s="10">
        <f>IF(D3450&gt;0,VLOOKUP(OPERAC[[#This Row],[COD CART]],[1]!MatrizCortoLargoCyl[#All],3,0),"")</f>
        <v/>
      </c>
      <c r="F3450" s="13" t="inlineStr">
        <is>
          <t>UPST</t>
        </is>
      </c>
      <c r="G3450" s="6" t="n">
        <v>5</v>
      </c>
      <c r="H3450" s="6" t="n">
        <v>-753.001</v>
      </c>
      <c r="I3450" s="7">
        <f>-H3450/G3450</f>
        <v/>
      </c>
      <c r="J3450" s="11" t="n">
        <v>44606</v>
      </c>
      <c r="K3450" s="6">
        <f>+OPERAC[[#This Row],[cantidad]]</f>
        <v/>
      </c>
      <c r="L3450" s="6">
        <f>+OPERAC[[#This Row],[cantidad venta]]*98.994</f>
        <v/>
      </c>
      <c r="M3450" s="7">
        <f>IF(N3450=0,+L3450+H3450,0)</f>
        <v/>
      </c>
      <c r="N3450" s="7">
        <f>IF((+G3450-K3450)=0,0,+G3450-K3450)</f>
        <v/>
      </c>
      <c r="O3450" s="7">
        <f>IF(N3450=0,0,(L3450+H3450)/-N3450)</f>
        <v/>
      </c>
      <c r="P3450" s="7">
        <f>VLOOKUP(OPERAC[[#This Row],[especie]],[1]!ESPECIES[#All],6,0)</f>
        <v/>
      </c>
      <c r="Q3450" s="7">
        <f>IF(N3450&lt;&gt;0,P3450*N3450,0)</f>
        <v/>
      </c>
      <c r="R3450" s="8">
        <f>IF(Q3450&lt;&gt;0,Q3450+H3450+L3450,0)</f>
        <v/>
      </c>
      <c r="S3450" s="9">
        <f>VLOOKUP(OPERAC[[#This Row],[especie]],[1]!ESPECIES[#Data],9,FALSE)</f>
        <v/>
      </c>
    </row>
    <row r="3451">
      <c r="A3451" s="4" t="n">
        <v>13190</v>
      </c>
      <c r="B3451" s="5" t="n">
        <v>44558</v>
      </c>
      <c r="C3451" s="13" t="inlineStr">
        <is>
          <t>CPR</t>
        </is>
      </c>
      <c r="D3451" s="13" t="n">
        <v>40</v>
      </c>
      <c r="E3451" s="10">
        <f>IF(D3451&gt;0,VLOOKUP(OPERAC[[#This Row],[COD CART]],[1]!MatrizCortoLargoCyl[#All],3,0),"")</f>
        <v/>
      </c>
      <c r="F3451" s="13" t="inlineStr">
        <is>
          <t>UPST</t>
        </is>
      </c>
      <c r="G3451" s="6" t="n">
        <v>5</v>
      </c>
      <c r="H3451" s="6" t="n">
        <v>-753.001</v>
      </c>
      <c r="I3451" s="7">
        <f>-H3451/G3451</f>
        <v/>
      </c>
      <c r="J3451" s="11" t="n">
        <v>44580</v>
      </c>
      <c r="K3451" s="6" t="n">
        <v>5</v>
      </c>
      <c r="L3451" s="6" t="n">
        <v>539.045</v>
      </c>
      <c r="M3451" s="7">
        <f>IF(N3451=0,+L3451+H3451,0)</f>
        <v/>
      </c>
      <c r="N3451" s="7">
        <f>IF((+G3451-K3451)=0,0,+G3451-K3451)</f>
        <v/>
      </c>
      <c r="O3451" s="7">
        <f>IF(N3451=0,0,(L3451+H3451)/-N3451)</f>
        <v/>
      </c>
      <c r="P3451" s="7">
        <f>VLOOKUP(OPERAC[[#This Row],[especie]],[1]!ESPECIES[#All],6,0)</f>
        <v/>
      </c>
      <c r="Q3451" s="7">
        <f>IF(N3451&lt;&gt;0,P3451*N3451,0)</f>
        <v/>
      </c>
      <c r="R3451" s="8">
        <f>IF(Q3451&lt;&gt;0,Q3451+H3451+L3451,0)</f>
        <v/>
      </c>
      <c r="S3451" s="9">
        <f>VLOOKUP(OPERAC[[#This Row],[especie]],[1]!ESPECIES[#Data],9,FALSE)</f>
        <v/>
      </c>
    </row>
    <row r="3452">
      <c r="A3452" s="4" t="n">
        <v>22407</v>
      </c>
      <c r="B3452" s="5" t="n">
        <v>44558</v>
      </c>
      <c r="C3452" s="13" t="inlineStr">
        <is>
          <t>CPR</t>
        </is>
      </c>
      <c r="D3452" s="13" t="n">
        <v>40</v>
      </c>
      <c r="E3452" s="10">
        <f>IF(D3452&gt;0,VLOOKUP(OPERAC[[#This Row],[COD CART]],[1]!MatrizCortoLargoCyl[#All],3,0),"")</f>
        <v/>
      </c>
      <c r="F3452" s="13" t="inlineStr">
        <is>
          <t>UPST</t>
        </is>
      </c>
      <c r="G3452" s="6" t="n">
        <v>5</v>
      </c>
      <c r="H3452" s="6" t="n">
        <v>-753.001</v>
      </c>
      <c r="I3452" s="7">
        <f>-H3452/G3452</f>
        <v/>
      </c>
      <c r="J3452" s="11" t="n">
        <v>44606</v>
      </c>
      <c r="K3452" s="6">
        <f>+OPERAC[[#This Row],[cantidad]]</f>
        <v/>
      </c>
      <c r="L3452" s="6">
        <f>+OPERAC[[#This Row],[cantidad venta]]*98.994</f>
        <v/>
      </c>
      <c r="M3452" s="7">
        <f>IF(N3452=0,+L3452+H3452,0)</f>
        <v/>
      </c>
      <c r="N3452" s="7">
        <f>IF((+G3452-K3452)=0,0,+G3452-K3452)</f>
        <v/>
      </c>
      <c r="O3452" s="7">
        <f>IF(N3452=0,0,(L3452+H3452)/-N3452)</f>
        <v/>
      </c>
      <c r="P3452" s="7">
        <f>VLOOKUP(OPERAC[[#This Row],[especie]],[1]!ESPECIES[#All],6,0)</f>
        <v/>
      </c>
      <c r="Q3452" s="7">
        <f>IF(N3452&lt;&gt;0,P3452*N3452,0)</f>
        <v/>
      </c>
      <c r="R3452" s="8">
        <f>IF(Q3452&lt;&gt;0,Q3452+H3452+L3452,0)</f>
        <v/>
      </c>
      <c r="S3452" s="9">
        <f>VLOOKUP(OPERAC[[#This Row],[especie]],[1]!ESPECIES[#Data],9,FALSE)</f>
        <v/>
      </c>
    </row>
    <row r="3453">
      <c r="A3453" s="4" t="n">
        <v>22431</v>
      </c>
      <c r="B3453" s="5" t="n">
        <v>44558</v>
      </c>
      <c r="C3453" s="13" t="inlineStr">
        <is>
          <t>CPR</t>
        </is>
      </c>
      <c r="D3453" s="13" t="n">
        <v>40</v>
      </c>
      <c r="E3453" s="10">
        <f>IF(D3453&gt;0,VLOOKUP(OPERAC[[#This Row],[COD CART]],[1]!MatrizCortoLargoCyl[#All],3,0),"")</f>
        <v/>
      </c>
      <c r="F3453" s="13" t="inlineStr">
        <is>
          <t>UPST</t>
        </is>
      </c>
      <c r="G3453" s="6" t="n">
        <v>5</v>
      </c>
      <c r="H3453" s="6" t="n">
        <v>-753.001</v>
      </c>
      <c r="I3453" s="7">
        <f>-H3453/G3453</f>
        <v/>
      </c>
      <c r="J3453" s="11" t="n">
        <v>44606</v>
      </c>
      <c r="K3453" s="6">
        <f>+OPERAC[[#This Row],[cantidad]]</f>
        <v/>
      </c>
      <c r="L3453" s="6">
        <f>+OPERAC[[#This Row],[cantidad venta]]*98.994</f>
        <v/>
      </c>
      <c r="M3453" s="7">
        <f>IF(N3453=0,+L3453+H3453,0)</f>
        <v/>
      </c>
      <c r="N3453" s="7">
        <f>IF((+G3453-K3453)=0,0,+G3453-K3453)</f>
        <v/>
      </c>
      <c r="O3453" s="7">
        <f>IF(N3453=0,0,(L3453+H3453)/-N3453)</f>
        <v/>
      </c>
      <c r="P3453" s="7">
        <f>VLOOKUP(OPERAC[[#This Row],[especie]],[1]!ESPECIES[#All],6,0)</f>
        <v/>
      </c>
      <c r="Q3453" s="7">
        <f>IF(N3453&lt;&gt;0,P3453*N3453,0)</f>
        <v/>
      </c>
      <c r="R3453" s="8">
        <f>IF(Q3453&lt;&gt;0,Q3453+H3453+L3453,0)</f>
        <v/>
      </c>
      <c r="S3453" s="9">
        <f>VLOOKUP(OPERAC[[#This Row],[especie]],[1]!ESPECIES[#Data],9,FALSE)</f>
        <v/>
      </c>
    </row>
    <row r="3454">
      <c r="A3454" s="4" t="n">
        <v>25070</v>
      </c>
      <c r="B3454" s="5" t="n">
        <v>44558</v>
      </c>
      <c r="C3454" s="13" t="inlineStr">
        <is>
          <t>CPR</t>
        </is>
      </c>
      <c r="D3454" s="13" t="n">
        <v>40</v>
      </c>
      <c r="E3454" s="10">
        <f>IF(D3454&gt;0,VLOOKUP(OPERAC[[#This Row],[COD CART]],[1]!MatrizCortoLargoCyl[#All],3,0),"")</f>
        <v/>
      </c>
      <c r="F3454" s="13" t="inlineStr">
        <is>
          <t>UPST</t>
        </is>
      </c>
      <c r="G3454" s="6" t="n">
        <v>5</v>
      </c>
      <c r="H3454" s="6" t="n">
        <v>-753.001</v>
      </c>
      <c r="I3454" s="7">
        <f>-H3454/G3454</f>
        <v/>
      </c>
      <c r="J3454" s="11" t="n">
        <v>44606</v>
      </c>
      <c r="K3454" s="6">
        <f>+OPERAC[[#This Row],[cantidad]]</f>
        <v/>
      </c>
      <c r="L3454" s="6">
        <f>+OPERAC[[#This Row],[cantidad venta]]*98.994</f>
        <v/>
      </c>
      <c r="M3454" s="7">
        <f>IF(N3454=0,+L3454+H3454,0)</f>
        <v/>
      </c>
      <c r="N3454" s="7">
        <f>IF((+G3454-K3454)=0,0,+G3454-K3454)</f>
        <v/>
      </c>
      <c r="O3454" s="7">
        <f>IF(N3454=0,0,(L3454+H3454)/-N3454)</f>
        <v/>
      </c>
      <c r="P3454" s="7">
        <f>VLOOKUP(OPERAC[[#This Row],[especie]],[1]!ESPECIES[#All],6,0)</f>
        <v/>
      </c>
      <c r="Q3454" s="7">
        <f>IF(N3454&lt;&gt;0,P3454*N3454,0)</f>
        <v/>
      </c>
      <c r="R3454" s="8">
        <f>IF(Q3454&lt;&gt;0,Q3454+H3454+L3454,0)</f>
        <v/>
      </c>
      <c r="S3454" s="9">
        <f>VLOOKUP(OPERAC[[#This Row],[especie]],[1]!ESPECIES[#Data],9,FALSE)</f>
        <v/>
      </c>
    </row>
    <row r="3455">
      <c r="A3455" s="4" t="n">
        <v>1779</v>
      </c>
      <c r="B3455" s="5" t="n">
        <v>44629</v>
      </c>
      <c r="C3455" s="13" t="inlineStr">
        <is>
          <t>CPR</t>
        </is>
      </c>
      <c r="D3455" s="13" t="n">
        <v>32</v>
      </c>
      <c r="E3455" s="10">
        <f>IF(D3455&gt;0,VLOOKUP(OPERAC[[#This Row],[COD CART]],[1]!MatrizCortoLargoCyl[#All],3,0),"")</f>
        <v/>
      </c>
      <c r="F3455" s="13" t="inlineStr">
        <is>
          <t>COTY/CYL/8,00/14-04-22</t>
        </is>
      </c>
      <c r="G3455" s="6" t="n">
        <v>100</v>
      </c>
      <c r="H3455" s="6" t="n">
        <v>-753.72</v>
      </c>
      <c r="I3455" s="7">
        <f>-H3455/G3455</f>
        <v/>
      </c>
      <c r="J3455" s="11" t="n">
        <v>44643</v>
      </c>
      <c r="K3455" s="6" t="n">
        <v>100</v>
      </c>
      <c r="L3455" s="6" t="n">
        <v>779.3200000000001</v>
      </c>
      <c r="M3455" s="7">
        <f>IF(N3455=0,+L3455+H3455,0)</f>
        <v/>
      </c>
      <c r="N3455" s="7">
        <f>IF((+G3455-K3455)=0,0,+G3455-K3455)</f>
        <v/>
      </c>
      <c r="O3455" s="7">
        <f>IF(N3455=0,0,(L3455+H3455)/-N3455)</f>
        <v/>
      </c>
      <c r="P3455" s="7">
        <f>VLOOKUP(OPERAC[[#This Row],[especie]],[1]!ESPECIES[#All],6,0)</f>
        <v/>
      </c>
      <c r="Q3455" s="7">
        <f>IF(N3455&lt;&gt;0,P3455*N3455,0)</f>
        <v/>
      </c>
      <c r="R3455" s="8">
        <f>IF(Q3455&lt;&gt;0,Q3455+H3455+L3455,0)</f>
        <v/>
      </c>
      <c r="S3455" s="9">
        <f>VLOOKUP(OPERAC[[#This Row],[especie]],[1]!ESPECIES[#Data],9,FALSE)</f>
        <v/>
      </c>
    </row>
    <row r="3456">
      <c r="A3456" s="4" t="n">
        <v>16824</v>
      </c>
      <c r="B3456" s="5" t="n">
        <v>44489</v>
      </c>
      <c r="C3456" s="13" t="inlineStr">
        <is>
          <t>CPR</t>
        </is>
      </c>
      <c r="D3456" s="13" t="n">
        <v>43</v>
      </c>
      <c r="E3456" s="10">
        <f>IF(D3456&gt;0,VLOOKUP(OPERAC[[#This Row],[COD CART]],[1]!MatrizCortoLargoCyl[#All],3,0),"")</f>
        <v/>
      </c>
      <c r="F3456" s="13" t="inlineStr">
        <is>
          <t>SESN/CYL-PUT/1,00/19-01-24</t>
        </is>
      </c>
      <c r="G3456" s="6" t="n">
        <v>4000</v>
      </c>
      <c r="H3456" s="6">
        <f>-0.1885*OPERAC[[#This Row],[cantidad]]</f>
        <v/>
      </c>
      <c r="I3456" s="7">
        <f>-H3456/G3456</f>
        <v/>
      </c>
      <c r="J3456" s="11" t="n"/>
      <c r="K3456" s="6" t="n"/>
      <c r="L3456" s="6" t="n"/>
      <c r="M3456" s="7">
        <f>IF(N3456=0,+L3456+H3456,0)</f>
        <v/>
      </c>
      <c r="N3456" s="7">
        <f>IF((+G3456-K3456)=0,0,+G3456-K3456)</f>
        <v/>
      </c>
      <c r="O3456" s="7">
        <f>IF(N3456=0,0,(L3456+H3456)/-N3456)</f>
        <v/>
      </c>
      <c r="P3456" s="7">
        <f>VLOOKUP(OPERAC[[#This Row],[especie]],[1]!ESPECIES[#All],6,0)</f>
        <v/>
      </c>
      <c r="Q3456" s="7">
        <f>IF(N3456&lt;&gt;0,P3456*N3456,0)</f>
        <v/>
      </c>
      <c r="R3456" s="8">
        <f>IF(Q3456&lt;&gt;0,Q3456+H3456+L3456,0)</f>
        <v/>
      </c>
      <c r="S3456" s="9">
        <f>VLOOKUP(OPERAC[[#This Row],[especie]],[1]!ESPECIES[#Data],9,FALSE)</f>
        <v/>
      </c>
    </row>
    <row r="3457">
      <c r="A3457" s="4" t="n">
        <v>2194</v>
      </c>
      <c r="B3457" s="5" t="n">
        <v>44538</v>
      </c>
      <c r="C3457" s="13" t="inlineStr">
        <is>
          <t>CPR</t>
        </is>
      </c>
      <c r="D3457" s="13" t="n">
        <v>43</v>
      </c>
      <c r="E3457" s="10">
        <f>IF(D3457&gt;0,VLOOKUP(OPERAC[[#This Row],[COD CART]],[1]!MatrizCortoLargoCyl[#All],3,0),"")</f>
        <v/>
      </c>
      <c r="F3457" s="13" t="inlineStr">
        <is>
          <t>HEXO/CYL-PUT/1,00/20-01-23</t>
        </is>
      </c>
      <c r="G3457" s="6" t="n">
        <v>4000</v>
      </c>
      <c r="H3457" s="6">
        <f>-0.1886*OPERAC[[#This Row],[cantidad]]</f>
        <v/>
      </c>
      <c r="I3457" s="7">
        <f>-H3457/G3457</f>
        <v/>
      </c>
      <c r="J3457" s="11" t="n">
        <v>44691</v>
      </c>
      <c r="K3457" s="6" t="n">
        <v>4000</v>
      </c>
      <c r="L3457" s="6" t="n">
        <v>-2407.88</v>
      </c>
      <c r="M3457" s="7">
        <f>IF(N3457=0,+L3457+H3457,0)</f>
        <v/>
      </c>
      <c r="N3457" s="7">
        <f>IF((+G3457-K3457)=0,0,+G3457-K3457)</f>
        <v/>
      </c>
      <c r="O3457" s="7">
        <f>IF(N3457=0,0,(L3457+H3457)/-N3457)</f>
        <v/>
      </c>
      <c r="P3457" s="7">
        <f>VLOOKUP(OPERAC[[#This Row],[especie]],[1]!ESPECIES[#All],6,0)</f>
        <v/>
      </c>
      <c r="Q3457" s="7">
        <f>IF(N3457&lt;&gt;0,P3457*N3457,0)</f>
        <v/>
      </c>
      <c r="R3457" s="8">
        <f>IF(Q3457&lt;&gt;0,Q3457+H3457+L3457,0)</f>
        <v/>
      </c>
      <c r="S3457" s="9">
        <f>VLOOKUP(OPERAC[[#This Row],[especie]],[1]!ESPECIES[#Data],9,FALSE)</f>
        <v/>
      </c>
    </row>
    <row r="3458">
      <c r="A3458" s="4" t="n">
        <v>19878</v>
      </c>
      <c r="B3458" s="5" t="n">
        <v>44698</v>
      </c>
      <c r="C3458" s="13" t="inlineStr">
        <is>
          <t>CPR</t>
        </is>
      </c>
      <c r="D3458" s="13" t="n">
        <v>39</v>
      </c>
      <c r="E3458" s="10">
        <f>IF(D3458&gt;0,VLOOKUP(OPERAC[[#This Row],[COD CART]],[1]!MatrizCortoLargoCyl[#All],3,0),"")</f>
        <v/>
      </c>
      <c r="F3458" s="13" t="inlineStr">
        <is>
          <t>NTLA/C/65,00/15-07-22</t>
        </is>
      </c>
      <c r="G3458" s="6" t="n">
        <v>300</v>
      </c>
      <c r="H3458" s="6" t="n">
        <v>-754.875</v>
      </c>
      <c r="I3458" s="7">
        <f>-H3458/G3458</f>
        <v/>
      </c>
      <c r="J3458" s="11" t="n"/>
      <c r="K3458" s="6" t="n"/>
      <c r="L3458" s="6" t="n"/>
      <c r="M3458" s="7">
        <f>IF(N3458=0,+L3458+H3458,0)</f>
        <v/>
      </c>
      <c r="N3458" s="7">
        <f>IF((+G3458-K3458)=0,0,+G3458-K3458)</f>
        <v/>
      </c>
      <c r="O3458" s="7">
        <f>IF(N3458=0,0,(L3458+H3458)/-N3458)</f>
        <v/>
      </c>
      <c r="P3458" s="7">
        <f>VLOOKUP(OPERAC[[#This Row],[especie]],[1]!ESPECIES[#All],6,0)</f>
        <v/>
      </c>
      <c r="Q3458" s="7">
        <f>IF(N3458&lt;&gt;0,P3458*N3458,0)</f>
        <v/>
      </c>
      <c r="R3458" s="8">
        <f>IF(Q3458&lt;&gt;0,Q3458+H3458+L3458,0)</f>
        <v/>
      </c>
      <c r="S3458" s="9">
        <f>VLOOKUP(OPERAC[[#This Row],[especie]],[1]!ESPECIES[#Data],9,FALSE)</f>
        <v/>
      </c>
    </row>
    <row r="3459">
      <c r="A3459" s="4" t="n">
        <v>26146</v>
      </c>
      <c r="B3459" s="5" t="n">
        <v>44659</v>
      </c>
      <c r="C3459" s="13" t="inlineStr">
        <is>
          <t>CPR</t>
        </is>
      </c>
      <c r="D3459" s="13" t="n">
        <v>42</v>
      </c>
      <c r="E3459" s="10">
        <f>IF(D3459&gt;0,VLOOKUP(OPERAC[[#This Row],[COD CART]],[1]!MatrizCortoLargoCyl[#All],3,0),"")</f>
        <v/>
      </c>
      <c r="F3459" s="13" t="inlineStr">
        <is>
          <t>SMH</t>
        </is>
      </c>
      <c r="G3459" s="6" t="n">
        <v>3</v>
      </c>
      <c r="H3459" s="6" t="n">
        <v>-755.548</v>
      </c>
      <c r="I3459" s="7">
        <f>-H3459/G3459</f>
        <v/>
      </c>
      <c r="J3459" s="11" t="n">
        <v>44663</v>
      </c>
      <c r="K3459" s="6">
        <f>+OPERAC[[#This Row],[cantidad]]</f>
        <v/>
      </c>
      <c r="L3459" s="6">
        <f>+OPERAC[[#This Row],[cantidad venta]]*238.066</f>
        <v/>
      </c>
      <c r="M3459" s="7">
        <f>IF(N3459=0,+L3459+H3459,0)</f>
        <v/>
      </c>
      <c r="N3459" s="7">
        <f>IF((+G3459-K3459)=0,0,+G3459-K3459)</f>
        <v/>
      </c>
      <c r="O3459" s="7">
        <f>IF(N3459=0,0,(L3459+H3459)/-N3459)</f>
        <v/>
      </c>
      <c r="P3459" s="7">
        <f>VLOOKUP(OPERAC[[#This Row],[especie]],[1]!ESPECIES[#All],6,0)</f>
        <v/>
      </c>
      <c r="Q3459" s="7">
        <f>IF(N3459&lt;&gt;0,P3459*N3459,0)</f>
        <v/>
      </c>
      <c r="R3459" s="8">
        <f>IF(Q3459&lt;&gt;0,Q3459+H3459+L3459,0)</f>
        <v/>
      </c>
      <c r="S3459" s="9">
        <f>VLOOKUP(OPERAC[[#This Row],[especie]],[1]!ESPECIES[#Data],9,FALSE)</f>
        <v/>
      </c>
    </row>
    <row r="3460">
      <c r="A3460" s="4" t="n">
        <v>26138</v>
      </c>
      <c r="B3460" s="5" t="n">
        <v>44698</v>
      </c>
      <c r="C3460" s="13" t="inlineStr">
        <is>
          <t>CPR</t>
        </is>
      </c>
      <c r="D3460" s="13" t="n">
        <v>39</v>
      </c>
      <c r="E3460" s="10">
        <f>IF(D3460&gt;0,VLOOKUP(OPERAC[[#This Row],[COD CART]],[1]!MatrizCortoLargoCyl[#All],3,0),"")</f>
        <v/>
      </c>
      <c r="F3460" s="13" t="inlineStr">
        <is>
          <t>NTLA/C/65,00/15-07-22</t>
        </is>
      </c>
      <c r="G3460" s="6" t="n">
        <v>300</v>
      </c>
      <c r="H3460" s="6" t="n">
        <v>-756.375</v>
      </c>
      <c r="I3460" s="7">
        <f>-H3460/G3460</f>
        <v/>
      </c>
      <c r="J3460" s="11" t="n"/>
      <c r="K3460" s="6" t="n"/>
      <c r="L3460" s="6" t="n"/>
      <c r="M3460" s="7">
        <f>IF(N3460=0,+L3460+H3460,0)</f>
        <v/>
      </c>
      <c r="N3460" s="7">
        <f>IF((+G3460-K3460)=0,0,+G3460-K3460)</f>
        <v/>
      </c>
      <c r="O3460" s="7">
        <f>IF(N3460=0,0,(L3460+H3460)/-N3460)</f>
        <v/>
      </c>
      <c r="P3460" s="7">
        <f>VLOOKUP(OPERAC[[#This Row],[especie]],[1]!ESPECIES[#All],6,0)</f>
        <v/>
      </c>
      <c r="Q3460" s="7">
        <f>IF(N3460&lt;&gt;0,P3460*N3460,0)</f>
        <v/>
      </c>
      <c r="R3460" s="8">
        <f>IF(Q3460&lt;&gt;0,Q3460+H3460+L3460,0)</f>
        <v/>
      </c>
      <c r="S3460" s="9">
        <f>VLOOKUP(OPERAC[[#This Row],[especie]],[1]!ESPECIES[#Data],9,FALSE)</f>
        <v/>
      </c>
    </row>
    <row r="3461">
      <c r="A3461" s="4" t="n">
        <v>19867</v>
      </c>
      <c r="B3461" s="5" t="n">
        <v>44698</v>
      </c>
      <c r="C3461" s="13" t="inlineStr">
        <is>
          <t>CPR</t>
        </is>
      </c>
      <c r="D3461" s="13" t="n">
        <v>39</v>
      </c>
      <c r="E3461" s="10">
        <f>IF(D3461&gt;0,VLOOKUP(OPERAC[[#This Row],[COD CART]],[1]!MatrizCortoLargoCyl[#All],3,0),"")</f>
        <v/>
      </c>
      <c r="F3461" s="13" t="inlineStr">
        <is>
          <t>NTLA/C/65,00/15-07-22</t>
        </is>
      </c>
      <c r="G3461" s="6" t="n">
        <v>300</v>
      </c>
      <c r="H3461" s="6" t="n">
        <v>-756.375</v>
      </c>
      <c r="I3461" s="7">
        <f>-H3461/G3461</f>
        <v/>
      </c>
      <c r="J3461" s="11" t="n"/>
      <c r="K3461" s="6" t="n"/>
      <c r="L3461" s="6" t="n"/>
      <c r="M3461" s="7">
        <f>IF(N3461=0,+L3461+H3461,0)</f>
        <v/>
      </c>
      <c r="N3461" s="7">
        <f>IF((+G3461-K3461)=0,0,+G3461-K3461)</f>
        <v/>
      </c>
      <c r="O3461" s="7">
        <f>IF(N3461=0,0,(L3461+H3461)/-N3461)</f>
        <v/>
      </c>
      <c r="P3461" s="7">
        <f>VLOOKUP(OPERAC[[#This Row],[especie]],[1]!ESPECIES[#All],6,0)</f>
        <v/>
      </c>
      <c r="Q3461" s="7">
        <f>IF(N3461&lt;&gt;0,P3461*N3461,0)</f>
        <v/>
      </c>
      <c r="R3461" s="8">
        <f>IF(Q3461&lt;&gt;0,Q3461+H3461+L3461,0)</f>
        <v/>
      </c>
      <c r="S3461" s="9">
        <f>VLOOKUP(OPERAC[[#This Row],[especie]],[1]!ESPECIES[#Data],9,FALSE)</f>
        <v/>
      </c>
    </row>
    <row r="3462">
      <c r="A3462" s="4" t="n">
        <v>18724</v>
      </c>
      <c r="B3462" s="5" t="n">
        <v>44698</v>
      </c>
      <c r="C3462" s="13" t="inlineStr">
        <is>
          <t>CPR</t>
        </is>
      </c>
      <c r="D3462" s="13" t="n">
        <v>39</v>
      </c>
      <c r="E3462" s="10">
        <f>IF(D3462&gt;0,VLOOKUP(OPERAC[[#This Row],[COD CART]],[1]!MatrizCortoLargoCyl[#All],3,0),"")</f>
        <v/>
      </c>
      <c r="F3462" s="13" t="inlineStr">
        <is>
          <t>NTLA/C/65,00/15-07-22</t>
        </is>
      </c>
      <c r="G3462" s="6" t="n">
        <v>300</v>
      </c>
      <c r="H3462" s="6" t="n">
        <v>-756.375</v>
      </c>
      <c r="I3462" s="7">
        <f>-H3462/G3462</f>
        <v/>
      </c>
      <c r="J3462" s="11" t="n"/>
      <c r="K3462" s="6" t="n"/>
      <c r="L3462" s="6" t="n"/>
      <c r="M3462" s="7">
        <f>IF(N3462=0,+L3462+H3462,0)</f>
        <v/>
      </c>
      <c r="N3462" s="7">
        <f>IF((+G3462-K3462)=0,0,+G3462-K3462)</f>
        <v/>
      </c>
      <c r="O3462" s="7">
        <f>IF(N3462=0,0,(L3462+H3462)/-N3462)</f>
        <v/>
      </c>
      <c r="P3462" s="7">
        <f>VLOOKUP(OPERAC[[#This Row],[especie]],[1]!ESPECIES[#All],6,0)</f>
        <v/>
      </c>
      <c r="Q3462" s="7">
        <f>IF(N3462&lt;&gt;0,P3462*N3462,0)</f>
        <v/>
      </c>
      <c r="R3462" s="8">
        <f>IF(Q3462&lt;&gt;0,Q3462+H3462+L3462,0)</f>
        <v/>
      </c>
      <c r="S3462" s="9">
        <f>VLOOKUP(OPERAC[[#This Row],[especie]],[1]!ESPECIES[#Data],9,FALSE)</f>
        <v/>
      </c>
    </row>
    <row r="3463">
      <c r="A3463" s="4" t="n">
        <v>13185</v>
      </c>
      <c r="B3463" s="5" t="n">
        <v>44698</v>
      </c>
      <c r="C3463" s="13" t="inlineStr">
        <is>
          <t>CPR</t>
        </is>
      </c>
      <c r="D3463" s="13" t="n">
        <v>39</v>
      </c>
      <c r="E3463" s="10">
        <f>IF(D3463&gt;0,VLOOKUP(OPERAC[[#This Row],[COD CART]],[1]!MatrizCortoLargoCyl[#All],3,0),"")</f>
        <v/>
      </c>
      <c r="F3463" s="13" t="inlineStr">
        <is>
          <t>NTLA/C/65,00/15-07-22</t>
        </is>
      </c>
      <c r="G3463" s="6" t="n">
        <v>300</v>
      </c>
      <c r="H3463" s="6" t="n">
        <v>-756.375</v>
      </c>
      <c r="I3463" s="7">
        <f>-H3463/G3463</f>
        <v/>
      </c>
      <c r="J3463" s="11" t="n"/>
      <c r="K3463" s="6" t="n"/>
      <c r="L3463" s="6" t="n"/>
      <c r="M3463" s="7">
        <f>IF(N3463=0,+L3463+H3463,0)</f>
        <v/>
      </c>
      <c r="N3463" s="7">
        <f>IF((+G3463-K3463)=0,0,+G3463-K3463)</f>
        <v/>
      </c>
      <c r="O3463" s="7">
        <f>IF(N3463=0,0,(L3463+H3463)/-N3463)</f>
        <v/>
      </c>
      <c r="P3463" s="7">
        <f>VLOOKUP(OPERAC[[#This Row],[especie]],[1]!ESPECIES[#All],6,0)</f>
        <v/>
      </c>
      <c r="Q3463" s="7">
        <f>IF(N3463&lt;&gt;0,P3463*N3463,0)</f>
        <v/>
      </c>
      <c r="R3463" s="8">
        <f>IF(Q3463&lt;&gt;0,Q3463+H3463+L3463,0)</f>
        <v/>
      </c>
      <c r="S3463" s="9">
        <f>VLOOKUP(OPERAC[[#This Row],[especie]],[1]!ESPECIES[#Data],9,FALSE)</f>
        <v/>
      </c>
    </row>
    <row r="3464">
      <c r="A3464" s="4" t="n">
        <v>2289</v>
      </c>
      <c r="B3464" s="5" t="n">
        <v>44720</v>
      </c>
      <c r="C3464" s="13" t="inlineStr">
        <is>
          <t>CPR</t>
        </is>
      </c>
      <c r="D3464" s="13" t="n">
        <v>42</v>
      </c>
      <c r="E3464" s="10">
        <f>IF(D3464&gt;0,VLOOKUP(OPERAC[[#This Row],[COD CART]],[1]!MatrizCortoLargoCyl[#All],3,0),"")</f>
        <v/>
      </c>
      <c r="F3464" s="13" t="inlineStr">
        <is>
          <t>HYDR</t>
        </is>
      </c>
      <c r="G3464" s="6" t="n">
        <v>50</v>
      </c>
      <c r="H3464" s="6" t="n">
        <v>-756.375</v>
      </c>
      <c r="I3464" s="7">
        <f>-H3464/G3464</f>
        <v/>
      </c>
      <c r="J3464" s="5" t="n"/>
      <c r="K3464" s="6" t="n"/>
      <c r="L3464" s="6" t="n"/>
      <c r="M3464" s="7">
        <f>IF(N3464=0,+L3464+H3464,0)</f>
        <v/>
      </c>
      <c r="N3464" s="7">
        <f>IF((+G3464-K3464)=0,0,+G3464-K3464)</f>
        <v/>
      </c>
      <c r="O3464" s="7">
        <f>IF(N3464=0,0,(L3464+H3464)/-N3464)</f>
        <v/>
      </c>
      <c r="P3464" s="7">
        <f>VLOOKUP(OPERAC[[#This Row],[especie]],[1]!ESPECIES[#All],6,0)</f>
        <v/>
      </c>
      <c r="Q3464" s="7">
        <f>IF(N3464&lt;&gt;0,P3464*N3464,0)</f>
        <v/>
      </c>
      <c r="R3464" s="8">
        <f>IF(Q3464&lt;&gt;0,Q3464+H3464+L3464,0)</f>
        <v/>
      </c>
      <c r="S3464" s="9">
        <f>VLOOKUP(OPERAC[[#This Row],[especie]],[1]!ESPECIES[#Data],9,FALSE)</f>
        <v/>
      </c>
    </row>
    <row r="3465">
      <c r="A3465" s="4" t="n">
        <v>13269</v>
      </c>
      <c r="B3465" s="5" t="n">
        <v>44720</v>
      </c>
      <c r="C3465" s="13" t="inlineStr">
        <is>
          <t>CPR</t>
        </is>
      </c>
      <c r="D3465" s="13" t="n">
        <v>42</v>
      </c>
      <c r="E3465" s="10">
        <f>IF(D3465&gt;0,VLOOKUP(OPERAC[[#This Row],[COD CART]],[1]!MatrizCortoLargoCyl[#All],3,0),"")</f>
        <v/>
      </c>
      <c r="F3465" s="13" t="inlineStr">
        <is>
          <t>HYDR</t>
        </is>
      </c>
      <c r="G3465" s="6" t="n">
        <v>50</v>
      </c>
      <c r="H3465" s="6" t="n">
        <v>-756.375</v>
      </c>
      <c r="I3465" s="7">
        <f>-H3465/G3465</f>
        <v/>
      </c>
      <c r="J3465" s="5" t="n"/>
      <c r="K3465" s="6" t="n"/>
      <c r="L3465" s="6" t="n"/>
      <c r="M3465" s="7">
        <f>IF(N3465=0,+L3465+H3465,0)</f>
        <v/>
      </c>
      <c r="N3465" s="7">
        <f>IF((+G3465-K3465)=0,0,+G3465-K3465)</f>
        <v/>
      </c>
      <c r="O3465" s="7">
        <f>IF(N3465=0,0,(L3465+H3465)/-N3465)</f>
        <v/>
      </c>
      <c r="P3465" s="7">
        <f>VLOOKUP(OPERAC[[#This Row],[especie]],[1]!ESPECIES[#All],6,0)</f>
        <v/>
      </c>
      <c r="Q3465" s="7">
        <f>IF(N3465&lt;&gt;0,P3465*N3465,0)</f>
        <v/>
      </c>
      <c r="R3465" s="8">
        <f>IF(Q3465&lt;&gt;0,Q3465+H3465+L3465,0)</f>
        <v/>
      </c>
      <c r="S3465" s="9">
        <f>VLOOKUP(OPERAC[[#This Row],[especie]],[1]!ESPECIES[#Data],9,FALSE)</f>
        <v/>
      </c>
    </row>
    <row r="3466">
      <c r="A3466" s="4" t="n">
        <v>3832</v>
      </c>
      <c r="B3466" s="5" t="n">
        <v>44671</v>
      </c>
      <c r="C3466" s="13" t="inlineStr">
        <is>
          <t>CPR</t>
        </is>
      </c>
      <c r="D3466" s="13" t="n">
        <v>42</v>
      </c>
      <c r="E3466" s="10">
        <f>IF(D3466&gt;0,VLOOKUP(OPERAC[[#This Row],[COD CART]],[1]!MatrizCortoLargoCyl[#All],3,0),"")</f>
        <v/>
      </c>
      <c r="F3466" s="13" t="inlineStr">
        <is>
          <t>NFLX</t>
        </is>
      </c>
      <c r="G3466" s="6" t="n">
        <v>3</v>
      </c>
      <c r="H3466" s="6" t="n">
        <v>-757.83708</v>
      </c>
      <c r="I3466" s="7">
        <f>-H3466/G3466</f>
        <v/>
      </c>
      <c r="J3466" s="11" t="n"/>
      <c r="K3466" s="6" t="n"/>
      <c r="L3466" s="6" t="n"/>
      <c r="M3466" s="7">
        <f>IF(N3466=0,+L3466+H3466,0)</f>
        <v/>
      </c>
      <c r="N3466" s="7">
        <f>IF((+G3466-K3466)=0,0,+G3466-K3466)</f>
        <v/>
      </c>
      <c r="O3466" s="7">
        <f>IF(N3466=0,0,(L3466+H3466)/-N3466)</f>
        <v/>
      </c>
      <c r="P3466" s="7">
        <f>VLOOKUP(OPERAC[[#This Row],[especie]],[1]!ESPECIES[#All],6,0)</f>
        <v/>
      </c>
      <c r="Q3466" s="7">
        <f>IF(N3466&lt;&gt;0,P3466*N3466,0)</f>
        <v/>
      </c>
      <c r="R3466" s="8">
        <f>IF(Q3466&lt;&gt;0,Q3466+H3466+L3466,0)</f>
        <v/>
      </c>
      <c r="S3466" s="9">
        <f>VLOOKUP(OPERAC[[#This Row],[especie]],[1]!ESPECIES[#Data],9,FALSE)</f>
        <v/>
      </c>
    </row>
    <row r="3467">
      <c r="A3467" s="4" t="n">
        <v>13185</v>
      </c>
      <c r="B3467" s="5" t="n">
        <v>44536</v>
      </c>
      <c r="C3467" s="13" t="inlineStr">
        <is>
          <t>CPR</t>
        </is>
      </c>
      <c r="D3467" s="13" t="n">
        <v>43</v>
      </c>
      <c r="E3467" s="10">
        <f>IF(D3467&gt;0,VLOOKUP(OPERAC[[#This Row],[COD CART]],[1]!MatrizCortoLargoCyl[#All],3,0),"")</f>
        <v/>
      </c>
      <c r="F3467" s="13" t="inlineStr">
        <is>
          <t>XSPA/CYL-PUT/1,50/20-01-23</t>
        </is>
      </c>
      <c r="G3467" s="6" t="n">
        <v>1700</v>
      </c>
      <c r="H3467" s="6">
        <f>-0.4462*OPERAC[[#This Row],[cantidad]]</f>
        <v/>
      </c>
      <c r="I3467" s="7">
        <f>-H3467/G3467</f>
        <v/>
      </c>
      <c r="J3467" s="11" t="n"/>
      <c r="K3467" s="6" t="n"/>
      <c r="L3467" s="6" t="n"/>
      <c r="M3467" s="7">
        <f>IF(N3467=0,+L3467+H3467,0)</f>
        <v/>
      </c>
      <c r="N3467" s="7">
        <f>IF((+G3467-K3467)=0,0,+G3467-K3467)</f>
        <v/>
      </c>
      <c r="O3467" s="7">
        <f>IF(N3467=0,0,(L3467+H3467)/-N3467)</f>
        <v/>
      </c>
      <c r="P3467" s="7">
        <f>VLOOKUP(OPERAC[[#This Row],[especie]],[1]!ESPECIES[#All],6,0)</f>
        <v/>
      </c>
      <c r="Q3467" s="7">
        <f>IF(N3467&lt;&gt;0,P3467*N3467,0)</f>
        <v/>
      </c>
      <c r="R3467" s="8">
        <f>IF(Q3467&lt;&gt;0,Q3467+H3467+L3467,0)</f>
        <v/>
      </c>
      <c r="S3467" s="9">
        <f>VLOOKUP(OPERAC[[#This Row],[especie]],[1]!ESPECIES[#Data],9,FALSE)</f>
        <v/>
      </c>
    </row>
    <row r="3468">
      <c r="A3468" s="4" t="n">
        <v>3823</v>
      </c>
      <c r="B3468" s="5" t="n">
        <v>44552</v>
      </c>
      <c r="C3468" s="13" t="inlineStr">
        <is>
          <t>CPR</t>
        </is>
      </c>
      <c r="D3468" s="13" t="n">
        <v>32</v>
      </c>
      <c r="E3468" s="10">
        <f>IF(D3468&gt;0,VLOOKUP(OPERAC[[#This Row],[COD CART]],[1]!MatrizCortoLargoCyl[#All],3,0),"")</f>
        <v/>
      </c>
      <c r="F3468" s="13" t="inlineStr">
        <is>
          <t>HMY/CYL/4,00/21-01-22</t>
        </is>
      </c>
      <c r="G3468" s="6" t="n">
        <v>200</v>
      </c>
      <c r="H3468" s="6">
        <f>-3.8*OPERAC[[#This Row],[cantidad]]</f>
        <v/>
      </c>
      <c r="I3468" s="7">
        <f>-H3468/G3468</f>
        <v/>
      </c>
      <c r="J3468" s="11" t="n">
        <v>44580</v>
      </c>
      <c r="K3468" s="6" t="n">
        <v>200</v>
      </c>
      <c r="L3468" s="6" t="n">
        <v>787.86</v>
      </c>
      <c r="M3468" s="7">
        <f>IF(N3468=0,+L3468+H3468,0)</f>
        <v/>
      </c>
      <c r="N3468" s="7">
        <f>IF((+G3468-K3468)=0,0,+G3468-K3468)</f>
        <v/>
      </c>
      <c r="O3468" s="7">
        <f>IF(N3468=0,0,(L3468+H3468)/-N3468)</f>
        <v/>
      </c>
      <c r="P3468" s="7">
        <f>VLOOKUP(OPERAC[[#This Row],[especie]],[1]!ESPECIES[#All],6,0)</f>
        <v/>
      </c>
      <c r="Q3468" s="7">
        <f>IF(N3468&lt;&gt;0,P3468*N3468,0)</f>
        <v/>
      </c>
      <c r="R3468" s="8">
        <f>IF(Q3468&lt;&gt;0,Q3468+H3468+L3468,0)</f>
        <v/>
      </c>
      <c r="S3468" s="9">
        <f>VLOOKUP(OPERAC[[#This Row],[especie]],[1]!ESPECIES[#Data],9,FALSE)</f>
        <v/>
      </c>
    </row>
    <row r="3469">
      <c r="A3469" s="4" t="n">
        <v>3867</v>
      </c>
      <c r="B3469" s="5" t="n">
        <v>44552</v>
      </c>
      <c r="C3469" s="13" t="inlineStr">
        <is>
          <t>CPR</t>
        </is>
      </c>
      <c r="D3469" s="13" t="n">
        <v>32</v>
      </c>
      <c r="E3469" s="10">
        <f>IF(D3469&gt;0,VLOOKUP(OPERAC[[#This Row],[COD CART]],[1]!MatrizCortoLargoCyl[#All],3,0),"")</f>
        <v/>
      </c>
      <c r="F3469" s="13" t="inlineStr">
        <is>
          <t>HMY/CYL/4,00/21-01-22</t>
        </is>
      </c>
      <c r="G3469" s="6" t="n">
        <v>200</v>
      </c>
      <c r="H3469" s="6">
        <f>-3.8*OPERAC[[#This Row],[cantidad]]</f>
        <v/>
      </c>
      <c r="I3469" s="7">
        <f>-H3469/G3469</f>
        <v/>
      </c>
      <c r="J3469" s="11" t="n">
        <v>44580</v>
      </c>
      <c r="K3469" s="6" t="n">
        <v>200</v>
      </c>
      <c r="L3469" s="6" t="n">
        <v>787.86</v>
      </c>
      <c r="M3469" s="7">
        <f>IF(N3469=0,+L3469+H3469,0)</f>
        <v/>
      </c>
      <c r="N3469" s="7">
        <f>IF((+G3469-K3469)=0,0,+G3469-K3469)</f>
        <v/>
      </c>
      <c r="O3469" s="7">
        <f>IF(N3469=0,0,(L3469+H3469)/-N3469)</f>
        <v/>
      </c>
      <c r="P3469" s="7">
        <f>VLOOKUP(OPERAC[[#This Row],[especie]],[1]!ESPECIES[#All],6,0)</f>
        <v/>
      </c>
      <c r="Q3469" s="7">
        <f>IF(N3469&lt;&gt;0,P3469*N3469,0)</f>
        <v/>
      </c>
      <c r="R3469" s="8">
        <f>IF(Q3469&lt;&gt;0,Q3469+H3469+L3469,0)</f>
        <v/>
      </c>
      <c r="S3469" s="9">
        <f>VLOOKUP(OPERAC[[#This Row],[especie]],[1]!ESPECIES[#Data],9,FALSE)</f>
        <v/>
      </c>
    </row>
    <row r="3470">
      <c r="A3470" s="4" t="n">
        <v>7925</v>
      </c>
      <c r="B3470" s="5" t="n">
        <v>44552</v>
      </c>
      <c r="C3470" s="13" t="inlineStr">
        <is>
          <t>CPR</t>
        </is>
      </c>
      <c r="D3470" s="13" t="n">
        <v>32</v>
      </c>
      <c r="E3470" s="10">
        <f>IF(D3470&gt;0,VLOOKUP(OPERAC[[#This Row],[COD CART]],[1]!MatrizCortoLargoCyl[#All],3,0),"")</f>
        <v/>
      </c>
      <c r="F3470" s="13" t="inlineStr">
        <is>
          <t>HMY/CYL/4,00/21-01-22</t>
        </is>
      </c>
      <c r="G3470" s="6" t="n">
        <v>200</v>
      </c>
      <c r="H3470" s="6">
        <f>-3.8*OPERAC[[#This Row],[cantidad]]</f>
        <v/>
      </c>
      <c r="I3470" s="7">
        <f>-H3470/G3470</f>
        <v/>
      </c>
      <c r="J3470" s="11" t="n">
        <v>44580</v>
      </c>
      <c r="K3470" s="6" t="n">
        <v>200</v>
      </c>
      <c r="L3470" s="6" t="n">
        <v>787.86</v>
      </c>
      <c r="M3470" s="7">
        <f>IF(N3470=0,+L3470+H3470,0)</f>
        <v/>
      </c>
      <c r="N3470" s="7">
        <f>IF((+G3470-K3470)=0,0,+G3470-K3470)</f>
        <v/>
      </c>
      <c r="O3470" s="7">
        <f>IF(N3470=0,0,(L3470+H3470)/-N3470)</f>
        <v/>
      </c>
      <c r="P3470" s="7">
        <f>VLOOKUP(OPERAC[[#This Row],[especie]],[1]!ESPECIES[#All],6,0)</f>
        <v/>
      </c>
      <c r="Q3470" s="7">
        <f>IF(N3470&lt;&gt;0,P3470*N3470,0)</f>
        <v/>
      </c>
      <c r="R3470" s="8">
        <f>IF(Q3470&lt;&gt;0,Q3470+H3470+L3470,0)</f>
        <v/>
      </c>
      <c r="S3470" s="9">
        <f>VLOOKUP(OPERAC[[#This Row],[especie]],[1]!ESPECIES[#Data],9,FALSE)</f>
        <v/>
      </c>
    </row>
    <row r="3471">
      <c r="A3471" s="4" t="n">
        <v>12652</v>
      </c>
      <c r="B3471" s="5" t="n">
        <v>44552</v>
      </c>
      <c r="C3471" s="13" t="inlineStr">
        <is>
          <t>CPR</t>
        </is>
      </c>
      <c r="D3471" s="13" t="n">
        <v>32</v>
      </c>
      <c r="E3471" s="10">
        <f>IF(D3471&gt;0,VLOOKUP(OPERAC[[#This Row],[COD CART]],[1]!MatrizCortoLargoCyl[#All],3,0),"")</f>
        <v/>
      </c>
      <c r="F3471" s="13" t="inlineStr">
        <is>
          <t>HMY/CYL/4,00/21-01-22</t>
        </is>
      </c>
      <c r="G3471" s="6" t="n">
        <v>200</v>
      </c>
      <c r="H3471" s="6">
        <f>-3.8*OPERAC[[#This Row],[cantidad]]</f>
        <v/>
      </c>
      <c r="I3471" s="7">
        <f>-H3471/G3471</f>
        <v/>
      </c>
      <c r="J3471" s="11" t="n">
        <v>44580</v>
      </c>
      <c r="K3471" s="6" t="n">
        <v>200</v>
      </c>
      <c r="L3471" s="6" t="n">
        <v>787.86</v>
      </c>
      <c r="M3471" s="7">
        <f>IF(N3471=0,+L3471+H3471,0)</f>
        <v/>
      </c>
      <c r="N3471" s="7">
        <f>IF((+G3471-K3471)=0,0,+G3471-K3471)</f>
        <v/>
      </c>
      <c r="O3471" s="7">
        <f>IF(N3471=0,0,(L3471+H3471)/-N3471)</f>
        <v/>
      </c>
      <c r="P3471" s="7">
        <f>VLOOKUP(OPERAC[[#This Row],[especie]],[1]!ESPECIES[#All],6,0)</f>
        <v/>
      </c>
      <c r="Q3471" s="7">
        <f>IF(N3471&lt;&gt;0,P3471*N3471,0)</f>
        <v/>
      </c>
      <c r="R3471" s="8">
        <f>IF(Q3471&lt;&gt;0,Q3471+H3471+L3471,0)</f>
        <v/>
      </c>
      <c r="S3471" s="9">
        <f>VLOOKUP(OPERAC[[#This Row],[especie]],[1]!ESPECIES[#Data],9,FALSE)</f>
        <v/>
      </c>
    </row>
    <row r="3472">
      <c r="A3472" s="4" t="n">
        <v>12662</v>
      </c>
      <c r="B3472" s="5" t="n">
        <v>44552</v>
      </c>
      <c r="C3472" s="13" t="inlineStr">
        <is>
          <t>CPR</t>
        </is>
      </c>
      <c r="D3472" s="13" t="n">
        <v>32</v>
      </c>
      <c r="E3472" s="10">
        <f>IF(D3472&gt;0,VLOOKUP(OPERAC[[#This Row],[COD CART]],[1]!MatrizCortoLargoCyl[#All],3,0),"")</f>
        <v/>
      </c>
      <c r="F3472" s="13" t="inlineStr">
        <is>
          <t>HMY/CYL/4,00/21-01-22</t>
        </is>
      </c>
      <c r="G3472" s="6" t="n">
        <v>200</v>
      </c>
      <c r="H3472" s="6">
        <f>-3.8*OPERAC[[#This Row],[cantidad]]</f>
        <v/>
      </c>
      <c r="I3472" s="7">
        <f>-H3472/G3472</f>
        <v/>
      </c>
      <c r="J3472" s="11" t="n">
        <v>44580</v>
      </c>
      <c r="K3472" s="6" t="n">
        <v>200</v>
      </c>
      <c r="L3472" s="6" t="n">
        <v>787.86</v>
      </c>
      <c r="M3472" s="7">
        <f>IF(N3472=0,+L3472+H3472,0)</f>
        <v/>
      </c>
      <c r="N3472" s="7">
        <f>IF((+G3472-K3472)=0,0,+G3472-K3472)</f>
        <v/>
      </c>
      <c r="O3472" s="7">
        <f>IF(N3472=0,0,(L3472+H3472)/-N3472)</f>
        <v/>
      </c>
      <c r="P3472" s="7">
        <f>VLOOKUP(OPERAC[[#This Row],[especie]],[1]!ESPECIES[#All],6,0)</f>
        <v/>
      </c>
      <c r="Q3472" s="7">
        <f>IF(N3472&lt;&gt;0,P3472*N3472,0)</f>
        <v/>
      </c>
      <c r="R3472" s="8">
        <f>IF(Q3472&lt;&gt;0,Q3472+H3472+L3472,0)</f>
        <v/>
      </c>
      <c r="S3472" s="9">
        <f>VLOOKUP(OPERAC[[#This Row],[especie]],[1]!ESPECIES[#Data],9,FALSE)</f>
        <v/>
      </c>
    </row>
    <row r="3473">
      <c r="A3473" s="4" t="n">
        <v>12674</v>
      </c>
      <c r="B3473" s="5" t="n">
        <v>44552</v>
      </c>
      <c r="C3473" s="13" t="inlineStr">
        <is>
          <t>CPR</t>
        </is>
      </c>
      <c r="D3473" s="13" t="n">
        <v>32</v>
      </c>
      <c r="E3473" s="10">
        <f>IF(D3473&gt;0,VLOOKUP(OPERAC[[#This Row],[COD CART]],[1]!MatrizCortoLargoCyl[#All],3,0),"")</f>
        <v/>
      </c>
      <c r="F3473" s="13" t="inlineStr">
        <is>
          <t>HMY/CYL/4,00/21-01-22</t>
        </is>
      </c>
      <c r="G3473" s="6" t="n">
        <v>200</v>
      </c>
      <c r="H3473" s="6">
        <f>-3.8*OPERAC[[#This Row],[cantidad]]</f>
        <v/>
      </c>
      <c r="I3473" s="7">
        <f>-H3473/G3473</f>
        <v/>
      </c>
      <c r="J3473" s="11" t="n">
        <v>44580</v>
      </c>
      <c r="K3473" s="6" t="n">
        <v>200</v>
      </c>
      <c r="L3473" s="6" t="n">
        <v>787.86</v>
      </c>
      <c r="M3473" s="7">
        <f>IF(N3473=0,+L3473+H3473,0)</f>
        <v/>
      </c>
      <c r="N3473" s="7">
        <f>IF((+G3473-K3473)=0,0,+G3473-K3473)</f>
        <v/>
      </c>
      <c r="O3473" s="7">
        <f>IF(N3473=0,0,(L3473+H3473)/-N3473)</f>
        <v/>
      </c>
      <c r="P3473" s="7">
        <f>VLOOKUP(OPERAC[[#This Row],[especie]],[1]!ESPECIES[#All],6,0)</f>
        <v/>
      </c>
      <c r="Q3473" s="7">
        <f>IF(N3473&lt;&gt;0,P3473*N3473,0)</f>
        <v/>
      </c>
      <c r="R3473" s="8">
        <f>IF(Q3473&lt;&gt;0,Q3473+H3473+L3473,0)</f>
        <v/>
      </c>
      <c r="S3473" s="9">
        <f>VLOOKUP(OPERAC[[#This Row],[especie]],[1]!ESPECIES[#Data],9,FALSE)</f>
        <v/>
      </c>
    </row>
    <row r="3474">
      <c r="A3474" s="4" t="n">
        <v>13240</v>
      </c>
      <c r="B3474" s="5" t="n">
        <v>44552</v>
      </c>
      <c r="C3474" s="13" t="inlineStr">
        <is>
          <t>CPR</t>
        </is>
      </c>
      <c r="D3474" s="13" t="n">
        <v>32</v>
      </c>
      <c r="E3474" s="10">
        <f>IF(D3474&gt;0,VLOOKUP(OPERAC[[#This Row],[COD CART]],[1]!MatrizCortoLargoCyl[#All],3,0),"")</f>
        <v/>
      </c>
      <c r="F3474" s="13" t="inlineStr">
        <is>
          <t>HMY/CYL/4,00/21-01-22</t>
        </is>
      </c>
      <c r="G3474" s="6" t="n">
        <v>200</v>
      </c>
      <c r="H3474" s="6">
        <f>-3.8*OPERAC[[#This Row],[cantidad]]</f>
        <v/>
      </c>
      <c r="I3474" s="7">
        <f>-H3474/G3474</f>
        <v/>
      </c>
      <c r="J3474" s="11" t="n">
        <v>44580</v>
      </c>
      <c r="K3474" s="6" t="n">
        <v>200</v>
      </c>
      <c r="L3474" s="6" t="n">
        <v>787.86</v>
      </c>
      <c r="M3474" s="7">
        <f>IF(N3474=0,+L3474+H3474,0)</f>
        <v/>
      </c>
      <c r="N3474" s="7">
        <f>IF((+G3474-K3474)=0,0,+G3474-K3474)</f>
        <v/>
      </c>
      <c r="O3474" s="7">
        <f>IF(N3474=0,0,(L3474+H3474)/-N3474)</f>
        <v/>
      </c>
      <c r="P3474" s="7">
        <f>VLOOKUP(OPERAC[[#This Row],[especie]],[1]!ESPECIES[#All],6,0)</f>
        <v/>
      </c>
      <c r="Q3474" s="7">
        <f>IF(N3474&lt;&gt;0,P3474*N3474,0)</f>
        <v/>
      </c>
      <c r="R3474" s="8">
        <f>IF(Q3474&lt;&gt;0,Q3474+H3474+L3474,0)</f>
        <v/>
      </c>
      <c r="S3474" s="9">
        <f>VLOOKUP(OPERAC[[#This Row],[especie]],[1]!ESPECIES[#Data],9,FALSE)</f>
        <v/>
      </c>
    </row>
    <row r="3475">
      <c r="A3475" s="4" t="n">
        <v>16783</v>
      </c>
      <c r="B3475" s="5" t="n">
        <v>44552</v>
      </c>
      <c r="C3475" s="13" t="inlineStr">
        <is>
          <t>CPR</t>
        </is>
      </c>
      <c r="D3475" s="13" t="n">
        <v>32</v>
      </c>
      <c r="E3475" s="10">
        <f>IF(D3475&gt;0,VLOOKUP(OPERAC[[#This Row],[COD CART]],[1]!MatrizCortoLargoCyl[#All],3,0),"")</f>
        <v/>
      </c>
      <c r="F3475" s="13" t="inlineStr">
        <is>
          <t>HMY/CYL/4,00/21-01-22</t>
        </is>
      </c>
      <c r="G3475" s="6" t="n">
        <v>200</v>
      </c>
      <c r="H3475" s="6">
        <f>-3.8*OPERAC[[#This Row],[cantidad]]</f>
        <v/>
      </c>
      <c r="I3475" s="7">
        <f>-H3475/G3475</f>
        <v/>
      </c>
      <c r="J3475" s="11" t="n">
        <v>44580</v>
      </c>
      <c r="K3475" s="6" t="n">
        <v>200</v>
      </c>
      <c r="L3475" s="6" t="n">
        <v>787.86</v>
      </c>
      <c r="M3475" s="7">
        <f>IF(N3475=0,+L3475+H3475,0)</f>
        <v/>
      </c>
      <c r="N3475" s="7">
        <f>IF((+G3475-K3475)=0,0,+G3475-K3475)</f>
        <v/>
      </c>
      <c r="O3475" s="7">
        <f>IF(N3475=0,0,(L3475+H3475)/-N3475)</f>
        <v/>
      </c>
      <c r="P3475" s="7">
        <f>VLOOKUP(OPERAC[[#This Row],[especie]],[1]!ESPECIES[#All],6,0)</f>
        <v/>
      </c>
      <c r="Q3475" s="7">
        <f>IF(N3475&lt;&gt;0,P3475*N3475,0)</f>
        <v/>
      </c>
      <c r="R3475" s="8">
        <f>IF(Q3475&lt;&gt;0,Q3475+H3475+L3475,0)</f>
        <v/>
      </c>
      <c r="S3475" s="9">
        <f>VLOOKUP(OPERAC[[#This Row],[especie]],[1]!ESPECIES[#Data],9,FALSE)</f>
        <v/>
      </c>
    </row>
    <row r="3476">
      <c r="A3476" s="4" t="n">
        <v>16795</v>
      </c>
      <c r="B3476" s="5" t="n">
        <v>44552</v>
      </c>
      <c r="C3476" s="13" t="inlineStr">
        <is>
          <t>CPR</t>
        </is>
      </c>
      <c r="D3476" s="13" t="n">
        <v>32</v>
      </c>
      <c r="E3476" s="10">
        <f>IF(D3476&gt;0,VLOOKUP(OPERAC[[#This Row],[COD CART]],[1]!MatrizCortoLargoCyl[#All],3,0),"")</f>
        <v/>
      </c>
      <c r="F3476" s="13" t="inlineStr">
        <is>
          <t>HMY/CYL/4,00/21-01-22</t>
        </is>
      </c>
      <c r="G3476" s="6" t="n">
        <v>200</v>
      </c>
      <c r="H3476" s="6">
        <f>-3.8*OPERAC[[#This Row],[cantidad]]</f>
        <v/>
      </c>
      <c r="I3476" s="7">
        <f>-H3476/G3476</f>
        <v/>
      </c>
      <c r="J3476" s="11" t="n">
        <v>44580</v>
      </c>
      <c r="K3476" s="6" t="n">
        <v>200</v>
      </c>
      <c r="L3476" s="6" t="n">
        <v>787.86</v>
      </c>
      <c r="M3476" s="7">
        <f>IF(N3476=0,+L3476+H3476,0)</f>
        <v/>
      </c>
      <c r="N3476" s="7">
        <f>IF((+G3476-K3476)=0,0,+G3476-K3476)</f>
        <v/>
      </c>
      <c r="O3476" s="7">
        <f>IF(N3476=0,0,(L3476+H3476)/-N3476)</f>
        <v/>
      </c>
      <c r="P3476" s="7">
        <f>VLOOKUP(OPERAC[[#This Row],[especie]],[1]!ESPECIES[#All],6,0)</f>
        <v/>
      </c>
      <c r="Q3476" s="7">
        <f>IF(N3476&lt;&gt;0,P3476*N3476,0)</f>
        <v/>
      </c>
      <c r="R3476" s="8">
        <f>IF(Q3476&lt;&gt;0,Q3476+H3476+L3476,0)</f>
        <v/>
      </c>
      <c r="S3476" s="9">
        <f>VLOOKUP(OPERAC[[#This Row],[especie]],[1]!ESPECIES[#Data],9,FALSE)</f>
        <v/>
      </c>
    </row>
    <row r="3477">
      <c r="A3477" s="4" t="n">
        <v>26137</v>
      </c>
      <c r="B3477" s="5" t="n">
        <v>44552</v>
      </c>
      <c r="C3477" s="13" t="inlineStr">
        <is>
          <t>CPR</t>
        </is>
      </c>
      <c r="D3477" s="13" t="n">
        <v>32</v>
      </c>
      <c r="E3477" s="10">
        <f>IF(D3477&gt;0,VLOOKUP(OPERAC[[#This Row],[COD CART]],[1]!MatrizCortoLargoCyl[#All],3,0),"")</f>
        <v/>
      </c>
      <c r="F3477" s="13" t="inlineStr">
        <is>
          <t>HMY/CYL/4,00/21-01-22</t>
        </is>
      </c>
      <c r="G3477" s="6" t="n">
        <v>200</v>
      </c>
      <c r="H3477" s="6">
        <f>-3.8*OPERAC[[#This Row],[cantidad]]</f>
        <v/>
      </c>
      <c r="I3477" s="7">
        <f>-H3477/G3477</f>
        <v/>
      </c>
      <c r="J3477" s="11" t="n">
        <v>44580</v>
      </c>
      <c r="K3477" s="6" t="n">
        <v>200</v>
      </c>
      <c r="L3477" s="6" t="n">
        <v>787.86</v>
      </c>
      <c r="M3477" s="7">
        <f>IF(N3477=0,+L3477+H3477,0)</f>
        <v/>
      </c>
      <c r="N3477" s="7">
        <f>IF((+G3477-K3477)=0,0,+G3477-K3477)</f>
        <v/>
      </c>
      <c r="O3477" s="7">
        <f>IF(N3477=0,0,(L3477+H3477)/-N3477)</f>
        <v/>
      </c>
      <c r="P3477" s="7">
        <f>VLOOKUP(OPERAC[[#This Row],[especie]],[1]!ESPECIES[#All],6,0)</f>
        <v/>
      </c>
      <c r="Q3477" s="7">
        <f>IF(N3477&lt;&gt;0,P3477*N3477,0)</f>
        <v/>
      </c>
      <c r="R3477" s="8">
        <f>IF(Q3477&lt;&gt;0,Q3477+H3477+L3477,0)</f>
        <v/>
      </c>
      <c r="S3477" s="9">
        <f>VLOOKUP(OPERAC[[#This Row],[especie]],[1]!ESPECIES[#Data],9,FALSE)</f>
        <v/>
      </c>
    </row>
    <row r="3478">
      <c r="A3478" s="4" t="n">
        <v>26140</v>
      </c>
      <c r="B3478" s="5" t="n">
        <v>44552</v>
      </c>
      <c r="C3478" s="13" t="inlineStr">
        <is>
          <t>CPR</t>
        </is>
      </c>
      <c r="D3478" s="13" t="n">
        <v>32</v>
      </c>
      <c r="E3478" s="10">
        <f>IF(D3478&gt;0,VLOOKUP(OPERAC[[#This Row],[COD CART]],[1]!MatrizCortoLargoCyl[#All],3,0),"")</f>
        <v/>
      </c>
      <c r="F3478" s="13" t="inlineStr">
        <is>
          <t>HMY/CYL/4,00/21-01-22</t>
        </is>
      </c>
      <c r="G3478" s="6" t="n">
        <v>200</v>
      </c>
      <c r="H3478" s="6">
        <f>-3.8*OPERAC[[#This Row],[cantidad]]</f>
        <v/>
      </c>
      <c r="I3478" s="7">
        <f>-H3478/G3478</f>
        <v/>
      </c>
      <c r="J3478" s="11" t="n">
        <v>44580</v>
      </c>
      <c r="K3478" s="6" t="n">
        <v>200</v>
      </c>
      <c r="L3478" s="6" t="n">
        <v>787.86</v>
      </c>
      <c r="M3478" s="7">
        <f>IF(N3478=0,+L3478+H3478,0)</f>
        <v/>
      </c>
      <c r="N3478" s="7">
        <f>IF((+G3478-K3478)=0,0,+G3478-K3478)</f>
        <v/>
      </c>
      <c r="O3478" s="7">
        <f>IF(N3478=0,0,(L3478+H3478)/-N3478)</f>
        <v/>
      </c>
      <c r="P3478" s="7">
        <f>VLOOKUP(OPERAC[[#This Row],[especie]],[1]!ESPECIES[#All],6,0)</f>
        <v/>
      </c>
      <c r="Q3478" s="7">
        <f>IF(N3478&lt;&gt;0,P3478*N3478,0)</f>
        <v/>
      </c>
      <c r="R3478" s="8">
        <f>IF(Q3478&lt;&gt;0,Q3478+H3478+L3478,0)</f>
        <v/>
      </c>
      <c r="S3478" s="9">
        <f>VLOOKUP(OPERAC[[#This Row],[especie]],[1]!ESPECIES[#Data],9,FALSE)</f>
        <v/>
      </c>
    </row>
    <row r="3479">
      <c r="A3479" s="4" t="n">
        <v>19920</v>
      </c>
      <c r="B3479" s="5" t="n">
        <v>44637</v>
      </c>
      <c r="C3479" s="13" t="inlineStr">
        <is>
          <t>CPR</t>
        </is>
      </c>
      <c r="D3479" s="13" t="n">
        <v>31</v>
      </c>
      <c r="E3479" s="10">
        <f>IF(D3479&gt;0,VLOOKUP(OPERAC[[#This Row],[COD CART]],[1]!MatrizCortoLargoCyl[#All],3,0),"")</f>
        <v/>
      </c>
      <c r="F3479" s="13" t="inlineStr">
        <is>
          <t>CRESY</t>
        </is>
      </c>
      <c r="G3479" s="6" t="n">
        <v>100</v>
      </c>
      <c r="H3479" s="6" t="n">
        <v>-760.4312</v>
      </c>
      <c r="I3479" s="7">
        <f>-H3479/G3479</f>
        <v/>
      </c>
      <c r="J3479" s="11" t="n">
        <v>44693</v>
      </c>
      <c r="K3479" s="6" t="n">
        <v>100</v>
      </c>
      <c r="L3479" s="6" t="n">
        <v>599.3819999999999</v>
      </c>
      <c r="M3479" s="7">
        <f>IF(N3479=0,+L3479+H3479,0)</f>
        <v/>
      </c>
      <c r="N3479" s="7">
        <f>IF((+G3479-K3479)=0,0,+G3479-K3479)</f>
        <v/>
      </c>
      <c r="O3479" s="7">
        <f>IF(N3479=0,0,(L3479+H3479)/-N3479)</f>
        <v/>
      </c>
      <c r="P3479" s="7">
        <f>VLOOKUP(OPERAC[[#This Row],[especie]],[1]!ESPECIES[#All],6,0)</f>
        <v/>
      </c>
      <c r="Q3479" s="7">
        <f>IF(N3479&lt;&gt;0,P3479*N3479,0)</f>
        <v/>
      </c>
      <c r="R3479" s="8">
        <f>IF(Q3479&lt;&gt;0,Q3479+H3479+L3479,0)</f>
        <v/>
      </c>
      <c r="S3479" s="9">
        <f>VLOOKUP(OPERAC[[#This Row],[especie]],[1]!ESPECIES[#Data],9,FALSE)</f>
        <v/>
      </c>
    </row>
    <row r="3480">
      <c r="A3480" s="4" t="n">
        <v>18690</v>
      </c>
      <c r="B3480" s="5" t="n">
        <v>44637</v>
      </c>
      <c r="C3480" s="13" t="inlineStr">
        <is>
          <t>CPR</t>
        </is>
      </c>
      <c r="D3480" s="13" t="n">
        <v>31</v>
      </c>
      <c r="E3480" s="10">
        <f>IF(D3480&gt;0,VLOOKUP(OPERAC[[#This Row],[COD CART]],[1]!MatrizCortoLargoCyl[#All],3,0),"")</f>
        <v/>
      </c>
      <c r="F3480" s="13" t="inlineStr">
        <is>
          <t>CRESY</t>
        </is>
      </c>
      <c r="G3480" s="6" t="n">
        <v>100</v>
      </c>
      <c r="H3480" s="6" t="n">
        <v>-760.4312</v>
      </c>
      <c r="I3480" s="7">
        <f>-H3480/G3480</f>
        <v/>
      </c>
      <c r="J3480" s="11" t="n"/>
      <c r="K3480" s="6" t="n"/>
      <c r="L3480" s="6" t="n"/>
      <c r="M3480" s="7">
        <f>IF(N3480=0,+L3480+H3480,0)</f>
        <v/>
      </c>
      <c r="N3480" s="7">
        <f>IF((+G3480-K3480)=0,0,+G3480-K3480)</f>
        <v/>
      </c>
      <c r="O3480" s="7">
        <f>IF(N3480=0,0,(L3480+H3480)/-N3480)</f>
        <v/>
      </c>
      <c r="P3480" s="7">
        <f>VLOOKUP(OPERAC[[#This Row],[especie]],[1]!ESPECIES[#All],6,0)</f>
        <v/>
      </c>
      <c r="Q3480" s="7">
        <f>IF(N3480&lt;&gt;0,P3480*N3480,0)</f>
        <v/>
      </c>
      <c r="R3480" s="8">
        <f>IF(Q3480&lt;&gt;0,Q3480+H3480+L3480,0)</f>
        <v/>
      </c>
      <c r="S3480" s="9">
        <f>VLOOKUP(OPERAC[[#This Row],[especie]],[1]!ESPECIES[#Data],9,FALSE)</f>
        <v/>
      </c>
    </row>
    <row r="3481">
      <c r="A3481" s="4" t="n">
        <v>2255</v>
      </c>
      <c r="B3481" s="5" t="n">
        <v>44671</v>
      </c>
      <c r="C3481" s="13" t="inlineStr">
        <is>
          <t>CPR</t>
        </is>
      </c>
      <c r="D3481" s="13" t="n">
        <v>42</v>
      </c>
      <c r="E3481" s="10">
        <f>IF(D3481&gt;0,VLOOKUP(OPERAC[[#This Row],[COD CART]],[1]!MatrizCortoLargoCyl[#All],3,0),"")</f>
        <v/>
      </c>
      <c r="F3481" s="13" t="inlineStr">
        <is>
          <t>NFLX</t>
        </is>
      </c>
      <c r="G3481" s="6" t="n">
        <v>3</v>
      </c>
      <c r="H3481" s="6" t="n">
        <v>-760.4868600000001</v>
      </c>
      <c r="I3481" s="7">
        <f>-H3481/G3481</f>
        <v/>
      </c>
      <c r="J3481" s="11" t="n">
        <v>44693</v>
      </c>
      <c r="K3481" s="6">
        <f>+OPERAC[[#This Row],[cantidad]]</f>
        <v/>
      </c>
      <c r="L3481" s="6">
        <f>+OPERAC[[#This Row],[cantidad venta]]*164.905</f>
        <v/>
      </c>
      <c r="M3481" s="7">
        <f>IF(N3481=0,+L3481+H3481,0)</f>
        <v/>
      </c>
      <c r="N3481" s="7">
        <f>IF((+G3481-K3481)=0,0,+G3481-K3481)</f>
        <v/>
      </c>
      <c r="O3481" s="7">
        <f>IF(N3481=0,0,(L3481+H3481)/-N3481)</f>
        <v/>
      </c>
      <c r="P3481" s="7">
        <f>VLOOKUP(OPERAC[[#This Row],[especie]],[1]!ESPECIES[#All],6,0)</f>
        <v/>
      </c>
      <c r="Q3481" s="7">
        <f>IF(N3481&lt;&gt;0,P3481*N3481,0)</f>
        <v/>
      </c>
      <c r="R3481" s="8">
        <f>IF(Q3481&lt;&gt;0,Q3481+H3481+L3481,0)</f>
        <v/>
      </c>
      <c r="S3481" s="9">
        <f>VLOOKUP(OPERAC[[#This Row],[especie]],[1]!ESPECIES[#Data],9,FALSE)</f>
        <v/>
      </c>
    </row>
    <row r="3482">
      <c r="A3482" s="4" t="n">
        <v>16818</v>
      </c>
      <c r="B3482" s="5" t="n">
        <v>44671</v>
      </c>
      <c r="C3482" s="13" t="inlineStr">
        <is>
          <t>CPR</t>
        </is>
      </c>
      <c r="D3482" s="13" t="n">
        <v>42</v>
      </c>
      <c r="E3482" s="10">
        <f>IF(D3482&gt;0,VLOOKUP(OPERAC[[#This Row],[COD CART]],[1]!MatrizCortoLargoCyl[#All],3,0),"")</f>
        <v/>
      </c>
      <c r="F3482" s="13" t="inlineStr">
        <is>
          <t>NFLX</t>
        </is>
      </c>
      <c r="G3482" s="6" t="n">
        <v>3</v>
      </c>
      <c r="H3482" s="6" t="n">
        <v>-760.4868600000001</v>
      </c>
      <c r="I3482" s="7">
        <f>-H3482/G3482</f>
        <v/>
      </c>
      <c r="J3482" s="11" t="n"/>
      <c r="K3482" s="6" t="n"/>
      <c r="L3482" s="6" t="n"/>
      <c r="M3482" s="7">
        <f>IF(N3482=0,+L3482+H3482,0)</f>
        <v/>
      </c>
      <c r="N3482" s="7">
        <f>IF((+G3482-K3482)=0,0,+G3482-K3482)</f>
        <v/>
      </c>
      <c r="O3482" s="7">
        <f>IF(N3482=0,0,(L3482+H3482)/-N3482)</f>
        <v/>
      </c>
      <c r="P3482" s="7">
        <f>VLOOKUP(OPERAC[[#This Row],[especie]],[1]!ESPECIES[#All],6,0)</f>
        <v/>
      </c>
      <c r="Q3482" s="7">
        <f>IF(N3482&lt;&gt;0,P3482*N3482,0)</f>
        <v/>
      </c>
      <c r="R3482" s="8">
        <f>IF(Q3482&lt;&gt;0,Q3482+H3482+L3482,0)</f>
        <v/>
      </c>
      <c r="S3482" s="9">
        <f>VLOOKUP(OPERAC[[#This Row],[especie]],[1]!ESPECIES[#Data],9,FALSE)</f>
        <v/>
      </c>
    </row>
    <row r="3483">
      <c r="A3483" s="4" t="n">
        <v>6579</v>
      </c>
      <c r="B3483" s="5" t="n">
        <v>44529</v>
      </c>
      <c r="C3483" s="13" t="inlineStr">
        <is>
          <t>CPR</t>
        </is>
      </c>
      <c r="D3483" s="13" t="n">
        <v>41</v>
      </c>
      <c r="E3483" s="10">
        <f>IF(D3483&gt;0,VLOOKUP(OPERAC[[#This Row],[COD CART]],[1]!MatrizCortoLargoCyl[#All],3,0),"")</f>
        <v/>
      </c>
      <c r="F3483" s="13" t="inlineStr">
        <is>
          <t>YPF</t>
        </is>
      </c>
      <c r="G3483" s="6" t="n">
        <v>220</v>
      </c>
      <c r="H3483" s="6" t="n">
        <v>-760.628</v>
      </c>
      <c r="I3483" s="7">
        <f>-H3483/G3483</f>
        <v/>
      </c>
      <c r="J3483" s="11" t="n"/>
      <c r="K3483" s="6" t="n"/>
      <c r="L3483" s="6" t="n"/>
      <c r="M3483" s="7">
        <f>IF(N3483=0,+L3483+H3483,0)</f>
        <v/>
      </c>
      <c r="N3483" s="7">
        <f>IF((+G3483-K3483)=0,0,+G3483-K3483)</f>
        <v/>
      </c>
      <c r="O3483" s="7">
        <f>IF(N3483=0,0,(L3483+H3483)/-N3483)</f>
        <v/>
      </c>
      <c r="P3483" s="7">
        <f>VLOOKUP(OPERAC[[#This Row],[especie]],[1]!ESPECIES[#All],6,0)</f>
        <v/>
      </c>
      <c r="Q3483" s="7">
        <f>IF(N3483&lt;&gt;0,P3483*N3483,0)</f>
        <v/>
      </c>
      <c r="R3483" s="8">
        <f>IF(Q3483&lt;&gt;0,Q3483+H3483+L3483,0)</f>
        <v/>
      </c>
      <c r="S3483" s="9">
        <f>VLOOKUP(OPERAC[[#This Row],[especie]],[1]!ESPECIES[#Data],9,FALSE)</f>
        <v/>
      </c>
    </row>
    <row r="3484">
      <c r="A3484" s="4" t="n">
        <v>7493</v>
      </c>
      <c r="B3484" s="5" t="n">
        <v>44616</v>
      </c>
      <c r="C3484" s="13" t="inlineStr">
        <is>
          <t>CPR</t>
        </is>
      </c>
      <c r="D3484" s="13" t="n">
        <v>32</v>
      </c>
      <c r="E3484" s="10">
        <f>IF(D3484&gt;0,VLOOKUP(OPERAC[[#This Row],[COD CART]],[1]!MatrizCortoLargoCyl[#All],3,0),"")</f>
        <v/>
      </c>
      <c r="F3484" s="13" t="inlineStr">
        <is>
          <t>TEVA/CYL/8,00/18-03-22</t>
        </is>
      </c>
      <c r="G3484" s="6" t="n">
        <v>100</v>
      </c>
      <c r="H3484" s="6" t="n">
        <v>-762.2553999999999</v>
      </c>
      <c r="I3484" s="7">
        <f>-H3484/G3484</f>
        <v/>
      </c>
      <c r="J3484" s="11" t="n">
        <v>44638</v>
      </c>
      <c r="K3484" s="6" t="n">
        <v>100</v>
      </c>
      <c r="L3484" s="6">
        <f>7.8242*OPERAC[[#This Row],[cantidad venta]]</f>
        <v/>
      </c>
      <c r="M3484" s="7">
        <f>IF(N3484=0,+L3484+H3484,0)</f>
        <v/>
      </c>
      <c r="N3484" s="7">
        <f>IF((+G3484-K3484)=0,0,+G3484-K3484)</f>
        <v/>
      </c>
      <c r="O3484" s="7">
        <f>IF(N3484=0,0,(L3484+H3484)/-N3484)</f>
        <v/>
      </c>
      <c r="P3484" s="7">
        <f>VLOOKUP(OPERAC[[#This Row],[especie]],[1]!ESPECIES[#All],6,0)</f>
        <v/>
      </c>
      <c r="Q3484" s="7">
        <f>IF(N3484&lt;&gt;0,P3484*N3484,0)</f>
        <v/>
      </c>
      <c r="R3484" s="8">
        <f>IF(Q3484&lt;&gt;0,Q3484+H3484+L3484,0)</f>
        <v/>
      </c>
      <c r="S3484" s="9">
        <f>VLOOKUP(OPERAC[[#This Row],[especie]],[1]!ESPECIES[#Data],9,FALSE)</f>
        <v/>
      </c>
    </row>
    <row r="3485">
      <c r="A3485" s="4" t="n">
        <v>7895</v>
      </c>
      <c r="B3485" s="5" t="n">
        <v>44616</v>
      </c>
      <c r="C3485" s="13" t="inlineStr">
        <is>
          <t>CPR</t>
        </is>
      </c>
      <c r="D3485" s="13" t="n">
        <v>32</v>
      </c>
      <c r="E3485" s="10">
        <f>IF(D3485&gt;0,VLOOKUP(OPERAC[[#This Row],[COD CART]],[1]!MatrizCortoLargoCyl[#All],3,0),"")</f>
        <v/>
      </c>
      <c r="F3485" s="13" t="inlineStr">
        <is>
          <t>TEVA/CYL/8,00/18-03-22</t>
        </is>
      </c>
      <c r="G3485" s="6" t="n">
        <v>100</v>
      </c>
      <c r="H3485" s="6" t="n">
        <v>-762.2553999999999</v>
      </c>
      <c r="I3485" s="7">
        <f>-H3485/G3485</f>
        <v/>
      </c>
      <c r="J3485" s="11" t="n">
        <v>44638</v>
      </c>
      <c r="K3485" s="6" t="n">
        <v>100</v>
      </c>
      <c r="L3485" s="6">
        <f>7.8242*OPERAC[[#This Row],[cantidad venta]]</f>
        <v/>
      </c>
      <c r="M3485" s="7">
        <f>IF(N3485=0,+L3485+H3485,0)</f>
        <v/>
      </c>
      <c r="N3485" s="7">
        <f>IF((+G3485-K3485)=0,0,+G3485-K3485)</f>
        <v/>
      </c>
      <c r="O3485" s="7">
        <f>IF(N3485=0,0,(L3485+H3485)/-N3485)</f>
        <v/>
      </c>
      <c r="P3485" s="7">
        <f>VLOOKUP(OPERAC[[#This Row],[especie]],[1]!ESPECIES[#All],6,0)</f>
        <v/>
      </c>
      <c r="Q3485" s="7">
        <f>IF(N3485&lt;&gt;0,P3485*N3485,0)</f>
        <v/>
      </c>
      <c r="R3485" s="8">
        <f>IF(Q3485&lt;&gt;0,Q3485+H3485+L3485,0)</f>
        <v/>
      </c>
      <c r="S3485" s="9">
        <f>VLOOKUP(OPERAC[[#This Row],[especie]],[1]!ESPECIES[#Data],9,FALSE)</f>
        <v/>
      </c>
    </row>
    <row r="3486">
      <c r="A3486" s="4" t="n">
        <v>15195</v>
      </c>
      <c r="B3486" s="5" t="n">
        <v>44616</v>
      </c>
      <c r="C3486" s="13" t="inlineStr">
        <is>
          <t>CPR</t>
        </is>
      </c>
      <c r="D3486" s="13" t="n">
        <v>32</v>
      </c>
      <c r="E3486" s="10">
        <f>IF(D3486&gt;0,VLOOKUP(OPERAC[[#This Row],[COD CART]],[1]!MatrizCortoLargoCyl[#All],3,0),"")</f>
        <v/>
      </c>
      <c r="F3486" s="13" t="inlineStr">
        <is>
          <t>TEVA/CYL/8,00/18-03-22</t>
        </is>
      </c>
      <c r="G3486" s="6" t="n">
        <v>100</v>
      </c>
      <c r="H3486" s="6" t="n">
        <v>-762.2553999999999</v>
      </c>
      <c r="I3486" s="7">
        <f>-H3486/G3486</f>
        <v/>
      </c>
      <c r="J3486" s="11" t="n">
        <v>44638</v>
      </c>
      <c r="K3486" s="6" t="n">
        <v>100</v>
      </c>
      <c r="L3486" s="6">
        <f>7.8242*OPERAC[[#This Row],[cantidad venta]]</f>
        <v/>
      </c>
      <c r="M3486" s="7">
        <f>IF(N3486=0,+L3486+H3486,0)</f>
        <v/>
      </c>
      <c r="N3486" s="7">
        <f>IF((+G3486-K3486)=0,0,+G3486-K3486)</f>
        <v/>
      </c>
      <c r="O3486" s="7">
        <f>IF(N3486=0,0,(L3486+H3486)/-N3486)</f>
        <v/>
      </c>
      <c r="P3486" s="7">
        <f>VLOOKUP(OPERAC[[#This Row],[especie]],[1]!ESPECIES[#All],6,0)</f>
        <v/>
      </c>
      <c r="Q3486" s="7">
        <f>IF(N3486&lt;&gt;0,P3486*N3486,0)</f>
        <v/>
      </c>
      <c r="R3486" s="8">
        <f>IF(Q3486&lt;&gt;0,Q3486+H3486+L3486,0)</f>
        <v/>
      </c>
      <c r="S3486" s="9">
        <f>VLOOKUP(OPERAC[[#This Row],[especie]],[1]!ESPECIES[#Data],9,FALSE)</f>
        <v/>
      </c>
    </row>
    <row r="3487">
      <c r="A3487" s="4" t="n">
        <v>22407</v>
      </c>
      <c r="B3487" s="5" t="n">
        <v>44616</v>
      </c>
      <c r="C3487" s="13" t="inlineStr">
        <is>
          <t>CPR</t>
        </is>
      </c>
      <c r="D3487" s="13" t="n">
        <v>32</v>
      </c>
      <c r="E3487" s="10">
        <f>IF(D3487&gt;0,VLOOKUP(OPERAC[[#This Row],[COD CART]],[1]!MatrizCortoLargoCyl[#All],3,0),"")</f>
        <v/>
      </c>
      <c r="F3487" s="13" t="inlineStr">
        <is>
          <t>TEVA/CYL/8,00/18-03-22</t>
        </is>
      </c>
      <c r="G3487" s="6" t="n">
        <v>100</v>
      </c>
      <c r="H3487" s="6" t="n">
        <v>-762.2553999999999</v>
      </c>
      <c r="I3487" s="7">
        <f>-H3487/G3487</f>
        <v/>
      </c>
      <c r="J3487" s="11" t="n">
        <v>44638</v>
      </c>
      <c r="K3487" s="6" t="n">
        <v>100</v>
      </c>
      <c r="L3487" s="6">
        <f>7.8242*OPERAC[[#This Row],[cantidad venta]]</f>
        <v/>
      </c>
      <c r="M3487" s="7">
        <f>IF(N3487=0,+L3487+H3487,0)</f>
        <v/>
      </c>
      <c r="N3487" s="7">
        <f>IF((+G3487-K3487)=0,0,+G3487-K3487)</f>
        <v/>
      </c>
      <c r="O3487" s="7">
        <f>IF(N3487=0,0,(L3487+H3487)/-N3487)</f>
        <v/>
      </c>
      <c r="P3487" s="7">
        <f>VLOOKUP(OPERAC[[#This Row],[especie]],[1]!ESPECIES[#All],6,0)</f>
        <v/>
      </c>
      <c r="Q3487" s="7">
        <f>IF(N3487&lt;&gt;0,P3487*N3487,0)</f>
        <v/>
      </c>
      <c r="R3487" s="8">
        <f>IF(Q3487&lt;&gt;0,Q3487+H3487+L3487,0)</f>
        <v/>
      </c>
      <c r="S3487" s="9">
        <f>VLOOKUP(OPERAC[[#This Row],[especie]],[1]!ESPECIES[#Data],9,FALSE)</f>
        <v/>
      </c>
    </row>
    <row r="3488">
      <c r="A3488" s="4" t="n">
        <v>22439</v>
      </c>
      <c r="B3488" s="5" t="n">
        <v>44616</v>
      </c>
      <c r="C3488" s="13" t="inlineStr">
        <is>
          <t>CPR</t>
        </is>
      </c>
      <c r="D3488" s="13" t="n">
        <v>32</v>
      </c>
      <c r="E3488" s="10">
        <f>IF(D3488&gt;0,VLOOKUP(OPERAC[[#This Row],[COD CART]],[1]!MatrizCortoLargoCyl[#All],3,0),"")</f>
        <v/>
      </c>
      <c r="F3488" s="13" t="inlineStr">
        <is>
          <t>TEVA/CYL/8,00/18-03-22</t>
        </is>
      </c>
      <c r="G3488" s="6" t="n">
        <v>100</v>
      </c>
      <c r="H3488" s="6" t="n">
        <v>-762.2553999999999</v>
      </c>
      <c r="I3488" s="7">
        <f>-H3488/G3488</f>
        <v/>
      </c>
      <c r="J3488" s="11" t="n">
        <v>44638</v>
      </c>
      <c r="K3488" s="6" t="n">
        <v>100</v>
      </c>
      <c r="L3488" s="6">
        <f>7.8242*OPERAC[[#This Row],[cantidad venta]]</f>
        <v/>
      </c>
      <c r="M3488" s="7">
        <f>IF(N3488=0,+L3488+H3488,0)</f>
        <v/>
      </c>
      <c r="N3488" s="7">
        <f>IF((+G3488-K3488)=0,0,+G3488-K3488)</f>
        <v/>
      </c>
      <c r="O3488" s="7">
        <f>IF(N3488=0,0,(L3488+H3488)/-N3488)</f>
        <v/>
      </c>
      <c r="P3488" s="7">
        <f>VLOOKUP(OPERAC[[#This Row],[especie]],[1]!ESPECIES[#All],6,0)</f>
        <v/>
      </c>
      <c r="Q3488" s="7">
        <f>IF(N3488&lt;&gt;0,P3488*N3488,0)</f>
        <v/>
      </c>
      <c r="R3488" s="8">
        <f>IF(Q3488&lt;&gt;0,Q3488+H3488+L3488,0)</f>
        <v/>
      </c>
      <c r="S3488" s="9">
        <f>VLOOKUP(OPERAC[[#This Row],[especie]],[1]!ESPECIES[#Data],9,FALSE)</f>
        <v/>
      </c>
    </row>
    <row r="3489">
      <c r="A3489" s="4" t="n">
        <v>1800</v>
      </c>
      <c r="B3489" s="5" t="n">
        <v>44671</v>
      </c>
      <c r="C3489" s="13" t="inlineStr">
        <is>
          <t>CPR</t>
        </is>
      </c>
      <c r="D3489" s="13" t="n">
        <v>42</v>
      </c>
      <c r="E3489" s="10">
        <f>IF(D3489&gt;0,VLOOKUP(OPERAC[[#This Row],[COD CART]],[1]!MatrizCortoLargoCyl[#All],3,0),"")</f>
        <v/>
      </c>
      <c r="F3489" s="13" t="inlineStr">
        <is>
          <t>NFLX</t>
        </is>
      </c>
      <c r="G3489" s="6" t="n">
        <v>3</v>
      </c>
      <c r="H3489" s="6" t="n">
        <v>-763.51518</v>
      </c>
      <c r="I3489" s="7">
        <f>-H3489/G3489</f>
        <v/>
      </c>
      <c r="J3489" s="11" t="n">
        <v>44693</v>
      </c>
      <c r="K3489" s="6">
        <f>+OPERAC[[#This Row],[cantidad]]</f>
        <v/>
      </c>
      <c r="L3489" s="6">
        <f>+OPERAC[[#This Row],[cantidad venta]]*164.905</f>
        <v/>
      </c>
      <c r="M3489" s="7">
        <f>IF(N3489=0,+L3489+H3489,0)</f>
        <v/>
      </c>
      <c r="N3489" s="7">
        <f>IF((+G3489-K3489)=0,0,+G3489-K3489)</f>
        <v/>
      </c>
      <c r="O3489" s="7">
        <f>IF(N3489=0,0,(L3489+H3489)/-N3489)</f>
        <v/>
      </c>
      <c r="P3489" s="7">
        <f>VLOOKUP(OPERAC[[#This Row],[especie]],[1]!ESPECIES[#All],6,0)</f>
        <v/>
      </c>
      <c r="Q3489" s="7">
        <f>IF(N3489&lt;&gt;0,P3489*N3489,0)</f>
        <v/>
      </c>
      <c r="R3489" s="8">
        <f>IF(Q3489&lt;&gt;0,Q3489+H3489+L3489,0)</f>
        <v/>
      </c>
      <c r="S3489" s="9">
        <f>VLOOKUP(OPERAC[[#This Row],[especie]],[1]!ESPECIES[#Data],9,FALSE)</f>
        <v/>
      </c>
    </row>
    <row r="3490">
      <c r="A3490" s="4" t="n">
        <v>2203</v>
      </c>
      <c r="B3490" s="5" t="n">
        <v>44671</v>
      </c>
      <c r="C3490" s="13" t="inlineStr">
        <is>
          <t>CPR</t>
        </is>
      </c>
      <c r="D3490" s="13" t="n">
        <v>42</v>
      </c>
      <c r="E3490" s="10">
        <f>IF(D3490&gt;0,VLOOKUP(OPERAC[[#This Row],[COD CART]],[1]!MatrizCortoLargoCyl[#All],3,0),"")</f>
        <v/>
      </c>
      <c r="F3490" s="13" t="inlineStr">
        <is>
          <t>NFLX</t>
        </is>
      </c>
      <c r="G3490" s="6" t="n">
        <v>3</v>
      </c>
      <c r="H3490" s="6" t="n">
        <v>-763.51518</v>
      </c>
      <c r="I3490" s="7">
        <f>-H3490/G3490</f>
        <v/>
      </c>
      <c r="J3490" s="11" t="n">
        <v>44693</v>
      </c>
      <c r="K3490" s="6">
        <f>+OPERAC[[#This Row],[cantidad]]</f>
        <v/>
      </c>
      <c r="L3490" s="6">
        <f>+OPERAC[[#This Row],[cantidad venta]]*164.905</f>
        <v/>
      </c>
      <c r="M3490" s="7">
        <f>IF(N3490=0,+L3490+H3490,0)</f>
        <v/>
      </c>
      <c r="N3490" s="7">
        <f>IF((+G3490-K3490)=0,0,+G3490-K3490)</f>
        <v/>
      </c>
      <c r="O3490" s="7">
        <f>IF(N3490=0,0,(L3490+H3490)/-N3490)</f>
        <v/>
      </c>
      <c r="P3490" s="7">
        <f>VLOOKUP(OPERAC[[#This Row],[especie]],[1]!ESPECIES[#All],6,0)</f>
        <v/>
      </c>
      <c r="Q3490" s="7">
        <f>IF(N3490&lt;&gt;0,P3490*N3490,0)</f>
        <v/>
      </c>
      <c r="R3490" s="8">
        <f>IF(Q3490&lt;&gt;0,Q3490+H3490+L3490,0)</f>
        <v/>
      </c>
      <c r="S3490" s="9">
        <f>VLOOKUP(OPERAC[[#This Row],[especie]],[1]!ESPECIES[#Data],9,FALSE)</f>
        <v/>
      </c>
    </row>
    <row r="3491">
      <c r="A3491" s="4" t="n">
        <v>2194</v>
      </c>
      <c r="B3491" s="5" t="n">
        <v>44671</v>
      </c>
      <c r="C3491" s="13" t="inlineStr">
        <is>
          <t>CPR</t>
        </is>
      </c>
      <c r="D3491" s="13" t="n">
        <v>42</v>
      </c>
      <c r="E3491" s="10">
        <f>IF(D3491&gt;0,VLOOKUP(OPERAC[[#This Row],[COD CART]],[1]!MatrizCortoLargoCyl[#All],3,0),"")</f>
        <v/>
      </c>
      <c r="F3491" s="13" t="inlineStr">
        <is>
          <t>NFLX</t>
        </is>
      </c>
      <c r="G3491" s="6" t="n">
        <v>3</v>
      </c>
      <c r="H3491" s="6" t="n">
        <v>-763.51518</v>
      </c>
      <c r="I3491" s="7">
        <f>-H3491/G3491</f>
        <v/>
      </c>
      <c r="J3491" s="11" t="n">
        <v>44686</v>
      </c>
      <c r="K3491" s="6" t="n">
        <v>3</v>
      </c>
      <c r="L3491" s="6" t="n">
        <v>577.4690000000001</v>
      </c>
      <c r="M3491" s="7">
        <f>IF(N3491=0,+L3491+H3491,0)</f>
        <v/>
      </c>
      <c r="N3491" s="7">
        <f>IF((+G3491-K3491)=0,0,+G3491-K3491)</f>
        <v/>
      </c>
      <c r="O3491" s="7">
        <f>IF(N3491=0,0,(L3491+H3491)/-N3491)</f>
        <v/>
      </c>
      <c r="P3491" s="7">
        <f>VLOOKUP(OPERAC[[#This Row],[especie]],[1]!ESPECIES[#All],6,0)</f>
        <v/>
      </c>
      <c r="Q3491" s="7">
        <f>IF(N3491&lt;&gt;0,P3491*N3491,0)</f>
        <v/>
      </c>
      <c r="R3491" s="8">
        <f>IF(Q3491&lt;&gt;0,Q3491+H3491+L3491,0)</f>
        <v/>
      </c>
      <c r="S3491" s="9">
        <f>VLOOKUP(OPERAC[[#This Row],[especie]],[1]!ESPECIES[#Data],9,FALSE)</f>
        <v/>
      </c>
    </row>
    <row r="3492">
      <c r="A3492" s="4" t="n">
        <v>2217</v>
      </c>
      <c r="B3492" s="5" t="n">
        <v>44671</v>
      </c>
      <c r="C3492" s="13" t="inlineStr">
        <is>
          <t>CPR</t>
        </is>
      </c>
      <c r="D3492" s="13" t="n">
        <v>42</v>
      </c>
      <c r="E3492" s="10">
        <f>IF(D3492&gt;0,VLOOKUP(OPERAC[[#This Row],[COD CART]],[1]!MatrizCortoLargoCyl[#All],3,0),"")</f>
        <v/>
      </c>
      <c r="F3492" s="13" t="inlineStr">
        <is>
          <t>NFLX</t>
        </is>
      </c>
      <c r="G3492" s="6" t="n">
        <v>3</v>
      </c>
      <c r="H3492" s="6" t="n">
        <v>-763.51518</v>
      </c>
      <c r="I3492" s="7">
        <f>-H3492/G3492</f>
        <v/>
      </c>
      <c r="J3492" s="11" t="n">
        <v>44693</v>
      </c>
      <c r="K3492" s="6">
        <f>+OPERAC[[#This Row],[cantidad]]</f>
        <v/>
      </c>
      <c r="L3492" s="6">
        <f>+OPERAC[[#This Row],[cantidad venta]]*164.905</f>
        <v/>
      </c>
      <c r="M3492" s="7">
        <f>IF(N3492=0,+L3492+H3492,0)</f>
        <v/>
      </c>
      <c r="N3492" s="7">
        <f>IF((+G3492-K3492)=0,0,+G3492-K3492)</f>
        <v/>
      </c>
      <c r="O3492" s="7">
        <f>IF(N3492=0,0,(L3492+H3492)/-N3492)</f>
        <v/>
      </c>
      <c r="P3492" s="7">
        <f>VLOOKUP(OPERAC[[#This Row],[especie]],[1]!ESPECIES[#All],6,0)</f>
        <v/>
      </c>
      <c r="Q3492" s="7">
        <f>IF(N3492&lt;&gt;0,P3492*N3492,0)</f>
        <v/>
      </c>
      <c r="R3492" s="8">
        <f>IF(Q3492&lt;&gt;0,Q3492+H3492+L3492,0)</f>
        <v/>
      </c>
      <c r="S3492" s="9">
        <f>VLOOKUP(OPERAC[[#This Row],[especie]],[1]!ESPECIES[#Data],9,FALSE)</f>
        <v/>
      </c>
    </row>
    <row r="3493">
      <c r="A3493" s="4" t="n">
        <v>3853</v>
      </c>
      <c r="B3493" s="5" t="n">
        <v>44671</v>
      </c>
      <c r="C3493" s="13" t="inlineStr">
        <is>
          <t>CPR</t>
        </is>
      </c>
      <c r="D3493" s="13" t="n">
        <v>42</v>
      </c>
      <c r="E3493" s="10">
        <f>IF(D3493&gt;0,VLOOKUP(OPERAC[[#This Row],[COD CART]],[1]!MatrizCortoLargoCyl[#All],3,0),"")</f>
        <v/>
      </c>
      <c r="F3493" s="13" t="inlineStr">
        <is>
          <t>NFLX</t>
        </is>
      </c>
      <c r="G3493" s="6" t="n">
        <v>3</v>
      </c>
      <c r="H3493" s="6" t="n">
        <v>-763.51518</v>
      </c>
      <c r="I3493" s="7">
        <f>-H3493/G3493</f>
        <v/>
      </c>
      <c r="J3493" s="11" t="n">
        <v>44693</v>
      </c>
      <c r="K3493" s="6">
        <f>+OPERAC[[#This Row],[cantidad]]</f>
        <v/>
      </c>
      <c r="L3493" s="6">
        <f>+OPERAC[[#This Row],[cantidad venta]]*169.079</f>
        <v/>
      </c>
      <c r="M3493" s="7">
        <f>IF(N3493=0,+L3493+H3493,0)</f>
        <v/>
      </c>
      <c r="N3493" s="7">
        <f>IF((+G3493-K3493)=0,0,+G3493-K3493)</f>
        <v/>
      </c>
      <c r="O3493" s="7">
        <f>IF(N3493=0,0,(L3493+H3493)/-N3493)</f>
        <v/>
      </c>
      <c r="P3493" s="7">
        <f>VLOOKUP(OPERAC[[#This Row],[especie]],[1]!ESPECIES[#All],6,0)</f>
        <v/>
      </c>
      <c r="Q3493" s="7">
        <f>IF(N3493&lt;&gt;0,P3493*N3493,0)</f>
        <v/>
      </c>
      <c r="R3493" s="8">
        <f>IF(Q3493&lt;&gt;0,Q3493+H3493+L3493,0)</f>
        <v/>
      </c>
      <c r="S3493" s="9">
        <f>VLOOKUP(OPERAC[[#This Row],[especie]],[1]!ESPECIES[#Data],9,FALSE)</f>
        <v/>
      </c>
    </row>
    <row r="3494">
      <c r="A3494" s="4" t="n">
        <v>4543</v>
      </c>
      <c r="B3494" s="5" t="n">
        <v>44671</v>
      </c>
      <c r="C3494" s="13" t="inlineStr">
        <is>
          <t>CPR</t>
        </is>
      </c>
      <c r="D3494" s="13" t="n">
        <v>42</v>
      </c>
      <c r="E3494" s="10">
        <f>IF(D3494&gt;0,VLOOKUP(OPERAC[[#This Row],[COD CART]],[1]!MatrizCortoLargoCyl[#All],3,0),"")</f>
        <v/>
      </c>
      <c r="F3494" s="13" t="inlineStr">
        <is>
          <t>NFLX</t>
        </is>
      </c>
      <c r="G3494" s="6" t="n">
        <v>3</v>
      </c>
      <c r="H3494" s="6" t="n">
        <v>-763.51518</v>
      </c>
      <c r="I3494" s="7">
        <f>-H3494/G3494</f>
        <v/>
      </c>
      <c r="J3494" s="11" t="n">
        <v>44693</v>
      </c>
      <c r="K3494" s="6">
        <f>+OPERAC[[#This Row],[cantidad]]</f>
        <v/>
      </c>
      <c r="L3494" s="6">
        <f>+OPERAC[[#This Row],[cantidad venta]]*169.079</f>
        <v/>
      </c>
      <c r="M3494" s="7">
        <f>IF(N3494=0,+L3494+H3494,0)</f>
        <v/>
      </c>
      <c r="N3494" s="7">
        <f>IF((+G3494-K3494)=0,0,+G3494-K3494)</f>
        <v/>
      </c>
      <c r="O3494" s="7">
        <f>IF(N3494=0,0,(L3494+H3494)/-N3494)</f>
        <v/>
      </c>
      <c r="P3494" s="7">
        <f>VLOOKUP(OPERAC[[#This Row],[especie]],[1]!ESPECIES[#All],6,0)</f>
        <v/>
      </c>
      <c r="Q3494" s="7">
        <f>IF(N3494&lt;&gt;0,P3494*N3494,0)</f>
        <v/>
      </c>
      <c r="R3494" s="8">
        <f>IF(Q3494&lt;&gt;0,Q3494+H3494+L3494,0)</f>
        <v/>
      </c>
      <c r="S3494" s="9">
        <f>VLOOKUP(OPERAC[[#This Row],[especie]],[1]!ESPECIES[#Data],9,FALSE)</f>
        <v/>
      </c>
    </row>
    <row r="3495">
      <c r="A3495" s="4" t="n">
        <v>4561</v>
      </c>
      <c r="B3495" s="5" t="n">
        <v>44671</v>
      </c>
      <c r="C3495" s="13" t="inlineStr">
        <is>
          <t>CPR</t>
        </is>
      </c>
      <c r="D3495" s="13" t="n">
        <v>42</v>
      </c>
      <c r="E3495" s="10">
        <f>IF(D3495&gt;0,VLOOKUP(OPERAC[[#This Row],[COD CART]],[1]!MatrizCortoLargoCyl[#All],3,0),"")</f>
        <v/>
      </c>
      <c r="F3495" s="13" t="inlineStr">
        <is>
          <t>NFLX</t>
        </is>
      </c>
      <c r="G3495" s="6" t="n">
        <v>3</v>
      </c>
      <c r="H3495" s="6" t="n">
        <v>-763.51518</v>
      </c>
      <c r="I3495" s="7">
        <f>-H3495/G3495</f>
        <v/>
      </c>
      <c r="J3495" s="11" t="n">
        <v>44693</v>
      </c>
      <c r="K3495" s="6">
        <f>+OPERAC[[#This Row],[cantidad]]</f>
        <v/>
      </c>
      <c r="L3495" s="6">
        <f>+OPERAC[[#This Row],[cantidad venta]]*169.079</f>
        <v/>
      </c>
      <c r="M3495" s="7">
        <f>IF(N3495=0,+L3495+H3495,0)</f>
        <v/>
      </c>
      <c r="N3495" s="7">
        <f>IF((+G3495-K3495)=0,0,+G3495-K3495)</f>
        <v/>
      </c>
      <c r="O3495" s="7">
        <f>IF(N3495=0,0,(L3495+H3495)/-N3495)</f>
        <v/>
      </c>
      <c r="P3495" s="7">
        <f>VLOOKUP(OPERAC[[#This Row],[especie]],[1]!ESPECIES[#All],6,0)</f>
        <v/>
      </c>
      <c r="Q3495" s="7">
        <f>IF(N3495&lt;&gt;0,P3495*N3495,0)</f>
        <v/>
      </c>
      <c r="R3495" s="8">
        <f>IF(Q3495&lt;&gt;0,Q3495+H3495+L3495,0)</f>
        <v/>
      </c>
      <c r="S3495" s="9">
        <f>VLOOKUP(OPERAC[[#This Row],[especie]],[1]!ESPECIES[#Data],9,FALSE)</f>
        <v/>
      </c>
    </row>
    <row r="3496">
      <c r="A3496" s="4" t="n">
        <v>6578</v>
      </c>
      <c r="B3496" s="5" t="n">
        <v>44671</v>
      </c>
      <c r="C3496" s="13" t="inlineStr">
        <is>
          <t>CPR</t>
        </is>
      </c>
      <c r="D3496" s="13" t="n">
        <v>42</v>
      </c>
      <c r="E3496" s="10">
        <f>IF(D3496&gt;0,VLOOKUP(OPERAC[[#This Row],[COD CART]],[1]!MatrizCortoLargoCyl[#All],3,0),"")</f>
        <v/>
      </c>
      <c r="F3496" s="13" t="inlineStr">
        <is>
          <t>NFLX</t>
        </is>
      </c>
      <c r="G3496" s="6" t="n">
        <v>3</v>
      </c>
      <c r="H3496" s="6" t="n">
        <v>-763.51518</v>
      </c>
      <c r="I3496" s="7">
        <f>-H3496/G3496</f>
        <v/>
      </c>
      <c r="J3496" s="11" t="n">
        <v>44693</v>
      </c>
      <c r="K3496" s="6">
        <f>+OPERAC[[#This Row],[cantidad]]</f>
        <v/>
      </c>
      <c r="L3496" s="6">
        <f>+OPERAC[[#This Row],[cantidad venta]]*169.079</f>
        <v/>
      </c>
      <c r="M3496" s="7">
        <f>IF(N3496=0,+L3496+H3496,0)</f>
        <v/>
      </c>
      <c r="N3496" s="7">
        <f>IF((+G3496-K3496)=0,0,+G3496-K3496)</f>
        <v/>
      </c>
      <c r="O3496" s="7">
        <f>IF(N3496=0,0,(L3496+H3496)/-N3496)</f>
        <v/>
      </c>
      <c r="P3496" s="7">
        <f>VLOOKUP(OPERAC[[#This Row],[especie]],[1]!ESPECIES[#All],6,0)</f>
        <v/>
      </c>
      <c r="Q3496" s="7">
        <f>IF(N3496&lt;&gt;0,P3496*N3496,0)</f>
        <v/>
      </c>
      <c r="R3496" s="8">
        <f>IF(Q3496&lt;&gt;0,Q3496+H3496+L3496,0)</f>
        <v/>
      </c>
      <c r="S3496" s="9">
        <f>VLOOKUP(OPERAC[[#This Row],[especie]],[1]!ESPECIES[#Data],9,FALSE)</f>
        <v/>
      </c>
    </row>
    <row r="3497">
      <c r="A3497" s="4" t="n">
        <v>6579</v>
      </c>
      <c r="B3497" s="5" t="n">
        <v>44671</v>
      </c>
      <c r="C3497" s="13" t="inlineStr">
        <is>
          <t>CPR</t>
        </is>
      </c>
      <c r="D3497" s="13" t="n">
        <v>42</v>
      </c>
      <c r="E3497" s="10">
        <f>IF(D3497&gt;0,VLOOKUP(OPERAC[[#This Row],[COD CART]],[1]!MatrizCortoLargoCyl[#All],3,0),"")</f>
        <v/>
      </c>
      <c r="F3497" s="13" t="inlineStr">
        <is>
          <t>NFLX</t>
        </is>
      </c>
      <c r="G3497" s="6" t="n">
        <v>3</v>
      </c>
      <c r="H3497" s="6" t="n">
        <v>-763.51518</v>
      </c>
      <c r="I3497" s="7">
        <f>-H3497/G3497</f>
        <v/>
      </c>
      <c r="J3497" s="11" t="n">
        <v>44693</v>
      </c>
      <c r="K3497" s="6">
        <f>+OPERAC[[#This Row],[cantidad]]</f>
        <v/>
      </c>
      <c r="L3497" s="6">
        <f>+OPERAC[[#This Row],[cantidad venta]]*169.079</f>
        <v/>
      </c>
      <c r="M3497" s="7">
        <f>IF(N3497=0,+L3497+H3497,0)</f>
        <v/>
      </c>
      <c r="N3497" s="7">
        <f>IF((+G3497-K3497)=0,0,+G3497-K3497)</f>
        <v/>
      </c>
      <c r="O3497" s="7">
        <f>IF(N3497=0,0,(L3497+H3497)/-N3497)</f>
        <v/>
      </c>
      <c r="P3497" s="7">
        <f>VLOOKUP(OPERAC[[#This Row],[especie]],[1]!ESPECIES[#All],6,0)</f>
        <v/>
      </c>
      <c r="Q3497" s="7">
        <f>IF(N3497&lt;&gt;0,P3497*N3497,0)</f>
        <v/>
      </c>
      <c r="R3497" s="8">
        <f>IF(Q3497&lt;&gt;0,Q3497+H3497+L3497,0)</f>
        <v/>
      </c>
      <c r="S3497" s="9">
        <f>VLOOKUP(OPERAC[[#This Row],[especie]],[1]!ESPECIES[#Data],9,FALSE)</f>
        <v/>
      </c>
    </row>
    <row r="3498">
      <c r="A3498" s="4" t="n">
        <v>7493</v>
      </c>
      <c r="B3498" s="5" t="n">
        <v>44671</v>
      </c>
      <c r="C3498" s="13" t="inlineStr">
        <is>
          <t>CPR</t>
        </is>
      </c>
      <c r="D3498" s="13" t="n">
        <v>42</v>
      </c>
      <c r="E3498" s="10">
        <f>IF(D3498&gt;0,VLOOKUP(OPERAC[[#This Row],[COD CART]],[1]!MatrizCortoLargoCyl[#All],3,0),"")</f>
        <v/>
      </c>
      <c r="F3498" s="13" t="inlineStr">
        <is>
          <t>NFLX</t>
        </is>
      </c>
      <c r="G3498" s="6" t="n">
        <v>3</v>
      </c>
      <c r="H3498" s="6" t="n">
        <v>-763.51518</v>
      </c>
      <c r="I3498" s="7">
        <f>-H3498/G3498</f>
        <v/>
      </c>
      <c r="J3498" s="11" t="n">
        <v>44693</v>
      </c>
      <c r="K3498" s="6">
        <f>+OPERAC[[#This Row],[cantidad]]</f>
        <v/>
      </c>
      <c r="L3498" s="6">
        <f>+OPERAC[[#This Row],[cantidad venta]]*169.079</f>
        <v/>
      </c>
      <c r="M3498" s="7">
        <f>IF(N3498=0,+L3498+H3498,0)</f>
        <v/>
      </c>
      <c r="N3498" s="7">
        <f>IF((+G3498-K3498)=0,0,+G3498-K3498)</f>
        <v/>
      </c>
      <c r="O3498" s="7">
        <f>IF(N3498=0,0,(L3498+H3498)/-N3498)</f>
        <v/>
      </c>
      <c r="P3498" s="7">
        <f>VLOOKUP(OPERAC[[#This Row],[especie]],[1]!ESPECIES[#All],6,0)</f>
        <v/>
      </c>
      <c r="Q3498" s="7">
        <f>IF(N3498&lt;&gt;0,P3498*N3498,0)</f>
        <v/>
      </c>
      <c r="R3498" s="8">
        <f>IF(Q3498&lt;&gt;0,Q3498+H3498+L3498,0)</f>
        <v/>
      </c>
      <c r="S3498" s="9">
        <f>VLOOKUP(OPERAC[[#This Row],[especie]],[1]!ESPECIES[#Data],9,FALSE)</f>
        <v/>
      </c>
    </row>
    <row r="3499">
      <c r="A3499" s="4" t="n">
        <v>7867</v>
      </c>
      <c r="B3499" s="5" t="n">
        <v>44671</v>
      </c>
      <c r="C3499" s="13" t="inlineStr">
        <is>
          <t>CPR</t>
        </is>
      </c>
      <c r="D3499" s="13" t="n">
        <v>42</v>
      </c>
      <c r="E3499" s="10">
        <f>IF(D3499&gt;0,VLOOKUP(OPERAC[[#This Row],[COD CART]],[1]!MatrizCortoLargoCyl[#All],3,0),"")</f>
        <v/>
      </c>
      <c r="F3499" s="13" t="inlineStr">
        <is>
          <t>NFLX</t>
        </is>
      </c>
      <c r="G3499" s="6" t="n">
        <v>3</v>
      </c>
      <c r="H3499" s="6" t="n">
        <v>-763.51518</v>
      </c>
      <c r="I3499" s="7">
        <f>-H3499/G3499</f>
        <v/>
      </c>
      <c r="J3499" s="11" t="n">
        <v>44693</v>
      </c>
      <c r="K3499" s="6">
        <f>+OPERAC[[#This Row],[cantidad]]</f>
        <v/>
      </c>
      <c r="L3499" s="6">
        <f>+OPERAC[[#This Row],[cantidad venta]]*169.079</f>
        <v/>
      </c>
      <c r="M3499" s="7">
        <f>IF(N3499=0,+L3499+H3499,0)</f>
        <v/>
      </c>
      <c r="N3499" s="7">
        <f>IF((+G3499-K3499)=0,0,+G3499-K3499)</f>
        <v/>
      </c>
      <c r="O3499" s="7">
        <f>IF(N3499=0,0,(L3499+H3499)/-N3499)</f>
        <v/>
      </c>
      <c r="P3499" s="7">
        <f>VLOOKUP(OPERAC[[#This Row],[especie]],[1]!ESPECIES[#All],6,0)</f>
        <v/>
      </c>
      <c r="Q3499" s="7">
        <f>IF(N3499&lt;&gt;0,P3499*N3499,0)</f>
        <v/>
      </c>
      <c r="R3499" s="8">
        <f>IF(Q3499&lt;&gt;0,Q3499+H3499+L3499,0)</f>
        <v/>
      </c>
      <c r="S3499" s="9">
        <f>VLOOKUP(OPERAC[[#This Row],[especie]],[1]!ESPECIES[#Data],9,FALSE)</f>
        <v/>
      </c>
    </row>
    <row r="3500">
      <c r="A3500" s="4" t="n">
        <v>7895</v>
      </c>
      <c r="B3500" s="5" t="n">
        <v>44671</v>
      </c>
      <c r="C3500" s="13" t="inlineStr">
        <is>
          <t>CPR</t>
        </is>
      </c>
      <c r="D3500" s="13" t="n">
        <v>42</v>
      </c>
      <c r="E3500" s="10">
        <f>IF(D3500&gt;0,VLOOKUP(OPERAC[[#This Row],[COD CART]],[1]!MatrizCortoLargoCyl[#All],3,0),"")</f>
        <v/>
      </c>
      <c r="F3500" s="13" t="inlineStr">
        <is>
          <t>NFLX</t>
        </is>
      </c>
      <c r="G3500" s="6" t="n">
        <v>3</v>
      </c>
      <c r="H3500" s="6" t="n">
        <v>-763.51518</v>
      </c>
      <c r="I3500" s="7">
        <f>-H3500/G3500</f>
        <v/>
      </c>
      <c r="J3500" s="11" t="n">
        <v>44693</v>
      </c>
      <c r="K3500" s="6">
        <f>+OPERAC[[#This Row],[cantidad]]</f>
        <v/>
      </c>
      <c r="L3500" s="6">
        <f>+OPERAC[[#This Row],[cantidad venta]]*169.079</f>
        <v/>
      </c>
      <c r="M3500" s="7">
        <f>IF(N3500=0,+L3500+H3500,0)</f>
        <v/>
      </c>
      <c r="N3500" s="7">
        <f>IF((+G3500-K3500)=0,0,+G3500-K3500)</f>
        <v/>
      </c>
      <c r="O3500" s="7">
        <f>IF(N3500=0,0,(L3500+H3500)/-N3500)</f>
        <v/>
      </c>
      <c r="P3500" s="7">
        <f>VLOOKUP(OPERAC[[#This Row],[especie]],[1]!ESPECIES[#All],6,0)</f>
        <v/>
      </c>
      <c r="Q3500" s="7">
        <f>IF(N3500&lt;&gt;0,P3500*N3500,0)</f>
        <v/>
      </c>
      <c r="R3500" s="8">
        <f>IF(Q3500&lt;&gt;0,Q3500+H3500+L3500,0)</f>
        <v/>
      </c>
      <c r="S3500" s="9">
        <f>VLOOKUP(OPERAC[[#This Row],[especie]],[1]!ESPECIES[#Data],9,FALSE)</f>
        <v/>
      </c>
    </row>
    <row r="3501">
      <c r="A3501" s="4" t="n">
        <v>7916</v>
      </c>
      <c r="B3501" s="5" t="n">
        <v>44671</v>
      </c>
      <c r="C3501" s="13" t="inlineStr">
        <is>
          <t>CPR</t>
        </is>
      </c>
      <c r="D3501" s="13" t="n">
        <v>42</v>
      </c>
      <c r="E3501" s="10">
        <f>IF(D3501&gt;0,VLOOKUP(OPERAC[[#This Row],[COD CART]],[1]!MatrizCortoLargoCyl[#All],3,0),"")</f>
        <v/>
      </c>
      <c r="F3501" s="13" t="inlineStr">
        <is>
          <t>NFLX</t>
        </is>
      </c>
      <c r="G3501" s="6" t="n">
        <v>3</v>
      </c>
      <c r="H3501" s="6" t="n">
        <v>-763.51518</v>
      </c>
      <c r="I3501" s="7">
        <f>-H3501/G3501</f>
        <v/>
      </c>
      <c r="J3501" s="11" t="n">
        <v>44693</v>
      </c>
      <c r="K3501" s="6">
        <f>+OPERAC[[#This Row],[cantidad]]</f>
        <v/>
      </c>
      <c r="L3501" s="6">
        <f>+OPERAC[[#This Row],[cantidad venta]]*169.079</f>
        <v/>
      </c>
      <c r="M3501" s="7">
        <f>IF(N3501=0,+L3501+H3501,0)</f>
        <v/>
      </c>
      <c r="N3501" s="7">
        <f>IF((+G3501-K3501)=0,0,+G3501-K3501)</f>
        <v/>
      </c>
      <c r="O3501" s="7">
        <f>IF(N3501=0,0,(L3501+H3501)/-N3501)</f>
        <v/>
      </c>
      <c r="P3501" s="7">
        <f>VLOOKUP(OPERAC[[#This Row],[especie]],[1]!ESPECIES[#All],6,0)</f>
        <v/>
      </c>
      <c r="Q3501" s="7">
        <f>IF(N3501&lt;&gt;0,P3501*N3501,0)</f>
        <v/>
      </c>
      <c r="R3501" s="8">
        <f>IF(Q3501&lt;&gt;0,Q3501+H3501+L3501,0)</f>
        <v/>
      </c>
      <c r="S3501" s="9">
        <f>VLOOKUP(OPERAC[[#This Row],[especie]],[1]!ESPECIES[#Data],9,FALSE)</f>
        <v/>
      </c>
    </row>
    <row r="3502">
      <c r="A3502" s="4" t="n">
        <v>11168</v>
      </c>
      <c r="B3502" s="5" t="n">
        <v>44671</v>
      </c>
      <c r="C3502" s="13" t="inlineStr">
        <is>
          <t>CPR</t>
        </is>
      </c>
      <c r="D3502" s="13" t="n">
        <v>42</v>
      </c>
      <c r="E3502" s="10">
        <f>IF(D3502&gt;0,VLOOKUP(OPERAC[[#This Row],[COD CART]],[1]!MatrizCortoLargoCyl[#All],3,0),"")</f>
        <v/>
      </c>
      <c r="F3502" s="13" t="inlineStr">
        <is>
          <t>NFLX</t>
        </is>
      </c>
      <c r="G3502" s="6" t="n">
        <v>3</v>
      </c>
      <c r="H3502" s="6" t="n">
        <v>-763.51518</v>
      </c>
      <c r="I3502" s="7">
        <f>-H3502/G3502</f>
        <v/>
      </c>
      <c r="J3502" s="11" t="n">
        <v>44693</v>
      </c>
      <c r="K3502" s="6">
        <f>+OPERAC[[#This Row],[cantidad]]</f>
        <v/>
      </c>
      <c r="L3502" s="6">
        <f>+OPERAC[[#This Row],[cantidad venta]]*169.079</f>
        <v/>
      </c>
      <c r="M3502" s="7">
        <f>IF(N3502=0,+L3502+H3502,0)</f>
        <v/>
      </c>
      <c r="N3502" s="7">
        <f>IF((+G3502-K3502)=0,0,+G3502-K3502)</f>
        <v/>
      </c>
      <c r="O3502" s="7">
        <f>IF(N3502=0,0,(L3502+H3502)/-N3502)</f>
        <v/>
      </c>
      <c r="P3502" s="7">
        <f>VLOOKUP(OPERAC[[#This Row],[especie]],[1]!ESPECIES[#All],6,0)</f>
        <v/>
      </c>
      <c r="Q3502" s="7">
        <f>IF(N3502&lt;&gt;0,P3502*N3502,0)</f>
        <v/>
      </c>
      <c r="R3502" s="8">
        <f>IF(Q3502&lt;&gt;0,Q3502+H3502+L3502,0)</f>
        <v/>
      </c>
      <c r="S3502" s="9">
        <f>VLOOKUP(OPERAC[[#This Row],[especie]],[1]!ESPECIES[#Data],9,FALSE)</f>
        <v/>
      </c>
    </row>
    <row r="3503">
      <c r="A3503" s="4" t="n">
        <v>12619</v>
      </c>
      <c r="B3503" s="5" t="n">
        <v>44671</v>
      </c>
      <c r="C3503" s="13" t="inlineStr">
        <is>
          <t>CPR</t>
        </is>
      </c>
      <c r="D3503" s="13" t="n">
        <v>42</v>
      </c>
      <c r="E3503" s="10">
        <f>IF(D3503&gt;0,VLOOKUP(OPERAC[[#This Row],[COD CART]],[1]!MatrizCortoLargoCyl[#All],3,0),"")</f>
        <v/>
      </c>
      <c r="F3503" s="13" t="inlineStr">
        <is>
          <t>NFLX</t>
        </is>
      </c>
      <c r="G3503" s="6" t="n">
        <v>3</v>
      </c>
      <c r="H3503" s="6" t="n">
        <v>-763.51518</v>
      </c>
      <c r="I3503" s="7">
        <f>-H3503/G3503</f>
        <v/>
      </c>
      <c r="J3503" s="11" t="n">
        <v>44693</v>
      </c>
      <c r="K3503" s="6">
        <f>+OPERAC[[#This Row],[cantidad]]</f>
        <v/>
      </c>
      <c r="L3503" s="6">
        <f>+OPERAC[[#This Row],[cantidad venta]]*169.079</f>
        <v/>
      </c>
      <c r="M3503" s="7">
        <f>IF(N3503=0,+L3503+H3503,0)</f>
        <v/>
      </c>
      <c r="N3503" s="7">
        <f>IF((+G3503-K3503)=0,0,+G3503-K3503)</f>
        <v/>
      </c>
      <c r="O3503" s="7">
        <f>IF(N3503=0,0,(L3503+H3503)/-N3503)</f>
        <v/>
      </c>
      <c r="P3503" s="7">
        <f>VLOOKUP(OPERAC[[#This Row],[especie]],[1]!ESPECIES[#All],6,0)</f>
        <v/>
      </c>
      <c r="Q3503" s="7">
        <f>IF(N3503&lt;&gt;0,P3503*N3503,0)</f>
        <v/>
      </c>
      <c r="R3503" s="8">
        <f>IF(Q3503&lt;&gt;0,Q3503+H3503+L3503,0)</f>
        <v/>
      </c>
      <c r="S3503" s="9">
        <f>VLOOKUP(OPERAC[[#This Row],[especie]],[1]!ESPECIES[#Data],9,FALSE)</f>
        <v/>
      </c>
    </row>
    <row r="3504">
      <c r="A3504" s="4" t="n">
        <v>12672</v>
      </c>
      <c r="B3504" s="5" t="n">
        <v>44671</v>
      </c>
      <c r="C3504" s="13" t="inlineStr">
        <is>
          <t>CPR</t>
        </is>
      </c>
      <c r="D3504" s="13" t="n">
        <v>42</v>
      </c>
      <c r="E3504" s="10">
        <f>IF(D3504&gt;0,VLOOKUP(OPERAC[[#This Row],[COD CART]],[1]!MatrizCortoLargoCyl[#All],3,0),"")</f>
        <v/>
      </c>
      <c r="F3504" s="13" t="inlineStr">
        <is>
          <t>NFLX</t>
        </is>
      </c>
      <c r="G3504" s="6" t="n">
        <v>3</v>
      </c>
      <c r="H3504" s="6" t="n">
        <v>-763.51518</v>
      </c>
      <c r="I3504" s="7">
        <f>-H3504/G3504</f>
        <v/>
      </c>
      <c r="J3504" s="11" t="n">
        <v>44693</v>
      </c>
      <c r="K3504" s="6">
        <f>+OPERAC[[#This Row],[cantidad]]</f>
        <v/>
      </c>
      <c r="L3504" s="6">
        <f>+OPERAC[[#This Row],[cantidad venta]]*169.079</f>
        <v/>
      </c>
      <c r="M3504" s="7">
        <f>IF(N3504=0,+L3504+H3504,0)</f>
        <v/>
      </c>
      <c r="N3504" s="7">
        <f>IF((+G3504-K3504)=0,0,+G3504-K3504)</f>
        <v/>
      </c>
      <c r="O3504" s="7">
        <f>IF(N3504=0,0,(L3504+H3504)/-N3504)</f>
        <v/>
      </c>
      <c r="P3504" s="7">
        <f>VLOOKUP(OPERAC[[#This Row],[especie]],[1]!ESPECIES[#All],6,0)</f>
        <v/>
      </c>
      <c r="Q3504" s="7">
        <f>IF(N3504&lt;&gt;0,P3504*N3504,0)</f>
        <v/>
      </c>
      <c r="R3504" s="8">
        <f>IF(Q3504&lt;&gt;0,Q3504+H3504+L3504,0)</f>
        <v/>
      </c>
      <c r="S3504" s="9">
        <f>VLOOKUP(OPERAC[[#This Row],[especie]],[1]!ESPECIES[#Data],9,FALSE)</f>
        <v/>
      </c>
    </row>
    <row r="3505">
      <c r="A3505" s="4" t="n">
        <v>13190</v>
      </c>
      <c r="B3505" s="5" t="n">
        <v>44671</v>
      </c>
      <c r="C3505" s="13" t="inlineStr">
        <is>
          <t>CPR</t>
        </is>
      </c>
      <c r="D3505" s="13" t="n">
        <v>42</v>
      </c>
      <c r="E3505" s="10">
        <f>IF(D3505&gt;0,VLOOKUP(OPERAC[[#This Row],[COD CART]],[1]!MatrizCortoLargoCyl[#All],3,0),"")</f>
        <v/>
      </c>
      <c r="F3505" s="13" t="inlineStr">
        <is>
          <t>NFLX</t>
        </is>
      </c>
      <c r="G3505" s="6" t="n">
        <v>3</v>
      </c>
      <c r="H3505" s="6" t="n">
        <v>-763.51518</v>
      </c>
      <c r="I3505" s="7">
        <f>-H3505/G3505</f>
        <v/>
      </c>
      <c r="J3505" s="11" t="n">
        <v>44693</v>
      </c>
      <c r="K3505" s="6">
        <f>+OPERAC[[#This Row],[cantidad]]</f>
        <v/>
      </c>
      <c r="L3505" s="6">
        <f>+OPERAC[[#This Row],[cantidad venta]]*169.079</f>
        <v/>
      </c>
      <c r="M3505" s="7">
        <f>IF(N3505=0,+L3505+H3505,0)</f>
        <v/>
      </c>
      <c r="N3505" s="7">
        <f>IF((+G3505-K3505)=0,0,+G3505-K3505)</f>
        <v/>
      </c>
      <c r="O3505" s="7">
        <f>IF(N3505=0,0,(L3505+H3505)/-N3505)</f>
        <v/>
      </c>
      <c r="P3505" s="7">
        <f>VLOOKUP(OPERAC[[#This Row],[especie]],[1]!ESPECIES[#All],6,0)</f>
        <v/>
      </c>
      <c r="Q3505" s="7">
        <f>IF(N3505&lt;&gt;0,P3505*N3505,0)</f>
        <v/>
      </c>
      <c r="R3505" s="8">
        <f>IF(Q3505&lt;&gt;0,Q3505+H3505+L3505,0)</f>
        <v/>
      </c>
      <c r="S3505" s="9">
        <f>VLOOKUP(OPERAC[[#This Row],[especie]],[1]!ESPECIES[#Data],9,FALSE)</f>
        <v/>
      </c>
    </row>
    <row r="3506">
      <c r="A3506" s="4" t="n">
        <v>13269</v>
      </c>
      <c r="B3506" s="5" t="n">
        <v>44671</v>
      </c>
      <c r="C3506" s="13" t="inlineStr">
        <is>
          <t>CPR</t>
        </is>
      </c>
      <c r="D3506" s="13" t="n">
        <v>42</v>
      </c>
      <c r="E3506" s="10">
        <f>IF(D3506&gt;0,VLOOKUP(OPERAC[[#This Row],[COD CART]],[1]!MatrizCortoLargoCyl[#All],3,0),"")</f>
        <v/>
      </c>
      <c r="F3506" s="13" t="inlineStr">
        <is>
          <t>NFLX</t>
        </is>
      </c>
      <c r="G3506" s="6" t="n">
        <v>3</v>
      </c>
      <c r="H3506" s="6" t="n">
        <v>-763.51518</v>
      </c>
      <c r="I3506" s="7">
        <f>-H3506/G3506</f>
        <v/>
      </c>
      <c r="J3506" s="11" t="n">
        <v>44693</v>
      </c>
      <c r="K3506" s="6">
        <f>+OPERAC[[#This Row],[cantidad]]</f>
        <v/>
      </c>
      <c r="L3506" s="6">
        <f>+OPERAC[[#This Row],[cantidad venta]]*169.079</f>
        <v/>
      </c>
      <c r="M3506" s="7">
        <f>IF(N3506=0,+L3506+H3506,0)</f>
        <v/>
      </c>
      <c r="N3506" s="7">
        <f>IF((+G3506-K3506)=0,0,+G3506-K3506)</f>
        <v/>
      </c>
      <c r="O3506" s="7">
        <f>IF(N3506=0,0,(L3506+H3506)/-N3506)</f>
        <v/>
      </c>
      <c r="P3506" s="7">
        <f>VLOOKUP(OPERAC[[#This Row],[especie]],[1]!ESPECIES[#All],6,0)</f>
        <v/>
      </c>
      <c r="Q3506" s="7">
        <f>IF(N3506&lt;&gt;0,P3506*N3506,0)</f>
        <v/>
      </c>
      <c r="R3506" s="8">
        <f>IF(Q3506&lt;&gt;0,Q3506+H3506+L3506,0)</f>
        <v/>
      </c>
      <c r="S3506" s="9">
        <f>VLOOKUP(OPERAC[[#This Row],[especie]],[1]!ESPECIES[#Data],9,FALSE)</f>
        <v/>
      </c>
    </row>
    <row r="3507">
      <c r="A3507" s="4" t="n">
        <v>16795</v>
      </c>
      <c r="B3507" s="5" t="n">
        <v>44671</v>
      </c>
      <c r="C3507" s="13" t="inlineStr">
        <is>
          <t>CPR</t>
        </is>
      </c>
      <c r="D3507" s="13" t="n">
        <v>42</v>
      </c>
      <c r="E3507" s="10">
        <f>IF(D3507&gt;0,VLOOKUP(OPERAC[[#This Row],[COD CART]],[1]!MatrizCortoLargoCyl[#All],3,0),"")</f>
        <v/>
      </c>
      <c r="F3507" s="13" t="inlineStr">
        <is>
          <t>NFLX</t>
        </is>
      </c>
      <c r="G3507" s="6" t="n">
        <v>3</v>
      </c>
      <c r="H3507" s="6" t="n">
        <v>-763.51518</v>
      </c>
      <c r="I3507" s="7">
        <f>-H3507/G3507</f>
        <v/>
      </c>
      <c r="J3507" s="11" t="n">
        <v>44693</v>
      </c>
      <c r="K3507" s="6">
        <f>+OPERAC[[#This Row],[cantidad]]</f>
        <v/>
      </c>
      <c r="L3507" s="6">
        <f>+OPERAC[[#This Row],[cantidad venta]]*169.079</f>
        <v/>
      </c>
      <c r="M3507" s="7">
        <f>IF(N3507=0,+L3507+H3507,0)</f>
        <v/>
      </c>
      <c r="N3507" s="7">
        <f>IF((+G3507-K3507)=0,0,+G3507-K3507)</f>
        <v/>
      </c>
      <c r="O3507" s="7">
        <f>IF(N3507=0,0,(L3507+H3507)/-N3507)</f>
        <v/>
      </c>
      <c r="P3507" s="7">
        <f>VLOOKUP(OPERAC[[#This Row],[especie]],[1]!ESPECIES[#All],6,0)</f>
        <v/>
      </c>
      <c r="Q3507" s="7">
        <f>IF(N3507&lt;&gt;0,P3507*N3507,0)</f>
        <v/>
      </c>
      <c r="R3507" s="8">
        <f>IF(Q3507&lt;&gt;0,Q3507+H3507+L3507,0)</f>
        <v/>
      </c>
      <c r="S3507" s="9">
        <f>VLOOKUP(OPERAC[[#This Row],[especie]],[1]!ESPECIES[#Data],9,FALSE)</f>
        <v/>
      </c>
    </row>
    <row r="3508">
      <c r="A3508" s="4" t="n">
        <v>16824</v>
      </c>
      <c r="B3508" s="5" t="n">
        <v>44671</v>
      </c>
      <c r="C3508" s="13" t="inlineStr">
        <is>
          <t>CPR</t>
        </is>
      </c>
      <c r="D3508" s="13" t="n">
        <v>42</v>
      </c>
      <c r="E3508" s="10">
        <f>IF(D3508&gt;0,VLOOKUP(OPERAC[[#This Row],[COD CART]],[1]!MatrizCortoLargoCyl[#All],3,0),"")</f>
        <v/>
      </c>
      <c r="F3508" s="13" t="inlineStr">
        <is>
          <t>NFLX</t>
        </is>
      </c>
      <c r="G3508" s="6" t="n">
        <v>3</v>
      </c>
      <c r="H3508" s="6" t="n">
        <v>-763.51518</v>
      </c>
      <c r="I3508" s="7">
        <f>-H3508/G3508</f>
        <v/>
      </c>
      <c r="J3508" s="11" t="n"/>
      <c r="K3508" s="6" t="n"/>
      <c r="L3508" s="6" t="n"/>
      <c r="M3508" s="7">
        <f>IF(N3508=0,+L3508+H3508,0)</f>
        <v/>
      </c>
      <c r="N3508" s="7">
        <f>IF((+G3508-K3508)=0,0,+G3508-K3508)</f>
        <v/>
      </c>
      <c r="O3508" s="7">
        <f>IF(N3508=0,0,(L3508+H3508)/-N3508)</f>
        <v/>
      </c>
      <c r="P3508" s="7">
        <f>VLOOKUP(OPERAC[[#This Row],[especie]],[1]!ESPECIES[#All],6,0)</f>
        <v/>
      </c>
      <c r="Q3508" s="7">
        <f>IF(N3508&lt;&gt;0,P3508*N3508,0)</f>
        <v/>
      </c>
      <c r="R3508" s="8">
        <f>IF(Q3508&lt;&gt;0,Q3508+H3508+L3508,0)</f>
        <v/>
      </c>
      <c r="S3508" s="9">
        <f>VLOOKUP(OPERAC[[#This Row],[especie]],[1]!ESPECIES[#Data],9,FALSE)</f>
        <v/>
      </c>
    </row>
    <row r="3509">
      <c r="A3509" s="4" t="n">
        <v>18662</v>
      </c>
      <c r="B3509" s="5" t="n">
        <v>44671</v>
      </c>
      <c r="C3509" s="13" t="inlineStr">
        <is>
          <t>CPR</t>
        </is>
      </c>
      <c r="D3509" s="13" t="n">
        <v>42</v>
      </c>
      <c r="E3509" s="10">
        <f>IF(D3509&gt;0,VLOOKUP(OPERAC[[#This Row],[COD CART]],[1]!MatrizCortoLargoCyl[#All],3,0),"")</f>
        <v/>
      </c>
      <c r="F3509" s="13" t="inlineStr">
        <is>
          <t>NFLX</t>
        </is>
      </c>
      <c r="G3509" s="6" t="n">
        <v>3</v>
      </c>
      <c r="H3509" s="6" t="n">
        <v>-763.51518</v>
      </c>
      <c r="I3509" s="7">
        <f>-H3509/G3509</f>
        <v/>
      </c>
      <c r="J3509" s="11" t="n">
        <v>44713</v>
      </c>
      <c r="K3509" s="6" t="n">
        <v>3</v>
      </c>
      <c r="L3509" s="6" t="n">
        <v>576.5359999999999</v>
      </c>
      <c r="M3509" s="7">
        <f>IF(N3509=0,+L3509+H3509,0)</f>
        <v/>
      </c>
      <c r="N3509" s="7">
        <f>IF((+G3509-K3509)=0,0,+G3509-K3509)</f>
        <v/>
      </c>
      <c r="O3509" s="7">
        <f>IF(N3509=0,0,(L3509+H3509)/-N3509)</f>
        <v/>
      </c>
      <c r="P3509" s="7">
        <f>VLOOKUP(OPERAC[[#This Row],[especie]],[1]!ESPECIES[#All],6,0)</f>
        <v/>
      </c>
      <c r="Q3509" s="7">
        <f>IF(N3509&lt;&gt;0,P3509*N3509,0)</f>
        <v/>
      </c>
      <c r="R3509" s="8">
        <f>IF(Q3509&lt;&gt;0,Q3509+H3509+L3509,0)</f>
        <v/>
      </c>
      <c r="S3509" s="9">
        <f>VLOOKUP(OPERAC[[#This Row],[especie]],[1]!ESPECIES[#Data],9,FALSE)</f>
        <v/>
      </c>
    </row>
    <row r="3510">
      <c r="A3510" s="4" t="n">
        <v>18690</v>
      </c>
      <c r="B3510" s="5" t="n">
        <v>44671</v>
      </c>
      <c r="C3510" s="13" t="inlineStr">
        <is>
          <t>CPR</t>
        </is>
      </c>
      <c r="D3510" s="13" t="n">
        <v>42</v>
      </c>
      <c r="E3510" s="10">
        <f>IF(D3510&gt;0,VLOOKUP(OPERAC[[#This Row],[COD CART]],[1]!MatrizCortoLargoCyl[#All],3,0),"")</f>
        <v/>
      </c>
      <c r="F3510" s="13" t="inlineStr">
        <is>
          <t>NFLX</t>
        </is>
      </c>
      <c r="G3510" s="6" t="n">
        <v>3</v>
      </c>
      <c r="H3510" s="6" t="n">
        <v>-763.51518</v>
      </c>
      <c r="I3510" s="7">
        <f>-H3510/G3510</f>
        <v/>
      </c>
      <c r="J3510" s="11" t="n"/>
      <c r="K3510" s="6" t="n"/>
      <c r="L3510" s="6" t="n"/>
      <c r="M3510" s="7">
        <f>IF(N3510=0,+L3510+H3510,0)</f>
        <v/>
      </c>
      <c r="N3510" s="7">
        <f>IF((+G3510-K3510)=0,0,+G3510-K3510)</f>
        <v/>
      </c>
      <c r="O3510" s="7">
        <f>IF(N3510=0,0,(L3510+H3510)/-N3510)</f>
        <v/>
      </c>
      <c r="P3510" s="7">
        <f>VLOOKUP(OPERAC[[#This Row],[especie]],[1]!ESPECIES[#All],6,0)</f>
        <v/>
      </c>
      <c r="Q3510" s="7">
        <f>IF(N3510&lt;&gt;0,P3510*N3510,0)</f>
        <v/>
      </c>
      <c r="R3510" s="8">
        <f>IF(Q3510&lt;&gt;0,Q3510+H3510+L3510,0)</f>
        <v/>
      </c>
      <c r="S3510" s="9">
        <f>VLOOKUP(OPERAC[[#This Row],[especie]],[1]!ESPECIES[#Data],9,FALSE)</f>
        <v/>
      </c>
    </row>
    <row r="3511">
      <c r="A3511" s="4" t="n">
        <v>19920</v>
      </c>
      <c r="B3511" s="5" t="n">
        <v>44671</v>
      </c>
      <c r="C3511" s="13" t="inlineStr">
        <is>
          <t>CPR</t>
        </is>
      </c>
      <c r="D3511" s="13" t="n">
        <v>42</v>
      </c>
      <c r="E3511" s="10">
        <f>IF(D3511&gt;0,VLOOKUP(OPERAC[[#This Row],[COD CART]],[1]!MatrizCortoLargoCyl[#All],3,0),"")</f>
        <v/>
      </c>
      <c r="F3511" s="13" t="inlineStr">
        <is>
          <t>NFLX</t>
        </is>
      </c>
      <c r="G3511" s="6" t="n">
        <v>3</v>
      </c>
      <c r="H3511" s="6" t="n">
        <v>-763.51518</v>
      </c>
      <c r="I3511" s="7">
        <f>-H3511/G3511</f>
        <v/>
      </c>
      <c r="J3511" s="11" t="n">
        <v>44693</v>
      </c>
      <c r="K3511" s="6">
        <f>+OPERAC[[#This Row],[cantidad]]</f>
        <v/>
      </c>
      <c r="L3511" s="6">
        <f>+OPERAC[[#This Row],[cantidad venta]]*169.089</f>
        <v/>
      </c>
      <c r="M3511" s="7">
        <f>IF(N3511=0,+L3511+H3511,0)</f>
        <v/>
      </c>
      <c r="N3511" s="7">
        <f>IF((+G3511-K3511)=0,0,+G3511-K3511)</f>
        <v/>
      </c>
      <c r="O3511" s="7">
        <f>IF(N3511=0,0,(L3511+H3511)/-N3511)</f>
        <v/>
      </c>
      <c r="P3511" s="7">
        <f>VLOOKUP(OPERAC[[#This Row],[especie]],[1]!ESPECIES[#All],6,0)</f>
        <v/>
      </c>
      <c r="Q3511" s="7">
        <f>IF(N3511&lt;&gt;0,P3511*N3511,0)</f>
        <v/>
      </c>
      <c r="R3511" s="8">
        <f>IF(Q3511&lt;&gt;0,Q3511+H3511+L3511,0)</f>
        <v/>
      </c>
      <c r="S3511" s="9">
        <f>VLOOKUP(OPERAC[[#This Row],[especie]],[1]!ESPECIES[#Data],9,FALSE)</f>
        <v/>
      </c>
    </row>
    <row r="3512">
      <c r="A3512" s="4" t="n">
        <v>19934</v>
      </c>
      <c r="B3512" s="5" t="n">
        <v>44671</v>
      </c>
      <c r="C3512" s="13" t="inlineStr">
        <is>
          <t>CPR</t>
        </is>
      </c>
      <c r="D3512" s="13" t="n">
        <v>42</v>
      </c>
      <c r="E3512" s="10">
        <f>IF(D3512&gt;0,VLOOKUP(OPERAC[[#This Row],[COD CART]],[1]!MatrizCortoLargoCyl[#All],3,0),"")</f>
        <v/>
      </c>
      <c r="F3512" s="13" t="inlineStr">
        <is>
          <t>NFLX</t>
        </is>
      </c>
      <c r="G3512" s="6" t="n">
        <v>3</v>
      </c>
      <c r="H3512" s="6" t="n">
        <v>-763.51518</v>
      </c>
      <c r="I3512" s="7">
        <f>-H3512/G3512</f>
        <v/>
      </c>
      <c r="J3512" s="11" t="n">
        <v>44693</v>
      </c>
      <c r="K3512" s="6">
        <f>+OPERAC[[#This Row],[cantidad]]</f>
        <v/>
      </c>
      <c r="L3512" s="6">
        <f>+OPERAC[[#This Row],[cantidad venta]]*169.089</f>
        <v/>
      </c>
      <c r="M3512" s="7">
        <f>IF(N3512=0,+L3512+H3512,0)</f>
        <v/>
      </c>
      <c r="N3512" s="7">
        <f>IF((+G3512-K3512)=0,0,+G3512-K3512)</f>
        <v/>
      </c>
      <c r="O3512" s="7">
        <f>IF(N3512=0,0,(L3512+H3512)/-N3512)</f>
        <v/>
      </c>
      <c r="P3512" s="7">
        <f>VLOOKUP(OPERAC[[#This Row],[especie]],[1]!ESPECIES[#All],6,0)</f>
        <v/>
      </c>
      <c r="Q3512" s="7">
        <f>IF(N3512&lt;&gt;0,P3512*N3512,0)</f>
        <v/>
      </c>
      <c r="R3512" s="8">
        <f>IF(Q3512&lt;&gt;0,Q3512+H3512+L3512,0)</f>
        <v/>
      </c>
      <c r="S3512" s="9">
        <f>VLOOKUP(OPERAC[[#This Row],[especie]],[1]!ESPECIES[#Data],9,FALSE)</f>
        <v/>
      </c>
    </row>
    <row r="3513">
      <c r="A3513" s="4" t="n">
        <v>20234</v>
      </c>
      <c r="B3513" s="5" t="n">
        <v>44671</v>
      </c>
      <c r="C3513" s="13" t="inlineStr">
        <is>
          <t>CPR</t>
        </is>
      </c>
      <c r="D3513" s="13" t="n">
        <v>42</v>
      </c>
      <c r="E3513" s="10">
        <f>IF(D3513&gt;0,VLOOKUP(OPERAC[[#This Row],[COD CART]],[1]!MatrizCortoLargoCyl[#All],3,0),"")</f>
        <v/>
      </c>
      <c r="F3513" s="13" t="inlineStr">
        <is>
          <t>NFLX</t>
        </is>
      </c>
      <c r="G3513" s="6" t="n">
        <v>3</v>
      </c>
      <c r="H3513" s="6" t="n">
        <v>-763.51518</v>
      </c>
      <c r="I3513" s="7">
        <f>-H3513/G3513</f>
        <v/>
      </c>
      <c r="J3513" s="11" t="n">
        <v>44693</v>
      </c>
      <c r="K3513" s="6">
        <f>+OPERAC[[#This Row],[cantidad]]</f>
        <v/>
      </c>
      <c r="L3513" s="6">
        <f>+OPERAC[[#This Row],[cantidad venta]]*169.089</f>
        <v/>
      </c>
      <c r="M3513" s="7">
        <f>IF(N3513=0,+L3513+H3513,0)</f>
        <v/>
      </c>
      <c r="N3513" s="7">
        <f>IF((+G3513-K3513)=0,0,+G3513-K3513)</f>
        <v/>
      </c>
      <c r="O3513" s="7">
        <f>IF(N3513=0,0,(L3513+H3513)/-N3513)</f>
        <v/>
      </c>
      <c r="P3513" s="7">
        <f>VLOOKUP(OPERAC[[#This Row],[especie]],[1]!ESPECIES[#All],6,0)</f>
        <v/>
      </c>
      <c r="Q3513" s="7">
        <f>IF(N3513&lt;&gt;0,P3513*N3513,0)</f>
        <v/>
      </c>
      <c r="R3513" s="8">
        <f>IF(Q3513&lt;&gt;0,Q3513+H3513+L3513,0)</f>
        <v/>
      </c>
      <c r="S3513" s="9">
        <f>VLOOKUP(OPERAC[[#This Row],[especie]],[1]!ESPECIES[#Data],9,FALSE)</f>
        <v/>
      </c>
    </row>
    <row r="3514">
      <c r="A3514" s="4" t="n">
        <v>20312</v>
      </c>
      <c r="B3514" s="5" t="n">
        <v>44671</v>
      </c>
      <c r="C3514" s="13" t="inlineStr">
        <is>
          <t>CPR</t>
        </is>
      </c>
      <c r="D3514" s="13" t="n">
        <v>42</v>
      </c>
      <c r="E3514" s="10">
        <f>IF(D3514&gt;0,VLOOKUP(OPERAC[[#This Row],[COD CART]],[1]!MatrizCortoLargoCyl[#All],3,0),"")</f>
        <v/>
      </c>
      <c r="F3514" s="13" t="inlineStr">
        <is>
          <t>NFLX</t>
        </is>
      </c>
      <c r="G3514" s="6" t="n">
        <v>3</v>
      </c>
      <c r="H3514" s="6" t="n">
        <v>-763.51518</v>
      </c>
      <c r="I3514" s="7">
        <f>-H3514/G3514</f>
        <v/>
      </c>
      <c r="J3514" s="11" t="n">
        <v>44693</v>
      </c>
      <c r="K3514" s="6">
        <f>+OPERAC[[#This Row],[cantidad]]</f>
        <v/>
      </c>
      <c r="L3514" s="6">
        <f>+OPERAC[[#This Row],[cantidad venta]]*169.089</f>
        <v/>
      </c>
      <c r="M3514" s="7">
        <f>IF(N3514=0,+L3514+H3514,0)</f>
        <v/>
      </c>
      <c r="N3514" s="7">
        <f>IF((+G3514-K3514)=0,0,+G3514-K3514)</f>
        <v/>
      </c>
      <c r="O3514" s="7">
        <f>IF(N3514=0,0,(L3514+H3514)/-N3514)</f>
        <v/>
      </c>
      <c r="P3514" s="7">
        <f>VLOOKUP(OPERAC[[#This Row],[especie]],[1]!ESPECIES[#All],6,0)</f>
        <v/>
      </c>
      <c r="Q3514" s="7">
        <f>IF(N3514&lt;&gt;0,P3514*N3514,0)</f>
        <v/>
      </c>
      <c r="R3514" s="8">
        <f>IF(Q3514&lt;&gt;0,Q3514+H3514+L3514,0)</f>
        <v/>
      </c>
      <c r="S3514" s="9">
        <f>VLOOKUP(OPERAC[[#This Row],[especie]],[1]!ESPECIES[#Data],9,FALSE)</f>
        <v/>
      </c>
    </row>
    <row r="3515">
      <c r="A3515" s="4" t="n">
        <v>20317</v>
      </c>
      <c r="B3515" s="5" t="n">
        <v>44671</v>
      </c>
      <c r="C3515" s="13" t="inlineStr">
        <is>
          <t>CPR</t>
        </is>
      </c>
      <c r="D3515" s="13" t="n">
        <v>42</v>
      </c>
      <c r="E3515" s="10">
        <f>IF(D3515&gt;0,VLOOKUP(OPERAC[[#This Row],[COD CART]],[1]!MatrizCortoLargoCyl[#All],3,0),"")</f>
        <v/>
      </c>
      <c r="F3515" s="13" t="inlineStr">
        <is>
          <t>NFLX</t>
        </is>
      </c>
      <c r="G3515" s="6" t="n">
        <v>3</v>
      </c>
      <c r="H3515" s="6" t="n">
        <v>-763.51518</v>
      </c>
      <c r="I3515" s="7">
        <f>-H3515/G3515</f>
        <v/>
      </c>
      <c r="J3515" s="11" t="n"/>
      <c r="K3515" s="6" t="n"/>
      <c r="L3515" s="6" t="n"/>
      <c r="M3515" s="7">
        <f>IF(N3515=0,+L3515+H3515,0)</f>
        <v/>
      </c>
      <c r="N3515" s="7">
        <f>IF((+G3515-K3515)=0,0,+G3515-K3515)</f>
        <v/>
      </c>
      <c r="O3515" s="7">
        <f>IF(N3515=0,0,(L3515+H3515)/-N3515)</f>
        <v/>
      </c>
      <c r="P3515" s="7">
        <f>VLOOKUP(OPERAC[[#This Row],[especie]],[1]!ESPECIES[#All],6,0)</f>
        <v/>
      </c>
      <c r="Q3515" s="7">
        <f>IF(N3515&lt;&gt;0,P3515*N3515,0)</f>
        <v/>
      </c>
      <c r="R3515" s="8">
        <f>IF(Q3515&lt;&gt;0,Q3515+H3515+L3515,0)</f>
        <v/>
      </c>
      <c r="S3515" s="9">
        <f>VLOOKUP(OPERAC[[#This Row],[especie]],[1]!ESPECIES[#Data],9,FALSE)</f>
        <v/>
      </c>
    </row>
    <row r="3516">
      <c r="A3516" s="4" t="n">
        <v>22399</v>
      </c>
      <c r="B3516" s="5" t="n">
        <v>44671</v>
      </c>
      <c r="C3516" s="13" t="inlineStr">
        <is>
          <t>CPR</t>
        </is>
      </c>
      <c r="D3516" s="13" t="n">
        <v>42</v>
      </c>
      <c r="E3516" s="10">
        <f>IF(D3516&gt;0,VLOOKUP(OPERAC[[#This Row],[COD CART]],[1]!MatrizCortoLargoCyl[#All],3,0),"")</f>
        <v/>
      </c>
      <c r="F3516" s="13" t="inlineStr">
        <is>
          <t>NFLX</t>
        </is>
      </c>
      <c r="G3516" s="6" t="n">
        <v>3</v>
      </c>
      <c r="H3516" s="6" t="n">
        <v>-763.51518</v>
      </c>
      <c r="I3516" s="7">
        <f>-H3516/G3516</f>
        <v/>
      </c>
      <c r="J3516" s="11" t="n"/>
      <c r="K3516" s="6" t="n"/>
      <c r="L3516" s="6" t="n"/>
      <c r="M3516" s="7">
        <f>IF(N3516=0,+L3516+H3516,0)</f>
        <v/>
      </c>
      <c r="N3516" s="7">
        <f>IF((+G3516-K3516)=0,0,+G3516-K3516)</f>
        <v/>
      </c>
      <c r="O3516" s="7">
        <f>IF(N3516=0,0,(L3516+H3516)/-N3516)</f>
        <v/>
      </c>
      <c r="P3516" s="7">
        <f>VLOOKUP(OPERAC[[#This Row],[especie]],[1]!ESPECIES[#All],6,0)</f>
        <v/>
      </c>
      <c r="Q3516" s="7">
        <f>IF(N3516&lt;&gt;0,P3516*N3516,0)</f>
        <v/>
      </c>
      <c r="R3516" s="8">
        <f>IF(Q3516&lt;&gt;0,Q3516+H3516+L3516,0)</f>
        <v/>
      </c>
      <c r="S3516" s="9">
        <f>VLOOKUP(OPERAC[[#This Row],[especie]],[1]!ESPECIES[#Data],9,FALSE)</f>
        <v/>
      </c>
    </row>
    <row r="3517">
      <c r="A3517" s="4" t="n">
        <v>22421</v>
      </c>
      <c r="B3517" s="5" t="n">
        <v>44671</v>
      </c>
      <c r="C3517" s="13" t="inlineStr">
        <is>
          <t>CPR</t>
        </is>
      </c>
      <c r="D3517" s="13" t="n">
        <v>42</v>
      </c>
      <c r="E3517" s="10">
        <f>IF(D3517&gt;0,VLOOKUP(OPERAC[[#This Row],[COD CART]],[1]!MatrizCortoLargoCyl[#All],3,0),"")</f>
        <v/>
      </c>
      <c r="F3517" s="13" t="inlineStr">
        <is>
          <t>NFLX</t>
        </is>
      </c>
      <c r="G3517" s="6" t="n">
        <v>3</v>
      </c>
      <c r="H3517" s="6" t="n">
        <v>-763.51518</v>
      </c>
      <c r="I3517" s="7">
        <f>-H3517/G3517</f>
        <v/>
      </c>
      <c r="J3517" s="11" t="n">
        <v>44693</v>
      </c>
      <c r="K3517" s="6">
        <f>+OPERAC[[#This Row],[cantidad]]</f>
        <v/>
      </c>
      <c r="L3517" s="6">
        <f>+OPERAC[[#This Row],[cantidad venta]]*169.089</f>
        <v/>
      </c>
      <c r="M3517" s="7">
        <f>IF(N3517=0,+L3517+H3517,0)</f>
        <v/>
      </c>
      <c r="N3517" s="7">
        <f>IF((+G3517-K3517)=0,0,+G3517-K3517)</f>
        <v/>
      </c>
      <c r="O3517" s="7">
        <f>IF(N3517=0,0,(L3517+H3517)/-N3517)</f>
        <v/>
      </c>
      <c r="P3517" s="7">
        <f>VLOOKUP(OPERAC[[#This Row],[especie]],[1]!ESPECIES[#All],6,0)</f>
        <v/>
      </c>
      <c r="Q3517" s="7">
        <f>IF(N3517&lt;&gt;0,P3517*N3517,0)</f>
        <v/>
      </c>
      <c r="R3517" s="8">
        <f>IF(Q3517&lt;&gt;0,Q3517+H3517+L3517,0)</f>
        <v/>
      </c>
      <c r="S3517" s="9">
        <f>VLOOKUP(OPERAC[[#This Row],[especie]],[1]!ESPECIES[#Data],9,FALSE)</f>
        <v/>
      </c>
    </row>
    <row r="3518">
      <c r="A3518" s="4" t="n">
        <v>22431</v>
      </c>
      <c r="B3518" s="5" t="n">
        <v>44671</v>
      </c>
      <c r="C3518" s="13" t="inlineStr">
        <is>
          <t>CPR</t>
        </is>
      </c>
      <c r="D3518" s="13" t="n">
        <v>42</v>
      </c>
      <c r="E3518" s="10">
        <f>IF(D3518&gt;0,VLOOKUP(OPERAC[[#This Row],[COD CART]],[1]!MatrizCortoLargoCyl[#All],3,0),"")</f>
        <v/>
      </c>
      <c r="F3518" s="13" t="inlineStr">
        <is>
          <t>NFLX</t>
        </is>
      </c>
      <c r="G3518" s="6" t="n">
        <v>3</v>
      </c>
      <c r="H3518" s="6" t="n">
        <v>-763.51518</v>
      </c>
      <c r="I3518" s="7">
        <f>-H3518/G3518</f>
        <v/>
      </c>
      <c r="J3518" s="11" t="n">
        <v>44693</v>
      </c>
      <c r="K3518" s="6">
        <f>+OPERAC[[#This Row],[cantidad]]</f>
        <v/>
      </c>
      <c r="L3518" s="6">
        <f>+OPERAC[[#This Row],[cantidad venta]]*169.089</f>
        <v/>
      </c>
      <c r="M3518" s="7">
        <f>IF(N3518=0,+L3518+H3518,0)</f>
        <v/>
      </c>
      <c r="N3518" s="7">
        <f>IF((+G3518-K3518)=0,0,+G3518-K3518)</f>
        <v/>
      </c>
      <c r="O3518" s="7">
        <f>IF(N3518=0,0,(L3518+H3518)/-N3518)</f>
        <v/>
      </c>
      <c r="P3518" s="7">
        <f>VLOOKUP(OPERAC[[#This Row],[especie]],[1]!ESPECIES[#All],6,0)</f>
        <v/>
      </c>
      <c r="Q3518" s="7">
        <f>IF(N3518&lt;&gt;0,P3518*N3518,0)</f>
        <v/>
      </c>
      <c r="R3518" s="8">
        <f>IF(Q3518&lt;&gt;0,Q3518+H3518+L3518,0)</f>
        <v/>
      </c>
      <c r="S3518" s="9">
        <f>VLOOKUP(OPERAC[[#This Row],[especie]],[1]!ESPECIES[#Data],9,FALSE)</f>
        <v/>
      </c>
    </row>
    <row r="3519">
      <c r="A3519" s="4" t="n">
        <v>22439</v>
      </c>
      <c r="B3519" s="5" t="n">
        <v>44671</v>
      </c>
      <c r="C3519" s="13" t="inlineStr">
        <is>
          <t>CPR</t>
        </is>
      </c>
      <c r="D3519" s="13" t="n">
        <v>42</v>
      </c>
      <c r="E3519" s="10">
        <f>IF(D3519&gt;0,VLOOKUP(OPERAC[[#This Row],[COD CART]],[1]!MatrizCortoLargoCyl[#All],3,0),"")</f>
        <v/>
      </c>
      <c r="F3519" s="13" t="inlineStr">
        <is>
          <t>NFLX</t>
        </is>
      </c>
      <c r="G3519" s="6" t="n">
        <v>3</v>
      </c>
      <c r="H3519" s="6" t="n">
        <v>-763.51518</v>
      </c>
      <c r="I3519" s="7">
        <f>-H3519/G3519</f>
        <v/>
      </c>
      <c r="J3519" s="11" t="n">
        <v>44693</v>
      </c>
      <c r="K3519" s="6">
        <f>+OPERAC[[#This Row],[cantidad]]</f>
        <v/>
      </c>
      <c r="L3519" s="6">
        <f>+OPERAC[[#This Row],[cantidad venta]]*169.089</f>
        <v/>
      </c>
      <c r="M3519" s="7">
        <f>IF(N3519=0,+L3519+H3519,0)</f>
        <v/>
      </c>
      <c r="N3519" s="7">
        <f>IF((+G3519-K3519)=0,0,+G3519-K3519)</f>
        <v/>
      </c>
      <c r="O3519" s="7">
        <f>IF(N3519=0,0,(L3519+H3519)/-N3519)</f>
        <v/>
      </c>
      <c r="P3519" s="7">
        <f>VLOOKUP(OPERAC[[#This Row],[especie]],[1]!ESPECIES[#All],6,0)</f>
        <v/>
      </c>
      <c r="Q3519" s="7">
        <f>IF(N3519&lt;&gt;0,P3519*N3519,0)</f>
        <v/>
      </c>
      <c r="R3519" s="8">
        <f>IF(Q3519&lt;&gt;0,Q3519+H3519+L3519,0)</f>
        <v/>
      </c>
      <c r="S3519" s="9">
        <f>VLOOKUP(OPERAC[[#This Row],[especie]],[1]!ESPECIES[#Data],9,FALSE)</f>
        <v/>
      </c>
    </row>
    <row r="3520">
      <c r="A3520" s="4" t="n">
        <v>26146</v>
      </c>
      <c r="B3520" s="5" t="n">
        <v>44671</v>
      </c>
      <c r="C3520" s="13" t="inlineStr">
        <is>
          <t>CPR</t>
        </is>
      </c>
      <c r="D3520" s="13" t="n">
        <v>42</v>
      </c>
      <c r="E3520" s="10">
        <f>IF(D3520&gt;0,VLOOKUP(OPERAC[[#This Row],[COD CART]],[1]!MatrizCortoLargoCyl[#All],3,0),"")</f>
        <v/>
      </c>
      <c r="F3520" s="13" t="inlineStr">
        <is>
          <t>NFLX</t>
        </is>
      </c>
      <c r="G3520" s="6" t="n">
        <v>3</v>
      </c>
      <c r="H3520" s="6" t="n">
        <v>-763.51518</v>
      </c>
      <c r="I3520" s="7">
        <f>-H3520/G3520</f>
        <v/>
      </c>
      <c r="J3520" s="11" t="n">
        <v>44693</v>
      </c>
      <c r="K3520" s="6">
        <f>+OPERAC[[#This Row],[cantidad]]</f>
        <v/>
      </c>
      <c r="L3520" s="6">
        <f>+OPERAC[[#This Row],[cantidad venta]]*169.089</f>
        <v/>
      </c>
      <c r="M3520" s="7">
        <f>IF(N3520=0,+L3520+H3520,0)</f>
        <v/>
      </c>
      <c r="N3520" s="7">
        <f>IF((+G3520-K3520)=0,0,+G3520-K3520)</f>
        <v/>
      </c>
      <c r="O3520" s="7">
        <f>IF(N3520=0,0,(L3520+H3520)/-N3520)</f>
        <v/>
      </c>
      <c r="P3520" s="7">
        <f>VLOOKUP(OPERAC[[#This Row],[especie]],[1]!ESPECIES[#All],6,0)</f>
        <v/>
      </c>
      <c r="Q3520" s="7">
        <f>IF(N3520&lt;&gt;0,P3520*N3520,0)</f>
        <v/>
      </c>
      <c r="R3520" s="8">
        <f>IF(Q3520&lt;&gt;0,Q3520+H3520+L3520,0)</f>
        <v/>
      </c>
      <c r="S3520" s="9">
        <f>VLOOKUP(OPERAC[[#This Row],[especie]],[1]!ESPECIES[#Data],9,FALSE)</f>
        <v/>
      </c>
    </row>
    <row r="3521">
      <c r="A3521" s="4" t="n">
        <v>1807</v>
      </c>
      <c r="B3521" s="5" t="n">
        <v>44358</v>
      </c>
      <c r="C3521" s="13" t="inlineStr">
        <is>
          <t>CPR</t>
        </is>
      </c>
      <c r="D3521" s="13" t="n">
        <v>31</v>
      </c>
      <c r="E3521" s="10">
        <f>IF(D3521&gt;0,VLOOKUP(OPERAC[[#This Row],[COD CART]],[1]!MatrizCortoLargoCyl[#All],3,0),"")</f>
        <v/>
      </c>
      <c r="F3521" s="13" t="inlineStr">
        <is>
          <t>MPW</t>
        </is>
      </c>
      <c r="G3521" s="6" t="n">
        <v>35</v>
      </c>
      <c r="H3521" s="6" t="n">
        <v>-763.68304</v>
      </c>
      <c r="I3521" s="7">
        <f>-H3521/G3521</f>
        <v/>
      </c>
      <c r="J3521" s="11" t="n"/>
      <c r="K3521" s="6" t="n"/>
      <c r="L3521" s="6" t="n"/>
      <c r="M3521" s="7">
        <f>IF(N3521=0,+L3521+H3521,0)</f>
        <v/>
      </c>
      <c r="N3521" s="7">
        <f>IF((+G3521-K3521)=0,0,+G3521-K3521)</f>
        <v/>
      </c>
      <c r="O3521" s="7">
        <f>IF(N3521=0,0,(L3521+H3521)/-N3521)</f>
        <v/>
      </c>
      <c r="P3521" s="7">
        <f>VLOOKUP(OPERAC[[#This Row],[especie]],[1]!ESPECIES[#All],6,0)</f>
        <v/>
      </c>
      <c r="Q3521" s="7">
        <f>IF(N3521&lt;&gt;0,P3521*N3521,0)</f>
        <v/>
      </c>
      <c r="R3521" s="8">
        <f>IF(Q3521&lt;&gt;0,Q3521+H3521+L3521,0)</f>
        <v/>
      </c>
      <c r="S3521" s="9">
        <f>VLOOKUP(OPERAC[[#This Row],[especie]],[1]!ESPECIES[#Data],9,FALSE)</f>
        <v/>
      </c>
    </row>
    <row r="3522">
      <c r="A3522" s="4" t="n">
        <v>13253</v>
      </c>
      <c r="B3522" s="5" t="n">
        <v>44530</v>
      </c>
      <c r="C3522" s="13" t="inlineStr">
        <is>
          <t>CPR</t>
        </is>
      </c>
      <c r="D3522" s="13" t="n">
        <v>41</v>
      </c>
      <c r="E3522" s="10">
        <f>IF(D3522&gt;0,VLOOKUP(OPERAC[[#This Row],[COD CART]],[1]!MatrizCortoLargoCyl[#All],3,0),"")</f>
        <v/>
      </c>
      <c r="F3522" s="13" t="inlineStr">
        <is>
          <t>NRZ</t>
        </is>
      </c>
      <c r="G3522" s="6" t="n">
        <v>70</v>
      </c>
      <c r="H3522" s="6" t="n">
        <v>-765.1648</v>
      </c>
      <c r="I3522" s="7">
        <f>-H3522/G3522</f>
        <v/>
      </c>
      <c r="J3522" s="11" t="n"/>
      <c r="K3522" s="6" t="n"/>
      <c r="L3522" s="6" t="n"/>
      <c r="M3522" s="7">
        <f>IF(N3522=0,+L3522+H3522,0)</f>
        <v/>
      </c>
      <c r="N3522" s="7">
        <f>IF((+G3522-K3522)=0,0,+G3522-K3522)</f>
        <v/>
      </c>
      <c r="O3522" s="7">
        <f>IF(N3522=0,0,(L3522+H3522)/-N3522)</f>
        <v/>
      </c>
      <c r="P3522" s="7">
        <f>VLOOKUP(OPERAC[[#This Row],[especie]],[1]!ESPECIES[#All],6,0)</f>
        <v/>
      </c>
      <c r="Q3522" s="7">
        <f>IF(N3522&lt;&gt;0,P3522*N3522,0)</f>
        <v/>
      </c>
      <c r="R3522" s="8">
        <f>IF(Q3522&lt;&gt;0,Q3522+H3522+L3522,0)</f>
        <v/>
      </c>
      <c r="S3522" s="9">
        <f>VLOOKUP(OPERAC[[#This Row],[especie]],[1]!ESPECIES[#Data],9,FALSE)</f>
        <v/>
      </c>
    </row>
    <row r="3523">
      <c r="A3523" s="4" t="n">
        <v>12655</v>
      </c>
      <c r="B3523" s="5" t="n">
        <v>44533</v>
      </c>
      <c r="C3523" s="13" t="inlineStr">
        <is>
          <t>CPR</t>
        </is>
      </c>
      <c r="D3523" s="13" t="n">
        <v>32</v>
      </c>
      <c r="E3523" s="10">
        <f>IF(D3523&gt;0,VLOOKUP(OPERAC[[#This Row],[COD CART]],[1]!MatrizCortoLargoCyl[#All],3,0),"")</f>
        <v/>
      </c>
      <c r="F3523" s="13" t="inlineStr">
        <is>
          <t>GMBL/CYL/5,00/21-01-22</t>
        </is>
      </c>
      <c r="G3523" s="6" t="n">
        <v>200</v>
      </c>
      <c r="H3523" s="6">
        <f>-3.83*OPERAC[[#This Row],[cantidad]]</f>
        <v/>
      </c>
      <c r="I3523" s="7">
        <f>-H3523/G3523</f>
        <v/>
      </c>
      <c r="J3523" s="11" t="n">
        <v>44574</v>
      </c>
      <c r="K3523" s="6" t="n">
        <v>200</v>
      </c>
      <c r="L3523" s="6" t="n">
        <v>675.9109999999999</v>
      </c>
      <c r="M3523" s="7">
        <f>IF(N3523=0,+L3523+H3523,0)</f>
        <v/>
      </c>
      <c r="N3523" s="7">
        <f>IF((+G3523-K3523)=0,0,+G3523-K3523)</f>
        <v/>
      </c>
      <c r="O3523" s="7">
        <f>IF(N3523=0,0,(L3523+H3523)/-N3523)</f>
        <v/>
      </c>
      <c r="P3523" s="7">
        <f>VLOOKUP(OPERAC[[#This Row],[especie]],[1]!ESPECIES[#All],6,0)</f>
        <v/>
      </c>
      <c r="Q3523" s="7">
        <f>IF(N3523&lt;&gt;0,P3523*N3523,0)</f>
        <v/>
      </c>
      <c r="R3523" s="8">
        <f>IF(Q3523&lt;&gt;0,Q3523+H3523+L3523,0)</f>
        <v/>
      </c>
      <c r="S3523" s="9">
        <f>VLOOKUP(OPERAC[[#This Row],[especie]],[1]!ESPECIES[#Data],9,FALSE)</f>
        <v/>
      </c>
    </row>
    <row r="3524">
      <c r="A3524" s="4" t="n">
        <v>13180</v>
      </c>
      <c r="B3524" s="5" t="n">
        <v>44533</v>
      </c>
      <c r="C3524" s="13" t="inlineStr">
        <is>
          <t>CPR</t>
        </is>
      </c>
      <c r="D3524" s="13" t="n">
        <v>32</v>
      </c>
      <c r="E3524" s="10">
        <f>IF(D3524&gt;0,VLOOKUP(OPERAC[[#This Row],[COD CART]],[1]!MatrizCortoLargoCyl[#All],3,0),"")</f>
        <v/>
      </c>
      <c r="F3524" s="13" t="inlineStr">
        <is>
          <t>GMBL/CYL/5,00/21-01-22</t>
        </is>
      </c>
      <c r="G3524" s="6" t="n">
        <v>200</v>
      </c>
      <c r="H3524" s="6">
        <f>-3.83*OPERAC[[#This Row],[cantidad]]</f>
        <v/>
      </c>
      <c r="I3524" s="7">
        <f>-H3524/G3524</f>
        <v/>
      </c>
      <c r="J3524" s="11" t="n">
        <v>44574</v>
      </c>
      <c r="K3524" s="6" t="n">
        <v>200</v>
      </c>
      <c r="L3524" s="6" t="n">
        <v>675.9109999999999</v>
      </c>
      <c r="M3524" s="7">
        <f>IF(N3524=0,+L3524+H3524,0)</f>
        <v/>
      </c>
      <c r="N3524" s="7">
        <f>IF((+G3524-K3524)=0,0,+G3524-K3524)</f>
        <v/>
      </c>
      <c r="O3524" s="7">
        <f>IF(N3524=0,0,(L3524+H3524)/-N3524)</f>
        <v/>
      </c>
      <c r="P3524" s="7">
        <f>VLOOKUP(OPERAC[[#This Row],[especie]],[1]!ESPECIES[#All],6,0)</f>
        <v/>
      </c>
      <c r="Q3524" s="7">
        <f>IF(N3524&lt;&gt;0,P3524*N3524,0)</f>
        <v/>
      </c>
      <c r="R3524" s="8">
        <f>IF(Q3524&lt;&gt;0,Q3524+H3524+L3524,0)</f>
        <v/>
      </c>
      <c r="S3524" s="9">
        <f>VLOOKUP(OPERAC[[#This Row],[especie]],[1]!ESPECIES[#Data],9,FALSE)</f>
        <v/>
      </c>
    </row>
    <row r="3525">
      <c r="A3525" s="4" t="n">
        <v>2218</v>
      </c>
      <c r="B3525" s="5" t="n">
        <v>44557</v>
      </c>
      <c r="C3525" s="13" t="inlineStr">
        <is>
          <t>CPR</t>
        </is>
      </c>
      <c r="D3525" s="13" t="n">
        <v>40</v>
      </c>
      <c r="E3525" s="10">
        <f>IF(D3525&gt;0,VLOOKUP(OPERAC[[#This Row],[COD CART]],[1]!MatrizCortoLargoCyl[#All],3,0),"")</f>
        <v/>
      </c>
      <c r="F3525" s="13" t="inlineStr">
        <is>
          <t>TLRY</t>
        </is>
      </c>
      <c r="G3525" s="6" t="n">
        <v>100</v>
      </c>
      <c r="H3525" s="6" t="n">
        <v>-766.265</v>
      </c>
      <c r="I3525" s="7">
        <f>-H3525/G3525</f>
        <v/>
      </c>
      <c r="J3525" s="11" t="n">
        <v>44585</v>
      </c>
      <c r="K3525" s="6">
        <f>+OPERAC[[#This Row],[cantidad]]</f>
        <v/>
      </c>
      <c r="L3525" s="6">
        <f>+OPERAC[[#This Row],[cantidad venta]]*5.263</f>
        <v/>
      </c>
      <c r="M3525" s="7">
        <f>IF(N3525=0,+L3525+H3525,0)</f>
        <v/>
      </c>
      <c r="N3525" s="7">
        <f>IF((+G3525-K3525)=0,0,+G3525-K3525)</f>
        <v/>
      </c>
      <c r="O3525" s="7">
        <f>IF(N3525=0,0,(L3525+H3525)/-N3525)</f>
        <v/>
      </c>
      <c r="P3525" s="7">
        <f>VLOOKUP(OPERAC[[#This Row],[especie]],[1]!ESPECIES[#All],6,0)</f>
        <v/>
      </c>
      <c r="Q3525" s="7">
        <f>IF(N3525&lt;&gt;0,P3525*N3525,0)</f>
        <v/>
      </c>
      <c r="R3525" s="8">
        <f>IF(Q3525&lt;&gt;0,Q3525+H3525+L3525,0)</f>
        <v/>
      </c>
      <c r="S3525" s="9">
        <f>VLOOKUP(OPERAC[[#This Row],[especie]],[1]!ESPECIES[#Data],9,FALSE)</f>
        <v/>
      </c>
    </row>
    <row r="3526">
      <c r="A3526" s="4" t="n">
        <v>3021</v>
      </c>
      <c r="B3526" s="5" t="n">
        <v>44557</v>
      </c>
      <c r="C3526" s="13" t="inlineStr">
        <is>
          <t>CPR</t>
        </is>
      </c>
      <c r="D3526" s="13" t="n">
        <v>40</v>
      </c>
      <c r="E3526" s="10">
        <f>IF(D3526&gt;0,VLOOKUP(OPERAC[[#This Row],[COD CART]],[1]!MatrizCortoLargoCyl[#All],3,0),"")</f>
        <v/>
      </c>
      <c r="F3526" s="13" t="inlineStr">
        <is>
          <t>TLRY</t>
        </is>
      </c>
      <c r="G3526" s="6" t="n">
        <v>100</v>
      </c>
      <c r="H3526" s="6" t="n">
        <v>-766.265</v>
      </c>
      <c r="I3526" s="7">
        <f>-H3526/G3526</f>
        <v/>
      </c>
      <c r="J3526" s="11" t="n">
        <v>44585</v>
      </c>
      <c r="K3526" s="6">
        <f>+OPERAC[[#This Row],[cantidad]]</f>
        <v/>
      </c>
      <c r="L3526" s="6">
        <f>+OPERAC[[#This Row],[cantidad venta]]*5.263</f>
        <v/>
      </c>
      <c r="M3526" s="7">
        <f>IF(N3526=0,+L3526+H3526,0)</f>
        <v/>
      </c>
      <c r="N3526" s="7">
        <f>IF((+G3526-K3526)=0,0,+G3526-K3526)</f>
        <v/>
      </c>
      <c r="O3526" s="7">
        <f>IF(N3526=0,0,(L3526+H3526)/-N3526)</f>
        <v/>
      </c>
      <c r="P3526" s="7">
        <f>VLOOKUP(OPERAC[[#This Row],[especie]],[1]!ESPECIES[#All],6,0)</f>
        <v/>
      </c>
      <c r="Q3526" s="7">
        <f>IF(N3526&lt;&gt;0,P3526*N3526,0)</f>
        <v/>
      </c>
      <c r="R3526" s="8">
        <f>IF(Q3526&lt;&gt;0,Q3526+H3526+L3526,0)</f>
        <v/>
      </c>
      <c r="S3526" s="9">
        <f>VLOOKUP(OPERAC[[#This Row],[especie]],[1]!ESPECIES[#Data],9,FALSE)</f>
        <v/>
      </c>
    </row>
    <row r="3527">
      <c r="A3527" s="4" t="n">
        <v>3728</v>
      </c>
      <c r="B3527" s="5" t="n">
        <v>44557</v>
      </c>
      <c r="C3527" s="13" t="inlineStr">
        <is>
          <t>CPR</t>
        </is>
      </c>
      <c r="D3527" s="13" t="n">
        <v>40</v>
      </c>
      <c r="E3527" s="10">
        <f>IF(D3527&gt;0,VLOOKUP(OPERAC[[#This Row],[COD CART]],[1]!MatrizCortoLargoCyl[#All],3,0),"")</f>
        <v/>
      </c>
      <c r="F3527" s="13" t="inlineStr">
        <is>
          <t>TLRY</t>
        </is>
      </c>
      <c r="G3527" s="6" t="n">
        <v>100</v>
      </c>
      <c r="H3527" s="6" t="n">
        <v>-766.265</v>
      </c>
      <c r="I3527" s="7">
        <f>-H3527/G3527</f>
        <v/>
      </c>
      <c r="J3527" s="11" t="n">
        <v>44585</v>
      </c>
      <c r="K3527" s="6">
        <f>+OPERAC[[#This Row],[cantidad]]</f>
        <v/>
      </c>
      <c r="L3527" s="6">
        <f>+OPERAC[[#This Row],[cantidad venta]]*5.263</f>
        <v/>
      </c>
      <c r="M3527" s="7">
        <f>IF(N3527=0,+L3527+H3527,0)</f>
        <v/>
      </c>
      <c r="N3527" s="7">
        <f>IF((+G3527-K3527)=0,0,+G3527-K3527)</f>
        <v/>
      </c>
      <c r="O3527" s="7">
        <f>IF(N3527=0,0,(L3527+H3527)/-N3527)</f>
        <v/>
      </c>
      <c r="P3527" s="7">
        <f>VLOOKUP(OPERAC[[#This Row],[especie]],[1]!ESPECIES[#All],6,0)</f>
        <v/>
      </c>
      <c r="Q3527" s="7">
        <f>IF(N3527&lt;&gt;0,P3527*N3527,0)</f>
        <v/>
      </c>
      <c r="R3527" s="8">
        <f>IF(Q3527&lt;&gt;0,Q3527+H3527+L3527,0)</f>
        <v/>
      </c>
      <c r="S3527" s="9">
        <f>VLOOKUP(OPERAC[[#This Row],[especie]],[1]!ESPECIES[#Data],9,FALSE)</f>
        <v/>
      </c>
    </row>
    <row r="3528">
      <c r="A3528" s="4" t="n">
        <v>3832</v>
      </c>
      <c r="B3528" s="5" t="n">
        <v>44582</v>
      </c>
      <c r="C3528" s="13" t="inlineStr">
        <is>
          <t>CPR</t>
        </is>
      </c>
      <c r="D3528" s="13" t="n">
        <v>40</v>
      </c>
      <c r="E3528" s="10">
        <f>IF(D3528&gt;0,VLOOKUP(OPERAC[[#This Row],[COD CART]],[1]!MatrizCortoLargoCyl[#All],3,0),"")</f>
        <v/>
      </c>
      <c r="F3528" s="13" t="inlineStr">
        <is>
          <t>NFLX</t>
        </is>
      </c>
      <c r="G3528" s="6" t="n">
        <v>2</v>
      </c>
      <c r="H3528" s="6" t="n">
        <v>-766.7213400000001</v>
      </c>
      <c r="I3528" s="7">
        <f>-H3528/G3528</f>
        <v/>
      </c>
      <c r="J3528" s="11" t="n">
        <v>44593</v>
      </c>
      <c r="K3528" s="6">
        <f>+OPERAC[[#This Row],[cantidad]]</f>
        <v/>
      </c>
      <c r="L3528" s="6">
        <f>+OPERAC[[#This Row],[cantidad venta]]*448.602</f>
        <v/>
      </c>
      <c r="M3528" s="7">
        <f>IF(N3528=0,+L3528+H3528,0)</f>
        <v/>
      </c>
      <c r="N3528" s="7">
        <f>IF((+G3528-K3528)=0,0,+G3528-K3528)</f>
        <v/>
      </c>
      <c r="O3528" s="7">
        <f>IF(N3528=0,0,(L3528+H3528)/-N3528)</f>
        <v/>
      </c>
      <c r="P3528" s="7">
        <f>VLOOKUP(OPERAC[[#This Row],[especie]],[1]!ESPECIES[#All],6,0)</f>
        <v/>
      </c>
      <c r="Q3528" s="7">
        <f>IF(N3528&lt;&gt;0,P3528*N3528,0)</f>
        <v/>
      </c>
      <c r="R3528" s="8">
        <f>IF(Q3528&lt;&gt;0,Q3528+H3528+L3528,0)</f>
        <v/>
      </c>
      <c r="S3528" s="9">
        <f>VLOOKUP(OPERAC[[#This Row],[especie]],[1]!ESPECIES[#Data],9,FALSE)</f>
        <v/>
      </c>
    </row>
    <row r="3529">
      <c r="A3529" s="4" t="n">
        <v>1779</v>
      </c>
      <c r="B3529" s="5" t="n">
        <v>44652</v>
      </c>
      <c r="C3529" s="13" t="inlineStr">
        <is>
          <t>CPR</t>
        </is>
      </c>
      <c r="D3529" s="13" t="n">
        <v>32</v>
      </c>
      <c r="E3529" s="10">
        <f>IF(D3529&gt;0,VLOOKUP(OPERAC[[#This Row],[COD CART]],[1]!MatrizCortoLargoCyl[#All],3,0),"")</f>
        <v/>
      </c>
      <c r="F3529" s="13" t="inlineStr">
        <is>
          <t>COTY/CYL/8,00/24-06-22</t>
        </is>
      </c>
      <c r="G3529" s="6" t="n">
        <v>100</v>
      </c>
      <c r="H3529" s="6">
        <f>-771.136+3.966</f>
        <v/>
      </c>
      <c r="I3529" s="7">
        <f>-H3529/G3529</f>
        <v/>
      </c>
      <c r="J3529" s="11" t="n"/>
      <c r="K3529" s="6" t="n"/>
      <c r="L3529" s="6" t="n"/>
      <c r="M3529" s="7">
        <f>IF(N3529=0,+L3529+H3529,0)</f>
        <v/>
      </c>
      <c r="N3529" s="7">
        <f>IF((+G3529-K3529)=0,0,+G3529-K3529)</f>
        <v/>
      </c>
      <c r="O3529" s="7">
        <f>IF(N3529=0,0,(L3529+H3529)/-N3529)</f>
        <v/>
      </c>
      <c r="P3529" s="7">
        <f>VLOOKUP(OPERAC[[#This Row],[especie]],[1]!ESPECIES[#All],6,0)</f>
        <v/>
      </c>
      <c r="Q3529" s="7">
        <f>IF(N3529&lt;&gt;0,P3529*N3529,0)</f>
        <v/>
      </c>
      <c r="R3529" s="8">
        <f>IF(Q3529&lt;&gt;0,Q3529+H3529+L3529,0)</f>
        <v/>
      </c>
      <c r="S3529" s="9">
        <f>VLOOKUP(OPERAC[[#This Row],[especie]],[1]!ESPECIES[#Data],9,FALSE)</f>
        <v/>
      </c>
    </row>
    <row r="3530">
      <c r="A3530" s="4" t="n">
        <v>20312</v>
      </c>
      <c r="B3530" s="5" t="n">
        <v>44616</v>
      </c>
      <c r="C3530" s="13" t="inlineStr">
        <is>
          <t>CPR</t>
        </is>
      </c>
      <c r="D3530" s="13" t="n">
        <v>32</v>
      </c>
      <c r="E3530" s="10">
        <f>IF(D3530&gt;0,VLOOKUP(OPERAC[[#This Row],[COD CART]],[1]!MatrizCortoLargoCyl[#All],3,0),"")</f>
        <v/>
      </c>
      <c r="F3530" s="13" t="inlineStr">
        <is>
          <t>HMY/CYL/4,00/18-03-22</t>
        </is>
      </c>
      <c r="G3530" s="6" t="n">
        <v>200</v>
      </c>
      <c r="H3530" s="6" t="n">
        <v>-767.4100000000001</v>
      </c>
      <c r="I3530" s="7">
        <f>-H3530/G3530</f>
        <v/>
      </c>
      <c r="J3530" s="11" t="n">
        <v>44622</v>
      </c>
      <c r="K3530" s="6">
        <f>+OPERAC[[#This Row],[cantidad]]</f>
        <v/>
      </c>
      <c r="L3530" s="6" t="n">
        <v>787.9</v>
      </c>
      <c r="M3530" s="7">
        <f>IF(N3530=0,+L3530+H3530,0)</f>
        <v/>
      </c>
      <c r="N3530" s="7">
        <f>IF((+G3530-K3530)=0,0,+G3530-K3530)</f>
        <v/>
      </c>
      <c r="O3530" s="7">
        <f>IF(N3530=0,0,(L3530+H3530)/-N3530)</f>
        <v/>
      </c>
      <c r="P3530" s="7">
        <f>VLOOKUP(OPERAC[[#This Row],[especie]],[1]!ESPECIES[#All],6,0)</f>
        <v/>
      </c>
      <c r="Q3530" s="7">
        <f>IF(N3530&lt;&gt;0,P3530*N3530,0)</f>
        <v/>
      </c>
      <c r="R3530" s="8">
        <f>IF(Q3530&lt;&gt;0,Q3530+H3530+L3530,0)</f>
        <v/>
      </c>
      <c r="S3530" s="9">
        <f>VLOOKUP(OPERAC[[#This Row],[especie]],[1]!ESPECIES[#Data],9,FALSE)</f>
        <v/>
      </c>
    </row>
    <row r="3531">
      <c r="A3531" s="4" t="n">
        <v>7879</v>
      </c>
      <c r="B3531" s="5" t="n">
        <v>44207</v>
      </c>
      <c r="C3531" s="13" t="inlineStr">
        <is>
          <t>CPR</t>
        </is>
      </c>
      <c r="D3531" s="13" t="n">
        <v>41</v>
      </c>
      <c r="E3531" s="10">
        <f>IF(D3531&gt;0,VLOOKUP(OPERAC[[#This Row],[COD CART]],[1]!MatrizCortoLargoCyl[#All],3,0),"")</f>
        <v/>
      </c>
      <c r="F3531" s="13" t="inlineStr">
        <is>
          <t>GBTC</t>
        </is>
      </c>
      <c r="G3531" s="6" t="n">
        <v>20</v>
      </c>
      <c r="H3531" s="6" t="n">
        <v>-768.2896000000001</v>
      </c>
      <c r="I3531" s="7">
        <f>-H3531/G3531</f>
        <v/>
      </c>
      <c r="J3531" s="11" t="n"/>
      <c r="K3531" s="6" t="n"/>
      <c r="L3531" s="6" t="n"/>
      <c r="M3531" s="7">
        <f>IF(N3531=0,+L3531+H3531,0)</f>
        <v/>
      </c>
      <c r="N3531" s="7">
        <f>IF((+G3531-K3531)=0,0,+G3531-K3531)</f>
        <v/>
      </c>
      <c r="O3531" s="7" t="n">
        <v>23.7</v>
      </c>
      <c r="P3531" s="7">
        <f>VLOOKUP(OPERAC[[#This Row],[especie]],[1]!ESPECIES[#All],6,0)</f>
        <v/>
      </c>
      <c r="Q3531" s="7">
        <f>IF(N3531&lt;&gt;0,P3531*N3531,0)</f>
        <v/>
      </c>
      <c r="R3531" s="8">
        <f>IF(Q3531&lt;&gt;0,Q3531+H3531+L3531,0)</f>
        <v/>
      </c>
      <c r="S3531" s="9">
        <f>VLOOKUP(OPERAC[[#This Row],[especie]],[1]!ESPECIES[#Data],9,FALSE)</f>
        <v/>
      </c>
    </row>
    <row r="3532">
      <c r="A3532" s="4" t="n">
        <v>2255</v>
      </c>
      <c r="B3532" s="5" t="n">
        <v>44557</v>
      </c>
      <c r="C3532" s="13" t="inlineStr">
        <is>
          <t>CPR</t>
        </is>
      </c>
      <c r="D3532" s="13" t="n">
        <v>40</v>
      </c>
      <c r="E3532" s="10">
        <f>IF(D3532&gt;0,VLOOKUP(OPERAC[[#This Row],[COD CART]],[1]!MatrizCortoLargoCyl[#All],3,0),"")</f>
        <v/>
      </c>
      <c r="F3532" s="13" t="inlineStr">
        <is>
          <t>TLRY</t>
        </is>
      </c>
      <c r="G3532" s="6" t="n">
        <v>100</v>
      </c>
      <c r="H3532" s="6" t="n">
        <v>-768.5599999999999</v>
      </c>
      <c r="I3532" s="7">
        <f>-H3532/G3532</f>
        <v/>
      </c>
      <c r="J3532" s="11" t="n">
        <v>44585</v>
      </c>
      <c r="K3532" s="6">
        <f>+OPERAC[[#This Row],[cantidad]]</f>
        <v/>
      </c>
      <c r="L3532" s="6">
        <f>+OPERAC[[#This Row],[cantidad venta]]*5.263</f>
        <v/>
      </c>
      <c r="M3532" s="7">
        <f>IF(N3532=0,+L3532+H3532,0)</f>
        <v/>
      </c>
      <c r="N3532" s="7">
        <f>IF((+G3532-K3532)=0,0,+G3532-K3532)</f>
        <v/>
      </c>
      <c r="O3532" s="7">
        <f>IF(N3532=0,0,(L3532+H3532)/-N3532)</f>
        <v/>
      </c>
      <c r="P3532" s="7">
        <f>VLOOKUP(OPERAC[[#This Row],[especie]],[1]!ESPECIES[#All],6,0)</f>
        <v/>
      </c>
      <c r="Q3532" s="7">
        <f>IF(N3532&lt;&gt;0,P3532*N3532,0)</f>
        <v/>
      </c>
      <c r="R3532" s="8">
        <f>IF(Q3532&lt;&gt;0,Q3532+H3532+L3532,0)</f>
        <v/>
      </c>
      <c r="S3532" s="9">
        <f>VLOOKUP(OPERAC[[#This Row],[especie]],[1]!ESPECIES[#Data],9,FALSE)</f>
        <v/>
      </c>
    </row>
    <row r="3533">
      <c r="A3533" s="4" t="n">
        <v>3021</v>
      </c>
      <c r="B3533" s="5" t="n">
        <v>44581</v>
      </c>
      <c r="C3533" s="13" t="inlineStr">
        <is>
          <t>CPR</t>
        </is>
      </c>
      <c r="D3533" s="13" t="n">
        <v>32</v>
      </c>
      <c r="E3533" s="10">
        <f>IF(D3533&gt;0,VLOOKUP(OPERAC[[#This Row],[COD CART]],[1]!MatrizCortoLargoCyl[#All],3,0),"")</f>
        <v/>
      </c>
      <c r="F3533" s="13" t="inlineStr">
        <is>
          <t>HMY/CYL/4,00/18-02-22</t>
        </is>
      </c>
      <c r="G3533" s="6" t="n">
        <v>200</v>
      </c>
      <c r="H3533" s="6" t="n">
        <v>-768.5990740000001</v>
      </c>
      <c r="I3533" s="7">
        <f>-H3533/G3533</f>
        <v/>
      </c>
      <c r="J3533" s="11" t="n">
        <v>44610</v>
      </c>
      <c r="K3533" s="6">
        <f>+OPERAC[[#This Row],[cantidad]]</f>
        <v/>
      </c>
      <c r="L3533" s="6">
        <f>+OPERAC[[#This Row],[cantidad venta]]*3.8323</f>
        <v/>
      </c>
      <c r="M3533" s="7">
        <f>IF(N3533=0,+L3533+H3533,0)</f>
        <v/>
      </c>
      <c r="N3533" s="7">
        <f>IF((+G3533-K3533)=0,0,+G3533-K3533)</f>
        <v/>
      </c>
      <c r="O3533" s="7">
        <f>IF(N3533=0,0,(L3533+H3533)/-N3533)</f>
        <v/>
      </c>
      <c r="P3533" s="7">
        <f>VLOOKUP(OPERAC[[#This Row],[especie]],[1]!ESPECIES[#All],6,0)</f>
        <v/>
      </c>
      <c r="Q3533" s="7">
        <f>IF(N3533&lt;&gt;0,P3533*N3533,0)</f>
        <v/>
      </c>
      <c r="R3533" s="8">
        <f>IF(Q3533&lt;&gt;0,Q3533+H3533+L3533,0)</f>
        <v/>
      </c>
      <c r="S3533" s="9">
        <f>VLOOKUP(OPERAC[[#This Row],[especie]],[1]!ESPECIES[#Data],9,FALSE)</f>
        <v/>
      </c>
    </row>
    <row r="3534">
      <c r="A3534" s="4" t="n">
        <v>2255</v>
      </c>
      <c r="B3534" s="5" t="n">
        <v>44582</v>
      </c>
      <c r="C3534" s="13" t="inlineStr">
        <is>
          <t>CPR</t>
        </is>
      </c>
      <c r="D3534" s="13" t="n">
        <v>40</v>
      </c>
      <c r="E3534" s="10">
        <f>IF(D3534&gt;0,VLOOKUP(OPERAC[[#This Row],[COD CART]],[1]!MatrizCortoLargoCyl[#All],3,0),"")</f>
        <v/>
      </c>
      <c r="F3534" s="13" t="inlineStr">
        <is>
          <t>NFLX</t>
        </is>
      </c>
      <c r="G3534" s="6" t="n">
        <v>2</v>
      </c>
      <c r="H3534" s="6" t="n">
        <v>-769.0191600000001</v>
      </c>
      <c r="I3534" s="7">
        <f>-H3534/G3534</f>
        <v/>
      </c>
      <c r="J3534" s="11" t="n">
        <v>44593</v>
      </c>
      <c r="K3534" s="6">
        <f>+OPERAC[[#This Row],[cantidad]]</f>
        <v/>
      </c>
      <c r="L3534" s="6">
        <f>+OPERAC[[#This Row],[cantidad venta]]*448.602</f>
        <v/>
      </c>
      <c r="M3534" s="7">
        <f>IF(N3534=0,+L3534+H3534,0)</f>
        <v/>
      </c>
      <c r="N3534" s="7">
        <f>IF((+G3534-K3534)=0,0,+G3534-K3534)</f>
        <v/>
      </c>
      <c r="O3534" s="7">
        <f>IF(N3534=0,0,(L3534+H3534)/-N3534)</f>
        <v/>
      </c>
      <c r="P3534" s="7">
        <f>VLOOKUP(OPERAC[[#This Row],[especie]],[1]!ESPECIES[#All],6,0)</f>
        <v/>
      </c>
      <c r="Q3534" s="7">
        <f>IF(N3534&lt;&gt;0,P3534*N3534,0)</f>
        <v/>
      </c>
      <c r="R3534" s="8">
        <f>IF(Q3534&lt;&gt;0,Q3534+H3534+L3534,0)</f>
        <v/>
      </c>
      <c r="S3534" s="9">
        <f>VLOOKUP(OPERAC[[#This Row],[especie]],[1]!ESPECIES[#Data],9,FALSE)</f>
        <v/>
      </c>
    </row>
    <row r="3535">
      <c r="A3535" s="4" t="n">
        <v>16829</v>
      </c>
      <c r="B3535" s="5" t="n">
        <v>44582</v>
      </c>
      <c r="C3535" s="13" t="inlineStr">
        <is>
          <t>CPR</t>
        </is>
      </c>
      <c r="D3535" s="13" t="n">
        <v>40</v>
      </c>
      <c r="E3535" s="10">
        <f>IF(D3535&gt;0,VLOOKUP(OPERAC[[#This Row],[COD CART]],[1]!MatrizCortoLargoCyl[#All],3,0),"")</f>
        <v/>
      </c>
      <c r="F3535" s="13" t="inlineStr">
        <is>
          <t>NFLX</t>
        </is>
      </c>
      <c r="G3535" s="6" t="n">
        <v>2</v>
      </c>
      <c r="H3535" s="6" t="n">
        <v>-769.0191600000001</v>
      </c>
      <c r="I3535" s="7">
        <f>-H3535/G3535</f>
        <v/>
      </c>
      <c r="J3535" s="11" t="n">
        <v>44593</v>
      </c>
      <c r="K3535" s="6">
        <f>+OPERAC[[#This Row],[cantidad]]</f>
        <v/>
      </c>
      <c r="L3535" s="6">
        <f>+OPERAC[[#This Row],[cantidad venta]]*448.602</f>
        <v/>
      </c>
      <c r="M3535" s="7">
        <f>IF(N3535=0,+L3535+H3535,0)</f>
        <v/>
      </c>
      <c r="N3535" s="7">
        <f>IF((+G3535-K3535)=0,0,+G3535-K3535)</f>
        <v/>
      </c>
      <c r="O3535" s="7">
        <f>IF(N3535=0,0,(L3535+H3535)/-N3535)</f>
        <v/>
      </c>
      <c r="P3535" s="7">
        <f>VLOOKUP(OPERAC[[#This Row],[especie]],[1]!ESPECIES[#All],6,0)</f>
        <v/>
      </c>
      <c r="Q3535" s="7">
        <f>IF(N3535&lt;&gt;0,P3535*N3535,0)</f>
        <v/>
      </c>
      <c r="R3535" s="8">
        <f>IF(Q3535&lt;&gt;0,Q3535+H3535+L3535,0)</f>
        <v/>
      </c>
      <c r="S3535" s="9">
        <f>VLOOKUP(OPERAC[[#This Row],[especie]],[1]!ESPECIES[#Data],9,FALSE)</f>
        <v/>
      </c>
    </row>
    <row r="3536">
      <c r="A3536" s="4" t="n">
        <v>2218</v>
      </c>
      <c r="B3536" s="5" t="n">
        <v>44677</v>
      </c>
      <c r="C3536" s="13" t="inlineStr">
        <is>
          <t>CPR</t>
        </is>
      </c>
      <c r="D3536" s="13" t="n">
        <v>32</v>
      </c>
      <c r="E3536" s="10">
        <f>IF(D3536&gt;0,VLOOKUP(OPERAC[[#This Row],[COD CART]],[1]!MatrizCortoLargoCyl[#All],3,0),"")</f>
        <v/>
      </c>
      <c r="F3536" s="13" t="inlineStr">
        <is>
          <t>HMY</t>
        </is>
      </c>
      <c r="G3536" s="6" t="n">
        <v>200</v>
      </c>
      <c r="H3536" s="6">
        <f>-3.849*OPERAC[[#This Row],[cantidad]]</f>
        <v/>
      </c>
      <c r="I3536" s="7">
        <f>-H3536/G3536</f>
        <v/>
      </c>
      <c r="J3536" s="11" t="n"/>
      <c r="K3536" s="6" t="n"/>
      <c r="L3536" s="6" t="n"/>
      <c r="M3536" s="7">
        <f>IF(N3536=0,+L3536+H3536,0)</f>
        <v/>
      </c>
      <c r="N3536" s="7">
        <f>IF((+G3536-K3536)=0,0,+G3536-K3536)</f>
        <v/>
      </c>
      <c r="O3536" s="7">
        <f>IF(N3536=0,0,(L3536+H3536)/-N3536)</f>
        <v/>
      </c>
      <c r="P3536" s="7">
        <f>VLOOKUP(OPERAC[[#This Row],[especie]],[1]!ESPECIES[#All],6,0)</f>
        <v/>
      </c>
      <c r="Q3536" s="7">
        <f>IF(N3536&lt;&gt;0,P3536*N3536,0)</f>
        <v/>
      </c>
      <c r="R3536" s="8">
        <f>IF(Q3536&lt;&gt;0,Q3536+H3536+L3536,0)</f>
        <v/>
      </c>
      <c r="S3536" s="9">
        <f>VLOOKUP(OPERAC[[#This Row],[especie]],[1]!ESPECIES[#Data],9,FALSE)</f>
        <v/>
      </c>
    </row>
    <row r="3537">
      <c r="A3537" s="4" t="n">
        <v>18711</v>
      </c>
      <c r="B3537" s="5" t="n">
        <v>44677</v>
      </c>
      <c r="C3537" s="13" t="inlineStr">
        <is>
          <t>CPR</t>
        </is>
      </c>
      <c r="D3537" s="13" t="n">
        <v>32</v>
      </c>
      <c r="E3537" s="10">
        <f>IF(D3537&gt;0,VLOOKUP(OPERAC[[#This Row],[COD CART]],[1]!MatrizCortoLargoCyl[#All],3,0),"")</f>
        <v/>
      </c>
      <c r="F3537" s="13" t="inlineStr">
        <is>
          <t>HMY</t>
        </is>
      </c>
      <c r="G3537" s="6" t="n">
        <v>200</v>
      </c>
      <c r="H3537" s="6">
        <f>-3.849*OPERAC[[#This Row],[cantidad]]</f>
        <v/>
      </c>
      <c r="I3537" s="7">
        <f>-H3537/G3537</f>
        <v/>
      </c>
      <c r="J3537" s="11" t="n">
        <v>44722</v>
      </c>
      <c r="K3537" s="6" t="n">
        <v>200</v>
      </c>
      <c r="L3537" s="6" t="n">
        <v>682.549</v>
      </c>
      <c r="M3537" s="7">
        <f>IF(N3537=0,+L3537+H3537,0)</f>
        <v/>
      </c>
      <c r="N3537" s="7">
        <f>IF((+G3537-K3537)=0,0,+G3537-K3537)</f>
        <v/>
      </c>
      <c r="O3537" s="7">
        <f>IF(N3537=0,0,(L3537+H3537)/-N3537)</f>
        <v/>
      </c>
      <c r="P3537" s="7">
        <f>VLOOKUP(OPERAC[[#This Row],[especie]],[1]!ESPECIES[#All],6,0)</f>
        <v/>
      </c>
      <c r="Q3537" s="7">
        <f>IF(N3537&lt;&gt;0,P3537*N3537,0)</f>
        <v/>
      </c>
      <c r="R3537" s="8">
        <f>IF(Q3537&lt;&gt;0,Q3537+H3537+L3537,0)</f>
        <v/>
      </c>
      <c r="S3537" s="9">
        <f>VLOOKUP(OPERAC[[#This Row],[especie]],[1]!ESPECIES[#Data],9,FALSE)</f>
        <v/>
      </c>
    </row>
    <row r="3538">
      <c r="A3538" s="4" t="n">
        <v>2306</v>
      </c>
      <c r="B3538" s="5" t="n">
        <v>44677</v>
      </c>
      <c r="C3538" s="13" t="inlineStr">
        <is>
          <t>CPR</t>
        </is>
      </c>
      <c r="D3538" s="13" t="n">
        <v>32</v>
      </c>
      <c r="E3538" s="10">
        <f>IF(D3538&gt;0,VLOOKUP(OPERAC[[#This Row],[COD CART]],[1]!MatrizCortoLargoCyl[#All],3,0),"")</f>
        <v/>
      </c>
      <c r="F3538" s="13" t="inlineStr">
        <is>
          <t>HMY</t>
        </is>
      </c>
      <c r="G3538" s="6" t="n">
        <v>200</v>
      </c>
      <c r="H3538" s="6">
        <f>-3.849*OPERAC[[#This Row],[cantidad]]</f>
        <v/>
      </c>
      <c r="I3538" s="7">
        <f>-H3538/G3538</f>
        <v/>
      </c>
      <c r="J3538" s="11" t="n">
        <v>44704</v>
      </c>
      <c r="K3538" s="6" t="n">
        <v>200</v>
      </c>
      <c r="L3538" s="6">
        <f>+OPERAC[[#This Row],[cantidad venta]]*3.669</f>
        <v/>
      </c>
      <c r="M3538" s="7">
        <f>IF(N3538=0,+L3538+H3538,0)</f>
        <v/>
      </c>
      <c r="N3538" s="7">
        <f>IF((+G3538-K3538)=0,0,+G3538-K3538)</f>
        <v/>
      </c>
      <c r="O3538" s="7">
        <f>IF(N3538=0,0,(L3538+H3538)/-N3538)</f>
        <v/>
      </c>
      <c r="P3538" s="7">
        <f>VLOOKUP(OPERAC[[#This Row],[especie]],[1]!ESPECIES[#All],6,0)</f>
        <v/>
      </c>
      <c r="Q3538" s="7">
        <f>IF(N3538&lt;&gt;0,P3538*N3538,0)</f>
        <v/>
      </c>
      <c r="R3538" s="8">
        <f>IF(Q3538&lt;&gt;0,Q3538+H3538+L3538,0)</f>
        <v/>
      </c>
      <c r="S3538" s="9">
        <f>VLOOKUP(OPERAC[[#This Row],[especie]],[1]!ESPECIES[#Data],9,FALSE)</f>
        <v/>
      </c>
    </row>
    <row r="3539">
      <c r="A3539" s="4" t="n">
        <v>3728</v>
      </c>
      <c r="B3539" s="5" t="n">
        <v>44677</v>
      </c>
      <c r="C3539" s="13" t="inlineStr">
        <is>
          <t>CPR</t>
        </is>
      </c>
      <c r="D3539" s="13" t="n">
        <v>32</v>
      </c>
      <c r="E3539" s="10">
        <f>IF(D3539&gt;0,VLOOKUP(OPERAC[[#This Row],[COD CART]],[1]!MatrizCortoLargoCyl[#All],3,0),"")</f>
        <v/>
      </c>
      <c r="F3539" s="13" t="inlineStr">
        <is>
          <t>HMY</t>
        </is>
      </c>
      <c r="G3539" s="6" t="n">
        <v>200</v>
      </c>
      <c r="H3539" s="6">
        <f>-3.849*OPERAC[[#This Row],[cantidad]]</f>
        <v/>
      </c>
      <c r="I3539" s="7">
        <f>-H3539/G3539</f>
        <v/>
      </c>
      <c r="J3539" s="11" t="n"/>
      <c r="K3539" s="6" t="n"/>
      <c r="L3539" s="6" t="n"/>
      <c r="M3539" s="7">
        <f>IF(N3539=0,+L3539+H3539,0)</f>
        <v/>
      </c>
      <c r="N3539" s="7">
        <f>IF((+G3539-K3539)=0,0,+G3539-K3539)</f>
        <v/>
      </c>
      <c r="O3539" s="7">
        <f>IF(N3539=0,0,(L3539+H3539)/-N3539)</f>
        <v/>
      </c>
      <c r="P3539" s="7">
        <f>VLOOKUP(OPERAC[[#This Row],[especie]],[1]!ESPECIES[#All],6,0)</f>
        <v/>
      </c>
      <c r="Q3539" s="7">
        <f>IF(N3539&lt;&gt;0,P3539*N3539,0)</f>
        <v/>
      </c>
      <c r="R3539" s="8">
        <f>IF(Q3539&lt;&gt;0,Q3539+H3539+L3539,0)</f>
        <v/>
      </c>
      <c r="S3539" s="9">
        <f>VLOOKUP(OPERAC[[#This Row],[especie]],[1]!ESPECIES[#Data],9,FALSE)</f>
        <v/>
      </c>
    </row>
    <row r="3540">
      <c r="A3540" s="4" t="n">
        <v>18724</v>
      </c>
      <c r="B3540" s="5" t="n">
        <v>44677</v>
      </c>
      <c r="C3540" s="13" t="inlineStr">
        <is>
          <t>CPR</t>
        </is>
      </c>
      <c r="D3540" s="13" t="n">
        <v>32</v>
      </c>
      <c r="E3540" s="10">
        <f>IF(D3540&gt;0,VLOOKUP(OPERAC[[#This Row],[COD CART]],[1]!MatrizCortoLargoCyl[#All],3,0),"")</f>
        <v/>
      </c>
      <c r="F3540" s="13" t="inlineStr">
        <is>
          <t>HMY</t>
        </is>
      </c>
      <c r="G3540" s="6" t="n">
        <v>200</v>
      </c>
      <c r="H3540" s="6">
        <f>-3.849*OPERAC[[#This Row],[cantidad]]</f>
        <v/>
      </c>
      <c r="I3540" s="7">
        <f>-H3540/G3540</f>
        <v/>
      </c>
      <c r="J3540" s="11" t="n"/>
      <c r="K3540" s="6" t="n"/>
      <c r="L3540" s="6" t="n"/>
      <c r="M3540" s="7">
        <f>IF(N3540=0,+L3540+H3540,0)</f>
        <v/>
      </c>
      <c r="N3540" s="7">
        <f>IF((+G3540-K3540)=0,0,+G3540-K3540)</f>
        <v/>
      </c>
      <c r="O3540" s="7">
        <f>IF(N3540=0,0,(L3540+H3540)/-N3540)</f>
        <v/>
      </c>
      <c r="P3540" s="7">
        <f>VLOOKUP(OPERAC[[#This Row],[especie]],[1]!ESPECIES[#All],6,0)</f>
        <v/>
      </c>
      <c r="Q3540" s="7">
        <f>IF(N3540&lt;&gt;0,P3540*N3540,0)</f>
        <v/>
      </c>
      <c r="R3540" s="8">
        <f>IF(Q3540&lt;&gt;0,Q3540+H3540+L3540,0)</f>
        <v/>
      </c>
      <c r="S3540" s="9">
        <f>VLOOKUP(OPERAC[[#This Row],[especie]],[1]!ESPECIES[#Data],9,FALSE)</f>
        <v/>
      </c>
    </row>
    <row r="3541">
      <c r="A3541" s="4" t="n">
        <v>19920</v>
      </c>
      <c r="B3541" s="5" t="n">
        <v>44677</v>
      </c>
      <c r="C3541" s="13" t="inlineStr">
        <is>
          <t>CPR</t>
        </is>
      </c>
      <c r="D3541" s="13" t="n">
        <v>32</v>
      </c>
      <c r="E3541" s="10">
        <f>IF(D3541&gt;0,VLOOKUP(OPERAC[[#This Row],[COD CART]],[1]!MatrizCortoLargoCyl[#All],3,0),"")</f>
        <v/>
      </c>
      <c r="F3541" s="13" t="inlineStr">
        <is>
          <t>HMY</t>
        </is>
      </c>
      <c r="G3541" s="6" t="n">
        <v>200</v>
      </c>
      <c r="H3541" s="6">
        <f>-3.849*OPERAC[[#This Row],[cantidad]]</f>
        <v/>
      </c>
      <c r="I3541" s="7">
        <f>-H3541/G3541</f>
        <v/>
      </c>
      <c r="J3541" s="11" t="n"/>
      <c r="K3541" s="6" t="n"/>
      <c r="L3541" s="6" t="n"/>
      <c r="M3541" s="7">
        <f>IF(N3541=0,+L3541+H3541,0)</f>
        <v/>
      </c>
      <c r="N3541" s="7">
        <f>IF((+G3541-K3541)=0,0,+G3541-K3541)</f>
        <v/>
      </c>
      <c r="O3541" s="7">
        <f>IF(N3541=0,0,(L3541+H3541)/-N3541)</f>
        <v/>
      </c>
      <c r="P3541" s="7">
        <f>VLOOKUP(OPERAC[[#This Row],[especie]],[1]!ESPECIES[#All],6,0)</f>
        <v/>
      </c>
      <c r="Q3541" s="7">
        <f>IF(N3541&lt;&gt;0,P3541*N3541,0)</f>
        <v/>
      </c>
      <c r="R3541" s="8">
        <f>IF(Q3541&lt;&gt;0,Q3541+H3541+L3541,0)</f>
        <v/>
      </c>
      <c r="S3541" s="9">
        <f>VLOOKUP(OPERAC[[#This Row],[especie]],[1]!ESPECIES[#Data],9,FALSE)</f>
        <v/>
      </c>
    </row>
    <row r="3542">
      <c r="A3542" s="4" t="n">
        <v>12655</v>
      </c>
      <c r="B3542" s="5" t="n">
        <v>44575</v>
      </c>
      <c r="C3542" s="13" t="inlineStr">
        <is>
          <t>CPR</t>
        </is>
      </c>
      <c r="D3542" s="13" t="n">
        <v>40</v>
      </c>
      <c r="E3542" s="10">
        <f>IF(D3542&gt;0,VLOOKUP(OPERAC[[#This Row],[COD CART]],[1]!MatrizCortoLargoCyl[#All],3,0),"")</f>
        <v/>
      </c>
      <c r="F3542" s="13" t="inlineStr">
        <is>
          <t>GBTC</t>
        </is>
      </c>
      <c r="G3542" s="6" t="n">
        <v>25</v>
      </c>
      <c r="H3542" s="6" t="n">
        <v>-770.237</v>
      </c>
      <c r="I3542" s="7">
        <f>-H3542/G3542</f>
        <v/>
      </c>
      <c r="J3542" s="11" t="n">
        <v>44651</v>
      </c>
      <c r="K3542" s="6">
        <f>+OPERAC[[#This Row],[cantidad]]</f>
        <v/>
      </c>
      <c r="L3542" s="6">
        <f>+OPERAC[[#This Row],[cantidad venta]]*31.332</f>
        <v/>
      </c>
      <c r="M3542" s="7">
        <f>IF(N3542=0,+L3542+H3542,0)</f>
        <v/>
      </c>
      <c r="N3542" s="7">
        <f>IF((+G3542-K3542)=0,0,+G3542-K3542)</f>
        <v/>
      </c>
      <c r="O3542" s="7">
        <f>IF(N3542=0,0,(L3542+H3542)/-N3542)</f>
        <v/>
      </c>
      <c r="P3542" s="7">
        <f>VLOOKUP(OPERAC[[#This Row],[especie]],[1]!ESPECIES[#All],6,0)</f>
        <v/>
      </c>
      <c r="Q3542" s="7">
        <f>IF(N3542&lt;&gt;0,P3542*N3542,0)</f>
        <v/>
      </c>
      <c r="R3542" s="8">
        <f>IF(Q3542&lt;&gt;0,Q3542+H3542+L3542,0)</f>
        <v/>
      </c>
      <c r="S3542" s="9">
        <f>VLOOKUP(OPERAC[[#This Row],[especie]],[1]!ESPECIES[#Data],9,FALSE)</f>
        <v/>
      </c>
    </row>
    <row r="3543">
      <c r="A3543" s="4" t="n">
        <v>2255</v>
      </c>
      <c r="B3543" s="5" t="n">
        <v>44581</v>
      </c>
      <c r="C3543" s="13" t="inlineStr">
        <is>
          <t>CPR</t>
        </is>
      </c>
      <c r="D3543" s="13" t="n">
        <v>32</v>
      </c>
      <c r="E3543" s="10">
        <f>IF(D3543&gt;0,VLOOKUP(OPERAC[[#This Row],[COD CART]],[1]!MatrizCortoLargoCyl[#All],3,0),"")</f>
        <v/>
      </c>
      <c r="F3543" s="13" t="inlineStr">
        <is>
          <t>HMY/CYL/4,00/18-02-22</t>
        </is>
      </c>
      <c r="G3543" s="6" t="n">
        <v>200</v>
      </c>
      <c r="H3543" s="6" t="n">
        <v>-771.5948960000001</v>
      </c>
      <c r="I3543" s="7">
        <f>-H3543/G3543</f>
        <v/>
      </c>
      <c r="J3543" s="11" t="n">
        <v>44610</v>
      </c>
      <c r="K3543" s="6">
        <f>+OPERAC[[#This Row],[cantidad]]</f>
        <v/>
      </c>
      <c r="L3543" s="6">
        <f>+OPERAC[[#This Row],[cantidad venta]]*3.8323</f>
        <v/>
      </c>
      <c r="M3543" s="7">
        <f>IF(N3543=0,+L3543+H3543,0)</f>
        <v/>
      </c>
      <c r="N3543" s="7">
        <f>IF((+G3543-K3543)=0,0,+G3543-K3543)</f>
        <v/>
      </c>
      <c r="O3543" s="7">
        <f>IF(N3543=0,0,(L3543+H3543)/-N3543)</f>
        <v/>
      </c>
      <c r="P3543" s="7">
        <f>VLOOKUP(OPERAC[[#This Row],[especie]],[1]!ESPECIES[#All],6,0)</f>
        <v/>
      </c>
      <c r="Q3543" s="7">
        <f>IF(N3543&lt;&gt;0,P3543*N3543,0)</f>
        <v/>
      </c>
      <c r="R3543" s="8">
        <f>IF(Q3543&lt;&gt;0,Q3543+H3543+L3543,0)</f>
        <v/>
      </c>
      <c r="S3543" s="9">
        <f>VLOOKUP(OPERAC[[#This Row],[especie]],[1]!ESPECIES[#Data],9,FALSE)</f>
        <v/>
      </c>
    </row>
    <row r="3544">
      <c r="A3544" s="4" t="n">
        <v>1792</v>
      </c>
      <c r="B3544" s="5" t="n">
        <v>44557</v>
      </c>
      <c r="C3544" s="13" t="inlineStr">
        <is>
          <t>CPR</t>
        </is>
      </c>
      <c r="D3544" s="13" t="n">
        <v>40</v>
      </c>
      <c r="E3544" s="10">
        <f>IF(D3544&gt;0,VLOOKUP(OPERAC[[#This Row],[COD CART]],[1]!MatrizCortoLargoCyl[#All],3,0),"")</f>
        <v/>
      </c>
      <c r="F3544" s="13" t="inlineStr">
        <is>
          <t>TLRY</t>
        </is>
      </c>
      <c r="G3544" s="6" t="n">
        <v>100</v>
      </c>
      <c r="H3544" s="6" t="n">
        <v>-771.62</v>
      </c>
      <c r="I3544" s="7">
        <f>-H3544/G3544</f>
        <v/>
      </c>
      <c r="J3544" s="11" t="n">
        <v>44585</v>
      </c>
      <c r="K3544" s="6">
        <f>+OPERAC[[#This Row],[cantidad]]</f>
        <v/>
      </c>
      <c r="L3544" s="6">
        <f>+OPERAC[[#This Row],[cantidad venta]]*5.263</f>
        <v/>
      </c>
      <c r="M3544" s="7">
        <f>IF(N3544=0,+L3544+H3544,0)</f>
        <v/>
      </c>
      <c r="N3544" s="7">
        <f>IF((+G3544-K3544)=0,0,+G3544-K3544)</f>
        <v/>
      </c>
      <c r="O3544" s="7">
        <f>IF(N3544=0,0,(L3544+H3544)/-N3544)</f>
        <v/>
      </c>
      <c r="P3544" s="7">
        <f>VLOOKUP(OPERAC[[#This Row],[especie]],[1]!ESPECIES[#All],6,0)</f>
        <v/>
      </c>
      <c r="Q3544" s="7">
        <f>IF(N3544&lt;&gt;0,P3544*N3544,0)</f>
        <v/>
      </c>
      <c r="R3544" s="8">
        <f>IF(Q3544&lt;&gt;0,Q3544+H3544+L3544,0)</f>
        <v/>
      </c>
      <c r="S3544" s="9">
        <f>VLOOKUP(OPERAC[[#This Row],[especie]],[1]!ESPECIES[#Data],9,FALSE)</f>
        <v/>
      </c>
    </row>
    <row r="3545">
      <c r="A3545" s="4" t="n">
        <v>3787</v>
      </c>
      <c r="B3545" s="5" t="n">
        <v>44557</v>
      </c>
      <c r="C3545" s="13" t="inlineStr">
        <is>
          <t>CPR</t>
        </is>
      </c>
      <c r="D3545" s="13" t="n">
        <v>40</v>
      </c>
      <c r="E3545" s="10">
        <f>IF(D3545&gt;0,VLOOKUP(OPERAC[[#This Row],[COD CART]],[1]!MatrizCortoLargoCyl[#All],3,0),"")</f>
        <v/>
      </c>
      <c r="F3545" s="13" t="inlineStr">
        <is>
          <t>TLRY</t>
        </is>
      </c>
      <c r="G3545" s="6" t="n">
        <v>100</v>
      </c>
      <c r="H3545" s="6" t="n">
        <v>-771.62</v>
      </c>
      <c r="I3545" s="7">
        <f>-H3545/G3545</f>
        <v/>
      </c>
      <c r="J3545" s="11" t="n">
        <v>44585</v>
      </c>
      <c r="K3545" s="6">
        <f>+OPERAC[[#This Row],[cantidad]]</f>
        <v/>
      </c>
      <c r="L3545" s="6">
        <f>+OPERAC[[#This Row],[cantidad venta]]*5.263</f>
        <v/>
      </c>
      <c r="M3545" s="7">
        <f>IF(N3545=0,+L3545+H3545,0)</f>
        <v/>
      </c>
      <c r="N3545" s="7">
        <f>IF((+G3545-K3545)=0,0,+G3545-K3545)</f>
        <v/>
      </c>
      <c r="O3545" s="7">
        <f>IF(N3545=0,0,(L3545+H3545)/-N3545)</f>
        <v/>
      </c>
      <c r="P3545" s="7">
        <f>VLOOKUP(OPERAC[[#This Row],[especie]],[1]!ESPECIES[#All],6,0)</f>
        <v/>
      </c>
      <c r="Q3545" s="7">
        <f>IF(N3545&lt;&gt;0,P3545*N3545,0)</f>
        <v/>
      </c>
      <c r="R3545" s="8">
        <f>IF(Q3545&lt;&gt;0,Q3545+H3545+L3545,0)</f>
        <v/>
      </c>
      <c r="S3545" s="9">
        <f>VLOOKUP(OPERAC[[#This Row],[especie]],[1]!ESPECIES[#Data],9,FALSE)</f>
        <v/>
      </c>
    </row>
    <row r="3546">
      <c r="A3546" s="4" t="n">
        <v>12652</v>
      </c>
      <c r="B3546" s="5" t="n">
        <v>44557</v>
      </c>
      <c r="C3546" s="13" t="inlineStr">
        <is>
          <t>CPR</t>
        </is>
      </c>
      <c r="D3546" s="13" t="n">
        <v>40</v>
      </c>
      <c r="E3546" s="10">
        <f>IF(D3546&gt;0,VLOOKUP(OPERAC[[#This Row],[COD CART]],[1]!MatrizCortoLargoCyl[#All],3,0),"")</f>
        <v/>
      </c>
      <c r="F3546" s="13" t="inlineStr">
        <is>
          <t>TLRY</t>
        </is>
      </c>
      <c r="G3546" s="6" t="n">
        <v>100</v>
      </c>
      <c r="H3546" s="6" t="n">
        <v>-771.62</v>
      </c>
      <c r="I3546" s="7">
        <f>-H3546/G3546</f>
        <v/>
      </c>
      <c r="J3546" s="11" t="n">
        <v>44585</v>
      </c>
      <c r="K3546" s="6">
        <f>+OPERAC[[#This Row],[cantidad]]</f>
        <v/>
      </c>
      <c r="L3546" s="6">
        <f>+OPERAC[[#This Row],[cantidad venta]]*5.263</f>
        <v/>
      </c>
      <c r="M3546" s="7">
        <f>IF(N3546=0,+L3546+H3546,0)</f>
        <v/>
      </c>
      <c r="N3546" s="7">
        <f>IF((+G3546-K3546)=0,0,+G3546-K3546)</f>
        <v/>
      </c>
      <c r="O3546" s="7">
        <f>IF(N3546=0,0,(L3546+H3546)/-N3546)</f>
        <v/>
      </c>
      <c r="P3546" s="7">
        <f>VLOOKUP(OPERAC[[#This Row],[especie]],[1]!ESPECIES[#All],6,0)</f>
        <v/>
      </c>
      <c r="Q3546" s="7">
        <f>IF(N3546&lt;&gt;0,P3546*N3546,0)</f>
        <v/>
      </c>
      <c r="R3546" s="8">
        <f>IF(Q3546&lt;&gt;0,Q3546+H3546+L3546,0)</f>
        <v/>
      </c>
      <c r="S3546" s="9">
        <f>VLOOKUP(OPERAC[[#This Row],[especie]],[1]!ESPECIES[#Data],9,FALSE)</f>
        <v/>
      </c>
    </row>
    <row r="3547">
      <c r="A3547" s="4" t="n">
        <v>12662</v>
      </c>
      <c r="B3547" s="5" t="n">
        <v>44557</v>
      </c>
      <c r="C3547" s="13" t="inlineStr">
        <is>
          <t>CPR</t>
        </is>
      </c>
      <c r="D3547" s="13" t="n">
        <v>40</v>
      </c>
      <c r="E3547" s="10">
        <f>IF(D3547&gt;0,VLOOKUP(OPERAC[[#This Row],[COD CART]],[1]!MatrizCortoLargoCyl[#All],3,0),"")</f>
        <v/>
      </c>
      <c r="F3547" s="13" t="inlineStr">
        <is>
          <t>TLRY</t>
        </is>
      </c>
      <c r="G3547" s="6" t="n">
        <v>100</v>
      </c>
      <c r="H3547" s="6" t="n">
        <v>-771.62</v>
      </c>
      <c r="I3547" s="7">
        <f>-H3547/G3547</f>
        <v/>
      </c>
      <c r="J3547" s="11" t="n">
        <v>44585</v>
      </c>
      <c r="K3547" s="6">
        <f>+OPERAC[[#This Row],[cantidad]]</f>
        <v/>
      </c>
      <c r="L3547" s="6">
        <f>+OPERAC[[#This Row],[cantidad venta]]*5.263</f>
        <v/>
      </c>
      <c r="M3547" s="7">
        <f>IF(N3547=0,+L3547+H3547,0)</f>
        <v/>
      </c>
      <c r="N3547" s="7">
        <f>IF((+G3547-K3547)=0,0,+G3547-K3547)</f>
        <v/>
      </c>
      <c r="O3547" s="7">
        <f>IF(N3547=0,0,(L3547+H3547)/-N3547)</f>
        <v/>
      </c>
      <c r="P3547" s="7">
        <f>VLOOKUP(OPERAC[[#This Row],[especie]],[1]!ESPECIES[#All],6,0)</f>
        <v/>
      </c>
      <c r="Q3547" s="7">
        <f>IF(N3547&lt;&gt;0,P3547*N3547,0)</f>
        <v/>
      </c>
      <c r="R3547" s="8">
        <f>IF(Q3547&lt;&gt;0,Q3547+H3547+L3547,0)</f>
        <v/>
      </c>
      <c r="S3547" s="9">
        <f>VLOOKUP(OPERAC[[#This Row],[especie]],[1]!ESPECIES[#Data],9,FALSE)</f>
        <v/>
      </c>
    </row>
    <row r="3548">
      <c r="A3548" s="4" t="n">
        <v>12672</v>
      </c>
      <c r="B3548" s="5" t="n">
        <v>44557</v>
      </c>
      <c r="C3548" s="13" t="inlineStr">
        <is>
          <t>CPR</t>
        </is>
      </c>
      <c r="D3548" s="13" t="n">
        <v>40</v>
      </c>
      <c r="E3548" s="10">
        <f>IF(D3548&gt;0,VLOOKUP(OPERAC[[#This Row],[COD CART]],[1]!MatrizCortoLargoCyl[#All],3,0),"")</f>
        <v/>
      </c>
      <c r="F3548" s="13" t="inlineStr">
        <is>
          <t>TLRY</t>
        </is>
      </c>
      <c r="G3548" s="6" t="n">
        <v>100</v>
      </c>
      <c r="H3548" s="6" t="n">
        <v>-771.62</v>
      </c>
      <c r="I3548" s="7">
        <f>-H3548/G3548</f>
        <v/>
      </c>
      <c r="J3548" s="11" t="n">
        <v>44585</v>
      </c>
      <c r="K3548" s="6">
        <f>+OPERAC[[#This Row],[cantidad]]</f>
        <v/>
      </c>
      <c r="L3548" s="6">
        <f>+OPERAC[[#This Row],[cantidad venta]]*5.263</f>
        <v/>
      </c>
      <c r="M3548" s="7">
        <f>IF(N3548=0,+L3548+H3548,0)</f>
        <v/>
      </c>
      <c r="N3548" s="7">
        <f>IF((+G3548-K3548)=0,0,+G3548-K3548)</f>
        <v/>
      </c>
      <c r="O3548" s="7">
        <f>IF(N3548=0,0,(L3548+H3548)/-N3548)</f>
        <v/>
      </c>
      <c r="P3548" s="7">
        <f>VLOOKUP(OPERAC[[#This Row],[especie]],[1]!ESPECIES[#All],6,0)</f>
        <v/>
      </c>
      <c r="Q3548" s="7">
        <f>IF(N3548&lt;&gt;0,P3548*N3548,0)</f>
        <v/>
      </c>
      <c r="R3548" s="8">
        <f>IF(Q3548&lt;&gt;0,Q3548+H3548+L3548,0)</f>
        <v/>
      </c>
      <c r="S3548" s="9">
        <f>VLOOKUP(OPERAC[[#This Row],[especie]],[1]!ESPECIES[#Data],9,FALSE)</f>
        <v/>
      </c>
    </row>
    <row r="3549">
      <c r="A3549" s="4" t="n">
        <v>13230</v>
      </c>
      <c r="B3549" s="5" t="n">
        <v>44557</v>
      </c>
      <c r="C3549" s="13" t="inlineStr">
        <is>
          <t>CPR</t>
        </is>
      </c>
      <c r="D3549" s="13" t="n">
        <v>40</v>
      </c>
      <c r="E3549" s="10">
        <f>IF(D3549&gt;0,VLOOKUP(OPERAC[[#This Row],[COD CART]],[1]!MatrizCortoLargoCyl[#All],3,0),"")</f>
        <v/>
      </c>
      <c r="F3549" s="13" t="inlineStr">
        <is>
          <t>TLRY</t>
        </is>
      </c>
      <c r="G3549" s="6" t="n">
        <v>100</v>
      </c>
      <c r="H3549" s="6" t="n">
        <v>-771.62</v>
      </c>
      <c r="I3549" s="7">
        <f>-H3549/G3549</f>
        <v/>
      </c>
      <c r="J3549" s="11" t="n">
        <v>44585</v>
      </c>
      <c r="K3549" s="6">
        <f>+OPERAC[[#This Row],[cantidad]]</f>
        <v/>
      </c>
      <c r="L3549" s="6">
        <f>+OPERAC[[#This Row],[cantidad venta]]*5.263</f>
        <v/>
      </c>
      <c r="M3549" s="7">
        <f>IF(N3549=0,+L3549+H3549,0)</f>
        <v/>
      </c>
      <c r="N3549" s="7">
        <f>IF((+G3549-K3549)=0,0,+G3549-K3549)</f>
        <v/>
      </c>
      <c r="O3549" s="7">
        <f>IF(N3549=0,0,(L3549+H3549)/-N3549)</f>
        <v/>
      </c>
      <c r="P3549" s="7">
        <f>VLOOKUP(OPERAC[[#This Row],[especie]],[1]!ESPECIES[#All],6,0)</f>
        <v/>
      </c>
      <c r="Q3549" s="7">
        <f>IF(N3549&lt;&gt;0,P3549*N3549,0)</f>
        <v/>
      </c>
      <c r="R3549" s="8">
        <f>IF(Q3549&lt;&gt;0,Q3549+H3549+L3549,0)</f>
        <v/>
      </c>
      <c r="S3549" s="9">
        <f>VLOOKUP(OPERAC[[#This Row],[especie]],[1]!ESPECIES[#Data],9,FALSE)</f>
        <v/>
      </c>
    </row>
    <row r="3550">
      <c r="A3550" s="4" t="n">
        <v>15189</v>
      </c>
      <c r="B3550" s="5" t="n">
        <v>44557</v>
      </c>
      <c r="C3550" s="13" t="inlineStr">
        <is>
          <t>CPR</t>
        </is>
      </c>
      <c r="D3550" s="13" t="n">
        <v>40</v>
      </c>
      <c r="E3550" s="10">
        <f>IF(D3550&gt;0,VLOOKUP(OPERAC[[#This Row],[COD CART]],[1]!MatrizCortoLargoCyl[#All],3,0),"")</f>
        <v/>
      </c>
      <c r="F3550" s="13" t="inlineStr">
        <is>
          <t>TLRY</t>
        </is>
      </c>
      <c r="G3550" s="6" t="n">
        <v>100</v>
      </c>
      <c r="H3550" s="6" t="n">
        <v>-771.62</v>
      </c>
      <c r="I3550" s="7">
        <f>-H3550/G3550</f>
        <v/>
      </c>
      <c r="J3550" s="11" t="n">
        <v>44585</v>
      </c>
      <c r="K3550" s="6">
        <f>+OPERAC[[#This Row],[cantidad]]</f>
        <v/>
      </c>
      <c r="L3550" s="6">
        <f>+OPERAC[[#This Row],[cantidad venta]]*5.263</f>
        <v/>
      </c>
      <c r="M3550" s="7">
        <f>IF(N3550=0,+L3550+H3550,0)</f>
        <v/>
      </c>
      <c r="N3550" s="7">
        <f>IF((+G3550-K3550)=0,0,+G3550-K3550)</f>
        <v/>
      </c>
      <c r="O3550" s="7">
        <f>IF(N3550=0,0,(L3550+H3550)/-N3550)</f>
        <v/>
      </c>
      <c r="P3550" s="7">
        <f>VLOOKUP(OPERAC[[#This Row],[especie]],[1]!ESPECIES[#All],6,0)</f>
        <v/>
      </c>
      <c r="Q3550" s="7">
        <f>IF(N3550&lt;&gt;0,P3550*N3550,0)</f>
        <v/>
      </c>
      <c r="R3550" s="8">
        <f>IF(Q3550&lt;&gt;0,Q3550+H3550+L3550,0)</f>
        <v/>
      </c>
      <c r="S3550" s="9">
        <f>VLOOKUP(OPERAC[[#This Row],[especie]],[1]!ESPECIES[#Data],9,FALSE)</f>
        <v/>
      </c>
    </row>
    <row r="3551">
      <c r="A3551" s="4" t="n">
        <v>15195</v>
      </c>
      <c r="B3551" s="5" t="n">
        <v>44557</v>
      </c>
      <c r="C3551" s="13" t="inlineStr">
        <is>
          <t>CPR</t>
        </is>
      </c>
      <c r="D3551" s="13" t="n">
        <v>40</v>
      </c>
      <c r="E3551" s="10">
        <f>IF(D3551&gt;0,VLOOKUP(OPERAC[[#This Row],[COD CART]],[1]!MatrizCortoLargoCyl[#All],3,0),"")</f>
        <v/>
      </c>
      <c r="F3551" s="13" t="inlineStr">
        <is>
          <t>TLRY</t>
        </is>
      </c>
      <c r="G3551" s="6" t="n">
        <v>100</v>
      </c>
      <c r="H3551" s="6" t="n">
        <v>-771.62</v>
      </c>
      <c r="I3551" s="7">
        <f>-H3551/G3551</f>
        <v/>
      </c>
      <c r="J3551" s="11" t="n">
        <v>44585</v>
      </c>
      <c r="K3551" s="6">
        <f>+OPERAC[[#This Row],[cantidad]]</f>
        <v/>
      </c>
      <c r="L3551" s="6">
        <f>+OPERAC[[#This Row],[cantidad venta]]*5.263</f>
        <v/>
      </c>
      <c r="M3551" s="7">
        <f>IF(N3551=0,+L3551+H3551,0)</f>
        <v/>
      </c>
      <c r="N3551" s="7">
        <f>IF((+G3551-K3551)=0,0,+G3551-K3551)</f>
        <v/>
      </c>
      <c r="O3551" s="7">
        <f>IF(N3551=0,0,(L3551+H3551)/-N3551)</f>
        <v/>
      </c>
      <c r="P3551" s="7">
        <f>VLOOKUP(OPERAC[[#This Row],[especie]],[1]!ESPECIES[#All],6,0)</f>
        <v/>
      </c>
      <c r="Q3551" s="7">
        <f>IF(N3551&lt;&gt;0,P3551*N3551,0)</f>
        <v/>
      </c>
      <c r="R3551" s="8">
        <f>IF(Q3551&lt;&gt;0,Q3551+H3551+L3551,0)</f>
        <v/>
      </c>
      <c r="S3551" s="9">
        <f>VLOOKUP(OPERAC[[#This Row],[especie]],[1]!ESPECIES[#Data],9,FALSE)</f>
        <v/>
      </c>
    </row>
    <row r="3552">
      <c r="A3552" s="4" t="n">
        <v>16786</v>
      </c>
      <c r="B3552" s="5" t="n">
        <v>44557</v>
      </c>
      <c r="C3552" s="13" t="inlineStr">
        <is>
          <t>CPR</t>
        </is>
      </c>
      <c r="D3552" s="13" t="n">
        <v>40</v>
      </c>
      <c r="E3552" s="10">
        <f>IF(D3552&gt;0,VLOOKUP(OPERAC[[#This Row],[COD CART]],[1]!MatrizCortoLargoCyl[#All],3,0),"")</f>
        <v/>
      </c>
      <c r="F3552" s="13" t="inlineStr">
        <is>
          <t>TLRY</t>
        </is>
      </c>
      <c r="G3552" s="6" t="n">
        <v>100</v>
      </c>
      <c r="H3552" s="6" t="n">
        <v>-771.62</v>
      </c>
      <c r="I3552" s="7">
        <f>-H3552/G3552</f>
        <v/>
      </c>
      <c r="J3552" s="11" t="n">
        <v>44585</v>
      </c>
      <c r="K3552" s="6">
        <f>+OPERAC[[#This Row],[cantidad]]</f>
        <v/>
      </c>
      <c r="L3552" s="6">
        <f>+OPERAC[[#This Row],[cantidad venta]]*5.263</f>
        <v/>
      </c>
      <c r="M3552" s="7">
        <f>IF(N3552=0,+L3552+H3552,0)</f>
        <v/>
      </c>
      <c r="N3552" s="7">
        <f>IF((+G3552-K3552)=0,0,+G3552-K3552)</f>
        <v/>
      </c>
      <c r="O3552" s="7">
        <f>IF(N3552=0,0,(L3552+H3552)/-N3552)</f>
        <v/>
      </c>
      <c r="P3552" s="7">
        <f>VLOOKUP(OPERAC[[#This Row],[especie]],[1]!ESPECIES[#All],6,0)</f>
        <v/>
      </c>
      <c r="Q3552" s="7">
        <f>IF(N3552&lt;&gt;0,P3552*N3552,0)</f>
        <v/>
      </c>
      <c r="R3552" s="8">
        <f>IF(Q3552&lt;&gt;0,Q3552+H3552+L3552,0)</f>
        <v/>
      </c>
      <c r="S3552" s="9">
        <f>VLOOKUP(OPERAC[[#This Row],[especie]],[1]!ESPECIES[#Data],9,FALSE)</f>
        <v/>
      </c>
    </row>
    <row r="3553">
      <c r="A3553" s="4" t="n">
        <v>18651</v>
      </c>
      <c r="B3553" s="5" t="n">
        <v>44557</v>
      </c>
      <c r="C3553" s="13" t="inlineStr">
        <is>
          <t>CPR</t>
        </is>
      </c>
      <c r="D3553" s="13" t="n">
        <v>40</v>
      </c>
      <c r="E3553" s="10">
        <f>IF(D3553&gt;0,VLOOKUP(OPERAC[[#This Row],[COD CART]],[1]!MatrizCortoLargoCyl[#All],3,0),"")</f>
        <v/>
      </c>
      <c r="F3553" s="13" t="inlineStr">
        <is>
          <t>TLRY</t>
        </is>
      </c>
      <c r="G3553" s="6" t="n">
        <v>100</v>
      </c>
      <c r="H3553" s="6" t="n">
        <v>-771.62</v>
      </c>
      <c r="I3553" s="7">
        <f>-H3553/G3553</f>
        <v/>
      </c>
      <c r="J3553" s="11" t="n">
        <v>44585</v>
      </c>
      <c r="K3553" s="6">
        <f>+OPERAC[[#This Row],[cantidad]]</f>
        <v/>
      </c>
      <c r="L3553" s="6">
        <f>+OPERAC[[#This Row],[cantidad venta]]*5.263</f>
        <v/>
      </c>
      <c r="M3553" s="7">
        <f>IF(N3553=0,+L3553+H3553,0)</f>
        <v/>
      </c>
      <c r="N3553" s="7">
        <f>IF((+G3553-K3553)=0,0,+G3553-K3553)</f>
        <v/>
      </c>
      <c r="O3553" s="7">
        <f>IF(N3553=0,0,(L3553+H3553)/-N3553)</f>
        <v/>
      </c>
      <c r="P3553" s="7">
        <f>VLOOKUP(OPERAC[[#This Row],[especie]],[1]!ESPECIES[#All],6,0)</f>
        <v/>
      </c>
      <c r="Q3553" s="7">
        <f>IF(N3553&lt;&gt;0,P3553*N3553,0)</f>
        <v/>
      </c>
      <c r="R3553" s="8">
        <f>IF(Q3553&lt;&gt;0,Q3553+H3553+L3553,0)</f>
        <v/>
      </c>
      <c r="S3553" s="9">
        <f>VLOOKUP(OPERAC[[#This Row],[especie]],[1]!ESPECIES[#Data],9,FALSE)</f>
        <v/>
      </c>
    </row>
    <row r="3554">
      <c r="A3554" s="4" t="n">
        <v>18713</v>
      </c>
      <c r="B3554" s="5" t="n">
        <v>44557</v>
      </c>
      <c r="C3554" s="13" t="inlineStr">
        <is>
          <t>CPR</t>
        </is>
      </c>
      <c r="D3554" s="13" t="n">
        <v>40</v>
      </c>
      <c r="E3554" s="10">
        <f>IF(D3554&gt;0,VLOOKUP(OPERAC[[#This Row],[COD CART]],[1]!MatrizCortoLargoCyl[#All],3,0),"")</f>
        <v/>
      </c>
      <c r="F3554" s="13" t="inlineStr">
        <is>
          <t>TLRY</t>
        </is>
      </c>
      <c r="G3554" s="6" t="n">
        <v>100</v>
      </c>
      <c r="H3554" s="6" t="n">
        <v>-771.62</v>
      </c>
      <c r="I3554" s="7">
        <f>-H3554/G3554</f>
        <v/>
      </c>
      <c r="J3554" s="11" t="n">
        <v>44585</v>
      </c>
      <c r="K3554" s="6">
        <f>+OPERAC[[#This Row],[cantidad]]</f>
        <v/>
      </c>
      <c r="L3554" s="6">
        <f>+OPERAC[[#This Row],[cantidad venta]]*5.263</f>
        <v/>
      </c>
      <c r="M3554" s="7">
        <f>IF(N3554=0,+L3554+H3554,0)</f>
        <v/>
      </c>
      <c r="N3554" s="7">
        <f>IF((+G3554-K3554)=0,0,+G3554-K3554)</f>
        <v/>
      </c>
      <c r="O3554" s="7">
        <f>IF(N3554=0,0,(L3554+H3554)/-N3554)</f>
        <v/>
      </c>
      <c r="P3554" s="7">
        <f>VLOOKUP(OPERAC[[#This Row],[especie]],[1]!ESPECIES[#All],6,0)</f>
        <v/>
      </c>
      <c r="Q3554" s="7">
        <f>IF(N3554&lt;&gt;0,P3554*N3554,0)</f>
        <v/>
      </c>
      <c r="R3554" s="8">
        <f>IF(Q3554&lt;&gt;0,Q3554+H3554+L3554,0)</f>
        <v/>
      </c>
      <c r="S3554" s="9">
        <f>VLOOKUP(OPERAC[[#This Row],[especie]],[1]!ESPECIES[#Data],9,FALSE)</f>
        <v/>
      </c>
    </row>
    <row r="3555">
      <c r="A3555" s="4" t="n">
        <v>19888</v>
      </c>
      <c r="B3555" s="5" t="n">
        <v>44557</v>
      </c>
      <c r="C3555" s="13" t="inlineStr">
        <is>
          <t>CPR</t>
        </is>
      </c>
      <c r="D3555" s="13" t="n">
        <v>40</v>
      </c>
      <c r="E3555" s="10">
        <f>IF(D3555&gt;0,VLOOKUP(OPERAC[[#This Row],[COD CART]],[1]!MatrizCortoLargoCyl[#All],3,0),"")</f>
        <v/>
      </c>
      <c r="F3555" s="13" t="inlineStr">
        <is>
          <t>TLRY</t>
        </is>
      </c>
      <c r="G3555" s="6" t="n">
        <v>100</v>
      </c>
      <c r="H3555" s="6" t="n">
        <v>-771.62</v>
      </c>
      <c r="I3555" s="7">
        <f>-H3555/G3555</f>
        <v/>
      </c>
      <c r="J3555" s="11" t="n">
        <v>44585</v>
      </c>
      <c r="K3555" s="6">
        <f>+OPERAC[[#This Row],[cantidad]]</f>
        <v/>
      </c>
      <c r="L3555" s="6">
        <f>+OPERAC[[#This Row],[cantidad venta]]*5.263</f>
        <v/>
      </c>
      <c r="M3555" s="7">
        <f>IF(N3555=0,+L3555+H3555,0)</f>
        <v/>
      </c>
      <c r="N3555" s="7">
        <f>IF((+G3555-K3555)=0,0,+G3555-K3555)</f>
        <v/>
      </c>
      <c r="O3555" s="7">
        <f>IF(N3555=0,0,(L3555+H3555)/-N3555)</f>
        <v/>
      </c>
      <c r="P3555" s="7">
        <f>VLOOKUP(OPERAC[[#This Row],[especie]],[1]!ESPECIES[#All],6,0)</f>
        <v/>
      </c>
      <c r="Q3555" s="7">
        <f>IF(N3555&lt;&gt;0,P3555*N3555,0)</f>
        <v/>
      </c>
      <c r="R3555" s="8">
        <f>IF(Q3555&lt;&gt;0,Q3555+H3555+L3555,0)</f>
        <v/>
      </c>
      <c r="S3555" s="9">
        <f>VLOOKUP(OPERAC[[#This Row],[especie]],[1]!ESPECIES[#Data],9,FALSE)</f>
        <v/>
      </c>
    </row>
    <row r="3556">
      <c r="A3556" s="4" t="n">
        <v>22407</v>
      </c>
      <c r="B3556" s="5" t="n">
        <v>44557</v>
      </c>
      <c r="C3556" s="13" t="inlineStr">
        <is>
          <t>CPR</t>
        </is>
      </c>
      <c r="D3556" s="13" t="n">
        <v>40</v>
      </c>
      <c r="E3556" s="10">
        <f>IF(D3556&gt;0,VLOOKUP(OPERAC[[#This Row],[COD CART]],[1]!MatrizCortoLargoCyl[#All],3,0),"")</f>
        <v/>
      </c>
      <c r="F3556" s="13" t="inlineStr">
        <is>
          <t>TLRY</t>
        </is>
      </c>
      <c r="G3556" s="6" t="n">
        <v>100</v>
      </c>
      <c r="H3556" s="6" t="n">
        <v>-771.62</v>
      </c>
      <c r="I3556" s="7">
        <f>-H3556/G3556</f>
        <v/>
      </c>
      <c r="J3556" s="11" t="n">
        <v>44585</v>
      </c>
      <c r="K3556" s="6">
        <f>+OPERAC[[#This Row],[cantidad]]</f>
        <v/>
      </c>
      <c r="L3556" s="6">
        <f>+OPERAC[[#This Row],[cantidad venta]]*5.263</f>
        <v/>
      </c>
      <c r="M3556" s="7">
        <f>IF(N3556=0,+L3556+H3556,0)</f>
        <v/>
      </c>
      <c r="N3556" s="7">
        <f>IF((+G3556-K3556)=0,0,+G3556-K3556)</f>
        <v/>
      </c>
      <c r="O3556" s="7">
        <f>IF(N3556=0,0,(L3556+H3556)/-N3556)</f>
        <v/>
      </c>
      <c r="P3556" s="7">
        <f>VLOOKUP(OPERAC[[#This Row],[especie]],[1]!ESPECIES[#All],6,0)</f>
        <v/>
      </c>
      <c r="Q3556" s="7">
        <f>IF(N3556&lt;&gt;0,P3556*N3556,0)</f>
        <v/>
      </c>
      <c r="R3556" s="8">
        <f>IF(Q3556&lt;&gt;0,Q3556+H3556+L3556,0)</f>
        <v/>
      </c>
      <c r="S3556" s="9">
        <f>VLOOKUP(OPERAC[[#This Row],[especie]],[1]!ESPECIES[#Data],9,FALSE)</f>
        <v/>
      </c>
    </row>
    <row r="3557">
      <c r="A3557" s="4" t="n">
        <v>25070</v>
      </c>
      <c r="B3557" s="5" t="n">
        <v>44557</v>
      </c>
      <c r="C3557" s="13" t="inlineStr">
        <is>
          <t>CPR</t>
        </is>
      </c>
      <c r="D3557" s="13" t="n">
        <v>40</v>
      </c>
      <c r="E3557" s="10">
        <f>IF(D3557&gt;0,VLOOKUP(OPERAC[[#This Row],[COD CART]],[1]!MatrizCortoLargoCyl[#All],3,0),"")</f>
        <v/>
      </c>
      <c r="F3557" s="13" t="inlineStr">
        <is>
          <t>TLRY</t>
        </is>
      </c>
      <c r="G3557" s="6" t="n">
        <v>100</v>
      </c>
      <c r="H3557" s="6" t="n">
        <v>-771.62</v>
      </c>
      <c r="I3557" s="7">
        <f>-H3557/G3557</f>
        <v/>
      </c>
      <c r="J3557" s="11" t="n">
        <v>44585</v>
      </c>
      <c r="K3557" s="6">
        <f>+OPERAC[[#This Row],[cantidad]]</f>
        <v/>
      </c>
      <c r="L3557" s="6">
        <f>+OPERAC[[#This Row],[cantidad venta]]*5.263</f>
        <v/>
      </c>
      <c r="M3557" s="7">
        <f>IF(N3557=0,+L3557+H3557,0)</f>
        <v/>
      </c>
      <c r="N3557" s="7">
        <f>IF((+G3557-K3557)=0,0,+G3557-K3557)</f>
        <v/>
      </c>
      <c r="O3557" s="7">
        <f>IF(N3557=0,0,(L3557+H3557)/-N3557)</f>
        <v/>
      </c>
      <c r="P3557" s="7">
        <f>VLOOKUP(OPERAC[[#This Row],[especie]],[1]!ESPECIES[#All],6,0)</f>
        <v/>
      </c>
      <c r="Q3557" s="7">
        <f>IF(N3557&lt;&gt;0,P3557*N3557,0)</f>
        <v/>
      </c>
      <c r="R3557" s="8">
        <f>IF(Q3557&lt;&gt;0,Q3557+H3557+L3557,0)</f>
        <v/>
      </c>
      <c r="S3557" s="9">
        <f>VLOOKUP(OPERAC[[#This Row],[especie]],[1]!ESPECIES[#Data],9,FALSE)</f>
        <v/>
      </c>
    </row>
    <row r="3558">
      <c r="A3558" s="4" t="n">
        <v>7895</v>
      </c>
      <c r="B3558" s="5" t="n">
        <v>44533</v>
      </c>
      <c r="C3558" s="13" t="inlineStr">
        <is>
          <t>CPR</t>
        </is>
      </c>
      <c r="D3558" s="13" t="n">
        <v>32</v>
      </c>
      <c r="E3558" s="10">
        <f>IF(D3558&gt;0,VLOOKUP(OPERAC[[#This Row],[COD CART]],[1]!MatrizCortoLargoCyl[#All],3,0),"")</f>
        <v/>
      </c>
      <c r="F3558" s="13" t="inlineStr">
        <is>
          <t>SKLZ/CYL/10,00/21-01-22</t>
        </is>
      </c>
      <c r="G3558" s="6" t="n">
        <v>100</v>
      </c>
      <c r="H3558" s="6">
        <f>-794.245+22.293</f>
        <v/>
      </c>
      <c r="I3558" s="7">
        <f>-H3558/G3558</f>
        <v/>
      </c>
      <c r="J3558" s="11" t="n">
        <v>44579</v>
      </c>
      <c r="K3558" s="6">
        <f>+OPERAC[[#This Row],[cantidad]]</f>
        <v/>
      </c>
      <c r="L3558" s="6">
        <f>+OPERAC[[#This Row],[cantidad venta]]*5.679</f>
        <v/>
      </c>
      <c r="M3558" s="7">
        <f>IF(N3558=0,+L3558+H3558,0)</f>
        <v/>
      </c>
      <c r="N3558" s="7">
        <f>IF((+G3558-K3558)=0,0,+G3558-K3558)</f>
        <v/>
      </c>
      <c r="O3558" s="7">
        <f>IF(N3558=0,0,(L3558+H3558)/-N3558)</f>
        <v/>
      </c>
      <c r="P3558" s="7">
        <f>VLOOKUP(OPERAC[[#This Row],[especie]],[1]!ESPECIES[#All],6,0)</f>
        <v/>
      </c>
      <c r="Q3558" s="7">
        <f>IF(N3558&lt;&gt;0,P3558*N3558,0)</f>
        <v/>
      </c>
      <c r="R3558" s="8">
        <f>IF(Q3558&lt;&gt;0,Q3558+H3558+L3558,0)</f>
        <v/>
      </c>
      <c r="S3558" s="9">
        <f>VLOOKUP(OPERAC[[#This Row],[especie]],[1]!ESPECIES[#Data],9,FALSE)</f>
        <v/>
      </c>
    </row>
    <row r="3559">
      <c r="A3559" s="4" t="n">
        <v>3867</v>
      </c>
      <c r="B3559" s="5" t="n">
        <v>44655</v>
      </c>
      <c r="C3559" s="13" t="inlineStr">
        <is>
          <t>CPR</t>
        </is>
      </c>
      <c r="D3559" s="13" t="n">
        <v>32</v>
      </c>
      <c r="E3559" s="10">
        <f>IF(D3559&gt;0,VLOOKUP(OPERAC[[#This Row],[COD CART]],[1]!MatrizCortoLargoCyl[#All],3,0),"")</f>
        <v/>
      </c>
      <c r="F3559" s="13" t="inlineStr">
        <is>
          <t>COTY/CYL/8,00/24-06-22</t>
        </is>
      </c>
      <c r="G3559" s="6" t="n">
        <v>100</v>
      </c>
      <c r="H3559" s="6">
        <f>-776.764+3.966</f>
        <v/>
      </c>
      <c r="I3559" s="7">
        <f>-H3559/G3559</f>
        <v/>
      </c>
      <c r="J3559" s="11" t="n"/>
      <c r="K3559" s="6" t="n"/>
      <c r="L3559" s="6" t="n"/>
      <c r="M3559" s="7">
        <f>IF(N3559=0,+L3559+H3559,0)</f>
        <v/>
      </c>
      <c r="N3559" s="7">
        <f>IF((+G3559-K3559)=0,0,+G3559-K3559)</f>
        <v/>
      </c>
      <c r="O3559" s="7">
        <f>IF(N3559=0,0,(L3559+H3559)/-N3559)</f>
        <v/>
      </c>
      <c r="P3559" s="7">
        <f>VLOOKUP(OPERAC[[#This Row],[especie]],[1]!ESPECIES[#All],6,0)</f>
        <v/>
      </c>
      <c r="Q3559" s="7">
        <f>IF(N3559&lt;&gt;0,P3559*N3559,0)</f>
        <v/>
      </c>
      <c r="R3559" s="8">
        <f>IF(Q3559&lt;&gt;0,Q3559+H3559+L3559,0)</f>
        <v/>
      </c>
      <c r="S3559" s="9">
        <f>VLOOKUP(OPERAC[[#This Row],[especie]],[1]!ESPECIES[#Data],9,FALSE)</f>
        <v/>
      </c>
    </row>
    <row r="3560">
      <c r="A3560" s="4" t="n">
        <v>6579</v>
      </c>
      <c r="B3560" s="5" t="n">
        <v>44529</v>
      </c>
      <c r="C3560" s="13" t="inlineStr">
        <is>
          <t>CPR</t>
        </is>
      </c>
      <c r="D3560" s="13" t="n">
        <v>41</v>
      </c>
      <c r="E3560" s="10">
        <f>IF(D3560&gt;0,VLOOKUP(OPERAC[[#This Row],[COD CART]],[1]!MatrizCortoLargoCyl[#All],3,0),"")</f>
        <v/>
      </c>
      <c r="F3560" s="13" t="inlineStr">
        <is>
          <t>CEPU</t>
        </is>
      </c>
      <c r="G3560" s="6" t="n">
        <v>250</v>
      </c>
      <c r="H3560" s="6" t="n">
        <v>-774.89</v>
      </c>
      <c r="I3560" s="7">
        <f>-H3560/G3560</f>
        <v/>
      </c>
      <c r="J3560" s="11" t="n"/>
      <c r="K3560" s="6" t="n"/>
      <c r="L3560" s="6" t="n"/>
      <c r="M3560" s="7">
        <f>IF(N3560=0,+L3560+H3560,0)</f>
        <v/>
      </c>
      <c r="N3560" s="7">
        <f>IF((+G3560-K3560)=0,0,+G3560-K3560)</f>
        <v/>
      </c>
      <c r="O3560" s="7">
        <f>IF(N3560=0,0,(L3560+H3560)/-N3560)</f>
        <v/>
      </c>
      <c r="P3560" s="7">
        <f>VLOOKUP(OPERAC[[#This Row],[especie]],[1]!ESPECIES[#All],6,0)</f>
        <v/>
      </c>
      <c r="Q3560" s="7">
        <f>IF(N3560&lt;&gt;0,P3560*N3560,0)</f>
        <v/>
      </c>
      <c r="R3560" s="8">
        <f>IF(Q3560&lt;&gt;0,Q3560+H3560+L3560,0)</f>
        <v/>
      </c>
      <c r="S3560" s="9">
        <f>VLOOKUP(OPERAC[[#This Row],[especie]],[1]!ESPECIES[#Data],9,FALSE)</f>
        <v/>
      </c>
    </row>
    <row r="3561">
      <c r="A3561" s="4" t="n">
        <v>1807</v>
      </c>
      <c r="B3561" s="5" t="n">
        <v>44581</v>
      </c>
      <c r="C3561" s="13" t="inlineStr">
        <is>
          <t>CPR</t>
        </is>
      </c>
      <c r="D3561" s="13" t="n">
        <v>32</v>
      </c>
      <c r="E3561" s="10">
        <f>IF(D3561&gt;0,VLOOKUP(OPERAC[[#This Row],[COD CART]],[1]!MatrizCortoLargoCyl[#All],3,0),"")</f>
        <v/>
      </c>
      <c r="F3561" s="13" t="inlineStr">
        <is>
          <t>HMY/CYL/4,00/18-02-22</t>
        </is>
      </c>
      <c r="G3561" s="6" t="n">
        <v>200</v>
      </c>
      <c r="H3561" s="6" t="n">
        <v>-774.9359920000001</v>
      </c>
      <c r="I3561" s="7">
        <f>-H3561/G3561</f>
        <v/>
      </c>
      <c r="J3561" s="11" t="n">
        <v>44610</v>
      </c>
      <c r="K3561" s="6">
        <f>+OPERAC[[#This Row],[cantidad]]</f>
        <v/>
      </c>
      <c r="L3561" s="6">
        <f>+OPERAC[[#This Row],[cantidad venta]]*3.8323</f>
        <v/>
      </c>
      <c r="M3561" s="7">
        <f>IF(N3561=0,+L3561+H3561,0)</f>
        <v/>
      </c>
      <c r="N3561" s="7">
        <f>IF((+G3561-K3561)=0,0,+G3561-K3561)</f>
        <v/>
      </c>
      <c r="O3561" s="7">
        <f>IF(N3561=0,0,(L3561+H3561)/-N3561)</f>
        <v/>
      </c>
      <c r="P3561" s="7">
        <f>VLOOKUP(OPERAC[[#This Row],[especie]],[1]!ESPECIES[#All],6,0)</f>
        <v/>
      </c>
      <c r="Q3561" s="7">
        <f>IF(N3561&lt;&gt;0,P3561*N3561,0)</f>
        <v/>
      </c>
      <c r="R3561" s="8">
        <f>IF(Q3561&lt;&gt;0,Q3561+H3561+L3561,0)</f>
        <v/>
      </c>
      <c r="S3561" s="9">
        <f>VLOOKUP(OPERAC[[#This Row],[especie]],[1]!ESPECIES[#Data],9,FALSE)</f>
        <v/>
      </c>
    </row>
    <row r="3562">
      <c r="A3562" s="4" t="n">
        <v>2194</v>
      </c>
      <c r="B3562" s="5" t="n">
        <v>44581</v>
      </c>
      <c r="C3562" s="13" t="inlineStr">
        <is>
          <t>CPR</t>
        </is>
      </c>
      <c r="D3562" s="13" t="n">
        <v>32</v>
      </c>
      <c r="E3562" s="10">
        <f>IF(D3562&gt;0,VLOOKUP(OPERAC[[#This Row],[COD CART]],[1]!MatrizCortoLargoCyl[#All],3,0),"")</f>
        <v/>
      </c>
      <c r="F3562" s="13" t="inlineStr">
        <is>
          <t>HMY/CYL/4,00/18-02-22</t>
        </is>
      </c>
      <c r="G3562" s="6" t="n">
        <v>200</v>
      </c>
      <c r="H3562" s="6" t="n">
        <v>-774.9359920000001</v>
      </c>
      <c r="I3562" s="7">
        <f>-H3562/G3562</f>
        <v/>
      </c>
      <c r="J3562" s="11" t="n">
        <v>44610</v>
      </c>
      <c r="K3562" s="6">
        <f>+OPERAC[[#This Row],[cantidad]]</f>
        <v/>
      </c>
      <c r="L3562" s="6">
        <f>+OPERAC[[#This Row],[cantidad venta]]*3.8323</f>
        <v/>
      </c>
      <c r="M3562" s="7">
        <f>IF(N3562=0,+L3562+H3562,0)</f>
        <v/>
      </c>
      <c r="N3562" s="7">
        <f>IF((+G3562-K3562)=0,0,+G3562-K3562)</f>
        <v/>
      </c>
      <c r="O3562" s="7">
        <f>IF(N3562=0,0,(L3562+H3562)/-N3562)</f>
        <v/>
      </c>
      <c r="P3562" s="7">
        <f>VLOOKUP(OPERAC[[#This Row],[especie]],[1]!ESPECIES[#All],6,0)</f>
        <v/>
      </c>
      <c r="Q3562" s="7">
        <f>IF(N3562&lt;&gt;0,P3562*N3562,0)</f>
        <v/>
      </c>
      <c r="R3562" s="8">
        <f>IF(Q3562&lt;&gt;0,Q3562+H3562+L3562,0)</f>
        <v/>
      </c>
      <c r="S3562" s="9">
        <f>VLOOKUP(OPERAC[[#This Row],[especie]],[1]!ESPECIES[#Data],9,FALSE)</f>
        <v/>
      </c>
    </row>
    <row r="3563">
      <c r="A3563" s="4" t="n">
        <v>2279</v>
      </c>
      <c r="B3563" s="5" t="n">
        <v>44581</v>
      </c>
      <c r="C3563" s="13" t="inlineStr">
        <is>
          <t>CPR</t>
        </is>
      </c>
      <c r="D3563" s="13" t="n">
        <v>32</v>
      </c>
      <c r="E3563" s="10">
        <f>IF(D3563&gt;0,VLOOKUP(OPERAC[[#This Row],[COD CART]],[1]!MatrizCortoLargoCyl[#All],3,0),"")</f>
        <v/>
      </c>
      <c r="F3563" s="13" t="inlineStr">
        <is>
          <t>HMY/CYL/4,00/18-02-22</t>
        </is>
      </c>
      <c r="G3563" s="6" t="n">
        <v>200</v>
      </c>
      <c r="H3563" s="6" t="n">
        <v>-774.9359920000001</v>
      </c>
      <c r="I3563" s="7">
        <f>-H3563/G3563</f>
        <v/>
      </c>
      <c r="J3563" s="11" t="n">
        <v>44610</v>
      </c>
      <c r="K3563" s="6">
        <f>+OPERAC[[#This Row],[cantidad]]</f>
        <v/>
      </c>
      <c r="L3563" s="6">
        <f>+OPERAC[[#This Row],[cantidad venta]]*3.8323</f>
        <v/>
      </c>
      <c r="M3563" s="7">
        <f>IF(N3563=0,+L3563+H3563,0)</f>
        <v/>
      </c>
      <c r="N3563" s="7">
        <f>IF((+G3563-K3563)=0,0,+G3563-K3563)</f>
        <v/>
      </c>
      <c r="O3563" s="7">
        <f>IF(N3563=0,0,(L3563+H3563)/-N3563)</f>
        <v/>
      </c>
      <c r="P3563" s="7">
        <f>VLOOKUP(OPERAC[[#This Row],[especie]],[1]!ESPECIES[#All],6,0)</f>
        <v/>
      </c>
      <c r="Q3563" s="7">
        <f>IF(N3563&lt;&gt;0,P3563*N3563,0)</f>
        <v/>
      </c>
      <c r="R3563" s="8">
        <f>IF(Q3563&lt;&gt;0,Q3563+H3563+L3563,0)</f>
        <v/>
      </c>
      <c r="S3563" s="9">
        <f>VLOOKUP(OPERAC[[#This Row],[especie]],[1]!ESPECIES[#Data],9,FALSE)</f>
        <v/>
      </c>
    </row>
    <row r="3564">
      <c r="A3564" s="4" t="n">
        <v>2289</v>
      </c>
      <c r="B3564" s="5" t="n">
        <v>44581</v>
      </c>
      <c r="C3564" s="13" t="inlineStr">
        <is>
          <t>CPR</t>
        </is>
      </c>
      <c r="D3564" s="13" t="n">
        <v>32</v>
      </c>
      <c r="E3564" s="10">
        <f>IF(D3564&gt;0,VLOOKUP(OPERAC[[#This Row],[COD CART]],[1]!MatrizCortoLargoCyl[#All],3,0),"")</f>
        <v/>
      </c>
      <c r="F3564" s="13" t="inlineStr">
        <is>
          <t>HMY/CYL/4,00/18-02-22</t>
        </is>
      </c>
      <c r="G3564" s="6" t="n">
        <v>200</v>
      </c>
      <c r="H3564" s="6" t="n">
        <v>-774.9359920000001</v>
      </c>
      <c r="I3564" s="7">
        <f>-H3564/G3564</f>
        <v/>
      </c>
      <c r="J3564" s="11" t="n">
        <v>44610</v>
      </c>
      <c r="K3564" s="6">
        <f>+OPERAC[[#This Row],[cantidad]]</f>
        <v/>
      </c>
      <c r="L3564" s="6">
        <f>+OPERAC[[#This Row],[cantidad venta]]*3.8323</f>
        <v/>
      </c>
      <c r="M3564" s="7">
        <f>IF(N3564=0,+L3564+H3564,0)</f>
        <v/>
      </c>
      <c r="N3564" s="7">
        <f>IF((+G3564-K3564)=0,0,+G3564-K3564)</f>
        <v/>
      </c>
      <c r="O3564" s="7">
        <f>IF(N3564=0,0,(L3564+H3564)/-N3564)</f>
        <v/>
      </c>
      <c r="P3564" s="7">
        <f>VLOOKUP(OPERAC[[#This Row],[especie]],[1]!ESPECIES[#All],6,0)</f>
        <v/>
      </c>
      <c r="Q3564" s="7">
        <f>IF(N3564&lt;&gt;0,P3564*N3564,0)</f>
        <v/>
      </c>
      <c r="R3564" s="8">
        <f>IF(Q3564&lt;&gt;0,Q3564+H3564+L3564,0)</f>
        <v/>
      </c>
      <c r="S3564" s="9">
        <f>VLOOKUP(OPERAC[[#This Row],[especie]],[1]!ESPECIES[#Data],9,FALSE)</f>
        <v/>
      </c>
    </row>
    <row r="3565">
      <c r="A3565" s="4" t="n">
        <v>3853</v>
      </c>
      <c r="B3565" s="5" t="n">
        <v>44581</v>
      </c>
      <c r="C3565" s="13" t="inlineStr">
        <is>
          <t>CPR</t>
        </is>
      </c>
      <c r="D3565" s="13" t="n">
        <v>32</v>
      </c>
      <c r="E3565" s="10">
        <f>IF(D3565&gt;0,VLOOKUP(OPERAC[[#This Row],[COD CART]],[1]!MatrizCortoLargoCyl[#All],3,0),"")</f>
        <v/>
      </c>
      <c r="F3565" s="13" t="inlineStr">
        <is>
          <t>HMY/CYL/4,00/18-02-22</t>
        </is>
      </c>
      <c r="G3565" s="6" t="n">
        <v>200</v>
      </c>
      <c r="H3565" s="6" t="n">
        <v>-774.9359920000001</v>
      </c>
      <c r="I3565" s="7">
        <f>-H3565/G3565</f>
        <v/>
      </c>
      <c r="J3565" s="11" t="n">
        <v>44610</v>
      </c>
      <c r="K3565" s="6">
        <f>+OPERAC[[#This Row],[cantidad]]</f>
        <v/>
      </c>
      <c r="L3565" s="6">
        <f>+OPERAC[[#This Row],[cantidad venta]]*3.8323</f>
        <v/>
      </c>
      <c r="M3565" s="7">
        <f>IF(N3565=0,+L3565+H3565,0)</f>
        <v/>
      </c>
      <c r="N3565" s="7">
        <f>IF((+G3565-K3565)=0,0,+G3565-K3565)</f>
        <v/>
      </c>
      <c r="O3565" s="7">
        <f>IF(N3565=0,0,(L3565+H3565)/-N3565)</f>
        <v/>
      </c>
      <c r="P3565" s="7">
        <f>VLOOKUP(OPERAC[[#This Row],[especie]],[1]!ESPECIES[#All],6,0)</f>
        <v/>
      </c>
      <c r="Q3565" s="7">
        <f>IF(N3565&lt;&gt;0,P3565*N3565,0)</f>
        <v/>
      </c>
      <c r="R3565" s="8">
        <f>IF(Q3565&lt;&gt;0,Q3565+H3565+L3565,0)</f>
        <v/>
      </c>
      <c r="S3565" s="9">
        <f>VLOOKUP(OPERAC[[#This Row],[especie]],[1]!ESPECIES[#Data],9,FALSE)</f>
        <v/>
      </c>
    </row>
    <row r="3566">
      <c r="A3566" s="4" t="n">
        <v>3867</v>
      </c>
      <c r="B3566" s="5" t="n">
        <v>44581</v>
      </c>
      <c r="C3566" s="13" t="inlineStr">
        <is>
          <t>CPR</t>
        </is>
      </c>
      <c r="D3566" s="13" t="n">
        <v>32</v>
      </c>
      <c r="E3566" s="10">
        <f>IF(D3566&gt;0,VLOOKUP(OPERAC[[#This Row],[COD CART]],[1]!MatrizCortoLargoCyl[#All],3,0),"")</f>
        <v/>
      </c>
      <c r="F3566" s="13" t="inlineStr">
        <is>
          <t>HMY/CYL/4,00/18-02-22</t>
        </is>
      </c>
      <c r="G3566" s="6" t="n">
        <v>200</v>
      </c>
      <c r="H3566" s="6" t="n">
        <v>-774.9359920000001</v>
      </c>
      <c r="I3566" s="7">
        <f>-H3566/G3566</f>
        <v/>
      </c>
      <c r="J3566" s="11" t="n">
        <v>44610</v>
      </c>
      <c r="K3566" s="6">
        <f>+OPERAC[[#This Row],[cantidad]]</f>
        <v/>
      </c>
      <c r="L3566" s="6">
        <f>+OPERAC[[#This Row],[cantidad venta]]*3.8323</f>
        <v/>
      </c>
      <c r="M3566" s="7">
        <f>IF(N3566=0,+L3566+H3566,0)</f>
        <v/>
      </c>
      <c r="N3566" s="7">
        <f>IF((+G3566-K3566)=0,0,+G3566-K3566)</f>
        <v/>
      </c>
      <c r="O3566" s="7">
        <f>IF(N3566=0,0,(L3566+H3566)/-N3566)</f>
        <v/>
      </c>
      <c r="P3566" s="7">
        <f>VLOOKUP(OPERAC[[#This Row],[especie]],[1]!ESPECIES[#All],6,0)</f>
        <v/>
      </c>
      <c r="Q3566" s="7">
        <f>IF(N3566&lt;&gt;0,P3566*N3566,0)</f>
        <v/>
      </c>
      <c r="R3566" s="8">
        <f>IF(Q3566&lt;&gt;0,Q3566+H3566+L3566,0)</f>
        <v/>
      </c>
      <c r="S3566" s="9">
        <f>VLOOKUP(OPERAC[[#This Row],[especie]],[1]!ESPECIES[#Data],9,FALSE)</f>
        <v/>
      </c>
    </row>
    <row r="3567">
      <c r="A3567" s="4" t="n">
        <v>6578</v>
      </c>
      <c r="B3567" s="5" t="n">
        <v>44581</v>
      </c>
      <c r="C3567" s="13" t="inlineStr">
        <is>
          <t>CPR</t>
        </is>
      </c>
      <c r="D3567" s="13" t="n">
        <v>32</v>
      </c>
      <c r="E3567" s="10">
        <f>IF(D3567&gt;0,VLOOKUP(OPERAC[[#This Row],[COD CART]],[1]!MatrizCortoLargoCyl[#All],3,0),"")</f>
        <v/>
      </c>
      <c r="F3567" s="13" t="inlineStr">
        <is>
          <t>HMY/CYL/4,00/18-02-22</t>
        </is>
      </c>
      <c r="G3567" s="6" t="n">
        <v>200</v>
      </c>
      <c r="H3567" s="6" t="n">
        <v>-774.9359920000001</v>
      </c>
      <c r="I3567" s="7">
        <f>-H3567/G3567</f>
        <v/>
      </c>
      <c r="J3567" s="11" t="n">
        <v>44610</v>
      </c>
      <c r="K3567" s="6">
        <f>+OPERAC[[#This Row],[cantidad]]</f>
        <v/>
      </c>
      <c r="L3567" s="6">
        <f>+OPERAC[[#This Row],[cantidad venta]]*3.8323</f>
        <v/>
      </c>
      <c r="M3567" s="7">
        <f>IF(N3567=0,+L3567+H3567,0)</f>
        <v/>
      </c>
      <c r="N3567" s="7">
        <f>IF((+G3567-K3567)=0,0,+G3567-K3567)</f>
        <v/>
      </c>
      <c r="O3567" s="7">
        <f>IF(N3567=0,0,(L3567+H3567)/-N3567)</f>
        <v/>
      </c>
      <c r="P3567" s="7">
        <f>VLOOKUP(OPERAC[[#This Row],[especie]],[1]!ESPECIES[#All],6,0)</f>
        <v/>
      </c>
      <c r="Q3567" s="7">
        <f>IF(N3567&lt;&gt;0,P3567*N3567,0)</f>
        <v/>
      </c>
      <c r="R3567" s="8">
        <f>IF(Q3567&lt;&gt;0,Q3567+H3567+L3567,0)</f>
        <v/>
      </c>
      <c r="S3567" s="9">
        <f>VLOOKUP(OPERAC[[#This Row],[especie]],[1]!ESPECIES[#Data],9,FALSE)</f>
        <v/>
      </c>
    </row>
    <row r="3568">
      <c r="A3568" s="4" t="n">
        <v>6579</v>
      </c>
      <c r="B3568" s="5" t="n">
        <v>44581</v>
      </c>
      <c r="C3568" s="13" t="inlineStr">
        <is>
          <t>CPR</t>
        </is>
      </c>
      <c r="D3568" s="13" t="n">
        <v>32</v>
      </c>
      <c r="E3568" s="10">
        <f>IF(D3568&gt;0,VLOOKUP(OPERAC[[#This Row],[COD CART]],[1]!MatrizCortoLargoCyl[#All],3,0),"")</f>
        <v/>
      </c>
      <c r="F3568" s="13" t="inlineStr">
        <is>
          <t>HMY/CYL/4,00/18-02-22</t>
        </is>
      </c>
      <c r="G3568" s="6" t="n">
        <v>200</v>
      </c>
      <c r="H3568" s="6" t="n">
        <v>-774.9359920000001</v>
      </c>
      <c r="I3568" s="7">
        <f>-H3568/G3568</f>
        <v/>
      </c>
      <c r="J3568" s="11" t="n">
        <v>44610</v>
      </c>
      <c r="K3568" s="6">
        <f>+OPERAC[[#This Row],[cantidad]]</f>
        <v/>
      </c>
      <c r="L3568" s="6">
        <f>+OPERAC[[#This Row],[cantidad venta]]*3.8323</f>
        <v/>
      </c>
      <c r="M3568" s="7">
        <f>IF(N3568=0,+L3568+H3568,0)</f>
        <v/>
      </c>
      <c r="N3568" s="7">
        <f>IF((+G3568-K3568)=0,0,+G3568-K3568)</f>
        <v/>
      </c>
      <c r="O3568" s="7">
        <f>IF(N3568=0,0,(L3568+H3568)/-N3568)</f>
        <v/>
      </c>
      <c r="P3568" s="7">
        <f>VLOOKUP(OPERAC[[#This Row],[especie]],[1]!ESPECIES[#All],6,0)</f>
        <v/>
      </c>
      <c r="Q3568" s="7">
        <f>IF(N3568&lt;&gt;0,P3568*N3568,0)</f>
        <v/>
      </c>
      <c r="R3568" s="8">
        <f>IF(Q3568&lt;&gt;0,Q3568+H3568+L3568,0)</f>
        <v/>
      </c>
      <c r="S3568" s="9">
        <f>VLOOKUP(OPERAC[[#This Row],[especie]],[1]!ESPECIES[#Data],9,FALSE)</f>
        <v/>
      </c>
    </row>
    <row r="3569">
      <c r="A3569" s="4" t="n">
        <v>6628</v>
      </c>
      <c r="B3569" s="5" t="n">
        <v>44581</v>
      </c>
      <c r="C3569" s="13" t="inlineStr">
        <is>
          <t>CPR</t>
        </is>
      </c>
      <c r="D3569" s="13" t="n">
        <v>32</v>
      </c>
      <c r="E3569" s="10">
        <f>IF(D3569&gt;0,VLOOKUP(OPERAC[[#This Row],[COD CART]],[1]!MatrizCortoLargoCyl[#All],3,0),"")</f>
        <v/>
      </c>
      <c r="F3569" s="13" t="inlineStr">
        <is>
          <t>HMY/CYL/4,00/18-02-22</t>
        </is>
      </c>
      <c r="G3569" s="6" t="n">
        <v>200</v>
      </c>
      <c r="H3569" s="6" t="n">
        <v>-774.9359920000001</v>
      </c>
      <c r="I3569" s="7">
        <f>-H3569/G3569</f>
        <v/>
      </c>
      <c r="J3569" s="11" t="n">
        <v>44610</v>
      </c>
      <c r="K3569" s="6">
        <f>+OPERAC[[#This Row],[cantidad]]</f>
        <v/>
      </c>
      <c r="L3569" s="6">
        <f>+OPERAC[[#This Row],[cantidad venta]]*3.8323</f>
        <v/>
      </c>
      <c r="M3569" s="7">
        <f>IF(N3569=0,+L3569+H3569,0)</f>
        <v/>
      </c>
      <c r="N3569" s="7">
        <f>IF((+G3569-K3569)=0,0,+G3569-K3569)</f>
        <v/>
      </c>
      <c r="O3569" s="7">
        <f>IF(N3569=0,0,(L3569+H3569)/-N3569)</f>
        <v/>
      </c>
      <c r="P3569" s="7">
        <f>VLOOKUP(OPERAC[[#This Row],[especie]],[1]!ESPECIES[#All],6,0)</f>
        <v/>
      </c>
      <c r="Q3569" s="7">
        <f>IF(N3569&lt;&gt;0,P3569*N3569,0)</f>
        <v/>
      </c>
      <c r="R3569" s="8">
        <f>IF(Q3569&lt;&gt;0,Q3569+H3569+L3569,0)</f>
        <v/>
      </c>
      <c r="S3569" s="9">
        <f>VLOOKUP(OPERAC[[#This Row],[especie]],[1]!ESPECIES[#Data],9,FALSE)</f>
        <v/>
      </c>
    </row>
    <row r="3570">
      <c r="A3570" s="4" t="n">
        <v>7493</v>
      </c>
      <c r="B3570" s="5" t="n">
        <v>44581</v>
      </c>
      <c r="C3570" s="13" t="inlineStr">
        <is>
          <t>CPR</t>
        </is>
      </c>
      <c r="D3570" s="13" t="n">
        <v>32</v>
      </c>
      <c r="E3570" s="10">
        <f>IF(D3570&gt;0,VLOOKUP(OPERAC[[#This Row],[COD CART]],[1]!MatrizCortoLargoCyl[#All],3,0),"")</f>
        <v/>
      </c>
      <c r="F3570" s="13" t="inlineStr">
        <is>
          <t>HMY/CYL/4,00/18-02-22</t>
        </is>
      </c>
      <c r="G3570" s="6" t="n">
        <v>200</v>
      </c>
      <c r="H3570" s="6" t="n">
        <v>-774.9359920000001</v>
      </c>
      <c r="I3570" s="7">
        <f>-H3570/G3570</f>
        <v/>
      </c>
      <c r="J3570" s="11" t="n">
        <v>44610</v>
      </c>
      <c r="K3570" s="6">
        <f>+OPERAC[[#This Row],[cantidad]]</f>
        <v/>
      </c>
      <c r="L3570" s="6">
        <f>+OPERAC[[#This Row],[cantidad venta]]*3.8323</f>
        <v/>
      </c>
      <c r="M3570" s="7">
        <f>IF(N3570=0,+L3570+H3570,0)</f>
        <v/>
      </c>
      <c r="N3570" s="7">
        <f>IF((+G3570-K3570)=0,0,+G3570-K3570)</f>
        <v/>
      </c>
      <c r="O3570" s="7">
        <f>IF(N3570=0,0,(L3570+H3570)/-N3570)</f>
        <v/>
      </c>
      <c r="P3570" s="7">
        <f>VLOOKUP(OPERAC[[#This Row],[especie]],[1]!ESPECIES[#All],6,0)</f>
        <v/>
      </c>
      <c r="Q3570" s="7">
        <f>IF(N3570&lt;&gt;0,P3570*N3570,0)</f>
        <v/>
      </c>
      <c r="R3570" s="8">
        <f>IF(Q3570&lt;&gt;0,Q3570+H3570+L3570,0)</f>
        <v/>
      </c>
      <c r="S3570" s="9">
        <f>VLOOKUP(OPERAC[[#This Row],[especie]],[1]!ESPECIES[#Data],9,FALSE)</f>
        <v/>
      </c>
    </row>
    <row r="3571">
      <c r="A3571" s="4" t="n">
        <v>7867</v>
      </c>
      <c r="B3571" s="5" t="n">
        <v>44581</v>
      </c>
      <c r="C3571" s="13" t="inlineStr">
        <is>
          <t>CPR</t>
        </is>
      </c>
      <c r="D3571" s="13" t="n">
        <v>32</v>
      </c>
      <c r="E3571" s="10">
        <f>IF(D3571&gt;0,VLOOKUP(OPERAC[[#This Row],[COD CART]],[1]!MatrizCortoLargoCyl[#All],3,0),"")</f>
        <v/>
      </c>
      <c r="F3571" s="13" t="inlineStr">
        <is>
          <t>HMY/CYL/4,00/18-02-22</t>
        </is>
      </c>
      <c r="G3571" s="6" t="n">
        <v>200</v>
      </c>
      <c r="H3571" s="6" t="n">
        <v>-774.9359920000001</v>
      </c>
      <c r="I3571" s="7">
        <f>-H3571/G3571</f>
        <v/>
      </c>
      <c r="J3571" s="11" t="n">
        <v>44610</v>
      </c>
      <c r="K3571" s="6">
        <f>+OPERAC[[#This Row],[cantidad]]</f>
        <v/>
      </c>
      <c r="L3571" s="6">
        <f>+OPERAC[[#This Row],[cantidad venta]]*3.8323</f>
        <v/>
      </c>
      <c r="M3571" s="7">
        <f>IF(N3571=0,+L3571+H3571,0)</f>
        <v/>
      </c>
      <c r="N3571" s="7">
        <f>IF((+G3571-K3571)=0,0,+G3571-K3571)</f>
        <v/>
      </c>
      <c r="O3571" s="7">
        <f>IF(N3571=0,0,(L3571+H3571)/-N3571)</f>
        <v/>
      </c>
      <c r="P3571" s="7">
        <f>VLOOKUP(OPERAC[[#This Row],[especie]],[1]!ESPECIES[#All],6,0)</f>
        <v/>
      </c>
      <c r="Q3571" s="7">
        <f>IF(N3571&lt;&gt;0,P3571*N3571,0)</f>
        <v/>
      </c>
      <c r="R3571" s="8">
        <f>IF(Q3571&lt;&gt;0,Q3571+H3571+L3571,0)</f>
        <v/>
      </c>
      <c r="S3571" s="9">
        <f>VLOOKUP(OPERAC[[#This Row],[especie]],[1]!ESPECIES[#Data],9,FALSE)</f>
        <v/>
      </c>
    </row>
    <row r="3572">
      <c r="A3572" s="4" t="n">
        <v>7895</v>
      </c>
      <c r="B3572" s="5" t="n">
        <v>44581</v>
      </c>
      <c r="C3572" s="13" t="inlineStr">
        <is>
          <t>CPR</t>
        </is>
      </c>
      <c r="D3572" s="13" t="n">
        <v>32</v>
      </c>
      <c r="E3572" s="10">
        <f>IF(D3572&gt;0,VLOOKUP(OPERAC[[#This Row],[COD CART]],[1]!MatrizCortoLargoCyl[#All],3,0),"")</f>
        <v/>
      </c>
      <c r="F3572" s="13" t="inlineStr">
        <is>
          <t>HMY/CYL/4,00/18-02-22</t>
        </is>
      </c>
      <c r="G3572" s="6" t="n">
        <v>200</v>
      </c>
      <c r="H3572" s="6" t="n">
        <v>-774.9359920000001</v>
      </c>
      <c r="I3572" s="7">
        <f>-H3572/G3572</f>
        <v/>
      </c>
      <c r="J3572" s="11" t="n">
        <v>44610</v>
      </c>
      <c r="K3572" s="6">
        <f>+OPERAC[[#This Row],[cantidad]]</f>
        <v/>
      </c>
      <c r="L3572" s="6">
        <f>+OPERAC[[#This Row],[cantidad venta]]*3.8323</f>
        <v/>
      </c>
      <c r="M3572" s="7">
        <f>IF(N3572=0,+L3572+H3572,0)</f>
        <v/>
      </c>
      <c r="N3572" s="7">
        <f>IF((+G3572-K3572)=0,0,+G3572-K3572)</f>
        <v/>
      </c>
      <c r="O3572" s="7">
        <f>IF(N3572=0,0,(L3572+H3572)/-N3572)</f>
        <v/>
      </c>
      <c r="P3572" s="7">
        <f>VLOOKUP(OPERAC[[#This Row],[especie]],[1]!ESPECIES[#All],6,0)</f>
        <v/>
      </c>
      <c r="Q3572" s="7">
        <f>IF(N3572&lt;&gt;0,P3572*N3572,0)</f>
        <v/>
      </c>
      <c r="R3572" s="8">
        <f>IF(Q3572&lt;&gt;0,Q3572+H3572+L3572,0)</f>
        <v/>
      </c>
      <c r="S3572" s="9">
        <f>VLOOKUP(OPERAC[[#This Row],[especie]],[1]!ESPECIES[#Data],9,FALSE)</f>
        <v/>
      </c>
    </row>
    <row r="3573">
      <c r="A3573" s="4" t="n">
        <v>11168</v>
      </c>
      <c r="B3573" s="5" t="n">
        <v>44581</v>
      </c>
      <c r="C3573" s="13" t="inlineStr">
        <is>
          <t>CPR</t>
        </is>
      </c>
      <c r="D3573" s="13" t="n">
        <v>32</v>
      </c>
      <c r="E3573" s="10">
        <f>IF(D3573&gt;0,VLOOKUP(OPERAC[[#This Row],[COD CART]],[1]!MatrizCortoLargoCyl[#All],3,0),"")</f>
        <v/>
      </c>
      <c r="F3573" s="13" t="inlineStr">
        <is>
          <t>HMY/CYL/4,00/18-02-22</t>
        </is>
      </c>
      <c r="G3573" s="6" t="n">
        <v>200</v>
      </c>
      <c r="H3573" s="6" t="n">
        <v>-774.9359920000001</v>
      </c>
      <c r="I3573" s="7">
        <f>-H3573/G3573</f>
        <v/>
      </c>
      <c r="J3573" s="11" t="n">
        <v>44610</v>
      </c>
      <c r="K3573" s="6">
        <f>+OPERAC[[#This Row],[cantidad]]</f>
        <v/>
      </c>
      <c r="L3573" s="6">
        <f>+OPERAC[[#This Row],[cantidad venta]]*3.8323</f>
        <v/>
      </c>
      <c r="M3573" s="7">
        <f>IF(N3573=0,+L3573+H3573,0)</f>
        <v/>
      </c>
      <c r="N3573" s="7">
        <f>IF((+G3573-K3573)=0,0,+G3573-K3573)</f>
        <v/>
      </c>
      <c r="O3573" s="7">
        <f>IF(N3573=0,0,(L3573+H3573)/-N3573)</f>
        <v/>
      </c>
      <c r="P3573" s="7">
        <f>VLOOKUP(OPERAC[[#This Row],[especie]],[1]!ESPECIES[#All],6,0)</f>
        <v/>
      </c>
      <c r="Q3573" s="7">
        <f>IF(N3573&lt;&gt;0,P3573*N3573,0)</f>
        <v/>
      </c>
      <c r="R3573" s="8">
        <f>IF(Q3573&lt;&gt;0,Q3573+H3573+L3573,0)</f>
        <v/>
      </c>
      <c r="S3573" s="9">
        <f>VLOOKUP(OPERAC[[#This Row],[especie]],[1]!ESPECIES[#Data],9,FALSE)</f>
        <v/>
      </c>
    </row>
    <row r="3574">
      <c r="A3574" s="4" t="n">
        <v>12619</v>
      </c>
      <c r="B3574" s="5" t="n">
        <v>44581</v>
      </c>
      <c r="C3574" s="13" t="inlineStr">
        <is>
          <t>CPR</t>
        </is>
      </c>
      <c r="D3574" s="13" t="n">
        <v>32</v>
      </c>
      <c r="E3574" s="10">
        <f>IF(D3574&gt;0,VLOOKUP(OPERAC[[#This Row],[COD CART]],[1]!MatrizCortoLargoCyl[#All],3,0),"")</f>
        <v/>
      </c>
      <c r="F3574" s="13" t="inlineStr">
        <is>
          <t>HMY/CYL/4,00/18-02-22</t>
        </is>
      </c>
      <c r="G3574" s="6" t="n">
        <v>200</v>
      </c>
      <c r="H3574" s="6" t="n">
        <v>-774.9359920000001</v>
      </c>
      <c r="I3574" s="7">
        <f>-H3574/G3574</f>
        <v/>
      </c>
      <c r="J3574" s="11" t="n">
        <v>44610</v>
      </c>
      <c r="K3574" s="6">
        <f>+OPERAC[[#This Row],[cantidad]]</f>
        <v/>
      </c>
      <c r="L3574" s="6">
        <f>+OPERAC[[#This Row],[cantidad venta]]*3.8323</f>
        <v/>
      </c>
      <c r="M3574" s="7">
        <f>IF(N3574=0,+L3574+H3574,0)</f>
        <v/>
      </c>
      <c r="N3574" s="7">
        <f>IF((+G3574-K3574)=0,0,+G3574-K3574)</f>
        <v/>
      </c>
      <c r="O3574" s="7">
        <f>IF(N3574=0,0,(L3574+H3574)/-N3574)</f>
        <v/>
      </c>
      <c r="P3574" s="7">
        <f>VLOOKUP(OPERAC[[#This Row],[especie]],[1]!ESPECIES[#All],6,0)</f>
        <v/>
      </c>
      <c r="Q3574" s="7">
        <f>IF(N3574&lt;&gt;0,P3574*N3574,0)</f>
        <v/>
      </c>
      <c r="R3574" s="8">
        <f>IF(Q3574&lt;&gt;0,Q3574+H3574+L3574,0)</f>
        <v/>
      </c>
      <c r="S3574" s="9">
        <f>VLOOKUP(OPERAC[[#This Row],[especie]],[1]!ESPECIES[#Data],9,FALSE)</f>
        <v/>
      </c>
    </row>
    <row r="3575">
      <c r="A3575" s="4" t="n">
        <v>12652</v>
      </c>
      <c r="B3575" s="5" t="n">
        <v>44581</v>
      </c>
      <c r="C3575" s="13" t="inlineStr">
        <is>
          <t>CPR</t>
        </is>
      </c>
      <c r="D3575" s="13" t="n">
        <v>32</v>
      </c>
      <c r="E3575" s="10">
        <f>IF(D3575&gt;0,VLOOKUP(OPERAC[[#This Row],[COD CART]],[1]!MatrizCortoLargoCyl[#All],3,0),"")</f>
        <v/>
      </c>
      <c r="F3575" s="13" t="inlineStr">
        <is>
          <t>HMY/CYL/4,00/18-02-22</t>
        </is>
      </c>
      <c r="G3575" s="6" t="n">
        <v>200</v>
      </c>
      <c r="H3575" s="6" t="n">
        <v>-774.9359920000001</v>
      </c>
      <c r="I3575" s="7">
        <f>-H3575/G3575</f>
        <v/>
      </c>
      <c r="J3575" s="11" t="n">
        <v>44610</v>
      </c>
      <c r="K3575" s="6">
        <f>+OPERAC[[#This Row],[cantidad]]</f>
        <v/>
      </c>
      <c r="L3575" s="6">
        <f>+OPERAC[[#This Row],[cantidad venta]]*3.8323</f>
        <v/>
      </c>
      <c r="M3575" s="7">
        <f>IF(N3575=0,+L3575+H3575,0)</f>
        <v/>
      </c>
      <c r="N3575" s="7">
        <f>IF((+G3575-K3575)=0,0,+G3575-K3575)</f>
        <v/>
      </c>
      <c r="O3575" s="7">
        <f>IF(N3575=0,0,(L3575+H3575)/-N3575)</f>
        <v/>
      </c>
      <c r="P3575" s="7">
        <f>VLOOKUP(OPERAC[[#This Row],[especie]],[1]!ESPECIES[#All],6,0)</f>
        <v/>
      </c>
      <c r="Q3575" s="7">
        <f>IF(N3575&lt;&gt;0,P3575*N3575,0)</f>
        <v/>
      </c>
      <c r="R3575" s="8">
        <f>IF(Q3575&lt;&gt;0,Q3575+H3575+L3575,0)</f>
        <v/>
      </c>
      <c r="S3575" s="9">
        <f>VLOOKUP(OPERAC[[#This Row],[especie]],[1]!ESPECIES[#Data],9,FALSE)</f>
        <v/>
      </c>
    </row>
    <row r="3576">
      <c r="A3576" s="4" t="n">
        <v>12662</v>
      </c>
      <c r="B3576" s="5" t="n">
        <v>44581</v>
      </c>
      <c r="C3576" s="13" t="inlineStr">
        <is>
          <t>CPR</t>
        </is>
      </c>
      <c r="D3576" s="13" t="n">
        <v>32</v>
      </c>
      <c r="E3576" s="10">
        <f>IF(D3576&gt;0,VLOOKUP(OPERAC[[#This Row],[COD CART]],[1]!MatrizCortoLargoCyl[#All],3,0),"")</f>
        <v/>
      </c>
      <c r="F3576" s="13" t="inlineStr">
        <is>
          <t>HMY/CYL/4,00/18-02-22</t>
        </is>
      </c>
      <c r="G3576" s="6" t="n">
        <v>200</v>
      </c>
      <c r="H3576" s="6" t="n">
        <v>-774.9359920000001</v>
      </c>
      <c r="I3576" s="7">
        <f>-H3576/G3576</f>
        <v/>
      </c>
      <c r="J3576" s="11" t="n">
        <v>44610</v>
      </c>
      <c r="K3576" s="6">
        <f>+OPERAC[[#This Row],[cantidad]]</f>
        <v/>
      </c>
      <c r="L3576" s="6">
        <f>+OPERAC[[#This Row],[cantidad venta]]*3.8323</f>
        <v/>
      </c>
      <c r="M3576" s="7">
        <f>IF(N3576=0,+L3576+H3576,0)</f>
        <v/>
      </c>
      <c r="N3576" s="7">
        <f>IF((+G3576-K3576)=0,0,+G3576-K3576)</f>
        <v/>
      </c>
      <c r="O3576" s="7">
        <f>IF(N3576=0,0,(L3576+H3576)/-N3576)</f>
        <v/>
      </c>
      <c r="P3576" s="7">
        <f>VLOOKUP(OPERAC[[#This Row],[especie]],[1]!ESPECIES[#All],6,0)</f>
        <v/>
      </c>
      <c r="Q3576" s="7">
        <f>IF(N3576&lt;&gt;0,P3576*N3576,0)</f>
        <v/>
      </c>
      <c r="R3576" s="8">
        <f>IF(Q3576&lt;&gt;0,Q3576+H3576+L3576,0)</f>
        <v/>
      </c>
      <c r="S3576" s="9">
        <f>VLOOKUP(OPERAC[[#This Row],[especie]],[1]!ESPECIES[#Data],9,FALSE)</f>
        <v/>
      </c>
    </row>
    <row r="3577">
      <c r="A3577" s="4" t="n">
        <v>12671</v>
      </c>
      <c r="B3577" s="5" t="n">
        <v>44581</v>
      </c>
      <c r="C3577" s="13" t="inlineStr">
        <is>
          <t>CPR</t>
        </is>
      </c>
      <c r="D3577" s="13" t="n">
        <v>32</v>
      </c>
      <c r="E3577" s="10">
        <f>IF(D3577&gt;0,VLOOKUP(OPERAC[[#This Row],[COD CART]],[1]!MatrizCortoLargoCyl[#All],3,0),"")</f>
        <v/>
      </c>
      <c r="F3577" s="13" t="inlineStr">
        <is>
          <t>HMY/CYL/4,00/18-02-22</t>
        </is>
      </c>
      <c r="G3577" s="6" t="n">
        <v>200</v>
      </c>
      <c r="H3577" s="6" t="n">
        <v>-774.9359920000001</v>
      </c>
      <c r="I3577" s="7">
        <f>-H3577/G3577</f>
        <v/>
      </c>
      <c r="J3577" s="11" t="n">
        <v>44610</v>
      </c>
      <c r="K3577" s="6">
        <f>+OPERAC[[#This Row],[cantidad]]</f>
        <v/>
      </c>
      <c r="L3577" s="6">
        <f>+OPERAC[[#This Row],[cantidad venta]]*3.8323</f>
        <v/>
      </c>
      <c r="M3577" s="7">
        <f>IF(N3577=0,+L3577+H3577,0)</f>
        <v/>
      </c>
      <c r="N3577" s="7">
        <f>IF((+G3577-K3577)=0,0,+G3577-K3577)</f>
        <v/>
      </c>
      <c r="O3577" s="7">
        <f>IF(N3577=0,0,(L3577+H3577)/-N3577)</f>
        <v/>
      </c>
      <c r="P3577" s="7">
        <f>VLOOKUP(OPERAC[[#This Row],[especie]],[1]!ESPECIES[#All],6,0)</f>
        <v/>
      </c>
      <c r="Q3577" s="7">
        <f>IF(N3577&lt;&gt;0,P3577*N3577,0)</f>
        <v/>
      </c>
      <c r="R3577" s="8">
        <f>IF(Q3577&lt;&gt;0,Q3577+H3577+L3577,0)</f>
        <v/>
      </c>
      <c r="S3577" s="9">
        <f>VLOOKUP(OPERAC[[#This Row],[especie]],[1]!ESPECIES[#Data],9,FALSE)</f>
        <v/>
      </c>
    </row>
    <row r="3578">
      <c r="A3578" s="4" t="n">
        <v>12672</v>
      </c>
      <c r="B3578" s="5" t="n">
        <v>44581</v>
      </c>
      <c r="C3578" s="13" t="inlineStr">
        <is>
          <t>CPR</t>
        </is>
      </c>
      <c r="D3578" s="13" t="n">
        <v>32</v>
      </c>
      <c r="E3578" s="10">
        <f>IF(D3578&gt;0,VLOOKUP(OPERAC[[#This Row],[COD CART]],[1]!MatrizCortoLargoCyl[#All],3,0),"")</f>
        <v/>
      </c>
      <c r="F3578" s="13" t="inlineStr">
        <is>
          <t>HMY/CYL/4,00/18-02-22</t>
        </is>
      </c>
      <c r="G3578" s="6" t="n">
        <v>200</v>
      </c>
      <c r="H3578" s="6" t="n">
        <v>-774.9359920000001</v>
      </c>
      <c r="I3578" s="7">
        <f>-H3578/G3578</f>
        <v/>
      </c>
      <c r="J3578" s="11" t="n">
        <v>44610</v>
      </c>
      <c r="K3578" s="6">
        <f>+OPERAC[[#This Row],[cantidad]]</f>
        <v/>
      </c>
      <c r="L3578" s="6">
        <f>+OPERAC[[#This Row],[cantidad venta]]*3.8323</f>
        <v/>
      </c>
      <c r="M3578" s="7">
        <f>IF(N3578=0,+L3578+H3578,0)</f>
        <v/>
      </c>
      <c r="N3578" s="7">
        <f>IF((+G3578-K3578)=0,0,+G3578-K3578)</f>
        <v/>
      </c>
      <c r="O3578" s="7">
        <f>IF(N3578=0,0,(L3578+H3578)/-N3578)</f>
        <v/>
      </c>
      <c r="P3578" s="7">
        <f>VLOOKUP(OPERAC[[#This Row],[especie]],[1]!ESPECIES[#All],6,0)</f>
        <v/>
      </c>
      <c r="Q3578" s="7">
        <f>IF(N3578&lt;&gt;0,P3578*N3578,0)</f>
        <v/>
      </c>
      <c r="R3578" s="8">
        <f>IF(Q3578&lt;&gt;0,Q3578+H3578+L3578,0)</f>
        <v/>
      </c>
      <c r="S3578" s="9">
        <f>VLOOKUP(OPERAC[[#This Row],[especie]],[1]!ESPECIES[#Data],9,FALSE)</f>
        <v/>
      </c>
    </row>
    <row r="3579">
      <c r="A3579" s="4" t="n">
        <v>12684</v>
      </c>
      <c r="B3579" s="5" t="n">
        <v>44581</v>
      </c>
      <c r="C3579" s="13" t="inlineStr">
        <is>
          <t>CPR</t>
        </is>
      </c>
      <c r="D3579" s="13" t="n">
        <v>32</v>
      </c>
      <c r="E3579" s="10">
        <f>IF(D3579&gt;0,VLOOKUP(OPERAC[[#This Row],[COD CART]],[1]!MatrizCortoLargoCyl[#All],3,0),"")</f>
        <v/>
      </c>
      <c r="F3579" s="13" t="inlineStr">
        <is>
          <t>HMY/CYL/4,00/18-02-22</t>
        </is>
      </c>
      <c r="G3579" s="6" t="n">
        <v>200</v>
      </c>
      <c r="H3579" s="6" t="n">
        <v>-774.9359920000001</v>
      </c>
      <c r="I3579" s="7">
        <f>-H3579/G3579</f>
        <v/>
      </c>
      <c r="J3579" s="11" t="n">
        <v>44610</v>
      </c>
      <c r="K3579" s="6">
        <f>+OPERAC[[#This Row],[cantidad]]</f>
        <v/>
      </c>
      <c r="L3579" s="6">
        <f>+OPERAC[[#This Row],[cantidad venta]]*3.8323</f>
        <v/>
      </c>
      <c r="M3579" s="7">
        <f>IF(N3579=0,+L3579+H3579,0)</f>
        <v/>
      </c>
      <c r="N3579" s="7">
        <f>IF((+G3579-K3579)=0,0,+G3579-K3579)</f>
        <v/>
      </c>
      <c r="O3579" s="7">
        <f>IF(N3579=0,0,(L3579+H3579)/-N3579)</f>
        <v/>
      </c>
      <c r="P3579" s="7">
        <f>VLOOKUP(OPERAC[[#This Row],[especie]],[1]!ESPECIES[#All],6,0)</f>
        <v/>
      </c>
      <c r="Q3579" s="7">
        <f>IF(N3579&lt;&gt;0,P3579*N3579,0)</f>
        <v/>
      </c>
      <c r="R3579" s="8">
        <f>IF(Q3579&lt;&gt;0,Q3579+H3579+L3579,0)</f>
        <v/>
      </c>
      <c r="S3579" s="9">
        <f>VLOOKUP(OPERAC[[#This Row],[especie]],[1]!ESPECIES[#Data],9,FALSE)</f>
        <v/>
      </c>
    </row>
    <row r="3580">
      <c r="A3580" s="4" t="n">
        <v>12690</v>
      </c>
      <c r="B3580" s="5" t="n">
        <v>44581</v>
      </c>
      <c r="C3580" s="13" t="inlineStr">
        <is>
          <t>CPR</t>
        </is>
      </c>
      <c r="D3580" s="13" t="n">
        <v>32</v>
      </c>
      <c r="E3580" s="10">
        <f>IF(D3580&gt;0,VLOOKUP(OPERAC[[#This Row],[COD CART]],[1]!MatrizCortoLargoCyl[#All],3,0),"")</f>
        <v/>
      </c>
      <c r="F3580" s="13" t="inlineStr">
        <is>
          <t>HMY/CYL/4,00/18-02-22</t>
        </is>
      </c>
      <c r="G3580" s="6" t="n">
        <v>200</v>
      </c>
      <c r="H3580" s="6" t="n">
        <v>-774.9359920000001</v>
      </c>
      <c r="I3580" s="7">
        <f>-H3580/G3580</f>
        <v/>
      </c>
      <c r="J3580" s="11" t="n">
        <v>44610</v>
      </c>
      <c r="K3580" s="6">
        <f>+OPERAC[[#This Row],[cantidad]]</f>
        <v/>
      </c>
      <c r="L3580" s="6">
        <f>+OPERAC[[#This Row],[cantidad venta]]*3.8323</f>
        <v/>
      </c>
      <c r="M3580" s="7">
        <f>IF(N3580=0,+L3580+H3580,0)</f>
        <v/>
      </c>
      <c r="N3580" s="7">
        <f>IF((+G3580-K3580)=0,0,+G3580-K3580)</f>
        <v/>
      </c>
      <c r="O3580" s="7">
        <f>IF(N3580=0,0,(L3580+H3580)/-N3580)</f>
        <v/>
      </c>
      <c r="P3580" s="7">
        <f>VLOOKUP(OPERAC[[#This Row],[especie]],[1]!ESPECIES[#All],6,0)</f>
        <v/>
      </c>
      <c r="Q3580" s="7">
        <f>IF(N3580&lt;&gt;0,P3580*N3580,0)</f>
        <v/>
      </c>
      <c r="R3580" s="8">
        <f>IF(Q3580&lt;&gt;0,Q3580+H3580+L3580,0)</f>
        <v/>
      </c>
      <c r="S3580" s="9">
        <f>VLOOKUP(OPERAC[[#This Row],[especie]],[1]!ESPECIES[#Data],9,FALSE)</f>
        <v/>
      </c>
    </row>
    <row r="3581">
      <c r="A3581" s="4" t="n">
        <v>13188</v>
      </c>
      <c r="B3581" s="5" t="n">
        <v>44581</v>
      </c>
      <c r="C3581" s="13" t="inlineStr">
        <is>
          <t>CPR</t>
        </is>
      </c>
      <c r="D3581" s="13" t="n">
        <v>32</v>
      </c>
      <c r="E3581" s="10">
        <f>IF(D3581&gt;0,VLOOKUP(OPERAC[[#This Row],[COD CART]],[1]!MatrizCortoLargoCyl[#All],3,0),"")</f>
        <v/>
      </c>
      <c r="F3581" s="13" t="inlineStr">
        <is>
          <t>HMY/CYL/4,00/18-02-22</t>
        </is>
      </c>
      <c r="G3581" s="6" t="n">
        <v>200</v>
      </c>
      <c r="H3581" s="6" t="n">
        <v>-774.9359920000001</v>
      </c>
      <c r="I3581" s="7">
        <f>-H3581/G3581</f>
        <v/>
      </c>
      <c r="J3581" s="11" t="n">
        <v>44610</v>
      </c>
      <c r="K3581" s="6">
        <f>+OPERAC[[#This Row],[cantidad]]</f>
        <v/>
      </c>
      <c r="L3581" s="6">
        <f>+OPERAC[[#This Row],[cantidad venta]]*3.8323</f>
        <v/>
      </c>
      <c r="M3581" s="7">
        <f>IF(N3581=0,+L3581+H3581,0)</f>
        <v/>
      </c>
      <c r="N3581" s="7">
        <f>IF((+G3581-K3581)=0,0,+G3581-K3581)</f>
        <v/>
      </c>
      <c r="O3581" s="7">
        <f>IF(N3581=0,0,(L3581+H3581)/-N3581)</f>
        <v/>
      </c>
      <c r="P3581" s="7">
        <f>VLOOKUP(OPERAC[[#This Row],[especie]],[1]!ESPECIES[#All],6,0)</f>
        <v/>
      </c>
      <c r="Q3581" s="7">
        <f>IF(N3581&lt;&gt;0,P3581*N3581,0)</f>
        <v/>
      </c>
      <c r="R3581" s="8">
        <f>IF(Q3581&lt;&gt;0,Q3581+H3581+L3581,0)</f>
        <v/>
      </c>
      <c r="S3581" s="9">
        <f>VLOOKUP(OPERAC[[#This Row],[especie]],[1]!ESPECIES[#Data],9,FALSE)</f>
        <v/>
      </c>
    </row>
    <row r="3582">
      <c r="A3582" s="4" t="n">
        <v>13204</v>
      </c>
      <c r="B3582" s="5" t="n">
        <v>44581</v>
      </c>
      <c r="C3582" s="13" t="inlineStr">
        <is>
          <t>CPR</t>
        </is>
      </c>
      <c r="D3582" s="13" t="n">
        <v>32</v>
      </c>
      <c r="E3582" s="10">
        <f>IF(D3582&gt;0,VLOOKUP(OPERAC[[#This Row],[COD CART]],[1]!MatrizCortoLargoCyl[#All],3,0),"")</f>
        <v/>
      </c>
      <c r="F3582" s="13" t="inlineStr">
        <is>
          <t>HMY/CYL/4,00/18-02-22</t>
        </is>
      </c>
      <c r="G3582" s="6" t="n">
        <v>200</v>
      </c>
      <c r="H3582" s="6" t="n">
        <v>-774.9359920000001</v>
      </c>
      <c r="I3582" s="7">
        <f>-H3582/G3582</f>
        <v/>
      </c>
      <c r="J3582" s="11" t="n">
        <v>44610</v>
      </c>
      <c r="K3582" s="6">
        <f>+OPERAC[[#This Row],[cantidad]]</f>
        <v/>
      </c>
      <c r="L3582" s="6">
        <f>+OPERAC[[#This Row],[cantidad venta]]*3.8323</f>
        <v/>
      </c>
      <c r="M3582" s="7">
        <f>IF(N3582=0,+L3582+H3582,0)</f>
        <v/>
      </c>
      <c r="N3582" s="7">
        <f>IF((+G3582-K3582)=0,0,+G3582-K3582)</f>
        <v/>
      </c>
      <c r="O3582" s="7">
        <f>IF(N3582=0,0,(L3582+H3582)/-N3582)</f>
        <v/>
      </c>
      <c r="P3582" s="7">
        <f>VLOOKUP(OPERAC[[#This Row],[especie]],[1]!ESPECIES[#All],6,0)</f>
        <v/>
      </c>
      <c r="Q3582" s="7">
        <f>IF(N3582&lt;&gt;0,P3582*N3582,0)</f>
        <v/>
      </c>
      <c r="R3582" s="8">
        <f>IF(Q3582&lt;&gt;0,Q3582+H3582+L3582,0)</f>
        <v/>
      </c>
      <c r="S3582" s="9">
        <f>VLOOKUP(OPERAC[[#This Row],[especie]],[1]!ESPECIES[#Data],9,FALSE)</f>
        <v/>
      </c>
    </row>
    <row r="3583">
      <c r="A3583" s="4" t="n">
        <v>16776</v>
      </c>
      <c r="B3583" s="5" t="n">
        <v>44581</v>
      </c>
      <c r="C3583" s="13" t="inlineStr">
        <is>
          <t>CPR</t>
        </is>
      </c>
      <c r="D3583" s="13" t="n">
        <v>32</v>
      </c>
      <c r="E3583" s="10">
        <f>IF(D3583&gt;0,VLOOKUP(OPERAC[[#This Row],[COD CART]],[1]!MatrizCortoLargoCyl[#All],3,0),"")</f>
        <v/>
      </c>
      <c r="F3583" s="13" t="inlineStr">
        <is>
          <t>HMY/CYL/4,00/18-02-22</t>
        </is>
      </c>
      <c r="G3583" s="6" t="n">
        <v>200</v>
      </c>
      <c r="H3583" s="6" t="n">
        <v>-774.9359920000001</v>
      </c>
      <c r="I3583" s="7">
        <f>-H3583/G3583</f>
        <v/>
      </c>
      <c r="J3583" s="11" t="n">
        <v>44610</v>
      </c>
      <c r="K3583" s="6">
        <f>+OPERAC[[#This Row],[cantidad]]</f>
        <v/>
      </c>
      <c r="L3583" s="6">
        <f>+OPERAC[[#This Row],[cantidad venta]]*3.8323</f>
        <v/>
      </c>
      <c r="M3583" s="7">
        <f>IF(N3583=0,+L3583+H3583,0)</f>
        <v/>
      </c>
      <c r="N3583" s="7">
        <f>IF((+G3583-K3583)=0,0,+G3583-K3583)</f>
        <v/>
      </c>
      <c r="O3583" s="7">
        <f>IF(N3583=0,0,(L3583+H3583)/-N3583)</f>
        <v/>
      </c>
      <c r="P3583" s="7">
        <f>VLOOKUP(OPERAC[[#This Row],[especie]],[1]!ESPECIES[#All],6,0)</f>
        <v/>
      </c>
      <c r="Q3583" s="7">
        <f>IF(N3583&lt;&gt;0,P3583*N3583,0)</f>
        <v/>
      </c>
      <c r="R3583" s="8">
        <f>IF(Q3583&lt;&gt;0,Q3583+H3583+L3583,0)</f>
        <v/>
      </c>
      <c r="S3583" s="9">
        <f>VLOOKUP(OPERAC[[#This Row],[especie]],[1]!ESPECIES[#Data],9,FALSE)</f>
        <v/>
      </c>
    </row>
    <row r="3584">
      <c r="A3584" s="4" t="n">
        <v>16780</v>
      </c>
      <c r="B3584" s="5" t="n">
        <v>44581</v>
      </c>
      <c r="C3584" s="13" t="inlineStr">
        <is>
          <t>CPR</t>
        </is>
      </c>
      <c r="D3584" s="13" t="n">
        <v>32</v>
      </c>
      <c r="E3584" s="10">
        <f>IF(D3584&gt;0,VLOOKUP(OPERAC[[#This Row],[COD CART]],[1]!MatrizCortoLargoCyl[#All],3,0),"")</f>
        <v/>
      </c>
      <c r="F3584" s="13" t="inlineStr">
        <is>
          <t>HMY/CYL/4,00/18-02-22</t>
        </is>
      </c>
      <c r="G3584" s="6" t="n">
        <v>200</v>
      </c>
      <c r="H3584" s="6" t="n">
        <v>-774.9359920000001</v>
      </c>
      <c r="I3584" s="7">
        <f>-H3584/G3584</f>
        <v/>
      </c>
      <c r="J3584" s="11" t="n">
        <v>44610</v>
      </c>
      <c r="K3584" s="6">
        <f>+OPERAC[[#This Row],[cantidad]]</f>
        <v/>
      </c>
      <c r="L3584" s="6">
        <f>+OPERAC[[#This Row],[cantidad venta]]*3.8323</f>
        <v/>
      </c>
      <c r="M3584" s="7">
        <f>IF(N3584=0,+L3584+H3584,0)</f>
        <v/>
      </c>
      <c r="N3584" s="7">
        <f>IF((+G3584-K3584)=0,0,+G3584-K3584)</f>
        <v/>
      </c>
      <c r="O3584" s="7">
        <f>IF(N3584=0,0,(L3584+H3584)/-N3584)</f>
        <v/>
      </c>
      <c r="P3584" s="7">
        <f>VLOOKUP(OPERAC[[#This Row],[especie]],[1]!ESPECIES[#All],6,0)</f>
        <v/>
      </c>
      <c r="Q3584" s="7">
        <f>IF(N3584&lt;&gt;0,P3584*N3584,0)</f>
        <v/>
      </c>
      <c r="R3584" s="8">
        <f>IF(Q3584&lt;&gt;0,Q3584+H3584+L3584,0)</f>
        <v/>
      </c>
      <c r="S3584" s="9">
        <f>VLOOKUP(OPERAC[[#This Row],[especie]],[1]!ESPECIES[#Data],9,FALSE)</f>
        <v/>
      </c>
    </row>
    <row r="3585">
      <c r="A3585" s="4" t="n">
        <v>18697</v>
      </c>
      <c r="B3585" s="5" t="n">
        <v>44581</v>
      </c>
      <c r="C3585" s="13" t="inlineStr">
        <is>
          <t>CPR</t>
        </is>
      </c>
      <c r="D3585" s="13" t="n">
        <v>32</v>
      </c>
      <c r="E3585" s="10">
        <f>IF(D3585&gt;0,VLOOKUP(OPERAC[[#This Row],[COD CART]],[1]!MatrizCortoLargoCyl[#All],3,0),"")</f>
        <v/>
      </c>
      <c r="F3585" s="13" t="inlineStr">
        <is>
          <t>HMY/CYL/4,00/18-02-22</t>
        </is>
      </c>
      <c r="G3585" s="6" t="n">
        <v>200</v>
      </c>
      <c r="H3585" s="6" t="n">
        <v>-774.9359920000001</v>
      </c>
      <c r="I3585" s="7">
        <f>-H3585/G3585</f>
        <v/>
      </c>
      <c r="J3585" s="11" t="n">
        <v>44610</v>
      </c>
      <c r="K3585" s="6">
        <f>+OPERAC[[#This Row],[cantidad]]</f>
        <v/>
      </c>
      <c r="L3585" s="6">
        <f>+OPERAC[[#This Row],[cantidad venta]]*3.8323</f>
        <v/>
      </c>
      <c r="M3585" s="7">
        <f>IF(N3585=0,+L3585+H3585,0)</f>
        <v/>
      </c>
      <c r="N3585" s="7">
        <f>IF((+G3585-K3585)=0,0,+G3585-K3585)</f>
        <v/>
      </c>
      <c r="O3585" s="7">
        <f>IF(N3585=0,0,(L3585+H3585)/-N3585)</f>
        <v/>
      </c>
      <c r="P3585" s="7">
        <f>VLOOKUP(OPERAC[[#This Row],[especie]],[1]!ESPECIES[#All],6,0)</f>
        <v/>
      </c>
      <c r="Q3585" s="7">
        <f>IF(N3585&lt;&gt;0,P3585*N3585,0)</f>
        <v/>
      </c>
      <c r="R3585" s="8">
        <f>IF(Q3585&lt;&gt;0,Q3585+H3585+L3585,0)</f>
        <v/>
      </c>
      <c r="S3585" s="9">
        <f>VLOOKUP(OPERAC[[#This Row],[especie]],[1]!ESPECIES[#Data],9,FALSE)</f>
        <v/>
      </c>
    </row>
    <row r="3586">
      <c r="A3586" s="4" t="n">
        <v>18726</v>
      </c>
      <c r="B3586" s="5" t="n">
        <v>44581</v>
      </c>
      <c r="C3586" s="13" t="inlineStr">
        <is>
          <t>CPR</t>
        </is>
      </c>
      <c r="D3586" s="13" t="n">
        <v>32</v>
      </c>
      <c r="E3586" s="10">
        <f>IF(D3586&gt;0,VLOOKUP(OPERAC[[#This Row],[COD CART]],[1]!MatrizCortoLargoCyl[#All],3,0),"")</f>
        <v/>
      </c>
      <c r="F3586" s="13" t="inlineStr">
        <is>
          <t>HMY/CYL/4,00/18-02-22</t>
        </is>
      </c>
      <c r="G3586" s="6" t="n">
        <v>200</v>
      </c>
      <c r="H3586" s="6" t="n">
        <v>-774.9359920000001</v>
      </c>
      <c r="I3586" s="7">
        <f>-H3586/G3586</f>
        <v/>
      </c>
      <c r="J3586" s="11" t="n">
        <v>44610</v>
      </c>
      <c r="K3586" s="6">
        <f>+OPERAC[[#This Row],[cantidad]]</f>
        <v/>
      </c>
      <c r="L3586" s="6">
        <f>+OPERAC[[#This Row],[cantidad venta]]*3.8323</f>
        <v/>
      </c>
      <c r="M3586" s="7">
        <f>IF(N3586=0,+L3586+H3586,0)</f>
        <v/>
      </c>
      <c r="N3586" s="7">
        <f>IF((+G3586-K3586)=0,0,+G3586-K3586)</f>
        <v/>
      </c>
      <c r="O3586" s="7">
        <f>IF(N3586=0,0,(L3586+H3586)/-N3586)</f>
        <v/>
      </c>
      <c r="P3586" s="7">
        <f>VLOOKUP(OPERAC[[#This Row],[especie]],[1]!ESPECIES[#All],6,0)</f>
        <v/>
      </c>
      <c r="Q3586" s="7">
        <f>IF(N3586&lt;&gt;0,P3586*N3586,0)</f>
        <v/>
      </c>
      <c r="R3586" s="8">
        <f>IF(Q3586&lt;&gt;0,Q3586+H3586+L3586,0)</f>
        <v/>
      </c>
      <c r="S3586" s="9">
        <f>VLOOKUP(OPERAC[[#This Row],[especie]],[1]!ESPECIES[#Data],9,FALSE)</f>
        <v/>
      </c>
    </row>
    <row r="3587">
      <c r="A3587" s="4" t="n">
        <v>19878</v>
      </c>
      <c r="B3587" s="5" t="n">
        <v>44581</v>
      </c>
      <c r="C3587" s="13" t="inlineStr">
        <is>
          <t>CPR</t>
        </is>
      </c>
      <c r="D3587" s="13" t="n">
        <v>32</v>
      </c>
      <c r="E3587" s="10">
        <f>IF(D3587&gt;0,VLOOKUP(OPERAC[[#This Row],[COD CART]],[1]!MatrizCortoLargoCyl[#All],3,0),"")</f>
        <v/>
      </c>
      <c r="F3587" s="13" t="inlineStr">
        <is>
          <t>HMY/CYL/4,00/18-02-22</t>
        </is>
      </c>
      <c r="G3587" s="6" t="n">
        <v>200</v>
      </c>
      <c r="H3587" s="6" t="n">
        <v>-774.9359920000001</v>
      </c>
      <c r="I3587" s="7">
        <f>-H3587/G3587</f>
        <v/>
      </c>
      <c r="J3587" s="11" t="n">
        <v>44610</v>
      </c>
      <c r="K3587" s="6">
        <f>+OPERAC[[#This Row],[cantidad]]</f>
        <v/>
      </c>
      <c r="L3587" s="6">
        <f>+OPERAC[[#This Row],[cantidad venta]]*3.8323</f>
        <v/>
      </c>
      <c r="M3587" s="7">
        <f>IF(N3587=0,+L3587+H3587,0)</f>
        <v/>
      </c>
      <c r="N3587" s="7">
        <f>IF((+G3587-K3587)=0,0,+G3587-K3587)</f>
        <v/>
      </c>
      <c r="O3587" s="7">
        <f>IF(N3587=0,0,(L3587+H3587)/-N3587)</f>
        <v/>
      </c>
      <c r="P3587" s="7">
        <f>VLOOKUP(OPERAC[[#This Row],[especie]],[1]!ESPECIES[#All],6,0)</f>
        <v/>
      </c>
      <c r="Q3587" s="7">
        <f>IF(N3587&lt;&gt;0,P3587*N3587,0)</f>
        <v/>
      </c>
      <c r="R3587" s="8">
        <f>IF(Q3587&lt;&gt;0,Q3587+H3587+L3587,0)</f>
        <v/>
      </c>
      <c r="S3587" s="9">
        <f>VLOOKUP(OPERAC[[#This Row],[especie]],[1]!ESPECIES[#Data],9,FALSE)</f>
        <v/>
      </c>
    </row>
    <row r="3588">
      <c r="A3588" s="4" t="n">
        <v>20312</v>
      </c>
      <c r="B3588" s="5" t="n">
        <v>44581</v>
      </c>
      <c r="C3588" s="13" t="inlineStr">
        <is>
          <t>CPR</t>
        </is>
      </c>
      <c r="D3588" s="13" t="n">
        <v>32</v>
      </c>
      <c r="E3588" s="10">
        <f>IF(D3588&gt;0,VLOOKUP(OPERAC[[#This Row],[COD CART]],[1]!MatrizCortoLargoCyl[#All],3,0),"")</f>
        <v/>
      </c>
      <c r="F3588" s="13" t="inlineStr">
        <is>
          <t>HMY/CYL/4,00/18-02-22</t>
        </is>
      </c>
      <c r="G3588" s="6" t="n">
        <v>200</v>
      </c>
      <c r="H3588" s="6" t="n">
        <v>-774.9359920000001</v>
      </c>
      <c r="I3588" s="7">
        <f>-H3588/G3588</f>
        <v/>
      </c>
      <c r="J3588" s="11" t="n">
        <v>44610</v>
      </c>
      <c r="K3588" s="6">
        <f>+OPERAC[[#This Row],[cantidad]]</f>
        <v/>
      </c>
      <c r="L3588" s="6">
        <f>+OPERAC[[#This Row],[cantidad venta]]*3.8323</f>
        <v/>
      </c>
      <c r="M3588" s="7">
        <f>IF(N3588=0,+L3588+H3588,0)</f>
        <v/>
      </c>
      <c r="N3588" s="7">
        <f>IF((+G3588-K3588)=0,0,+G3588-K3588)</f>
        <v/>
      </c>
      <c r="O3588" s="7">
        <f>IF(N3588=0,0,(L3588+H3588)/-N3588)</f>
        <v/>
      </c>
      <c r="P3588" s="7">
        <f>VLOOKUP(OPERAC[[#This Row],[especie]],[1]!ESPECIES[#All],6,0)</f>
        <v/>
      </c>
      <c r="Q3588" s="7">
        <f>IF(N3588&lt;&gt;0,P3588*N3588,0)</f>
        <v/>
      </c>
      <c r="R3588" s="8">
        <f>IF(Q3588&lt;&gt;0,Q3588+H3588+L3588,0)</f>
        <v/>
      </c>
      <c r="S3588" s="9">
        <f>VLOOKUP(OPERAC[[#This Row],[especie]],[1]!ESPECIES[#Data],9,FALSE)</f>
        <v/>
      </c>
    </row>
    <row r="3589">
      <c r="A3589" s="4" t="n">
        <v>20317</v>
      </c>
      <c r="B3589" s="5" t="n">
        <v>44581</v>
      </c>
      <c r="C3589" s="13" t="inlineStr">
        <is>
          <t>CPR</t>
        </is>
      </c>
      <c r="D3589" s="13" t="n">
        <v>32</v>
      </c>
      <c r="E3589" s="10">
        <f>IF(D3589&gt;0,VLOOKUP(OPERAC[[#This Row],[COD CART]],[1]!MatrizCortoLargoCyl[#All],3,0),"")</f>
        <v/>
      </c>
      <c r="F3589" s="13" t="inlineStr">
        <is>
          <t>HMY/CYL/4,00/18-02-22</t>
        </is>
      </c>
      <c r="G3589" s="6" t="n">
        <v>200</v>
      </c>
      <c r="H3589" s="6" t="n">
        <v>-774.9359920000001</v>
      </c>
      <c r="I3589" s="7">
        <f>-H3589/G3589</f>
        <v/>
      </c>
      <c r="J3589" s="11" t="n">
        <v>44610</v>
      </c>
      <c r="K3589" s="6">
        <f>+OPERAC[[#This Row],[cantidad]]</f>
        <v/>
      </c>
      <c r="L3589" s="6">
        <f>+OPERAC[[#This Row],[cantidad venta]]*3.8323</f>
        <v/>
      </c>
      <c r="M3589" s="7">
        <f>IF(N3589=0,+L3589+H3589,0)</f>
        <v/>
      </c>
      <c r="N3589" s="7">
        <f>IF((+G3589-K3589)=0,0,+G3589-K3589)</f>
        <v/>
      </c>
      <c r="O3589" s="7">
        <f>IF(N3589=0,0,(L3589+H3589)/-N3589)</f>
        <v/>
      </c>
      <c r="P3589" s="7">
        <f>VLOOKUP(OPERAC[[#This Row],[especie]],[1]!ESPECIES[#All],6,0)</f>
        <v/>
      </c>
      <c r="Q3589" s="7">
        <f>IF(N3589&lt;&gt;0,P3589*N3589,0)</f>
        <v/>
      </c>
      <c r="R3589" s="8">
        <f>IF(Q3589&lt;&gt;0,Q3589+H3589+L3589,0)</f>
        <v/>
      </c>
      <c r="S3589" s="9">
        <f>VLOOKUP(OPERAC[[#This Row],[especie]],[1]!ESPECIES[#Data],9,FALSE)</f>
        <v/>
      </c>
    </row>
    <row r="3590">
      <c r="A3590" s="4" t="n">
        <v>21070</v>
      </c>
      <c r="B3590" s="5" t="n">
        <v>44581</v>
      </c>
      <c r="C3590" s="13" t="inlineStr">
        <is>
          <t>CPR</t>
        </is>
      </c>
      <c r="D3590" s="13" t="n">
        <v>32</v>
      </c>
      <c r="E3590" s="10">
        <f>IF(D3590&gt;0,VLOOKUP(OPERAC[[#This Row],[COD CART]],[1]!MatrizCortoLargoCyl[#All],3,0),"")</f>
        <v/>
      </c>
      <c r="F3590" s="13" t="inlineStr">
        <is>
          <t>HMY/CYL/4,00/18-02-22</t>
        </is>
      </c>
      <c r="G3590" s="6" t="n">
        <v>200</v>
      </c>
      <c r="H3590" s="6" t="n">
        <v>-774.9359920000001</v>
      </c>
      <c r="I3590" s="7">
        <f>-H3590/G3590</f>
        <v/>
      </c>
      <c r="J3590" s="11" t="n">
        <v>44610</v>
      </c>
      <c r="K3590" s="6">
        <f>+OPERAC[[#This Row],[cantidad]]</f>
        <v/>
      </c>
      <c r="L3590" s="6">
        <f>+OPERAC[[#This Row],[cantidad venta]]*3.8323</f>
        <v/>
      </c>
      <c r="M3590" s="7">
        <f>IF(N3590=0,+L3590+H3590,0)</f>
        <v/>
      </c>
      <c r="N3590" s="7">
        <f>IF((+G3590-K3590)=0,0,+G3590-K3590)</f>
        <v/>
      </c>
      <c r="O3590" s="7">
        <f>IF(N3590=0,0,(L3590+H3590)/-N3590)</f>
        <v/>
      </c>
      <c r="P3590" s="7">
        <f>VLOOKUP(OPERAC[[#This Row],[especie]],[1]!ESPECIES[#All],6,0)</f>
        <v/>
      </c>
      <c r="Q3590" s="7">
        <f>IF(N3590&lt;&gt;0,P3590*N3590,0)</f>
        <v/>
      </c>
      <c r="R3590" s="8">
        <f>IF(Q3590&lt;&gt;0,Q3590+H3590+L3590,0)</f>
        <v/>
      </c>
      <c r="S3590" s="9">
        <f>VLOOKUP(OPERAC[[#This Row],[especie]],[1]!ESPECIES[#Data],9,FALSE)</f>
        <v/>
      </c>
    </row>
    <row r="3591">
      <c r="A3591" s="4" t="n">
        <v>22421</v>
      </c>
      <c r="B3591" s="5" t="n">
        <v>44581</v>
      </c>
      <c r="C3591" s="13" t="inlineStr">
        <is>
          <t>CPR</t>
        </is>
      </c>
      <c r="D3591" s="13" t="n">
        <v>32</v>
      </c>
      <c r="E3591" s="10">
        <f>IF(D3591&gt;0,VLOOKUP(OPERAC[[#This Row],[COD CART]],[1]!MatrizCortoLargoCyl[#All],3,0),"")</f>
        <v/>
      </c>
      <c r="F3591" s="13" t="inlineStr">
        <is>
          <t>HMY/CYL/4,00/18-02-22</t>
        </is>
      </c>
      <c r="G3591" s="6" t="n">
        <v>200</v>
      </c>
      <c r="H3591" s="6" t="n">
        <v>-774.9359920000001</v>
      </c>
      <c r="I3591" s="7">
        <f>-H3591/G3591</f>
        <v/>
      </c>
      <c r="J3591" s="11" t="n">
        <v>44610</v>
      </c>
      <c r="K3591" s="6">
        <f>+OPERAC[[#This Row],[cantidad]]</f>
        <v/>
      </c>
      <c r="L3591" s="6">
        <f>+OPERAC[[#This Row],[cantidad venta]]*3.8323</f>
        <v/>
      </c>
      <c r="M3591" s="7">
        <f>IF(N3591=0,+L3591+H3591,0)</f>
        <v/>
      </c>
      <c r="N3591" s="7">
        <f>IF((+G3591-K3591)=0,0,+G3591-K3591)</f>
        <v/>
      </c>
      <c r="O3591" s="7">
        <f>IF(N3591=0,0,(L3591+H3591)/-N3591)</f>
        <v/>
      </c>
      <c r="P3591" s="7">
        <f>VLOOKUP(OPERAC[[#This Row],[especie]],[1]!ESPECIES[#All],6,0)</f>
        <v/>
      </c>
      <c r="Q3591" s="7">
        <f>IF(N3591&lt;&gt;0,P3591*N3591,0)</f>
        <v/>
      </c>
      <c r="R3591" s="8">
        <f>IF(Q3591&lt;&gt;0,Q3591+H3591+L3591,0)</f>
        <v/>
      </c>
      <c r="S3591" s="9">
        <f>VLOOKUP(OPERAC[[#This Row],[especie]],[1]!ESPECIES[#Data],9,FALSE)</f>
        <v/>
      </c>
    </row>
    <row r="3592">
      <c r="A3592" s="4" t="n">
        <v>22431</v>
      </c>
      <c r="B3592" s="5" t="n">
        <v>44581</v>
      </c>
      <c r="C3592" s="13" t="inlineStr">
        <is>
          <t>CPR</t>
        </is>
      </c>
      <c r="D3592" s="13" t="n">
        <v>32</v>
      </c>
      <c r="E3592" s="10">
        <f>IF(D3592&gt;0,VLOOKUP(OPERAC[[#This Row],[COD CART]],[1]!MatrizCortoLargoCyl[#All],3,0),"")</f>
        <v/>
      </c>
      <c r="F3592" s="13" t="inlineStr">
        <is>
          <t>HMY/CYL/4,00/18-02-22</t>
        </is>
      </c>
      <c r="G3592" s="6" t="n">
        <v>200</v>
      </c>
      <c r="H3592" s="6" t="n">
        <v>-774.9359920000001</v>
      </c>
      <c r="I3592" s="7">
        <f>-H3592/G3592</f>
        <v/>
      </c>
      <c r="J3592" s="11" t="n">
        <v>44610</v>
      </c>
      <c r="K3592" s="6">
        <f>+OPERAC[[#This Row],[cantidad]]</f>
        <v/>
      </c>
      <c r="L3592" s="6">
        <f>+OPERAC[[#This Row],[cantidad venta]]*3.8323</f>
        <v/>
      </c>
      <c r="M3592" s="7">
        <f>IF(N3592=0,+L3592+H3592,0)</f>
        <v/>
      </c>
      <c r="N3592" s="7">
        <f>IF((+G3592-K3592)=0,0,+G3592-K3592)</f>
        <v/>
      </c>
      <c r="O3592" s="7">
        <f>IF(N3592=0,0,(L3592+H3592)/-N3592)</f>
        <v/>
      </c>
      <c r="P3592" s="7">
        <f>VLOOKUP(OPERAC[[#This Row],[especie]],[1]!ESPECIES[#All],6,0)</f>
        <v/>
      </c>
      <c r="Q3592" s="7">
        <f>IF(N3592&lt;&gt;0,P3592*N3592,0)</f>
        <v/>
      </c>
      <c r="R3592" s="8">
        <f>IF(Q3592&lt;&gt;0,Q3592+H3592+L3592,0)</f>
        <v/>
      </c>
      <c r="S3592" s="9">
        <f>VLOOKUP(OPERAC[[#This Row],[especie]],[1]!ESPECIES[#Data],9,FALSE)</f>
        <v/>
      </c>
    </row>
    <row r="3593">
      <c r="A3593" s="4" t="n">
        <v>22439</v>
      </c>
      <c r="B3593" s="5" t="n">
        <v>44581</v>
      </c>
      <c r="C3593" s="13" t="inlineStr">
        <is>
          <t>CPR</t>
        </is>
      </c>
      <c r="D3593" s="13" t="n">
        <v>32</v>
      </c>
      <c r="E3593" s="10">
        <f>IF(D3593&gt;0,VLOOKUP(OPERAC[[#This Row],[COD CART]],[1]!MatrizCortoLargoCyl[#All],3,0),"")</f>
        <v/>
      </c>
      <c r="F3593" s="13" t="inlineStr">
        <is>
          <t>HMY/CYL/4,00/18-02-22</t>
        </is>
      </c>
      <c r="G3593" s="6" t="n">
        <v>200</v>
      </c>
      <c r="H3593" s="6" t="n">
        <v>-774.9359920000001</v>
      </c>
      <c r="I3593" s="7">
        <f>-H3593/G3593</f>
        <v/>
      </c>
      <c r="J3593" s="11" t="n">
        <v>44610</v>
      </c>
      <c r="K3593" s="6">
        <f>+OPERAC[[#This Row],[cantidad]]</f>
        <v/>
      </c>
      <c r="L3593" s="6">
        <f>+OPERAC[[#This Row],[cantidad venta]]*3.8323</f>
        <v/>
      </c>
      <c r="M3593" s="7">
        <f>IF(N3593=0,+L3593+H3593,0)</f>
        <v/>
      </c>
      <c r="N3593" s="7">
        <f>IF((+G3593-K3593)=0,0,+G3593-K3593)</f>
        <v/>
      </c>
      <c r="O3593" s="7">
        <f>IF(N3593=0,0,(L3593+H3593)/-N3593)</f>
        <v/>
      </c>
      <c r="P3593" s="7">
        <f>VLOOKUP(OPERAC[[#This Row],[especie]],[1]!ESPECIES[#All],6,0)</f>
        <v/>
      </c>
      <c r="Q3593" s="7">
        <f>IF(N3593&lt;&gt;0,P3593*N3593,0)</f>
        <v/>
      </c>
      <c r="R3593" s="8">
        <f>IF(Q3593&lt;&gt;0,Q3593+H3593+L3593,0)</f>
        <v/>
      </c>
      <c r="S3593" s="9">
        <f>VLOOKUP(OPERAC[[#This Row],[especie]],[1]!ESPECIES[#Data],9,FALSE)</f>
        <v/>
      </c>
    </row>
    <row r="3594">
      <c r="A3594" s="4" t="n">
        <v>25070</v>
      </c>
      <c r="B3594" s="5" t="n">
        <v>44581</v>
      </c>
      <c r="C3594" s="13" t="inlineStr">
        <is>
          <t>CPR</t>
        </is>
      </c>
      <c r="D3594" s="13" t="n">
        <v>32</v>
      </c>
      <c r="E3594" s="10">
        <f>IF(D3594&gt;0,VLOOKUP(OPERAC[[#This Row],[COD CART]],[1]!MatrizCortoLargoCyl[#All],3,0),"")</f>
        <v/>
      </c>
      <c r="F3594" s="13" t="inlineStr">
        <is>
          <t>HMY/CYL/4,00/18-02-22</t>
        </is>
      </c>
      <c r="G3594" s="6" t="n">
        <v>200</v>
      </c>
      <c r="H3594" s="6" t="n">
        <v>-774.9359920000001</v>
      </c>
      <c r="I3594" s="7">
        <f>-H3594/G3594</f>
        <v/>
      </c>
      <c r="J3594" s="11" t="n">
        <v>44610</v>
      </c>
      <c r="K3594" s="6">
        <f>+OPERAC[[#This Row],[cantidad]]</f>
        <v/>
      </c>
      <c r="L3594" s="6">
        <f>+OPERAC[[#This Row],[cantidad venta]]*3.8323</f>
        <v/>
      </c>
      <c r="M3594" s="7">
        <f>IF(N3594=0,+L3594+H3594,0)</f>
        <v/>
      </c>
      <c r="N3594" s="7">
        <f>IF((+G3594-K3594)=0,0,+G3594-K3594)</f>
        <v/>
      </c>
      <c r="O3594" s="7">
        <f>IF(N3594=0,0,(L3594+H3594)/-N3594)</f>
        <v/>
      </c>
      <c r="P3594" s="7">
        <f>VLOOKUP(OPERAC[[#This Row],[especie]],[1]!ESPECIES[#All],6,0)</f>
        <v/>
      </c>
      <c r="Q3594" s="7">
        <f>IF(N3594&lt;&gt;0,P3594*N3594,0)</f>
        <v/>
      </c>
      <c r="R3594" s="8">
        <f>IF(Q3594&lt;&gt;0,Q3594+H3594+L3594,0)</f>
        <v/>
      </c>
      <c r="S3594" s="9">
        <f>VLOOKUP(OPERAC[[#This Row],[especie]],[1]!ESPECIES[#Data],9,FALSE)</f>
        <v/>
      </c>
    </row>
    <row r="3595">
      <c r="A3595" s="4" t="n">
        <v>26137</v>
      </c>
      <c r="B3595" s="5" t="n">
        <v>44581</v>
      </c>
      <c r="C3595" s="13" t="inlineStr">
        <is>
          <t>CPR</t>
        </is>
      </c>
      <c r="D3595" s="13" t="n">
        <v>32</v>
      </c>
      <c r="E3595" s="10">
        <f>IF(D3595&gt;0,VLOOKUP(OPERAC[[#This Row],[COD CART]],[1]!MatrizCortoLargoCyl[#All],3,0),"")</f>
        <v/>
      </c>
      <c r="F3595" s="13" t="inlineStr">
        <is>
          <t>HMY/CYL/4,00/18-02-22</t>
        </is>
      </c>
      <c r="G3595" s="6" t="n">
        <v>200</v>
      </c>
      <c r="H3595" s="6" t="n">
        <v>-774.9359920000001</v>
      </c>
      <c r="I3595" s="7">
        <f>-H3595/G3595</f>
        <v/>
      </c>
      <c r="J3595" s="11" t="n">
        <v>44610</v>
      </c>
      <c r="K3595" s="6">
        <f>+OPERAC[[#This Row],[cantidad]]</f>
        <v/>
      </c>
      <c r="L3595" s="6">
        <f>+OPERAC[[#This Row],[cantidad venta]]*3.8323</f>
        <v/>
      </c>
      <c r="M3595" s="7">
        <f>IF(N3595=0,+L3595+H3595,0)</f>
        <v/>
      </c>
      <c r="N3595" s="7">
        <f>IF((+G3595-K3595)=0,0,+G3595-K3595)</f>
        <v/>
      </c>
      <c r="O3595" s="7">
        <f>IF(N3595=0,0,(L3595+H3595)/-N3595)</f>
        <v/>
      </c>
      <c r="P3595" s="7">
        <f>VLOOKUP(OPERAC[[#This Row],[especie]],[1]!ESPECIES[#All],6,0)</f>
        <v/>
      </c>
      <c r="Q3595" s="7">
        <f>IF(N3595&lt;&gt;0,P3595*N3595,0)</f>
        <v/>
      </c>
      <c r="R3595" s="8">
        <f>IF(Q3595&lt;&gt;0,Q3595+H3595+L3595,0)</f>
        <v/>
      </c>
      <c r="S3595" s="9">
        <f>VLOOKUP(OPERAC[[#This Row],[especie]],[1]!ESPECIES[#Data],9,FALSE)</f>
        <v/>
      </c>
    </row>
    <row r="3596">
      <c r="A3596" s="4" t="n">
        <v>26138</v>
      </c>
      <c r="B3596" s="5" t="n">
        <v>44581</v>
      </c>
      <c r="C3596" s="13" t="inlineStr">
        <is>
          <t>CPR</t>
        </is>
      </c>
      <c r="D3596" s="13" t="n">
        <v>32</v>
      </c>
      <c r="E3596" s="10">
        <f>IF(D3596&gt;0,VLOOKUP(OPERAC[[#This Row],[COD CART]],[1]!MatrizCortoLargoCyl[#All],3,0),"")</f>
        <v/>
      </c>
      <c r="F3596" s="13" t="inlineStr">
        <is>
          <t>HMY/CYL/4,00/18-02-22</t>
        </is>
      </c>
      <c r="G3596" s="6" t="n">
        <v>200</v>
      </c>
      <c r="H3596" s="6" t="n">
        <v>-774.9359920000001</v>
      </c>
      <c r="I3596" s="7">
        <f>-H3596/G3596</f>
        <v/>
      </c>
      <c r="J3596" s="11" t="n">
        <v>44610</v>
      </c>
      <c r="K3596" s="6">
        <f>+OPERAC[[#This Row],[cantidad]]</f>
        <v/>
      </c>
      <c r="L3596" s="6">
        <f>+OPERAC[[#This Row],[cantidad venta]]*3.8323</f>
        <v/>
      </c>
      <c r="M3596" s="7">
        <f>IF(N3596=0,+L3596+H3596,0)</f>
        <v/>
      </c>
      <c r="N3596" s="7">
        <f>IF((+G3596-K3596)=0,0,+G3596-K3596)</f>
        <v/>
      </c>
      <c r="O3596" s="7">
        <f>IF(N3596=0,0,(L3596+H3596)/-N3596)</f>
        <v/>
      </c>
      <c r="P3596" s="7">
        <f>VLOOKUP(OPERAC[[#This Row],[especie]],[1]!ESPECIES[#All],6,0)</f>
        <v/>
      </c>
      <c r="Q3596" s="7">
        <f>IF(N3596&lt;&gt;0,P3596*N3596,0)</f>
        <v/>
      </c>
      <c r="R3596" s="8">
        <f>IF(Q3596&lt;&gt;0,Q3596+H3596+L3596,0)</f>
        <v/>
      </c>
      <c r="S3596" s="9">
        <f>VLOOKUP(OPERAC[[#This Row],[especie]],[1]!ESPECIES[#Data],9,FALSE)</f>
        <v/>
      </c>
    </row>
    <row r="3597">
      <c r="A3597" s="4" t="n">
        <v>26140</v>
      </c>
      <c r="B3597" s="5" t="n">
        <v>44581</v>
      </c>
      <c r="C3597" s="13" t="inlineStr">
        <is>
          <t>CPR</t>
        </is>
      </c>
      <c r="D3597" s="13" t="n">
        <v>32</v>
      </c>
      <c r="E3597" s="10">
        <f>IF(D3597&gt;0,VLOOKUP(OPERAC[[#This Row],[COD CART]],[1]!MatrizCortoLargoCyl[#All],3,0),"")</f>
        <v/>
      </c>
      <c r="F3597" s="13" t="inlineStr">
        <is>
          <t>HMY/CYL/4,00/18-02-22</t>
        </is>
      </c>
      <c r="G3597" s="6" t="n">
        <v>200</v>
      </c>
      <c r="H3597" s="6" t="n">
        <v>-774.9359920000001</v>
      </c>
      <c r="I3597" s="7">
        <f>-H3597/G3597</f>
        <v/>
      </c>
      <c r="J3597" s="11" t="n">
        <v>44610</v>
      </c>
      <c r="K3597" s="6">
        <f>+OPERAC[[#This Row],[cantidad]]</f>
        <v/>
      </c>
      <c r="L3597" s="6">
        <f>+OPERAC[[#This Row],[cantidad venta]]*3.8323</f>
        <v/>
      </c>
      <c r="M3597" s="7">
        <f>IF(N3597=0,+L3597+H3597,0)</f>
        <v/>
      </c>
      <c r="N3597" s="7">
        <f>IF((+G3597-K3597)=0,0,+G3597-K3597)</f>
        <v/>
      </c>
      <c r="O3597" s="7">
        <f>IF(N3597=0,0,(L3597+H3597)/-N3597)</f>
        <v/>
      </c>
      <c r="P3597" s="7">
        <f>VLOOKUP(OPERAC[[#This Row],[especie]],[1]!ESPECIES[#All],6,0)</f>
        <v/>
      </c>
      <c r="Q3597" s="7">
        <f>IF(N3597&lt;&gt;0,P3597*N3597,0)</f>
        <v/>
      </c>
      <c r="R3597" s="8">
        <f>IF(Q3597&lt;&gt;0,Q3597+H3597+L3597,0)</f>
        <v/>
      </c>
      <c r="S3597" s="9">
        <f>VLOOKUP(OPERAC[[#This Row],[especie]],[1]!ESPECIES[#Data],9,FALSE)</f>
        <v/>
      </c>
    </row>
    <row r="3598">
      <c r="A3598" s="4" t="n">
        <v>19972</v>
      </c>
      <c r="B3598" s="5" t="n">
        <v>44581</v>
      </c>
      <c r="C3598" s="13" t="inlineStr">
        <is>
          <t>CPR</t>
        </is>
      </c>
      <c r="D3598" s="13" t="n">
        <v>32</v>
      </c>
      <c r="E3598" s="10">
        <f>IF(D3598&gt;0,VLOOKUP(OPERAC[[#This Row],[COD CART]],[1]!MatrizCortoLargoCyl[#All],3,0),"")</f>
        <v/>
      </c>
      <c r="F3598" s="13" t="inlineStr">
        <is>
          <t>HMY/CYL/4,00/18-02-22</t>
        </is>
      </c>
      <c r="G3598" s="6" t="n">
        <v>200</v>
      </c>
      <c r="H3598" s="6" t="n">
        <v>-774.9400000000001</v>
      </c>
      <c r="I3598" s="7">
        <f>-H3598/G3598</f>
        <v/>
      </c>
      <c r="J3598" s="11" t="n">
        <v>44610</v>
      </c>
      <c r="K3598" s="6">
        <f>+OPERAC[[#This Row],[cantidad]]</f>
        <v/>
      </c>
      <c r="L3598" s="6">
        <f>+OPERAC[[#This Row],[cantidad venta]]*3.8323</f>
        <v/>
      </c>
      <c r="M3598" s="7">
        <f>IF(N3598=0,+L3598+H3598,0)</f>
        <v/>
      </c>
      <c r="N3598" s="7">
        <f>IF((+G3598-K3598)=0,0,+G3598-K3598)</f>
        <v/>
      </c>
      <c r="O3598" s="7">
        <f>IF(N3598=0,0,(L3598+H3598)/-N3598)</f>
        <v/>
      </c>
      <c r="P3598" s="7">
        <f>VLOOKUP(OPERAC[[#This Row],[especie]],[1]!ESPECIES[#All],6,0)</f>
        <v/>
      </c>
      <c r="Q3598" s="7">
        <f>IF(N3598&lt;&gt;0,P3598*N3598,0)</f>
        <v/>
      </c>
      <c r="R3598" s="8">
        <f>IF(Q3598&lt;&gt;0,Q3598+H3598+L3598,0)</f>
        <v/>
      </c>
      <c r="S3598" s="9">
        <f>VLOOKUP(OPERAC[[#This Row],[especie]],[1]!ESPECIES[#Data],9,FALSE)</f>
        <v/>
      </c>
    </row>
    <row r="3599">
      <c r="A3599" s="4" t="n">
        <v>18662</v>
      </c>
      <c r="B3599" s="5" t="n">
        <v>44713</v>
      </c>
      <c r="C3599" s="13" t="inlineStr">
        <is>
          <t>CPR</t>
        </is>
      </c>
      <c r="D3599" s="13" t="n">
        <v>40</v>
      </c>
      <c r="E3599" s="10">
        <f>IF(D3599&gt;0,VLOOKUP(OPERAC[[#This Row],[COD CART]],[1]!MatrizCortoLargoCyl[#All],3,0),"")</f>
        <v/>
      </c>
      <c r="F3599" s="13" t="inlineStr">
        <is>
          <t>MELI</t>
        </is>
      </c>
      <c r="G3599" s="6" t="n">
        <v>1</v>
      </c>
      <c r="H3599" s="6" t="n">
        <v>-779.104</v>
      </c>
      <c r="I3599" s="7">
        <f>-H3599/G3599</f>
        <v/>
      </c>
      <c r="J3599" s="5" t="n"/>
      <c r="K3599" s="6" t="n"/>
      <c r="L3599" s="6" t="n"/>
      <c r="M3599" s="7">
        <f>IF(N3599=0,+L3599+H3599,0)</f>
        <v/>
      </c>
      <c r="N3599" s="7">
        <f>IF((+G3599-K3599)=0,0,+G3599-K3599)</f>
        <v/>
      </c>
      <c r="O3599" s="7">
        <f>IF(N3599=0,0,(L3599+H3599)/-N3599)</f>
        <v/>
      </c>
      <c r="P3599" s="7">
        <f>VLOOKUP(OPERAC[[#This Row],[especie]],[1]!ESPECIES[#All],6,0)</f>
        <v/>
      </c>
      <c r="Q3599" s="7">
        <f>IF(N3599&lt;&gt;0,P3599*N3599,0)</f>
        <v/>
      </c>
      <c r="R3599" s="8">
        <f>IF(Q3599&lt;&gt;0,Q3599+H3599+L3599,0)</f>
        <v/>
      </c>
      <c r="S3599" s="9">
        <f>VLOOKUP(OPERAC[[#This Row],[especie]],[1]!ESPECIES[#Data],9,FALSE)</f>
        <v/>
      </c>
    </row>
    <row r="3600">
      <c r="A3600" s="4" t="n">
        <v>20317</v>
      </c>
      <c r="B3600" s="5" t="n">
        <v>44601</v>
      </c>
      <c r="C3600" s="13" t="inlineStr">
        <is>
          <t>CPR</t>
        </is>
      </c>
      <c r="D3600" s="13" t="n">
        <v>43</v>
      </c>
      <c r="E3600" s="10">
        <f>IF(D3600&gt;0,VLOOKUP(OPERAC[[#This Row],[COD CART]],[1]!MatrizCortoLargoCyl[#All],3,0),"")</f>
        <v/>
      </c>
      <c r="F3600" s="13" t="inlineStr">
        <is>
          <t>GMBL/CYL-PUT/2,50/20-01-23</t>
        </is>
      </c>
      <c r="G3600" s="6" t="n">
        <v>600</v>
      </c>
      <c r="H3600" s="6">
        <f>-1.3*OPERAC[[#This Row],[cantidad]]</f>
        <v/>
      </c>
      <c r="I3600" s="7">
        <f>-H3600/G3600</f>
        <v/>
      </c>
      <c r="J3600" s="11" t="n">
        <v>44636</v>
      </c>
      <c r="K3600" s="6" t="n">
        <v>600</v>
      </c>
      <c r="L3600" s="6">
        <f>-1.36*OPERAC[[#This Row],[cantidad venta]]</f>
        <v/>
      </c>
      <c r="M3600" s="7">
        <f>IF(N3600=0,+L3600+H3600,0)</f>
        <v/>
      </c>
      <c r="N3600" s="7">
        <f>IF((+G3600-K3600)=0,0,+G3600-K3600)</f>
        <v/>
      </c>
      <c r="O3600" s="7">
        <f>IF(N3600=0,0,(L3600+H3600)/-N3600)</f>
        <v/>
      </c>
      <c r="P3600" s="7">
        <f>VLOOKUP(OPERAC[[#This Row],[especie]],[1]!ESPECIES[#All],6,0)</f>
        <v/>
      </c>
      <c r="Q3600" s="7">
        <f>IF(N3600&lt;&gt;0,P3600*N3600,0)</f>
        <v/>
      </c>
      <c r="R3600" s="8">
        <f>IF(Q3600&lt;&gt;0,Q3600+H3600+L3600,0)</f>
        <v/>
      </c>
      <c r="S3600" s="9">
        <f>VLOOKUP(OPERAC[[#This Row],[especie]],[1]!ESPECIES[#Data],9,FALSE)</f>
        <v/>
      </c>
    </row>
    <row r="3601">
      <c r="A3601" s="4" t="n">
        <v>16776</v>
      </c>
      <c r="B3601" s="5" t="n">
        <v>44630</v>
      </c>
      <c r="C3601" s="13" t="inlineStr">
        <is>
          <t>CPR</t>
        </is>
      </c>
      <c r="D3601" s="13" t="n">
        <v>32</v>
      </c>
      <c r="E3601" s="10">
        <f>IF(D3601&gt;0,VLOOKUP(OPERAC[[#This Row],[COD CART]],[1]!MatrizCortoLargoCyl[#All],3,0),"")</f>
        <v/>
      </c>
      <c r="F3601" s="13" t="inlineStr">
        <is>
          <t>COTY/CYL/9,00/14-04-22</t>
        </is>
      </c>
      <c r="G3601" s="6" t="n">
        <v>100</v>
      </c>
      <c r="H3601" s="6" t="n">
        <v>-780.694</v>
      </c>
      <c r="I3601" s="7">
        <f>-H3601/G3601</f>
        <v/>
      </c>
      <c r="J3601" s="11" t="n">
        <v>44649</v>
      </c>
      <c r="K3601" s="6" t="n">
        <v>100</v>
      </c>
      <c r="L3601" s="6" t="n">
        <v>875.28</v>
      </c>
      <c r="M3601" s="7">
        <f>IF(N3601=0,+L3601+H3601,0)</f>
        <v/>
      </c>
      <c r="N3601" s="7">
        <f>IF((+G3601-K3601)=0,0,+G3601-K3601)</f>
        <v/>
      </c>
      <c r="O3601" s="7">
        <f>IF(N3601=0,0,(L3601+H3601)/-N3601)</f>
        <v/>
      </c>
      <c r="P3601" s="7">
        <f>VLOOKUP(OPERAC[[#This Row],[especie]],[1]!ESPECIES[#All],6,0)</f>
        <v/>
      </c>
      <c r="Q3601" s="7">
        <f>IF(N3601&lt;&gt;0,P3601*N3601,0)</f>
        <v/>
      </c>
      <c r="R3601" s="8">
        <f>IF(Q3601&lt;&gt;0,Q3601+H3601+L3601,0)</f>
        <v/>
      </c>
      <c r="S3601" s="9">
        <f>VLOOKUP(OPERAC[[#This Row],[especie]],[1]!ESPECIES[#Data],9,FALSE)</f>
        <v/>
      </c>
    </row>
    <row r="3602">
      <c r="A3602" s="4" t="n">
        <v>1792</v>
      </c>
      <c r="B3602" s="5" t="n">
        <v>44582</v>
      </c>
      <c r="C3602" s="13" t="inlineStr">
        <is>
          <t>CPR</t>
        </is>
      </c>
      <c r="D3602" s="13" t="n">
        <v>40</v>
      </c>
      <c r="E3602" s="10">
        <f>IF(D3602&gt;0,VLOOKUP(OPERAC[[#This Row],[COD CART]],[1]!MatrizCortoLargoCyl[#All],3,0),"")</f>
        <v/>
      </c>
      <c r="F3602" s="13" t="inlineStr">
        <is>
          <t>NFLX</t>
        </is>
      </c>
      <c r="G3602" s="6" t="n">
        <v>2</v>
      </c>
      <c r="H3602" s="6" t="n">
        <v>-781.2742000000001</v>
      </c>
      <c r="I3602" s="7">
        <f>-H3602/G3602</f>
        <v/>
      </c>
      <c r="J3602" s="11" t="n">
        <v>44593</v>
      </c>
      <c r="K3602" s="6">
        <f>+OPERAC[[#This Row],[cantidad]]</f>
        <v/>
      </c>
      <c r="L3602" s="6">
        <f>+OPERAC[[#This Row],[cantidad venta]]*448.602</f>
        <v/>
      </c>
      <c r="M3602" s="7">
        <f>IF(N3602=0,+L3602+H3602,0)</f>
        <v/>
      </c>
      <c r="N3602" s="7">
        <f>IF((+G3602-K3602)=0,0,+G3602-K3602)</f>
        <v/>
      </c>
      <c r="O3602" s="7">
        <f>IF(N3602=0,0,(L3602+H3602)/-N3602)</f>
        <v/>
      </c>
      <c r="P3602" s="7">
        <f>VLOOKUP(OPERAC[[#This Row],[especie]],[1]!ESPECIES[#All],6,0)</f>
        <v/>
      </c>
      <c r="Q3602" s="7">
        <f>IF(N3602&lt;&gt;0,P3602*N3602,0)</f>
        <v/>
      </c>
      <c r="R3602" s="8">
        <f>IF(Q3602&lt;&gt;0,Q3602+H3602+L3602,0)</f>
        <v/>
      </c>
      <c r="S3602" s="9">
        <f>VLOOKUP(OPERAC[[#This Row],[especie]],[1]!ESPECIES[#Data],9,FALSE)</f>
        <v/>
      </c>
    </row>
    <row r="3603">
      <c r="A3603" s="4" t="n">
        <v>1800</v>
      </c>
      <c r="B3603" s="5" t="n">
        <v>44582</v>
      </c>
      <c r="C3603" s="13" t="inlineStr">
        <is>
          <t>CPR</t>
        </is>
      </c>
      <c r="D3603" s="13" t="n">
        <v>40</v>
      </c>
      <c r="E3603" s="10">
        <f>IF(D3603&gt;0,VLOOKUP(OPERAC[[#This Row],[COD CART]],[1]!MatrizCortoLargoCyl[#All],3,0),"")</f>
        <v/>
      </c>
      <c r="F3603" s="13" t="inlineStr">
        <is>
          <t>NFLX</t>
        </is>
      </c>
      <c r="G3603" s="6" t="n">
        <v>2</v>
      </c>
      <c r="H3603" s="6" t="n">
        <v>-781.2742000000001</v>
      </c>
      <c r="I3603" s="7">
        <f>-H3603/G3603</f>
        <v/>
      </c>
      <c r="J3603" s="11" t="n">
        <v>44593</v>
      </c>
      <c r="K3603" s="6">
        <f>+OPERAC[[#This Row],[cantidad]]</f>
        <v/>
      </c>
      <c r="L3603" s="6">
        <f>+OPERAC[[#This Row],[cantidad venta]]*448.602</f>
        <v/>
      </c>
      <c r="M3603" s="7">
        <f>IF(N3603=0,+L3603+H3603,0)</f>
        <v/>
      </c>
      <c r="N3603" s="7">
        <f>IF((+G3603-K3603)=0,0,+G3603-K3603)</f>
        <v/>
      </c>
      <c r="O3603" s="7">
        <f>IF(N3603=0,0,(L3603+H3603)/-N3603)</f>
        <v/>
      </c>
      <c r="P3603" s="7">
        <f>VLOOKUP(OPERAC[[#This Row],[especie]],[1]!ESPECIES[#All],6,0)</f>
        <v/>
      </c>
      <c r="Q3603" s="7">
        <f>IF(N3603&lt;&gt;0,P3603*N3603,0)</f>
        <v/>
      </c>
      <c r="R3603" s="8">
        <f>IF(Q3603&lt;&gt;0,Q3603+H3603+L3603,0)</f>
        <v/>
      </c>
      <c r="S3603" s="9">
        <f>VLOOKUP(OPERAC[[#This Row],[especie]],[1]!ESPECIES[#Data],9,FALSE)</f>
        <v/>
      </c>
    </row>
    <row r="3604">
      <c r="A3604" s="4" t="n">
        <v>2203</v>
      </c>
      <c r="B3604" s="5" t="n">
        <v>44582</v>
      </c>
      <c r="C3604" s="13" t="inlineStr">
        <is>
          <t>CPR</t>
        </is>
      </c>
      <c r="D3604" s="13" t="n">
        <v>40</v>
      </c>
      <c r="E3604" s="10">
        <f>IF(D3604&gt;0,VLOOKUP(OPERAC[[#This Row],[COD CART]],[1]!MatrizCortoLargoCyl[#All],3,0),"")</f>
        <v/>
      </c>
      <c r="F3604" s="13" t="inlineStr">
        <is>
          <t>NFLX</t>
        </is>
      </c>
      <c r="G3604" s="6" t="n">
        <v>2</v>
      </c>
      <c r="H3604" s="6" t="n">
        <v>-781.2742000000001</v>
      </c>
      <c r="I3604" s="7">
        <f>-H3604/G3604</f>
        <v/>
      </c>
      <c r="J3604" s="11" t="n">
        <v>44593</v>
      </c>
      <c r="K3604" s="6">
        <f>+OPERAC[[#This Row],[cantidad]]</f>
        <v/>
      </c>
      <c r="L3604" s="6">
        <f>+OPERAC[[#This Row],[cantidad venta]]*448.602</f>
        <v/>
      </c>
      <c r="M3604" s="7">
        <f>IF(N3604=0,+L3604+H3604,0)</f>
        <v/>
      </c>
      <c r="N3604" s="7">
        <f>IF((+G3604-K3604)=0,0,+G3604-K3604)</f>
        <v/>
      </c>
      <c r="O3604" s="7">
        <f>IF(N3604=0,0,(L3604+H3604)/-N3604)</f>
        <v/>
      </c>
      <c r="P3604" s="7">
        <f>VLOOKUP(OPERAC[[#This Row],[especie]],[1]!ESPECIES[#All],6,0)</f>
        <v/>
      </c>
      <c r="Q3604" s="7">
        <f>IF(N3604&lt;&gt;0,P3604*N3604,0)</f>
        <v/>
      </c>
      <c r="R3604" s="8">
        <f>IF(Q3604&lt;&gt;0,Q3604+H3604+L3604,0)</f>
        <v/>
      </c>
      <c r="S3604" s="9">
        <f>VLOOKUP(OPERAC[[#This Row],[especie]],[1]!ESPECIES[#Data],9,FALSE)</f>
        <v/>
      </c>
    </row>
    <row r="3605">
      <c r="A3605" s="4" t="n">
        <v>2253</v>
      </c>
      <c r="B3605" s="5" t="n">
        <v>44582</v>
      </c>
      <c r="C3605" s="13" t="inlineStr">
        <is>
          <t>CPR</t>
        </is>
      </c>
      <c r="D3605" s="13" t="n">
        <v>40</v>
      </c>
      <c r="E3605" s="10">
        <f>IF(D3605&gt;0,VLOOKUP(OPERAC[[#This Row],[COD CART]],[1]!MatrizCortoLargoCyl[#All],3,0),"")</f>
        <v/>
      </c>
      <c r="F3605" s="13" t="inlineStr">
        <is>
          <t>NFLX</t>
        </is>
      </c>
      <c r="G3605" s="6" t="n">
        <v>2</v>
      </c>
      <c r="H3605" s="6" t="n">
        <v>-781.2742000000001</v>
      </c>
      <c r="I3605" s="7">
        <f>-H3605/G3605</f>
        <v/>
      </c>
      <c r="J3605" s="11" t="n">
        <v>44586</v>
      </c>
      <c r="K3605" s="6" t="n">
        <v>2</v>
      </c>
      <c r="L3605" s="6" t="n">
        <v>740.044</v>
      </c>
      <c r="M3605" s="7">
        <f>IF(N3605=0,+L3605+H3605,0)</f>
        <v/>
      </c>
      <c r="N3605" s="7">
        <f>IF((+G3605-K3605)=0,0,+G3605-K3605)</f>
        <v/>
      </c>
      <c r="O3605" s="7">
        <f>IF(N3605=0,0,(L3605+H3605)/-N3605)</f>
        <v/>
      </c>
      <c r="P3605" s="7">
        <f>VLOOKUP(OPERAC[[#This Row],[especie]],[1]!ESPECIES[#All],6,0)</f>
        <v/>
      </c>
      <c r="Q3605" s="7">
        <f>IF(N3605&lt;&gt;0,P3605*N3605,0)</f>
        <v/>
      </c>
      <c r="R3605" s="8">
        <f>IF(Q3605&lt;&gt;0,Q3605+H3605+L3605,0)</f>
        <v/>
      </c>
      <c r="S3605" s="9">
        <f>VLOOKUP(OPERAC[[#This Row],[especie]],[1]!ESPECIES[#Data],9,FALSE)</f>
        <v/>
      </c>
    </row>
    <row r="3606">
      <c r="A3606" s="4" t="n">
        <v>4561</v>
      </c>
      <c r="B3606" s="5" t="n">
        <v>44582</v>
      </c>
      <c r="C3606" s="13" t="inlineStr">
        <is>
          <t>CPR</t>
        </is>
      </c>
      <c r="D3606" s="13" t="n">
        <v>40</v>
      </c>
      <c r="E3606" s="10">
        <f>IF(D3606&gt;0,VLOOKUP(OPERAC[[#This Row],[COD CART]],[1]!MatrizCortoLargoCyl[#All],3,0),"")</f>
        <v/>
      </c>
      <c r="F3606" s="13" t="inlineStr">
        <is>
          <t>NFLX</t>
        </is>
      </c>
      <c r="G3606" s="6" t="n">
        <v>2</v>
      </c>
      <c r="H3606" s="6" t="n">
        <v>-781.2742000000001</v>
      </c>
      <c r="I3606" s="7">
        <f>-H3606/G3606</f>
        <v/>
      </c>
      <c r="J3606" s="11" t="n">
        <v>44593</v>
      </c>
      <c r="K3606" s="6">
        <f>+OPERAC[[#This Row],[cantidad]]</f>
        <v/>
      </c>
      <c r="L3606" s="6">
        <f>+OPERAC[[#This Row],[cantidad venta]]*448.602</f>
        <v/>
      </c>
      <c r="M3606" s="7">
        <f>IF(N3606=0,+L3606+H3606,0)</f>
        <v/>
      </c>
      <c r="N3606" s="7">
        <f>IF((+G3606-K3606)=0,0,+G3606-K3606)</f>
        <v/>
      </c>
      <c r="O3606" s="7">
        <f>IF(N3606=0,0,(L3606+H3606)/-N3606)</f>
        <v/>
      </c>
      <c r="P3606" s="7">
        <f>VLOOKUP(OPERAC[[#This Row],[especie]],[1]!ESPECIES[#All],6,0)</f>
        <v/>
      </c>
      <c r="Q3606" s="7">
        <f>IF(N3606&lt;&gt;0,P3606*N3606,0)</f>
        <v/>
      </c>
      <c r="R3606" s="8">
        <f>IF(Q3606&lt;&gt;0,Q3606+H3606+L3606,0)</f>
        <v/>
      </c>
      <c r="S3606" s="9">
        <f>VLOOKUP(OPERAC[[#This Row],[especie]],[1]!ESPECIES[#Data],9,FALSE)</f>
        <v/>
      </c>
    </row>
    <row r="3607">
      <c r="A3607" s="4" t="n">
        <v>7493</v>
      </c>
      <c r="B3607" s="5" t="n">
        <v>44582</v>
      </c>
      <c r="C3607" s="13" t="inlineStr">
        <is>
          <t>CPR</t>
        </is>
      </c>
      <c r="D3607" s="13" t="n">
        <v>40</v>
      </c>
      <c r="E3607" s="10">
        <f>IF(D3607&gt;0,VLOOKUP(OPERAC[[#This Row],[COD CART]],[1]!MatrizCortoLargoCyl[#All],3,0),"")</f>
        <v/>
      </c>
      <c r="F3607" s="13" t="inlineStr">
        <is>
          <t>NFLX</t>
        </is>
      </c>
      <c r="G3607" s="6" t="n">
        <v>2</v>
      </c>
      <c r="H3607" s="6" t="n">
        <v>-781.2742000000001</v>
      </c>
      <c r="I3607" s="7">
        <f>-H3607/G3607</f>
        <v/>
      </c>
      <c r="J3607" s="11" t="n">
        <v>44593</v>
      </c>
      <c r="K3607" s="6">
        <f>+OPERAC[[#This Row],[cantidad]]</f>
        <v/>
      </c>
      <c r="L3607" s="6">
        <f>+OPERAC[[#This Row],[cantidad venta]]*448.602</f>
        <v/>
      </c>
      <c r="M3607" s="7">
        <f>IF(N3607=0,+L3607+H3607,0)</f>
        <v/>
      </c>
      <c r="N3607" s="7">
        <f>IF((+G3607-K3607)=0,0,+G3607-K3607)</f>
        <v/>
      </c>
      <c r="O3607" s="7">
        <f>IF(N3607=0,0,(L3607+H3607)/-N3607)</f>
        <v/>
      </c>
      <c r="P3607" s="7">
        <f>VLOOKUP(OPERAC[[#This Row],[especie]],[1]!ESPECIES[#All],6,0)</f>
        <v/>
      </c>
      <c r="Q3607" s="7">
        <f>IF(N3607&lt;&gt;0,P3607*N3607,0)</f>
        <v/>
      </c>
      <c r="R3607" s="8">
        <f>IF(Q3607&lt;&gt;0,Q3607+H3607+L3607,0)</f>
        <v/>
      </c>
      <c r="S3607" s="9">
        <f>VLOOKUP(OPERAC[[#This Row],[especie]],[1]!ESPECIES[#Data],9,FALSE)</f>
        <v/>
      </c>
    </row>
    <row r="3608">
      <c r="A3608" s="4" t="n">
        <v>7919</v>
      </c>
      <c r="B3608" s="5" t="n">
        <v>44582</v>
      </c>
      <c r="C3608" s="13" t="inlineStr">
        <is>
          <t>CPR</t>
        </is>
      </c>
      <c r="D3608" s="13" t="n">
        <v>40</v>
      </c>
      <c r="E3608" s="10">
        <f>IF(D3608&gt;0,VLOOKUP(OPERAC[[#This Row],[COD CART]],[1]!MatrizCortoLargoCyl[#All],3,0),"")</f>
        <v/>
      </c>
      <c r="F3608" s="13" t="inlineStr">
        <is>
          <t>NFLX</t>
        </is>
      </c>
      <c r="G3608" s="6" t="n">
        <v>2</v>
      </c>
      <c r="H3608" s="6" t="n">
        <v>-781.2742000000001</v>
      </c>
      <c r="I3608" s="7">
        <f>-H3608/G3608</f>
        <v/>
      </c>
      <c r="J3608" s="11" t="n">
        <v>44593</v>
      </c>
      <c r="K3608" s="6">
        <f>+OPERAC[[#This Row],[cantidad]]</f>
        <v/>
      </c>
      <c r="L3608" s="6">
        <f>+OPERAC[[#This Row],[cantidad venta]]*448.602</f>
        <v/>
      </c>
      <c r="M3608" s="7">
        <f>IF(N3608=0,+L3608+H3608,0)</f>
        <v/>
      </c>
      <c r="N3608" s="7">
        <f>IF((+G3608-K3608)=0,0,+G3608-K3608)</f>
        <v/>
      </c>
      <c r="O3608" s="7">
        <f>IF(N3608=0,0,(L3608+H3608)/-N3608)</f>
        <v/>
      </c>
      <c r="P3608" s="7">
        <f>VLOOKUP(OPERAC[[#This Row],[especie]],[1]!ESPECIES[#All],6,0)</f>
        <v/>
      </c>
      <c r="Q3608" s="7">
        <f>IF(N3608&lt;&gt;0,P3608*N3608,0)</f>
        <v/>
      </c>
      <c r="R3608" s="8">
        <f>IF(Q3608&lt;&gt;0,Q3608+H3608+L3608,0)</f>
        <v/>
      </c>
      <c r="S3608" s="9">
        <f>VLOOKUP(OPERAC[[#This Row],[especie]],[1]!ESPECIES[#Data],9,FALSE)</f>
        <v/>
      </c>
    </row>
    <row r="3609">
      <c r="A3609" s="4" t="n">
        <v>11168</v>
      </c>
      <c r="B3609" s="5" t="n">
        <v>44582</v>
      </c>
      <c r="C3609" s="13" t="inlineStr">
        <is>
          <t>CPR</t>
        </is>
      </c>
      <c r="D3609" s="13" t="n">
        <v>40</v>
      </c>
      <c r="E3609" s="10">
        <f>IF(D3609&gt;0,VLOOKUP(OPERAC[[#This Row],[COD CART]],[1]!MatrizCortoLargoCyl[#All],3,0),"")</f>
        <v/>
      </c>
      <c r="F3609" s="13" t="inlineStr">
        <is>
          <t>NFLX</t>
        </is>
      </c>
      <c r="G3609" s="6" t="n">
        <v>2</v>
      </c>
      <c r="H3609" s="6" t="n">
        <v>-781.2742000000001</v>
      </c>
      <c r="I3609" s="7">
        <f>-H3609/G3609</f>
        <v/>
      </c>
      <c r="J3609" s="11" t="n">
        <v>44593</v>
      </c>
      <c r="K3609" s="6">
        <f>+OPERAC[[#This Row],[cantidad]]</f>
        <v/>
      </c>
      <c r="L3609" s="6">
        <f>+OPERAC[[#This Row],[cantidad venta]]*448.602</f>
        <v/>
      </c>
      <c r="M3609" s="7">
        <f>IF(N3609=0,+L3609+H3609,0)</f>
        <v/>
      </c>
      <c r="N3609" s="7">
        <f>IF((+G3609-K3609)=0,0,+G3609-K3609)</f>
        <v/>
      </c>
      <c r="O3609" s="7">
        <f>IF(N3609=0,0,(L3609+H3609)/-N3609)</f>
        <v/>
      </c>
      <c r="P3609" s="7">
        <f>VLOOKUP(OPERAC[[#This Row],[especie]],[1]!ESPECIES[#All],6,0)</f>
        <v/>
      </c>
      <c r="Q3609" s="7">
        <f>IF(N3609&lt;&gt;0,P3609*N3609,0)</f>
        <v/>
      </c>
      <c r="R3609" s="8">
        <f>IF(Q3609&lt;&gt;0,Q3609+H3609+L3609,0)</f>
        <v/>
      </c>
      <c r="S3609" s="9">
        <f>VLOOKUP(OPERAC[[#This Row],[especie]],[1]!ESPECIES[#Data],9,FALSE)</f>
        <v/>
      </c>
    </row>
    <row r="3610">
      <c r="A3610" s="4" t="n">
        <v>12619</v>
      </c>
      <c r="B3610" s="5" t="n">
        <v>44582</v>
      </c>
      <c r="C3610" s="13" t="inlineStr">
        <is>
          <t>CPR</t>
        </is>
      </c>
      <c r="D3610" s="13" t="n">
        <v>40</v>
      </c>
      <c r="E3610" s="10">
        <f>IF(D3610&gt;0,VLOOKUP(OPERAC[[#This Row],[COD CART]],[1]!MatrizCortoLargoCyl[#All],3,0),"")</f>
        <v/>
      </c>
      <c r="F3610" s="13" t="inlineStr">
        <is>
          <t>NFLX</t>
        </is>
      </c>
      <c r="G3610" s="6" t="n">
        <v>2</v>
      </c>
      <c r="H3610" s="6" t="n">
        <v>-781.2742000000001</v>
      </c>
      <c r="I3610" s="7">
        <f>-H3610/G3610</f>
        <v/>
      </c>
      <c r="J3610" s="11" t="n">
        <v>44593</v>
      </c>
      <c r="K3610" s="6">
        <f>+OPERAC[[#This Row],[cantidad]]</f>
        <v/>
      </c>
      <c r="L3610" s="6">
        <f>+OPERAC[[#This Row],[cantidad venta]]*448.602</f>
        <v/>
      </c>
      <c r="M3610" s="7">
        <f>IF(N3610=0,+L3610+H3610,0)</f>
        <v/>
      </c>
      <c r="N3610" s="7">
        <f>IF((+G3610-K3610)=0,0,+G3610-K3610)</f>
        <v/>
      </c>
      <c r="O3610" s="7">
        <f>IF(N3610=0,0,(L3610+H3610)/-N3610)</f>
        <v/>
      </c>
      <c r="P3610" s="7">
        <f>VLOOKUP(OPERAC[[#This Row],[especie]],[1]!ESPECIES[#All],6,0)</f>
        <v/>
      </c>
      <c r="Q3610" s="7">
        <f>IF(N3610&lt;&gt;0,P3610*N3610,0)</f>
        <v/>
      </c>
      <c r="R3610" s="8">
        <f>IF(Q3610&lt;&gt;0,Q3610+H3610+L3610,0)</f>
        <v/>
      </c>
      <c r="S3610" s="9">
        <f>VLOOKUP(OPERAC[[#This Row],[especie]],[1]!ESPECIES[#Data],9,FALSE)</f>
        <v/>
      </c>
    </row>
    <row r="3611">
      <c r="A3611" s="4" t="n">
        <v>12662</v>
      </c>
      <c r="B3611" s="5" t="n">
        <v>44582</v>
      </c>
      <c r="C3611" s="13" t="inlineStr">
        <is>
          <t>CPR</t>
        </is>
      </c>
      <c r="D3611" s="13" t="n">
        <v>40</v>
      </c>
      <c r="E3611" s="10">
        <f>IF(D3611&gt;0,VLOOKUP(OPERAC[[#This Row],[COD CART]],[1]!MatrizCortoLargoCyl[#All],3,0),"")</f>
        <v/>
      </c>
      <c r="F3611" s="13" t="inlineStr">
        <is>
          <t>NFLX</t>
        </is>
      </c>
      <c r="G3611" s="6" t="n">
        <v>2</v>
      </c>
      <c r="H3611" s="6" t="n">
        <v>-781.2742000000001</v>
      </c>
      <c r="I3611" s="7">
        <f>-H3611/G3611</f>
        <v/>
      </c>
      <c r="J3611" s="11" t="n">
        <v>44593</v>
      </c>
      <c r="K3611" s="6">
        <f>+OPERAC[[#This Row],[cantidad]]</f>
        <v/>
      </c>
      <c r="L3611" s="6">
        <f>+OPERAC[[#This Row],[cantidad venta]]*448.602</f>
        <v/>
      </c>
      <c r="M3611" s="7">
        <f>IF(N3611=0,+L3611+H3611,0)</f>
        <v/>
      </c>
      <c r="N3611" s="7">
        <f>IF((+G3611-K3611)=0,0,+G3611-K3611)</f>
        <v/>
      </c>
      <c r="O3611" s="7">
        <f>IF(N3611=0,0,(L3611+H3611)/-N3611)</f>
        <v/>
      </c>
      <c r="P3611" s="7">
        <f>VLOOKUP(OPERAC[[#This Row],[especie]],[1]!ESPECIES[#All],6,0)</f>
        <v/>
      </c>
      <c r="Q3611" s="7">
        <f>IF(N3611&lt;&gt;0,P3611*N3611,0)</f>
        <v/>
      </c>
      <c r="R3611" s="8">
        <f>IF(Q3611&lt;&gt;0,Q3611+H3611+L3611,0)</f>
        <v/>
      </c>
      <c r="S3611" s="9">
        <f>VLOOKUP(OPERAC[[#This Row],[especie]],[1]!ESPECIES[#Data],9,FALSE)</f>
        <v/>
      </c>
    </row>
    <row r="3612">
      <c r="A3612" s="4" t="n">
        <v>12672</v>
      </c>
      <c r="B3612" s="5" t="n">
        <v>44582</v>
      </c>
      <c r="C3612" s="13" t="inlineStr">
        <is>
          <t>CPR</t>
        </is>
      </c>
      <c r="D3612" s="13" t="n">
        <v>40</v>
      </c>
      <c r="E3612" s="10">
        <f>IF(D3612&gt;0,VLOOKUP(OPERAC[[#This Row],[COD CART]],[1]!MatrizCortoLargoCyl[#All],3,0),"")</f>
        <v/>
      </c>
      <c r="F3612" s="13" t="inlineStr">
        <is>
          <t>NFLX</t>
        </is>
      </c>
      <c r="G3612" s="6" t="n">
        <v>2</v>
      </c>
      <c r="H3612" s="6" t="n">
        <v>-781.2742000000001</v>
      </c>
      <c r="I3612" s="7">
        <f>-H3612/G3612</f>
        <v/>
      </c>
      <c r="J3612" s="11" t="n">
        <v>44593</v>
      </c>
      <c r="K3612" s="6">
        <f>+OPERAC[[#This Row],[cantidad]]</f>
        <v/>
      </c>
      <c r="L3612" s="6">
        <f>+OPERAC[[#This Row],[cantidad venta]]*448.602</f>
        <v/>
      </c>
      <c r="M3612" s="7">
        <f>IF(N3612=0,+L3612+H3612,0)</f>
        <v/>
      </c>
      <c r="N3612" s="7">
        <f>IF((+G3612-K3612)=0,0,+G3612-K3612)</f>
        <v/>
      </c>
      <c r="O3612" s="7">
        <f>IF(N3612=0,0,(L3612+H3612)/-N3612)</f>
        <v/>
      </c>
      <c r="P3612" s="7">
        <f>VLOOKUP(OPERAC[[#This Row],[especie]],[1]!ESPECIES[#All],6,0)</f>
        <v/>
      </c>
      <c r="Q3612" s="7">
        <f>IF(N3612&lt;&gt;0,P3612*N3612,0)</f>
        <v/>
      </c>
      <c r="R3612" s="8">
        <f>IF(Q3612&lt;&gt;0,Q3612+H3612+L3612,0)</f>
        <v/>
      </c>
      <c r="S3612" s="9">
        <f>VLOOKUP(OPERAC[[#This Row],[especie]],[1]!ESPECIES[#Data],9,FALSE)</f>
        <v/>
      </c>
    </row>
    <row r="3613">
      <c r="A3613" s="4" t="n">
        <v>22393</v>
      </c>
      <c r="B3613" s="5" t="n">
        <v>44634</v>
      </c>
      <c r="C3613" s="13" t="inlineStr">
        <is>
          <t>CPR</t>
        </is>
      </c>
      <c r="D3613" s="13" t="n">
        <v>31</v>
      </c>
      <c r="E3613" s="10">
        <f>IF(D3613&gt;0,VLOOKUP(OPERAC[[#This Row],[COD CART]],[1]!MatrizCortoLargoCyl[#All],3,0),"")</f>
        <v/>
      </c>
      <c r="F3613" s="13" t="inlineStr">
        <is>
          <t>CRESY</t>
        </is>
      </c>
      <c r="G3613" s="6" t="n">
        <v>100</v>
      </c>
      <c r="H3613" s="6" t="n">
        <v>-782.2</v>
      </c>
      <c r="I3613" s="7">
        <f>-H3613/G3613</f>
        <v/>
      </c>
      <c r="J3613" s="11" t="n">
        <v>44673</v>
      </c>
      <c r="K3613" s="6" t="n">
        <v>100</v>
      </c>
      <c r="L3613" s="6">
        <f>+OPERAC[[#This Row],[cantidad venta]]*8.588</f>
        <v/>
      </c>
      <c r="M3613" s="7">
        <f>IF(N3613=0,+L3613+H3613,0)</f>
        <v/>
      </c>
      <c r="N3613" s="7">
        <f>IF((+G3613-K3613)=0,0,+G3613-K3613)</f>
        <v/>
      </c>
      <c r="O3613" s="7">
        <f>IF(N3613=0,0,(L3613+H3613)/-N3613)</f>
        <v/>
      </c>
      <c r="P3613" s="7">
        <f>VLOOKUP(OPERAC[[#This Row],[especie]],[1]!ESPECIES[#All],6,0)</f>
        <v/>
      </c>
      <c r="Q3613" s="7">
        <f>IF(N3613&lt;&gt;0,P3613*N3613,0)</f>
        <v/>
      </c>
      <c r="R3613" s="8">
        <f>IF(Q3613&lt;&gt;0,Q3613+H3613+L3613,0)</f>
        <v/>
      </c>
      <c r="S3613" s="9">
        <f>VLOOKUP(OPERAC[[#This Row],[especie]],[1]!ESPECIES[#Data],9,FALSE)</f>
        <v/>
      </c>
    </row>
    <row r="3614">
      <c r="A3614" s="4" t="n">
        <v>15194</v>
      </c>
      <c r="B3614" s="5" t="n">
        <v>44630</v>
      </c>
      <c r="C3614" s="13" t="inlineStr">
        <is>
          <t>CPR</t>
        </is>
      </c>
      <c r="D3614" s="13" t="n">
        <v>32</v>
      </c>
      <c r="E3614" s="10">
        <f>IF(D3614&gt;0,VLOOKUP(OPERAC[[#This Row],[COD CART]],[1]!MatrizCortoLargoCyl[#All],3,0),"")</f>
        <v/>
      </c>
      <c r="F3614" s="13" t="inlineStr">
        <is>
          <t>COTY/CYL/9,00/14-04-22</t>
        </is>
      </c>
      <c r="G3614" s="6" t="n">
        <v>100</v>
      </c>
      <c r="H3614" s="6" t="n">
        <v>-784.138</v>
      </c>
      <c r="I3614" s="7">
        <f>-H3614/G3614</f>
        <v/>
      </c>
      <c r="J3614" s="11" t="n">
        <v>44649</v>
      </c>
      <c r="K3614" s="6" t="n">
        <v>100</v>
      </c>
      <c r="L3614" s="6" t="n">
        <v>875.28</v>
      </c>
      <c r="M3614" s="7">
        <f>IF(N3614=0,+L3614+H3614,0)</f>
        <v/>
      </c>
      <c r="N3614" s="7">
        <f>IF((+G3614-K3614)=0,0,+G3614-K3614)</f>
        <v/>
      </c>
      <c r="O3614" s="7">
        <f>IF(N3614=0,0,(L3614+H3614)/-N3614)</f>
        <v/>
      </c>
      <c r="P3614" s="7">
        <f>VLOOKUP(OPERAC[[#This Row],[especie]],[1]!ESPECIES[#All],6,0)</f>
        <v/>
      </c>
      <c r="Q3614" s="7">
        <f>IF(N3614&lt;&gt;0,P3614*N3614,0)</f>
        <v/>
      </c>
      <c r="R3614" s="8">
        <f>IF(Q3614&lt;&gt;0,Q3614+H3614+L3614,0)</f>
        <v/>
      </c>
      <c r="S3614" s="9">
        <f>VLOOKUP(OPERAC[[#This Row],[especie]],[1]!ESPECIES[#Data],9,FALSE)</f>
        <v/>
      </c>
    </row>
    <row r="3615">
      <c r="A3615" s="4" t="n">
        <v>18661</v>
      </c>
      <c r="B3615" s="5" t="n">
        <v>44582</v>
      </c>
      <c r="C3615" s="13" t="inlineStr">
        <is>
          <t>CPR</t>
        </is>
      </c>
      <c r="D3615" s="13" t="n">
        <v>40</v>
      </c>
      <c r="E3615" s="10">
        <f>IF(D3615&gt;0,VLOOKUP(OPERAC[[#This Row],[COD CART]],[1]!MatrizCortoLargoCyl[#All],3,0),"")</f>
        <v/>
      </c>
      <c r="F3615" s="13" t="inlineStr">
        <is>
          <t>NFLX</t>
        </is>
      </c>
      <c r="G3615" s="6" t="n">
        <v>2</v>
      </c>
      <c r="H3615" s="6" t="n">
        <v>-789.7966</v>
      </c>
      <c r="I3615" s="7">
        <f>-H3615/G3615</f>
        <v/>
      </c>
      <c r="J3615" s="11" t="n">
        <v>44593</v>
      </c>
      <c r="K3615" s="6">
        <f>+OPERAC[[#This Row],[cantidad]]</f>
        <v/>
      </c>
      <c r="L3615" s="6">
        <f>+OPERAC[[#This Row],[cantidad venta]]*448.602</f>
        <v/>
      </c>
      <c r="M3615" s="7">
        <f>IF(N3615=0,+L3615+H3615,0)</f>
        <v/>
      </c>
      <c r="N3615" s="7">
        <f>IF((+G3615-K3615)=0,0,+G3615-K3615)</f>
        <v/>
      </c>
      <c r="O3615" s="7">
        <f>IF(N3615=0,0,(L3615+H3615)/-N3615)</f>
        <v/>
      </c>
      <c r="P3615" s="7">
        <f>VLOOKUP(OPERAC[[#This Row],[especie]],[1]!ESPECIES[#All],6,0)</f>
        <v/>
      </c>
      <c r="Q3615" s="7">
        <f>IF(N3615&lt;&gt;0,P3615*N3615,0)</f>
        <v/>
      </c>
      <c r="R3615" s="8">
        <f>IF(Q3615&lt;&gt;0,Q3615+H3615+L3615,0)</f>
        <v/>
      </c>
      <c r="S3615" s="9">
        <f>VLOOKUP(OPERAC[[#This Row],[especie]],[1]!ESPECIES[#Data],9,FALSE)</f>
        <v/>
      </c>
    </row>
    <row r="3616">
      <c r="A3616" s="4" t="n">
        <v>4561</v>
      </c>
      <c r="B3616" s="5" t="n">
        <v>44608</v>
      </c>
      <c r="C3616" s="13" t="inlineStr">
        <is>
          <t>CPR</t>
        </is>
      </c>
      <c r="D3616" s="13" t="n">
        <v>40</v>
      </c>
      <c r="E3616" s="10">
        <f>IF(D3616&gt;0,VLOOKUP(OPERAC[[#This Row],[COD CART]],[1]!MatrizCortoLargoCyl[#All],3,0),"")</f>
        <v/>
      </c>
      <c r="F3616" s="13" t="inlineStr">
        <is>
          <t>NVDA</t>
        </is>
      </c>
      <c r="G3616" s="6" t="n">
        <v>3</v>
      </c>
      <c r="H3616" s="6" t="n">
        <v>-790.5419999999999</v>
      </c>
      <c r="I3616" s="7">
        <f>-H3616/G3616</f>
        <v/>
      </c>
      <c r="J3616" s="11" t="n">
        <v>44616</v>
      </c>
      <c r="K3616" s="6">
        <f>+OPERAC[[#This Row],[cantidad]]</f>
        <v/>
      </c>
      <c r="L3616" s="6">
        <f>+OPERAC[[#This Row],[cantidad venta]]*224.117</f>
        <v/>
      </c>
      <c r="M3616" s="7">
        <f>IF(N3616=0,+L3616+H3616,0)</f>
        <v/>
      </c>
      <c r="N3616" s="7">
        <f>IF((+G3616-K3616)=0,0,+G3616-K3616)</f>
        <v/>
      </c>
      <c r="O3616" s="7">
        <f>IF(N3616=0,0,(L3616+H3616)/-N3616)</f>
        <v/>
      </c>
      <c r="P3616" s="7">
        <f>VLOOKUP(OPERAC[[#This Row],[especie]],[1]!ESPECIES[#All],6,0)</f>
        <v/>
      </c>
      <c r="Q3616" s="7">
        <f>IF(N3616&lt;&gt;0,P3616*N3616,0)</f>
        <v/>
      </c>
      <c r="R3616" s="8">
        <f>IF(Q3616&lt;&gt;0,Q3616+H3616+L3616,0)</f>
        <v/>
      </c>
      <c r="S3616" s="9">
        <f>VLOOKUP(OPERAC[[#This Row],[especie]],[1]!ESPECIES[#Data],9,FALSE)</f>
        <v/>
      </c>
    </row>
    <row r="3617">
      <c r="A3617" s="4" t="n">
        <v>18690</v>
      </c>
      <c r="B3617" s="5" t="n">
        <v>44637</v>
      </c>
      <c r="C3617" s="13" t="inlineStr">
        <is>
          <t>CPR</t>
        </is>
      </c>
      <c r="D3617" s="13" t="n">
        <v>31</v>
      </c>
      <c r="E3617" s="10">
        <f>IF(D3617&gt;0,VLOOKUP(OPERAC[[#This Row],[COD CART]],[1]!MatrizCortoLargoCyl[#All],3,0),"")</f>
        <v/>
      </c>
      <c r="F3617" s="13" t="inlineStr">
        <is>
          <t>BMA</t>
        </is>
      </c>
      <c r="G3617" s="6" t="n">
        <v>50</v>
      </c>
      <c r="H3617" s="6" t="n">
        <v>-792.6831999999999</v>
      </c>
      <c r="I3617" s="7">
        <f>-H3617/G3617</f>
        <v/>
      </c>
      <c r="J3617" s="11" t="n"/>
      <c r="K3617" s="6" t="n"/>
      <c r="L3617" s="6" t="n"/>
      <c r="M3617" s="7">
        <f>IF(N3617=0,+L3617+H3617,0)</f>
        <v/>
      </c>
      <c r="N3617" s="7">
        <f>IF((+G3617-K3617)=0,0,+G3617-K3617)</f>
        <v/>
      </c>
      <c r="O3617" s="7">
        <f>IF(N3617=0,0,(L3617+H3617)/-N3617)</f>
        <v/>
      </c>
      <c r="P3617" s="7">
        <f>VLOOKUP(OPERAC[[#This Row],[especie]],[1]!ESPECIES[#All],6,0)</f>
        <v/>
      </c>
      <c r="Q3617" s="7">
        <f>IF(N3617&lt;&gt;0,P3617*N3617,0)</f>
        <v/>
      </c>
      <c r="R3617" s="8">
        <f>IF(Q3617&lt;&gt;0,Q3617+H3617+L3617,0)</f>
        <v/>
      </c>
      <c r="S3617" s="9">
        <f>VLOOKUP(OPERAC[[#This Row],[especie]],[1]!ESPECIES[#Data],9,FALSE)</f>
        <v/>
      </c>
    </row>
    <row r="3618">
      <c r="A3618" s="4" t="n">
        <v>1760</v>
      </c>
      <c r="B3618" s="5" t="n">
        <v>44657</v>
      </c>
      <c r="C3618" s="13" t="inlineStr">
        <is>
          <t>CPR</t>
        </is>
      </c>
      <c r="D3618" s="13" t="n">
        <v>41</v>
      </c>
      <c r="E3618" s="10">
        <f>IF(D3618&gt;0,VLOOKUP(OPERAC[[#This Row],[COD CART]],[1]!MatrizCortoLargoCyl[#All],3,0),"")</f>
        <v/>
      </c>
      <c r="F3618" s="13" t="inlineStr">
        <is>
          <t>CRESY</t>
        </is>
      </c>
      <c r="G3618" s="6" t="n">
        <v>100</v>
      </c>
      <c r="H3618" s="6" t="n">
        <v>-793.85</v>
      </c>
      <c r="I3618" s="7">
        <f>-H3618/G3618</f>
        <v/>
      </c>
      <c r="J3618" s="11" t="n"/>
      <c r="K3618" s="6" t="n"/>
      <c r="L3618" s="6" t="n"/>
      <c r="M3618" s="7">
        <f>IF(N3618=0,+L3618+H3618,0)</f>
        <v/>
      </c>
      <c r="N3618" s="7">
        <f>IF((+G3618-K3618)=0,0,+G3618-K3618)</f>
        <v/>
      </c>
      <c r="O3618" s="7">
        <f>IF(N3618=0,0,(L3618+H3618)/-N3618)</f>
        <v/>
      </c>
      <c r="P3618" s="7">
        <f>VLOOKUP(OPERAC[[#This Row],[especie]],[1]!ESPECIES[#All],6,0)</f>
        <v/>
      </c>
      <c r="Q3618" s="7">
        <f>IF(N3618&lt;&gt;0,P3618*N3618,0)</f>
        <v/>
      </c>
      <c r="R3618" s="8">
        <f>IF(Q3618&lt;&gt;0,Q3618+H3618+L3618,0)</f>
        <v/>
      </c>
      <c r="S3618" s="9">
        <f>VLOOKUP(OPERAC[[#This Row],[especie]],[1]!ESPECIES[#Data],9,FALSE)</f>
        <v/>
      </c>
    </row>
    <row r="3619">
      <c r="A3619" s="4" t="n">
        <v>2257</v>
      </c>
      <c r="B3619" s="5" t="n">
        <v>44680</v>
      </c>
      <c r="C3619" s="13" t="inlineStr">
        <is>
          <t>CPR</t>
        </is>
      </c>
      <c r="D3619" s="13" t="n">
        <v>42</v>
      </c>
      <c r="E3619" s="10">
        <f>IF(D3619&gt;0,VLOOKUP(OPERAC[[#This Row],[COD CART]],[1]!MatrizCortoLargoCyl[#All],3,0),"")</f>
        <v/>
      </c>
      <c r="F3619" s="14" t="inlineStr">
        <is>
          <t>XLP</t>
        </is>
      </c>
      <c r="G3619" s="6" t="n">
        <v>10</v>
      </c>
      <c r="H3619" s="6" t="n">
        <v>-794.345025</v>
      </c>
      <c r="I3619" s="7">
        <f>-H3619/G3619</f>
        <v/>
      </c>
      <c r="J3619" s="11" t="n">
        <v>44693</v>
      </c>
      <c r="K3619" s="6">
        <f>+OPERAC[[#This Row],[cantidad]]</f>
        <v/>
      </c>
      <c r="L3619" s="6">
        <f>+OPERAC[[#This Row],[cantidad venta]]*75.648</f>
        <v/>
      </c>
      <c r="M3619" s="7">
        <f>IF(N3619=0,+L3619+H3619,0)</f>
        <v/>
      </c>
      <c r="N3619" s="7">
        <f>IF((+G3619-K3619)=0,0,+G3619-K3619)</f>
        <v/>
      </c>
      <c r="O3619" s="7">
        <f>IF(N3619=0,0,(L3619+H3619)/-N3619)</f>
        <v/>
      </c>
      <c r="P3619" s="7">
        <f>VLOOKUP(OPERAC[[#This Row],[especie]],[1]!ESPECIES[#All],6,0)</f>
        <v/>
      </c>
      <c r="Q3619" s="7">
        <f>IF(N3619&lt;&gt;0,P3619*N3619,0)</f>
        <v/>
      </c>
      <c r="R3619" s="8">
        <f>IF(Q3619&lt;&gt;0,Q3619+H3619+L3619,0)</f>
        <v/>
      </c>
      <c r="S3619" s="9">
        <f>VLOOKUP(OPERAC[[#This Row],[especie]],[1]!ESPECIES[#Data],9,FALSE)</f>
        <v/>
      </c>
    </row>
    <row r="3620">
      <c r="A3620" s="4" t="n">
        <v>16795</v>
      </c>
      <c r="B3620" s="5" t="n">
        <v>44680</v>
      </c>
      <c r="C3620" s="13" t="inlineStr">
        <is>
          <t>CPR</t>
        </is>
      </c>
      <c r="D3620" s="13" t="n">
        <v>42</v>
      </c>
      <c r="E3620" s="10">
        <f>IF(D3620&gt;0,VLOOKUP(OPERAC[[#This Row],[COD CART]],[1]!MatrizCortoLargoCyl[#All],3,0),"")</f>
        <v/>
      </c>
      <c r="F3620" s="14" t="inlineStr">
        <is>
          <t>XLP</t>
        </is>
      </c>
      <c r="G3620" s="6" t="n">
        <v>10</v>
      </c>
      <c r="H3620" s="6" t="n">
        <v>-794.345025</v>
      </c>
      <c r="I3620" s="7">
        <f>-H3620/G3620</f>
        <v/>
      </c>
      <c r="J3620" s="11" t="n">
        <v>44693</v>
      </c>
      <c r="K3620" s="6">
        <f>+OPERAC[[#This Row],[cantidad]]</f>
        <v/>
      </c>
      <c r="L3620" s="6">
        <f>+OPERAC[[#This Row],[cantidad venta]]*74.848</f>
        <v/>
      </c>
      <c r="M3620" s="7">
        <f>IF(N3620=0,+L3620+H3620,0)</f>
        <v/>
      </c>
      <c r="N3620" s="7">
        <f>IF((+G3620-K3620)=0,0,+G3620-K3620)</f>
        <v/>
      </c>
      <c r="O3620" s="7">
        <f>IF(N3620=0,0,(L3620+H3620)/-N3620)</f>
        <v/>
      </c>
      <c r="P3620" s="7">
        <f>VLOOKUP(OPERAC[[#This Row],[especie]],[1]!ESPECIES[#All],6,0)</f>
        <v/>
      </c>
      <c r="Q3620" s="7">
        <f>IF(N3620&lt;&gt;0,P3620*N3620,0)</f>
        <v/>
      </c>
      <c r="R3620" s="8">
        <f>IF(Q3620&lt;&gt;0,Q3620+H3620+L3620,0)</f>
        <v/>
      </c>
      <c r="S3620" s="9">
        <f>VLOOKUP(OPERAC[[#This Row],[especie]],[1]!ESPECIES[#Data],9,FALSE)</f>
        <v/>
      </c>
    </row>
    <row r="3621">
      <c r="A3621" s="4" t="n">
        <v>22407</v>
      </c>
      <c r="B3621" s="5" t="n">
        <v>44120</v>
      </c>
      <c r="C3621" s="13" t="inlineStr">
        <is>
          <t>CPR</t>
        </is>
      </c>
      <c r="D3621" s="13" t="n">
        <v>31</v>
      </c>
      <c r="E3621" s="10">
        <f>IF(D3621&gt;0,VLOOKUP(OPERAC[[#This Row],[COD CART]],[1]!MatrizCortoLargoCyl[#All],3,0),"")</f>
        <v/>
      </c>
      <c r="F3621" s="13" t="inlineStr">
        <is>
          <t>GGAL</t>
        </is>
      </c>
      <c r="G3621" s="6" t="n">
        <v>100</v>
      </c>
      <c r="H3621" s="6" t="n">
        <v>-794.664</v>
      </c>
      <c r="I3621" s="7">
        <f>-H3621/G3621</f>
        <v/>
      </c>
      <c r="J3621" s="11" t="n"/>
      <c r="K3621" s="6" t="n"/>
      <c r="L3621" s="6" t="n"/>
      <c r="M3621" s="7">
        <f>IF(N3621=0,+L3621+H3621,0)</f>
        <v/>
      </c>
      <c r="N3621" s="7">
        <f>IF((+G3621-K3621)=0,0,+G3621-K3621)</f>
        <v/>
      </c>
      <c r="O3621" s="7">
        <f>IF(N3621=0,0,(L3621+H3621)/-N3621)</f>
        <v/>
      </c>
      <c r="P3621" s="7">
        <f>VLOOKUP(OPERAC[[#This Row],[especie]],[1]!ESPECIES[#All],6,0)</f>
        <v/>
      </c>
      <c r="Q3621" s="7">
        <f>IF(N3621&lt;&gt;0,P3621*N3621,0)</f>
        <v/>
      </c>
      <c r="R3621" s="8">
        <f>IF(Q3621&lt;&gt;0,Q3621+H3621+L3621,0)</f>
        <v/>
      </c>
      <c r="S3621" s="9">
        <f>VLOOKUP(OPERAC[[#This Row],[especie]],[1]!ESPECIES[#Data],9,FALSE)</f>
        <v/>
      </c>
    </row>
    <row r="3622">
      <c r="A3622" s="4" t="n">
        <v>3728</v>
      </c>
      <c r="B3622" s="5" t="n">
        <v>44523</v>
      </c>
      <c r="C3622" s="13" t="inlineStr">
        <is>
          <t>CPR</t>
        </is>
      </c>
      <c r="D3622" s="13" t="n">
        <v>32</v>
      </c>
      <c r="E3622" s="10">
        <f>IF(D3622&gt;0,VLOOKUP(OPERAC[[#This Row],[COD CART]],[1]!MatrizCortoLargoCyl[#All],3,0),"")</f>
        <v/>
      </c>
      <c r="F3622" s="13" t="inlineStr">
        <is>
          <t>GMBL</t>
        </is>
      </c>
      <c r="G3622" s="6" t="n">
        <v>200</v>
      </c>
      <c r="H3622" s="6">
        <f>-815.154+18.274</f>
        <v/>
      </c>
      <c r="I3622" s="7">
        <f>-H3622/G3622</f>
        <v/>
      </c>
      <c r="J3622" s="11" t="n">
        <v>44686</v>
      </c>
      <c r="K3622" s="6" t="n">
        <v>200</v>
      </c>
      <c r="L3622" s="6" t="n">
        <v>111.009</v>
      </c>
      <c r="M3622" s="7">
        <f>IF(N3622=0,+L3622+H3622,0)</f>
        <v/>
      </c>
      <c r="N3622" s="7">
        <f>IF((+G3622-K3622)=0,0,+G3622-K3622)</f>
        <v/>
      </c>
      <c r="O3622" s="7">
        <f>IF(N3622=0,0,(L3622+H3622)/-N3622)</f>
        <v/>
      </c>
      <c r="P3622" s="7">
        <f>VLOOKUP(OPERAC[[#This Row],[especie]],[1]!ESPECIES[#All],6,0)</f>
        <v/>
      </c>
      <c r="Q3622" s="7">
        <f>IF(N3622&lt;&gt;0,P3622*N3622,0)</f>
        <v/>
      </c>
      <c r="R3622" s="8">
        <f>IF(Q3622&lt;&gt;0,Q3622+H3622+L3622,0)</f>
        <v/>
      </c>
      <c r="S3622" s="9">
        <f>VLOOKUP(OPERAC[[#This Row],[especie]],[1]!ESPECIES[#Data],9,FALSE)</f>
        <v/>
      </c>
    </row>
    <row r="3623">
      <c r="A3623" s="4" t="n">
        <v>12655</v>
      </c>
      <c r="B3623" s="5" t="n">
        <v>44651</v>
      </c>
      <c r="C3623" s="13" t="inlineStr">
        <is>
          <t>CPR</t>
        </is>
      </c>
      <c r="D3623" s="13" t="n">
        <v>42</v>
      </c>
      <c r="E3623" s="10">
        <f>IF(D3623&gt;0,VLOOKUP(OPERAC[[#This Row],[COD CART]],[1]!MatrizCortoLargoCyl[#All],3,0),"")</f>
        <v/>
      </c>
      <c r="F3623" s="13" t="inlineStr">
        <is>
          <t>AMD</t>
        </is>
      </c>
      <c r="G3623" s="6" t="n">
        <v>7</v>
      </c>
      <c r="H3623" s="6" t="n">
        <v>-797.2924399999999</v>
      </c>
      <c r="I3623" s="7">
        <f>-H3623/G3623</f>
        <v/>
      </c>
      <c r="J3623" s="11" t="n">
        <v>44693</v>
      </c>
      <c r="K3623" s="6">
        <f>+OPERAC[[#This Row],[cantidad]]</f>
        <v/>
      </c>
      <c r="L3623" s="6">
        <f>+OPERAC[[#This Row],[cantidad venta]]*85.26</f>
        <v/>
      </c>
      <c r="M3623" s="7">
        <f>IF(N3623=0,+L3623+H3623,0)</f>
        <v/>
      </c>
      <c r="N3623" s="7">
        <f>IF((+G3623-K3623)=0,0,+G3623-K3623)</f>
        <v/>
      </c>
      <c r="O3623" s="7">
        <f>IF(N3623=0,0,(L3623+H3623)/-N3623)</f>
        <v/>
      </c>
      <c r="P3623" s="7">
        <f>VLOOKUP(OPERAC[[#This Row],[especie]],[1]!ESPECIES[#All],6,0)</f>
        <v/>
      </c>
      <c r="Q3623" s="7">
        <f>IF(N3623&lt;&gt;0,P3623*N3623,0)</f>
        <v/>
      </c>
      <c r="R3623" s="8">
        <f>IF(Q3623&lt;&gt;0,Q3623+H3623+L3623,0)</f>
        <v/>
      </c>
      <c r="S3623" s="9">
        <f>VLOOKUP(OPERAC[[#This Row],[especie]],[1]!ESPECIES[#Data],9,FALSE)</f>
        <v/>
      </c>
    </row>
    <row r="3624">
      <c r="A3624" s="4" t="n">
        <v>9195</v>
      </c>
      <c r="B3624" s="5" t="n">
        <v>44652</v>
      </c>
      <c r="C3624" s="13" t="inlineStr">
        <is>
          <t>CPR</t>
        </is>
      </c>
      <c r="D3624" s="13" t="n">
        <v>42</v>
      </c>
      <c r="E3624" s="10">
        <f>IF(D3624&gt;0,VLOOKUP(OPERAC[[#This Row],[COD CART]],[1]!MatrizCortoLargoCyl[#All],3,0),"")</f>
        <v/>
      </c>
      <c r="F3624" s="13" t="inlineStr">
        <is>
          <t>GBTC</t>
        </is>
      </c>
      <c r="G3624" s="6" t="n">
        <v>25</v>
      </c>
      <c r="H3624" s="6" t="n">
        <v>-799.5599999999999</v>
      </c>
      <c r="I3624" s="7">
        <f>-H3624/G3624</f>
        <v/>
      </c>
      <c r="J3624" s="11" t="n">
        <v>44662</v>
      </c>
      <c r="K3624" s="6">
        <f>+OPERAC[[#This Row],[cantidad]]</f>
        <v/>
      </c>
      <c r="L3624" s="6">
        <f>27.99*OPERAC[[#This Row],[cantidad venta]]</f>
        <v/>
      </c>
      <c r="M3624" s="7">
        <f>IF(N3624=0,+L3624+H3624,0)</f>
        <v/>
      </c>
      <c r="N3624" s="7">
        <f>IF((+G3624-K3624)=0,0,+G3624-K3624)</f>
        <v/>
      </c>
      <c r="O3624" s="7">
        <f>IF(N3624=0,0,(L3624+H3624)/-N3624)</f>
        <v/>
      </c>
      <c r="P3624" s="7">
        <f>VLOOKUP(OPERAC[[#This Row],[especie]],[1]!ESPECIES[#All],6,0)</f>
        <v/>
      </c>
      <c r="Q3624" s="7">
        <f>IF(N3624&lt;&gt;0,P3624*N3624,0)</f>
        <v/>
      </c>
      <c r="R3624" s="8">
        <f>IF(Q3624&lt;&gt;0,Q3624+H3624+L3624,0)</f>
        <v/>
      </c>
      <c r="S3624" s="9">
        <f>VLOOKUP(OPERAC[[#This Row],[especie]],[1]!ESPECIES[#Data],9,FALSE)</f>
        <v/>
      </c>
    </row>
    <row r="3625">
      <c r="A3625" s="4" t="n">
        <v>11164</v>
      </c>
      <c r="B3625" s="5" t="n">
        <v>44691</v>
      </c>
      <c r="C3625" s="13" t="inlineStr">
        <is>
          <t>CPR</t>
        </is>
      </c>
      <c r="D3625" s="13" t="n">
        <v>40</v>
      </c>
      <c r="E3625" s="10">
        <f>IF(D3625&gt;0,VLOOKUP(OPERAC[[#This Row],[COD CART]],[1]!MatrizCortoLargoCyl[#All],3,0),"")</f>
        <v/>
      </c>
      <c r="F3625" s="13" t="inlineStr">
        <is>
          <t>MELI</t>
        </is>
      </c>
      <c r="G3625" s="6" t="n">
        <v>1</v>
      </c>
      <c r="H3625" s="6" t="n">
        <v>-800.83</v>
      </c>
      <c r="I3625" s="7">
        <f>-H3625/G3625</f>
        <v/>
      </c>
      <c r="J3625" s="11" t="n"/>
      <c r="K3625" s="6" t="n"/>
      <c r="L3625" s="6" t="n"/>
      <c r="M3625" s="7">
        <f>IF(N3625=0,+L3625+H3625,0)</f>
        <v/>
      </c>
      <c r="N3625" s="7">
        <f>IF((+G3625-K3625)=0,0,+G3625-K3625)</f>
        <v/>
      </c>
      <c r="O3625" s="7">
        <f>IF(N3625=0,0,(L3625+H3625)/-N3625)</f>
        <v/>
      </c>
      <c r="P3625" s="7">
        <f>VLOOKUP(OPERAC[[#This Row],[especie]],[1]!ESPECIES[#All],6,0)</f>
        <v/>
      </c>
      <c r="Q3625" s="7">
        <f>IF(N3625&lt;&gt;0,P3625*N3625,0)</f>
        <v/>
      </c>
      <c r="R3625" s="8">
        <f>IF(Q3625&lt;&gt;0,Q3625+H3625+L3625,0)</f>
        <v/>
      </c>
      <c r="S3625" s="9">
        <f>VLOOKUP(OPERAC[[#This Row],[especie]],[1]!ESPECIES[#Data],9,FALSE)</f>
        <v/>
      </c>
    </row>
    <row r="3626">
      <c r="A3626" s="4" t="n">
        <v>16795</v>
      </c>
      <c r="B3626" s="5" t="n">
        <v>44643</v>
      </c>
      <c r="C3626" s="13" t="inlineStr">
        <is>
          <t>CPR</t>
        </is>
      </c>
      <c r="D3626" s="13" t="n">
        <v>42</v>
      </c>
      <c r="E3626" s="10">
        <f>IF(D3626&gt;0,VLOOKUP(OPERAC[[#This Row],[COD CART]],[1]!MatrizCortoLargoCyl[#All],3,0),"")</f>
        <v/>
      </c>
      <c r="F3626" s="13" t="inlineStr">
        <is>
          <t>SMH</t>
        </is>
      </c>
      <c r="G3626" s="6" t="n">
        <v>3</v>
      </c>
      <c r="H3626" s="6" t="n">
        <v>-801.4886939999999</v>
      </c>
      <c r="I3626" s="7">
        <f>-H3626/G3626</f>
        <v/>
      </c>
      <c r="J3626" s="11" t="n">
        <v>44663</v>
      </c>
      <c r="K3626" s="6">
        <f>+OPERAC[[#This Row],[cantidad]]</f>
        <v/>
      </c>
      <c r="L3626" s="6">
        <f>+OPERAC[[#This Row],[cantidad venta]]*238.066</f>
        <v/>
      </c>
      <c r="M3626" s="7">
        <f>IF(N3626=0,+L3626+H3626,0)</f>
        <v/>
      </c>
      <c r="N3626" s="7">
        <f>IF((+G3626-K3626)=0,0,+G3626-K3626)</f>
        <v/>
      </c>
      <c r="O3626" s="7">
        <f>IF(N3626=0,0,(L3626+H3626)/-N3626)</f>
        <v/>
      </c>
      <c r="P3626" s="7">
        <f>VLOOKUP(OPERAC[[#This Row],[especie]],[1]!ESPECIES[#All],6,0)</f>
        <v/>
      </c>
      <c r="Q3626" s="7">
        <f>IF(N3626&lt;&gt;0,P3626*N3626,0)</f>
        <v/>
      </c>
      <c r="R3626" s="8">
        <f>IF(Q3626&lt;&gt;0,Q3626+H3626+L3626,0)</f>
        <v/>
      </c>
      <c r="S3626" s="9">
        <f>VLOOKUP(OPERAC[[#This Row],[especie]],[1]!ESPECIES[#Data],9,FALSE)</f>
        <v/>
      </c>
    </row>
    <row r="3627">
      <c r="A3627" s="4" t="n">
        <v>26138</v>
      </c>
      <c r="B3627" s="5" t="n">
        <v>44643</v>
      </c>
      <c r="C3627" s="13" t="inlineStr">
        <is>
          <t>CPR</t>
        </is>
      </c>
      <c r="D3627" s="13" t="n">
        <v>42</v>
      </c>
      <c r="E3627" s="10">
        <f>IF(D3627&gt;0,VLOOKUP(OPERAC[[#This Row],[COD CART]],[1]!MatrizCortoLargoCyl[#All],3,0),"")</f>
        <v/>
      </c>
      <c r="F3627" s="13" t="inlineStr">
        <is>
          <t>SMH</t>
        </is>
      </c>
      <c r="G3627" s="6" t="n">
        <v>3</v>
      </c>
      <c r="H3627" s="6" t="n">
        <v>-801.4886939999999</v>
      </c>
      <c r="I3627" s="7">
        <f>-H3627/G3627</f>
        <v/>
      </c>
      <c r="J3627" s="11" t="n">
        <v>44663</v>
      </c>
      <c r="K3627" s="6">
        <f>+OPERAC[[#This Row],[cantidad]]</f>
        <v/>
      </c>
      <c r="L3627" s="6">
        <f>+OPERAC[[#This Row],[cantidad venta]]*238.066</f>
        <v/>
      </c>
      <c r="M3627" s="7">
        <f>IF(N3627=0,+L3627+H3627,0)</f>
        <v/>
      </c>
      <c r="N3627" s="7">
        <f>IF((+G3627-K3627)=0,0,+G3627-K3627)</f>
        <v/>
      </c>
      <c r="O3627" s="7">
        <f>IF(N3627=0,0,(L3627+H3627)/-N3627)</f>
        <v/>
      </c>
      <c r="P3627" s="7">
        <f>VLOOKUP(OPERAC[[#This Row],[especie]],[1]!ESPECIES[#All],6,0)</f>
        <v/>
      </c>
      <c r="Q3627" s="7">
        <f>IF(N3627&lt;&gt;0,P3627*N3627,0)</f>
        <v/>
      </c>
      <c r="R3627" s="8">
        <f>IF(Q3627&lt;&gt;0,Q3627+H3627+L3627,0)</f>
        <v/>
      </c>
      <c r="S3627" s="9">
        <f>VLOOKUP(OPERAC[[#This Row],[especie]],[1]!ESPECIES[#Data],9,FALSE)</f>
        <v/>
      </c>
    </row>
    <row r="3628">
      <c r="A3628" s="4" t="n">
        <v>2217</v>
      </c>
      <c r="B3628" s="5" t="n">
        <v>44614</v>
      </c>
      <c r="C3628" s="13" t="inlineStr">
        <is>
          <t>CPR</t>
        </is>
      </c>
      <c r="D3628" s="13" t="n">
        <v>32</v>
      </c>
      <c r="E3628" s="10">
        <f>IF(D3628&gt;0,VLOOKUP(OPERAC[[#This Row],[COD CART]],[1]!MatrizCortoLargoCyl[#All],3,0),"")</f>
        <v/>
      </c>
      <c r="F3628" s="13" t="inlineStr">
        <is>
          <t>TEVA</t>
        </is>
      </c>
      <c r="G3628" s="6" t="n">
        <v>100</v>
      </c>
      <c r="H3628" s="6" t="n">
        <v>-801.67</v>
      </c>
      <c r="I3628" s="7">
        <f>-H3628/G3628</f>
        <v/>
      </c>
      <c r="J3628" s="11" t="n">
        <v>44665</v>
      </c>
      <c r="K3628" s="6" t="n">
        <v>100</v>
      </c>
      <c r="L3628" s="6" t="n">
        <v>892.8</v>
      </c>
      <c r="M3628" s="7">
        <f>IF(N3628=0,+L3628+H3628,0)</f>
        <v/>
      </c>
      <c r="N3628" s="7">
        <f>IF((+G3628-K3628)=0,0,+G3628-K3628)</f>
        <v/>
      </c>
      <c r="O3628" s="7">
        <f>IF(N3628=0,0,(L3628+H3628)/-N3628)</f>
        <v/>
      </c>
      <c r="P3628" s="7">
        <f>VLOOKUP(OPERAC[[#This Row],[especie]],[1]!ESPECIES[#All],6,0)</f>
        <v/>
      </c>
      <c r="Q3628" s="7">
        <f>IF(N3628&lt;&gt;0,P3628*N3628,0)</f>
        <v/>
      </c>
      <c r="R3628" s="8">
        <f>IF(Q3628&lt;&gt;0,Q3628+H3628+L3628,0)</f>
        <v/>
      </c>
      <c r="S3628" s="9">
        <f>VLOOKUP(OPERAC[[#This Row],[especie]],[1]!ESPECIES[#Data],9,FALSE)</f>
        <v/>
      </c>
    </row>
    <row r="3629">
      <c r="A3629" s="4" t="n">
        <v>15195</v>
      </c>
      <c r="B3629" s="5" t="n">
        <v>44536</v>
      </c>
      <c r="C3629" s="13" t="inlineStr">
        <is>
          <t>CPR</t>
        </is>
      </c>
      <c r="D3629" s="13" t="n">
        <v>43</v>
      </c>
      <c r="E3629" s="10">
        <f>IF(D3629&gt;0,VLOOKUP(OPERAC[[#This Row],[COD CART]],[1]!MatrizCortoLargoCyl[#All],3,0),"")</f>
        <v/>
      </c>
      <c r="F3629" s="13" t="inlineStr">
        <is>
          <t>XSPA/CYL-PUT/1,50/20-01-23</t>
        </is>
      </c>
      <c r="G3629" s="6" t="n">
        <v>1800</v>
      </c>
      <c r="H3629" s="6">
        <f>-0.4462*OPERAC[[#This Row],[cantidad]]</f>
        <v/>
      </c>
      <c r="I3629" s="7">
        <f>-H3629/G3629</f>
        <v/>
      </c>
      <c r="J3629" s="11" t="n"/>
      <c r="K3629" s="6" t="n"/>
      <c r="L3629" s="6" t="n"/>
      <c r="M3629" s="7">
        <f>IF(N3629=0,+L3629+H3629,0)</f>
        <v/>
      </c>
      <c r="N3629" s="7">
        <f>IF((+G3629-K3629)=0,0,+G3629-K3629)</f>
        <v/>
      </c>
      <c r="O3629" s="7">
        <f>IF(N3629=0,0,(L3629+H3629)/-N3629)</f>
        <v/>
      </c>
      <c r="P3629" s="7">
        <f>VLOOKUP(OPERAC[[#This Row],[especie]],[1]!ESPECIES[#All],6,0)</f>
        <v/>
      </c>
      <c r="Q3629" s="7">
        <f>IF(N3629&lt;&gt;0,P3629*N3629,0)</f>
        <v/>
      </c>
      <c r="R3629" s="8">
        <f>IF(Q3629&lt;&gt;0,Q3629+H3629+L3629,0)</f>
        <v/>
      </c>
      <c r="S3629" s="9">
        <f>VLOOKUP(OPERAC[[#This Row],[especie]],[1]!ESPECIES[#Data],9,FALSE)</f>
        <v/>
      </c>
    </row>
    <row r="3630">
      <c r="A3630" s="4" t="n">
        <v>2255</v>
      </c>
      <c r="B3630" s="5" t="n">
        <v>44536</v>
      </c>
      <c r="C3630" s="13" t="inlineStr">
        <is>
          <t>CPR</t>
        </is>
      </c>
      <c r="D3630" s="13" t="n">
        <v>43</v>
      </c>
      <c r="E3630" s="10">
        <f>IF(D3630&gt;0,VLOOKUP(OPERAC[[#This Row],[COD CART]],[1]!MatrizCortoLargoCyl[#All],3,0),"")</f>
        <v/>
      </c>
      <c r="F3630" s="13" t="inlineStr">
        <is>
          <t>XSPA1/CYL-PUT/1,50/20-01-23</t>
        </is>
      </c>
      <c r="G3630" s="6" t="n">
        <v>1800</v>
      </c>
      <c r="H3630" s="6">
        <f>-0.4462*OPERAC[[#This Row],[cantidad]]</f>
        <v/>
      </c>
      <c r="I3630" s="7">
        <f>-H3630/G3630</f>
        <v/>
      </c>
      <c r="J3630" s="11" t="n"/>
      <c r="K3630" s="6" t="n"/>
      <c r="L3630" s="6" t="n"/>
      <c r="M3630" s="7">
        <f>IF(N3630=0,+L3630+H3630,0)</f>
        <v/>
      </c>
      <c r="N3630" s="7">
        <f>IF((+G3630-K3630)=0,0,+G3630-K3630)</f>
        <v/>
      </c>
      <c r="O3630" s="7">
        <f>IF(N3630=0,0,(L3630+H3630)/-N3630)</f>
        <v/>
      </c>
      <c r="P3630" s="7">
        <f>VLOOKUP(OPERAC[[#This Row],[especie]],[1]!ESPECIES[#All],6,0)</f>
        <v/>
      </c>
      <c r="Q3630" s="7">
        <f>IF(N3630&lt;&gt;0,P3630*N3630,0)</f>
        <v/>
      </c>
      <c r="R3630" s="8">
        <f>IF(Q3630&lt;&gt;0,Q3630+H3630+L3630,0)</f>
        <v/>
      </c>
      <c r="S3630" s="9">
        <f>VLOOKUP(OPERAC[[#This Row],[especie]],[1]!ESPECIES[#Data],9,FALSE)</f>
        <v/>
      </c>
    </row>
    <row r="3631">
      <c r="A3631" s="4" t="n">
        <v>19920</v>
      </c>
      <c r="B3631" s="5" t="n">
        <v>43888</v>
      </c>
      <c r="C3631" s="13" t="inlineStr">
        <is>
          <t>CPR</t>
        </is>
      </c>
      <c r="D3631" s="13" t="n">
        <v>31</v>
      </c>
      <c r="E3631" s="10">
        <f>IF(D3631&gt;0,VLOOKUP(OPERAC[[#This Row],[COD CART]],[1]!MatrizCortoLargoCyl[#All],3,0),"")</f>
        <v/>
      </c>
      <c r="F3631" s="13" t="inlineStr">
        <is>
          <t>YPF</t>
        </is>
      </c>
      <c r="G3631" s="6" t="n">
        <v>100</v>
      </c>
      <c r="H3631" s="6" t="n">
        <v>-803.9999999999999</v>
      </c>
      <c r="I3631" s="7" t="n">
        <v>8.039999999999999</v>
      </c>
      <c r="J3631" s="5" t="n"/>
      <c r="K3631" s="6" t="n"/>
      <c r="L3631" s="6" t="n"/>
      <c r="M3631" s="7">
        <f>IF(N3631=0,+L3631+H3631,0)</f>
        <v/>
      </c>
      <c r="N3631" s="7">
        <f>IF((+G3631-K3631)=0,0,+G3631-K3631)</f>
        <v/>
      </c>
      <c r="O3631" s="7">
        <f>IF(N3631=0,0,(L3631+H3631)/-N3631)</f>
        <v/>
      </c>
      <c r="P3631" s="7">
        <f>VLOOKUP(OPERAC[[#This Row],[especie]],[1]!ESPECIES[#All],6,0)</f>
        <v/>
      </c>
      <c r="Q3631" s="7">
        <f>IF(N3631&lt;&gt;0,P3631*N3631,0)</f>
        <v/>
      </c>
      <c r="R3631" s="8">
        <f>IF(Q3631&lt;&gt;0,Q3631+H3631+L3631,0)</f>
        <v/>
      </c>
      <c r="S3631" s="9">
        <f>VLOOKUP(OPERAC[[#This Row],[especie]],[1]!ESPECIES[#Data],9,FALSE)</f>
        <v/>
      </c>
    </row>
    <row r="3632">
      <c r="A3632" s="4" t="n">
        <v>19888</v>
      </c>
      <c r="B3632" s="5" t="n">
        <v>44655</v>
      </c>
      <c r="C3632" s="13" t="inlineStr">
        <is>
          <t>CPR</t>
        </is>
      </c>
      <c r="D3632" s="13" t="n">
        <v>31</v>
      </c>
      <c r="E3632" s="10">
        <f>IF(D3632&gt;0,VLOOKUP(OPERAC[[#This Row],[COD CART]],[1]!MatrizCortoLargoCyl[#All],3,0),"")</f>
        <v/>
      </c>
      <c r="F3632" s="13" t="inlineStr">
        <is>
          <t>YPF</t>
        </is>
      </c>
      <c r="G3632" s="6" t="n">
        <v>150</v>
      </c>
      <c r="H3632" s="6" t="n">
        <v>-805.0816</v>
      </c>
      <c r="I3632" s="7">
        <f>-H3632/G3632</f>
        <v/>
      </c>
      <c r="J3632" s="11" t="n"/>
      <c r="K3632" s="6" t="n"/>
      <c r="L3632" s="6" t="n"/>
      <c r="M3632" s="7">
        <f>IF(N3632=0,+L3632+H3632,0)</f>
        <v/>
      </c>
      <c r="N3632" s="7">
        <f>IF((+G3632-K3632)=0,0,+G3632-K3632)</f>
        <v/>
      </c>
      <c r="O3632" s="7">
        <f>IF(N3632=0,0,(L3632+H3632)/-N3632)</f>
        <v/>
      </c>
      <c r="P3632" s="7">
        <f>VLOOKUP(OPERAC[[#This Row],[especie]],[1]!ESPECIES[#All],6,0)</f>
        <v/>
      </c>
      <c r="Q3632" s="7">
        <f>IF(N3632&lt;&gt;0,P3632*N3632,0)</f>
        <v/>
      </c>
      <c r="R3632" s="8">
        <f>IF(Q3632&lt;&gt;0,Q3632+H3632+L3632,0)</f>
        <v/>
      </c>
      <c r="S3632" s="9">
        <f>VLOOKUP(OPERAC[[#This Row],[especie]],[1]!ESPECIES[#Data],9,FALSE)</f>
        <v/>
      </c>
    </row>
    <row r="3633">
      <c r="A3633" s="4" t="n">
        <v>19878</v>
      </c>
      <c r="B3633" s="5" t="n">
        <v>44641</v>
      </c>
      <c r="C3633" s="13" t="inlineStr">
        <is>
          <t>CPR</t>
        </is>
      </c>
      <c r="D3633" s="13" t="n">
        <v>42</v>
      </c>
      <c r="E3633" s="10">
        <f>IF(D3633&gt;0,VLOOKUP(OPERAC[[#This Row],[COD CART]],[1]!MatrizCortoLargoCyl[#All],3,0),"")</f>
        <v/>
      </c>
      <c r="F3633" s="13" t="inlineStr">
        <is>
          <t>SMH</t>
        </is>
      </c>
      <c r="G3633" s="6" t="n">
        <v>3</v>
      </c>
      <c r="H3633" s="6" t="n">
        <v>-805.2721500000001</v>
      </c>
      <c r="I3633" s="7">
        <f>-H3633/G3633</f>
        <v/>
      </c>
      <c r="J3633" s="11" t="n">
        <v>44663</v>
      </c>
      <c r="K3633" s="6">
        <f>+OPERAC[[#This Row],[cantidad]]</f>
        <v/>
      </c>
      <c r="L3633" s="6">
        <f>+OPERAC[[#This Row],[cantidad venta]]*238.066</f>
        <v/>
      </c>
      <c r="M3633" s="7">
        <f>IF(N3633=0,+L3633+H3633,0)</f>
        <v/>
      </c>
      <c r="N3633" s="7">
        <f>IF((+G3633-K3633)=0,0,+G3633-K3633)</f>
        <v/>
      </c>
      <c r="O3633" s="7">
        <f>IF(N3633=0,0,(L3633+H3633)/-N3633)</f>
        <v/>
      </c>
      <c r="P3633" s="7">
        <f>VLOOKUP(OPERAC[[#This Row],[especie]],[1]!ESPECIES[#All],6,0)</f>
        <v/>
      </c>
      <c r="Q3633" s="7">
        <f>IF(N3633&lt;&gt;0,P3633*N3633,0)</f>
        <v/>
      </c>
      <c r="R3633" s="8">
        <f>IF(Q3633&lt;&gt;0,Q3633+H3633+L3633,0)</f>
        <v/>
      </c>
      <c r="S3633" s="9">
        <f>VLOOKUP(OPERAC[[#This Row],[especie]],[1]!ESPECIES[#Data],9,FALSE)</f>
        <v/>
      </c>
    </row>
    <row r="3634">
      <c r="A3634" s="4" t="n">
        <v>12627</v>
      </c>
      <c r="B3634" s="5" t="n">
        <v>44553</v>
      </c>
      <c r="C3634" s="13" t="inlineStr">
        <is>
          <t>CPR</t>
        </is>
      </c>
      <c r="D3634" s="13" t="n">
        <v>40</v>
      </c>
      <c r="E3634" s="10">
        <f>IF(D3634&gt;0,VLOOKUP(OPERAC[[#This Row],[COD CART]],[1]!MatrizCortoLargoCyl[#All],3,0),"")</f>
        <v/>
      </c>
      <c r="F3634" s="13" t="inlineStr">
        <is>
          <t>ON</t>
        </is>
      </c>
      <c r="G3634" s="6" t="n">
        <v>12</v>
      </c>
      <c r="H3634" s="6" t="n">
        <v>-805.3632959999999</v>
      </c>
      <c r="I3634" s="7">
        <f>-H3634/G3634</f>
        <v/>
      </c>
      <c r="J3634" s="11" t="n">
        <v>44586</v>
      </c>
      <c r="K3634" s="6">
        <f>5+7</f>
        <v/>
      </c>
      <c r="L3634" s="6">
        <f>268.328+409.971</f>
        <v/>
      </c>
      <c r="M3634" s="7">
        <f>IF(N3634=0,+L3634+H3634,0)</f>
        <v/>
      </c>
      <c r="N3634" s="7">
        <f>IF((+G3634-K3634)=0,0,+G3634-K3634)</f>
        <v/>
      </c>
      <c r="O3634" s="7">
        <f>IF(N3634=0,0,(L3634+H3634)/-N3634)</f>
        <v/>
      </c>
      <c r="P3634" s="7">
        <f>VLOOKUP(OPERAC[[#This Row],[especie]],[1]!ESPECIES[#All],6,0)</f>
        <v/>
      </c>
      <c r="Q3634" s="7">
        <f>IF(N3634&lt;&gt;0,P3634*N3634,0)</f>
        <v/>
      </c>
      <c r="R3634" s="8">
        <f>IF(Q3634&lt;&gt;0,Q3634+H3634+L3634,0)</f>
        <v/>
      </c>
      <c r="S3634" s="9">
        <f>VLOOKUP(OPERAC[[#This Row],[especie]],[1]!ESPECIES[#Data],9,FALSE)</f>
        <v/>
      </c>
    </row>
    <row r="3635">
      <c r="A3635" s="4" t="n">
        <v>3787</v>
      </c>
      <c r="B3635" s="5" t="n">
        <v>44523</v>
      </c>
      <c r="C3635" s="13" t="inlineStr">
        <is>
          <t>CPR</t>
        </is>
      </c>
      <c r="D3635" s="13" t="n">
        <v>32</v>
      </c>
      <c r="E3635" s="10">
        <f>IF(D3635&gt;0,VLOOKUP(OPERAC[[#This Row],[COD CART]],[1]!MatrizCortoLargoCyl[#All],3,0),"")</f>
        <v/>
      </c>
      <c r="F3635" s="13" t="inlineStr">
        <is>
          <t>GMBL</t>
        </is>
      </c>
      <c r="G3635" s="6" t="n">
        <v>200</v>
      </c>
      <c r="H3635" s="6">
        <f>-823.862+18.134</f>
        <v/>
      </c>
      <c r="I3635" s="7">
        <f>-H3635/G3635</f>
        <v/>
      </c>
      <c r="J3635" s="11" t="n">
        <v>44641</v>
      </c>
      <c r="K3635" s="6" t="n">
        <v>200</v>
      </c>
      <c r="L3635" s="6" t="n">
        <v>159.853</v>
      </c>
      <c r="M3635" s="7">
        <f>IF(N3635=0,+L3635+H3635,0)</f>
        <v/>
      </c>
      <c r="N3635" s="7">
        <f>IF((+G3635-K3635)=0,0,+G3635-K3635)</f>
        <v/>
      </c>
      <c r="O3635" s="7">
        <f>IF(N3635=0,0,(L3635+H3635)/-N3635)</f>
        <v/>
      </c>
      <c r="P3635" s="7">
        <f>VLOOKUP(OPERAC[[#This Row],[especie]],[1]!ESPECIES[#All],6,0)</f>
        <v/>
      </c>
      <c r="Q3635" s="7">
        <f>IF(N3635&lt;&gt;0,P3635*N3635,0)</f>
        <v/>
      </c>
      <c r="R3635" s="8">
        <f>IF(Q3635&lt;&gt;0,Q3635+H3635+L3635,0)</f>
        <v/>
      </c>
      <c r="S3635" s="9">
        <f>VLOOKUP(OPERAC[[#This Row],[especie]],[1]!ESPECIES[#Data],9,FALSE)</f>
        <v/>
      </c>
    </row>
    <row r="3636">
      <c r="A3636" s="4" t="n">
        <v>19920</v>
      </c>
      <c r="B3636" s="5" t="n">
        <v>44637</v>
      </c>
      <c r="C3636" s="13" t="inlineStr">
        <is>
          <t>CPR</t>
        </is>
      </c>
      <c r="D3636" s="13" t="n">
        <v>31</v>
      </c>
      <c r="E3636" s="10">
        <f>IF(D3636&gt;0,VLOOKUP(OPERAC[[#This Row],[COD CART]],[1]!MatrizCortoLargoCyl[#All],3,0),"")</f>
        <v/>
      </c>
      <c r="F3636" s="13" t="inlineStr">
        <is>
          <t>AAPL</t>
        </is>
      </c>
      <c r="G3636" s="6" t="n">
        <v>5</v>
      </c>
      <c r="H3636" s="6" t="n">
        <v>-806.2196</v>
      </c>
      <c r="I3636" s="7">
        <f>-H3636/G3636</f>
        <v/>
      </c>
      <c r="J3636" s="11" t="n"/>
      <c r="K3636" s="6" t="n"/>
      <c r="L3636" s="6" t="n"/>
      <c r="M3636" s="7">
        <f>IF(N3636=0,+L3636+H3636,0)</f>
        <v/>
      </c>
      <c r="N3636" s="7">
        <f>IF((+G3636-K3636)=0,0,+G3636-K3636)</f>
        <v/>
      </c>
      <c r="O3636" s="7">
        <f>IF(N3636=0,0,(L3636+H3636)/-N3636)</f>
        <v/>
      </c>
      <c r="P3636" s="7">
        <f>VLOOKUP(OPERAC[[#This Row],[especie]],[1]!ESPECIES[#All],6,0)</f>
        <v/>
      </c>
      <c r="Q3636" s="7">
        <f>IF(N3636&lt;&gt;0,P3636*N3636,0)</f>
        <v/>
      </c>
      <c r="R3636" s="8">
        <f>IF(Q3636&lt;&gt;0,Q3636+H3636+L3636,0)</f>
        <v/>
      </c>
      <c r="S3636" s="9">
        <f>VLOOKUP(OPERAC[[#This Row],[especie]],[1]!ESPECIES[#Data],9,FALSE)</f>
        <v/>
      </c>
    </row>
    <row r="3637">
      <c r="A3637" s="4" t="n">
        <v>18690</v>
      </c>
      <c r="B3637" s="5" t="n">
        <v>44637</v>
      </c>
      <c r="C3637" s="13" t="inlineStr">
        <is>
          <t>CPR</t>
        </is>
      </c>
      <c r="D3637" s="13" t="n">
        <v>31</v>
      </c>
      <c r="E3637" s="10">
        <f>IF(D3637&gt;0,VLOOKUP(OPERAC[[#This Row],[COD CART]],[1]!MatrizCortoLargoCyl[#All],3,0),"")</f>
        <v/>
      </c>
      <c r="F3637" s="13" t="inlineStr">
        <is>
          <t>AAPL</t>
        </is>
      </c>
      <c r="G3637" s="6" t="n">
        <v>5</v>
      </c>
      <c r="H3637" s="6" t="n">
        <v>-806.2196</v>
      </c>
      <c r="I3637" s="7">
        <f>-H3637/G3637</f>
        <v/>
      </c>
      <c r="J3637" s="11" t="n"/>
      <c r="K3637" s="6" t="n"/>
      <c r="L3637" s="6" t="n"/>
      <c r="M3637" s="7">
        <f>IF(N3637=0,+L3637+H3637,0)</f>
        <v/>
      </c>
      <c r="N3637" s="7">
        <f>IF((+G3637-K3637)=0,0,+G3637-K3637)</f>
        <v/>
      </c>
      <c r="O3637" s="7">
        <f>IF(N3637=0,0,(L3637+H3637)/-N3637)</f>
        <v/>
      </c>
      <c r="P3637" s="7">
        <f>VLOOKUP(OPERAC[[#This Row],[especie]],[1]!ESPECIES[#All],6,0)</f>
        <v/>
      </c>
      <c r="Q3637" s="7">
        <f>IF(N3637&lt;&gt;0,P3637*N3637,0)</f>
        <v/>
      </c>
      <c r="R3637" s="8">
        <f>IF(Q3637&lt;&gt;0,Q3637+H3637+L3637,0)</f>
        <v/>
      </c>
      <c r="S3637" s="9">
        <f>VLOOKUP(OPERAC[[#This Row],[especie]],[1]!ESPECIES[#Data],9,FALSE)</f>
        <v/>
      </c>
    </row>
    <row r="3638">
      <c r="A3638" s="4" t="n">
        <v>19972</v>
      </c>
      <c r="B3638" s="5" t="n">
        <v>44594</v>
      </c>
      <c r="C3638" s="13" t="inlineStr">
        <is>
          <t>CPR</t>
        </is>
      </c>
      <c r="D3638" s="13" t="n">
        <v>40</v>
      </c>
      <c r="E3638" s="10">
        <f>IF(D3638&gt;0,VLOOKUP(OPERAC[[#This Row],[COD CART]],[1]!MatrizCortoLargoCyl[#All],3,0),"")</f>
        <v/>
      </c>
      <c r="F3638" s="13" t="inlineStr">
        <is>
          <t>EDU</t>
        </is>
      </c>
      <c r="G3638" s="6" t="n">
        <v>400</v>
      </c>
      <c r="H3638" s="6" t="n">
        <v>-806.4</v>
      </c>
      <c r="I3638" s="7">
        <f>-H3638/G3638</f>
        <v/>
      </c>
      <c r="J3638" s="11" t="n">
        <v>44630</v>
      </c>
      <c r="K3638" s="6" t="n">
        <v>400</v>
      </c>
      <c r="L3638" s="6">
        <f>+OPERAC[[#This Row],[cantidad venta]]*1.138</f>
        <v/>
      </c>
      <c r="M3638" s="7">
        <f>IF(N3638=0,+L3638+H3638,0)</f>
        <v/>
      </c>
      <c r="N3638" s="7">
        <f>IF((+G3638-K3638)=0,0,+G3638-K3638)</f>
        <v/>
      </c>
      <c r="O3638" s="7">
        <f>IF(N3638=0,0,(L3638+H3638)/-N3638)</f>
        <v/>
      </c>
      <c r="P3638" s="7">
        <f>VLOOKUP(OPERAC[[#This Row],[especie]],[1]!ESPECIES[#All],6,0)</f>
        <v/>
      </c>
      <c r="Q3638" s="7">
        <f>IF(N3638&lt;&gt;0,P3638*N3638,0)</f>
        <v/>
      </c>
      <c r="R3638" s="8">
        <f>IF(Q3638&lt;&gt;0,Q3638+H3638+L3638,0)</f>
        <v/>
      </c>
      <c r="S3638" s="9">
        <f>VLOOKUP(OPERAC[[#This Row],[especie]],[1]!ESPECIES[#Data],9,FALSE)</f>
        <v/>
      </c>
    </row>
    <row r="3639">
      <c r="A3639" s="4" t="n">
        <v>2218</v>
      </c>
      <c r="B3639" s="5" t="n">
        <v>44462</v>
      </c>
      <c r="C3639" s="13" t="inlineStr">
        <is>
          <t>CPR</t>
        </is>
      </c>
      <c r="D3639" s="13" t="n">
        <v>43</v>
      </c>
      <c r="E3639" s="10">
        <f>IF(D3639&gt;0,VLOOKUP(OPERAC[[#This Row],[COD CART]],[1]!MatrizCortoLargoCyl[#All],3,0),"")</f>
        <v/>
      </c>
      <c r="F3639" s="13" t="inlineStr">
        <is>
          <t>SOLO/CYL-PUT/4,00/16-09-22</t>
        </is>
      </c>
      <c r="G3639" s="6" t="n">
        <v>500</v>
      </c>
      <c r="H3639" s="6">
        <f>OPERAC[[#This Row],[cantidad]]*-2.54+0.32*OPERAC[[#This Row],[cantidad]]+0.387*OPERAC[[#This Row],[cantidad]]+0.22*OPERAC[[#This Row],[cantidad]]</f>
        <v/>
      </c>
      <c r="I3639" s="7">
        <f>-H3639/G3639</f>
        <v/>
      </c>
      <c r="J3639" s="11" t="n"/>
      <c r="K3639" s="6" t="n"/>
      <c r="L3639" s="6" t="n"/>
      <c r="M3639" s="7">
        <f>IF(N3639=0,+L3639+H3639,0)</f>
        <v/>
      </c>
      <c r="N3639" s="7">
        <f>IF((+G3639-K3639)=0,0,+G3639-K3639)</f>
        <v/>
      </c>
      <c r="O3639" s="7">
        <f>IF(N3639=0,0,(L3639+H3639)/-N3639)</f>
        <v/>
      </c>
      <c r="P3639" s="7">
        <f>VLOOKUP(OPERAC[[#This Row],[especie]],[1]!ESPECIES[#All],6,0)</f>
        <v/>
      </c>
      <c r="Q3639" s="7">
        <f>IF(N3639&lt;&gt;0,P3639*N3639,0)</f>
        <v/>
      </c>
      <c r="R3639" s="8">
        <f>IF(Q3639&lt;&gt;0,Q3639+H3639+L3639,0)</f>
        <v/>
      </c>
      <c r="S3639" s="9">
        <f>VLOOKUP(OPERAC[[#This Row],[especie]],[1]!ESPECIES[#Data],9,FALSE)</f>
        <v/>
      </c>
    </row>
    <row r="3640">
      <c r="A3640" s="4" t="n">
        <v>3728</v>
      </c>
      <c r="B3640" s="5" t="n">
        <v>44462</v>
      </c>
      <c r="C3640" s="13" t="inlineStr">
        <is>
          <t>CPR</t>
        </is>
      </c>
      <c r="D3640" s="13" t="n">
        <v>43</v>
      </c>
      <c r="E3640" s="10">
        <f>IF(D3640&gt;0,VLOOKUP(OPERAC[[#This Row],[COD CART]],[1]!MatrizCortoLargoCyl[#All],3,0),"")</f>
        <v/>
      </c>
      <c r="F3640" s="13" t="inlineStr">
        <is>
          <t>SOLO/CYL-PUT/4,00/16-09-22</t>
        </is>
      </c>
      <c r="G3640" s="6" t="n">
        <v>500</v>
      </c>
      <c r="H3640" s="6">
        <f>OPERAC[[#This Row],[cantidad]]*-2.54+0.32*OPERAC[[#This Row],[cantidad]]+0.387*OPERAC[[#This Row],[cantidad]]+0.22*OPERAC[[#This Row],[cantidad]]</f>
        <v/>
      </c>
      <c r="I3640" s="7">
        <f>-H3640/G3640</f>
        <v/>
      </c>
      <c r="J3640" s="11" t="n"/>
      <c r="K3640" s="6" t="n"/>
      <c r="L3640" s="6" t="n"/>
      <c r="M3640" s="7">
        <f>IF(N3640=0,+L3640+H3640,0)</f>
        <v/>
      </c>
      <c r="N3640" s="7">
        <f>IF((+G3640-K3640)=0,0,+G3640-K3640)</f>
        <v/>
      </c>
      <c r="O3640" s="7">
        <f>IF(N3640=0,0,(L3640+H3640)/-N3640)</f>
        <v/>
      </c>
      <c r="P3640" s="7">
        <f>VLOOKUP(OPERAC[[#This Row],[especie]],[1]!ESPECIES[#All],6,0)</f>
        <v/>
      </c>
      <c r="Q3640" s="7">
        <f>IF(N3640&lt;&gt;0,P3640*N3640,0)</f>
        <v/>
      </c>
      <c r="R3640" s="8">
        <f>IF(Q3640&lt;&gt;0,Q3640+H3640+L3640,0)</f>
        <v/>
      </c>
      <c r="S3640" s="9">
        <f>VLOOKUP(OPERAC[[#This Row],[especie]],[1]!ESPECIES[#Data],9,FALSE)</f>
        <v/>
      </c>
    </row>
    <row r="3641">
      <c r="A3641" s="4" t="n">
        <v>12684</v>
      </c>
      <c r="B3641" s="5" t="n">
        <v>44691</v>
      </c>
      <c r="C3641" s="13" t="inlineStr">
        <is>
          <t>CPR</t>
        </is>
      </c>
      <c r="D3641" s="13" t="n">
        <v>40</v>
      </c>
      <c r="E3641" s="10">
        <f>IF(D3641&gt;0,VLOOKUP(OPERAC[[#This Row],[COD CART]],[1]!MatrizCortoLargoCyl[#All],3,0),"")</f>
        <v/>
      </c>
      <c r="F3641" s="13" t="inlineStr">
        <is>
          <t>MELI</t>
        </is>
      </c>
      <c r="G3641" s="6" t="n">
        <v>1</v>
      </c>
      <c r="H3641" s="6" t="n">
        <v>-806.8</v>
      </c>
      <c r="I3641" s="7">
        <f>-H3641/G3641</f>
        <v/>
      </c>
      <c r="J3641" s="11" t="n"/>
      <c r="K3641" s="6" t="n"/>
      <c r="L3641" s="6" t="n"/>
      <c r="M3641" s="7">
        <f>IF(N3641=0,+L3641+H3641,0)</f>
        <v/>
      </c>
      <c r="N3641" s="7">
        <f>IF((+G3641-K3641)=0,0,+G3641-K3641)</f>
        <v/>
      </c>
      <c r="O3641" s="7">
        <f>IF(N3641=0,0,(L3641+H3641)/-N3641)</f>
        <v/>
      </c>
      <c r="P3641" s="7">
        <f>VLOOKUP(OPERAC[[#This Row],[especie]],[1]!ESPECIES[#All],6,0)</f>
        <v/>
      </c>
      <c r="Q3641" s="7">
        <f>IF(N3641&lt;&gt;0,P3641*N3641,0)</f>
        <v/>
      </c>
      <c r="R3641" s="8">
        <f>IF(Q3641&lt;&gt;0,Q3641+H3641+L3641,0)</f>
        <v/>
      </c>
      <c r="S3641" s="9">
        <f>VLOOKUP(OPERAC[[#This Row],[especie]],[1]!ESPECIES[#Data],9,FALSE)</f>
        <v/>
      </c>
    </row>
    <row r="3642">
      <c r="A3642" s="4" t="n">
        <v>2203</v>
      </c>
      <c r="B3642" s="5" t="n">
        <v>44641</v>
      </c>
      <c r="C3642" s="13" t="inlineStr">
        <is>
          <t>CPR</t>
        </is>
      </c>
      <c r="D3642" s="13" t="n">
        <v>42</v>
      </c>
      <c r="E3642" s="10">
        <f>IF(D3642&gt;0,VLOOKUP(OPERAC[[#This Row],[COD CART]],[1]!MatrizCortoLargoCyl[#All],3,0),"")</f>
        <v/>
      </c>
      <c r="F3642" s="13" t="inlineStr">
        <is>
          <t>SMH</t>
        </is>
      </c>
      <c r="G3642" s="6" t="n">
        <v>3</v>
      </c>
      <c r="H3642" s="6" t="n">
        <v>-806.8729500000001</v>
      </c>
      <c r="I3642" s="7">
        <f>-H3642/G3642</f>
        <v/>
      </c>
      <c r="J3642" s="11" t="n">
        <v>44663</v>
      </c>
      <c r="K3642" s="6">
        <f>+OPERAC[[#This Row],[cantidad]]</f>
        <v/>
      </c>
      <c r="L3642" s="6">
        <f>+OPERAC[[#This Row],[cantidad venta]]*238.066</f>
        <v/>
      </c>
      <c r="M3642" s="7">
        <f>IF(N3642=0,+L3642+H3642,0)</f>
        <v/>
      </c>
      <c r="N3642" s="7">
        <f>IF((+G3642-K3642)=0,0,+G3642-K3642)</f>
        <v/>
      </c>
      <c r="O3642" s="7">
        <f>IF(N3642=0,0,(L3642+H3642)/-N3642)</f>
        <v/>
      </c>
      <c r="P3642" s="7">
        <f>VLOOKUP(OPERAC[[#This Row],[especie]],[1]!ESPECIES[#All],6,0)</f>
        <v/>
      </c>
      <c r="Q3642" s="7">
        <f>IF(N3642&lt;&gt;0,P3642*N3642,0)</f>
        <v/>
      </c>
      <c r="R3642" s="8">
        <f>IF(Q3642&lt;&gt;0,Q3642+H3642+L3642,0)</f>
        <v/>
      </c>
      <c r="S3642" s="9">
        <f>VLOOKUP(OPERAC[[#This Row],[especie]],[1]!ESPECIES[#Data],9,FALSE)</f>
        <v/>
      </c>
    </row>
    <row r="3643">
      <c r="A3643" s="4" t="n">
        <v>4543</v>
      </c>
      <c r="B3643" s="5" t="n">
        <v>44641</v>
      </c>
      <c r="C3643" s="13" t="inlineStr">
        <is>
          <t>CPR</t>
        </is>
      </c>
      <c r="D3643" s="13" t="n">
        <v>42</v>
      </c>
      <c r="E3643" s="10">
        <f>IF(D3643&gt;0,VLOOKUP(OPERAC[[#This Row],[COD CART]],[1]!MatrizCortoLargoCyl[#All],3,0),"")</f>
        <v/>
      </c>
      <c r="F3643" s="13" t="inlineStr">
        <is>
          <t>SMH</t>
        </is>
      </c>
      <c r="G3643" s="6" t="n">
        <v>3</v>
      </c>
      <c r="H3643" s="6" t="n">
        <v>-806.8729500000001</v>
      </c>
      <c r="I3643" s="7">
        <f>-H3643/G3643</f>
        <v/>
      </c>
      <c r="J3643" s="11" t="n">
        <v>44663</v>
      </c>
      <c r="K3643" s="6">
        <f>+OPERAC[[#This Row],[cantidad]]</f>
        <v/>
      </c>
      <c r="L3643" s="6">
        <f>+OPERAC[[#This Row],[cantidad venta]]*238.066</f>
        <v/>
      </c>
      <c r="M3643" s="7">
        <f>IF(N3643=0,+L3643+H3643,0)</f>
        <v/>
      </c>
      <c r="N3643" s="7">
        <f>IF((+G3643-K3643)=0,0,+G3643-K3643)</f>
        <v/>
      </c>
      <c r="O3643" s="7">
        <f>IF(N3643=0,0,(L3643+H3643)/-N3643)</f>
        <v/>
      </c>
      <c r="P3643" s="7">
        <f>VLOOKUP(OPERAC[[#This Row],[especie]],[1]!ESPECIES[#All],6,0)</f>
        <v/>
      </c>
      <c r="Q3643" s="7">
        <f>IF(N3643&lt;&gt;0,P3643*N3643,0)</f>
        <v/>
      </c>
      <c r="R3643" s="8">
        <f>IF(Q3643&lt;&gt;0,Q3643+H3643+L3643,0)</f>
        <v/>
      </c>
      <c r="S3643" s="9">
        <f>VLOOKUP(OPERAC[[#This Row],[especie]],[1]!ESPECIES[#Data],9,FALSE)</f>
        <v/>
      </c>
    </row>
    <row r="3644">
      <c r="A3644" s="4" t="n">
        <v>4561</v>
      </c>
      <c r="B3644" s="5" t="n">
        <v>44641</v>
      </c>
      <c r="C3644" s="13" t="inlineStr">
        <is>
          <t>CPR</t>
        </is>
      </c>
      <c r="D3644" s="13" t="n">
        <v>42</v>
      </c>
      <c r="E3644" s="10">
        <f>IF(D3644&gt;0,VLOOKUP(OPERAC[[#This Row],[COD CART]],[1]!MatrizCortoLargoCyl[#All],3,0),"")</f>
        <v/>
      </c>
      <c r="F3644" s="13" t="inlineStr">
        <is>
          <t>SMH</t>
        </is>
      </c>
      <c r="G3644" s="6" t="n">
        <v>3</v>
      </c>
      <c r="H3644" s="6" t="n">
        <v>-806.8729500000001</v>
      </c>
      <c r="I3644" s="7">
        <f>-H3644/G3644</f>
        <v/>
      </c>
      <c r="J3644" s="11" t="n">
        <v>44663</v>
      </c>
      <c r="K3644" s="6">
        <f>+OPERAC[[#This Row],[cantidad]]</f>
        <v/>
      </c>
      <c r="L3644" s="6">
        <f>+OPERAC[[#This Row],[cantidad venta]]*238.066</f>
        <v/>
      </c>
      <c r="M3644" s="7">
        <f>IF(N3644=0,+L3644+H3644,0)</f>
        <v/>
      </c>
      <c r="N3644" s="7">
        <f>IF((+G3644-K3644)=0,0,+G3644-K3644)</f>
        <v/>
      </c>
      <c r="O3644" s="7">
        <f>IF(N3644=0,0,(L3644+H3644)/-N3644)</f>
        <v/>
      </c>
      <c r="P3644" s="7">
        <f>VLOOKUP(OPERAC[[#This Row],[especie]],[1]!ESPECIES[#All],6,0)</f>
        <v/>
      </c>
      <c r="Q3644" s="7">
        <f>IF(N3644&lt;&gt;0,P3644*N3644,0)</f>
        <v/>
      </c>
      <c r="R3644" s="8">
        <f>IF(Q3644&lt;&gt;0,Q3644+H3644+L3644,0)</f>
        <v/>
      </c>
      <c r="S3644" s="9">
        <f>VLOOKUP(OPERAC[[#This Row],[especie]],[1]!ESPECIES[#Data],9,FALSE)</f>
        <v/>
      </c>
    </row>
    <row r="3645">
      <c r="A3645" s="4" t="n">
        <v>12652</v>
      </c>
      <c r="B3645" s="5" t="n">
        <v>44641</v>
      </c>
      <c r="C3645" s="13" t="inlineStr">
        <is>
          <t>CPR</t>
        </is>
      </c>
      <c r="D3645" s="13" t="n">
        <v>42</v>
      </c>
      <c r="E3645" s="10">
        <f>IF(D3645&gt;0,VLOOKUP(OPERAC[[#This Row],[COD CART]],[1]!MatrizCortoLargoCyl[#All],3,0),"")</f>
        <v/>
      </c>
      <c r="F3645" s="13" t="inlineStr">
        <is>
          <t>SMH</t>
        </is>
      </c>
      <c r="G3645" s="6" t="n">
        <v>3</v>
      </c>
      <c r="H3645" s="6" t="n">
        <v>-806.8729500000001</v>
      </c>
      <c r="I3645" s="7">
        <f>-H3645/G3645</f>
        <v/>
      </c>
      <c r="J3645" s="11" t="n">
        <v>44648</v>
      </c>
      <c r="K3645" s="6" t="n">
        <v>3</v>
      </c>
      <c r="L3645" s="6">
        <f>270.33*OPERAC[[#This Row],[cantidad venta]]</f>
        <v/>
      </c>
      <c r="M3645" s="7">
        <f>IF(N3645=0,+L3645+H3645,0)</f>
        <v/>
      </c>
      <c r="N3645" s="7">
        <f>IF((+G3645-K3645)=0,0,+G3645-K3645)</f>
        <v/>
      </c>
      <c r="O3645" s="7">
        <f>IF(N3645=0,0,(L3645+H3645)/-N3645)</f>
        <v/>
      </c>
      <c r="P3645" s="7">
        <f>VLOOKUP(OPERAC[[#This Row],[especie]],[1]!ESPECIES[#All],6,0)</f>
        <v/>
      </c>
      <c r="Q3645" s="7">
        <f>IF(N3645&lt;&gt;0,P3645*N3645,0)</f>
        <v/>
      </c>
      <c r="R3645" s="8">
        <f>IF(Q3645&lt;&gt;0,Q3645+H3645+L3645,0)</f>
        <v/>
      </c>
      <c r="S3645" s="9">
        <f>VLOOKUP(OPERAC[[#This Row],[especie]],[1]!ESPECIES[#Data],9,FALSE)</f>
        <v/>
      </c>
    </row>
    <row r="3646">
      <c r="A3646" s="4" t="n">
        <v>13269</v>
      </c>
      <c r="B3646" s="5" t="n">
        <v>44641</v>
      </c>
      <c r="C3646" s="13" t="inlineStr">
        <is>
          <t>CPR</t>
        </is>
      </c>
      <c r="D3646" s="13" t="n">
        <v>42</v>
      </c>
      <c r="E3646" s="10">
        <f>IF(D3646&gt;0,VLOOKUP(OPERAC[[#This Row],[COD CART]],[1]!MatrizCortoLargoCyl[#All],3,0),"")</f>
        <v/>
      </c>
      <c r="F3646" s="13" t="inlineStr">
        <is>
          <t>SMH</t>
        </is>
      </c>
      <c r="G3646" s="6" t="n">
        <v>3</v>
      </c>
      <c r="H3646" s="6" t="n">
        <v>-806.8729500000001</v>
      </c>
      <c r="I3646" s="7">
        <f>-H3646/G3646</f>
        <v/>
      </c>
      <c r="J3646" s="11" t="n">
        <v>44663</v>
      </c>
      <c r="K3646" s="6">
        <f>+OPERAC[[#This Row],[cantidad]]</f>
        <v/>
      </c>
      <c r="L3646" s="6">
        <f>+OPERAC[[#This Row],[cantidad venta]]*238.066</f>
        <v/>
      </c>
      <c r="M3646" s="7">
        <f>IF(N3646=0,+L3646+H3646,0)</f>
        <v/>
      </c>
      <c r="N3646" s="7">
        <f>IF((+G3646-K3646)=0,0,+G3646-K3646)</f>
        <v/>
      </c>
      <c r="O3646" s="7">
        <f>IF(N3646=0,0,(L3646+H3646)/-N3646)</f>
        <v/>
      </c>
      <c r="P3646" s="7">
        <f>VLOOKUP(OPERAC[[#This Row],[especie]],[1]!ESPECIES[#All],6,0)</f>
        <v/>
      </c>
      <c r="Q3646" s="7">
        <f>IF(N3646&lt;&gt;0,P3646*N3646,0)</f>
        <v/>
      </c>
      <c r="R3646" s="8">
        <f>IF(Q3646&lt;&gt;0,Q3646+H3646+L3646,0)</f>
        <v/>
      </c>
      <c r="S3646" s="9">
        <f>VLOOKUP(OPERAC[[#This Row],[especie]],[1]!ESPECIES[#Data],9,FALSE)</f>
        <v/>
      </c>
    </row>
    <row r="3647">
      <c r="A3647" s="4" t="n">
        <v>19888</v>
      </c>
      <c r="B3647" s="5" t="n">
        <v>44641</v>
      </c>
      <c r="C3647" s="13" t="inlineStr">
        <is>
          <t>CPR</t>
        </is>
      </c>
      <c r="D3647" s="13" t="n">
        <v>42</v>
      </c>
      <c r="E3647" s="10">
        <f>IF(D3647&gt;0,VLOOKUP(OPERAC[[#This Row],[COD CART]],[1]!MatrizCortoLargoCyl[#All],3,0),"")</f>
        <v/>
      </c>
      <c r="F3647" s="13" t="inlineStr">
        <is>
          <t>SMH</t>
        </is>
      </c>
      <c r="G3647" s="6" t="n">
        <v>3</v>
      </c>
      <c r="H3647" s="6" t="n">
        <v>-806.8729500000001</v>
      </c>
      <c r="I3647" s="7">
        <f>-H3647/G3647</f>
        <v/>
      </c>
      <c r="J3647" s="11" t="n">
        <v>44663</v>
      </c>
      <c r="K3647" s="6">
        <f>+OPERAC[[#This Row],[cantidad]]</f>
        <v/>
      </c>
      <c r="L3647" s="6">
        <f>+OPERAC[[#This Row],[cantidad venta]]*238.066</f>
        <v/>
      </c>
      <c r="M3647" s="7">
        <f>IF(N3647=0,+L3647+H3647,0)</f>
        <v/>
      </c>
      <c r="N3647" s="7">
        <f>IF((+G3647-K3647)=0,0,+G3647-K3647)</f>
        <v/>
      </c>
      <c r="O3647" s="7">
        <f>IF(N3647=0,0,(L3647+H3647)/-N3647)</f>
        <v/>
      </c>
      <c r="P3647" s="7">
        <f>VLOOKUP(OPERAC[[#This Row],[especie]],[1]!ESPECIES[#All],6,0)</f>
        <v/>
      </c>
      <c r="Q3647" s="7">
        <f>IF(N3647&lt;&gt;0,P3647*N3647,0)</f>
        <v/>
      </c>
      <c r="R3647" s="8">
        <f>IF(Q3647&lt;&gt;0,Q3647+H3647+L3647,0)</f>
        <v/>
      </c>
      <c r="S3647" s="9">
        <f>VLOOKUP(OPERAC[[#This Row],[especie]],[1]!ESPECIES[#Data],9,FALSE)</f>
        <v/>
      </c>
    </row>
    <row r="3648">
      <c r="A3648" s="4" t="n">
        <v>19932</v>
      </c>
      <c r="B3648" s="5" t="n">
        <v>44641</v>
      </c>
      <c r="C3648" s="13" t="inlineStr">
        <is>
          <t>CPR</t>
        </is>
      </c>
      <c r="D3648" s="13" t="n">
        <v>42</v>
      </c>
      <c r="E3648" s="10">
        <f>IF(D3648&gt;0,VLOOKUP(OPERAC[[#This Row],[COD CART]],[1]!MatrizCortoLargoCyl[#All],3,0),"")</f>
        <v/>
      </c>
      <c r="F3648" s="13" t="inlineStr">
        <is>
          <t>SMH</t>
        </is>
      </c>
      <c r="G3648" s="6" t="n">
        <v>3</v>
      </c>
      <c r="H3648" s="6" t="n">
        <v>-806.8729500000001</v>
      </c>
      <c r="I3648" s="7">
        <f>-H3648/G3648</f>
        <v/>
      </c>
      <c r="J3648" s="11" t="n">
        <v>44663</v>
      </c>
      <c r="K3648" s="6">
        <f>+OPERAC[[#This Row],[cantidad]]</f>
        <v/>
      </c>
      <c r="L3648" s="6">
        <f>+OPERAC[[#This Row],[cantidad venta]]*238.066</f>
        <v/>
      </c>
      <c r="M3648" s="7">
        <f>IF(N3648=0,+L3648+H3648,0)</f>
        <v/>
      </c>
      <c r="N3648" s="7">
        <f>IF((+G3648-K3648)=0,0,+G3648-K3648)</f>
        <v/>
      </c>
      <c r="O3648" s="7">
        <f>IF(N3648=0,0,(L3648+H3648)/-N3648)</f>
        <v/>
      </c>
      <c r="P3648" s="7">
        <f>VLOOKUP(OPERAC[[#This Row],[especie]],[1]!ESPECIES[#All],6,0)</f>
        <v/>
      </c>
      <c r="Q3648" s="7">
        <f>IF(N3648&lt;&gt;0,P3648*N3648,0)</f>
        <v/>
      </c>
      <c r="R3648" s="8">
        <f>IF(Q3648&lt;&gt;0,Q3648+H3648+L3648,0)</f>
        <v/>
      </c>
      <c r="S3648" s="9">
        <f>VLOOKUP(OPERAC[[#This Row],[especie]],[1]!ESPECIES[#Data],9,FALSE)</f>
        <v/>
      </c>
    </row>
    <row r="3649">
      <c r="A3649" s="4" t="n">
        <v>19934</v>
      </c>
      <c r="B3649" s="5" t="n">
        <v>44641</v>
      </c>
      <c r="C3649" s="13" t="inlineStr">
        <is>
          <t>CPR</t>
        </is>
      </c>
      <c r="D3649" s="13" t="n">
        <v>42</v>
      </c>
      <c r="E3649" s="10">
        <f>IF(D3649&gt;0,VLOOKUP(OPERAC[[#This Row],[COD CART]],[1]!MatrizCortoLargoCyl[#All],3,0),"")</f>
        <v/>
      </c>
      <c r="F3649" s="13" t="inlineStr">
        <is>
          <t>SMH</t>
        </is>
      </c>
      <c r="G3649" s="6" t="n">
        <v>3</v>
      </c>
      <c r="H3649" s="6" t="n">
        <v>-806.8729500000001</v>
      </c>
      <c r="I3649" s="7">
        <f>-H3649/G3649</f>
        <v/>
      </c>
      <c r="J3649" s="11" t="n">
        <v>44663</v>
      </c>
      <c r="K3649" s="6">
        <f>+OPERAC[[#This Row],[cantidad]]</f>
        <v/>
      </c>
      <c r="L3649" s="6">
        <f>+OPERAC[[#This Row],[cantidad venta]]*238.066</f>
        <v/>
      </c>
      <c r="M3649" s="7">
        <f>IF(N3649=0,+L3649+H3649,0)</f>
        <v/>
      </c>
      <c r="N3649" s="7">
        <f>IF((+G3649-K3649)=0,0,+G3649-K3649)</f>
        <v/>
      </c>
      <c r="O3649" s="7">
        <f>IF(N3649=0,0,(L3649+H3649)/-N3649)</f>
        <v/>
      </c>
      <c r="P3649" s="7">
        <f>VLOOKUP(OPERAC[[#This Row],[especie]],[1]!ESPECIES[#All],6,0)</f>
        <v/>
      </c>
      <c r="Q3649" s="7">
        <f>IF(N3649&lt;&gt;0,P3649*N3649,0)</f>
        <v/>
      </c>
      <c r="R3649" s="8">
        <f>IF(Q3649&lt;&gt;0,Q3649+H3649+L3649,0)</f>
        <v/>
      </c>
      <c r="S3649" s="9">
        <f>VLOOKUP(OPERAC[[#This Row],[especie]],[1]!ESPECIES[#Data],9,FALSE)</f>
        <v/>
      </c>
    </row>
    <row r="3650">
      <c r="A3650" s="4" t="n">
        <v>3820</v>
      </c>
      <c r="B3650" s="5" t="n">
        <v>44616</v>
      </c>
      <c r="C3650" s="13" t="inlineStr">
        <is>
          <t>CPR</t>
        </is>
      </c>
      <c r="D3650" s="13" t="n">
        <v>32</v>
      </c>
      <c r="E3650" s="10">
        <f>IF(D3650&gt;0,VLOOKUP(OPERAC[[#This Row],[COD CART]],[1]!MatrizCortoLargoCyl[#All],3,0),"")</f>
        <v/>
      </c>
      <c r="F3650" s="13" t="inlineStr">
        <is>
          <t>COTY/CYL/8,50/18-03-22</t>
        </is>
      </c>
      <c r="G3650" s="6" t="n">
        <v>100</v>
      </c>
      <c r="H3650" s="6" t="n">
        <v>-807.1405999999999</v>
      </c>
      <c r="I3650" s="7">
        <f>-H3650/G3650</f>
        <v/>
      </c>
      <c r="J3650" s="11" t="n">
        <v>44636</v>
      </c>
      <c r="K3650" s="6" t="n">
        <v>100</v>
      </c>
      <c r="L3650" s="6" t="n">
        <v>837.58</v>
      </c>
      <c r="M3650" s="7">
        <f>IF(N3650=0,+L3650+H3650,0)</f>
        <v/>
      </c>
      <c r="N3650" s="7">
        <f>IF((+G3650-K3650)=0,0,+G3650-K3650)</f>
        <v/>
      </c>
      <c r="O3650" s="7">
        <f>IF(N3650=0,0,(L3650+H3650)/-N3650)</f>
        <v/>
      </c>
      <c r="P3650" s="7">
        <f>VLOOKUP(OPERAC[[#This Row],[especie]],[1]!ESPECIES[#All],6,0)</f>
        <v/>
      </c>
      <c r="Q3650" s="7">
        <f>IF(N3650&lt;&gt;0,P3650*N3650,0)</f>
        <v/>
      </c>
      <c r="R3650" s="8">
        <f>IF(Q3650&lt;&gt;0,Q3650+H3650+L3650,0)</f>
        <v/>
      </c>
      <c r="S3650" s="9">
        <f>VLOOKUP(OPERAC[[#This Row],[especie]],[1]!ESPECIES[#Data],9,FALSE)</f>
        <v/>
      </c>
    </row>
    <row r="3651">
      <c r="A3651" s="4" t="n">
        <v>7867</v>
      </c>
      <c r="B3651" s="5" t="n">
        <v>44616</v>
      </c>
      <c r="C3651" s="13" t="inlineStr">
        <is>
          <t>CPR</t>
        </is>
      </c>
      <c r="D3651" s="13" t="n">
        <v>32</v>
      </c>
      <c r="E3651" s="10">
        <f>IF(D3651&gt;0,VLOOKUP(OPERAC[[#This Row],[COD CART]],[1]!MatrizCortoLargoCyl[#All],3,0),"")</f>
        <v/>
      </c>
      <c r="F3651" s="13" t="inlineStr">
        <is>
          <t>COTY/CYL/8,50/18-03-22</t>
        </is>
      </c>
      <c r="G3651" s="6" t="n">
        <v>100</v>
      </c>
      <c r="H3651" s="6" t="n">
        <v>-807.1405999999999</v>
      </c>
      <c r="I3651" s="7">
        <f>-H3651/G3651</f>
        <v/>
      </c>
      <c r="J3651" s="11" t="n">
        <v>44636</v>
      </c>
      <c r="K3651" s="6" t="n">
        <v>100</v>
      </c>
      <c r="L3651" s="6" t="n">
        <v>837.58</v>
      </c>
      <c r="M3651" s="7">
        <f>IF(N3651=0,+L3651+H3651,0)</f>
        <v/>
      </c>
      <c r="N3651" s="7">
        <f>IF((+G3651-K3651)=0,0,+G3651-K3651)</f>
        <v/>
      </c>
      <c r="O3651" s="7">
        <f>IF(N3651=0,0,(L3651+H3651)/-N3651)</f>
        <v/>
      </c>
      <c r="P3651" s="7">
        <f>VLOOKUP(OPERAC[[#This Row],[especie]],[1]!ESPECIES[#All],6,0)</f>
        <v/>
      </c>
      <c r="Q3651" s="7">
        <f>IF(N3651&lt;&gt;0,P3651*N3651,0)</f>
        <v/>
      </c>
      <c r="R3651" s="8">
        <f>IF(Q3651&lt;&gt;0,Q3651+H3651+L3651,0)</f>
        <v/>
      </c>
      <c r="S3651" s="9">
        <f>VLOOKUP(OPERAC[[#This Row],[especie]],[1]!ESPECIES[#Data],9,FALSE)</f>
        <v/>
      </c>
    </row>
    <row r="3652">
      <c r="A3652" s="4" t="n">
        <v>12690</v>
      </c>
      <c r="B3652" s="5" t="n">
        <v>44616</v>
      </c>
      <c r="C3652" s="13" t="inlineStr">
        <is>
          <t>CPR</t>
        </is>
      </c>
      <c r="D3652" s="13" t="n">
        <v>32</v>
      </c>
      <c r="E3652" s="10">
        <f>IF(D3652&gt;0,VLOOKUP(OPERAC[[#This Row],[COD CART]],[1]!MatrizCortoLargoCyl[#All],3,0),"")</f>
        <v/>
      </c>
      <c r="F3652" s="1" t="inlineStr">
        <is>
          <t>COTY/CYL/8,50/18-03-22</t>
        </is>
      </c>
      <c r="G3652" s="6" t="n">
        <v>100</v>
      </c>
      <c r="H3652" s="6" t="n">
        <v>-807.1405999999999</v>
      </c>
      <c r="I3652" s="7">
        <f>-H3652/G3652</f>
        <v/>
      </c>
      <c r="J3652" s="11" t="n">
        <v>44636</v>
      </c>
      <c r="K3652" s="6" t="n">
        <v>100</v>
      </c>
      <c r="L3652" s="6" t="n">
        <v>837.58</v>
      </c>
      <c r="M3652" s="7">
        <f>IF(N3652=0,+L3652+H3652,0)</f>
        <v/>
      </c>
      <c r="N3652" s="7">
        <f>IF((+G3652-K3652)=0,0,+G3652-K3652)</f>
        <v/>
      </c>
      <c r="O3652" s="7">
        <f>IF(N3652=0,0,(L3652+H3652)/-N3652)</f>
        <v/>
      </c>
      <c r="P3652" s="7">
        <f>VLOOKUP(OPERAC[[#This Row],[especie]],[1]!ESPECIES[#All],6,0)</f>
        <v/>
      </c>
      <c r="Q3652" s="7">
        <f>IF(N3652&lt;&gt;0,P3652*N3652,0)</f>
        <v/>
      </c>
      <c r="R3652" s="8">
        <f>IF(Q3652&lt;&gt;0,Q3652+H3652+L3652,0)</f>
        <v/>
      </c>
      <c r="S3652" s="9">
        <f>VLOOKUP(OPERAC[[#This Row],[especie]],[1]!ESPECIES[#Data],9,FALSE)</f>
        <v/>
      </c>
    </row>
    <row r="3653">
      <c r="A3653" s="4" t="n">
        <v>18651</v>
      </c>
      <c r="B3653" s="5" t="n">
        <v>44616</v>
      </c>
      <c r="C3653" s="13" t="inlineStr">
        <is>
          <t>CPR</t>
        </is>
      </c>
      <c r="D3653" s="13" t="n">
        <v>32</v>
      </c>
      <c r="E3653" s="10">
        <f>IF(D3653&gt;0,VLOOKUP(OPERAC[[#This Row],[COD CART]],[1]!MatrizCortoLargoCyl[#All],3,0),"")</f>
        <v/>
      </c>
      <c r="F3653" s="1" t="inlineStr">
        <is>
          <t>COTY/CYL/8,50/18-03-22</t>
        </is>
      </c>
      <c r="G3653" s="6" t="n">
        <v>100</v>
      </c>
      <c r="H3653" s="6" t="n">
        <v>-807.1405999999999</v>
      </c>
      <c r="I3653" s="7">
        <f>-H3653/G3653</f>
        <v/>
      </c>
      <c r="J3653" s="11" t="n">
        <v>44636</v>
      </c>
      <c r="K3653" s="6" t="n">
        <v>100</v>
      </c>
      <c r="L3653" s="6" t="n">
        <v>837.58</v>
      </c>
      <c r="M3653" s="7">
        <f>IF(N3653=0,+L3653+H3653,0)</f>
        <v/>
      </c>
      <c r="N3653" s="7">
        <f>IF((+G3653-K3653)=0,0,+G3653-K3653)</f>
        <v/>
      </c>
      <c r="O3653" s="7">
        <f>IF(N3653=0,0,(L3653+H3653)/-N3653)</f>
        <v/>
      </c>
      <c r="P3653" s="7">
        <f>VLOOKUP(OPERAC[[#This Row],[especie]],[1]!ESPECIES[#All],6,0)</f>
        <v/>
      </c>
      <c r="Q3653" s="7">
        <f>IF(N3653&lt;&gt;0,P3653*N3653,0)</f>
        <v/>
      </c>
      <c r="R3653" s="8">
        <f>IF(Q3653&lt;&gt;0,Q3653+H3653+L3653,0)</f>
        <v/>
      </c>
      <c r="S3653" s="9">
        <f>VLOOKUP(OPERAC[[#This Row],[especie]],[1]!ESPECIES[#Data],9,FALSE)</f>
        <v/>
      </c>
    </row>
    <row r="3654">
      <c r="A3654" s="4" t="n">
        <v>22439</v>
      </c>
      <c r="B3654" s="5" t="n">
        <v>44616</v>
      </c>
      <c r="C3654" s="13" t="inlineStr">
        <is>
          <t>CPR</t>
        </is>
      </c>
      <c r="D3654" s="13" t="n">
        <v>32</v>
      </c>
      <c r="E3654" s="10">
        <f>IF(D3654&gt;0,VLOOKUP(OPERAC[[#This Row],[COD CART]],[1]!MatrizCortoLargoCyl[#All],3,0),"")</f>
        <v/>
      </c>
      <c r="F3654" s="1" t="inlineStr">
        <is>
          <t>COTY/CYL/8,50/18-03-22</t>
        </is>
      </c>
      <c r="G3654" s="6" t="n">
        <v>100</v>
      </c>
      <c r="H3654" s="6" t="n">
        <v>-807.1405999999999</v>
      </c>
      <c r="I3654" s="7">
        <f>-H3654/G3654</f>
        <v/>
      </c>
      <c r="J3654" s="11" t="n">
        <v>44636</v>
      </c>
      <c r="K3654" s="6" t="n">
        <v>100</v>
      </c>
      <c r="L3654" s="6" t="n">
        <v>837.58</v>
      </c>
      <c r="M3654" s="7">
        <f>IF(N3654=0,+L3654+H3654,0)</f>
        <v/>
      </c>
      <c r="N3654" s="7">
        <f>IF((+G3654-K3654)=0,0,+G3654-K3654)</f>
        <v/>
      </c>
      <c r="O3654" s="7">
        <f>IF(N3654=0,0,(L3654+H3654)/-N3654)</f>
        <v/>
      </c>
      <c r="P3654" s="7">
        <f>VLOOKUP(OPERAC[[#This Row],[especie]],[1]!ESPECIES[#All],6,0)</f>
        <v/>
      </c>
      <c r="Q3654" s="7">
        <f>IF(N3654&lt;&gt;0,P3654*N3654,0)</f>
        <v/>
      </c>
      <c r="R3654" s="8">
        <f>IF(Q3654&lt;&gt;0,Q3654+H3654+L3654,0)</f>
        <v/>
      </c>
      <c r="S3654" s="9">
        <f>VLOOKUP(OPERAC[[#This Row],[especie]],[1]!ESPECIES[#Data],9,FALSE)</f>
        <v/>
      </c>
    </row>
    <row r="3655">
      <c r="A3655" s="4" t="n">
        <v>7919</v>
      </c>
      <c r="B3655" s="5" t="n">
        <v>44536</v>
      </c>
      <c r="C3655" s="13" t="inlineStr">
        <is>
          <t>CPR</t>
        </is>
      </c>
      <c r="D3655" s="13" t="n">
        <v>40</v>
      </c>
      <c r="E3655" s="10">
        <f>IF(D3655&gt;0,VLOOKUP(OPERAC[[#This Row],[COD CART]],[1]!MatrizCortoLargoCyl[#All],3,0),"")</f>
        <v/>
      </c>
      <c r="F3655" s="13" t="inlineStr">
        <is>
          <t>UVXY</t>
        </is>
      </c>
      <c r="G3655" s="6" t="n">
        <v>35</v>
      </c>
      <c r="H3655" s="6" t="n">
        <v>-811.2621999999999</v>
      </c>
      <c r="I3655" s="7">
        <f>-H3655/G3655</f>
        <v/>
      </c>
      <c r="J3655" s="11" t="n">
        <v>44571</v>
      </c>
      <c r="K3655" s="6">
        <f>+OPERAC[[#This Row],[cantidad]]</f>
        <v/>
      </c>
      <c r="L3655" s="6">
        <f>+OPERAC[[#This Row],[cantidad venta]]*14.135</f>
        <v/>
      </c>
      <c r="M3655" s="7">
        <f>IF(N3655=0,+L3655+H3655,0)</f>
        <v/>
      </c>
      <c r="N3655" s="7">
        <f>IF((+G3655-K3655)=0,0,+G3655-K3655)</f>
        <v/>
      </c>
      <c r="O3655" s="7">
        <f>IF(N3655=0,0,(L3655+H3655)/-N3655)</f>
        <v/>
      </c>
      <c r="P3655" s="7">
        <f>VLOOKUP(OPERAC[[#This Row],[especie]],[1]!ESPECIES[#All],6,0)</f>
        <v/>
      </c>
      <c r="Q3655" s="7">
        <f>IF(N3655&lt;&gt;0,P3655*N3655,0)</f>
        <v/>
      </c>
      <c r="R3655" s="8">
        <f>IF(Q3655&lt;&gt;0,Q3655+H3655+L3655,0)</f>
        <v/>
      </c>
      <c r="S3655" s="9">
        <f>VLOOKUP(OPERAC[[#This Row],[especie]],[1]!ESPECIES[#Data],9,FALSE)</f>
        <v/>
      </c>
    </row>
    <row r="3656">
      <c r="A3656" s="4" t="n">
        <v>16786</v>
      </c>
      <c r="B3656" s="5" t="n">
        <v>44536</v>
      </c>
      <c r="C3656" s="13" t="inlineStr">
        <is>
          <t>CPR</t>
        </is>
      </c>
      <c r="D3656" s="13" t="n">
        <v>40</v>
      </c>
      <c r="E3656" s="10">
        <f>IF(D3656&gt;0,VLOOKUP(OPERAC[[#This Row],[COD CART]],[1]!MatrizCortoLargoCyl[#All],3,0),"")</f>
        <v/>
      </c>
      <c r="F3656" s="13" t="inlineStr">
        <is>
          <t>UVXY</t>
        </is>
      </c>
      <c r="G3656" s="6" t="n">
        <v>35</v>
      </c>
      <c r="H3656" s="6" t="n">
        <v>-811.2621999999999</v>
      </c>
      <c r="I3656" s="7">
        <f>-H3656/G3656</f>
        <v/>
      </c>
      <c r="J3656" s="11" t="n">
        <v>44544</v>
      </c>
      <c r="K3656" s="6">
        <f>33+2</f>
        <v/>
      </c>
      <c r="L3656" s="6">
        <f>555.52+28.27</f>
        <v/>
      </c>
      <c r="M3656" s="7">
        <f>IF(N3656=0,+L3656+H3656,0)</f>
        <v/>
      </c>
      <c r="N3656" s="7">
        <f>IF((+G3656-K3656)=0,0,+G3656-K3656)</f>
        <v/>
      </c>
      <c r="O3656" s="7">
        <f>IF(N3656=0,0,(L3656+H3656)/-N3656)</f>
        <v/>
      </c>
      <c r="P3656" s="7">
        <f>VLOOKUP(OPERAC[[#This Row],[especie]],[1]!ESPECIES[#All],6,0)</f>
        <v/>
      </c>
      <c r="Q3656" s="7">
        <f>IF(N3656&lt;&gt;0,P3656*N3656,0)</f>
        <v/>
      </c>
      <c r="R3656" s="8">
        <f>IF(Q3656&lt;&gt;0,Q3656+H3656+L3656,0)</f>
        <v/>
      </c>
      <c r="S3656" s="9">
        <f>VLOOKUP(OPERAC[[#This Row],[especie]],[1]!ESPECIES[#Data],9,FALSE)</f>
        <v/>
      </c>
    </row>
    <row r="3657">
      <c r="A3657" s="4" t="n">
        <v>2306</v>
      </c>
      <c r="B3657" s="5" t="n">
        <v>44671</v>
      </c>
      <c r="C3657" s="13" t="inlineStr">
        <is>
          <t>CPR</t>
        </is>
      </c>
      <c r="D3657" s="13" t="n">
        <v>32</v>
      </c>
      <c r="E3657" s="10">
        <f>IF(D3657&gt;0,VLOOKUP(OPERAC[[#This Row],[COD CART]],[1]!MatrizCortoLargoCyl[#All],3,0),"")</f>
        <v/>
      </c>
      <c r="F3657" s="13" t="inlineStr">
        <is>
          <t>COTY</t>
        </is>
      </c>
      <c r="G3657" s="6" t="n">
        <v>100</v>
      </c>
      <c r="H3657" s="6" t="n">
        <v>-811.72</v>
      </c>
      <c r="I3657" s="7">
        <f>-H3657/G3657</f>
        <v/>
      </c>
      <c r="J3657" s="11" t="n">
        <v>44704</v>
      </c>
      <c r="K3657" s="6" t="n">
        <v>100</v>
      </c>
      <c r="L3657" s="6" t="n">
        <v>620.183</v>
      </c>
      <c r="M3657" s="7">
        <f>IF(N3657=0,+L3657+H3657,0)</f>
        <v/>
      </c>
      <c r="N3657" s="7">
        <f>IF((+G3657-K3657)=0,0,+G3657-K3657)</f>
        <v/>
      </c>
      <c r="O3657" s="7">
        <f>IF(N3657=0,0,(L3657+H3657)/-N3657)</f>
        <v/>
      </c>
      <c r="P3657" s="7">
        <f>VLOOKUP(OPERAC[[#This Row],[especie]],[1]!ESPECIES[#All],6,0)</f>
        <v/>
      </c>
      <c r="Q3657" s="7">
        <f>IF(N3657&lt;&gt;0,P3657*N3657,0)</f>
        <v/>
      </c>
      <c r="R3657" s="8">
        <f>IF(Q3657&lt;&gt;0,Q3657+H3657+L3657,0)</f>
        <v/>
      </c>
      <c r="S3657" s="9">
        <f>VLOOKUP(OPERAC[[#This Row],[especie]],[1]!ESPECIES[#Data],9,FALSE)</f>
        <v/>
      </c>
    </row>
    <row r="3658">
      <c r="A3658" s="4" t="n">
        <v>5212</v>
      </c>
      <c r="B3658" s="5" t="n">
        <v>44708</v>
      </c>
      <c r="C3658" s="13" t="inlineStr">
        <is>
          <t>CPR</t>
        </is>
      </c>
      <c r="D3658" s="13" t="n">
        <v>41</v>
      </c>
      <c r="E3658" s="10">
        <f>IF(D3658&gt;0,VLOOKUP(OPERAC[[#This Row],[COD CART]],[1]!MatrizCortoLargoCyl[#All],3,0),"")</f>
        <v/>
      </c>
      <c r="F3658" s="13" t="inlineStr">
        <is>
          <t>MELI</t>
        </is>
      </c>
      <c r="G3658" s="6" t="n">
        <v>1</v>
      </c>
      <c r="H3658" s="6" t="n">
        <v>-811.8579</v>
      </c>
      <c r="I3658" s="7">
        <f>-H3658/G3658</f>
        <v/>
      </c>
      <c r="J3658" s="5" t="n"/>
      <c r="K3658" s="6" t="n"/>
      <c r="L3658" s="6" t="n"/>
      <c r="M3658" s="7">
        <f>IF(N3658=0,+L3658+H3658,0)</f>
        <v/>
      </c>
      <c r="N3658" s="7">
        <f>IF((+G3658-K3658)=0,0,+G3658-K3658)</f>
        <v/>
      </c>
      <c r="O3658" s="7">
        <f>IF(N3658=0,0,(L3658+H3658)/-N3658)</f>
        <v/>
      </c>
      <c r="P3658" s="7">
        <f>VLOOKUP(OPERAC[[#This Row],[especie]],[1]!ESPECIES[#All],6,0)</f>
        <v/>
      </c>
      <c r="Q3658" s="7">
        <f>IF(N3658&lt;&gt;0,P3658*N3658,0)</f>
        <v/>
      </c>
      <c r="R3658" s="8">
        <f>IF(Q3658&lt;&gt;0,Q3658+H3658+L3658,0)</f>
        <v/>
      </c>
      <c r="S3658" s="9">
        <f>VLOOKUP(OPERAC[[#This Row],[especie]],[1]!ESPECIES[#Data],9,FALSE)</f>
        <v/>
      </c>
    </row>
    <row r="3659">
      <c r="A3659" s="12" t="n">
        <v>13253</v>
      </c>
      <c r="B3659" s="5" t="n">
        <v>44567</v>
      </c>
      <c r="C3659" s="13" t="inlineStr">
        <is>
          <t>CPR</t>
        </is>
      </c>
      <c r="D3659" s="13" t="n">
        <v>41</v>
      </c>
      <c r="E3659" s="10">
        <f>IF(D3659&gt;0,VLOOKUP(OPERAC[[#This Row],[COD CART]],[1]!MatrizCortoLargoCyl[#All],3,0),"")</f>
        <v/>
      </c>
      <c r="F3659" s="13" t="inlineStr">
        <is>
          <t>EWZ</t>
        </is>
      </c>
      <c r="G3659" s="6" t="n">
        <v>30</v>
      </c>
      <c r="H3659" s="6" t="n">
        <v>-812.3311199999999</v>
      </c>
      <c r="I3659" s="7">
        <f>-H3659/G3659</f>
        <v/>
      </c>
      <c r="J3659" s="11" t="n">
        <v>44623</v>
      </c>
      <c r="K3659" s="6" t="n">
        <v>10</v>
      </c>
      <c r="L3659" s="6">
        <f>+OPERAC[[#This Row],[cantidad venta]]*34.151</f>
        <v/>
      </c>
      <c r="M3659" s="7">
        <f>IF(N3659=0,+L3659+H3659,0)</f>
        <v/>
      </c>
      <c r="N3659" s="7">
        <f>IF((+G3659-K3659)=0,0,+G3659-K3659)</f>
        <v/>
      </c>
      <c r="O3659" s="7">
        <f>IF(N3659=0,0,(L3659+H3659)/-N3659)</f>
        <v/>
      </c>
      <c r="P3659" s="7">
        <f>VLOOKUP(OPERAC[[#This Row],[especie]],[1]!ESPECIES[#All],6,0)</f>
        <v/>
      </c>
      <c r="Q3659" s="7">
        <f>IF(N3659&lt;&gt;0,P3659*N3659,0)</f>
        <v/>
      </c>
      <c r="R3659" s="8">
        <f>IF(Q3659&lt;&gt;0,Q3659+H3659+L3659,0)</f>
        <v/>
      </c>
      <c r="S3659" s="9">
        <f>VLOOKUP(OPERAC[[#This Row],[especie]],[1]!ESPECIES[#Data],9,FALSE)</f>
        <v/>
      </c>
    </row>
    <row r="3660">
      <c r="A3660" s="4" t="n">
        <v>7950</v>
      </c>
      <c r="B3660" s="5" t="n">
        <v>44680</v>
      </c>
      <c r="C3660" s="13" t="inlineStr">
        <is>
          <t>CPR</t>
        </is>
      </c>
      <c r="D3660" s="13" t="n">
        <v>31</v>
      </c>
      <c r="E3660" s="10">
        <f>IF(D3660&gt;0,VLOOKUP(OPERAC[[#This Row],[COD CART]],[1]!MatrizCortoLargoCyl[#All],3,0),"")</f>
        <v/>
      </c>
      <c r="F3660" s="13" t="inlineStr">
        <is>
          <t>CRESY</t>
        </is>
      </c>
      <c r="G3660" s="6" t="n">
        <v>100</v>
      </c>
      <c r="H3660" s="6" t="n">
        <v>-813.0500000000001</v>
      </c>
      <c r="I3660" s="7">
        <f>-H3660/G3660</f>
        <v/>
      </c>
      <c r="J3660" s="11" t="n"/>
      <c r="K3660" s="6" t="n"/>
      <c r="L3660" s="6" t="n"/>
      <c r="M3660" s="7">
        <f>IF(N3660=0,+L3660+H3660,0)</f>
        <v/>
      </c>
      <c r="N3660" s="7">
        <f>IF((+G3660-K3660)=0,0,+G3660-K3660)</f>
        <v/>
      </c>
      <c r="O3660" s="7">
        <f>IF(N3660=0,0,(L3660+H3660)/-N3660)</f>
        <v/>
      </c>
      <c r="P3660" s="7">
        <f>VLOOKUP(OPERAC[[#This Row],[especie]],[1]!ESPECIES[#All],6,0)</f>
        <v/>
      </c>
      <c r="Q3660" s="7">
        <f>IF(N3660&lt;&gt;0,P3660*N3660,0)</f>
        <v/>
      </c>
      <c r="R3660" s="8">
        <f>IF(Q3660&lt;&gt;0,Q3660+H3660+L3660,0)</f>
        <v/>
      </c>
      <c r="S3660" s="9">
        <f>VLOOKUP(OPERAC[[#This Row],[especie]],[1]!ESPECIES[#Data],9,FALSE)</f>
        <v/>
      </c>
    </row>
    <row r="3661">
      <c r="A3661" s="4" t="n">
        <v>18713</v>
      </c>
      <c r="B3661" s="5" t="n">
        <v>44697</v>
      </c>
      <c r="C3661" s="13" t="inlineStr">
        <is>
          <t>CPR</t>
        </is>
      </c>
      <c r="D3661" s="13" t="n">
        <v>32</v>
      </c>
      <c r="E3661" s="10">
        <f>IF(D3661&gt;0,VLOOKUP(OPERAC[[#This Row],[COD CART]],[1]!MatrizCortoLargoCyl[#All],3,0),"")</f>
        <v/>
      </c>
      <c r="F3661" s="13" t="inlineStr">
        <is>
          <t>PLTR/CYL/11,00/24-06-22</t>
        </is>
      </c>
      <c r="G3661" s="6" t="n">
        <v>100</v>
      </c>
      <c r="H3661" s="6" t="n">
        <v>-813.576</v>
      </c>
      <c r="I3661" s="7">
        <f>-H3661/G3661</f>
        <v/>
      </c>
      <c r="J3661" s="11" t="n"/>
      <c r="K3661" s="6" t="n"/>
      <c r="L3661" s="6" t="n"/>
      <c r="M3661" s="7">
        <f>IF(N3661=0,+L3661+H3661,0)</f>
        <v/>
      </c>
      <c r="N3661" s="7">
        <f>IF((+G3661-K3661)=0,0,+G3661-K3661)</f>
        <v/>
      </c>
      <c r="O3661" s="7">
        <f>IF(N3661=0,0,(L3661+H3661)/-N3661)</f>
        <v/>
      </c>
      <c r="P3661" s="7">
        <f>VLOOKUP(OPERAC[[#This Row],[especie]],[1]!ESPECIES[#All],6,0)</f>
        <v/>
      </c>
      <c r="Q3661" s="7">
        <f>IF(N3661&lt;&gt;0,P3661*N3661,0)</f>
        <v/>
      </c>
      <c r="R3661" s="8">
        <f>IF(Q3661&lt;&gt;0,Q3661+H3661+L3661,0)</f>
        <v/>
      </c>
      <c r="S3661" s="9">
        <f>VLOOKUP(OPERAC[[#This Row],[especie]],[1]!ESPECIES[#Data],9,FALSE)</f>
        <v/>
      </c>
    </row>
    <row r="3662">
      <c r="A3662" s="4" t="n">
        <v>3835</v>
      </c>
      <c r="B3662" s="5" t="n">
        <v>44648</v>
      </c>
      <c r="C3662" s="13" t="inlineStr">
        <is>
          <t>CPR</t>
        </is>
      </c>
      <c r="D3662" s="13" t="n">
        <v>42</v>
      </c>
      <c r="E3662" s="10">
        <f>IF(D3662&gt;0,VLOOKUP(OPERAC[[#This Row],[COD CART]],[1]!MatrizCortoLargoCyl[#All],3,0),"")</f>
        <v/>
      </c>
      <c r="F3662" s="13" t="inlineStr">
        <is>
          <t>SMH</t>
        </is>
      </c>
      <c r="G3662" s="6" t="n">
        <v>3</v>
      </c>
      <c r="H3662" s="6" t="n">
        <v>-814.4663099999999</v>
      </c>
      <c r="I3662" s="7">
        <f>-H3662/G3662</f>
        <v/>
      </c>
      <c r="J3662" s="11" t="n">
        <v>44663</v>
      </c>
      <c r="K3662" s="6">
        <f>+OPERAC[[#This Row],[cantidad]]</f>
        <v/>
      </c>
      <c r="L3662" s="6">
        <f>+OPERAC[[#This Row],[cantidad venta]]*238.066</f>
        <v/>
      </c>
      <c r="M3662" s="7">
        <f>IF(N3662=0,+L3662+H3662,0)</f>
        <v/>
      </c>
      <c r="N3662" s="7">
        <f>IF((+G3662-K3662)=0,0,+G3662-K3662)</f>
        <v/>
      </c>
      <c r="O3662" s="7">
        <f>IF(N3662=0,0,(L3662+H3662)/-N3662)</f>
        <v/>
      </c>
      <c r="P3662" s="7">
        <f>VLOOKUP(OPERAC[[#This Row],[especie]],[1]!ESPECIES[#All],6,0)</f>
        <v/>
      </c>
      <c r="Q3662" s="7">
        <f>IF(N3662&lt;&gt;0,P3662*N3662,0)</f>
        <v/>
      </c>
      <c r="R3662" s="8">
        <f>IF(Q3662&lt;&gt;0,Q3662+H3662+L3662,0)</f>
        <v/>
      </c>
      <c r="S3662" s="9">
        <f>VLOOKUP(OPERAC[[#This Row],[especie]],[1]!ESPECIES[#Data],9,FALSE)</f>
        <v/>
      </c>
    </row>
    <row r="3663">
      <c r="A3663" s="4" t="n">
        <v>16780</v>
      </c>
      <c r="B3663" s="5" t="n">
        <v>44655</v>
      </c>
      <c r="C3663" s="13" t="inlineStr">
        <is>
          <t>CPR</t>
        </is>
      </c>
      <c r="D3663" s="13" t="n">
        <v>42</v>
      </c>
      <c r="E3663" s="10">
        <f>IF(D3663&gt;0,VLOOKUP(OPERAC[[#This Row],[COD CART]],[1]!MatrizCortoLargoCyl[#All],3,0),"")</f>
        <v/>
      </c>
      <c r="F3663" s="13" t="inlineStr">
        <is>
          <t>SMH</t>
        </is>
      </c>
      <c r="G3663" s="6" t="n">
        <v>3</v>
      </c>
      <c r="H3663" s="6" t="n">
        <v>-815.50632</v>
      </c>
      <c r="I3663" s="7">
        <f>-H3663/G3663</f>
        <v/>
      </c>
      <c r="J3663" s="11" t="n">
        <v>44663</v>
      </c>
      <c r="K3663" s="6">
        <f>+OPERAC[[#This Row],[cantidad]]</f>
        <v/>
      </c>
      <c r="L3663" s="6">
        <f>+OPERAC[[#This Row],[cantidad venta]]*238.066</f>
        <v/>
      </c>
      <c r="M3663" s="7">
        <f>IF(N3663=0,+L3663+H3663,0)</f>
        <v/>
      </c>
      <c r="N3663" s="7">
        <f>IF((+G3663-K3663)=0,0,+G3663-K3663)</f>
        <v/>
      </c>
      <c r="O3663" s="7">
        <f>IF(N3663=0,0,(L3663+H3663)/-N3663)</f>
        <v/>
      </c>
      <c r="P3663" s="7">
        <f>VLOOKUP(OPERAC[[#This Row],[especie]],[1]!ESPECIES[#All],6,0)</f>
        <v/>
      </c>
      <c r="Q3663" s="7">
        <f>IF(N3663&lt;&gt;0,P3663*N3663,0)</f>
        <v/>
      </c>
      <c r="R3663" s="8">
        <f>IF(Q3663&lt;&gt;0,Q3663+H3663+L3663,0)</f>
        <v/>
      </c>
      <c r="S3663" s="9">
        <f>VLOOKUP(OPERAC[[#This Row],[especie]],[1]!ESPECIES[#Data],9,FALSE)</f>
        <v/>
      </c>
    </row>
    <row r="3664">
      <c r="A3664" s="4" t="n">
        <v>2194</v>
      </c>
      <c r="B3664" s="5" t="n">
        <v>44636</v>
      </c>
      <c r="C3664" s="13" t="inlineStr">
        <is>
          <t>CPR</t>
        </is>
      </c>
      <c r="D3664" s="13" t="n">
        <v>43</v>
      </c>
      <c r="E3664" s="10">
        <f>IF(D3664&gt;0,VLOOKUP(OPERAC[[#This Row],[COD CART]],[1]!MatrizCortoLargoCyl[#All],3,0),"")</f>
        <v/>
      </c>
      <c r="F3664" s="13" t="inlineStr">
        <is>
          <t>GMBL/CYL-PUT/1,00/20-01-23</t>
        </is>
      </c>
      <c r="G3664" s="6" t="n">
        <v>5000</v>
      </c>
      <c r="H3664" s="6" t="n">
        <v>-816.9432500000003</v>
      </c>
      <c r="I3664" s="7">
        <f>-H3664/G3664</f>
        <v/>
      </c>
      <c r="J3664" s="11" t="n">
        <v>44691</v>
      </c>
      <c r="K3664" s="6" t="n">
        <v>5000</v>
      </c>
      <c r="L3664" s="6" t="n">
        <v>-2075.78</v>
      </c>
      <c r="M3664" s="7">
        <f>IF(N3664=0,+L3664+H3664,0)</f>
        <v/>
      </c>
      <c r="N3664" s="7">
        <f>IF((+G3664-K3664)=0,0,+G3664-K3664)</f>
        <v/>
      </c>
      <c r="O3664" s="7">
        <f>IF(N3664=0,0,(L3664+H3664)/-N3664)</f>
        <v/>
      </c>
      <c r="P3664" s="7">
        <f>VLOOKUP(OPERAC[[#This Row],[especie]],[1]!ESPECIES[#All],6,0)</f>
        <v/>
      </c>
      <c r="Q3664" s="7">
        <f>IF(N3664&lt;&gt;0,P3664*N3664,0)</f>
        <v/>
      </c>
      <c r="R3664" s="8">
        <f>IF(Q3664&lt;&gt;0,Q3664+H3664+L3664,0)</f>
        <v/>
      </c>
      <c r="S3664" s="9">
        <f>VLOOKUP(OPERAC[[#This Row],[especie]],[1]!ESPECIES[#Data],9,FALSE)</f>
        <v/>
      </c>
    </row>
    <row r="3665">
      <c r="A3665" s="4" t="n">
        <v>19934</v>
      </c>
      <c r="B3665" s="5" t="n">
        <v>44649</v>
      </c>
      <c r="C3665" s="13" t="inlineStr">
        <is>
          <t>CPR</t>
        </is>
      </c>
      <c r="D3665" s="13" t="n">
        <v>32</v>
      </c>
      <c r="E3665" s="10">
        <f>IF(D3665&gt;0,VLOOKUP(OPERAC[[#This Row],[COD CART]],[1]!MatrizCortoLargoCyl[#All],3,0),"")</f>
        <v/>
      </c>
      <c r="F3665" s="13" t="inlineStr">
        <is>
          <t>ARLO/CYL/9,00/15-07-22</t>
        </is>
      </c>
      <c r="G3665" s="6" t="n">
        <v>100</v>
      </c>
      <c r="H3665" s="6">
        <f>-827.412+9.92</f>
        <v/>
      </c>
      <c r="I3665" s="7">
        <f>-H3665/G3665</f>
        <v/>
      </c>
      <c r="J3665" s="11" t="n"/>
      <c r="K3665" s="6" t="n"/>
      <c r="L3665" s="6" t="n"/>
      <c r="M3665" s="7">
        <f>IF(N3665=0,+L3665+H3665,0)</f>
        <v/>
      </c>
      <c r="N3665" s="7">
        <f>IF((+G3665-K3665)=0,0,+G3665-K3665)</f>
        <v/>
      </c>
      <c r="O3665" s="7">
        <f>IF(N3665=0,0,(L3665+H3665)/-N3665)</f>
        <v/>
      </c>
      <c r="P3665" s="7">
        <f>VLOOKUP(OPERAC[[#This Row],[especie]],[1]!ESPECIES[#All],6,0)</f>
        <v/>
      </c>
      <c r="Q3665" s="7">
        <f>IF(N3665&lt;&gt;0,P3665*N3665,0)</f>
        <v/>
      </c>
      <c r="R3665" s="8">
        <f>IF(Q3665&lt;&gt;0,Q3665+H3665+L3665,0)</f>
        <v/>
      </c>
      <c r="S3665" s="9">
        <f>VLOOKUP(OPERAC[[#This Row],[especie]],[1]!ESPECIES[#Data],9,FALSE)</f>
        <v/>
      </c>
    </row>
    <row r="3666">
      <c r="A3666" s="4" t="n">
        <v>19972</v>
      </c>
      <c r="B3666" s="5" t="n">
        <v>44438</v>
      </c>
      <c r="C3666" s="13" t="inlineStr">
        <is>
          <t>CPR</t>
        </is>
      </c>
      <c r="D3666" s="13" t="n">
        <v>40</v>
      </c>
      <c r="E3666" s="10">
        <f>IF(D3666&gt;0,VLOOKUP(OPERAC[[#This Row],[COD CART]],[1]!MatrizCortoLargoCyl[#All],3,0),"")</f>
        <v/>
      </c>
      <c r="F3666" s="13" t="inlineStr">
        <is>
          <t>INO</t>
        </is>
      </c>
      <c r="G3666" s="6" t="n">
        <v>100</v>
      </c>
      <c r="H3666" s="6" t="n">
        <v>-819.686</v>
      </c>
      <c r="I3666" s="7">
        <f>-H3666/G3666</f>
        <v/>
      </c>
      <c r="J3666" s="11" t="n">
        <v>44606</v>
      </c>
      <c r="K3666" s="6" t="n">
        <v>100</v>
      </c>
      <c r="L3666" s="6" t="n">
        <v>324.366</v>
      </c>
      <c r="M3666" s="7">
        <f>IF(N3666=0,+L3666+H3666,0)</f>
        <v/>
      </c>
      <c r="N3666" s="7">
        <f>IF((+G3666-K3666)=0,0,+G3666-K3666)</f>
        <v/>
      </c>
      <c r="O3666" s="7">
        <f>IF(N3666=0,0,(L3666+H3666)/-N3666)</f>
        <v/>
      </c>
      <c r="P3666" s="7">
        <f>VLOOKUP(OPERAC[[#This Row],[especie]],[1]!ESPECIES[#All],6,0)</f>
        <v/>
      </c>
      <c r="Q3666" s="7">
        <f>IF(N3666&lt;&gt;0,P3666*N3666,0)</f>
        <v/>
      </c>
      <c r="R3666" s="8">
        <f>IF(Q3666&lt;&gt;0,Q3666+H3666+L3666,0)</f>
        <v/>
      </c>
      <c r="S3666" s="9">
        <f>VLOOKUP(OPERAC[[#This Row],[especie]],[1]!ESPECIES[#Data],9,FALSE)</f>
        <v/>
      </c>
    </row>
    <row r="3667">
      <c r="A3667" s="4" t="n">
        <v>2194</v>
      </c>
      <c r="B3667" s="5" t="n">
        <v>44648</v>
      </c>
      <c r="C3667" s="13" t="inlineStr">
        <is>
          <t>CPR</t>
        </is>
      </c>
      <c r="D3667" s="13" t="n">
        <v>42</v>
      </c>
      <c r="E3667" s="10">
        <f>IF(D3667&gt;0,VLOOKUP(OPERAC[[#This Row],[COD CART]],[1]!MatrizCortoLargoCyl[#All],3,0),"")</f>
        <v/>
      </c>
      <c r="F3667" s="13" t="inlineStr">
        <is>
          <t>SMH</t>
        </is>
      </c>
      <c r="G3667" s="6" t="n">
        <v>3</v>
      </c>
      <c r="H3667" s="6" t="n">
        <v>-820.1608799999999</v>
      </c>
      <c r="I3667" s="7">
        <f>-H3667/G3667</f>
        <v/>
      </c>
      <c r="J3667" s="11" t="n">
        <v>44663</v>
      </c>
      <c r="K3667" s="6">
        <f>+OPERAC[[#This Row],[cantidad]]</f>
        <v/>
      </c>
      <c r="L3667" s="6">
        <f>+OPERAC[[#This Row],[cantidad venta]]*238.066</f>
        <v/>
      </c>
      <c r="M3667" s="7">
        <f>IF(N3667=0,+L3667+H3667,0)</f>
        <v/>
      </c>
      <c r="N3667" s="7">
        <f>IF((+G3667-K3667)=0,0,+G3667-K3667)</f>
        <v/>
      </c>
      <c r="O3667" s="7">
        <f>IF(N3667=0,0,(L3667+H3667)/-N3667)</f>
        <v/>
      </c>
      <c r="P3667" s="7">
        <f>VLOOKUP(OPERAC[[#This Row],[especie]],[1]!ESPECIES[#All],6,0)</f>
        <v/>
      </c>
      <c r="Q3667" s="7">
        <f>IF(N3667&lt;&gt;0,P3667*N3667,0)</f>
        <v/>
      </c>
      <c r="R3667" s="8">
        <f>IF(Q3667&lt;&gt;0,Q3667+H3667+L3667,0)</f>
        <v/>
      </c>
      <c r="S3667" s="9">
        <f>VLOOKUP(OPERAC[[#This Row],[especie]],[1]!ESPECIES[#Data],9,FALSE)</f>
        <v/>
      </c>
    </row>
    <row r="3668">
      <c r="A3668" s="4" t="n">
        <v>6578</v>
      </c>
      <c r="B3668" s="5" t="n">
        <v>44587</v>
      </c>
      <c r="C3668" s="13" t="inlineStr">
        <is>
          <t>CPR</t>
        </is>
      </c>
      <c r="D3668" s="13" t="n">
        <v>40</v>
      </c>
      <c r="E3668" s="10">
        <f>IF(D3668&gt;0,VLOOKUP(OPERAC[[#This Row],[COD CART]],[1]!MatrizCortoLargoCyl[#All],3,0),"")</f>
        <v/>
      </c>
      <c r="F3668" s="13" t="inlineStr">
        <is>
          <t>AAPL</t>
        </is>
      </c>
      <c r="G3668" s="6" t="n">
        <v>5</v>
      </c>
      <c r="H3668" s="6" t="n">
        <v>-820.2721</v>
      </c>
      <c r="I3668" s="7">
        <f>-H3668/G3668</f>
        <v/>
      </c>
      <c r="J3668" s="11" t="n">
        <v>44601</v>
      </c>
      <c r="K3668" s="6" t="n">
        <v>5</v>
      </c>
      <c r="L3668" s="6">
        <f>175.66*OPERAC[[#This Row],[cantidad venta]]</f>
        <v/>
      </c>
      <c r="M3668" s="7">
        <f>IF(N3668=0,+L3668+H3668,0)</f>
        <v/>
      </c>
      <c r="N3668" s="7">
        <f>IF((+G3668-K3668)=0,0,+G3668-K3668)</f>
        <v/>
      </c>
      <c r="O3668" s="7">
        <f>IF(N3668=0,0,(L3668+H3668)/-N3668)</f>
        <v/>
      </c>
      <c r="P3668" s="7">
        <f>VLOOKUP(OPERAC[[#This Row],[especie]],[1]!ESPECIES[#All],6,0)</f>
        <v/>
      </c>
      <c r="Q3668" s="7">
        <f>IF(N3668&lt;&gt;0,P3668*N3668,0)</f>
        <v/>
      </c>
      <c r="R3668" s="8">
        <f>IF(Q3668&lt;&gt;0,Q3668+H3668+L3668,0)</f>
        <v/>
      </c>
      <c r="S3668" s="9">
        <f>VLOOKUP(OPERAC[[#This Row],[especie]],[1]!ESPECIES[#Data],9,FALSE)</f>
        <v/>
      </c>
    </row>
    <row r="3669">
      <c r="A3669" s="4" t="n">
        <v>12672</v>
      </c>
      <c r="B3669" s="5" t="n">
        <v>44587</v>
      </c>
      <c r="C3669" s="13" t="inlineStr">
        <is>
          <t>CPR</t>
        </is>
      </c>
      <c r="D3669" s="13" t="n">
        <v>40</v>
      </c>
      <c r="E3669" s="10">
        <f>IF(D3669&gt;0,VLOOKUP(OPERAC[[#This Row],[COD CART]],[1]!MatrizCortoLargoCyl[#All],3,0),"")</f>
        <v/>
      </c>
      <c r="F3669" s="13" t="inlineStr">
        <is>
          <t>AAPL</t>
        </is>
      </c>
      <c r="G3669" s="6" t="n">
        <v>5</v>
      </c>
      <c r="H3669" s="6" t="n">
        <v>-820.2721</v>
      </c>
      <c r="I3669" s="7">
        <f>-H3669/G3669</f>
        <v/>
      </c>
      <c r="J3669" s="11" t="n">
        <v>44601</v>
      </c>
      <c r="K3669" s="6" t="n">
        <v>5</v>
      </c>
      <c r="L3669" s="6">
        <f>175.66*OPERAC[[#This Row],[cantidad venta]]</f>
        <v/>
      </c>
      <c r="M3669" s="7">
        <f>IF(N3669=0,+L3669+H3669,0)</f>
        <v/>
      </c>
      <c r="N3669" s="7">
        <f>IF((+G3669-K3669)=0,0,+G3669-K3669)</f>
        <v/>
      </c>
      <c r="O3669" s="7">
        <f>IF(N3669=0,0,(L3669+H3669)/-N3669)</f>
        <v/>
      </c>
      <c r="P3669" s="7">
        <f>VLOOKUP(OPERAC[[#This Row],[especie]],[1]!ESPECIES[#All],6,0)</f>
        <v/>
      </c>
      <c r="Q3669" s="7">
        <f>IF(N3669&lt;&gt;0,P3669*N3669,0)</f>
        <v/>
      </c>
      <c r="R3669" s="8">
        <f>IF(Q3669&lt;&gt;0,Q3669+H3669+L3669,0)</f>
        <v/>
      </c>
      <c r="S3669" s="9">
        <f>VLOOKUP(OPERAC[[#This Row],[especie]],[1]!ESPECIES[#Data],9,FALSE)</f>
        <v/>
      </c>
    </row>
    <row r="3670">
      <c r="A3670" s="4" t="n">
        <v>12674</v>
      </c>
      <c r="B3670" s="5" t="n">
        <v>44587</v>
      </c>
      <c r="C3670" s="13" t="inlineStr">
        <is>
          <t>CPR</t>
        </is>
      </c>
      <c r="D3670" s="13" t="n">
        <v>40</v>
      </c>
      <c r="E3670" s="10">
        <f>IF(D3670&gt;0,VLOOKUP(OPERAC[[#This Row],[COD CART]],[1]!MatrizCortoLargoCyl[#All],3,0),"")</f>
        <v/>
      </c>
      <c r="F3670" s="13" t="inlineStr">
        <is>
          <t>AAPL</t>
        </is>
      </c>
      <c r="G3670" s="6" t="n">
        <v>5</v>
      </c>
      <c r="H3670" s="6" t="n">
        <v>-820.2721</v>
      </c>
      <c r="I3670" s="7">
        <f>-H3670/G3670</f>
        <v/>
      </c>
      <c r="J3670" s="11" t="n">
        <v>44592</v>
      </c>
      <c r="K3670" s="6" t="n">
        <v>5</v>
      </c>
      <c r="L3670" s="6" t="n">
        <v>857.963</v>
      </c>
      <c r="M3670" s="7">
        <f>IF(N3670=0,+L3670+H3670,0)</f>
        <v/>
      </c>
      <c r="N3670" s="7">
        <f>IF((+G3670-K3670)=0,0,+G3670-K3670)</f>
        <v/>
      </c>
      <c r="O3670" s="7">
        <f>IF(N3670=0,0,(L3670+H3670)/-N3670)</f>
        <v/>
      </c>
      <c r="P3670" s="7">
        <f>VLOOKUP(OPERAC[[#This Row],[especie]],[1]!ESPECIES[#All],6,0)</f>
        <v/>
      </c>
      <c r="Q3670" s="7">
        <f>IF(N3670&lt;&gt;0,P3670*N3670,0)</f>
        <v/>
      </c>
      <c r="R3670" s="8">
        <f>IF(Q3670&lt;&gt;0,Q3670+H3670+L3670,0)</f>
        <v/>
      </c>
      <c r="S3670" s="9">
        <f>VLOOKUP(OPERAC[[#This Row],[especie]],[1]!ESPECIES[#Data],9,FALSE)</f>
        <v/>
      </c>
    </row>
    <row r="3671">
      <c r="A3671" s="4" t="n">
        <v>13240</v>
      </c>
      <c r="B3671" s="5" t="n">
        <v>44587</v>
      </c>
      <c r="C3671" s="13" t="inlineStr">
        <is>
          <t>CPR</t>
        </is>
      </c>
      <c r="D3671" s="13" t="n">
        <v>40</v>
      </c>
      <c r="E3671" s="10">
        <f>IF(D3671&gt;0,VLOOKUP(OPERAC[[#This Row],[COD CART]],[1]!MatrizCortoLargoCyl[#All],3,0),"")</f>
        <v/>
      </c>
      <c r="F3671" s="13" t="inlineStr">
        <is>
          <t>AAPL</t>
        </is>
      </c>
      <c r="G3671" s="6" t="n">
        <v>5</v>
      </c>
      <c r="H3671" s="6" t="n">
        <v>-820.2721</v>
      </c>
      <c r="I3671" s="7">
        <f>-H3671/G3671</f>
        <v/>
      </c>
      <c r="J3671" s="11" t="n">
        <v>44601</v>
      </c>
      <c r="K3671" s="6" t="n">
        <v>5</v>
      </c>
      <c r="L3671" s="6">
        <f>175.66*OPERAC[[#This Row],[cantidad venta]]</f>
        <v/>
      </c>
      <c r="M3671" s="7">
        <f>IF(N3671=0,+L3671+H3671,0)</f>
        <v/>
      </c>
      <c r="N3671" s="7">
        <f>IF((+G3671-K3671)=0,0,+G3671-K3671)</f>
        <v/>
      </c>
      <c r="O3671" s="7">
        <f>IF(N3671=0,0,(L3671+H3671)/-N3671)</f>
        <v/>
      </c>
      <c r="P3671" s="7">
        <f>VLOOKUP(OPERAC[[#This Row],[especie]],[1]!ESPECIES[#All],6,0)</f>
        <v/>
      </c>
      <c r="Q3671" s="7">
        <f>IF(N3671&lt;&gt;0,P3671*N3671,0)</f>
        <v/>
      </c>
      <c r="R3671" s="8">
        <f>IF(Q3671&lt;&gt;0,Q3671+H3671+L3671,0)</f>
        <v/>
      </c>
      <c r="S3671" s="9">
        <f>VLOOKUP(OPERAC[[#This Row],[especie]],[1]!ESPECIES[#Data],9,FALSE)</f>
        <v/>
      </c>
    </row>
    <row r="3672">
      <c r="A3672" s="4" t="n">
        <v>13246</v>
      </c>
      <c r="B3672" s="5" t="n">
        <v>44587</v>
      </c>
      <c r="C3672" s="13" t="inlineStr">
        <is>
          <t>CPR</t>
        </is>
      </c>
      <c r="D3672" s="13" t="n">
        <v>40</v>
      </c>
      <c r="E3672" s="10">
        <f>IF(D3672&gt;0,VLOOKUP(OPERAC[[#This Row],[COD CART]],[1]!MatrizCortoLargoCyl[#All],3,0),"")</f>
        <v/>
      </c>
      <c r="F3672" s="13" t="inlineStr">
        <is>
          <t>AAPL</t>
        </is>
      </c>
      <c r="G3672" s="6" t="n">
        <v>5</v>
      </c>
      <c r="H3672" s="6" t="n">
        <v>-820.2721</v>
      </c>
      <c r="I3672" s="7">
        <f>-H3672/G3672</f>
        <v/>
      </c>
      <c r="J3672" s="11" t="n">
        <v>44601</v>
      </c>
      <c r="K3672" s="6" t="n">
        <v>5</v>
      </c>
      <c r="L3672" s="6">
        <f>175.66*OPERAC[[#This Row],[cantidad venta]]</f>
        <v/>
      </c>
      <c r="M3672" s="7">
        <f>IF(N3672=0,+L3672+H3672,0)</f>
        <v/>
      </c>
      <c r="N3672" s="7">
        <f>IF((+G3672-K3672)=0,0,+G3672-K3672)</f>
        <v/>
      </c>
      <c r="O3672" s="7">
        <f>IF(N3672=0,0,(L3672+H3672)/-N3672)</f>
        <v/>
      </c>
      <c r="P3672" s="7">
        <f>VLOOKUP(OPERAC[[#This Row],[especie]],[1]!ESPECIES[#All],6,0)</f>
        <v/>
      </c>
      <c r="Q3672" s="7">
        <f>IF(N3672&lt;&gt;0,P3672*N3672,0)</f>
        <v/>
      </c>
      <c r="R3672" s="8">
        <f>IF(Q3672&lt;&gt;0,Q3672+H3672+L3672,0)</f>
        <v/>
      </c>
      <c r="S3672" s="9">
        <f>VLOOKUP(OPERAC[[#This Row],[especie]],[1]!ESPECIES[#Data],9,FALSE)</f>
        <v/>
      </c>
    </row>
    <row r="3673">
      <c r="A3673" s="4" t="n">
        <v>16780</v>
      </c>
      <c r="B3673" s="5" t="n">
        <v>44587</v>
      </c>
      <c r="C3673" s="13" t="inlineStr">
        <is>
          <t>CPR</t>
        </is>
      </c>
      <c r="D3673" s="13" t="n">
        <v>40</v>
      </c>
      <c r="E3673" s="10">
        <f>IF(D3673&gt;0,VLOOKUP(OPERAC[[#This Row],[COD CART]],[1]!MatrizCortoLargoCyl[#All],3,0),"")</f>
        <v/>
      </c>
      <c r="F3673" s="13" t="inlineStr">
        <is>
          <t>AAPL</t>
        </is>
      </c>
      <c r="G3673" s="6" t="n">
        <v>5</v>
      </c>
      <c r="H3673" s="6" t="n">
        <v>-820.2721</v>
      </c>
      <c r="I3673" s="7">
        <f>-H3673/G3673</f>
        <v/>
      </c>
      <c r="J3673" s="11" t="n">
        <v>44601</v>
      </c>
      <c r="K3673" s="6" t="n">
        <v>5</v>
      </c>
      <c r="L3673" s="6">
        <f>175.66*OPERAC[[#This Row],[cantidad venta]]</f>
        <v/>
      </c>
      <c r="M3673" s="7">
        <f>IF(N3673=0,+L3673+H3673,0)</f>
        <v/>
      </c>
      <c r="N3673" s="7">
        <f>IF((+G3673-K3673)=0,0,+G3673-K3673)</f>
        <v/>
      </c>
      <c r="O3673" s="7">
        <f>IF(N3673=0,0,(L3673+H3673)/-N3673)</f>
        <v/>
      </c>
      <c r="P3673" s="7">
        <f>VLOOKUP(OPERAC[[#This Row],[especie]],[1]!ESPECIES[#All],6,0)</f>
        <v/>
      </c>
      <c r="Q3673" s="7">
        <f>IF(N3673&lt;&gt;0,P3673*N3673,0)</f>
        <v/>
      </c>
      <c r="R3673" s="8">
        <f>IF(Q3673&lt;&gt;0,Q3673+H3673+L3673,0)</f>
        <v/>
      </c>
      <c r="S3673" s="9">
        <f>VLOOKUP(OPERAC[[#This Row],[especie]],[1]!ESPECIES[#Data],9,FALSE)</f>
        <v/>
      </c>
    </row>
    <row r="3674">
      <c r="A3674" s="4" t="n">
        <v>18662</v>
      </c>
      <c r="B3674" s="5" t="n">
        <v>44587</v>
      </c>
      <c r="C3674" s="13" t="inlineStr">
        <is>
          <t>CPR</t>
        </is>
      </c>
      <c r="D3674" s="13" t="n">
        <v>40</v>
      </c>
      <c r="E3674" s="10">
        <f>IF(D3674&gt;0,VLOOKUP(OPERAC[[#This Row],[COD CART]],[1]!MatrizCortoLargoCyl[#All],3,0),"")</f>
        <v/>
      </c>
      <c r="F3674" s="13" t="inlineStr">
        <is>
          <t>AAPL</t>
        </is>
      </c>
      <c r="G3674" s="6" t="n">
        <v>5</v>
      </c>
      <c r="H3674" s="6" t="n">
        <v>-820.2721</v>
      </c>
      <c r="I3674" s="7">
        <f>-H3674/G3674</f>
        <v/>
      </c>
      <c r="J3674" s="11" t="n">
        <v>44601</v>
      </c>
      <c r="K3674" s="6" t="n">
        <v>5</v>
      </c>
      <c r="L3674" s="6">
        <f>175.66*OPERAC[[#This Row],[cantidad venta]]</f>
        <v/>
      </c>
      <c r="M3674" s="7">
        <f>IF(N3674=0,+L3674+H3674,0)</f>
        <v/>
      </c>
      <c r="N3674" s="7">
        <f>IF((+G3674-K3674)=0,0,+G3674-K3674)</f>
        <v/>
      </c>
      <c r="O3674" s="7">
        <f>IF(N3674=0,0,(L3674+H3674)/-N3674)</f>
        <v/>
      </c>
      <c r="P3674" s="7">
        <f>VLOOKUP(OPERAC[[#This Row],[especie]],[1]!ESPECIES[#All],6,0)</f>
        <v/>
      </c>
      <c r="Q3674" s="7">
        <f>IF(N3674&lt;&gt;0,P3674*N3674,0)</f>
        <v/>
      </c>
      <c r="R3674" s="8">
        <f>IF(Q3674&lt;&gt;0,Q3674+H3674+L3674,0)</f>
        <v/>
      </c>
      <c r="S3674" s="9">
        <f>VLOOKUP(OPERAC[[#This Row],[especie]],[1]!ESPECIES[#Data],9,FALSE)</f>
        <v/>
      </c>
    </row>
    <row r="3675">
      <c r="A3675" s="4" t="n">
        <v>20312</v>
      </c>
      <c r="B3675" s="5" t="n">
        <v>44587</v>
      </c>
      <c r="C3675" s="13" t="inlineStr">
        <is>
          <t>CPR</t>
        </is>
      </c>
      <c r="D3675" s="13" t="n">
        <v>40</v>
      </c>
      <c r="E3675" s="10">
        <f>IF(D3675&gt;0,VLOOKUP(OPERAC[[#This Row],[COD CART]],[1]!MatrizCortoLargoCyl[#All],3,0),"")</f>
        <v/>
      </c>
      <c r="F3675" s="13" t="inlineStr">
        <is>
          <t>AAPL</t>
        </is>
      </c>
      <c r="G3675" s="6" t="n">
        <v>5</v>
      </c>
      <c r="H3675" s="6" t="n">
        <v>-820.2721</v>
      </c>
      <c r="I3675" s="7">
        <f>-H3675/G3675</f>
        <v/>
      </c>
      <c r="J3675" s="11" t="n">
        <v>44601</v>
      </c>
      <c r="K3675" s="6" t="n">
        <v>5</v>
      </c>
      <c r="L3675" s="6">
        <f>175.66*OPERAC[[#This Row],[cantidad venta]]</f>
        <v/>
      </c>
      <c r="M3675" s="7">
        <f>IF(N3675=0,+L3675+H3675,0)</f>
        <v/>
      </c>
      <c r="N3675" s="7">
        <f>IF((+G3675-K3675)=0,0,+G3675-K3675)</f>
        <v/>
      </c>
      <c r="O3675" s="7">
        <f>IF(N3675=0,0,(L3675+H3675)/-N3675)</f>
        <v/>
      </c>
      <c r="P3675" s="7">
        <f>VLOOKUP(OPERAC[[#This Row],[especie]],[1]!ESPECIES[#All],6,0)</f>
        <v/>
      </c>
      <c r="Q3675" s="7">
        <f>IF(N3675&lt;&gt;0,P3675*N3675,0)</f>
        <v/>
      </c>
      <c r="R3675" s="8">
        <f>IF(Q3675&lt;&gt;0,Q3675+H3675+L3675,0)</f>
        <v/>
      </c>
      <c r="S3675" s="9">
        <f>VLOOKUP(OPERAC[[#This Row],[especie]],[1]!ESPECIES[#Data],9,FALSE)</f>
        <v/>
      </c>
    </row>
    <row r="3676">
      <c r="A3676" s="4" t="n">
        <v>26140</v>
      </c>
      <c r="B3676" s="5" t="n">
        <v>44587</v>
      </c>
      <c r="C3676" s="13" t="inlineStr">
        <is>
          <t>CPR</t>
        </is>
      </c>
      <c r="D3676" s="13" t="n">
        <v>40</v>
      </c>
      <c r="E3676" s="10">
        <f>IF(D3676&gt;0,VLOOKUP(OPERAC[[#This Row],[COD CART]],[1]!MatrizCortoLargoCyl[#All],3,0),"")</f>
        <v/>
      </c>
      <c r="F3676" s="13" t="inlineStr">
        <is>
          <t>AAPL</t>
        </is>
      </c>
      <c r="G3676" s="6" t="n">
        <v>5</v>
      </c>
      <c r="H3676" s="6" t="n">
        <v>-820.2721</v>
      </c>
      <c r="I3676" s="7">
        <f>-H3676/G3676</f>
        <v/>
      </c>
      <c r="J3676" s="11" t="n">
        <v>44601</v>
      </c>
      <c r="K3676" s="6" t="n">
        <v>5</v>
      </c>
      <c r="L3676" s="6">
        <f>175.66*OPERAC[[#This Row],[cantidad venta]]</f>
        <v/>
      </c>
      <c r="M3676" s="7">
        <f>IF(N3676=0,+L3676+H3676,0)</f>
        <v/>
      </c>
      <c r="N3676" s="7">
        <f>IF((+G3676-K3676)=0,0,+G3676-K3676)</f>
        <v/>
      </c>
      <c r="O3676" s="7">
        <f>IF(N3676=0,0,(L3676+H3676)/-N3676)</f>
        <v/>
      </c>
      <c r="P3676" s="7">
        <f>VLOOKUP(OPERAC[[#This Row],[especie]],[1]!ESPECIES[#All],6,0)</f>
        <v/>
      </c>
      <c r="Q3676" s="7">
        <f>IF(N3676&lt;&gt;0,P3676*N3676,0)</f>
        <v/>
      </c>
      <c r="R3676" s="8">
        <f>IF(Q3676&lt;&gt;0,Q3676+H3676+L3676,0)</f>
        <v/>
      </c>
      <c r="S3676" s="9">
        <f>VLOOKUP(OPERAC[[#This Row],[especie]],[1]!ESPECIES[#Data],9,FALSE)</f>
        <v/>
      </c>
    </row>
    <row r="3677">
      <c r="A3677" s="4" t="n">
        <v>22433</v>
      </c>
      <c r="B3677" s="5" t="n">
        <v>44649</v>
      </c>
      <c r="C3677" s="13" t="inlineStr">
        <is>
          <t>CPR</t>
        </is>
      </c>
      <c r="D3677" s="13" t="n">
        <v>32</v>
      </c>
      <c r="E3677" s="10">
        <f>IF(D3677&gt;0,VLOOKUP(OPERAC[[#This Row],[COD CART]],[1]!MatrizCortoLargoCyl[#All],3,0),"")</f>
        <v/>
      </c>
      <c r="F3677" s="13" t="inlineStr">
        <is>
          <t>ARLO/CYL/9,00/15-07-22</t>
        </is>
      </c>
      <c r="G3677" s="6" t="n">
        <v>100</v>
      </c>
      <c r="H3677" s="6">
        <f>-827.412+5.949</f>
        <v/>
      </c>
      <c r="I3677" s="7">
        <f>-H3677/G3677</f>
        <v/>
      </c>
      <c r="J3677" s="11" t="n"/>
      <c r="K3677" s="6" t="n"/>
      <c r="L3677" s="6" t="n"/>
      <c r="M3677" s="7">
        <f>IF(N3677=0,+L3677+H3677,0)</f>
        <v/>
      </c>
      <c r="N3677" s="7">
        <f>IF((+G3677-K3677)=0,0,+G3677-K3677)</f>
        <v/>
      </c>
      <c r="O3677" s="7">
        <f>IF(N3677=0,0,(L3677+H3677)/-N3677)</f>
        <v/>
      </c>
      <c r="P3677" s="7">
        <f>VLOOKUP(OPERAC[[#This Row],[especie]],[1]!ESPECIES[#All],6,0)</f>
        <v/>
      </c>
      <c r="Q3677" s="7">
        <f>IF(N3677&lt;&gt;0,P3677*N3677,0)</f>
        <v/>
      </c>
      <c r="R3677" s="8">
        <f>IF(Q3677&lt;&gt;0,Q3677+H3677+L3677,0)</f>
        <v/>
      </c>
      <c r="S3677" s="9">
        <f>VLOOKUP(OPERAC[[#This Row],[especie]],[1]!ESPECIES[#Data],9,FALSE)</f>
        <v/>
      </c>
    </row>
    <row r="3678">
      <c r="A3678" s="4" t="n">
        <v>16786</v>
      </c>
      <c r="B3678" s="5" t="n">
        <v>44663</v>
      </c>
      <c r="C3678" s="13" t="inlineStr">
        <is>
          <t>CPR</t>
        </is>
      </c>
      <c r="D3678" s="13" t="n">
        <v>32</v>
      </c>
      <c r="E3678" s="10">
        <f>IF(D3678&gt;0,VLOOKUP(OPERAC[[#This Row],[COD CART]],[1]!MatrizCortoLargoCyl[#All],3,0),"")</f>
        <v/>
      </c>
      <c r="F3678" s="13" t="inlineStr">
        <is>
          <t>COTY</t>
        </is>
      </c>
      <c r="G3678" s="6" t="n">
        <v>100</v>
      </c>
      <c r="H3678" s="6" t="n">
        <v>-821.71</v>
      </c>
      <c r="I3678" s="7">
        <f>-H3678/G3678</f>
        <v/>
      </c>
      <c r="J3678" s="11" t="n">
        <v>44705</v>
      </c>
      <c r="K3678" s="6" t="n">
        <v>100</v>
      </c>
      <c r="L3678" s="6" t="n">
        <v>598.941</v>
      </c>
      <c r="M3678" s="7">
        <f>IF(N3678=0,+L3678+H3678,0)</f>
        <v/>
      </c>
      <c r="N3678" s="7">
        <f>IF((+G3678-K3678)=0,0,+G3678-K3678)</f>
        <v/>
      </c>
      <c r="O3678" s="7">
        <f>IF(N3678=0,0,(L3678+H3678)/-N3678)</f>
        <v/>
      </c>
      <c r="P3678" s="7">
        <f>VLOOKUP(OPERAC[[#This Row],[especie]],[1]!ESPECIES[#All],6,0)</f>
        <v/>
      </c>
      <c r="Q3678" s="7">
        <f>IF(N3678&lt;&gt;0,P3678*N3678,0)</f>
        <v/>
      </c>
      <c r="R3678" s="8">
        <f>IF(Q3678&lt;&gt;0,Q3678+H3678+L3678,0)</f>
        <v/>
      </c>
      <c r="S3678" s="9">
        <f>VLOOKUP(OPERAC[[#This Row],[especie]],[1]!ESPECIES[#Data],9,FALSE)</f>
        <v/>
      </c>
    </row>
    <row r="3679">
      <c r="A3679" s="4" t="n">
        <v>13271</v>
      </c>
      <c r="B3679" s="5" t="n">
        <v>44659</v>
      </c>
      <c r="C3679" s="13" t="inlineStr">
        <is>
          <t>CPR</t>
        </is>
      </c>
      <c r="D3679" s="13" t="n">
        <v>32</v>
      </c>
      <c r="E3679" s="10">
        <f>IF(D3679&gt;0,VLOOKUP(OPERAC[[#This Row],[COD CART]],[1]!MatrizCortoLargoCyl[#All],3,0),"")</f>
        <v/>
      </c>
      <c r="F3679" s="13" t="inlineStr">
        <is>
          <t>COTY</t>
        </is>
      </c>
      <c r="G3679" s="6" t="n">
        <v>100</v>
      </c>
      <c r="H3679" s="6" t="n">
        <v>-821.716</v>
      </c>
      <c r="I3679" s="7">
        <f>-H3679/G3679</f>
        <v/>
      </c>
      <c r="J3679" s="11" t="n">
        <v>44704</v>
      </c>
      <c r="K3679" s="6" t="n">
        <v>100</v>
      </c>
      <c r="L3679" s="6" t="n">
        <v>623.78</v>
      </c>
      <c r="M3679" s="7">
        <f>IF(N3679=0,+L3679+H3679,0)</f>
        <v/>
      </c>
      <c r="N3679" s="7">
        <f>IF((+G3679-K3679)=0,0,+G3679-K3679)</f>
        <v/>
      </c>
      <c r="O3679" s="7">
        <f>IF(N3679=0,0,(L3679+H3679)/-N3679)</f>
        <v/>
      </c>
      <c r="P3679" s="7">
        <f>VLOOKUP(OPERAC[[#This Row],[especie]],[1]!ESPECIES[#All],6,0)</f>
        <v/>
      </c>
      <c r="Q3679" s="7">
        <f>IF(N3679&lt;&gt;0,P3679*N3679,0)</f>
        <v/>
      </c>
      <c r="R3679" s="8">
        <f>IF(Q3679&lt;&gt;0,Q3679+H3679+L3679,0)</f>
        <v/>
      </c>
      <c r="S3679" s="9">
        <f>VLOOKUP(OPERAC[[#This Row],[especie]],[1]!ESPECIES[#Data],9,FALSE)</f>
        <v/>
      </c>
    </row>
    <row r="3680">
      <c r="A3680" s="4" t="n">
        <v>16776</v>
      </c>
      <c r="B3680" s="5" t="n">
        <v>44350</v>
      </c>
      <c r="C3680" s="13" t="inlineStr">
        <is>
          <t>CPR</t>
        </is>
      </c>
      <c r="D3680" s="13" t="n">
        <v>32</v>
      </c>
      <c r="E3680" s="10">
        <f>IF(D3680&gt;0,VLOOKUP(OPERAC[[#This Row],[COD CART]],[1]!MatrizCortoLargoCyl[#All],3,0),"")</f>
        <v/>
      </c>
      <c r="F3680" s="13" t="inlineStr">
        <is>
          <t>XXII</t>
        </is>
      </c>
      <c r="G3680" s="6" t="n">
        <v>300</v>
      </c>
      <c r="H3680" s="6">
        <f>-1103.959+18.871+79.825-93.555+66.338+159.56+4.63+44.64</f>
        <v/>
      </c>
      <c r="I3680" s="7">
        <f>-H3680/G3680</f>
        <v/>
      </c>
      <c r="J3680" s="11" t="n"/>
      <c r="K3680" s="6" t="n"/>
      <c r="L3680" s="6" t="n"/>
      <c r="M3680" s="7">
        <f>IF(N3680=0,+L3680+H3680,0)</f>
        <v/>
      </c>
      <c r="N3680" s="7">
        <f>IF((+G3680-K3680)=0,0,+G3680-K3680)</f>
        <v/>
      </c>
      <c r="O3680" s="7">
        <f>IF(N3680=0,0,(L3680+H3680)/-N3680)</f>
        <v/>
      </c>
      <c r="P3680" s="7">
        <f>VLOOKUP(OPERAC[[#This Row],[especie]],[1]!ESPECIES[#All],6,0)</f>
        <v/>
      </c>
      <c r="Q3680" s="7">
        <f>IF(N3680&lt;&gt;0,P3680*N3680,0)</f>
        <v/>
      </c>
      <c r="R3680" s="8">
        <f>IF(Q3680&lt;&gt;0,Q3680+H3680+L3680,0)</f>
        <v/>
      </c>
      <c r="S3680" s="9">
        <f>VLOOKUP(OPERAC[[#This Row],[especie]],[1]!ESPECIES[#Data],9,FALSE)</f>
        <v/>
      </c>
    </row>
    <row r="3681">
      <c r="A3681" s="4" t="n">
        <v>7916</v>
      </c>
      <c r="B3681" s="5" t="n">
        <v>44523</v>
      </c>
      <c r="C3681" s="13" t="inlineStr">
        <is>
          <t>CPR</t>
        </is>
      </c>
      <c r="D3681" s="13" t="n">
        <v>32</v>
      </c>
      <c r="E3681" s="10">
        <f>IF(D3681&gt;0,VLOOKUP(OPERAC[[#This Row],[COD CART]],[1]!MatrizCortoLargoCyl[#All],3,0),"")</f>
        <v/>
      </c>
      <c r="F3681" s="13" t="inlineStr">
        <is>
          <t>GMBL/CYL/5,00/18-02-22</t>
        </is>
      </c>
      <c r="G3681" s="6" t="n">
        <v>200</v>
      </c>
      <c r="H3681" s="6" t="n">
        <v>-823.862</v>
      </c>
      <c r="I3681" s="7">
        <f>-H3681/G3681</f>
        <v/>
      </c>
      <c r="J3681" s="11" t="n">
        <v>44589</v>
      </c>
      <c r="K3681" s="6" t="n">
        <v>200</v>
      </c>
      <c r="L3681" s="6" t="n">
        <v>524.731</v>
      </c>
      <c r="M3681" s="7">
        <f>IF(N3681=0,+L3681+H3681,0)</f>
        <v/>
      </c>
      <c r="N3681" s="7">
        <f>IF((+G3681-K3681)=0,0,+G3681-K3681)</f>
        <v/>
      </c>
      <c r="O3681" s="7">
        <f>IF(N3681=0,0,(L3681+H3681)/-N3681)</f>
        <v/>
      </c>
      <c r="P3681" s="7">
        <f>VLOOKUP(OPERAC[[#This Row],[especie]],[1]!ESPECIES[#All],6,0)</f>
        <v/>
      </c>
      <c r="Q3681" s="7">
        <f>IF(N3681&lt;&gt;0,P3681*N3681,0)</f>
        <v/>
      </c>
      <c r="R3681" s="8">
        <f>IF(Q3681&lt;&gt;0,Q3681+H3681+L3681,0)</f>
        <v/>
      </c>
      <c r="S3681" s="9">
        <f>VLOOKUP(OPERAC[[#This Row],[especie]],[1]!ESPECIES[#Data],9,FALSE)</f>
        <v/>
      </c>
    </row>
    <row r="3682">
      <c r="A3682" s="4" t="n">
        <v>12022</v>
      </c>
      <c r="B3682" s="5" t="n">
        <v>44523</v>
      </c>
      <c r="C3682" s="13" t="inlineStr">
        <is>
          <t>CPR</t>
        </is>
      </c>
      <c r="D3682" s="13" t="n">
        <v>32</v>
      </c>
      <c r="E3682" s="10">
        <f>IF(D3682&gt;0,VLOOKUP(OPERAC[[#This Row],[COD CART]],[1]!MatrizCortoLargoCyl[#All],3,0),"")</f>
        <v/>
      </c>
      <c r="F3682" s="13" t="inlineStr">
        <is>
          <t>GMBL/CYL/5,00/18-02-22</t>
        </is>
      </c>
      <c r="G3682" s="6" t="n">
        <v>200</v>
      </c>
      <c r="H3682" s="6" t="n">
        <v>-823.862</v>
      </c>
      <c r="I3682" s="7">
        <f>-H3682/G3682</f>
        <v/>
      </c>
      <c r="J3682" s="11" t="n">
        <v>44589</v>
      </c>
      <c r="K3682" s="6" t="n">
        <v>200</v>
      </c>
      <c r="L3682" s="6" t="n">
        <v>524.731</v>
      </c>
      <c r="M3682" s="7">
        <f>IF(N3682=0,+L3682+H3682,0)</f>
        <v/>
      </c>
      <c r="N3682" s="7">
        <f>IF((+G3682-K3682)=0,0,+G3682-K3682)</f>
        <v/>
      </c>
      <c r="O3682" s="7">
        <f>IF(N3682=0,0,(L3682+H3682)/-N3682)</f>
        <v/>
      </c>
      <c r="P3682" s="7">
        <f>VLOOKUP(OPERAC[[#This Row],[especie]],[1]!ESPECIES[#All],6,0)</f>
        <v/>
      </c>
      <c r="Q3682" s="7">
        <f>IF(N3682&lt;&gt;0,P3682*N3682,0)</f>
        <v/>
      </c>
      <c r="R3682" s="8">
        <f>IF(Q3682&lt;&gt;0,Q3682+H3682+L3682,0)</f>
        <v/>
      </c>
      <c r="S3682" s="9">
        <f>VLOOKUP(OPERAC[[#This Row],[especie]],[1]!ESPECIES[#Data],9,FALSE)</f>
        <v/>
      </c>
    </row>
    <row r="3683">
      <c r="A3683" s="4" t="n">
        <v>12690</v>
      </c>
      <c r="B3683" s="5" t="n">
        <v>44523</v>
      </c>
      <c r="C3683" s="13" t="inlineStr">
        <is>
          <t>CPR</t>
        </is>
      </c>
      <c r="D3683" s="13" t="n">
        <v>32</v>
      </c>
      <c r="E3683" s="10">
        <f>IF(D3683&gt;0,VLOOKUP(OPERAC[[#This Row],[COD CART]],[1]!MatrizCortoLargoCyl[#All],3,0),"")</f>
        <v/>
      </c>
      <c r="F3683" s="13" t="inlineStr">
        <is>
          <t>GMBL/CYL/5,00/18-02-22</t>
        </is>
      </c>
      <c r="G3683" s="6" t="n">
        <v>200</v>
      </c>
      <c r="H3683" s="6" t="n">
        <v>-823.862</v>
      </c>
      <c r="I3683" s="7">
        <f>-H3683/G3683</f>
        <v/>
      </c>
      <c r="J3683" s="11" t="n">
        <v>44589</v>
      </c>
      <c r="K3683" s="6" t="n">
        <v>200</v>
      </c>
      <c r="L3683" s="6" t="n">
        <v>524.731</v>
      </c>
      <c r="M3683" s="7">
        <f>IF(N3683=0,+L3683+H3683,0)</f>
        <v/>
      </c>
      <c r="N3683" s="7">
        <f>IF((+G3683-K3683)=0,0,+G3683-K3683)</f>
        <v/>
      </c>
      <c r="O3683" s="7">
        <f>IF(N3683=0,0,(L3683+H3683)/-N3683)</f>
        <v/>
      </c>
      <c r="P3683" s="7">
        <f>VLOOKUP(OPERAC[[#This Row],[especie]],[1]!ESPECIES[#All],6,0)</f>
        <v/>
      </c>
      <c r="Q3683" s="7">
        <f>IF(N3683&lt;&gt;0,P3683*N3683,0)</f>
        <v/>
      </c>
      <c r="R3683" s="8">
        <f>IF(Q3683&lt;&gt;0,Q3683+H3683+L3683,0)</f>
        <v/>
      </c>
      <c r="S3683" s="9">
        <f>VLOOKUP(OPERAC[[#This Row],[especie]],[1]!ESPECIES[#Data],9,FALSE)</f>
        <v/>
      </c>
    </row>
    <row r="3684">
      <c r="A3684" s="4" t="n">
        <v>15194</v>
      </c>
      <c r="B3684" s="5" t="n">
        <v>44523</v>
      </c>
      <c r="C3684" s="13" t="inlineStr">
        <is>
          <t>CPR</t>
        </is>
      </c>
      <c r="D3684" s="13" t="n">
        <v>32</v>
      </c>
      <c r="E3684" s="10">
        <f>IF(D3684&gt;0,VLOOKUP(OPERAC[[#This Row],[COD CART]],[1]!MatrizCortoLargoCyl[#All],3,0),"")</f>
        <v/>
      </c>
      <c r="F3684" s="13" t="inlineStr">
        <is>
          <t>GMBL/CYL/5,00/18-02-22</t>
        </is>
      </c>
      <c r="G3684" s="6" t="n">
        <v>200</v>
      </c>
      <c r="H3684" s="6" t="n">
        <v>-823.862</v>
      </c>
      <c r="I3684" s="7">
        <f>-H3684/G3684</f>
        <v/>
      </c>
      <c r="J3684" s="11" t="n">
        <v>44589</v>
      </c>
      <c r="K3684" s="6" t="n">
        <v>200</v>
      </c>
      <c r="L3684" s="6" t="n">
        <v>524.731</v>
      </c>
      <c r="M3684" s="7">
        <f>IF(N3684=0,+L3684+H3684,0)</f>
        <v/>
      </c>
      <c r="N3684" s="7">
        <f>IF((+G3684-K3684)=0,0,+G3684-K3684)</f>
        <v/>
      </c>
      <c r="O3684" s="7">
        <f>IF(N3684=0,0,(L3684+H3684)/-N3684)</f>
        <v/>
      </c>
      <c r="P3684" s="7">
        <f>VLOOKUP(OPERAC[[#This Row],[especie]],[1]!ESPECIES[#All],6,0)</f>
        <v/>
      </c>
      <c r="Q3684" s="7">
        <f>IF(N3684&lt;&gt;0,P3684*N3684,0)</f>
        <v/>
      </c>
      <c r="R3684" s="8">
        <f>IF(Q3684&lt;&gt;0,Q3684+H3684+L3684,0)</f>
        <v/>
      </c>
      <c r="S3684" s="9">
        <f>VLOOKUP(OPERAC[[#This Row],[especie]],[1]!ESPECIES[#Data],9,FALSE)</f>
        <v/>
      </c>
    </row>
    <row r="3685">
      <c r="A3685" s="4" t="n">
        <v>16780</v>
      </c>
      <c r="B3685" s="5" t="n">
        <v>44523</v>
      </c>
      <c r="C3685" s="13" t="inlineStr">
        <is>
          <t>CPR</t>
        </is>
      </c>
      <c r="D3685" s="13" t="n">
        <v>32</v>
      </c>
      <c r="E3685" s="10">
        <f>IF(D3685&gt;0,VLOOKUP(OPERAC[[#This Row],[COD CART]],[1]!MatrizCortoLargoCyl[#All],3,0),"")</f>
        <v/>
      </c>
      <c r="F3685" s="13" t="inlineStr">
        <is>
          <t>GMBL/CYL/5,00/18-02-22</t>
        </is>
      </c>
      <c r="G3685" s="6" t="n">
        <v>200</v>
      </c>
      <c r="H3685" s="6" t="n">
        <v>-823.862</v>
      </c>
      <c r="I3685" s="7">
        <f>-H3685/G3685</f>
        <v/>
      </c>
      <c r="J3685" s="11" t="n">
        <v>44589</v>
      </c>
      <c r="K3685" s="6" t="n">
        <v>200</v>
      </c>
      <c r="L3685" s="6" t="n">
        <v>524.731</v>
      </c>
      <c r="M3685" s="7">
        <f>IF(N3685=0,+L3685+H3685,0)</f>
        <v/>
      </c>
      <c r="N3685" s="7">
        <f>IF((+G3685-K3685)=0,0,+G3685-K3685)</f>
        <v/>
      </c>
      <c r="O3685" s="7">
        <f>IF(N3685=0,0,(L3685+H3685)/-N3685)</f>
        <v/>
      </c>
      <c r="P3685" s="7">
        <f>VLOOKUP(OPERAC[[#This Row],[especie]],[1]!ESPECIES[#All],6,0)</f>
        <v/>
      </c>
      <c r="Q3685" s="7">
        <f>IF(N3685&lt;&gt;0,P3685*N3685,0)</f>
        <v/>
      </c>
      <c r="R3685" s="8">
        <f>IF(Q3685&lt;&gt;0,Q3685+H3685+L3685,0)</f>
        <v/>
      </c>
      <c r="S3685" s="9">
        <f>VLOOKUP(OPERAC[[#This Row],[especie]],[1]!ESPECIES[#Data],9,FALSE)</f>
        <v/>
      </c>
    </row>
    <row r="3686">
      <c r="A3686" s="4" t="n">
        <v>20312</v>
      </c>
      <c r="B3686" s="5" t="n">
        <v>44533</v>
      </c>
      <c r="C3686" s="13" t="inlineStr">
        <is>
          <t>CPR</t>
        </is>
      </c>
      <c r="D3686" s="13" t="n">
        <v>32</v>
      </c>
      <c r="E3686" s="10">
        <f>IF(D3686&gt;0,VLOOKUP(OPERAC[[#This Row],[COD CART]],[1]!MatrizCortoLargoCyl[#All],3,0),"")</f>
        <v/>
      </c>
      <c r="F3686" s="13" t="inlineStr">
        <is>
          <t>TLRY/CYL/11,00/21-01-22</t>
        </is>
      </c>
      <c r="G3686" s="6" t="n">
        <v>100</v>
      </c>
      <c r="H3686" s="6" t="n">
        <v>-826.975</v>
      </c>
      <c r="I3686" s="7">
        <f>-H3686/G3686</f>
        <v/>
      </c>
      <c r="J3686" s="11" t="n">
        <v>44573</v>
      </c>
      <c r="K3686" s="6" t="n">
        <v>100</v>
      </c>
      <c r="L3686" s="6" t="n">
        <v>717.188</v>
      </c>
      <c r="M3686" s="7">
        <f>IF(N3686=0,+L3686+H3686,0)</f>
        <v/>
      </c>
      <c r="N3686" s="7">
        <f>IF((+G3686-K3686)=0,0,+G3686-K3686)</f>
        <v/>
      </c>
      <c r="O3686" s="7">
        <f>IF(N3686=0,0,(L3686+H3686)/-N3686)</f>
        <v/>
      </c>
      <c r="P3686" s="7">
        <f>VLOOKUP(OPERAC[[#This Row],[especie]],[1]!ESPECIES[#All],6,0)</f>
        <v/>
      </c>
      <c r="Q3686" s="7">
        <f>IF(N3686&lt;&gt;0,P3686*N3686,0)</f>
        <v/>
      </c>
      <c r="R3686" s="8">
        <f>IF(Q3686&lt;&gt;0,Q3686+H3686+L3686,0)</f>
        <v/>
      </c>
      <c r="S3686" s="9">
        <f>VLOOKUP(OPERAC[[#This Row],[especie]],[1]!ESPECIES[#Data],9,FALSE)</f>
        <v/>
      </c>
    </row>
    <row r="3687">
      <c r="A3687" s="4" t="n">
        <v>4561</v>
      </c>
      <c r="B3687" s="5" t="n">
        <v>44649</v>
      </c>
      <c r="C3687" s="13" t="inlineStr">
        <is>
          <t>CPR</t>
        </is>
      </c>
      <c r="D3687" s="13" t="n">
        <v>32</v>
      </c>
      <c r="E3687" s="10">
        <f>IF(D3687&gt;0,VLOOKUP(OPERAC[[#This Row],[COD CART]],[1]!MatrizCortoLargoCyl[#All],3,0),"")</f>
        <v/>
      </c>
      <c r="F3687" s="13" t="inlineStr">
        <is>
          <t>ARLO</t>
        </is>
      </c>
      <c r="G3687" s="6" t="n">
        <v>100</v>
      </c>
      <c r="H3687" s="6" t="n">
        <v>-827.412</v>
      </c>
      <c r="I3687" s="7">
        <f>-H3687/G3687</f>
        <v/>
      </c>
      <c r="J3687" s="11" t="n">
        <v>44704</v>
      </c>
      <c r="K3687" s="6" t="n">
        <v>100</v>
      </c>
      <c r="L3687" s="6" t="n">
        <v>660.627</v>
      </c>
      <c r="M3687" s="7">
        <f>IF(N3687=0,+L3687+H3687,0)</f>
        <v/>
      </c>
      <c r="N3687" s="7">
        <f>IF((+G3687-K3687)=0,0,+G3687-K3687)</f>
        <v/>
      </c>
      <c r="O3687" s="7">
        <f>IF(N3687=0,0,(L3687+H3687)/-N3687)</f>
        <v/>
      </c>
      <c r="P3687" s="7">
        <f>VLOOKUP(OPERAC[[#This Row],[especie]],[1]!ESPECIES[#All],6,0)</f>
        <v/>
      </c>
      <c r="Q3687" s="7">
        <f>IF(N3687&lt;&gt;0,P3687*N3687,0)</f>
        <v/>
      </c>
      <c r="R3687" s="8">
        <f>IF(Q3687&lt;&gt;0,Q3687+H3687+L3687,0)</f>
        <v/>
      </c>
      <c r="S3687" s="9">
        <f>VLOOKUP(OPERAC[[#This Row],[especie]],[1]!ESPECIES[#Data],9,FALSE)</f>
        <v/>
      </c>
    </row>
    <row r="3688">
      <c r="A3688" s="4" t="n">
        <v>6578</v>
      </c>
      <c r="B3688" s="5" t="n">
        <v>44649</v>
      </c>
      <c r="C3688" s="13" t="inlineStr">
        <is>
          <t>CPR</t>
        </is>
      </c>
      <c r="D3688" s="13" t="n">
        <v>32</v>
      </c>
      <c r="E3688" s="10">
        <f>IF(D3688&gt;0,VLOOKUP(OPERAC[[#This Row],[COD CART]],[1]!MatrizCortoLargoCyl[#All],3,0),"")</f>
        <v/>
      </c>
      <c r="F3688" s="13" t="inlineStr">
        <is>
          <t>ARLO</t>
        </is>
      </c>
      <c r="G3688" s="6" t="n">
        <v>100</v>
      </c>
      <c r="H3688" s="6" t="n">
        <v>-827.412</v>
      </c>
      <c r="I3688" s="7">
        <f>-H3688/G3688</f>
        <v/>
      </c>
      <c r="J3688" s="11" t="n">
        <v>44704</v>
      </c>
      <c r="K3688" s="6" t="n">
        <v>100</v>
      </c>
      <c r="L3688" s="6" t="n">
        <v>660.627</v>
      </c>
      <c r="M3688" s="7">
        <f>IF(N3688=0,+L3688+H3688,0)</f>
        <v/>
      </c>
      <c r="N3688" s="7">
        <f>IF((+G3688-K3688)=0,0,+G3688-K3688)</f>
        <v/>
      </c>
      <c r="O3688" s="7">
        <f>IF(N3688=0,0,(L3688+H3688)/-N3688)</f>
        <v/>
      </c>
      <c r="P3688" s="7">
        <f>VLOOKUP(OPERAC[[#This Row],[especie]],[1]!ESPECIES[#All],6,0)</f>
        <v/>
      </c>
      <c r="Q3688" s="7">
        <f>IF(N3688&lt;&gt;0,P3688*N3688,0)</f>
        <v/>
      </c>
      <c r="R3688" s="8">
        <f>IF(Q3688&lt;&gt;0,Q3688+H3688+L3688,0)</f>
        <v/>
      </c>
      <c r="S3688" s="9">
        <f>VLOOKUP(OPERAC[[#This Row],[especie]],[1]!ESPECIES[#Data],9,FALSE)</f>
        <v/>
      </c>
    </row>
    <row r="3689">
      <c r="A3689" s="4" t="n">
        <v>3787</v>
      </c>
      <c r="B3689" s="5" t="n">
        <v>44649</v>
      </c>
      <c r="C3689" s="13" t="inlineStr">
        <is>
          <t>CPR</t>
        </is>
      </c>
      <c r="D3689" s="13" t="n">
        <v>32</v>
      </c>
      <c r="E3689" s="10">
        <f>IF(D3689&gt;0,VLOOKUP(OPERAC[[#This Row],[COD CART]],[1]!MatrizCortoLargoCyl[#All],3,0),"")</f>
        <v/>
      </c>
      <c r="F3689" s="13" t="inlineStr">
        <is>
          <t>ARLO</t>
        </is>
      </c>
      <c r="G3689" s="6" t="n">
        <v>100</v>
      </c>
      <c r="H3689" s="6" t="n">
        <v>-827.412</v>
      </c>
      <c r="I3689" s="7">
        <f>-H3689/G3689</f>
        <v/>
      </c>
      <c r="J3689" s="11" t="n">
        <v>44704</v>
      </c>
      <c r="K3689" s="6" t="n">
        <v>100</v>
      </c>
      <c r="L3689" s="6" t="n">
        <v>660.627</v>
      </c>
      <c r="M3689" s="7">
        <f>IF(N3689=0,+L3689+H3689,0)</f>
        <v/>
      </c>
      <c r="N3689" s="7">
        <f>IF((+G3689-K3689)=0,0,+G3689-K3689)</f>
        <v/>
      </c>
      <c r="O3689" s="7">
        <f>IF(N3689=0,0,(L3689+H3689)/-N3689)</f>
        <v/>
      </c>
      <c r="P3689" s="7">
        <f>VLOOKUP(OPERAC[[#This Row],[especie]],[1]!ESPECIES[#All],6,0)</f>
        <v/>
      </c>
      <c r="Q3689" s="7">
        <f>IF(N3689&lt;&gt;0,P3689*N3689,0)</f>
        <v/>
      </c>
      <c r="R3689" s="8">
        <f>IF(Q3689&lt;&gt;0,Q3689+H3689+L3689,0)</f>
        <v/>
      </c>
      <c r="S3689" s="9">
        <f>VLOOKUP(OPERAC[[#This Row],[especie]],[1]!ESPECIES[#Data],9,FALSE)</f>
        <v/>
      </c>
    </row>
    <row r="3690">
      <c r="A3690" s="4" t="n">
        <v>7493</v>
      </c>
      <c r="B3690" s="5" t="n">
        <v>44649</v>
      </c>
      <c r="C3690" s="13" t="inlineStr">
        <is>
          <t>CPR</t>
        </is>
      </c>
      <c r="D3690" s="13" t="n">
        <v>32</v>
      </c>
      <c r="E3690" s="10">
        <f>IF(D3690&gt;0,VLOOKUP(OPERAC[[#This Row],[COD CART]],[1]!MatrizCortoLargoCyl[#All],3,0),"")</f>
        <v/>
      </c>
      <c r="F3690" s="13" t="inlineStr">
        <is>
          <t>ARLO</t>
        </is>
      </c>
      <c r="G3690" s="6" t="n">
        <v>100</v>
      </c>
      <c r="H3690" s="6" t="n">
        <v>-827.412</v>
      </c>
      <c r="I3690" s="7">
        <f>-H3690/G3690</f>
        <v/>
      </c>
      <c r="J3690" s="11" t="n">
        <v>44704</v>
      </c>
      <c r="K3690" s="6" t="n">
        <v>100</v>
      </c>
      <c r="L3690" s="6" t="n">
        <v>660.627</v>
      </c>
      <c r="M3690" s="7">
        <f>IF(N3690=0,+L3690+H3690,0)</f>
        <v/>
      </c>
      <c r="N3690" s="7">
        <f>IF((+G3690-K3690)=0,0,+G3690-K3690)</f>
        <v/>
      </c>
      <c r="O3690" s="7">
        <f>IF(N3690=0,0,(L3690+H3690)/-N3690)</f>
        <v/>
      </c>
      <c r="P3690" s="7">
        <f>VLOOKUP(OPERAC[[#This Row],[especie]],[1]!ESPECIES[#All],6,0)</f>
        <v/>
      </c>
      <c r="Q3690" s="7">
        <f>IF(N3690&lt;&gt;0,P3690*N3690,0)</f>
        <v/>
      </c>
      <c r="R3690" s="8">
        <f>IF(Q3690&lt;&gt;0,Q3690+H3690+L3690,0)</f>
        <v/>
      </c>
      <c r="S3690" s="9">
        <f>VLOOKUP(OPERAC[[#This Row],[especie]],[1]!ESPECIES[#Data],9,FALSE)</f>
        <v/>
      </c>
    </row>
    <row r="3691">
      <c r="A3691" s="4" t="n">
        <v>13269</v>
      </c>
      <c r="B3691" s="5" t="n">
        <v>44649</v>
      </c>
      <c r="C3691" s="13" t="inlineStr">
        <is>
          <t>CPR</t>
        </is>
      </c>
      <c r="D3691" s="13" t="n">
        <v>32</v>
      </c>
      <c r="E3691" s="10">
        <f>IF(D3691&gt;0,VLOOKUP(OPERAC[[#This Row],[COD CART]],[1]!MatrizCortoLargoCyl[#All],3,0),"")</f>
        <v/>
      </c>
      <c r="F3691" s="13" t="inlineStr">
        <is>
          <t>ARLO</t>
        </is>
      </c>
      <c r="G3691" s="6" t="n">
        <v>100</v>
      </c>
      <c r="H3691" s="6" t="n">
        <v>-827.412</v>
      </c>
      <c r="I3691" s="7">
        <f>-H3691/G3691</f>
        <v/>
      </c>
      <c r="J3691" s="11" t="n">
        <v>44704</v>
      </c>
      <c r="K3691" s="6" t="n">
        <v>100</v>
      </c>
      <c r="L3691" s="6" t="n">
        <v>678.682</v>
      </c>
      <c r="M3691" s="7">
        <f>IF(N3691=0,+L3691+H3691,0)</f>
        <v/>
      </c>
      <c r="N3691" s="7">
        <f>IF((+G3691-K3691)=0,0,+G3691-K3691)</f>
        <v/>
      </c>
      <c r="O3691" s="7">
        <f>IF(N3691=0,0,(L3691+H3691)/-N3691)</f>
        <v/>
      </c>
      <c r="P3691" s="7">
        <f>VLOOKUP(OPERAC[[#This Row],[especie]],[1]!ESPECIES[#All],6,0)</f>
        <v/>
      </c>
      <c r="Q3691" s="7">
        <f>IF(N3691&lt;&gt;0,P3691*N3691,0)</f>
        <v/>
      </c>
      <c r="R3691" s="8">
        <f>IF(Q3691&lt;&gt;0,Q3691+H3691+L3691,0)</f>
        <v/>
      </c>
      <c r="S3691" s="9">
        <f>VLOOKUP(OPERAC[[#This Row],[especie]],[1]!ESPECIES[#Data],9,FALSE)</f>
        <v/>
      </c>
    </row>
    <row r="3692">
      <c r="A3692" s="4" t="n">
        <v>18662</v>
      </c>
      <c r="B3692" s="5" t="n">
        <v>44649</v>
      </c>
      <c r="C3692" s="13" t="inlineStr">
        <is>
          <t>CPR</t>
        </is>
      </c>
      <c r="D3692" s="13" t="n">
        <v>32</v>
      </c>
      <c r="E3692" s="10">
        <f>IF(D3692&gt;0,VLOOKUP(OPERAC[[#This Row],[COD CART]],[1]!MatrizCortoLargoCyl[#All],3,0),"")</f>
        <v/>
      </c>
      <c r="F3692" s="13" t="inlineStr">
        <is>
          <t>ARLO</t>
        </is>
      </c>
      <c r="G3692" s="6" t="n">
        <v>100</v>
      </c>
      <c r="H3692" s="6" t="n">
        <v>-827.412</v>
      </c>
      <c r="I3692" s="7">
        <f>-H3692/G3692</f>
        <v/>
      </c>
      <c r="J3692" s="11" t="n">
        <v>44713</v>
      </c>
      <c r="K3692" s="6" t="n">
        <v>100</v>
      </c>
      <c r="L3692" s="6" t="n">
        <v>709.335</v>
      </c>
      <c r="M3692" s="7">
        <f>IF(N3692=0,+L3692+H3692,0)</f>
        <v/>
      </c>
      <c r="N3692" s="7">
        <f>IF((+G3692-K3692)=0,0,+G3692-K3692)</f>
        <v/>
      </c>
      <c r="O3692" s="7">
        <f>IF(N3692=0,0,(L3692+H3692)/-N3692)</f>
        <v/>
      </c>
      <c r="P3692" s="7">
        <f>VLOOKUP(OPERAC[[#This Row],[especie]],[1]!ESPECIES[#All],6,0)</f>
        <v/>
      </c>
      <c r="Q3692" s="7">
        <f>IF(N3692&lt;&gt;0,P3692*N3692,0)</f>
        <v/>
      </c>
      <c r="R3692" s="8">
        <f>IF(Q3692&lt;&gt;0,Q3692+H3692+L3692,0)</f>
        <v/>
      </c>
      <c r="S3692" s="9">
        <f>VLOOKUP(OPERAC[[#This Row],[especie]],[1]!ESPECIES[#Data],9,FALSE)</f>
        <v/>
      </c>
    </row>
    <row r="3693">
      <c r="A3693" s="4" t="n">
        <v>20234</v>
      </c>
      <c r="B3693" s="5" t="n">
        <v>44655</v>
      </c>
      <c r="C3693" s="13" t="inlineStr">
        <is>
          <t>CPR</t>
        </is>
      </c>
      <c r="D3693" s="13" t="n">
        <v>32</v>
      </c>
      <c r="E3693" s="10">
        <f>IF(D3693&gt;0,VLOOKUP(OPERAC[[#This Row],[COD CART]],[1]!MatrizCortoLargoCyl[#All],3,0),"")</f>
        <v/>
      </c>
      <c r="F3693" s="13" t="inlineStr">
        <is>
          <t>COTY/CYL/9,00/15-07-22</t>
        </is>
      </c>
      <c r="G3693" s="6" t="n">
        <v>100</v>
      </c>
      <c r="H3693" s="6">
        <f>-835.518+6.941</f>
        <v/>
      </c>
      <c r="I3693" s="7">
        <f>-H3693/G3693</f>
        <v/>
      </c>
      <c r="J3693" s="11" t="n"/>
      <c r="K3693" s="6" t="n"/>
      <c r="L3693" s="6" t="n"/>
      <c r="M3693" s="7">
        <f>IF(N3693=0,+L3693+H3693,0)</f>
        <v/>
      </c>
      <c r="N3693" s="7">
        <f>IF((+G3693-K3693)=0,0,+G3693-K3693)</f>
        <v/>
      </c>
      <c r="O3693" s="7">
        <f>IF(N3693=0,0,(L3693+H3693)/-N3693)</f>
        <v/>
      </c>
      <c r="P3693" s="7">
        <f>VLOOKUP(OPERAC[[#This Row],[especie]],[1]!ESPECIES[#All],6,0)</f>
        <v/>
      </c>
      <c r="Q3693" s="7">
        <f>IF(N3693&lt;&gt;0,P3693*N3693,0)</f>
        <v/>
      </c>
      <c r="R3693" s="8">
        <f>IF(Q3693&lt;&gt;0,Q3693+H3693+L3693,0)</f>
        <v/>
      </c>
      <c r="S3693" s="9">
        <f>VLOOKUP(OPERAC[[#This Row],[especie]],[1]!ESPECIES[#Data],9,FALSE)</f>
        <v/>
      </c>
    </row>
    <row r="3694">
      <c r="A3694" s="4" t="n">
        <v>2289</v>
      </c>
      <c r="B3694" s="5" t="n">
        <v>44655</v>
      </c>
      <c r="C3694" s="13" t="inlineStr">
        <is>
          <t>CPR</t>
        </is>
      </c>
      <c r="D3694" s="13" t="n">
        <v>32</v>
      </c>
      <c r="E3694" s="10">
        <f>IF(D3694&gt;0,VLOOKUP(OPERAC[[#This Row],[COD CART]],[1]!MatrizCortoLargoCyl[#All],3,0),"")</f>
        <v/>
      </c>
      <c r="F3694" s="13" t="inlineStr">
        <is>
          <t>COTY/CYL/9,00/15-07-22</t>
        </is>
      </c>
      <c r="G3694" s="6" t="n">
        <v>100</v>
      </c>
      <c r="H3694" s="6">
        <f>-835.518+3.966</f>
        <v/>
      </c>
      <c r="I3694" s="7">
        <f>-H3694/G3694</f>
        <v/>
      </c>
      <c r="J3694" s="11" t="n"/>
      <c r="K3694" s="6" t="n"/>
      <c r="L3694" s="6" t="n"/>
      <c r="M3694" s="7">
        <f>IF(N3694=0,+L3694+H3694,0)</f>
        <v/>
      </c>
      <c r="N3694" s="7">
        <f>IF((+G3694-K3694)=0,0,+G3694-K3694)</f>
        <v/>
      </c>
      <c r="O3694" s="7">
        <f>IF(N3694=0,0,(L3694+H3694)/-N3694)</f>
        <v/>
      </c>
      <c r="P3694" s="7">
        <f>VLOOKUP(OPERAC[[#This Row],[especie]],[1]!ESPECIES[#All],6,0)</f>
        <v/>
      </c>
      <c r="Q3694" s="7">
        <f>IF(N3694&lt;&gt;0,P3694*N3694,0)</f>
        <v/>
      </c>
      <c r="R3694" s="8">
        <f>IF(Q3694&lt;&gt;0,Q3694+H3694+L3694,0)</f>
        <v/>
      </c>
      <c r="S3694" s="9">
        <f>VLOOKUP(OPERAC[[#This Row],[especie]],[1]!ESPECIES[#Data],9,FALSE)</f>
        <v/>
      </c>
    </row>
    <row r="3695">
      <c r="A3695" s="4" t="n">
        <v>22393</v>
      </c>
      <c r="B3695" s="5" t="n">
        <v>44684</v>
      </c>
      <c r="C3695" s="13" t="inlineStr">
        <is>
          <t>CPR</t>
        </is>
      </c>
      <c r="D3695" s="13" t="n">
        <v>40</v>
      </c>
      <c r="E3695" s="10">
        <f>IF(D3695&gt;0,VLOOKUP(OPERAC[[#This Row],[COD CART]],[1]!MatrizCortoLargoCyl[#All],3,0),"")</f>
        <v/>
      </c>
      <c r="F3695" s="13" t="inlineStr">
        <is>
          <t>INO</t>
        </is>
      </c>
      <c r="G3695" s="6" t="n">
        <v>100</v>
      </c>
      <c r="H3695" s="6" t="n">
        <v>-833.8</v>
      </c>
      <c r="I3695" s="7">
        <f>-H3695/G3695</f>
        <v/>
      </c>
      <c r="J3695" s="11" t="n"/>
      <c r="K3695" s="6" t="n"/>
      <c r="L3695" s="6" t="n"/>
      <c r="M3695" s="7">
        <f>IF(N3695=0,+L3695+H3695,0)</f>
        <v/>
      </c>
      <c r="N3695" s="7">
        <f>IF((+G3695-K3695)=0,0,+G3695-K3695)</f>
        <v/>
      </c>
      <c r="O3695" s="7">
        <f>IF(N3695=0,0,(L3695+H3695)/-N3695)</f>
        <v/>
      </c>
      <c r="P3695" s="7">
        <f>VLOOKUP(OPERAC[[#This Row],[especie]],[1]!ESPECIES[#All],6,0)</f>
        <v/>
      </c>
      <c r="Q3695" s="7">
        <f>IF(N3695&lt;&gt;0,P3695*N3695,0)</f>
        <v/>
      </c>
      <c r="R3695" s="8">
        <f>IF(Q3695&lt;&gt;0,Q3695+H3695+L3695,0)</f>
        <v/>
      </c>
      <c r="S3695" s="9">
        <f>VLOOKUP(OPERAC[[#This Row],[especie]],[1]!ESPECIES[#Data],9,FALSE)</f>
        <v/>
      </c>
    </row>
    <row r="3696">
      <c r="A3696" s="4" t="n">
        <v>4543</v>
      </c>
      <c r="B3696" s="5" t="n">
        <v>44658</v>
      </c>
      <c r="C3696" s="13" t="inlineStr">
        <is>
          <t>CPR</t>
        </is>
      </c>
      <c r="D3696" s="13" t="n">
        <v>41</v>
      </c>
      <c r="E3696" s="10">
        <f>IF(D3696&gt;0,VLOOKUP(OPERAC[[#This Row],[COD CART]],[1]!MatrizCortoLargoCyl[#All],3,0),"")</f>
        <v/>
      </c>
      <c r="F3696" s="13" t="inlineStr">
        <is>
          <t>LAC</t>
        </is>
      </c>
      <c r="G3696" s="6" t="n">
        <v>25</v>
      </c>
      <c r="H3696" s="6" t="n">
        <v>-835.372</v>
      </c>
      <c r="I3696" s="7">
        <f>-H3696/G3696</f>
        <v/>
      </c>
      <c r="J3696" s="11" t="n"/>
      <c r="K3696" s="6" t="n"/>
      <c r="L3696" s="6" t="n"/>
      <c r="M3696" s="7">
        <f>IF(N3696=0,+L3696+H3696,0)</f>
        <v/>
      </c>
      <c r="N3696" s="7">
        <f>IF((+G3696-K3696)=0,0,+G3696-K3696)</f>
        <v/>
      </c>
      <c r="O3696" s="7">
        <f>IF(N3696=0,0,(L3696+H3696)/-N3696)</f>
        <v/>
      </c>
      <c r="P3696" s="7">
        <f>VLOOKUP(OPERAC[[#This Row],[especie]],[1]!ESPECIES[#All],6,0)</f>
        <v/>
      </c>
      <c r="Q3696" s="7">
        <f>IF(N3696&lt;&gt;0,P3696*N3696,0)</f>
        <v/>
      </c>
      <c r="R3696" s="8">
        <f>IF(Q3696&lt;&gt;0,Q3696+H3696+L3696,0)</f>
        <v/>
      </c>
      <c r="S3696" s="9">
        <f>VLOOKUP(OPERAC[[#This Row],[especie]],[1]!ESPECIES[#Data],9,FALSE)</f>
        <v/>
      </c>
    </row>
    <row r="3697">
      <c r="A3697" s="4" t="n">
        <v>2218</v>
      </c>
      <c r="B3697" s="5" t="n">
        <v>44536</v>
      </c>
      <c r="C3697" s="13" t="inlineStr">
        <is>
          <t>CPR</t>
        </is>
      </c>
      <c r="D3697" s="13" t="n">
        <v>43</v>
      </c>
      <c r="E3697" s="10">
        <f>IF(D3697&gt;0,VLOOKUP(OPERAC[[#This Row],[COD CART]],[1]!MatrizCortoLargoCyl[#All],3,0),"")</f>
        <v/>
      </c>
      <c r="F3697" s="13" t="inlineStr">
        <is>
          <t>HEXO/CYL-PUT/1,00/20-01-23</t>
        </is>
      </c>
      <c r="G3697" s="6" t="n">
        <v>5000</v>
      </c>
      <c r="H3697" s="6">
        <f>-0.1671*OPERAC[[#This Row],[cantidad]]</f>
        <v/>
      </c>
      <c r="I3697" s="7">
        <f>-H3697/G3697</f>
        <v/>
      </c>
      <c r="J3697" s="11" t="n"/>
      <c r="K3697" s="6" t="n"/>
      <c r="L3697" s="6" t="n"/>
      <c r="M3697" s="7">
        <f>IF(N3697=0,+L3697+H3697,0)</f>
        <v/>
      </c>
      <c r="N3697" s="7">
        <f>IF((+G3697-K3697)=0,0,+G3697-K3697)</f>
        <v/>
      </c>
      <c r="O3697" s="7">
        <f>IF(N3697=0,0,(L3697+H3697)/-N3697)</f>
        <v/>
      </c>
      <c r="P3697" s="7">
        <f>VLOOKUP(OPERAC[[#This Row],[especie]],[1]!ESPECIES[#All],6,0)</f>
        <v/>
      </c>
      <c r="Q3697" s="7">
        <f>IF(N3697&lt;&gt;0,P3697*N3697,0)</f>
        <v/>
      </c>
      <c r="R3697" s="8">
        <f>IF(Q3697&lt;&gt;0,Q3697+H3697+L3697,0)</f>
        <v/>
      </c>
      <c r="S3697" s="9">
        <f>VLOOKUP(OPERAC[[#This Row],[especie]],[1]!ESPECIES[#Data],9,FALSE)</f>
        <v/>
      </c>
    </row>
    <row r="3698">
      <c r="A3698" s="4" t="n">
        <v>16783</v>
      </c>
      <c r="B3698" s="5" t="n">
        <v>44536</v>
      </c>
      <c r="C3698" s="13" t="inlineStr">
        <is>
          <t>CPR</t>
        </is>
      </c>
      <c r="D3698" s="13" t="n">
        <v>43</v>
      </c>
      <c r="E3698" s="10">
        <f>IF(D3698&gt;0,VLOOKUP(OPERAC[[#This Row],[COD CART]],[1]!MatrizCortoLargoCyl[#All],3,0),"")</f>
        <v/>
      </c>
      <c r="F3698" s="13" t="inlineStr">
        <is>
          <t>HEXO/CYL-PUT/1,00/20-01-23</t>
        </is>
      </c>
      <c r="G3698" s="6" t="n">
        <v>5000</v>
      </c>
      <c r="H3698" s="6">
        <f>-0.1671*OPERAC[[#This Row],[cantidad]]</f>
        <v/>
      </c>
      <c r="I3698" s="7">
        <f>-H3698/G3698</f>
        <v/>
      </c>
      <c r="J3698" s="11" t="n">
        <v>44687</v>
      </c>
      <c r="K3698" s="6" t="n">
        <v>1000</v>
      </c>
      <c r="L3698" s="6" t="n">
        <v>-536</v>
      </c>
      <c r="M3698" s="7">
        <f>IF(N3698=0,+L3698+H3698,0)</f>
        <v/>
      </c>
      <c r="N3698" s="7">
        <f>IF((+G3698-K3698)=0,0,+G3698-K3698)</f>
        <v/>
      </c>
      <c r="O3698" s="7">
        <f>IF(N3698=0,0,(L3698+H3698)/-N3698)</f>
        <v/>
      </c>
      <c r="P3698" s="7">
        <f>VLOOKUP(OPERAC[[#This Row],[especie]],[1]!ESPECIES[#All],6,0)</f>
        <v/>
      </c>
      <c r="Q3698" s="7">
        <f>IF(N3698&lt;&gt;0,P3698*N3698,0)</f>
        <v/>
      </c>
      <c r="R3698" s="8">
        <f>IF(Q3698&lt;&gt;0,Q3698+H3698+L3698,0)</f>
        <v/>
      </c>
      <c r="S3698" s="9">
        <f>VLOOKUP(OPERAC[[#This Row],[especie]],[1]!ESPECIES[#Data],9,FALSE)</f>
        <v/>
      </c>
    </row>
    <row r="3699">
      <c r="A3699" s="4" t="n">
        <v>3728</v>
      </c>
      <c r="B3699" s="5" t="n">
        <v>44655</v>
      </c>
      <c r="C3699" s="13" t="inlineStr">
        <is>
          <t>CPR</t>
        </is>
      </c>
      <c r="D3699" s="13" t="n">
        <v>32</v>
      </c>
      <c r="E3699" s="10">
        <f>IF(D3699&gt;0,VLOOKUP(OPERAC[[#This Row],[COD CART]],[1]!MatrizCortoLargoCyl[#All],3,0),"")</f>
        <v/>
      </c>
      <c r="F3699" s="13" t="inlineStr">
        <is>
          <t>COTY</t>
        </is>
      </c>
      <c r="G3699" s="6" t="n">
        <v>100</v>
      </c>
      <c r="H3699" s="6" t="n">
        <v>-835.518</v>
      </c>
      <c r="I3699" s="7">
        <f>-H3699/G3699</f>
        <v/>
      </c>
      <c r="J3699" s="11" t="n"/>
      <c r="K3699" s="6" t="n"/>
      <c r="L3699" s="6" t="n"/>
      <c r="M3699" s="7">
        <f>IF(N3699=0,+L3699+H3699,0)</f>
        <v/>
      </c>
      <c r="N3699" s="7">
        <f>IF((+G3699-K3699)=0,0,+G3699-K3699)</f>
        <v/>
      </c>
      <c r="O3699" s="7">
        <f>IF(N3699=0,0,(L3699+H3699)/-N3699)</f>
        <v/>
      </c>
      <c r="P3699" s="7">
        <f>VLOOKUP(OPERAC[[#This Row],[especie]],[1]!ESPECIES[#All],6,0)</f>
        <v/>
      </c>
      <c r="Q3699" s="7">
        <f>IF(N3699&lt;&gt;0,P3699*N3699,0)</f>
        <v/>
      </c>
      <c r="R3699" s="8">
        <f>IF(Q3699&lt;&gt;0,Q3699+H3699+L3699,0)</f>
        <v/>
      </c>
      <c r="S3699" s="9">
        <f>VLOOKUP(OPERAC[[#This Row],[especie]],[1]!ESPECIES[#Data],9,FALSE)</f>
        <v/>
      </c>
    </row>
    <row r="3700">
      <c r="A3700" s="4" t="n">
        <v>3853</v>
      </c>
      <c r="B3700" s="5" t="n">
        <v>44655</v>
      </c>
      <c r="C3700" s="13" t="inlineStr">
        <is>
          <t>CPR</t>
        </is>
      </c>
      <c r="D3700" s="13" t="n">
        <v>32</v>
      </c>
      <c r="E3700" s="10">
        <f>IF(D3700&gt;0,VLOOKUP(OPERAC[[#This Row],[COD CART]],[1]!MatrizCortoLargoCyl[#All],3,0),"")</f>
        <v/>
      </c>
      <c r="F3700" s="13" t="inlineStr">
        <is>
          <t>COTY</t>
        </is>
      </c>
      <c r="G3700" s="6" t="n">
        <v>100</v>
      </c>
      <c r="H3700" s="6" t="n">
        <v>-835.518</v>
      </c>
      <c r="I3700" s="7">
        <f>-H3700/G3700</f>
        <v/>
      </c>
      <c r="J3700" s="11" t="n">
        <v>44704</v>
      </c>
      <c r="K3700" s="6" t="n">
        <v>100</v>
      </c>
      <c r="L3700" s="6" t="n">
        <v>620.183</v>
      </c>
      <c r="M3700" s="7">
        <f>IF(N3700=0,+L3700+H3700,0)</f>
        <v/>
      </c>
      <c r="N3700" s="7">
        <f>IF((+G3700-K3700)=0,0,+G3700-K3700)</f>
        <v/>
      </c>
      <c r="O3700" s="7">
        <f>IF(N3700=0,0,(L3700+H3700)/-N3700)</f>
        <v/>
      </c>
      <c r="P3700" s="7">
        <f>VLOOKUP(OPERAC[[#This Row],[especie]],[1]!ESPECIES[#All],6,0)</f>
        <v/>
      </c>
      <c r="Q3700" s="7">
        <f>IF(N3700&lt;&gt;0,P3700*N3700,0)</f>
        <v/>
      </c>
      <c r="R3700" s="8">
        <f>IF(Q3700&lt;&gt;0,Q3700+H3700+L3700,0)</f>
        <v/>
      </c>
      <c r="S3700" s="9">
        <f>VLOOKUP(OPERAC[[#This Row],[especie]],[1]!ESPECIES[#Data],9,FALSE)</f>
        <v/>
      </c>
    </row>
    <row r="3701">
      <c r="A3701" s="4" t="n">
        <v>18662</v>
      </c>
      <c r="B3701" s="5" t="n">
        <v>44655</v>
      </c>
      <c r="C3701" s="13" t="inlineStr">
        <is>
          <t>CPR</t>
        </is>
      </c>
      <c r="D3701" s="13" t="n">
        <v>32</v>
      </c>
      <c r="E3701" s="10">
        <f>IF(D3701&gt;0,VLOOKUP(OPERAC[[#This Row],[COD CART]],[1]!MatrizCortoLargoCyl[#All],3,0),"")</f>
        <v/>
      </c>
      <c r="F3701" s="13" t="inlineStr">
        <is>
          <t>COTY</t>
        </is>
      </c>
      <c r="G3701" s="6" t="n">
        <v>100</v>
      </c>
      <c r="H3701" s="6" t="n">
        <v>-835.518</v>
      </c>
      <c r="I3701" s="7">
        <f>-H3701/G3701</f>
        <v/>
      </c>
      <c r="J3701" s="11" t="n"/>
      <c r="K3701" s="6" t="n"/>
      <c r="L3701" s="6" t="n"/>
      <c r="M3701" s="7">
        <f>IF(N3701=0,+L3701+H3701,0)</f>
        <v/>
      </c>
      <c r="N3701" s="7">
        <f>IF((+G3701-K3701)=0,0,+G3701-K3701)</f>
        <v/>
      </c>
      <c r="O3701" s="7">
        <f>IF(N3701=0,0,(L3701+H3701)/-N3701)</f>
        <v/>
      </c>
      <c r="P3701" s="7">
        <f>VLOOKUP(OPERAC[[#This Row],[especie]],[1]!ESPECIES[#All],6,0)</f>
        <v/>
      </c>
      <c r="Q3701" s="7">
        <f>IF(N3701&lt;&gt;0,P3701*N3701,0)</f>
        <v/>
      </c>
      <c r="R3701" s="8">
        <f>IF(Q3701&lt;&gt;0,Q3701+H3701+L3701,0)</f>
        <v/>
      </c>
      <c r="S3701" s="9">
        <f>VLOOKUP(OPERAC[[#This Row],[especie]],[1]!ESPECIES[#Data],9,FALSE)</f>
        <v/>
      </c>
    </row>
    <row r="3702">
      <c r="A3702" s="4" t="n">
        <v>6578</v>
      </c>
      <c r="B3702" s="5" t="n">
        <v>44662</v>
      </c>
      <c r="C3702" s="13" t="inlineStr">
        <is>
          <t>CPR</t>
        </is>
      </c>
      <c r="D3702" s="13" t="n">
        <v>42</v>
      </c>
      <c r="E3702" s="10">
        <f>IF(D3702&gt;0,VLOOKUP(OPERAC[[#This Row],[COD CART]],[1]!MatrizCortoLargoCyl[#All],3,0),"")</f>
        <v/>
      </c>
      <c r="F3702" s="13" t="inlineStr">
        <is>
          <t>HYDR</t>
        </is>
      </c>
      <c r="G3702" s="6" t="n">
        <v>45</v>
      </c>
      <c r="H3702" s="6" t="n">
        <v>-835.66548</v>
      </c>
      <c r="I3702" s="7">
        <f>-H3702/G3702</f>
        <v/>
      </c>
      <c r="J3702" s="11" t="n">
        <v>44693</v>
      </c>
      <c r="K3702" s="6">
        <f>+OPERAC[[#This Row],[cantidad]]</f>
        <v/>
      </c>
      <c r="L3702" s="6">
        <f>+OPERAC[[#This Row],[cantidad venta]]*12.027</f>
        <v/>
      </c>
      <c r="M3702" s="7">
        <f>IF(N3702=0,+L3702+H3702,0)</f>
        <v/>
      </c>
      <c r="N3702" s="7">
        <f>IF((+G3702-K3702)=0,0,+G3702-K3702)</f>
        <v/>
      </c>
      <c r="O3702" s="7">
        <f>IF(N3702=0,0,(L3702+H3702)/-N3702)</f>
        <v/>
      </c>
      <c r="P3702" s="7">
        <f>VLOOKUP(OPERAC[[#This Row],[especie]],[1]!ESPECIES[#All],6,0)</f>
        <v/>
      </c>
      <c r="Q3702" s="7">
        <f>IF(N3702&lt;&gt;0,P3702*N3702,0)</f>
        <v/>
      </c>
      <c r="R3702" s="8">
        <f>IF(Q3702&lt;&gt;0,Q3702+H3702+L3702,0)</f>
        <v/>
      </c>
      <c r="S3702" s="9">
        <f>VLOOKUP(OPERAC[[#This Row],[especie]],[1]!ESPECIES[#Data],9,FALSE)</f>
        <v/>
      </c>
    </row>
    <row r="3703">
      <c r="A3703" s="4" t="n">
        <v>7916</v>
      </c>
      <c r="B3703" s="5" t="n">
        <v>44662</v>
      </c>
      <c r="C3703" s="13" t="inlineStr">
        <is>
          <t>CPR</t>
        </is>
      </c>
      <c r="D3703" s="13" t="n">
        <v>42</v>
      </c>
      <c r="E3703" s="10">
        <f>IF(D3703&gt;0,VLOOKUP(OPERAC[[#This Row],[COD CART]],[1]!MatrizCortoLargoCyl[#All],3,0),"")</f>
        <v/>
      </c>
      <c r="F3703" s="13" t="inlineStr">
        <is>
          <t>HYDR</t>
        </is>
      </c>
      <c r="G3703" s="6" t="n">
        <v>45</v>
      </c>
      <c r="H3703" s="6" t="n">
        <v>-835.66548</v>
      </c>
      <c r="I3703" s="7">
        <f>-H3703/G3703</f>
        <v/>
      </c>
      <c r="J3703" s="11" t="n">
        <v>44693</v>
      </c>
      <c r="K3703" s="6">
        <f>+OPERAC[[#This Row],[cantidad]]</f>
        <v/>
      </c>
      <c r="L3703" s="6">
        <f>+OPERAC[[#This Row],[cantidad venta]]*12.027</f>
        <v/>
      </c>
      <c r="M3703" s="7">
        <f>IF(N3703=0,+L3703+H3703,0)</f>
        <v/>
      </c>
      <c r="N3703" s="7">
        <f>IF((+G3703-K3703)=0,0,+G3703-K3703)</f>
        <v/>
      </c>
      <c r="O3703" s="7">
        <f>IF(N3703=0,0,(L3703+H3703)/-N3703)</f>
        <v/>
      </c>
      <c r="P3703" s="7">
        <f>VLOOKUP(OPERAC[[#This Row],[especie]],[1]!ESPECIES[#All],6,0)</f>
        <v/>
      </c>
      <c r="Q3703" s="7">
        <f>IF(N3703&lt;&gt;0,P3703*N3703,0)</f>
        <v/>
      </c>
      <c r="R3703" s="8">
        <f>IF(Q3703&lt;&gt;0,Q3703+H3703+L3703,0)</f>
        <v/>
      </c>
      <c r="S3703" s="9">
        <f>VLOOKUP(OPERAC[[#This Row],[especie]],[1]!ESPECIES[#Data],9,FALSE)</f>
        <v/>
      </c>
    </row>
    <row r="3704">
      <c r="A3704" s="4" t="n">
        <v>13253</v>
      </c>
      <c r="B3704" s="5" t="n">
        <v>44552</v>
      </c>
      <c r="C3704" s="13" t="inlineStr">
        <is>
          <t>CPR</t>
        </is>
      </c>
      <c r="D3704" s="13" t="n">
        <v>41</v>
      </c>
      <c r="E3704" s="10">
        <f>IF(D3704&gt;0,VLOOKUP(OPERAC[[#This Row],[COD CART]],[1]!MatrizCortoLargoCyl[#All],3,0),"")</f>
        <v/>
      </c>
      <c r="F3704" s="13" t="inlineStr">
        <is>
          <t>EWZ</t>
        </is>
      </c>
      <c r="G3704" s="6" t="n">
        <v>30</v>
      </c>
      <c r="H3704" s="6" t="n">
        <v>-836.38</v>
      </c>
      <c r="I3704" s="7">
        <f>-H3704/G3704</f>
        <v/>
      </c>
      <c r="J3704" s="11" t="n">
        <v>44587</v>
      </c>
      <c r="K3704" s="6">
        <f>20+10</f>
        <v/>
      </c>
      <c r="L3704" s="6">
        <f>609.566+341.51</f>
        <v/>
      </c>
      <c r="M3704" s="7">
        <f>IF(N3704=0,+L3704+H3704,0)</f>
        <v/>
      </c>
      <c r="N3704" s="7">
        <f>IF((+G3704-K3704)=0,0,+G3704-K3704)</f>
        <v/>
      </c>
      <c r="O3704" s="7">
        <f>IF(N3704=0,0,(L3704+H3704)/-N3704)</f>
        <v/>
      </c>
      <c r="P3704" s="7">
        <f>VLOOKUP(OPERAC[[#This Row],[especie]],[1]!ESPECIES[#All],6,0)</f>
        <v/>
      </c>
      <c r="Q3704" s="7">
        <f>IF(N3704&lt;&gt;0,P3704*N3704,0)</f>
        <v/>
      </c>
      <c r="R3704" s="8">
        <f>IF(Q3704&lt;&gt;0,Q3704+H3704+L3704,0)</f>
        <v/>
      </c>
      <c r="S3704" s="9">
        <f>VLOOKUP(OPERAC[[#This Row],[especie]],[1]!ESPECIES[#Data],9,FALSE)</f>
        <v/>
      </c>
    </row>
    <row r="3705">
      <c r="A3705" s="4" t="n">
        <v>2218</v>
      </c>
      <c r="B3705" s="5" t="n">
        <v>44641</v>
      </c>
      <c r="C3705" s="13" t="inlineStr">
        <is>
          <t>CPR</t>
        </is>
      </c>
      <c r="D3705" s="13" t="n">
        <v>42</v>
      </c>
      <c r="E3705" s="10">
        <f>IF(D3705&gt;0,VLOOKUP(OPERAC[[#This Row],[COD CART]],[1]!MatrizCortoLargoCyl[#All],3,0),"")</f>
        <v/>
      </c>
      <c r="F3705" s="13" t="inlineStr">
        <is>
          <t>JPM</t>
        </is>
      </c>
      <c r="G3705" s="6" t="n">
        <v>6</v>
      </c>
      <c r="H3705" s="6" t="n">
        <v>-836.87418</v>
      </c>
      <c r="I3705" s="7">
        <f>-H3705/G3705</f>
        <v/>
      </c>
      <c r="J3705" s="11" t="n">
        <v>44664</v>
      </c>
      <c r="K3705" s="6">
        <f>+OPERAC[[#This Row],[cantidad]]</f>
        <v/>
      </c>
      <c r="L3705" s="6">
        <f>+OPERAC[[#This Row],[cantidad venta]]*125.943</f>
        <v/>
      </c>
      <c r="M3705" s="7">
        <f>IF(N3705=0,+L3705+H3705,0)</f>
        <v/>
      </c>
      <c r="N3705" s="7">
        <f>IF((+G3705-K3705)=0,0,+G3705-K3705)</f>
        <v/>
      </c>
      <c r="O3705" s="7">
        <f>IF(N3705=0,0,(L3705+H3705)/-N3705)</f>
        <v/>
      </c>
      <c r="P3705" s="7">
        <f>VLOOKUP(OPERAC[[#This Row],[especie]],[1]!ESPECIES[#All],6,0)</f>
        <v/>
      </c>
      <c r="Q3705" s="7">
        <f>IF(N3705&lt;&gt;0,P3705*N3705,0)</f>
        <v/>
      </c>
      <c r="R3705" s="8">
        <f>IF(Q3705&lt;&gt;0,Q3705+H3705+L3705,0)</f>
        <v/>
      </c>
      <c r="S3705" s="9">
        <f>VLOOKUP(OPERAC[[#This Row],[especie]],[1]!ESPECIES[#Data],9,FALSE)</f>
        <v/>
      </c>
    </row>
    <row r="3706">
      <c r="A3706" s="4" t="n">
        <v>7895</v>
      </c>
      <c r="B3706" s="5" t="n">
        <v>44494</v>
      </c>
      <c r="C3706" s="13" t="inlineStr">
        <is>
          <t>CPR</t>
        </is>
      </c>
      <c r="D3706" s="13" t="n">
        <v>40</v>
      </c>
      <c r="E3706" s="10">
        <f>IF(D3706&gt;0,VLOOKUP(OPERAC[[#This Row],[COD CART]],[1]!MatrizCortoLargoCyl[#All],3,0),"")</f>
        <v/>
      </c>
      <c r="F3706" s="13" t="inlineStr">
        <is>
          <t>YPF</t>
        </is>
      </c>
      <c r="G3706" s="6" t="n">
        <v>180</v>
      </c>
      <c r="H3706" s="6" t="n">
        <v>-837.4896</v>
      </c>
      <c r="I3706" s="7">
        <f>-H3706/G3706</f>
        <v/>
      </c>
      <c r="J3706" s="11" t="n">
        <v>44606</v>
      </c>
      <c r="K3706" s="6">
        <f>+OPERAC[[#This Row],[cantidad]]</f>
        <v/>
      </c>
      <c r="L3706" s="6">
        <f>+OPERAC[[#This Row],[cantidad venta]]*4.161</f>
        <v/>
      </c>
      <c r="M3706" s="7">
        <f>IF(N3706=0,+L3706+H3706,0)</f>
        <v/>
      </c>
      <c r="N3706" s="7">
        <f>IF((+G3706-K3706)=0,0,+G3706-K3706)</f>
        <v/>
      </c>
      <c r="O3706" s="7">
        <f>IF(N3706=0,0,(L3706+H3706)/-N3706)</f>
        <v/>
      </c>
      <c r="P3706" s="7">
        <f>VLOOKUP(OPERAC[[#This Row],[especie]],[1]!ESPECIES[#All],6,0)</f>
        <v/>
      </c>
      <c r="Q3706" s="7">
        <f>IF(N3706&lt;&gt;0,P3706*N3706,0)</f>
        <v/>
      </c>
      <c r="R3706" s="8">
        <f>IF(Q3706&lt;&gt;0,Q3706+H3706+L3706,0)</f>
        <v/>
      </c>
      <c r="S3706" s="9">
        <f>VLOOKUP(OPERAC[[#This Row],[especie]],[1]!ESPECIES[#Data],9,FALSE)</f>
        <v/>
      </c>
    </row>
    <row r="3707">
      <c r="A3707" s="4" t="n">
        <v>18724</v>
      </c>
      <c r="B3707" s="5" t="n">
        <v>44494</v>
      </c>
      <c r="C3707" s="13" t="inlineStr">
        <is>
          <t>CPR</t>
        </is>
      </c>
      <c r="D3707" s="13" t="n">
        <v>40</v>
      </c>
      <c r="E3707" s="10">
        <f>IF(D3707&gt;0,VLOOKUP(OPERAC[[#This Row],[COD CART]],[1]!MatrizCortoLargoCyl[#All],3,0),"")</f>
        <v/>
      </c>
      <c r="F3707" s="13" t="inlineStr">
        <is>
          <t>YPF</t>
        </is>
      </c>
      <c r="G3707" s="6" t="n">
        <v>180</v>
      </c>
      <c r="H3707" s="6" t="n">
        <v>-837.4896</v>
      </c>
      <c r="I3707" s="7">
        <f>-H3707/G3707</f>
        <v/>
      </c>
      <c r="J3707" s="11" t="n">
        <v>44606</v>
      </c>
      <c r="K3707" s="6">
        <f>+OPERAC[[#This Row],[cantidad]]</f>
        <v/>
      </c>
      <c r="L3707" s="6">
        <f>+OPERAC[[#This Row],[cantidad venta]]*4.161</f>
        <v/>
      </c>
      <c r="M3707" s="7">
        <f>IF(N3707=0,+L3707+H3707,0)</f>
        <v/>
      </c>
      <c r="N3707" s="7">
        <f>IF((+G3707-K3707)=0,0,+G3707-K3707)</f>
        <v/>
      </c>
      <c r="O3707" s="7">
        <f>IF(N3707=0,0,(L3707+H3707)/-N3707)</f>
        <v/>
      </c>
      <c r="P3707" s="7">
        <f>VLOOKUP(OPERAC[[#This Row],[especie]],[1]!ESPECIES[#All],6,0)</f>
        <v/>
      </c>
      <c r="Q3707" s="7">
        <f>IF(N3707&lt;&gt;0,P3707*N3707,0)</f>
        <v/>
      </c>
      <c r="R3707" s="8">
        <f>IF(Q3707&lt;&gt;0,Q3707+H3707+L3707,0)</f>
        <v/>
      </c>
      <c r="S3707" s="9">
        <f>VLOOKUP(OPERAC[[#This Row],[especie]],[1]!ESPECIES[#Data],9,FALSE)</f>
        <v/>
      </c>
    </row>
    <row r="3708">
      <c r="A3708" s="4" t="n">
        <v>26138</v>
      </c>
      <c r="B3708" s="5" t="n">
        <v>44643</v>
      </c>
      <c r="C3708" s="13" t="inlineStr">
        <is>
          <t>CPR</t>
        </is>
      </c>
      <c r="D3708" s="13" t="n">
        <v>42</v>
      </c>
      <c r="E3708" s="10">
        <f>IF(D3708&gt;0,VLOOKUP(OPERAC[[#This Row],[COD CART]],[1]!MatrizCortoLargoCyl[#All],3,0),"")</f>
        <v/>
      </c>
      <c r="F3708" s="13" t="inlineStr">
        <is>
          <t>DIS</t>
        </is>
      </c>
      <c r="G3708" s="6" t="n">
        <v>6</v>
      </c>
      <c r="H3708" s="6" t="n">
        <v>-838.2129</v>
      </c>
      <c r="I3708" s="7">
        <f>-H3708/G3708</f>
        <v/>
      </c>
      <c r="J3708" s="11" t="n">
        <v>44671</v>
      </c>
      <c r="K3708" s="6">
        <f>+OPERAC[[#This Row],[cantidad]]</f>
        <v/>
      </c>
      <c r="L3708" s="6">
        <f>+OPERAC[[#This Row],[cantidad venta]]*123.621</f>
        <v/>
      </c>
      <c r="M3708" s="7">
        <f>IF(N3708=0,+L3708+H3708,0)</f>
        <v/>
      </c>
      <c r="N3708" s="7">
        <f>IF((+G3708-K3708)=0,0,+G3708-K3708)</f>
        <v/>
      </c>
      <c r="O3708" s="7">
        <f>IF(N3708=0,0,(L3708+H3708)/-N3708)</f>
        <v/>
      </c>
      <c r="P3708" s="7">
        <f>VLOOKUP(OPERAC[[#This Row],[especie]],[1]!ESPECIES[#All],6,0)</f>
        <v/>
      </c>
      <c r="Q3708" s="7">
        <f>IF(N3708&lt;&gt;0,P3708*N3708,0)</f>
        <v/>
      </c>
      <c r="R3708" s="8">
        <f>IF(Q3708&lt;&gt;0,Q3708+H3708+L3708,0)</f>
        <v/>
      </c>
      <c r="S3708" s="9">
        <f>VLOOKUP(OPERAC[[#This Row],[especie]],[1]!ESPECIES[#Data],9,FALSE)</f>
        <v/>
      </c>
    </row>
    <row r="3709">
      <c r="A3709" s="4" t="n">
        <v>2255</v>
      </c>
      <c r="B3709" s="5" t="n">
        <v>44643</v>
      </c>
      <c r="C3709" s="13" t="inlineStr">
        <is>
          <t>CPR</t>
        </is>
      </c>
      <c r="D3709" s="13" t="n">
        <v>42</v>
      </c>
      <c r="E3709" s="10">
        <f>IF(D3709&gt;0,VLOOKUP(OPERAC[[#This Row],[COD CART]],[1]!MatrizCortoLargoCyl[#All],3,0),"")</f>
        <v/>
      </c>
      <c r="F3709" s="13" t="inlineStr">
        <is>
          <t>ADBE</t>
        </is>
      </c>
      <c r="G3709" s="6" t="n">
        <v>2</v>
      </c>
      <c r="H3709" s="6" t="n">
        <v>-838.76803</v>
      </c>
      <c r="I3709" s="7">
        <f>-H3709/G3709</f>
        <v/>
      </c>
      <c r="J3709" s="11" t="n">
        <v>44687</v>
      </c>
      <c r="K3709" s="6">
        <f>+OPERAC[[#This Row],[cantidad]]</f>
        <v/>
      </c>
      <c r="L3709" s="6" t="n">
        <v>775.96</v>
      </c>
      <c r="M3709" s="7">
        <f>IF(N3709=0,+L3709+H3709,0)</f>
        <v/>
      </c>
      <c r="N3709" s="7">
        <f>IF((+G3709-K3709)=0,0,+G3709-K3709)</f>
        <v/>
      </c>
      <c r="O3709" s="7">
        <f>IF(N3709=0,0,(L3709+H3709)/-N3709)</f>
        <v/>
      </c>
      <c r="P3709" s="7">
        <f>VLOOKUP(OPERAC[[#This Row],[especie]],[1]!ESPECIES[#All],6,0)</f>
        <v/>
      </c>
      <c r="Q3709" s="7">
        <f>IF(N3709&lt;&gt;0,P3709*N3709,0)</f>
        <v/>
      </c>
      <c r="R3709" s="8">
        <f>IF(Q3709&lt;&gt;0,Q3709+H3709+L3709,0)</f>
        <v/>
      </c>
      <c r="S3709" s="9">
        <f>VLOOKUP(OPERAC[[#This Row],[especie]],[1]!ESPECIES[#Data],9,FALSE)</f>
        <v/>
      </c>
    </row>
    <row r="3710">
      <c r="A3710" s="4" t="n">
        <v>2255</v>
      </c>
      <c r="B3710" s="5" t="n">
        <v>44641</v>
      </c>
      <c r="C3710" s="13" t="inlineStr">
        <is>
          <t>CPR</t>
        </is>
      </c>
      <c r="D3710" s="13" t="n">
        <v>42</v>
      </c>
      <c r="E3710" s="10">
        <f>IF(D3710&gt;0,VLOOKUP(OPERAC[[#This Row],[COD CART]],[1]!MatrizCortoLargoCyl[#All],3,0),"")</f>
        <v/>
      </c>
      <c r="F3710" s="13" t="inlineStr">
        <is>
          <t>JPM</t>
        </is>
      </c>
      <c r="G3710" s="6" t="n">
        <v>6</v>
      </c>
      <c r="H3710" s="6" t="n">
        <v>-839.3821200000001</v>
      </c>
      <c r="I3710" s="7">
        <f>-H3710/G3710</f>
        <v/>
      </c>
      <c r="J3710" s="11" t="n">
        <v>44664</v>
      </c>
      <c r="K3710" s="6">
        <f>+OPERAC[[#This Row],[cantidad]]</f>
        <v/>
      </c>
      <c r="L3710" s="6">
        <f>+OPERAC[[#This Row],[cantidad venta]]*125.943</f>
        <v/>
      </c>
      <c r="M3710" s="7">
        <f>IF(N3710=0,+L3710+H3710,0)</f>
        <v/>
      </c>
      <c r="N3710" s="7">
        <f>IF((+G3710-K3710)=0,0,+G3710-K3710)</f>
        <v/>
      </c>
      <c r="O3710" s="7">
        <f>IF(N3710=0,0,(L3710+H3710)/-N3710)</f>
        <v/>
      </c>
      <c r="P3710" s="7">
        <f>VLOOKUP(OPERAC[[#This Row],[especie]],[1]!ESPECIES[#All],6,0)</f>
        <v/>
      </c>
      <c r="Q3710" s="7">
        <f>IF(N3710&lt;&gt;0,P3710*N3710,0)</f>
        <v/>
      </c>
      <c r="R3710" s="8">
        <f>IF(Q3710&lt;&gt;0,Q3710+H3710+L3710,0)</f>
        <v/>
      </c>
      <c r="S3710" s="9">
        <f>VLOOKUP(OPERAC[[#This Row],[especie]],[1]!ESPECIES[#Data],9,FALSE)</f>
        <v/>
      </c>
    </row>
    <row r="3711">
      <c r="A3711" s="4" t="n">
        <v>6628</v>
      </c>
      <c r="B3711" s="5" t="n">
        <v>44424</v>
      </c>
      <c r="C3711" s="13" t="inlineStr">
        <is>
          <t>CPR</t>
        </is>
      </c>
      <c r="D3711" s="13" t="n">
        <v>32</v>
      </c>
      <c r="E3711" s="10">
        <f>IF(D3711&gt;0,VLOOKUP(OPERAC[[#This Row],[COD CART]],[1]!MatrizCortoLargoCyl[#All],3,0),"")</f>
        <v/>
      </c>
      <c r="F3711" s="13" t="inlineStr">
        <is>
          <t>INO/CYL/8,00/18-02-22</t>
        </is>
      </c>
      <c r="G3711" s="6" t="n">
        <v>100</v>
      </c>
      <c r="H3711" s="6">
        <f>-893.47712+16.234+7.216+11.084+14.579+4.707</f>
        <v/>
      </c>
      <c r="I3711" s="7">
        <f>-H3711/G3711</f>
        <v/>
      </c>
      <c r="J3711" s="11" t="n">
        <v>44596</v>
      </c>
      <c r="K3711" s="6" t="n">
        <v>100</v>
      </c>
      <c r="L3711" s="6">
        <f>3.665*OPERAC[[#This Row],[cantidad venta]]</f>
        <v/>
      </c>
      <c r="M3711" s="7">
        <f>IF(N3711=0,+L3711+H3711,0)</f>
        <v/>
      </c>
      <c r="N3711" s="7">
        <f>IF((+G3711-K3711)=0,0,+G3711-K3711)</f>
        <v/>
      </c>
      <c r="O3711" s="7">
        <f>IF(N3711=0,0,(L3711+H3711)/-N3711)</f>
        <v/>
      </c>
      <c r="P3711" s="7">
        <f>VLOOKUP(OPERAC[[#This Row],[especie]],[1]!ESPECIES[#All],6,0)</f>
        <v/>
      </c>
      <c r="Q3711" s="7">
        <f>IF(N3711&lt;&gt;0,P3711*N3711,0)</f>
        <v/>
      </c>
      <c r="R3711" s="8">
        <f>IF(Q3711&lt;&gt;0,Q3711+H3711+L3711,0)</f>
        <v/>
      </c>
      <c r="S3711" s="9">
        <f>VLOOKUP(OPERAC[[#This Row],[especie]],[1]!ESPECIES[#Data],9,FALSE)</f>
        <v/>
      </c>
    </row>
    <row r="3712">
      <c r="A3712" s="4" t="n">
        <v>3787</v>
      </c>
      <c r="B3712" s="5" t="n">
        <v>44543</v>
      </c>
      <c r="C3712" s="13" t="inlineStr">
        <is>
          <t>CPR</t>
        </is>
      </c>
      <c r="D3712" s="13" t="n">
        <v>40</v>
      </c>
      <c r="E3712" s="10">
        <f>IF(D3712&gt;0,VLOOKUP(OPERAC[[#This Row],[COD CART]],[1]!MatrizCortoLargoCyl[#All],3,0),"")</f>
        <v/>
      </c>
      <c r="F3712" s="13" t="inlineStr">
        <is>
          <t>VIST</t>
        </is>
      </c>
      <c r="G3712" s="6" t="n">
        <v>150</v>
      </c>
      <c r="H3712" s="6" t="n">
        <v>-839.91</v>
      </c>
      <c r="I3712" s="7">
        <f>-H3712/G3712</f>
        <v/>
      </c>
      <c r="J3712" s="11" t="n">
        <v>44574</v>
      </c>
      <c r="K3712" s="6">
        <f>+OPERAC[[#This Row],[cantidad]]</f>
        <v/>
      </c>
      <c r="L3712" s="6">
        <f>+OPERAC[[#This Row],[cantidad venta]]*6.125</f>
        <v/>
      </c>
      <c r="M3712" s="7">
        <f>IF(N3712=0,+L3712+H3712,0)</f>
        <v/>
      </c>
      <c r="N3712" s="7">
        <f>IF((+G3712-K3712)=0,0,+G3712-K3712)</f>
        <v/>
      </c>
      <c r="O3712" s="7">
        <f>IF(N3712=0,0,(L3712+H3712)/-N3712)</f>
        <v/>
      </c>
      <c r="P3712" s="7">
        <f>VLOOKUP(OPERAC[[#This Row],[especie]],[1]!ESPECIES[#All],6,0)</f>
        <v/>
      </c>
      <c r="Q3712" s="7">
        <f>IF(N3712&lt;&gt;0,P3712*N3712,0)</f>
        <v/>
      </c>
      <c r="R3712" s="8">
        <f>IF(Q3712&lt;&gt;0,Q3712+H3712+L3712,0)</f>
        <v/>
      </c>
      <c r="S3712" s="9">
        <f>VLOOKUP(OPERAC[[#This Row],[especie]],[1]!ESPECIES[#Data],9,FALSE)</f>
        <v/>
      </c>
    </row>
    <row r="3713">
      <c r="A3713" s="4" t="n">
        <v>19878</v>
      </c>
      <c r="B3713" s="5" t="n">
        <v>44643</v>
      </c>
      <c r="C3713" s="13" t="inlineStr">
        <is>
          <t>VTA</t>
        </is>
      </c>
      <c r="D3713" s="13" t="n">
        <v>42</v>
      </c>
      <c r="E3713" s="10">
        <f>IF(D3713&gt;0,VLOOKUP(OPERAC[[#This Row],[COD CART]],[1]!MatrizCortoLargoCyl[#All],3,0),"")</f>
        <v/>
      </c>
      <c r="F3713" s="13" t="inlineStr">
        <is>
          <t>ADBE</t>
        </is>
      </c>
      <c r="G3713" s="6" t="n">
        <v>2</v>
      </c>
      <c r="H3713" s="6" t="n">
        <v>-840.43879</v>
      </c>
      <c r="I3713" s="7">
        <f>-H3713/G3713</f>
        <v/>
      </c>
      <c r="J3713" s="11" t="n">
        <v>44687</v>
      </c>
      <c r="K3713" s="6">
        <f>+OPERAC[[#This Row],[cantidad]]</f>
        <v/>
      </c>
      <c r="L3713" s="6" t="n">
        <v>772.84</v>
      </c>
      <c r="M3713" s="7">
        <f>IF(N3713=0,+L3713+H3713,0)</f>
        <v/>
      </c>
      <c r="N3713" s="7">
        <f>IF((+G3713-K3713)=0,0,+G3713-K3713)</f>
        <v/>
      </c>
      <c r="O3713" s="7">
        <f>IF(N3713=0,0,(L3713+H3713)/-N3713)</f>
        <v/>
      </c>
      <c r="P3713" s="7">
        <f>VLOOKUP(OPERAC[[#This Row],[especie]],[1]!ESPECIES[#All],6,0)</f>
        <v/>
      </c>
      <c r="Q3713" s="7">
        <f>IF(N3713&lt;&gt;0,P3713*N3713,0)</f>
        <v/>
      </c>
      <c r="R3713" s="8">
        <f>IF(Q3713&lt;&gt;0,Q3713+H3713+L3713,0)</f>
        <v/>
      </c>
      <c r="S3713" s="9">
        <f>VLOOKUP(OPERAC[[#This Row],[especie]],[1]!ESPECIES[#Data],9,FALSE)</f>
        <v/>
      </c>
    </row>
    <row r="3714">
      <c r="A3714" s="4" t="n">
        <v>19878</v>
      </c>
      <c r="B3714" s="5" t="n">
        <v>44641</v>
      </c>
      <c r="C3714" s="13" t="inlineStr">
        <is>
          <t>VTA</t>
        </is>
      </c>
      <c r="D3714" s="13" t="n">
        <v>42</v>
      </c>
      <c r="E3714" s="10">
        <f>IF(D3714&gt;0,VLOOKUP(OPERAC[[#This Row],[COD CART]],[1]!MatrizCortoLargoCyl[#All],3,0),"")</f>
        <v/>
      </c>
      <c r="F3714" s="13" t="inlineStr">
        <is>
          <t>JPM</t>
        </is>
      </c>
      <c r="G3714" s="6" t="n">
        <v>6</v>
      </c>
      <c r="H3714" s="6" t="n">
        <v>-841.0540800000001</v>
      </c>
      <c r="I3714" s="7">
        <f>-H3714/G3714</f>
        <v/>
      </c>
      <c r="J3714" s="11" t="n">
        <v>44664</v>
      </c>
      <c r="K3714" s="6">
        <f>+OPERAC[[#This Row],[cantidad]]</f>
        <v/>
      </c>
      <c r="L3714" s="6">
        <f>+OPERAC[[#This Row],[cantidad venta]]*125.943</f>
        <v/>
      </c>
      <c r="M3714" s="7">
        <f>IF(N3714=0,+L3714+H3714,0)</f>
        <v/>
      </c>
      <c r="N3714" s="7">
        <f>IF((+G3714-K3714)=0,0,+G3714-K3714)</f>
        <v/>
      </c>
      <c r="O3714" s="7">
        <f>IF(N3714=0,0,(L3714+H3714)/-N3714)</f>
        <v/>
      </c>
      <c r="P3714" s="7">
        <f>VLOOKUP(OPERAC[[#This Row],[especie]],[1]!ESPECIES[#All],6,0)</f>
        <v/>
      </c>
      <c r="Q3714" s="7">
        <f>IF(N3714&lt;&gt;0,P3714*N3714,0)</f>
        <v/>
      </c>
      <c r="R3714" s="8">
        <f>IF(Q3714&lt;&gt;0,Q3714+H3714+L3714,0)</f>
        <v/>
      </c>
      <c r="S3714" s="9">
        <f>VLOOKUP(OPERAC[[#This Row],[especie]],[1]!ESPECIES[#Data],9,FALSE)</f>
        <v/>
      </c>
    </row>
    <row r="3715">
      <c r="A3715" s="4" t="n">
        <v>3787</v>
      </c>
      <c r="B3715" s="5" t="n">
        <v>44643</v>
      </c>
      <c r="C3715" s="13" t="inlineStr">
        <is>
          <t>VTA</t>
        </is>
      </c>
      <c r="D3715" s="13" t="n">
        <v>42</v>
      </c>
      <c r="E3715" s="10">
        <f>IF(D3715&gt;0,VLOOKUP(OPERAC[[#This Row],[COD CART]],[1]!MatrizCortoLargoCyl[#All],3,0),"")</f>
        <v/>
      </c>
      <c r="F3715" s="13" t="inlineStr">
        <is>
          <t>ADBE</t>
        </is>
      </c>
      <c r="G3715" s="6" t="n">
        <v>2</v>
      </c>
      <c r="H3715" s="6" t="n">
        <v>-842.10955</v>
      </c>
      <c r="I3715" s="7">
        <f>-H3715/G3715</f>
        <v/>
      </c>
      <c r="J3715" s="11" t="n">
        <v>44687</v>
      </c>
      <c r="K3715" s="6">
        <f>+OPERAC[[#This Row],[cantidad]]</f>
        <v/>
      </c>
      <c r="L3715" s="6" t="n">
        <v>772.84</v>
      </c>
      <c r="M3715" s="7">
        <f>IF(N3715=0,+L3715+H3715,0)</f>
        <v/>
      </c>
      <c r="N3715" s="7">
        <f>IF((+G3715-K3715)=0,0,+G3715-K3715)</f>
        <v/>
      </c>
      <c r="O3715" s="7">
        <f>IF(N3715=0,0,(L3715+H3715)/-N3715)</f>
        <v/>
      </c>
      <c r="P3715" s="7">
        <f>VLOOKUP(OPERAC[[#This Row],[especie]],[1]!ESPECIES[#All],6,0)</f>
        <v/>
      </c>
      <c r="Q3715" s="7">
        <f>IF(N3715&lt;&gt;0,P3715*N3715,0)</f>
        <v/>
      </c>
      <c r="R3715" s="8">
        <f>IF(Q3715&lt;&gt;0,Q3715+H3715+L3715,0)</f>
        <v/>
      </c>
      <c r="S3715" s="9">
        <f>VLOOKUP(OPERAC[[#This Row],[especie]],[1]!ESPECIES[#Data],9,FALSE)</f>
        <v/>
      </c>
    </row>
    <row r="3716">
      <c r="A3716" s="4" t="n">
        <v>6578</v>
      </c>
      <c r="B3716" s="5" t="n">
        <v>44643</v>
      </c>
      <c r="C3716" s="13" t="inlineStr">
        <is>
          <t>VTA</t>
        </is>
      </c>
      <c r="D3716" s="13" t="n">
        <v>42</v>
      </c>
      <c r="E3716" s="10">
        <f>IF(D3716&gt;0,VLOOKUP(OPERAC[[#This Row],[COD CART]],[1]!MatrizCortoLargoCyl[#All],3,0),"")</f>
        <v/>
      </c>
      <c r="F3716" s="13" t="inlineStr">
        <is>
          <t>ADBE</t>
        </is>
      </c>
      <c r="G3716" s="6" t="n">
        <v>2</v>
      </c>
      <c r="H3716" s="6" t="n">
        <v>-842.10955</v>
      </c>
      <c r="I3716" s="7">
        <f>-H3716/G3716</f>
        <v/>
      </c>
      <c r="J3716" s="11" t="n">
        <v>44687</v>
      </c>
      <c r="K3716" s="6">
        <f>+OPERAC[[#This Row],[cantidad]]</f>
        <v/>
      </c>
      <c r="L3716" s="6" t="n">
        <v>772.84</v>
      </c>
      <c r="M3716" s="7">
        <f>IF(N3716=0,+L3716+H3716,0)</f>
        <v/>
      </c>
      <c r="N3716" s="7">
        <f>IF((+G3716-K3716)=0,0,+G3716-K3716)</f>
        <v/>
      </c>
      <c r="O3716" s="7">
        <f>IF(N3716=0,0,(L3716+H3716)/-N3716)</f>
        <v/>
      </c>
      <c r="P3716" s="7">
        <f>VLOOKUP(OPERAC[[#This Row],[especie]],[1]!ESPECIES[#All],6,0)</f>
        <v/>
      </c>
      <c r="Q3716" s="7">
        <f>IF(N3716&lt;&gt;0,P3716*N3716,0)</f>
        <v/>
      </c>
      <c r="R3716" s="8">
        <f>IF(Q3716&lt;&gt;0,Q3716+H3716+L3716,0)</f>
        <v/>
      </c>
      <c r="S3716" s="9">
        <f>VLOOKUP(OPERAC[[#This Row],[especie]],[1]!ESPECIES[#Data],9,FALSE)</f>
        <v/>
      </c>
    </row>
    <row r="3717">
      <c r="A3717" s="4" t="n">
        <v>12627</v>
      </c>
      <c r="B3717" s="5" t="n">
        <v>44643</v>
      </c>
      <c r="C3717" s="13" t="inlineStr">
        <is>
          <t>VTA</t>
        </is>
      </c>
      <c r="D3717" s="13" t="n">
        <v>42</v>
      </c>
      <c r="E3717" s="10">
        <f>IF(D3717&gt;0,VLOOKUP(OPERAC[[#This Row],[COD CART]],[1]!MatrizCortoLargoCyl[#All],3,0),"")</f>
        <v/>
      </c>
      <c r="F3717" s="13" t="inlineStr">
        <is>
          <t>ADBE</t>
        </is>
      </c>
      <c r="G3717" s="6" t="n">
        <v>2</v>
      </c>
      <c r="H3717" s="6" t="n">
        <v>-842.10955</v>
      </c>
      <c r="I3717" s="7">
        <f>-H3717/G3717</f>
        <v/>
      </c>
      <c r="J3717" s="11" t="n">
        <v>44687</v>
      </c>
      <c r="K3717" s="6">
        <f>+OPERAC[[#This Row],[cantidad]]</f>
        <v/>
      </c>
      <c r="L3717" s="6" t="n">
        <v>772.84</v>
      </c>
      <c r="M3717" s="7">
        <f>IF(N3717=0,+L3717+H3717,0)</f>
        <v/>
      </c>
      <c r="N3717" s="7">
        <f>IF((+G3717-K3717)=0,0,+G3717-K3717)</f>
        <v/>
      </c>
      <c r="O3717" s="7">
        <f>IF(N3717=0,0,(L3717+H3717)/-N3717)</f>
        <v/>
      </c>
      <c r="P3717" s="7">
        <f>VLOOKUP(OPERAC[[#This Row],[especie]],[1]!ESPECIES[#All],6,0)</f>
        <v/>
      </c>
      <c r="Q3717" s="7">
        <f>IF(N3717&lt;&gt;0,P3717*N3717,0)</f>
        <v/>
      </c>
      <c r="R3717" s="8">
        <f>IF(Q3717&lt;&gt;0,Q3717+H3717+L3717,0)</f>
        <v/>
      </c>
      <c r="S3717" s="9">
        <f>VLOOKUP(OPERAC[[#This Row],[especie]],[1]!ESPECIES[#Data],9,FALSE)</f>
        <v/>
      </c>
    </row>
    <row r="3718">
      <c r="A3718" s="4" t="n">
        <v>12652</v>
      </c>
      <c r="B3718" s="5" t="n">
        <v>44643</v>
      </c>
      <c r="C3718" s="13" t="inlineStr">
        <is>
          <t>VTA</t>
        </is>
      </c>
      <c r="D3718" s="13" t="n">
        <v>42</v>
      </c>
      <c r="E3718" s="10">
        <f>IF(D3718&gt;0,VLOOKUP(OPERAC[[#This Row],[COD CART]],[1]!MatrizCortoLargoCyl[#All],3,0),"")</f>
        <v/>
      </c>
      <c r="F3718" s="13" t="inlineStr">
        <is>
          <t>ADBE</t>
        </is>
      </c>
      <c r="G3718" s="6" t="n">
        <v>2</v>
      </c>
      <c r="H3718" s="6" t="n">
        <v>-842.10955</v>
      </c>
      <c r="I3718" s="7">
        <f>-H3718/G3718</f>
        <v/>
      </c>
      <c r="J3718" s="11" t="n">
        <v>44648</v>
      </c>
      <c r="K3718" s="6" t="n">
        <v>2</v>
      </c>
      <c r="L3718" s="6" t="n">
        <v>871.942</v>
      </c>
      <c r="M3718" s="7">
        <f>IF(N3718=0,+L3718+H3718,0)</f>
        <v/>
      </c>
      <c r="N3718" s="7">
        <f>IF((+G3718-K3718)=0,0,+G3718-K3718)</f>
        <v/>
      </c>
      <c r="O3718" s="7">
        <f>IF(N3718=0,0,(L3718+H3718)/-N3718)</f>
        <v/>
      </c>
      <c r="P3718" s="7">
        <f>VLOOKUP(OPERAC[[#This Row],[especie]],[1]!ESPECIES[#All],6,0)</f>
        <v/>
      </c>
      <c r="Q3718" s="7">
        <f>IF(N3718&lt;&gt;0,P3718*N3718,0)</f>
        <v/>
      </c>
      <c r="R3718" s="8">
        <f>IF(Q3718&lt;&gt;0,Q3718+H3718+L3718,0)</f>
        <v/>
      </c>
      <c r="S3718" s="9">
        <f>VLOOKUP(OPERAC[[#This Row],[especie]],[1]!ESPECIES[#Data],9,FALSE)</f>
        <v/>
      </c>
    </row>
    <row r="3719">
      <c r="A3719" s="4" t="n">
        <v>12672</v>
      </c>
      <c r="B3719" s="5" t="n">
        <v>44643</v>
      </c>
      <c r="C3719" s="13" t="inlineStr">
        <is>
          <t>VTA</t>
        </is>
      </c>
      <c r="D3719" s="13" t="n">
        <v>42</v>
      </c>
      <c r="E3719" s="10">
        <f>IF(D3719&gt;0,VLOOKUP(OPERAC[[#This Row],[COD CART]],[1]!MatrizCortoLargoCyl[#All],3,0),"")</f>
        <v/>
      </c>
      <c r="F3719" s="13" t="inlineStr">
        <is>
          <t>ADBE</t>
        </is>
      </c>
      <c r="G3719" s="6" t="n">
        <v>2</v>
      </c>
      <c r="H3719" s="6" t="n">
        <v>-842.10955</v>
      </c>
      <c r="I3719" s="7">
        <f>-H3719/G3719</f>
        <v/>
      </c>
      <c r="J3719" s="11" t="n">
        <v>44669</v>
      </c>
      <c r="K3719" s="6" t="n">
        <v>2</v>
      </c>
      <c r="L3719" s="6" t="n">
        <v>838.095</v>
      </c>
      <c r="M3719" s="7">
        <f>IF(N3719=0,+L3719+H3719,0)</f>
        <v/>
      </c>
      <c r="N3719" s="7">
        <f>IF((+G3719-K3719)=0,0,+G3719-K3719)</f>
        <v/>
      </c>
      <c r="O3719" s="7">
        <f>IF(N3719=0,0,(L3719+H3719)/-N3719)</f>
        <v/>
      </c>
      <c r="P3719" s="7">
        <f>VLOOKUP(OPERAC[[#This Row],[especie]],[1]!ESPECIES[#All],6,0)</f>
        <v/>
      </c>
      <c r="Q3719" s="7">
        <f>IF(N3719&lt;&gt;0,P3719*N3719,0)</f>
        <v/>
      </c>
      <c r="R3719" s="8">
        <f>IF(Q3719&lt;&gt;0,Q3719+H3719+L3719,0)</f>
        <v/>
      </c>
      <c r="S3719" s="9">
        <f>VLOOKUP(OPERAC[[#This Row],[especie]],[1]!ESPECIES[#Data],9,FALSE)</f>
        <v/>
      </c>
    </row>
    <row r="3720">
      <c r="A3720" s="4" t="n">
        <v>13185</v>
      </c>
      <c r="B3720" s="5" t="n">
        <v>44643</v>
      </c>
      <c r="C3720" s="13" t="inlineStr">
        <is>
          <t>VTA</t>
        </is>
      </c>
      <c r="D3720" s="13" t="n">
        <v>42</v>
      </c>
      <c r="E3720" s="10">
        <f>IF(D3720&gt;0,VLOOKUP(OPERAC[[#This Row],[COD CART]],[1]!MatrizCortoLargoCyl[#All],3,0),"")</f>
        <v/>
      </c>
      <c r="F3720" s="13" t="inlineStr">
        <is>
          <t>ADBE</t>
        </is>
      </c>
      <c r="G3720" s="6" t="n">
        <v>2</v>
      </c>
      <c r="H3720" s="6" t="n">
        <v>-842.10955</v>
      </c>
      <c r="I3720" s="7">
        <f>-H3720/G3720</f>
        <v/>
      </c>
      <c r="J3720" s="11" t="n">
        <v>44687</v>
      </c>
      <c r="K3720" s="6">
        <f>+OPERAC[[#This Row],[cantidad]]</f>
        <v/>
      </c>
      <c r="L3720" s="6" t="n">
        <v>772.84</v>
      </c>
      <c r="M3720" s="7">
        <f>IF(N3720=0,+L3720+H3720,0)</f>
        <v/>
      </c>
      <c r="N3720" s="7">
        <f>IF((+G3720-K3720)=0,0,+G3720-K3720)</f>
        <v/>
      </c>
      <c r="O3720" s="7">
        <f>IF(N3720=0,0,(L3720+H3720)/-N3720)</f>
        <v/>
      </c>
      <c r="P3720" s="7">
        <f>VLOOKUP(OPERAC[[#This Row],[especie]],[1]!ESPECIES[#All],6,0)</f>
        <v/>
      </c>
      <c r="Q3720" s="7">
        <f>IF(N3720&lt;&gt;0,P3720*N3720,0)</f>
        <v/>
      </c>
      <c r="R3720" s="8">
        <f>IF(Q3720&lt;&gt;0,Q3720+H3720+L3720,0)</f>
        <v/>
      </c>
      <c r="S3720" s="9">
        <f>VLOOKUP(OPERAC[[#This Row],[especie]],[1]!ESPECIES[#Data],9,FALSE)</f>
        <v/>
      </c>
    </row>
    <row r="3721">
      <c r="A3721" s="4" t="n">
        <v>15195</v>
      </c>
      <c r="B3721" s="5" t="n">
        <v>44643</v>
      </c>
      <c r="C3721" s="13" t="inlineStr">
        <is>
          <t>VTA</t>
        </is>
      </c>
      <c r="D3721" s="13" t="n">
        <v>42</v>
      </c>
      <c r="E3721" s="10">
        <f>IF(D3721&gt;0,VLOOKUP(OPERAC[[#This Row],[COD CART]],[1]!MatrizCortoLargoCyl[#All],3,0),"")</f>
        <v/>
      </c>
      <c r="F3721" s="13" t="inlineStr">
        <is>
          <t>ADBE</t>
        </is>
      </c>
      <c r="G3721" s="6" t="n">
        <v>2</v>
      </c>
      <c r="H3721" s="6" t="n">
        <v>-842.10955</v>
      </c>
      <c r="I3721" s="7">
        <f>-H3721/G3721</f>
        <v/>
      </c>
      <c r="J3721" s="11" t="n">
        <v>44687</v>
      </c>
      <c r="K3721" s="6">
        <f>+OPERAC[[#This Row],[cantidad]]</f>
        <v/>
      </c>
      <c r="L3721" s="6" t="n">
        <v>772.84</v>
      </c>
      <c r="M3721" s="7">
        <f>IF(N3721=0,+L3721+H3721,0)</f>
        <v/>
      </c>
      <c r="N3721" s="7">
        <f>IF((+G3721-K3721)=0,0,+G3721-K3721)</f>
        <v/>
      </c>
      <c r="O3721" s="7">
        <f>IF(N3721=0,0,(L3721+H3721)/-N3721)</f>
        <v/>
      </c>
      <c r="P3721" s="7">
        <f>VLOOKUP(OPERAC[[#This Row],[especie]],[1]!ESPECIES[#All],6,0)</f>
        <v/>
      </c>
      <c r="Q3721" s="7">
        <f>IF(N3721&lt;&gt;0,P3721*N3721,0)</f>
        <v/>
      </c>
      <c r="R3721" s="8">
        <f>IF(Q3721&lt;&gt;0,Q3721+H3721+L3721,0)</f>
        <v/>
      </c>
      <c r="S3721" s="9">
        <f>VLOOKUP(OPERAC[[#This Row],[especie]],[1]!ESPECIES[#Data],9,FALSE)</f>
        <v/>
      </c>
    </row>
    <row r="3722">
      <c r="A3722" s="4" t="n">
        <v>19888</v>
      </c>
      <c r="B3722" s="5" t="n">
        <v>44643</v>
      </c>
      <c r="C3722" s="13" t="inlineStr">
        <is>
          <t>VTA</t>
        </is>
      </c>
      <c r="D3722" s="13" t="n">
        <v>42</v>
      </c>
      <c r="E3722" s="10">
        <f>IF(D3722&gt;0,VLOOKUP(OPERAC[[#This Row],[COD CART]],[1]!MatrizCortoLargoCyl[#All],3,0),"")</f>
        <v/>
      </c>
      <c r="F3722" s="13" t="inlineStr">
        <is>
          <t>ADBE</t>
        </is>
      </c>
      <c r="G3722" s="6" t="n">
        <v>2</v>
      </c>
      <c r="H3722" s="6" t="n">
        <v>-842.10955</v>
      </c>
      <c r="I3722" s="7">
        <f>-H3722/G3722</f>
        <v/>
      </c>
      <c r="J3722" s="11" t="n">
        <v>44687</v>
      </c>
      <c r="K3722" s="6">
        <f>+OPERAC[[#This Row],[cantidad]]</f>
        <v/>
      </c>
      <c r="L3722" s="6" t="n">
        <v>772.84</v>
      </c>
      <c r="M3722" s="7">
        <f>IF(N3722=0,+L3722+H3722,0)</f>
        <v/>
      </c>
      <c r="N3722" s="7">
        <f>IF((+G3722-K3722)=0,0,+G3722-K3722)</f>
        <v/>
      </c>
      <c r="O3722" s="7">
        <f>IF(N3722=0,0,(L3722+H3722)/-N3722)</f>
        <v/>
      </c>
      <c r="P3722" s="7">
        <f>VLOOKUP(OPERAC[[#This Row],[especie]],[1]!ESPECIES[#All],6,0)</f>
        <v/>
      </c>
      <c r="Q3722" s="7">
        <f>IF(N3722&lt;&gt;0,P3722*N3722,0)</f>
        <v/>
      </c>
      <c r="R3722" s="8">
        <f>IF(Q3722&lt;&gt;0,Q3722+H3722+L3722,0)</f>
        <v/>
      </c>
      <c r="S3722" s="9">
        <f>VLOOKUP(OPERAC[[#This Row],[especie]],[1]!ESPECIES[#Data],9,FALSE)</f>
        <v/>
      </c>
    </row>
    <row r="3723">
      <c r="A3723" s="4" t="n">
        <v>22407</v>
      </c>
      <c r="B3723" s="5" t="n">
        <v>44643</v>
      </c>
      <c r="C3723" s="13" t="inlineStr">
        <is>
          <t>VTA</t>
        </is>
      </c>
      <c r="D3723" s="13" t="n">
        <v>42</v>
      </c>
      <c r="E3723" s="10">
        <f>IF(D3723&gt;0,VLOOKUP(OPERAC[[#This Row],[COD CART]],[1]!MatrizCortoLargoCyl[#All],3,0),"")</f>
        <v/>
      </c>
      <c r="F3723" s="13" t="inlineStr">
        <is>
          <t>ADBE</t>
        </is>
      </c>
      <c r="G3723" s="6" t="n">
        <v>2</v>
      </c>
      <c r="H3723" s="6" t="n">
        <v>-842.10955</v>
      </c>
      <c r="I3723" s="7">
        <f>-H3723/G3723</f>
        <v/>
      </c>
      <c r="J3723" s="11" t="n">
        <v>44687</v>
      </c>
      <c r="K3723" s="6">
        <f>+OPERAC[[#This Row],[cantidad]]</f>
        <v/>
      </c>
      <c r="L3723" s="6" t="n">
        <v>1250.12</v>
      </c>
      <c r="M3723" s="7">
        <f>IF(N3723=0,+L3723+H3723,0)</f>
        <v/>
      </c>
      <c r="N3723" s="7">
        <f>IF((+G3723-K3723)=0,0,+G3723-K3723)</f>
        <v/>
      </c>
      <c r="O3723" s="7">
        <f>IF(N3723=0,0,(L3723+H3723)/-N3723)</f>
        <v/>
      </c>
      <c r="P3723" s="7">
        <f>VLOOKUP(OPERAC[[#This Row],[especie]],[1]!ESPECIES[#All],6,0)</f>
        <v/>
      </c>
      <c r="Q3723" s="7">
        <f>IF(N3723&lt;&gt;0,P3723*N3723,0)</f>
        <v/>
      </c>
      <c r="R3723" s="8">
        <f>IF(Q3723&lt;&gt;0,Q3723+H3723+L3723,0)</f>
        <v/>
      </c>
      <c r="S3723" s="9">
        <f>VLOOKUP(OPERAC[[#This Row],[especie]],[1]!ESPECIES[#Data],9,FALSE)</f>
        <v/>
      </c>
    </row>
    <row r="3724">
      <c r="A3724" s="4" t="n">
        <v>1760</v>
      </c>
      <c r="B3724" s="5" t="n">
        <v>44641</v>
      </c>
      <c r="C3724" s="13" t="inlineStr">
        <is>
          <t>VTA</t>
        </is>
      </c>
      <c r="D3724" s="13" t="n">
        <v>42</v>
      </c>
      <c r="E3724" s="10">
        <f>IF(D3724&gt;0,VLOOKUP(OPERAC[[#This Row],[COD CART]],[1]!MatrizCortoLargoCyl[#All],3,0),"")</f>
        <v/>
      </c>
      <c r="F3724" s="13" t="inlineStr">
        <is>
          <t>JPM</t>
        </is>
      </c>
      <c r="G3724" s="6" t="n">
        <v>6</v>
      </c>
      <c r="H3724" s="6" t="n">
        <v>-842.7260400000001</v>
      </c>
      <c r="I3724" s="7">
        <f>-H3724/G3724</f>
        <v/>
      </c>
      <c r="J3724" s="11" t="n">
        <v>44664</v>
      </c>
      <c r="K3724" s="6">
        <f>+OPERAC[[#This Row],[cantidad]]</f>
        <v/>
      </c>
      <c r="L3724" s="6">
        <f>+OPERAC[[#This Row],[cantidad venta]]*125.943</f>
        <v/>
      </c>
      <c r="M3724" s="7">
        <f>IF(N3724=0,+L3724+H3724,0)</f>
        <v/>
      </c>
      <c r="N3724" s="7">
        <f>IF((+G3724-K3724)=0,0,+G3724-K3724)</f>
        <v/>
      </c>
      <c r="O3724" s="7">
        <f>IF(N3724=0,0,(L3724+H3724)/-N3724)</f>
        <v/>
      </c>
      <c r="P3724" s="7">
        <f>VLOOKUP(OPERAC[[#This Row],[especie]],[1]!ESPECIES[#All],6,0)</f>
        <v/>
      </c>
      <c r="Q3724" s="7">
        <f>IF(N3724&lt;&gt;0,P3724*N3724,0)</f>
        <v/>
      </c>
      <c r="R3724" s="8">
        <f>IF(Q3724&lt;&gt;0,Q3724+H3724+L3724,0)</f>
        <v/>
      </c>
      <c r="S3724" s="9">
        <f>VLOOKUP(OPERAC[[#This Row],[especie]],[1]!ESPECIES[#Data],9,FALSE)</f>
        <v/>
      </c>
    </row>
    <row r="3725">
      <c r="A3725" s="4" t="n">
        <v>4561</v>
      </c>
      <c r="B3725" s="5" t="n">
        <v>44641</v>
      </c>
      <c r="C3725" s="13" t="inlineStr">
        <is>
          <t>VTA</t>
        </is>
      </c>
      <c r="D3725" s="13" t="n">
        <v>42</v>
      </c>
      <c r="E3725" s="10">
        <f>IF(D3725&gt;0,VLOOKUP(OPERAC[[#This Row],[COD CART]],[1]!MatrizCortoLargoCyl[#All],3,0),"")</f>
        <v/>
      </c>
      <c r="F3725" s="13" t="inlineStr">
        <is>
          <t>JPM</t>
        </is>
      </c>
      <c r="G3725" s="6" t="n">
        <v>6</v>
      </c>
      <c r="H3725" s="6" t="n">
        <v>-842.7260400000001</v>
      </c>
      <c r="I3725" s="7">
        <f>-H3725/G3725</f>
        <v/>
      </c>
      <c r="J3725" s="11" t="n">
        <v>44664</v>
      </c>
      <c r="K3725" s="6">
        <f>+OPERAC[[#This Row],[cantidad]]</f>
        <v/>
      </c>
      <c r="L3725" s="6">
        <f>+OPERAC[[#This Row],[cantidad venta]]*125.943</f>
        <v/>
      </c>
      <c r="M3725" s="7">
        <f>IF(N3725=0,+L3725+H3725,0)</f>
        <v/>
      </c>
      <c r="N3725" s="7">
        <f>IF((+G3725-K3725)=0,0,+G3725-K3725)</f>
        <v/>
      </c>
      <c r="O3725" s="7">
        <f>IF(N3725=0,0,(L3725+H3725)/-N3725)</f>
        <v/>
      </c>
      <c r="P3725" s="7">
        <f>VLOOKUP(OPERAC[[#This Row],[especie]],[1]!ESPECIES[#All],6,0)</f>
        <v/>
      </c>
      <c r="Q3725" s="7">
        <f>IF(N3725&lt;&gt;0,P3725*N3725,0)</f>
        <v/>
      </c>
      <c r="R3725" s="8">
        <f>IF(Q3725&lt;&gt;0,Q3725+H3725+L3725,0)</f>
        <v/>
      </c>
      <c r="S3725" s="9">
        <f>VLOOKUP(OPERAC[[#This Row],[especie]],[1]!ESPECIES[#Data],9,FALSE)</f>
        <v/>
      </c>
    </row>
    <row r="3726">
      <c r="A3726" s="4" t="n">
        <v>6578</v>
      </c>
      <c r="B3726" s="5" t="n">
        <v>44641</v>
      </c>
      <c r="C3726" s="13" t="inlineStr">
        <is>
          <t>VTA</t>
        </is>
      </c>
      <c r="D3726" s="13" t="n">
        <v>42</v>
      </c>
      <c r="E3726" s="10">
        <f>IF(D3726&gt;0,VLOOKUP(OPERAC[[#This Row],[COD CART]],[1]!MatrizCortoLargoCyl[#All],3,0),"")</f>
        <v/>
      </c>
      <c r="F3726" s="13" t="inlineStr">
        <is>
          <t>JPM</t>
        </is>
      </c>
      <c r="G3726" s="6" t="n">
        <v>6</v>
      </c>
      <c r="H3726" s="6" t="n">
        <v>-842.7260400000001</v>
      </c>
      <c r="I3726" s="7">
        <f>-H3726/G3726</f>
        <v/>
      </c>
      <c r="J3726" s="11" t="n">
        <v>44664</v>
      </c>
      <c r="K3726" s="6">
        <f>+OPERAC[[#This Row],[cantidad]]</f>
        <v/>
      </c>
      <c r="L3726" s="6">
        <f>+OPERAC[[#This Row],[cantidad venta]]*125.943</f>
        <v/>
      </c>
      <c r="M3726" s="7">
        <f>IF(N3726=0,+L3726+H3726,0)</f>
        <v/>
      </c>
      <c r="N3726" s="7">
        <f>IF((+G3726-K3726)=0,0,+G3726-K3726)</f>
        <v/>
      </c>
      <c r="O3726" s="7">
        <f>IF(N3726=0,0,(L3726+H3726)/-N3726)</f>
        <v/>
      </c>
      <c r="P3726" s="7">
        <f>VLOOKUP(OPERAC[[#This Row],[especie]],[1]!ESPECIES[#All],6,0)</f>
        <v/>
      </c>
      <c r="Q3726" s="7">
        <f>IF(N3726&lt;&gt;0,P3726*N3726,0)</f>
        <v/>
      </c>
      <c r="R3726" s="8">
        <f>IF(Q3726&lt;&gt;0,Q3726+H3726+L3726,0)</f>
        <v/>
      </c>
      <c r="S3726" s="9">
        <f>VLOOKUP(OPERAC[[#This Row],[especie]],[1]!ESPECIES[#Data],9,FALSE)</f>
        <v/>
      </c>
    </row>
    <row r="3727">
      <c r="A3727" s="4" t="n">
        <v>15195</v>
      </c>
      <c r="B3727" s="5" t="n">
        <v>44641</v>
      </c>
      <c r="C3727" s="13" t="inlineStr">
        <is>
          <t>VTA</t>
        </is>
      </c>
      <c r="D3727" s="13" t="n">
        <v>42</v>
      </c>
      <c r="E3727" s="10">
        <f>IF(D3727&gt;0,VLOOKUP(OPERAC[[#This Row],[COD CART]],[1]!MatrizCortoLargoCyl[#All],3,0),"")</f>
        <v/>
      </c>
      <c r="F3727" s="13" t="inlineStr">
        <is>
          <t>JPM</t>
        </is>
      </c>
      <c r="G3727" s="6" t="n">
        <v>6</v>
      </c>
      <c r="H3727" s="6" t="n">
        <v>-842.7260400000001</v>
      </c>
      <c r="I3727" s="7">
        <f>-H3727/G3727</f>
        <v/>
      </c>
      <c r="J3727" s="11" t="n">
        <v>44664</v>
      </c>
      <c r="K3727" s="6">
        <f>+OPERAC[[#This Row],[cantidad]]</f>
        <v/>
      </c>
      <c r="L3727" s="6">
        <f>+OPERAC[[#This Row],[cantidad venta]]*125.943</f>
        <v/>
      </c>
      <c r="M3727" s="7">
        <f>IF(N3727=0,+L3727+H3727,0)</f>
        <v/>
      </c>
      <c r="N3727" s="7">
        <f>IF((+G3727-K3727)=0,0,+G3727-K3727)</f>
        <v/>
      </c>
      <c r="O3727" s="7">
        <f>IF(N3727=0,0,(L3727+H3727)/-N3727)</f>
        <v/>
      </c>
      <c r="P3727" s="7">
        <f>VLOOKUP(OPERAC[[#This Row],[especie]],[1]!ESPECIES[#All],6,0)</f>
        <v/>
      </c>
      <c r="Q3727" s="7">
        <f>IF(N3727&lt;&gt;0,P3727*N3727,0)</f>
        <v/>
      </c>
      <c r="R3727" s="8">
        <f>IF(Q3727&lt;&gt;0,Q3727+H3727+L3727,0)</f>
        <v/>
      </c>
      <c r="S3727" s="9">
        <f>VLOOKUP(OPERAC[[#This Row],[especie]],[1]!ESPECIES[#Data],9,FALSE)</f>
        <v/>
      </c>
    </row>
    <row r="3728">
      <c r="A3728" s="4" t="n">
        <v>19888</v>
      </c>
      <c r="B3728" s="5" t="n">
        <v>44641</v>
      </c>
      <c r="C3728" s="13" t="inlineStr">
        <is>
          <t>VTA</t>
        </is>
      </c>
      <c r="D3728" s="13" t="n">
        <v>42</v>
      </c>
      <c r="E3728" s="10">
        <f>IF(D3728&gt;0,VLOOKUP(OPERAC[[#This Row],[COD CART]],[1]!MatrizCortoLargoCyl[#All],3,0),"")</f>
        <v/>
      </c>
      <c r="F3728" s="13" t="inlineStr">
        <is>
          <t>JPM</t>
        </is>
      </c>
      <c r="G3728" s="6" t="n">
        <v>6</v>
      </c>
      <c r="H3728" s="6" t="n">
        <v>-842.7260400000001</v>
      </c>
      <c r="I3728" s="7">
        <f>-H3728/G3728</f>
        <v/>
      </c>
      <c r="J3728" s="11" t="n">
        <v>44664</v>
      </c>
      <c r="K3728" s="6">
        <f>+OPERAC[[#This Row],[cantidad]]</f>
        <v/>
      </c>
      <c r="L3728" s="6">
        <f>+OPERAC[[#This Row],[cantidad venta]]*125.943</f>
        <v/>
      </c>
      <c r="M3728" s="7">
        <f>IF(N3728=0,+L3728+H3728,0)</f>
        <v/>
      </c>
      <c r="N3728" s="7">
        <f>IF((+G3728-K3728)=0,0,+G3728-K3728)</f>
        <v/>
      </c>
      <c r="O3728" s="7">
        <f>IF(N3728=0,0,(L3728+H3728)/-N3728)</f>
        <v/>
      </c>
      <c r="P3728" s="7">
        <f>VLOOKUP(OPERAC[[#This Row],[especie]],[1]!ESPECIES[#All],6,0)</f>
        <v/>
      </c>
      <c r="Q3728" s="7">
        <f>IF(N3728&lt;&gt;0,P3728*N3728,0)</f>
        <v/>
      </c>
      <c r="R3728" s="8">
        <f>IF(Q3728&lt;&gt;0,Q3728+H3728+L3728,0)</f>
        <v/>
      </c>
      <c r="S3728" s="9">
        <f>VLOOKUP(OPERAC[[#This Row],[especie]],[1]!ESPECIES[#Data],9,FALSE)</f>
        <v/>
      </c>
    </row>
    <row r="3729">
      <c r="A3729" s="4" t="n">
        <v>19932</v>
      </c>
      <c r="B3729" s="5" t="n">
        <v>44641</v>
      </c>
      <c r="C3729" s="13" t="inlineStr">
        <is>
          <t>VTA</t>
        </is>
      </c>
      <c r="D3729" s="13" t="n">
        <v>42</v>
      </c>
      <c r="E3729" s="10">
        <f>IF(D3729&gt;0,VLOOKUP(OPERAC[[#This Row],[COD CART]],[1]!MatrizCortoLargoCyl[#All],3,0),"")</f>
        <v/>
      </c>
      <c r="F3729" s="13" t="inlineStr">
        <is>
          <t>JPM</t>
        </is>
      </c>
      <c r="G3729" s="6" t="n">
        <v>6</v>
      </c>
      <c r="H3729" s="6" t="n">
        <v>-842.7260400000001</v>
      </c>
      <c r="I3729" s="7">
        <f>-H3729/G3729</f>
        <v/>
      </c>
      <c r="J3729" s="11" t="n">
        <v>44664</v>
      </c>
      <c r="K3729" s="6">
        <f>+OPERAC[[#This Row],[cantidad]]</f>
        <v/>
      </c>
      <c r="L3729" s="6">
        <f>+OPERAC[[#This Row],[cantidad venta]]*125.943</f>
        <v/>
      </c>
      <c r="M3729" s="7">
        <f>IF(N3729=0,+L3729+H3729,0)</f>
        <v/>
      </c>
      <c r="N3729" s="7">
        <f>IF((+G3729-K3729)=0,0,+G3729-K3729)</f>
        <v/>
      </c>
      <c r="O3729" s="7">
        <f>IF(N3729=0,0,(L3729+H3729)/-N3729)</f>
        <v/>
      </c>
      <c r="P3729" s="7">
        <f>VLOOKUP(OPERAC[[#This Row],[especie]],[1]!ESPECIES[#All],6,0)</f>
        <v/>
      </c>
      <c r="Q3729" s="7">
        <f>IF(N3729&lt;&gt;0,P3729*N3729,0)</f>
        <v/>
      </c>
      <c r="R3729" s="8">
        <f>IF(Q3729&lt;&gt;0,Q3729+H3729+L3729,0)</f>
        <v/>
      </c>
      <c r="S3729" s="9">
        <f>VLOOKUP(OPERAC[[#This Row],[especie]],[1]!ESPECIES[#Data],9,FALSE)</f>
        <v/>
      </c>
    </row>
    <row r="3730">
      <c r="A3730" s="4" t="n">
        <v>2218</v>
      </c>
      <c r="B3730" s="5" t="n">
        <v>44641</v>
      </c>
      <c r="C3730" s="13" t="inlineStr">
        <is>
          <t>VTA</t>
        </is>
      </c>
      <c r="D3730" s="13" t="n">
        <v>42</v>
      </c>
      <c r="E3730" s="10">
        <f>IF(D3730&gt;0,VLOOKUP(OPERAC[[#This Row],[COD CART]],[1]!MatrizCortoLargoCyl[#All],3,0),"")</f>
        <v/>
      </c>
      <c r="F3730" s="13" t="inlineStr">
        <is>
          <t>FB</t>
        </is>
      </c>
      <c r="G3730" s="6" t="n">
        <v>4</v>
      </c>
      <c r="H3730" s="6" t="n">
        <v>-842.7326400000001</v>
      </c>
      <c r="I3730" s="7">
        <f>-H3730/G3730</f>
        <v/>
      </c>
      <c r="J3730" s="11" t="n">
        <v>44671</v>
      </c>
      <c r="K3730" s="6">
        <f>+OPERAC[[#This Row],[cantidad]]</f>
        <v/>
      </c>
      <c r="L3730" s="6">
        <f>+OPERAC[[#This Row],[cantidad venta]]*213.173</f>
        <v/>
      </c>
      <c r="M3730" s="7">
        <f>IF(N3730=0,+L3730+H3730,0)</f>
        <v/>
      </c>
      <c r="N3730" s="7">
        <f>IF((+G3730-K3730)=0,0,+G3730-K3730)</f>
        <v/>
      </c>
      <c r="O3730" s="7">
        <f>IF(N3730=0,0,(L3730+H3730)/-N3730)</f>
        <v/>
      </c>
      <c r="P3730" s="7">
        <f>VLOOKUP(OPERAC[[#This Row],[especie]],[1]!ESPECIES[#All],6,0)</f>
        <v/>
      </c>
      <c r="Q3730" s="7">
        <f>IF(N3730&lt;&gt;0,P3730*N3730,0)</f>
        <v/>
      </c>
      <c r="R3730" s="8">
        <f>IF(Q3730&lt;&gt;0,Q3730+H3730+L3730,0)</f>
        <v/>
      </c>
      <c r="S3730" s="9">
        <f>VLOOKUP(OPERAC[[#This Row],[especie]],[1]!ESPECIES[#Data],9,FALSE)</f>
        <v/>
      </c>
    </row>
    <row r="3731">
      <c r="A3731" s="4" t="n">
        <v>2194</v>
      </c>
      <c r="B3731" s="5" t="n">
        <v>44523</v>
      </c>
      <c r="C3731" s="13" t="inlineStr">
        <is>
          <t>VTA</t>
        </is>
      </c>
      <c r="D3731" s="13" t="n">
        <v>32</v>
      </c>
      <c r="E3731" s="10">
        <f>IF(D3731&gt;0,VLOOKUP(OPERAC[[#This Row],[COD CART]],[1]!MatrizCortoLargoCyl[#All],3,0),"")</f>
        <v/>
      </c>
      <c r="F3731" s="13" t="inlineStr">
        <is>
          <t>TEVA/CYL/9,00/21-01-22</t>
        </is>
      </c>
      <c r="G3731" s="6" t="n">
        <v>100</v>
      </c>
      <c r="H3731" s="6">
        <f>-861.6332+18.874</f>
        <v/>
      </c>
      <c r="I3731" s="7">
        <f>-H3731/G3731</f>
        <v/>
      </c>
      <c r="J3731" s="11" t="n">
        <v>44575</v>
      </c>
      <c r="K3731" s="6" t="n">
        <v>100</v>
      </c>
      <c r="L3731" s="6" t="n">
        <v>878.913</v>
      </c>
      <c r="M3731" s="7">
        <f>IF(N3731=0,+L3731+H3731,0)</f>
        <v/>
      </c>
      <c r="N3731" s="7">
        <f>IF((+G3731-K3731)=0,0,+G3731-K3731)</f>
        <v/>
      </c>
      <c r="O3731" s="7">
        <f>IF(N3731=0,0,(L3731+H3731)/-N3731)</f>
        <v/>
      </c>
      <c r="P3731" s="7">
        <f>VLOOKUP(OPERAC[[#This Row],[especie]],[1]!ESPECIES[#All],6,0)</f>
        <v/>
      </c>
      <c r="Q3731" s="7">
        <f>IF(N3731&lt;&gt;0,P3731*N3731,0)</f>
        <v/>
      </c>
      <c r="R3731" s="8">
        <f>IF(Q3731&lt;&gt;0,Q3731+H3731+L3731,0)</f>
        <v/>
      </c>
      <c r="S3731" s="9">
        <f>VLOOKUP(OPERAC[[#This Row],[especie]],[1]!ESPECIES[#Data],9,FALSE)</f>
        <v/>
      </c>
    </row>
    <row r="3732">
      <c r="A3732" s="4" t="n">
        <v>2203</v>
      </c>
      <c r="B3732" s="5" t="n">
        <v>44523</v>
      </c>
      <c r="C3732" s="13" t="inlineStr">
        <is>
          <t>VTA</t>
        </is>
      </c>
      <c r="D3732" s="13" t="n">
        <v>32</v>
      </c>
      <c r="E3732" s="10">
        <f>IF(D3732&gt;0,VLOOKUP(OPERAC[[#This Row],[COD CART]],[1]!MatrizCortoLargoCyl[#All],3,0),"")</f>
        <v/>
      </c>
      <c r="F3732" s="13" t="inlineStr">
        <is>
          <t>TEVA/CYL/9,00/21-01-22</t>
        </is>
      </c>
      <c r="G3732" s="6" t="n">
        <v>100</v>
      </c>
      <c r="H3732" s="6">
        <f>-861.6332+18.874</f>
        <v/>
      </c>
      <c r="I3732" s="7">
        <f>-H3732/G3732</f>
        <v/>
      </c>
      <c r="J3732" s="11" t="n">
        <v>44575</v>
      </c>
      <c r="K3732" s="6" t="n">
        <v>100</v>
      </c>
      <c r="L3732" s="6" t="n">
        <v>878.913</v>
      </c>
      <c r="M3732" s="7">
        <f>IF(N3732=0,+L3732+H3732,0)</f>
        <v/>
      </c>
      <c r="N3732" s="7">
        <f>IF((+G3732-K3732)=0,0,+G3732-K3732)</f>
        <v/>
      </c>
      <c r="O3732" s="7">
        <f>IF(N3732=0,0,(L3732+H3732)/-N3732)</f>
        <v/>
      </c>
      <c r="P3732" s="7">
        <f>VLOOKUP(OPERAC[[#This Row],[especie]],[1]!ESPECIES[#All],6,0)</f>
        <v/>
      </c>
      <c r="Q3732" s="7">
        <f>IF(N3732&lt;&gt;0,P3732*N3732,0)</f>
        <v/>
      </c>
      <c r="R3732" s="8">
        <f>IF(Q3732&lt;&gt;0,Q3732+H3732+L3732,0)</f>
        <v/>
      </c>
      <c r="S3732" s="9">
        <f>VLOOKUP(OPERAC[[#This Row],[especie]],[1]!ESPECIES[#Data],9,FALSE)</f>
        <v/>
      </c>
    </row>
    <row r="3733">
      <c r="A3733" s="4" t="n">
        <v>2257</v>
      </c>
      <c r="B3733" s="5" t="n">
        <v>44523</v>
      </c>
      <c r="C3733" s="13" t="inlineStr">
        <is>
          <t>VTA</t>
        </is>
      </c>
      <c r="D3733" s="13" t="n">
        <v>32</v>
      </c>
      <c r="E3733" s="10">
        <f>IF(D3733&gt;0,VLOOKUP(OPERAC[[#This Row],[COD CART]],[1]!MatrizCortoLargoCyl[#All],3,0),"")</f>
        <v/>
      </c>
      <c r="F3733" s="13" t="inlineStr">
        <is>
          <t>TEVA/CYL/9,00/21-01-22</t>
        </is>
      </c>
      <c r="G3733" s="6" t="n">
        <v>100</v>
      </c>
      <c r="H3733" s="6">
        <f>-861.6332+18.874</f>
        <v/>
      </c>
      <c r="I3733" s="7">
        <f>-H3733/G3733</f>
        <v/>
      </c>
      <c r="J3733" s="11" t="n">
        <v>44575</v>
      </c>
      <c r="K3733" s="6" t="n">
        <v>100</v>
      </c>
      <c r="L3733" s="6" t="n">
        <v>878.913</v>
      </c>
      <c r="M3733" s="7">
        <f>IF(N3733=0,+L3733+H3733,0)</f>
        <v/>
      </c>
      <c r="N3733" s="7">
        <f>IF((+G3733-K3733)=0,0,+G3733-K3733)</f>
        <v/>
      </c>
      <c r="O3733" s="7">
        <f>IF(N3733=0,0,(L3733+H3733)/-N3733)</f>
        <v/>
      </c>
      <c r="P3733" s="7">
        <f>VLOOKUP(OPERAC[[#This Row],[especie]],[1]!ESPECIES[#All],6,0)</f>
        <v/>
      </c>
      <c r="Q3733" s="7">
        <f>IF(N3733&lt;&gt;0,P3733*N3733,0)</f>
        <v/>
      </c>
      <c r="R3733" s="8">
        <f>IF(Q3733&lt;&gt;0,Q3733+H3733+L3733,0)</f>
        <v/>
      </c>
      <c r="S3733" s="9">
        <f>VLOOKUP(OPERAC[[#This Row],[especie]],[1]!ESPECIES[#Data],9,FALSE)</f>
        <v/>
      </c>
    </row>
    <row r="3734">
      <c r="A3734" s="4" t="n">
        <v>3853</v>
      </c>
      <c r="B3734" s="5" t="n">
        <v>44523</v>
      </c>
      <c r="C3734" s="13" t="inlineStr">
        <is>
          <t>VTA</t>
        </is>
      </c>
      <c r="D3734" s="13" t="n">
        <v>32</v>
      </c>
      <c r="E3734" s="10">
        <f>IF(D3734&gt;0,VLOOKUP(OPERAC[[#This Row],[COD CART]],[1]!MatrizCortoLargoCyl[#All],3,0),"")</f>
        <v/>
      </c>
      <c r="F3734" s="13" t="inlineStr">
        <is>
          <t>TEVA/CYL/9,00/21-01-22</t>
        </is>
      </c>
      <c r="G3734" s="6" t="n">
        <v>100</v>
      </c>
      <c r="H3734" s="6">
        <f>-861.6332+18.874</f>
        <v/>
      </c>
      <c r="I3734" s="7">
        <f>-H3734/G3734</f>
        <v/>
      </c>
      <c r="J3734" s="11" t="n">
        <v>44575</v>
      </c>
      <c r="K3734" s="6" t="n">
        <v>100</v>
      </c>
      <c r="L3734" s="6" t="n">
        <v>878.913</v>
      </c>
      <c r="M3734" s="7">
        <f>IF(N3734=0,+L3734+H3734,0)</f>
        <v/>
      </c>
      <c r="N3734" s="7">
        <f>IF((+G3734-K3734)=0,0,+G3734-K3734)</f>
        <v/>
      </c>
      <c r="O3734" s="7">
        <f>IF(N3734=0,0,(L3734+H3734)/-N3734)</f>
        <v/>
      </c>
      <c r="P3734" s="7">
        <f>VLOOKUP(OPERAC[[#This Row],[especie]],[1]!ESPECIES[#All],6,0)</f>
        <v/>
      </c>
      <c r="Q3734" s="7">
        <f>IF(N3734&lt;&gt;0,P3734*N3734,0)</f>
        <v/>
      </c>
      <c r="R3734" s="8">
        <f>IF(Q3734&lt;&gt;0,Q3734+H3734+L3734,0)</f>
        <v/>
      </c>
      <c r="S3734" s="9">
        <f>VLOOKUP(OPERAC[[#This Row],[especie]],[1]!ESPECIES[#Data],9,FALSE)</f>
        <v/>
      </c>
    </row>
    <row r="3735">
      <c r="A3735" s="4" t="n">
        <v>6628</v>
      </c>
      <c r="B3735" s="5" t="n">
        <v>44523</v>
      </c>
      <c r="C3735" s="13" t="inlineStr">
        <is>
          <t>VTA</t>
        </is>
      </c>
      <c r="D3735" s="13" t="n">
        <v>32</v>
      </c>
      <c r="E3735" s="10">
        <f>IF(D3735&gt;0,VLOOKUP(OPERAC[[#This Row],[COD CART]],[1]!MatrizCortoLargoCyl[#All],3,0),"")</f>
        <v/>
      </c>
      <c r="F3735" s="13" t="inlineStr">
        <is>
          <t>TEVA/CYL/9,00/21-01-22</t>
        </is>
      </c>
      <c r="G3735" s="6" t="n">
        <v>100</v>
      </c>
      <c r="H3735" s="6">
        <f>-861.6332+18.874</f>
        <v/>
      </c>
      <c r="I3735" s="7">
        <f>-H3735/G3735</f>
        <v/>
      </c>
      <c r="J3735" s="11" t="n">
        <v>44575</v>
      </c>
      <c r="K3735" s="6" t="n">
        <v>100</v>
      </c>
      <c r="L3735" s="6" t="n">
        <v>878.913</v>
      </c>
      <c r="M3735" s="7">
        <f>IF(N3735=0,+L3735+H3735,0)</f>
        <v/>
      </c>
      <c r="N3735" s="7">
        <f>IF((+G3735-K3735)=0,0,+G3735-K3735)</f>
        <v/>
      </c>
      <c r="O3735" s="7">
        <f>IF(N3735=0,0,(L3735+H3735)/-N3735)</f>
        <v/>
      </c>
      <c r="P3735" s="7">
        <f>VLOOKUP(OPERAC[[#This Row],[especie]],[1]!ESPECIES[#All],6,0)</f>
        <v/>
      </c>
      <c r="Q3735" s="7">
        <f>IF(N3735&lt;&gt;0,P3735*N3735,0)</f>
        <v/>
      </c>
      <c r="R3735" s="8">
        <f>IF(Q3735&lt;&gt;0,Q3735+H3735+L3735,0)</f>
        <v/>
      </c>
      <c r="S3735" s="9">
        <f>VLOOKUP(OPERAC[[#This Row],[especie]],[1]!ESPECIES[#Data],9,FALSE)</f>
        <v/>
      </c>
    </row>
    <row r="3736">
      <c r="A3736" s="4" t="n">
        <v>7916</v>
      </c>
      <c r="B3736" s="5" t="n">
        <v>44523</v>
      </c>
      <c r="C3736" s="13" t="inlineStr">
        <is>
          <t>VTA</t>
        </is>
      </c>
      <c r="D3736" s="13" t="n">
        <v>32</v>
      </c>
      <c r="E3736" s="10">
        <f>IF(D3736&gt;0,VLOOKUP(OPERAC[[#This Row],[COD CART]],[1]!MatrizCortoLargoCyl[#All],3,0),"")</f>
        <v/>
      </c>
      <c r="F3736" s="13" t="inlineStr">
        <is>
          <t>TEVA/CYL/9,00/21-01-22</t>
        </is>
      </c>
      <c r="G3736" s="6" t="n">
        <v>100</v>
      </c>
      <c r="H3736" s="6">
        <f>-861.6332+18.874</f>
        <v/>
      </c>
      <c r="I3736" s="7">
        <f>-H3736/G3736</f>
        <v/>
      </c>
      <c r="J3736" s="11" t="n">
        <v>44575</v>
      </c>
      <c r="K3736" s="6" t="n">
        <v>100</v>
      </c>
      <c r="L3736" s="6" t="n">
        <v>878.913</v>
      </c>
      <c r="M3736" s="7">
        <f>IF(N3736=0,+L3736+H3736,0)</f>
        <v/>
      </c>
      <c r="N3736" s="7">
        <f>IF((+G3736-K3736)=0,0,+G3736-K3736)</f>
        <v/>
      </c>
      <c r="O3736" s="7">
        <f>IF(N3736=0,0,(L3736+H3736)/-N3736)</f>
        <v/>
      </c>
      <c r="P3736" s="7">
        <f>VLOOKUP(OPERAC[[#This Row],[especie]],[1]!ESPECIES[#All],6,0)</f>
        <v/>
      </c>
      <c r="Q3736" s="7">
        <f>IF(N3736&lt;&gt;0,P3736*N3736,0)</f>
        <v/>
      </c>
      <c r="R3736" s="8">
        <f>IF(Q3736&lt;&gt;0,Q3736+H3736+L3736,0)</f>
        <v/>
      </c>
      <c r="S3736" s="9">
        <f>VLOOKUP(OPERAC[[#This Row],[especie]],[1]!ESPECIES[#Data],9,FALSE)</f>
        <v/>
      </c>
    </row>
    <row r="3737">
      <c r="A3737" s="4" t="n">
        <v>7925</v>
      </c>
      <c r="B3737" s="5" t="n">
        <v>44523</v>
      </c>
      <c r="C3737" s="13" t="inlineStr">
        <is>
          <t>VTA</t>
        </is>
      </c>
      <c r="D3737" s="13" t="n">
        <v>32</v>
      </c>
      <c r="E3737" s="10">
        <f>IF(D3737&gt;0,VLOOKUP(OPERAC[[#This Row],[COD CART]],[1]!MatrizCortoLargoCyl[#All],3,0),"")</f>
        <v/>
      </c>
      <c r="F3737" s="13" t="inlineStr">
        <is>
          <t>TEVA/CYL/9,00/21-01-22</t>
        </is>
      </c>
      <c r="G3737" s="6" t="n">
        <v>100</v>
      </c>
      <c r="H3737" s="6">
        <f>-861.6332+18.874</f>
        <v/>
      </c>
      <c r="I3737" s="7">
        <f>-H3737/G3737</f>
        <v/>
      </c>
      <c r="J3737" s="11" t="n">
        <v>44575</v>
      </c>
      <c r="K3737" s="6" t="n">
        <v>100</v>
      </c>
      <c r="L3737" s="6" t="n">
        <v>878.913</v>
      </c>
      <c r="M3737" s="7">
        <f>IF(N3737=0,+L3737+H3737,0)</f>
        <v/>
      </c>
      <c r="N3737" s="7">
        <f>IF((+G3737-K3737)=0,0,+G3737-K3737)</f>
        <v/>
      </c>
      <c r="O3737" s="7">
        <f>IF(N3737=0,0,(L3737+H3737)/-N3737)</f>
        <v/>
      </c>
      <c r="P3737" s="7">
        <f>VLOOKUP(OPERAC[[#This Row],[especie]],[1]!ESPECIES[#All],6,0)</f>
        <v/>
      </c>
      <c r="Q3737" s="7">
        <f>IF(N3737&lt;&gt;0,P3737*N3737,0)</f>
        <v/>
      </c>
      <c r="R3737" s="8">
        <f>IF(Q3737&lt;&gt;0,Q3737+H3737+L3737,0)</f>
        <v/>
      </c>
      <c r="S3737" s="9">
        <f>VLOOKUP(OPERAC[[#This Row],[especie]],[1]!ESPECIES[#Data],9,FALSE)</f>
        <v/>
      </c>
    </row>
    <row r="3738">
      <c r="A3738" s="4" t="n">
        <v>8066</v>
      </c>
      <c r="B3738" s="5" t="n">
        <v>44523</v>
      </c>
      <c r="C3738" s="13" t="inlineStr">
        <is>
          <t>VTA</t>
        </is>
      </c>
      <c r="D3738" s="13" t="n">
        <v>32</v>
      </c>
      <c r="E3738" s="10">
        <f>IF(D3738&gt;0,VLOOKUP(OPERAC[[#This Row],[COD CART]],[1]!MatrizCortoLargoCyl[#All],3,0),"")</f>
        <v/>
      </c>
      <c r="F3738" s="13" t="inlineStr">
        <is>
          <t>TEVA/CYL/9,00/21-01-22</t>
        </is>
      </c>
      <c r="G3738" s="6" t="n">
        <v>100</v>
      </c>
      <c r="H3738" s="6">
        <f>-861.6332+18.874</f>
        <v/>
      </c>
      <c r="I3738" s="7">
        <f>-H3738/G3738</f>
        <v/>
      </c>
      <c r="J3738" s="11" t="n">
        <v>44575</v>
      </c>
      <c r="K3738" s="6" t="n">
        <v>100</v>
      </c>
      <c r="L3738" s="6" t="n">
        <v>878.913</v>
      </c>
      <c r="M3738" s="7">
        <f>IF(N3738=0,+L3738+H3738,0)</f>
        <v/>
      </c>
      <c r="N3738" s="7">
        <f>IF((+G3738-K3738)=0,0,+G3738-K3738)</f>
        <v/>
      </c>
      <c r="O3738" s="7">
        <f>IF(N3738=0,0,(L3738+H3738)/-N3738)</f>
        <v/>
      </c>
      <c r="P3738" s="7">
        <f>VLOOKUP(OPERAC[[#This Row],[especie]],[1]!ESPECIES[#All],6,0)</f>
        <v/>
      </c>
      <c r="Q3738" s="7">
        <f>IF(N3738&lt;&gt;0,P3738*N3738,0)</f>
        <v/>
      </c>
      <c r="R3738" s="8">
        <f>IF(Q3738&lt;&gt;0,Q3738+H3738+L3738,0)</f>
        <v/>
      </c>
      <c r="S3738" s="9">
        <f>VLOOKUP(OPERAC[[#This Row],[especie]],[1]!ESPECIES[#Data],9,FALSE)</f>
        <v/>
      </c>
    </row>
    <row r="3739">
      <c r="A3739" s="4" t="n">
        <v>12022</v>
      </c>
      <c r="B3739" s="5" t="n">
        <v>44523</v>
      </c>
      <c r="C3739" s="13" t="inlineStr">
        <is>
          <t>VTA</t>
        </is>
      </c>
      <c r="D3739" s="13" t="n">
        <v>32</v>
      </c>
      <c r="E3739" s="10">
        <f>IF(D3739&gt;0,VLOOKUP(OPERAC[[#This Row],[COD CART]],[1]!MatrizCortoLargoCyl[#All],3,0),"")</f>
        <v/>
      </c>
      <c r="F3739" s="13" t="inlineStr">
        <is>
          <t>TEVA/CYL/9,00/21-01-22</t>
        </is>
      </c>
      <c r="G3739" s="6" t="n">
        <v>100</v>
      </c>
      <c r="H3739" s="6">
        <f>-861.6332+18.874</f>
        <v/>
      </c>
      <c r="I3739" s="7">
        <f>-H3739/G3739</f>
        <v/>
      </c>
      <c r="J3739" s="11" t="n">
        <v>44575</v>
      </c>
      <c r="K3739" s="6" t="n">
        <v>100</v>
      </c>
      <c r="L3739" s="6" t="n">
        <v>878.913</v>
      </c>
      <c r="M3739" s="7">
        <f>IF(N3739=0,+L3739+H3739,0)</f>
        <v/>
      </c>
      <c r="N3739" s="7">
        <f>IF((+G3739-K3739)=0,0,+G3739-K3739)</f>
        <v/>
      </c>
      <c r="O3739" s="7">
        <f>IF(N3739=0,0,(L3739+H3739)/-N3739)</f>
        <v/>
      </c>
      <c r="P3739" s="7">
        <f>VLOOKUP(OPERAC[[#This Row],[especie]],[1]!ESPECIES[#All],6,0)</f>
        <v/>
      </c>
      <c r="Q3739" s="7">
        <f>IF(N3739&lt;&gt;0,P3739*N3739,0)</f>
        <v/>
      </c>
      <c r="R3739" s="8">
        <f>IF(Q3739&lt;&gt;0,Q3739+H3739+L3739,0)</f>
        <v/>
      </c>
      <c r="S3739" s="9">
        <f>VLOOKUP(OPERAC[[#This Row],[especie]],[1]!ESPECIES[#Data],9,FALSE)</f>
        <v/>
      </c>
    </row>
    <row r="3740">
      <c r="A3740" s="4" t="n">
        <v>12619</v>
      </c>
      <c r="B3740" s="5" t="n">
        <v>44523</v>
      </c>
      <c r="C3740" s="13" t="inlineStr">
        <is>
          <t>VTA</t>
        </is>
      </c>
      <c r="D3740" s="13" t="n">
        <v>32</v>
      </c>
      <c r="E3740" s="10">
        <f>IF(D3740&gt;0,VLOOKUP(OPERAC[[#This Row],[COD CART]],[1]!MatrizCortoLargoCyl[#All],3,0),"")</f>
        <v/>
      </c>
      <c r="F3740" s="13" t="inlineStr">
        <is>
          <t>TEVA/CYL/9,00/21-01-22</t>
        </is>
      </c>
      <c r="G3740" s="6" t="n">
        <v>100</v>
      </c>
      <c r="H3740" s="6">
        <f>-861.6332+18.874</f>
        <v/>
      </c>
      <c r="I3740" s="7">
        <f>-H3740/G3740</f>
        <v/>
      </c>
      <c r="J3740" s="11" t="n">
        <v>44575</v>
      </c>
      <c r="K3740" s="6" t="n">
        <v>100</v>
      </c>
      <c r="L3740" s="6" t="n">
        <v>878.913</v>
      </c>
      <c r="M3740" s="7">
        <f>IF(N3740=0,+L3740+H3740,0)</f>
        <v/>
      </c>
      <c r="N3740" s="7">
        <f>IF((+G3740-K3740)=0,0,+G3740-K3740)</f>
        <v/>
      </c>
      <c r="O3740" s="7">
        <f>IF(N3740=0,0,(L3740+H3740)/-N3740)</f>
        <v/>
      </c>
      <c r="P3740" s="7">
        <f>VLOOKUP(OPERAC[[#This Row],[especie]],[1]!ESPECIES[#All],6,0)</f>
        <v/>
      </c>
      <c r="Q3740" s="7">
        <f>IF(N3740&lt;&gt;0,P3740*N3740,0)</f>
        <v/>
      </c>
      <c r="R3740" s="8">
        <f>IF(Q3740&lt;&gt;0,Q3740+H3740+L3740,0)</f>
        <v/>
      </c>
      <c r="S3740" s="9">
        <f>VLOOKUP(OPERAC[[#This Row],[especie]],[1]!ESPECIES[#Data],9,FALSE)</f>
        <v/>
      </c>
    </row>
    <row r="3741">
      <c r="A3741" s="4" t="n">
        <v>12662</v>
      </c>
      <c r="B3741" s="5" t="n">
        <v>44523</v>
      </c>
      <c r="C3741" s="13" t="inlineStr">
        <is>
          <t>VTA</t>
        </is>
      </c>
      <c r="D3741" s="13" t="n">
        <v>32</v>
      </c>
      <c r="E3741" s="10">
        <f>IF(D3741&gt;0,VLOOKUP(OPERAC[[#This Row],[COD CART]],[1]!MatrizCortoLargoCyl[#All],3,0),"")</f>
        <v/>
      </c>
      <c r="F3741" s="13" t="inlineStr">
        <is>
          <t>TEVA/CYL/9,00/21-01-22</t>
        </is>
      </c>
      <c r="G3741" s="6" t="n">
        <v>100</v>
      </c>
      <c r="H3741" s="6">
        <f>-861.6332+18.874</f>
        <v/>
      </c>
      <c r="I3741" s="7">
        <f>-H3741/G3741</f>
        <v/>
      </c>
      <c r="J3741" s="11" t="n">
        <v>44575</v>
      </c>
      <c r="K3741" s="6" t="n">
        <v>100</v>
      </c>
      <c r="L3741" s="6" t="n">
        <v>878.913</v>
      </c>
      <c r="M3741" s="7">
        <f>IF(N3741=0,+L3741+H3741,0)</f>
        <v/>
      </c>
      <c r="N3741" s="7">
        <f>IF((+G3741-K3741)=0,0,+G3741-K3741)</f>
        <v/>
      </c>
      <c r="O3741" s="7">
        <f>IF(N3741=0,0,(L3741+H3741)/-N3741)</f>
        <v/>
      </c>
      <c r="P3741" s="7">
        <f>VLOOKUP(OPERAC[[#This Row],[especie]],[1]!ESPECIES[#All],6,0)</f>
        <v/>
      </c>
      <c r="Q3741" s="7">
        <f>IF(N3741&lt;&gt;0,P3741*N3741,0)</f>
        <v/>
      </c>
      <c r="R3741" s="8">
        <f>IF(Q3741&lt;&gt;0,Q3741+H3741+L3741,0)</f>
        <v/>
      </c>
      <c r="S3741" s="9">
        <f>VLOOKUP(OPERAC[[#This Row],[especie]],[1]!ESPECIES[#Data],9,FALSE)</f>
        <v/>
      </c>
    </row>
    <row r="3742">
      <c r="A3742" s="4" t="n">
        <v>12684</v>
      </c>
      <c r="B3742" s="5" t="n">
        <v>44523</v>
      </c>
      <c r="C3742" s="13" t="inlineStr">
        <is>
          <t>VTA</t>
        </is>
      </c>
      <c r="D3742" s="13" t="n">
        <v>32</v>
      </c>
      <c r="E3742" s="10">
        <f>IF(D3742&gt;0,VLOOKUP(OPERAC[[#This Row],[COD CART]],[1]!MatrizCortoLargoCyl[#All],3,0),"")</f>
        <v/>
      </c>
      <c r="F3742" s="13" t="inlineStr">
        <is>
          <t>TEVA/CYL/9,00/21-01-22</t>
        </is>
      </c>
      <c r="G3742" s="6" t="n">
        <v>100</v>
      </c>
      <c r="H3742" s="6">
        <f>-861.6332+18.874</f>
        <v/>
      </c>
      <c r="I3742" s="7">
        <f>-H3742/G3742</f>
        <v/>
      </c>
      <c r="J3742" s="11" t="n">
        <v>44575</v>
      </c>
      <c r="K3742" s="6" t="n">
        <v>100</v>
      </c>
      <c r="L3742" s="6" t="n">
        <v>878.913</v>
      </c>
      <c r="M3742" s="7">
        <f>IF(N3742=0,+L3742+H3742,0)</f>
        <v/>
      </c>
      <c r="N3742" s="7">
        <f>IF((+G3742-K3742)=0,0,+G3742-K3742)</f>
        <v/>
      </c>
      <c r="O3742" s="7">
        <f>IF(N3742=0,0,(L3742+H3742)/-N3742)</f>
        <v/>
      </c>
      <c r="P3742" s="7">
        <f>VLOOKUP(OPERAC[[#This Row],[especie]],[1]!ESPECIES[#All],6,0)</f>
        <v/>
      </c>
      <c r="Q3742" s="7">
        <f>IF(N3742&lt;&gt;0,P3742*N3742,0)</f>
        <v/>
      </c>
      <c r="R3742" s="8">
        <f>IF(Q3742&lt;&gt;0,Q3742+H3742+L3742,0)</f>
        <v/>
      </c>
      <c r="S3742" s="9">
        <f>VLOOKUP(OPERAC[[#This Row],[especie]],[1]!ESPECIES[#Data],9,FALSE)</f>
        <v/>
      </c>
    </row>
    <row r="3743">
      <c r="A3743" s="4" t="n">
        <v>13230</v>
      </c>
      <c r="B3743" s="5" t="n">
        <v>44523</v>
      </c>
      <c r="C3743" s="13" t="inlineStr">
        <is>
          <t>VTA</t>
        </is>
      </c>
      <c r="D3743" s="13" t="n">
        <v>32</v>
      </c>
      <c r="E3743" s="10">
        <f>IF(D3743&gt;0,VLOOKUP(OPERAC[[#This Row],[COD CART]],[1]!MatrizCortoLargoCyl[#All],3,0),"")</f>
        <v/>
      </c>
      <c r="F3743" s="13" t="inlineStr">
        <is>
          <t>TEVA/CYL/9,00/21-01-22</t>
        </is>
      </c>
      <c r="G3743" s="6" t="n">
        <v>100</v>
      </c>
      <c r="H3743" s="6">
        <f>-861.6332+18.874</f>
        <v/>
      </c>
      <c r="I3743" s="7">
        <f>-H3743/G3743</f>
        <v/>
      </c>
      <c r="J3743" s="11" t="n">
        <v>44575</v>
      </c>
      <c r="K3743" s="6" t="n">
        <v>100</v>
      </c>
      <c r="L3743" s="6" t="n">
        <v>878.913</v>
      </c>
      <c r="M3743" s="7">
        <f>IF(N3743=0,+L3743+H3743,0)</f>
        <v/>
      </c>
      <c r="N3743" s="7">
        <f>IF((+G3743-K3743)=0,0,+G3743-K3743)</f>
        <v/>
      </c>
      <c r="O3743" s="7">
        <f>IF(N3743=0,0,(L3743+H3743)/-N3743)</f>
        <v/>
      </c>
      <c r="P3743" s="7">
        <f>VLOOKUP(OPERAC[[#This Row],[especie]],[1]!ESPECIES[#All],6,0)</f>
        <v/>
      </c>
      <c r="Q3743" s="7">
        <f>IF(N3743&lt;&gt;0,P3743*N3743,0)</f>
        <v/>
      </c>
      <c r="R3743" s="8">
        <f>IF(Q3743&lt;&gt;0,Q3743+H3743+L3743,0)</f>
        <v/>
      </c>
      <c r="S3743" s="9">
        <f>VLOOKUP(OPERAC[[#This Row],[especie]],[1]!ESPECIES[#Data],9,FALSE)</f>
        <v/>
      </c>
    </row>
    <row r="3744">
      <c r="A3744" s="4" t="n">
        <v>13271</v>
      </c>
      <c r="B3744" s="5" t="n">
        <v>44523</v>
      </c>
      <c r="C3744" s="13" t="inlineStr">
        <is>
          <t>VTA</t>
        </is>
      </c>
      <c r="D3744" s="13" t="n">
        <v>32</v>
      </c>
      <c r="E3744" s="10">
        <f>IF(D3744&gt;0,VLOOKUP(OPERAC[[#This Row],[COD CART]],[1]!MatrizCortoLargoCyl[#All],3,0),"")</f>
        <v/>
      </c>
      <c r="F3744" s="13" t="inlineStr">
        <is>
          <t>TEVA/CYL/9,00/21-01-22</t>
        </is>
      </c>
      <c r="G3744" s="6" t="n">
        <v>100</v>
      </c>
      <c r="H3744" s="6">
        <f>-861.6332+18.874</f>
        <v/>
      </c>
      <c r="I3744" s="7">
        <f>-H3744/G3744</f>
        <v/>
      </c>
      <c r="J3744" s="11" t="n">
        <v>44575</v>
      </c>
      <c r="K3744" s="6" t="n">
        <v>100</v>
      </c>
      <c r="L3744" s="6" t="n">
        <v>878.913</v>
      </c>
      <c r="M3744" s="7">
        <f>IF(N3744=0,+L3744+H3744,0)</f>
        <v/>
      </c>
      <c r="N3744" s="7">
        <f>IF((+G3744-K3744)=0,0,+G3744-K3744)</f>
        <v/>
      </c>
      <c r="O3744" s="7">
        <f>IF(N3744=0,0,(L3744+H3744)/-N3744)</f>
        <v/>
      </c>
      <c r="P3744" s="7">
        <f>VLOOKUP(OPERAC[[#This Row],[especie]],[1]!ESPECIES[#All],6,0)</f>
        <v/>
      </c>
      <c r="Q3744" s="7">
        <f>IF(N3744&lt;&gt;0,P3744*N3744,0)</f>
        <v/>
      </c>
      <c r="R3744" s="8">
        <f>IF(Q3744&lt;&gt;0,Q3744+H3744+L3744,0)</f>
        <v/>
      </c>
      <c r="S3744" s="9">
        <f>VLOOKUP(OPERAC[[#This Row],[especie]],[1]!ESPECIES[#Data],9,FALSE)</f>
        <v/>
      </c>
    </row>
    <row r="3745">
      <c r="A3745" s="4" t="n">
        <v>15194</v>
      </c>
      <c r="B3745" s="5" t="n">
        <v>44523</v>
      </c>
      <c r="C3745" s="13" t="inlineStr">
        <is>
          <t>VTA</t>
        </is>
      </c>
      <c r="D3745" s="13" t="n">
        <v>32</v>
      </c>
      <c r="E3745" s="10">
        <f>IF(D3745&gt;0,VLOOKUP(OPERAC[[#This Row],[COD CART]],[1]!MatrizCortoLargoCyl[#All],3,0),"")</f>
        <v/>
      </c>
      <c r="F3745" s="13" t="inlineStr">
        <is>
          <t>TEVA/CYL/9,00/21-01-22</t>
        </is>
      </c>
      <c r="G3745" s="6" t="n">
        <v>100</v>
      </c>
      <c r="H3745" s="6">
        <f>-861.6332+18.874</f>
        <v/>
      </c>
      <c r="I3745" s="7">
        <f>-H3745/G3745</f>
        <v/>
      </c>
      <c r="J3745" s="11" t="n">
        <v>44575</v>
      </c>
      <c r="K3745" s="6" t="n">
        <v>100</v>
      </c>
      <c r="L3745" s="6" t="n">
        <v>878.913</v>
      </c>
      <c r="M3745" s="7">
        <f>IF(N3745=0,+L3745+H3745,0)</f>
        <v/>
      </c>
      <c r="N3745" s="7">
        <f>IF((+G3745-K3745)=0,0,+G3745-K3745)</f>
        <v/>
      </c>
      <c r="O3745" s="7">
        <f>IF(N3745=0,0,(L3745+H3745)/-N3745)</f>
        <v/>
      </c>
      <c r="P3745" s="7">
        <f>VLOOKUP(OPERAC[[#This Row],[especie]],[1]!ESPECIES[#All],6,0)</f>
        <v/>
      </c>
      <c r="Q3745" s="7">
        <f>IF(N3745&lt;&gt;0,P3745*N3745,0)</f>
        <v/>
      </c>
      <c r="R3745" s="8">
        <f>IF(Q3745&lt;&gt;0,Q3745+H3745+L3745,0)</f>
        <v/>
      </c>
      <c r="S3745" s="9">
        <f>VLOOKUP(OPERAC[[#This Row],[especie]],[1]!ESPECIES[#Data],9,FALSE)</f>
        <v/>
      </c>
    </row>
    <row r="3746">
      <c r="A3746" s="4" t="n">
        <v>18662</v>
      </c>
      <c r="B3746" s="5" t="n">
        <v>44523</v>
      </c>
      <c r="C3746" s="13" t="inlineStr">
        <is>
          <t>VTA</t>
        </is>
      </c>
      <c r="D3746" s="13" t="n">
        <v>32</v>
      </c>
      <c r="E3746" s="10">
        <f>IF(D3746&gt;0,VLOOKUP(OPERAC[[#This Row],[COD CART]],[1]!MatrizCortoLargoCyl[#All],3,0),"")</f>
        <v/>
      </c>
      <c r="F3746" s="13" t="inlineStr">
        <is>
          <t>TEVA/CYL/9,00/21-01-22</t>
        </is>
      </c>
      <c r="G3746" s="6" t="n">
        <v>100</v>
      </c>
      <c r="H3746" s="6">
        <f>-861.6332+18.874</f>
        <v/>
      </c>
      <c r="I3746" s="7">
        <f>-H3746/G3746</f>
        <v/>
      </c>
      <c r="J3746" s="11" t="n">
        <v>44575</v>
      </c>
      <c r="K3746" s="6" t="n">
        <v>100</v>
      </c>
      <c r="L3746" s="6" t="n">
        <v>878.913</v>
      </c>
      <c r="M3746" s="7">
        <f>IF(N3746=0,+L3746+H3746,0)</f>
        <v/>
      </c>
      <c r="N3746" s="7">
        <f>IF((+G3746-K3746)=0,0,+G3746-K3746)</f>
        <v/>
      </c>
      <c r="O3746" s="7">
        <f>IF(N3746=0,0,(L3746+H3746)/-N3746)</f>
        <v/>
      </c>
      <c r="P3746" s="7">
        <f>VLOOKUP(OPERAC[[#This Row],[especie]],[1]!ESPECIES[#All],6,0)</f>
        <v/>
      </c>
      <c r="Q3746" s="7">
        <f>IF(N3746&lt;&gt;0,P3746*N3746,0)</f>
        <v/>
      </c>
      <c r="R3746" s="8">
        <f>IF(Q3746&lt;&gt;0,Q3746+H3746+L3746,0)</f>
        <v/>
      </c>
      <c r="S3746" s="9">
        <f>VLOOKUP(OPERAC[[#This Row],[especie]],[1]!ESPECIES[#Data],9,FALSE)</f>
        <v/>
      </c>
    </row>
    <row r="3747">
      <c r="A3747" s="4" t="n">
        <v>19972</v>
      </c>
      <c r="B3747" s="5" t="n">
        <v>44523</v>
      </c>
      <c r="C3747" s="13" t="inlineStr">
        <is>
          <t>VTA</t>
        </is>
      </c>
      <c r="D3747" s="13" t="n">
        <v>32</v>
      </c>
      <c r="E3747" s="10">
        <f>IF(D3747&gt;0,VLOOKUP(OPERAC[[#This Row],[COD CART]],[1]!MatrizCortoLargoCyl[#All],3,0),"")</f>
        <v/>
      </c>
      <c r="F3747" s="13" t="inlineStr">
        <is>
          <t>TEVA/CYL/9,00/21-01-22</t>
        </is>
      </c>
      <c r="G3747" s="6" t="n">
        <v>100</v>
      </c>
      <c r="H3747" s="6">
        <f>-861.6332+18.874</f>
        <v/>
      </c>
      <c r="I3747" s="7">
        <f>-H3747/G3747</f>
        <v/>
      </c>
      <c r="J3747" s="11" t="n">
        <v>44575</v>
      </c>
      <c r="K3747" s="6" t="n">
        <v>100</v>
      </c>
      <c r="L3747" s="6" t="n">
        <v>878.913</v>
      </c>
      <c r="M3747" s="7">
        <f>IF(N3747=0,+L3747+H3747,0)</f>
        <v/>
      </c>
      <c r="N3747" s="7">
        <f>IF((+G3747-K3747)=0,0,+G3747-K3747)</f>
        <v/>
      </c>
      <c r="O3747" s="7">
        <f>IF(N3747=0,0,(L3747+H3747)/-N3747)</f>
        <v/>
      </c>
      <c r="P3747" s="7">
        <f>VLOOKUP(OPERAC[[#This Row],[especie]],[1]!ESPECIES[#All],6,0)</f>
        <v/>
      </c>
      <c r="Q3747" s="7">
        <f>IF(N3747&lt;&gt;0,P3747*N3747,0)</f>
        <v/>
      </c>
      <c r="R3747" s="8">
        <f>IF(Q3747&lt;&gt;0,Q3747+H3747+L3747,0)</f>
        <v/>
      </c>
      <c r="S3747" s="9">
        <f>VLOOKUP(OPERAC[[#This Row],[especie]],[1]!ESPECIES[#Data],9,FALSE)</f>
        <v/>
      </c>
    </row>
    <row r="3748">
      <c r="A3748" s="4" t="n">
        <v>12652</v>
      </c>
      <c r="B3748" s="5" t="n">
        <v>44722</v>
      </c>
      <c r="C3748" s="13" t="inlineStr">
        <is>
          <t>VTA</t>
        </is>
      </c>
      <c r="D3748" s="13" t="n">
        <v>32</v>
      </c>
      <c r="E3748" s="10">
        <f>IF(D3748&gt;0,VLOOKUP(OPERAC[[#This Row],[COD CART]],[1]!MatrizCortoLargoCyl[#All],3,0),"")</f>
        <v/>
      </c>
      <c r="F3748" s="13" t="inlineStr">
        <is>
          <t>NNOX/CYL/9,00/17-06-22</t>
        </is>
      </c>
      <c r="G3748" s="6" t="n">
        <v>100</v>
      </c>
      <c r="H3748" s="6" t="n">
        <v>-844.8390000000001</v>
      </c>
      <c r="I3748" s="7">
        <f>-H3748/G3748</f>
        <v/>
      </c>
      <c r="J3748" s="5" t="n"/>
      <c r="K3748" s="6" t="n"/>
      <c r="L3748" s="6" t="n"/>
      <c r="M3748" s="7">
        <f>IF(N3748=0,+L3748+H3748,0)</f>
        <v/>
      </c>
      <c r="N3748" s="7">
        <f>IF((+G3748-K3748)=0,0,+G3748-K3748)</f>
        <v/>
      </c>
      <c r="O3748" s="7">
        <f>IF(N3748=0,0,(L3748+H3748)/-N3748)</f>
        <v/>
      </c>
      <c r="P3748" s="7">
        <f>VLOOKUP(OPERAC[[#This Row],[especie]],[1]!ESPECIES[#All],6,0)</f>
        <v/>
      </c>
      <c r="Q3748" s="7">
        <f>IF(N3748&lt;&gt;0,P3748*N3748,0)</f>
        <v/>
      </c>
      <c r="R3748" s="8">
        <f>IF(Q3748&lt;&gt;0,Q3748+H3748+L3748,0)</f>
        <v/>
      </c>
      <c r="S3748" s="9">
        <f>VLOOKUP(OPERAC[[#This Row],[especie]],[1]!ESPECIES[#Data],9,FALSE)</f>
        <v/>
      </c>
    </row>
    <row r="3749">
      <c r="A3749" s="4" t="n">
        <v>12671</v>
      </c>
      <c r="B3749" s="5" t="n">
        <v>44722</v>
      </c>
      <c r="C3749" s="13" t="inlineStr">
        <is>
          <t>VTA</t>
        </is>
      </c>
      <c r="D3749" s="13" t="n">
        <v>32</v>
      </c>
      <c r="E3749" s="10">
        <f>IF(D3749&gt;0,VLOOKUP(OPERAC[[#This Row],[COD CART]],[1]!MatrizCortoLargoCyl[#All],3,0),"")</f>
        <v/>
      </c>
      <c r="F3749" s="13" t="inlineStr">
        <is>
          <t>NNOX/CYL/9,00/17-06-22</t>
        </is>
      </c>
      <c r="G3749" s="6" t="n">
        <v>100</v>
      </c>
      <c r="H3749" s="6" t="n">
        <v>-844.8390000000001</v>
      </c>
      <c r="I3749" s="7">
        <f>-H3749/G3749</f>
        <v/>
      </c>
      <c r="J3749" s="5" t="n"/>
      <c r="K3749" s="6" t="n"/>
      <c r="L3749" s="6" t="n"/>
      <c r="M3749" s="7">
        <f>IF(N3749=0,+L3749+H3749,0)</f>
        <v/>
      </c>
      <c r="N3749" s="7">
        <f>IF((+G3749-K3749)=0,0,+G3749-K3749)</f>
        <v/>
      </c>
      <c r="O3749" s="7">
        <f>IF(N3749=0,0,(L3749+H3749)/-N3749)</f>
        <v/>
      </c>
      <c r="P3749" s="7">
        <f>VLOOKUP(OPERAC[[#This Row],[especie]],[1]!ESPECIES[#All],6,0)</f>
        <v/>
      </c>
      <c r="Q3749" s="7">
        <f>IF(N3749&lt;&gt;0,P3749*N3749,0)</f>
        <v/>
      </c>
      <c r="R3749" s="8">
        <f>IF(Q3749&lt;&gt;0,Q3749+H3749+L3749,0)</f>
        <v/>
      </c>
      <c r="S3749" s="9">
        <f>VLOOKUP(OPERAC[[#This Row],[especie]],[1]!ESPECIES[#Data],9,FALSE)</f>
        <v/>
      </c>
    </row>
    <row r="3750">
      <c r="A3750" s="4" t="n">
        <v>13185</v>
      </c>
      <c r="B3750" s="5" t="n">
        <v>44722</v>
      </c>
      <c r="C3750" s="13" t="inlineStr">
        <is>
          <t>VTA</t>
        </is>
      </c>
      <c r="D3750" s="13" t="n">
        <v>32</v>
      </c>
      <c r="E3750" s="10">
        <f>IF(D3750&gt;0,VLOOKUP(OPERAC[[#This Row],[COD CART]],[1]!MatrizCortoLargoCyl[#All],3,0),"")</f>
        <v/>
      </c>
      <c r="F3750" s="13" t="inlineStr">
        <is>
          <t>NNOX/CYL/9,00/17-06-22</t>
        </is>
      </c>
      <c r="G3750" s="6" t="n">
        <v>100</v>
      </c>
      <c r="H3750" s="6" t="n">
        <v>-844.8390000000001</v>
      </c>
      <c r="I3750" s="7">
        <f>-H3750/G3750</f>
        <v/>
      </c>
      <c r="J3750" s="5" t="n"/>
      <c r="K3750" s="6" t="n"/>
      <c r="L3750" s="6" t="n"/>
      <c r="M3750" s="7">
        <f>IF(N3750=0,+L3750+H3750,0)</f>
        <v/>
      </c>
      <c r="N3750" s="7">
        <f>IF((+G3750-K3750)=0,0,+G3750-K3750)</f>
        <v/>
      </c>
      <c r="O3750" s="7">
        <f>IF(N3750=0,0,(L3750+H3750)/-N3750)</f>
        <v/>
      </c>
      <c r="P3750" s="7">
        <f>VLOOKUP(OPERAC[[#This Row],[especie]],[1]!ESPECIES[#All],6,0)</f>
        <v/>
      </c>
      <c r="Q3750" s="7">
        <f>IF(N3750&lt;&gt;0,P3750*N3750,0)</f>
        <v/>
      </c>
      <c r="R3750" s="8">
        <f>IF(Q3750&lt;&gt;0,Q3750+H3750+L3750,0)</f>
        <v/>
      </c>
      <c r="S3750" s="9">
        <f>VLOOKUP(OPERAC[[#This Row],[especie]],[1]!ESPECIES[#Data],9,FALSE)</f>
        <v/>
      </c>
    </row>
    <row r="3751">
      <c r="A3751" s="4" t="n">
        <v>16786</v>
      </c>
      <c r="B3751" s="5" t="n">
        <v>44722</v>
      </c>
      <c r="C3751" s="13" t="inlineStr">
        <is>
          <t>VTA</t>
        </is>
      </c>
      <c r="D3751" s="13" t="n">
        <v>32</v>
      </c>
      <c r="E3751" s="10">
        <f>IF(D3751&gt;0,VLOOKUP(OPERAC[[#This Row],[COD CART]],[1]!MatrizCortoLargoCyl[#All],3,0),"")</f>
        <v/>
      </c>
      <c r="F3751" s="13" t="inlineStr">
        <is>
          <t>NNOX/CYL/9,00/17-06-22</t>
        </is>
      </c>
      <c r="G3751" s="6" t="n">
        <v>100</v>
      </c>
      <c r="H3751" s="6" t="n">
        <v>-844.8390000000001</v>
      </c>
      <c r="I3751" s="7">
        <f>-H3751/G3751</f>
        <v/>
      </c>
      <c r="J3751" s="5" t="n"/>
      <c r="K3751" s="6" t="n"/>
      <c r="L3751" s="6" t="n"/>
      <c r="M3751" s="7">
        <f>IF(N3751=0,+L3751+H3751,0)</f>
        <v/>
      </c>
      <c r="N3751" s="7">
        <f>IF((+G3751-K3751)=0,0,+G3751-K3751)</f>
        <v/>
      </c>
      <c r="O3751" s="7">
        <f>IF(N3751=0,0,(L3751+H3751)/-N3751)</f>
        <v/>
      </c>
      <c r="P3751" s="7">
        <f>VLOOKUP(OPERAC[[#This Row],[especie]],[1]!ESPECIES[#All],6,0)</f>
        <v/>
      </c>
      <c r="Q3751" s="7">
        <f>IF(N3751&lt;&gt;0,P3751*N3751,0)</f>
        <v/>
      </c>
      <c r="R3751" s="8">
        <f>IF(Q3751&lt;&gt;0,Q3751+H3751+L3751,0)</f>
        <v/>
      </c>
      <c r="S3751" s="9">
        <f>VLOOKUP(OPERAC[[#This Row],[especie]],[1]!ESPECIES[#Data],9,FALSE)</f>
        <v/>
      </c>
    </row>
    <row r="3752">
      <c r="A3752" s="4" t="n">
        <v>18651</v>
      </c>
      <c r="B3752" s="5" t="n">
        <v>44722</v>
      </c>
      <c r="C3752" s="13" t="inlineStr">
        <is>
          <t>VTA</t>
        </is>
      </c>
      <c r="D3752" s="13" t="n">
        <v>32</v>
      </c>
      <c r="E3752" s="10">
        <f>IF(D3752&gt;0,VLOOKUP(OPERAC[[#This Row],[COD CART]],[1]!MatrizCortoLargoCyl[#All],3,0),"")</f>
        <v/>
      </c>
      <c r="F3752" s="13" t="inlineStr">
        <is>
          <t>NNOX/CYL/9,00/17-06-22</t>
        </is>
      </c>
      <c r="G3752" s="6" t="n">
        <v>100</v>
      </c>
      <c r="H3752" s="6" t="n">
        <v>-844.8390000000001</v>
      </c>
      <c r="I3752" s="7">
        <f>-H3752/G3752</f>
        <v/>
      </c>
      <c r="J3752" s="5" t="n"/>
      <c r="K3752" s="6" t="n"/>
      <c r="L3752" s="6" t="n"/>
      <c r="M3752" s="7">
        <f>IF(N3752=0,+L3752+H3752,0)</f>
        <v/>
      </c>
      <c r="N3752" s="7">
        <f>IF((+G3752-K3752)=0,0,+G3752-K3752)</f>
        <v/>
      </c>
      <c r="O3752" s="7">
        <f>IF(N3752=0,0,(L3752+H3752)/-N3752)</f>
        <v/>
      </c>
      <c r="P3752" s="7">
        <f>VLOOKUP(OPERAC[[#This Row],[especie]],[1]!ESPECIES[#All],6,0)</f>
        <v/>
      </c>
      <c r="Q3752" s="7">
        <f>IF(N3752&lt;&gt;0,P3752*N3752,0)</f>
        <v/>
      </c>
      <c r="R3752" s="8">
        <f>IF(Q3752&lt;&gt;0,Q3752+H3752+L3752,0)</f>
        <v/>
      </c>
      <c r="S3752" s="9">
        <f>VLOOKUP(OPERAC[[#This Row],[especie]],[1]!ESPECIES[#Data],9,FALSE)</f>
        <v/>
      </c>
    </row>
    <row r="3753">
      <c r="A3753" s="4" t="n">
        <v>19867</v>
      </c>
      <c r="B3753" s="5" t="n">
        <v>44722</v>
      </c>
      <c r="C3753" s="13" t="inlineStr">
        <is>
          <t>VTA</t>
        </is>
      </c>
      <c r="D3753" s="13" t="n">
        <v>32</v>
      </c>
      <c r="E3753" s="10">
        <f>IF(D3753&gt;0,VLOOKUP(OPERAC[[#This Row],[COD CART]],[1]!MatrizCortoLargoCyl[#All],3,0),"")</f>
        <v/>
      </c>
      <c r="F3753" s="13" t="inlineStr">
        <is>
          <t>NNOX/CYL/9,00/17-06-22</t>
        </is>
      </c>
      <c r="G3753" s="6" t="n">
        <v>100</v>
      </c>
      <c r="H3753" s="6" t="n">
        <v>-844.8390000000001</v>
      </c>
      <c r="I3753" s="7">
        <f>-H3753/G3753</f>
        <v/>
      </c>
      <c r="J3753" s="5" t="n"/>
      <c r="K3753" s="6" t="n"/>
      <c r="L3753" s="6" t="n"/>
      <c r="M3753" s="7">
        <f>IF(N3753=0,+L3753+H3753,0)</f>
        <v/>
      </c>
      <c r="N3753" s="7">
        <f>IF((+G3753-K3753)=0,0,+G3753-K3753)</f>
        <v/>
      </c>
      <c r="O3753" s="7">
        <f>IF(N3753=0,0,(L3753+H3753)/-N3753)</f>
        <v/>
      </c>
      <c r="P3753" s="7">
        <f>VLOOKUP(OPERAC[[#This Row],[especie]],[1]!ESPECIES[#All],6,0)</f>
        <v/>
      </c>
      <c r="Q3753" s="7">
        <f>IF(N3753&lt;&gt;0,P3753*N3753,0)</f>
        <v/>
      </c>
      <c r="R3753" s="8">
        <f>IF(Q3753&lt;&gt;0,Q3753+H3753+L3753,0)</f>
        <v/>
      </c>
      <c r="S3753" s="9">
        <f>VLOOKUP(OPERAC[[#This Row],[especie]],[1]!ESPECIES[#Data],9,FALSE)</f>
        <v/>
      </c>
    </row>
    <row r="3754">
      <c r="A3754" s="4" t="n">
        <v>2218</v>
      </c>
      <c r="B3754" s="5" t="n">
        <v>44722</v>
      </c>
      <c r="C3754" s="13" t="inlineStr">
        <is>
          <t>VTA</t>
        </is>
      </c>
      <c r="D3754" s="13" t="n">
        <v>32</v>
      </c>
      <c r="E3754" s="10">
        <f>IF(D3754&gt;0,VLOOKUP(OPERAC[[#This Row],[COD CART]],[1]!MatrizCortoLargoCyl[#All],3,0),"")</f>
        <v/>
      </c>
      <c r="F3754" s="13" t="inlineStr">
        <is>
          <t>NNOX/CYL/9,00/17-06-22</t>
        </is>
      </c>
      <c r="G3754" s="6" t="n">
        <v>100</v>
      </c>
      <c r="H3754" s="6" t="n">
        <v>-844.8390000000001</v>
      </c>
      <c r="I3754" s="7">
        <f>-H3754/G3754</f>
        <v/>
      </c>
      <c r="J3754" s="5" t="n"/>
      <c r="K3754" s="6" t="n"/>
      <c r="L3754" s="6" t="n"/>
      <c r="M3754" s="7">
        <f>IF(N3754=0,+L3754+H3754,0)</f>
        <v/>
      </c>
      <c r="N3754" s="7">
        <f>IF((+G3754-K3754)=0,0,+G3754-K3754)</f>
        <v/>
      </c>
      <c r="O3754" s="7">
        <f>IF(N3754=0,0,(L3754+H3754)/-N3754)</f>
        <v/>
      </c>
      <c r="P3754" s="7">
        <f>VLOOKUP(OPERAC[[#This Row],[especie]],[1]!ESPECIES[#All],6,0)</f>
        <v/>
      </c>
      <c r="Q3754" s="7">
        <f>IF(N3754&lt;&gt;0,P3754*N3754,0)</f>
        <v/>
      </c>
      <c r="R3754" s="8">
        <f>IF(Q3754&lt;&gt;0,Q3754+H3754+L3754,0)</f>
        <v/>
      </c>
      <c r="S3754" s="9">
        <f>VLOOKUP(OPERAC[[#This Row],[especie]],[1]!ESPECIES[#Data],9,FALSE)</f>
        <v/>
      </c>
    </row>
    <row r="3755">
      <c r="A3755" s="4" t="n">
        <v>19878</v>
      </c>
      <c r="B3755" s="5" t="n">
        <v>44722</v>
      </c>
      <c r="C3755" s="13" t="inlineStr">
        <is>
          <t>VTA</t>
        </is>
      </c>
      <c r="D3755" s="13" t="n">
        <v>32</v>
      </c>
      <c r="E3755" s="10">
        <f>IF(D3755&gt;0,VLOOKUP(OPERAC[[#This Row],[COD CART]],[1]!MatrizCortoLargoCyl[#All],3,0),"")</f>
        <v/>
      </c>
      <c r="F3755" s="13" t="inlineStr">
        <is>
          <t>NNOX/CYL/9,00/17-06-22</t>
        </is>
      </c>
      <c r="G3755" s="6" t="n">
        <v>100</v>
      </c>
      <c r="H3755" s="6" t="n">
        <v>-844.8390000000001</v>
      </c>
      <c r="I3755" s="7">
        <f>-H3755/G3755</f>
        <v/>
      </c>
      <c r="J3755" s="5" t="n"/>
      <c r="K3755" s="6" t="n"/>
      <c r="L3755" s="6" t="n"/>
      <c r="M3755" s="7">
        <f>IF(N3755=0,+L3755+H3755,0)</f>
        <v/>
      </c>
      <c r="N3755" s="7">
        <f>IF((+G3755-K3755)=0,0,+G3755-K3755)</f>
        <v/>
      </c>
      <c r="O3755" s="7">
        <f>IF(N3755=0,0,(L3755+H3755)/-N3755)</f>
        <v/>
      </c>
      <c r="P3755" s="7">
        <f>VLOOKUP(OPERAC[[#This Row],[especie]],[1]!ESPECIES[#All],6,0)</f>
        <v/>
      </c>
      <c r="Q3755" s="7">
        <f>IF(N3755&lt;&gt;0,P3755*N3755,0)</f>
        <v/>
      </c>
      <c r="R3755" s="8">
        <f>IF(Q3755&lt;&gt;0,Q3755+H3755+L3755,0)</f>
        <v/>
      </c>
      <c r="S3755" s="9">
        <f>VLOOKUP(OPERAC[[#This Row],[especie]],[1]!ESPECIES[#Data],9,FALSE)</f>
        <v/>
      </c>
    </row>
    <row r="3756">
      <c r="A3756" s="4" t="n">
        <v>16783</v>
      </c>
      <c r="B3756" s="5" t="n">
        <v>44722</v>
      </c>
      <c r="C3756" s="13" t="inlineStr">
        <is>
          <t>VTA</t>
        </is>
      </c>
      <c r="D3756" s="13" t="n">
        <v>32</v>
      </c>
      <c r="E3756" s="10">
        <f>IF(D3756&gt;0,VLOOKUP(OPERAC[[#This Row],[COD CART]],[1]!MatrizCortoLargoCyl[#All],3,0),"")</f>
        <v/>
      </c>
      <c r="F3756" s="13" t="inlineStr">
        <is>
          <t>NNOX/CYL/9,00/17-06-22</t>
        </is>
      </c>
      <c r="G3756" s="6" t="n">
        <v>100</v>
      </c>
      <c r="H3756" s="6" t="n">
        <v>-844.8390000000001</v>
      </c>
      <c r="I3756" s="7">
        <f>-H3756/G3756</f>
        <v/>
      </c>
      <c r="J3756" s="5" t="n"/>
      <c r="K3756" s="6" t="n"/>
      <c r="L3756" s="6" t="n"/>
      <c r="M3756" s="7">
        <f>IF(N3756=0,+L3756+H3756,0)</f>
        <v/>
      </c>
      <c r="N3756" s="7">
        <f>IF((+G3756-K3756)=0,0,+G3756-K3756)</f>
        <v/>
      </c>
      <c r="O3756" s="7">
        <f>IF(N3756=0,0,(L3756+H3756)/-N3756)</f>
        <v/>
      </c>
      <c r="P3756" s="7">
        <f>VLOOKUP(OPERAC[[#This Row],[especie]],[1]!ESPECIES[#All],6,0)</f>
        <v/>
      </c>
      <c r="Q3756" s="7">
        <f>IF(N3756&lt;&gt;0,P3756*N3756,0)</f>
        <v/>
      </c>
      <c r="R3756" s="8">
        <f>IF(Q3756&lt;&gt;0,Q3756+H3756+L3756,0)</f>
        <v/>
      </c>
      <c r="S3756" s="9">
        <f>VLOOKUP(OPERAC[[#This Row],[especie]],[1]!ESPECIES[#Data],9,FALSE)</f>
        <v/>
      </c>
    </row>
    <row r="3757">
      <c r="A3757" s="4" t="n">
        <v>19888</v>
      </c>
      <c r="B3757" s="5" t="n">
        <v>44722</v>
      </c>
      <c r="C3757" s="13" t="inlineStr">
        <is>
          <t>VTA</t>
        </is>
      </c>
      <c r="D3757" s="13" t="n">
        <v>32</v>
      </c>
      <c r="E3757" s="10">
        <f>IF(D3757&gt;0,VLOOKUP(OPERAC[[#This Row],[COD CART]],[1]!MatrizCortoLargoCyl[#All],3,0),"")</f>
        <v/>
      </c>
      <c r="F3757" s="13" t="inlineStr">
        <is>
          <t>NNOX/CYL/9,00/17-06-22</t>
        </is>
      </c>
      <c r="G3757" s="6" t="n">
        <v>100</v>
      </c>
      <c r="H3757" s="6" t="n">
        <v>-844.8390000000001</v>
      </c>
      <c r="I3757" s="7">
        <f>-H3757/G3757</f>
        <v/>
      </c>
      <c r="J3757" s="5" t="n"/>
      <c r="K3757" s="6" t="n"/>
      <c r="L3757" s="6" t="n"/>
      <c r="M3757" s="7">
        <f>IF(N3757=0,+L3757+H3757,0)</f>
        <v/>
      </c>
      <c r="N3757" s="7">
        <f>IF((+G3757-K3757)=0,0,+G3757-K3757)</f>
        <v/>
      </c>
      <c r="O3757" s="7">
        <f>IF(N3757=0,0,(L3757+H3757)/-N3757)</f>
        <v/>
      </c>
      <c r="P3757" s="7">
        <f>VLOOKUP(OPERAC[[#This Row],[especie]],[1]!ESPECIES[#All],6,0)</f>
        <v/>
      </c>
      <c r="Q3757" s="7">
        <f>IF(N3757&lt;&gt;0,P3757*N3757,0)</f>
        <v/>
      </c>
      <c r="R3757" s="8">
        <f>IF(Q3757&lt;&gt;0,Q3757+H3757+L3757,0)</f>
        <v/>
      </c>
      <c r="S3757" s="9">
        <f>VLOOKUP(OPERAC[[#This Row],[especie]],[1]!ESPECIES[#Data],9,FALSE)</f>
        <v/>
      </c>
    </row>
    <row r="3758">
      <c r="A3758" s="4" t="n">
        <v>6578</v>
      </c>
      <c r="B3758" s="5" t="n">
        <v>44628</v>
      </c>
      <c r="C3758" s="13" t="inlineStr">
        <is>
          <t>VTA</t>
        </is>
      </c>
      <c r="D3758" s="13" t="n">
        <v>40</v>
      </c>
      <c r="E3758" s="10">
        <f>IF(D3758&gt;0,VLOOKUP(OPERAC[[#This Row],[COD CART]],[1]!MatrizCortoLargoCyl[#All],3,0),"")</f>
        <v/>
      </c>
      <c r="F3758" s="13" t="inlineStr">
        <is>
          <t>CVV</t>
        </is>
      </c>
      <c r="G3758" s="6" t="n">
        <v>200</v>
      </c>
      <c r="H3758" s="6" t="n">
        <v>-844.8976</v>
      </c>
      <c r="I3758" s="7">
        <f>-H3758/G3758</f>
        <v/>
      </c>
      <c r="J3758" s="11" t="n">
        <v>44649</v>
      </c>
      <c r="K3758" s="6">
        <f>+OPERAC[[#This Row],[cantidad]]</f>
        <v/>
      </c>
      <c r="L3758" s="6">
        <f>+OPERAC[[#This Row],[cantidad venta]]*4.459</f>
        <v/>
      </c>
      <c r="M3758" s="7">
        <f>IF(N3758=0,+L3758+H3758,0)</f>
        <v/>
      </c>
      <c r="N3758" s="7">
        <f>IF((+G3758-K3758)=0,0,+G3758-K3758)</f>
        <v/>
      </c>
      <c r="O3758" s="7">
        <f>IF(N3758=0,0,(L3758+H3758)/-N3758)</f>
        <v/>
      </c>
      <c r="P3758" s="7">
        <f>VLOOKUP(OPERAC[[#This Row],[especie]],[1]!ESPECIES[#All],6,0)</f>
        <v/>
      </c>
      <c r="Q3758" s="7">
        <f>IF(N3758&lt;&gt;0,P3758*N3758,0)</f>
        <v/>
      </c>
      <c r="R3758" s="8">
        <f>IF(Q3758&lt;&gt;0,Q3758+H3758+L3758,0)</f>
        <v/>
      </c>
      <c r="S3758" s="9">
        <f>VLOOKUP(OPERAC[[#This Row],[especie]],[1]!ESPECIES[#Data],9,FALSE)</f>
        <v/>
      </c>
    </row>
    <row r="3759">
      <c r="A3759" s="4" t="n">
        <v>25070</v>
      </c>
      <c r="B3759" s="5" t="n">
        <v>44628</v>
      </c>
      <c r="C3759" s="13" t="inlineStr">
        <is>
          <t>VTA</t>
        </is>
      </c>
      <c r="D3759" s="13" t="n">
        <v>40</v>
      </c>
      <c r="E3759" s="10">
        <f>IF(D3759&gt;0,VLOOKUP(OPERAC[[#This Row],[COD CART]],[1]!MatrizCortoLargoCyl[#All],3,0),"")</f>
        <v/>
      </c>
      <c r="F3759" s="13" t="inlineStr">
        <is>
          <t>CVV</t>
        </is>
      </c>
      <c r="G3759" s="6" t="n">
        <v>200</v>
      </c>
      <c r="H3759" s="6" t="n">
        <v>-844.8976</v>
      </c>
      <c r="I3759" s="7">
        <f>-H3759/G3759</f>
        <v/>
      </c>
      <c r="J3759" s="11" t="n">
        <v>44649</v>
      </c>
      <c r="K3759" s="6">
        <f>+OPERAC[[#This Row],[cantidad]]</f>
        <v/>
      </c>
      <c r="L3759" s="6">
        <f>+OPERAC[[#This Row],[cantidad venta]]*4.459</f>
        <v/>
      </c>
      <c r="M3759" s="7">
        <f>IF(N3759=0,+L3759+H3759,0)</f>
        <v/>
      </c>
      <c r="N3759" s="7">
        <f>IF((+G3759-K3759)=0,0,+G3759-K3759)</f>
        <v/>
      </c>
      <c r="O3759" s="7">
        <f>IF(N3759=0,0,(L3759+H3759)/-N3759)</f>
        <v/>
      </c>
      <c r="P3759" s="7">
        <f>VLOOKUP(OPERAC[[#This Row],[especie]],[1]!ESPECIES[#All],6,0)</f>
        <v/>
      </c>
      <c r="Q3759" s="7">
        <f>IF(N3759&lt;&gt;0,P3759*N3759,0)</f>
        <v/>
      </c>
      <c r="R3759" s="8">
        <f>IF(Q3759&lt;&gt;0,Q3759+H3759+L3759,0)</f>
        <v/>
      </c>
      <c r="S3759" s="9">
        <f>VLOOKUP(OPERAC[[#This Row],[especie]],[1]!ESPECIES[#Data],9,FALSE)</f>
        <v/>
      </c>
    </row>
    <row r="3760">
      <c r="A3760" s="4" t="n">
        <v>2255</v>
      </c>
      <c r="B3760" s="5" t="n">
        <v>44641</v>
      </c>
      <c r="C3760" s="13" t="inlineStr">
        <is>
          <t>VTA</t>
        </is>
      </c>
      <c r="D3760" s="13" t="n">
        <v>42</v>
      </c>
      <c r="E3760" s="10">
        <f>IF(D3760&gt;0,VLOOKUP(OPERAC[[#This Row],[COD CART]],[1]!MatrizCortoLargoCyl[#All],3,0),"")</f>
        <v/>
      </c>
      <c r="F3760" s="13" t="inlineStr">
        <is>
          <t>FB</t>
        </is>
      </c>
      <c r="G3760" s="6" t="n">
        <v>4</v>
      </c>
      <c r="H3760" s="6" t="n">
        <v>-845.25816</v>
      </c>
      <c r="I3760" s="7">
        <f>-H3760/G3760</f>
        <v/>
      </c>
      <c r="J3760" s="11" t="n">
        <v>44671</v>
      </c>
      <c r="K3760" s="6">
        <f>+OPERAC[[#This Row],[cantidad]]</f>
        <v/>
      </c>
      <c r="L3760" s="6">
        <f>+OPERAC[[#This Row],[cantidad venta]]*213.173</f>
        <v/>
      </c>
      <c r="M3760" s="7">
        <f>IF(N3760=0,+L3760+H3760,0)</f>
        <v/>
      </c>
      <c r="N3760" s="7">
        <f>IF((+G3760-K3760)=0,0,+G3760-K3760)</f>
        <v/>
      </c>
      <c r="O3760" s="7">
        <f>IF(N3760=0,0,(L3760+H3760)/-N3760)</f>
        <v/>
      </c>
      <c r="P3760" s="7">
        <f>VLOOKUP(OPERAC[[#This Row],[especie]],[1]!ESPECIES[#All],6,0)</f>
        <v/>
      </c>
      <c r="Q3760" s="7">
        <f>IF(N3760&lt;&gt;0,P3760*N3760,0)</f>
        <v/>
      </c>
      <c r="R3760" s="8">
        <f>IF(Q3760&lt;&gt;0,Q3760+H3760+L3760,0)</f>
        <v/>
      </c>
      <c r="S3760" s="9">
        <f>VLOOKUP(OPERAC[[#This Row],[especie]],[1]!ESPECIES[#Data],9,FALSE)</f>
        <v/>
      </c>
    </row>
    <row r="3761">
      <c r="A3761" s="4" t="n">
        <v>16824</v>
      </c>
      <c r="B3761" s="5" t="n">
        <v>44649</v>
      </c>
      <c r="C3761" s="13" t="inlineStr">
        <is>
          <t>VTA</t>
        </is>
      </c>
      <c r="D3761" s="13" t="n">
        <v>42</v>
      </c>
      <c r="E3761" s="10">
        <f>IF(D3761&gt;0,VLOOKUP(OPERAC[[#This Row],[COD CART]],[1]!MatrizCortoLargoCyl[#All],3,0),"")</f>
        <v/>
      </c>
      <c r="F3761" s="13" t="inlineStr">
        <is>
          <t>SMH</t>
        </is>
      </c>
      <c r="G3761" s="6" t="n">
        <v>3</v>
      </c>
      <c r="H3761" s="6" t="n">
        <v>-845.7715999999999</v>
      </c>
      <c r="I3761" s="7">
        <f>-H3761/G3761</f>
        <v/>
      </c>
      <c r="J3761" s="11" t="n">
        <v>44663</v>
      </c>
      <c r="K3761" s="6">
        <f>+OPERAC[[#This Row],[cantidad]]</f>
        <v/>
      </c>
      <c r="L3761" s="6">
        <f>+OPERAC[[#This Row],[cantidad venta]]*238.066</f>
        <v/>
      </c>
      <c r="M3761" s="7">
        <f>IF(N3761=0,+L3761+H3761,0)</f>
        <v/>
      </c>
      <c r="N3761" s="7">
        <f>IF((+G3761-K3761)=0,0,+G3761-K3761)</f>
        <v/>
      </c>
      <c r="O3761" s="7">
        <f>IF(N3761=0,0,(L3761+H3761)/-N3761)</f>
        <v/>
      </c>
      <c r="P3761" s="7">
        <f>VLOOKUP(OPERAC[[#This Row],[especie]],[1]!ESPECIES[#All],6,0)</f>
        <v/>
      </c>
      <c r="Q3761" s="7">
        <f>IF(N3761&lt;&gt;0,P3761*N3761,0)</f>
        <v/>
      </c>
      <c r="R3761" s="8">
        <f>IF(Q3761&lt;&gt;0,Q3761+H3761+L3761,0)</f>
        <v/>
      </c>
      <c r="S3761" s="9">
        <f>VLOOKUP(OPERAC[[#This Row],[especie]],[1]!ESPECIES[#Data],9,FALSE)</f>
        <v/>
      </c>
    </row>
    <row r="3762">
      <c r="A3762" s="4" t="n">
        <v>26140</v>
      </c>
      <c r="B3762" s="5" t="n">
        <v>44649</v>
      </c>
      <c r="C3762" s="13" t="inlineStr">
        <is>
          <t>VTA</t>
        </is>
      </c>
      <c r="D3762" s="13" t="n">
        <v>42</v>
      </c>
      <c r="E3762" s="10">
        <f>IF(D3762&gt;0,VLOOKUP(OPERAC[[#This Row],[COD CART]],[1]!MatrizCortoLargoCyl[#All],3,0),"")</f>
        <v/>
      </c>
      <c r="F3762" s="13" t="inlineStr">
        <is>
          <t>SMH</t>
        </is>
      </c>
      <c r="G3762" s="6" t="n">
        <v>3</v>
      </c>
      <c r="H3762" s="6" t="n">
        <v>-845.7715999999999</v>
      </c>
      <c r="I3762" s="7">
        <f>-H3762/G3762</f>
        <v/>
      </c>
      <c r="J3762" s="11" t="n">
        <v>44663</v>
      </c>
      <c r="K3762" s="6">
        <f>+OPERAC[[#This Row],[cantidad]]</f>
        <v/>
      </c>
      <c r="L3762" s="6">
        <f>+OPERAC[[#This Row],[cantidad venta]]*238.066</f>
        <v/>
      </c>
      <c r="M3762" s="7">
        <f>IF(N3762=0,+L3762+H3762,0)</f>
        <v/>
      </c>
      <c r="N3762" s="7">
        <f>IF((+G3762-K3762)=0,0,+G3762-K3762)</f>
        <v/>
      </c>
      <c r="O3762" s="7">
        <f>IF(N3762=0,0,(L3762+H3762)/-N3762)</f>
        <v/>
      </c>
      <c r="P3762" s="7">
        <f>VLOOKUP(OPERAC[[#This Row],[especie]],[1]!ESPECIES[#All],6,0)</f>
        <v/>
      </c>
      <c r="Q3762" s="7">
        <f>IF(N3762&lt;&gt;0,P3762*N3762,0)</f>
        <v/>
      </c>
      <c r="R3762" s="8">
        <f>IF(Q3762&lt;&gt;0,Q3762+H3762+L3762,0)</f>
        <v/>
      </c>
      <c r="S3762" s="9">
        <f>VLOOKUP(OPERAC[[#This Row],[especie]],[1]!ESPECIES[#Data],9,FALSE)</f>
        <v/>
      </c>
    </row>
    <row r="3763">
      <c r="A3763" s="4" t="n">
        <v>19878</v>
      </c>
      <c r="B3763" s="5" t="n">
        <v>44641</v>
      </c>
      <c r="C3763" s="13" t="inlineStr">
        <is>
          <t>VTA</t>
        </is>
      </c>
      <c r="D3763" s="13" t="n">
        <v>42</v>
      </c>
      <c r="E3763" s="10">
        <f>IF(D3763&gt;0,VLOOKUP(OPERAC[[#This Row],[COD CART]],[1]!MatrizCortoLargoCyl[#All],3,0),"")</f>
        <v/>
      </c>
      <c r="F3763" s="13" t="inlineStr">
        <is>
          <t>FB</t>
        </is>
      </c>
      <c r="G3763" s="6" t="n">
        <v>4</v>
      </c>
      <c r="H3763" s="6" t="n">
        <v>-846.94184</v>
      </c>
      <c r="I3763" s="7">
        <f>-H3763/G3763</f>
        <v/>
      </c>
      <c r="J3763" s="11" t="n">
        <v>44671</v>
      </c>
      <c r="K3763" s="6">
        <f>+OPERAC[[#This Row],[cantidad]]</f>
        <v/>
      </c>
      <c r="L3763" s="6">
        <f>+OPERAC[[#This Row],[cantidad venta]]*213.173</f>
        <v/>
      </c>
      <c r="M3763" s="7">
        <f>IF(N3763=0,+L3763+H3763,0)</f>
        <v/>
      </c>
      <c r="N3763" s="7">
        <f>IF((+G3763-K3763)=0,0,+G3763-K3763)</f>
        <v/>
      </c>
      <c r="O3763" s="7">
        <f>IF(N3763=0,0,(L3763+H3763)/-N3763)</f>
        <v/>
      </c>
      <c r="P3763" s="7">
        <f>VLOOKUP(OPERAC[[#This Row],[especie]],[1]!ESPECIES[#All],6,0)</f>
        <v/>
      </c>
      <c r="Q3763" s="7">
        <f>IF(N3763&lt;&gt;0,P3763*N3763,0)</f>
        <v/>
      </c>
      <c r="R3763" s="8">
        <f>IF(Q3763&lt;&gt;0,Q3763+H3763+L3763,0)</f>
        <v/>
      </c>
      <c r="S3763" s="9">
        <f>VLOOKUP(OPERAC[[#This Row],[especie]],[1]!ESPECIES[#Data],9,FALSE)</f>
        <v/>
      </c>
    </row>
    <row r="3764">
      <c r="A3764" s="4" t="n">
        <v>1760</v>
      </c>
      <c r="B3764" s="5" t="n">
        <v>44643</v>
      </c>
      <c r="C3764" s="13" t="inlineStr">
        <is>
          <t>VTA</t>
        </is>
      </c>
      <c r="D3764" s="13" t="n">
        <v>42</v>
      </c>
      <c r="E3764" s="10">
        <f>IF(D3764&gt;0,VLOOKUP(OPERAC[[#This Row],[COD CART]],[1]!MatrizCortoLargoCyl[#All],3,0),"")</f>
        <v/>
      </c>
      <c r="F3764" s="13" t="inlineStr">
        <is>
          <t>JPM</t>
        </is>
      </c>
      <c r="G3764" s="6" t="n">
        <v>6</v>
      </c>
      <c r="H3764" s="6" t="n">
        <v>-847.4798400000001</v>
      </c>
      <c r="I3764" s="7">
        <f>-H3764/G3764</f>
        <v/>
      </c>
      <c r="J3764" s="11" t="n">
        <v>44664</v>
      </c>
      <c r="K3764" s="6">
        <f>+OPERAC[[#This Row],[cantidad]]</f>
        <v/>
      </c>
      <c r="L3764" s="6">
        <f>+OPERAC[[#This Row],[cantidad venta]]*125.943</f>
        <v/>
      </c>
      <c r="M3764" s="7">
        <f>IF(N3764=0,+L3764+H3764,0)</f>
        <v/>
      </c>
      <c r="N3764" s="7">
        <f>IF((+G3764-K3764)=0,0,+G3764-K3764)</f>
        <v/>
      </c>
      <c r="O3764" s="7">
        <f>IF(N3764=0,0,(L3764+H3764)/-N3764)</f>
        <v/>
      </c>
      <c r="P3764" s="7">
        <f>VLOOKUP(OPERAC[[#This Row],[especie]],[1]!ESPECIES[#All],6,0)</f>
        <v/>
      </c>
      <c r="Q3764" s="7">
        <f>IF(N3764&lt;&gt;0,P3764*N3764,0)</f>
        <v/>
      </c>
      <c r="R3764" s="8">
        <f>IF(Q3764&lt;&gt;0,Q3764+H3764+L3764,0)</f>
        <v/>
      </c>
      <c r="S3764" s="9">
        <f>VLOOKUP(OPERAC[[#This Row],[especie]],[1]!ESPECIES[#Data],9,FALSE)</f>
        <v/>
      </c>
    </row>
    <row r="3765">
      <c r="A3765" s="4" t="n">
        <v>15189</v>
      </c>
      <c r="B3765" s="5" t="n">
        <v>44643</v>
      </c>
      <c r="C3765" s="13" t="inlineStr">
        <is>
          <t>VTA</t>
        </is>
      </c>
      <c r="D3765" s="13" t="n">
        <v>42</v>
      </c>
      <c r="E3765" s="10">
        <f>IF(D3765&gt;0,VLOOKUP(OPERAC[[#This Row],[COD CART]],[1]!MatrizCortoLargoCyl[#All],3,0),"")</f>
        <v/>
      </c>
      <c r="F3765" s="13" t="inlineStr">
        <is>
          <t>JPM</t>
        </is>
      </c>
      <c r="G3765" s="6" t="n">
        <v>6</v>
      </c>
      <c r="H3765" s="6" t="n">
        <v>-847.4798400000001</v>
      </c>
      <c r="I3765" s="7">
        <f>-H3765/G3765</f>
        <v/>
      </c>
      <c r="J3765" s="11" t="n">
        <v>44664</v>
      </c>
      <c r="K3765" s="6">
        <f>+OPERAC[[#This Row],[cantidad]]</f>
        <v/>
      </c>
      <c r="L3765" s="6">
        <f>+OPERAC[[#This Row],[cantidad venta]]*125.943</f>
        <v/>
      </c>
      <c r="M3765" s="7">
        <f>IF(N3765=0,+L3765+H3765,0)</f>
        <v/>
      </c>
      <c r="N3765" s="7">
        <f>IF((+G3765-K3765)=0,0,+G3765-K3765)</f>
        <v/>
      </c>
      <c r="O3765" s="7">
        <f>IF(N3765=0,0,(L3765+H3765)/-N3765)</f>
        <v/>
      </c>
      <c r="P3765" s="7">
        <f>VLOOKUP(OPERAC[[#This Row],[especie]],[1]!ESPECIES[#All],6,0)</f>
        <v/>
      </c>
      <c r="Q3765" s="7">
        <f>IF(N3765&lt;&gt;0,P3765*N3765,0)</f>
        <v/>
      </c>
      <c r="R3765" s="8">
        <f>IF(Q3765&lt;&gt;0,Q3765+H3765+L3765,0)</f>
        <v/>
      </c>
      <c r="S3765" s="9">
        <f>VLOOKUP(OPERAC[[#This Row],[especie]],[1]!ESPECIES[#Data],9,FALSE)</f>
        <v/>
      </c>
    </row>
    <row r="3766">
      <c r="A3766" s="4" t="n">
        <v>25070</v>
      </c>
      <c r="B3766" s="5" t="n">
        <v>44643</v>
      </c>
      <c r="C3766" s="13" t="inlineStr">
        <is>
          <t>VTA</t>
        </is>
      </c>
      <c r="D3766" s="13" t="n">
        <v>42</v>
      </c>
      <c r="E3766" s="10">
        <f>IF(D3766&gt;0,VLOOKUP(OPERAC[[#This Row],[COD CART]],[1]!MatrizCortoLargoCyl[#All],3,0),"")</f>
        <v/>
      </c>
      <c r="F3766" s="13" t="inlineStr">
        <is>
          <t>JPM</t>
        </is>
      </c>
      <c r="G3766" s="6" t="n">
        <v>6</v>
      </c>
      <c r="H3766" s="6" t="n">
        <v>-847.4798400000001</v>
      </c>
      <c r="I3766" s="7">
        <f>-H3766/G3766</f>
        <v/>
      </c>
      <c r="J3766" s="11" t="n">
        <v>44664</v>
      </c>
      <c r="K3766" s="6">
        <f>+OPERAC[[#This Row],[cantidad]]</f>
        <v/>
      </c>
      <c r="L3766" s="6">
        <f>+OPERAC[[#This Row],[cantidad venta]]*125.943</f>
        <v/>
      </c>
      <c r="M3766" s="7">
        <f>IF(N3766=0,+L3766+H3766,0)</f>
        <v/>
      </c>
      <c r="N3766" s="7">
        <f>IF((+G3766-K3766)=0,0,+G3766-K3766)</f>
        <v/>
      </c>
      <c r="O3766" s="7">
        <f>IF(N3766=0,0,(L3766+H3766)/-N3766)</f>
        <v/>
      </c>
      <c r="P3766" s="7">
        <f>VLOOKUP(OPERAC[[#This Row],[especie]],[1]!ESPECIES[#All],6,0)</f>
        <v/>
      </c>
      <c r="Q3766" s="7">
        <f>IF(N3766&lt;&gt;0,P3766*N3766,0)</f>
        <v/>
      </c>
      <c r="R3766" s="8">
        <f>IF(Q3766&lt;&gt;0,Q3766+H3766+L3766,0)</f>
        <v/>
      </c>
      <c r="S3766" s="9">
        <f>VLOOKUP(OPERAC[[#This Row],[especie]],[1]!ESPECIES[#Data],9,FALSE)</f>
        <v/>
      </c>
    </row>
    <row r="3767">
      <c r="A3767" s="4" t="n">
        <v>26138</v>
      </c>
      <c r="B3767" s="5" t="n">
        <v>44643</v>
      </c>
      <c r="C3767" s="13" t="inlineStr">
        <is>
          <t>VTA</t>
        </is>
      </c>
      <c r="D3767" s="13" t="n">
        <v>42</v>
      </c>
      <c r="E3767" s="10">
        <f>IF(D3767&gt;0,VLOOKUP(OPERAC[[#This Row],[COD CART]],[1]!MatrizCortoLargoCyl[#All],3,0),"")</f>
        <v/>
      </c>
      <c r="F3767" s="13" t="inlineStr">
        <is>
          <t>JPM</t>
        </is>
      </c>
      <c r="G3767" s="6" t="n">
        <v>6</v>
      </c>
      <c r="H3767" s="6" t="n">
        <v>-847.4798400000001</v>
      </c>
      <c r="I3767" s="7">
        <f>-H3767/G3767</f>
        <v/>
      </c>
      <c r="J3767" s="11" t="n">
        <v>44664</v>
      </c>
      <c r="K3767" s="6">
        <f>+OPERAC[[#This Row],[cantidad]]</f>
        <v/>
      </c>
      <c r="L3767" s="6">
        <f>+OPERAC[[#This Row],[cantidad venta]]*125.943</f>
        <v/>
      </c>
      <c r="M3767" s="7">
        <f>IF(N3767=0,+L3767+H3767,0)</f>
        <v/>
      </c>
      <c r="N3767" s="7">
        <f>IF((+G3767-K3767)=0,0,+G3767-K3767)</f>
        <v/>
      </c>
      <c r="O3767" s="7">
        <f>IF(N3767=0,0,(L3767+H3767)/-N3767)</f>
        <v/>
      </c>
      <c r="P3767" s="7">
        <f>VLOOKUP(OPERAC[[#This Row],[especie]],[1]!ESPECIES[#All],6,0)</f>
        <v/>
      </c>
      <c r="Q3767" s="7">
        <f>IF(N3767&lt;&gt;0,P3767*N3767,0)</f>
        <v/>
      </c>
      <c r="R3767" s="8">
        <f>IF(Q3767&lt;&gt;0,Q3767+H3767+L3767,0)</f>
        <v/>
      </c>
      <c r="S3767" s="9">
        <f>VLOOKUP(OPERAC[[#This Row],[especie]],[1]!ESPECIES[#Data],9,FALSE)</f>
        <v/>
      </c>
    </row>
    <row r="3768">
      <c r="A3768" s="4" t="n">
        <v>1760</v>
      </c>
      <c r="B3768" s="5" t="n">
        <v>44641</v>
      </c>
      <c r="C3768" s="13" t="inlineStr">
        <is>
          <t>VTA</t>
        </is>
      </c>
      <c r="D3768" s="13" t="n">
        <v>42</v>
      </c>
      <c r="E3768" s="10">
        <f>IF(D3768&gt;0,VLOOKUP(OPERAC[[#This Row],[COD CART]],[1]!MatrizCortoLargoCyl[#All],3,0),"")</f>
        <v/>
      </c>
      <c r="F3768" s="13" t="inlineStr">
        <is>
          <t>FB</t>
        </is>
      </c>
      <c r="G3768" s="6" t="n">
        <v>4</v>
      </c>
      <c r="H3768" s="6" t="n">
        <v>-848.6255200000001</v>
      </c>
      <c r="I3768" s="7">
        <f>-H3768/G3768</f>
        <v/>
      </c>
      <c r="J3768" s="11" t="n">
        <v>44671</v>
      </c>
      <c r="K3768" s="6">
        <f>+OPERAC[[#This Row],[cantidad]]</f>
        <v/>
      </c>
      <c r="L3768" s="6">
        <f>+OPERAC[[#This Row],[cantidad venta]]*213.173</f>
        <v/>
      </c>
      <c r="M3768" s="7">
        <f>IF(N3768=0,+L3768+H3768,0)</f>
        <v/>
      </c>
      <c r="N3768" s="7">
        <f>IF((+G3768-K3768)=0,0,+G3768-K3768)</f>
        <v/>
      </c>
      <c r="O3768" s="7">
        <f>IF(N3768=0,0,(L3768+H3768)/-N3768)</f>
        <v/>
      </c>
      <c r="P3768" s="7">
        <f>VLOOKUP(OPERAC[[#This Row],[especie]],[1]!ESPECIES[#All],6,0)</f>
        <v/>
      </c>
      <c r="Q3768" s="7">
        <f>IF(N3768&lt;&gt;0,P3768*N3768,0)</f>
        <v/>
      </c>
      <c r="R3768" s="8">
        <f>IF(Q3768&lt;&gt;0,Q3768+H3768+L3768,0)</f>
        <v/>
      </c>
      <c r="S3768" s="9">
        <f>VLOOKUP(OPERAC[[#This Row],[especie]],[1]!ESPECIES[#Data],9,FALSE)</f>
        <v/>
      </c>
    </row>
    <row r="3769">
      <c r="A3769" s="4" t="n">
        <v>2203</v>
      </c>
      <c r="B3769" s="5" t="n">
        <v>44641</v>
      </c>
      <c r="C3769" s="13" t="inlineStr">
        <is>
          <t>VTA</t>
        </is>
      </c>
      <c r="D3769" s="13" t="n">
        <v>42</v>
      </c>
      <c r="E3769" s="10">
        <f>IF(D3769&gt;0,VLOOKUP(OPERAC[[#This Row],[COD CART]],[1]!MatrizCortoLargoCyl[#All],3,0),"")</f>
        <v/>
      </c>
      <c r="F3769" s="13" t="inlineStr">
        <is>
          <t>FB</t>
        </is>
      </c>
      <c r="G3769" s="6" t="n">
        <v>4</v>
      </c>
      <c r="H3769" s="6" t="n">
        <v>-848.6255200000001</v>
      </c>
      <c r="I3769" s="7">
        <f>-H3769/G3769</f>
        <v/>
      </c>
      <c r="J3769" s="11" t="n">
        <v>44671</v>
      </c>
      <c r="K3769" s="6">
        <f>+OPERAC[[#This Row],[cantidad]]</f>
        <v/>
      </c>
      <c r="L3769" s="6">
        <f>+OPERAC[[#This Row],[cantidad venta]]*213.173</f>
        <v/>
      </c>
      <c r="M3769" s="7">
        <f>IF(N3769=0,+L3769+H3769,0)</f>
        <v/>
      </c>
      <c r="N3769" s="7">
        <f>IF((+G3769-K3769)=0,0,+G3769-K3769)</f>
        <v/>
      </c>
      <c r="O3769" s="7">
        <f>IF(N3769=0,0,(L3769+H3769)/-N3769)</f>
        <v/>
      </c>
      <c r="P3769" s="7">
        <f>VLOOKUP(OPERAC[[#This Row],[especie]],[1]!ESPECIES[#All],6,0)</f>
        <v/>
      </c>
      <c r="Q3769" s="7">
        <f>IF(N3769&lt;&gt;0,P3769*N3769,0)</f>
        <v/>
      </c>
      <c r="R3769" s="8">
        <f>IF(Q3769&lt;&gt;0,Q3769+H3769+L3769,0)</f>
        <v/>
      </c>
      <c r="S3769" s="9">
        <f>VLOOKUP(OPERAC[[#This Row],[especie]],[1]!ESPECIES[#Data],9,FALSE)</f>
        <v/>
      </c>
    </row>
    <row r="3770">
      <c r="A3770" s="4" t="n">
        <v>3787</v>
      </c>
      <c r="B3770" s="5" t="n">
        <v>44641</v>
      </c>
      <c r="C3770" s="13" t="inlineStr">
        <is>
          <t>VTA</t>
        </is>
      </c>
      <c r="D3770" s="13" t="n">
        <v>42</v>
      </c>
      <c r="E3770" s="10">
        <f>IF(D3770&gt;0,VLOOKUP(OPERAC[[#This Row],[COD CART]],[1]!MatrizCortoLargoCyl[#All],3,0),"")</f>
        <v/>
      </c>
      <c r="F3770" s="13" t="inlineStr">
        <is>
          <t>FB</t>
        </is>
      </c>
      <c r="G3770" s="6" t="n">
        <v>4</v>
      </c>
      <c r="H3770" s="6" t="n">
        <v>-848.6255200000001</v>
      </c>
      <c r="I3770" s="7">
        <f>-H3770/G3770</f>
        <v/>
      </c>
      <c r="J3770" s="11" t="n">
        <v>44671</v>
      </c>
      <c r="K3770" s="6">
        <f>+OPERAC[[#This Row],[cantidad]]</f>
        <v/>
      </c>
      <c r="L3770" s="6">
        <f>+OPERAC[[#This Row],[cantidad venta]]*213.173</f>
        <v/>
      </c>
      <c r="M3770" s="7">
        <f>IF(N3770=0,+L3770+H3770,0)</f>
        <v/>
      </c>
      <c r="N3770" s="7">
        <f>IF((+G3770-K3770)=0,0,+G3770-K3770)</f>
        <v/>
      </c>
      <c r="O3770" s="7">
        <f>IF(N3770=0,0,(L3770+H3770)/-N3770)</f>
        <v/>
      </c>
      <c r="P3770" s="7">
        <f>VLOOKUP(OPERAC[[#This Row],[especie]],[1]!ESPECIES[#All],6,0)</f>
        <v/>
      </c>
      <c r="Q3770" s="7">
        <f>IF(N3770&lt;&gt;0,P3770*N3770,0)</f>
        <v/>
      </c>
      <c r="R3770" s="8">
        <f>IF(Q3770&lt;&gt;0,Q3770+H3770+L3770,0)</f>
        <v/>
      </c>
      <c r="S3770" s="9">
        <f>VLOOKUP(OPERAC[[#This Row],[especie]],[1]!ESPECIES[#Data],9,FALSE)</f>
        <v/>
      </c>
    </row>
    <row r="3771">
      <c r="A3771" s="4" t="n">
        <v>4543</v>
      </c>
      <c r="B3771" s="5" t="n">
        <v>44641</v>
      </c>
      <c r="C3771" s="13" t="inlineStr">
        <is>
          <t>VTA</t>
        </is>
      </c>
      <c r="D3771" s="13" t="n">
        <v>42</v>
      </c>
      <c r="E3771" s="10">
        <f>IF(D3771&gt;0,VLOOKUP(OPERAC[[#This Row],[COD CART]],[1]!MatrizCortoLargoCyl[#All],3,0),"")</f>
        <v/>
      </c>
      <c r="F3771" s="13" t="inlineStr">
        <is>
          <t>FB</t>
        </is>
      </c>
      <c r="G3771" s="6" t="n">
        <v>4</v>
      </c>
      <c r="H3771" s="6" t="n">
        <v>-848.6255200000001</v>
      </c>
      <c r="I3771" s="7">
        <f>-H3771/G3771</f>
        <v/>
      </c>
      <c r="J3771" s="11" t="n">
        <v>44671</v>
      </c>
      <c r="K3771" s="6">
        <f>+OPERAC[[#This Row],[cantidad]]</f>
        <v/>
      </c>
      <c r="L3771" s="6">
        <f>+OPERAC[[#This Row],[cantidad venta]]*213.173</f>
        <v/>
      </c>
      <c r="M3771" s="7">
        <f>IF(N3771=0,+L3771+H3771,0)</f>
        <v/>
      </c>
      <c r="N3771" s="7">
        <f>IF((+G3771-K3771)=0,0,+G3771-K3771)</f>
        <v/>
      </c>
      <c r="O3771" s="7">
        <f>IF(N3771=0,0,(L3771+H3771)/-N3771)</f>
        <v/>
      </c>
      <c r="P3771" s="7">
        <f>VLOOKUP(OPERAC[[#This Row],[especie]],[1]!ESPECIES[#All],6,0)</f>
        <v/>
      </c>
      <c r="Q3771" s="7">
        <f>IF(N3771&lt;&gt;0,P3771*N3771,0)</f>
        <v/>
      </c>
      <c r="R3771" s="8">
        <f>IF(Q3771&lt;&gt;0,Q3771+H3771+L3771,0)</f>
        <v/>
      </c>
      <c r="S3771" s="9">
        <f>VLOOKUP(OPERAC[[#This Row],[especie]],[1]!ESPECIES[#Data],9,FALSE)</f>
        <v/>
      </c>
    </row>
    <row r="3772">
      <c r="A3772" s="4" t="n">
        <v>12652</v>
      </c>
      <c r="B3772" s="5" t="n">
        <v>44641</v>
      </c>
      <c r="C3772" s="13" t="inlineStr">
        <is>
          <t>VTA</t>
        </is>
      </c>
      <c r="D3772" s="13" t="n">
        <v>42</v>
      </c>
      <c r="E3772" s="10">
        <f>IF(D3772&gt;0,VLOOKUP(OPERAC[[#This Row],[COD CART]],[1]!MatrizCortoLargoCyl[#All],3,0),"")</f>
        <v/>
      </c>
      <c r="F3772" s="13" t="inlineStr">
        <is>
          <t>FB</t>
        </is>
      </c>
      <c r="G3772" s="6" t="n">
        <v>4</v>
      </c>
      <c r="H3772" s="6" t="n">
        <v>-848.6255200000001</v>
      </c>
      <c r="I3772" s="7">
        <f>-H3772/G3772</f>
        <v/>
      </c>
      <c r="J3772" s="11" t="n">
        <v>44648</v>
      </c>
      <c r="K3772" s="6" t="n">
        <v>4</v>
      </c>
      <c r="L3772" s="6" t="n">
        <v>881.08</v>
      </c>
      <c r="M3772" s="7">
        <f>IF(N3772=0,+L3772+H3772,0)</f>
        <v/>
      </c>
      <c r="N3772" s="7">
        <f>IF((+G3772-K3772)=0,0,+G3772-K3772)</f>
        <v/>
      </c>
      <c r="O3772" s="7">
        <f>IF(N3772=0,0,(L3772+H3772)/-N3772)</f>
        <v/>
      </c>
      <c r="P3772" s="7">
        <f>VLOOKUP(OPERAC[[#This Row],[especie]],[1]!ESPECIES[#All],6,0)</f>
        <v/>
      </c>
      <c r="Q3772" s="7">
        <f>IF(N3772&lt;&gt;0,P3772*N3772,0)</f>
        <v/>
      </c>
      <c r="R3772" s="8">
        <f>IF(Q3772&lt;&gt;0,Q3772+H3772+L3772,0)</f>
        <v/>
      </c>
      <c r="S3772" s="9">
        <f>VLOOKUP(OPERAC[[#This Row],[especie]],[1]!ESPECIES[#Data],9,FALSE)</f>
        <v/>
      </c>
    </row>
    <row r="3773">
      <c r="A3773" s="4" t="n">
        <v>4561</v>
      </c>
      <c r="B3773" s="5" t="n">
        <v>44641</v>
      </c>
      <c r="C3773" s="13" t="inlineStr">
        <is>
          <t>VTA</t>
        </is>
      </c>
      <c r="D3773" s="13" t="n">
        <v>42</v>
      </c>
      <c r="E3773" s="10">
        <f>IF(D3773&gt;0,VLOOKUP(OPERAC[[#This Row],[COD CART]],[1]!MatrizCortoLargoCyl[#All],3,0),"")</f>
        <v/>
      </c>
      <c r="F3773" s="13" t="inlineStr">
        <is>
          <t>FB</t>
        </is>
      </c>
      <c r="G3773" s="6" t="n">
        <v>4</v>
      </c>
      <c r="H3773" s="6" t="n">
        <v>-848.6255200000001</v>
      </c>
      <c r="I3773" s="7">
        <f>-H3773/G3773</f>
        <v/>
      </c>
      <c r="J3773" s="11" t="n">
        <v>44671</v>
      </c>
      <c r="K3773" s="6">
        <f>+OPERAC[[#This Row],[cantidad]]</f>
        <v/>
      </c>
      <c r="L3773" s="6">
        <f>+OPERAC[[#This Row],[cantidad venta]]*213.173</f>
        <v/>
      </c>
      <c r="M3773" s="7">
        <f>IF(N3773=0,+L3773+H3773,0)</f>
        <v/>
      </c>
      <c r="N3773" s="7">
        <f>IF((+G3773-K3773)=0,0,+G3773-K3773)</f>
        <v/>
      </c>
      <c r="O3773" s="7">
        <f>IF(N3773=0,0,(L3773+H3773)/-N3773)</f>
        <v/>
      </c>
      <c r="P3773" s="7">
        <f>VLOOKUP(OPERAC[[#This Row],[especie]],[1]!ESPECIES[#All],6,0)</f>
        <v/>
      </c>
      <c r="Q3773" s="7">
        <f>IF(N3773&lt;&gt;0,P3773*N3773,0)</f>
        <v/>
      </c>
      <c r="R3773" s="8">
        <f>IF(Q3773&lt;&gt;0,Q3773+H3773+L3773,0)</f>
        <v/>
      </c>
      <c r="S3773" s="9">
        <f>VLOOKUP(OPERAC[[#This Row],[especie]],[1]!ESPECIES[#Data],9,FALSE)</f>
        <v/>
      </c>
    </row>
    <row r="3774">
      <c r="A3774" s="4" t="n">
        <v>6578</v>
      </c>
      <c r="B3774" s="5" t="n">
        <v>44641</v>
      </c>
      <c r="C3774" s="13" t="inlineStr">
        <is>
          <t>VTA</t>
        </is>
      </c>
      <c r="D3774" s="13" t="n">
        <v>42</v>
      </c>
      <c r="E3774" s="10">
        <f>IF(D3774&gt;0,VLOOKUP(OPERAC[[#This Row],[COD CART]],[1]!MatrizCortoLargoCyl[#All],3,0),"")</f>
        <v/>
      </c>
      <c r="F3774" s="13" t="inlineStr">
        <is>
          <t>FB</t>
        </is>
      </c>
      <c r="G3774" s="6" t="n">
        <v>4</v>
      </c>
      <c r="H3774" s="6" t="n">
        <v>-848.6255200000001</v>
      </c>
      <c r="I3774" s="7">
        <f>-H3774/G3774</f>
        <v/>
      </c>
      <c r="J3774" s="11" t="n">
        <v>44671</v>
      </c>
      <c r="K3774" s="6">
        <f>+OPERAC[[#This Row],[cantidad]]</f>
        <v/>
      </c>
      <c r="L3774" s="6">
        <f>+OPERAC[[#This Row],[cantidad venta]]*213.173</f>
        <v/>
      </c>
      <c r="M3774" s="7">
        <f>IF(N3774=0,+L3774+H3774,0)</f>
        <v/>
      </c>
      <c r="N3774" s="7">
        <f>IF((+G3774-K3774)=0,0,+G3774-K3774)</f>
        <v/>
      </c>
      <c r="O3774" s="7">
        <f>IF(N3774=0,0,(L3774+H3774)/-N3774)</f>
        <v/>
      </c>
      <c r="P3774" s="7">
        <f>VLOOKUP(OPERAC[[#This Row],[especie]],[1]!ESPECIES[#All],6,0)</f>
        <v/>
      </c>
      <c r="Q3774" s="7">
        <f>IF(N3774&lt;&gt;0,P3774*N3774,0)</f>
        <v/>
      </c>
      <c r="R3774" s="8">
        <f>IF(Q3774&lt;&gt;0,Q3774+H3774+L3774,0)</f>
        <v/>
      </c>
      <c r="S3774" s="9">
        <f>VLOOKUP(OPERAC[[#This Row],[especie]],[1]!ESPECIES[#Data],9,FALSE)</f>
        <v/>
      </c>
    </row>
    <row r="3775">
      <c r="A3775" s="4" t="n">
        <v>7916</v>
      </c>
      <c r="B3775" s="5" t="n">
        <v>44641</v>
      </c>
      <c r="C3775" s="13" t="inlineStr">
        <is>
          <t>VTA</t>
        </is>
      </c>
      <c r="D3775" s="13" t="n">
        <v>42</v>
      </c>
      <c r="E3775" s="10">
        <f>IF(D3775&gt;0,VLOOKUP(OPERAC[[#This Row],[COD CART]],[1]!MatrizCortoLargoCyl[#All],3,0),"")</f>
        <v/>
      </c>
      <c r="F3775" s="13" t="inlineStr">
        <is>
          <t>FB</t>
        </is>
      </c>
      <c r="G3775" s="6" t="n">
        <v>4</v>
      </c>
      <c r="H3775" s="6" t="n">
        <v>-848.6255200000001</v>
      </c>
      <c r="I3775" s="7">
        <f>-H3775/G3775</f>
        <v/>
      </c>
      <c r="J3775" s="11" t="n">
        <v>44671</v>
      </c>
      <c r="K3775" s="6">
        <f>+OPERAC[[#This Row],[cantidad]]</f>
        <v/>
      </c>
      <c r="L3775" s="6">
        <f>+OPERAC[[#This Row],[cantidad venta]]*213.173</f>
        <v/>
      </c>
      <c r="M3775" s="7">
        <f>IF(N3775=0,+L3775+H3775,0)</f>
        <v/>
      </c>
      <c r="N3775" s="7">
        <f>IF((+G3775-K3775)=0,0,+G3775-K3775)</f>
        <v/>
      </c>
      <c r="O3775" s="7">
        <f>IF(N3775=0,0,(L3775+H3775)/-N3775)</f>
        <v/>
      </c>
      <c r="P3775" s="7">
        <f>VLOOKUP(OPERAC[[#This Row],[especie]],[1]!ESPECIES[#All],6,0)</f>
        <v/>
      </c>
      <c r="Q3775" s="7">
        <f>IF(N3775&lt;&gt;0,P3775*N3775,0)</f>
        <v/>
      </c>
      <c r="R3775" s="8">
        <f>IF(Q3775&lt;&gt;0,Q3775+H3775+L3775,0)</f>
        <v/>
      </c>
      <c r="S3775" s="9">
        <f>VLOOKUP(OPERAC[[#This Row],[especie]],[1]!ESPECIES[#Data],9,FALSE)</f>
        <v/>
      </c>
    </row>
    <row r="3776">
      <c r="A3776" s="4" t="n">
        <v>13269</v>
      </c>
      <c r="B3776" s="5" t="n">
        <v>44641</v>
      </c>
      <c r="C3776" s="13" t="inlineStr">
        <is>
          <t>VTA</t>
        </is>
      </c>
      <c r="D3776" s="13" t="n">
        <v>42</v>
      </c>
      <c r="E3776" s="10">
        <f>IF(D3776&gt;0,VLOOKUP(OPERAC[[#This Row],[COD CART]],[1]!MatrizCortoLargoCyl[#All],3,0),"")</f>
        <v/>
      </c>
      <c r="F3776" s="13" t="inlineStr">
        <is>
          <t>FB</t>
        </is>
      </c>
      <c r="G3776" s="6" t="n">
        <v>4</v>
      </c>
      <c r="H3776" s="6" t="n">
        <v>-848.6255200000001</v>
      </c>
      <c r="I3776" s="7">
        <f>-H3776/G3776</f>
        <v/>
      </c>
      <c r="J3776" s="11" t="n">
        <v>44671</v>
      </c>
      <c r="K3776" s="6">
        <f>+OPERAC[[#This Row],[cantidad]]</f>
        <v/>
      </c>
      <c r="L3776" s="6">
        <f>+OPERAC[[#This Row],[cantidad venta]]*213.173</f>
        <v/>
      </c>
      <c r="M3776" s="7">
        <f>IF(N3776=0,+L3776+H3776,0)</f>
        <v/>
      </c>
      <c r="N3776" s="7">
        <f>IF((+G3776-K3776)=0,0,+G3776-K3776)</f>
        <v/>
      </c>
      <c r="O3776" s="7">
        <f>IF(N3776=0,0,(L3776+H3776)/-N3776)</f>
        <v/>
      </c>
      <c r="P3776" s="7">
        <f>VLOOKUP(OPERAC[[#This Row],[especie]],[1]!ESPECIES[#All],6,0)</f>
        <v/>
      </c>
      <c r="Q3776" s="7">
        <f>IF(N3776&lt;&gt;0,P3776*N3776,0)</f>
        <v/>
      </c>
      <c r="R3776" s="8">
        <f>IF(Q3776&lt;&gt;0,Q3776+H3776+L3776,0)</f>
        <v/>
      </c>
      <c r="S3776" s="9">
        <f>VLOOKUP(OPERAC[[#This Row],[especie]],[1]!ESPECIES[#Data],9,FALSE)</f>
        <v/>
      </c>
    </row>
    <row r="3777">
      <c r="A3777" s="4" t="n">
        <v>15195</v>
      </c>
      <c r="B3777" s="5" t="n">
        <v>44641</v>
      </c>
      <c r="C3777" s="13" t="inlineStr">
        <is>
          <t>VTA</t>
        </is>
      </c>
      <c r="D3777" s="13" t="n">
        <v>42</v>
      </c>
      <c r="E3777" s="10">
        <f>IF(D3777&gt;0,VLOOKUP(OPERAC[[#This Row],[COD CART]],[1]!MatrizCortoLargoCyl[#All],3,0),"")</f>
        <v/>
      </c>
      <c r="F3777" s="13" t="inlineStr">
        <is>
          <t>FB</t>
        </is>
      </c>
      <c r="G3777" s="6" t="n">
        <v>4</v>
      </c>
      <c r="H3777" s="6" t="n">
        <v>-848.6255200000001</v>
      </c>
      <c r="I3777" s="7">
        <f>-H3777/G3777</f>
        <v/>
      </c>
      <c r="J3777" s="11" t="n">
        <v>44671</v>
      </c>
      <c r="K3777" s="6">
        <f>+OPERAC[[#This Row],[cantidad]]</f>
        <v/>
      </c>
      <c r="L3777" s="6">
        <f>+OPERAC[[#This Row],[cantidad venta]]*213.173</f>
        <v/>
      </c>
      <c r="M3777" s="7">
        <f>IF(N3777=0,+L3777+H3777,0)</f>
        <v/>
      </c>
      <c r="N3777" s="7">
        <f>IF((+G3777-K3777)=0,0,+G3777-K3777)</f>
        <v/>
      </c>
      <c r="O3777" s="7">
        <f>IF(N3777=0,0,(L3777+H3777)/-N3777)</f>
        <v/>
      </c>
      <c r="P3777" s="7">
        <f>VLOOKUP(OPERAC[[#This Row],[especie]],[1]!ESPECIES[#All],6,0)</f>
        <v/>
      </c>
      <c r="Q3777" s="7">
        <f>IF(N3777&lt;&gt;0,P3777*N3777,0)</f>
        <v/>
      </c>
      <c r="R3777" s="8">
        <f>IF(Q3777&lt;&gt;0,Q3777+H3777+L3777,0)</f>
        <v/>
      </c>
      <c r="S3777" s="9">
        <f>VLOOKUP(OPERAC[[#This Row],[especie]],[1]!ESPECIES[#Data],9,FALSE)</f>
        <v/>
      </c>
    </row>
    <row r="3778">
      <c r="A3778" s="4" t="n">
        <v>19867</v>
      </c>
      <c r="B3778" s="5" t="n">
        <v>44641</v>
      </c>
      <c r="C3778" s="13" t="inlineStr">
        <is>
          <t>VTA</t>
        </is>
      </c>
      <c r="D3778" s="13" t="n">
        <v>42</v>
      </c>
      <c r="E3778" s="10">
        <f>IF(D3778&gt;0,VLOOKUP(OPERAC[[#This Row],[COD CART]],[1]!MatrizCortoLargoCyl[#All],3,0),"")</f>
        <v/>
      </c>
      <c r="F3778" s="13" t="inlineStr">
        <is>
          <t>FB</t>
        </is>
      </c>
      <c r="G3778" s="6" t="n">
        <v>4</v>
      </c>
      <c r="H3778" s="6" t="n">
        <v>-848.6255200000001</v>
      </c>
      <c r="I3778" s="7">
        <f>-H3778/G3778</f>
        <v/>
      </c>
      <c r="J3778" s="11" t="n">
        <v>44671</v>
      </c>
      <c r="K3778" s="6">
        <f>+OPERAC[[#This Row],[cantidad]]</f>
        <v/>
      </c>
      <c r="L3778" s="6">
        <f>+OPERAC[[#This Row],[cantidad venta]]*213.173</f>
        <v/>
      </c>
      <c r="M3778" s="7">
        <f>IF(N3778=0,+L3778+H3778,0)</f>
        <v/>
      </c>
      <c r="N3778" s="7">
        <f>IF((+G3778-K3778)=0,0,+G3778-K3778)</f>
        <v/>
      </c>
      <c r="O3778" s="7">
        <f>IF(N3778=0,0,(L3778+H3778)/-N3778)</f>
        <v/>
      </c>
      <c r="P3778" s="7">
        <f>VLOOKUP(OPERAC[[#This Row],[especie]],[1]!ESPECIES[#All],6,0)</f>
        <v/>
      </c>
      <c r="Q3778" s="7">
        <f>IF(N3778&lt;&gt;0,P3778*N3778,0)</f>
        <v/>
      </c>
      <c r="R3778" s="8">
        <f>IF(Q3778&lt;&gt;0,Q3778+H3778+L3778,0)</f>
        <v/>
      </c>
      <c r="S3778" s="9">
        <f>VLOOKUP(OPERAC[[#This Row],[especie]],[1]!ESPECIES[#Data],9,FALSE)</f>
        <v/>
      </c>
    </row>
    <row r="3779">
      <c r="A3779" s="4" t="n">
        <v>19932</v>
      </c>
      <c r="B3779" s="5" t="n">
        <v>44641</v>
      </c>
      <c r="C3779" s="13" t="inlineStr">
        <is>
          <t>VTA</t>
        </is>
      </c>
      <c r="D3779" s="13" t="n">
        <v>42</v>
      </c>
      <c r="E3779" s="10">
        <f>IF(D3779&gt;0,VLOOKUP(OPERAC[[#This Row],[COD CART]],[1]!MatrizCortoLargoCyl[#All],3,0),"")</f>
        <v/>
      </c>
      <c r="F3779" s="13" t="inlineStr">
        <is>
          <t>FB</t>
        </is>
      </c>
      <c r="G3779" s="6" t="n">
        <v>4</v>
      </c>
      <c r="H3779" s="6" t="n">
        <v>-848.6255200000001</v>
      </c>
      <c r="I3779" s="7">
        <f>-H3779/G3779</f>
        <v/>
      </c>
      <c r="J3779" s="11" t="n">
        <v>44671</v>
      </c>
      <c r="K3779" s="6">
        <f>+OPERAC[[#This Row],[cantidad]]</f>
        <v/>
      </c>
      <c r="L3779" s="6">
        <f>+OPERAC[[#This Row],[cantidad venta]]*213.173</f>
        <v/>
      </c>
      <c r="M3779" s="7">
        <f>IF(N3779=0,+L3779+H3779,0)</f>
        <v/>
      </c>
      <c r="N3779" s="7">
        <f>IF((+G3779-K3779)=0,0,+G3779-K3779)</f>
        <v/>
      </c>
      <c r="O3779" s="7">
        <f>IF(N3779=0,0,(L3779+H3779)/-N3779)</f>
        <v/>
      </c>
      <c r="P3779" s="7">
        <f>VLOOKUP(OPERAC[[#This Row],[especie]],[1]!ESPECIES[#All],6,0)</f>
        <v/>
      </c>
      <c r="Q3779" s="7">
        <f>IF(N3779&lt;&gt;0,P3779*N3779,0)</f>
        <v/>
      </c>
      <c r="R3779" s="8">
        <f>IF(Q3779&lt;&gt;0,Q3779+H3779+L3779,0)</f>
        <v/>
      </c>
      <c r="S3779" s="9">
        <f>VLOOKUP(OPERAC[[#This Row],[especie]],[1]!ESPECIES[#Data],9,FALSE)</f>
        <v/>
      </c>
    </row>
    <row r="3780">
      <c r="A3780" s="4" t="n">
        <v>19934</v>
      </c>
      <c r="B3780" s="5" t="n">
        <v>44641</v>
      </c>
      <c r="C3780" s="13" t="inlineStr">
        <is>
          <t>VTA</t>
        </is>
      </c>
      <c r="D3780" s="13" t="n">
        <v>42</v>
      </c>
      <c r="E3780" s="10">
        <f>IF(D3780&gt;0,VLOOKUP(OPERAC[[#This Row],[COD CART]],[1]!MatrizCortoLargoCyl[#All],3,0),"")</f>
        <v/>
      </c>
      <c r="F3780" s="13" t="inlineStr">
        <is>
          <t>FB</t>
        </is>
      </c>
      <c r="G3780" s="6" t="n">
        <v>4</v>
      </c>
      <c r="H3780" s="6" t="n">
        <v>-848.6255200000001</v>
      </c>
      <c r="I3780" s="7">
        <f>-H3780/G3780</f>
        <v/>
      </c>
      <c r="J3780" s="11" t="n">
        <v>44671</v>
      </c>
      <c r="K3780" s="6">
        <f>+OPERAC[[#This Row],[cantidad]]</f>
        <v/>
      </c>
      <c r="L3780" s="6">
        <f>+OPERAC[[#This Row],[cantidad venta]]*213.173</f>
        <v/>
      </c>
      <c r="M3780" s="7">
        <f>IF(N3780=0,+L3780+H3780,0)</f>
        <v/>
      </c>
      <c r="N3780" s="7">
        <f>IF((+G3780-K3780)=0,0,+G3780-K3780)</f>
        <v/>
      </c>
      <c r="O3780" s="7">
        <f>IF(N3780=0,0,(L3780+H3780)/-N3780)</f>
        <v/>
      </c>
      <c r="P3780" s="7">
        <f>VLOOKUP(OPERAC[[#This Row],[especie]],[1]!ESPECIES[#All],6,0)</f>
        <v/>
      </c>
      <c r="Q3780" s="7">
        <f>IF(N3780&lt;&gt;0,P3780*N3780,0)</f>
        <v/>
      </c>
      <c r="R3780" s="8">
        <f>IF(Q3780&lt;&gt;0,Q3780+H3780+L3780,0)</f>
        <v/>
      </c>
      <c r="S3780" s="9">
        <f>VLOOKUP(OPERAC[[#This Row],[especie]],[1]!ESPECIES[#Data],9,FALSE)</f>
        <v/>
      </c>
    </row>
    <row r="3781">
      <c r="A3781" s="4" t="n">
        <v>2194</v>
      </c>
      <c r="B3781" s="5" t="n">
        <v>44547</v>
      </c>
      <c r="C3781" s="13" t="inlineStr">
        <is>
          <t>VTA</t>
        </is>
      </c>
      <c r="D3781" s="13" t="n">
        <v>32</v>
      </c>
      <c r="E3781" s="10">
        <f>IF(D3781&gt;0,VLOOKUP(OPERAC[[#This Row],[COD CART]],[1]!MatrizCortoLargoCyl[#All],3,0),"")</f>
        <v/>
      </c>
      <c r="F3781" s="13" t="inlineStr">
        <is>
          <t>ARLO/CYL/9,00/18-02-22</t>
        </is>
      </c>
      <c r="G3781" s="6" t="n">
        <v>100</v>
      </c>
      <c r="H3781" s="6">
        <f>-866.74+14.88</f>
        <v/>
      </c>
      <c r="I3781" s="7">
        <f>-H3781/G3781</f>
        <v/>
      </c>
      <c r="J3781" s="11" t="n">
        <v>44607</v>
      </c>
      <c r="K3781" s="6" t="n">
        <v>100</v>
      </c>
      <c r="L3781" s="6" t="n">
        <v>875.33</v>
      </c>
      <c r="M3781" s="7">
        <f>IF(N3781=0,+L3781+H3781,0)</f>
        <v/>
      </c>
      <c r="N3781" s="7">
        <f>IF((+G3781-K3781)=0,0,+G3781-K3781)</f>
        <v/>
      </c>
      <c r="O3781" s="7">
        <f>IF(N3781=0,0,(L3781+H3781)/-N3781)</f>
        <v/>
      </c>
      <c r="P3781" s="7">
        <f>VLOOKUP(OPERAC[[#This Row],[especie]],[1]!ESPECIES[#All],6,0)</f>
        <v/>
      </c>
      <c r="Q3781" s="7">
        <f>IF(N3781&lt;&gt;0,P3781*N3781,0)</f>
        <v/>
      </c>
      <c r="R3781" s="8">
        <f>IF(Q3781&lt;&gt;0,Q3781+H3781+L3781,0)</f>
        <v/>
      </c>
      <c r="S3781" s="9">
        <f>VLOOKUP(OPERAC[[#This Row],[especie]],[1]!ESPECIES[#Data],9,FALSE)</f>
        <v/>
      </c>
    </row>
    <row r="3782">
      <c r="A3782" s="4" t="n">
        <v>3853</v>
      </c>
      <c r="B3782" s="5" t="n">
        <v>44547</v>
      </c>
      <c r="C3782" s="13" t="inlineStr">
        <is>
          <t>VTA</t>
        </is>
      </c>
      <c r="D3782" s="13" t="n">
        <v>32</v>
      </c>
      <c r="E3782" s="10">
        <f>IF(D3782&gt;0,VLOOKUP(OPERAC[[#This Row],[COD CART]],[1]!MatrizCortoLargoCyl[#All],3,0),"")</f>
        <v/>
      </c>
      <c r="F3782" s="13" t="inlineStr">
        <is>
          <t>ARLO/CYL/9,00/18-02-22</t>
        </is>
      </c>
      <c r="G3782" s="6" t="n">
        <v>100</v>
      </c>
      <c r="H3782" s="6">
        <f>-866.74+14.88</f>
        <v/>
      </c>
      <c r="I3782" s="7">
        <f>-H3782/G3782</f>
        <v/>
      </c>
      <c r="J3782" s="11" t="n">
        <v>44607</v>
      </c>
      <c r="K3782" s="6" t="n">
        <v>100</v>
      </c>
      <c r="L3782" s="6" t="n">
        <v>875.33</v>
      </c>
      <c r="M3782" s="7">
        <f>IF(N3782=0,+L3782+H3782,0)</f>
        <v/>
      </c>
      <c r="N3782" s="7">
        <f>IF((+G3782-K3782)=0,0,+G3782-K3782)</f>
        <v/>
      </c>
      <c r="O3782" s="7">
        <f>IF(N3782=0,0,(L3782+H3782)/-N3782)</f>
        <v/>
      </c>
      <c r="P3782" s="7">
        <f>VLOOKUP(OPERAC[[#This Row],[especie]],[1]!ESPECIES[#All],6,0)</f>
        <v/>
      </c>
      <c r="Q3782" s="7">
        <f>IF(N3782&lt;&gt;0,P3782*N3782,0)</f>
        <v/>
      </c>
      <c r="R3782" s="8">
        <f>IF(Q3782&lt;&gt;0,Q3782+H3782+L3782,0)</f>
        <v/>
      </c>
      <c r="S3782" s="9">
        <f>VLOOKUP(OPERAC[[#This Row],[especie]],[1]!ESPECIES[#Data],9,FALSE)</f>
        <v/>
      </c>
    </row>
    <row r="3783">
      <c r="A3783" s="4" t="n">
        <v>6578</v>
      </c>
      <c r="B3783" s="5" t="n">
        <v>44547</v>
      </c>
      <c r="C3783" s="13" t="inlineStr">
        <is>
          <t>VTA</t>
        </is>
      </c>
      <c r="D3783" s="13" t="n">
        <v>32</v>
      </c>
      <c r="E3783" s="10">
        <f>IF(D3783&gt;0,VLOOKUP(OPERAC[[#This Row],[COD CART]],[1]!MatrizCortoLargoCyl[#All],3,0),"")</f>
        <v/>
      </c>
      <c r="F3783" s="13" t="inlineStr">
        <is>
          <t>ARLO/CYL/9,00/18-02-22</t>
        </is>
      </c>
      <c r="G3783" s="6" t="n">
        <v>100</v>
      </c>
      <c r="H3783" s="6">
        <f>-866.74+14.88</f>
        <v/>
      </c>
      <c r="I3783" s="7">
        <f>-H3783/G3783</f>
        <v/>
      </c>
      <c r="J3783" s="11" t="n">
        <v>44607</v>
      </c>
      <c r="K3783" s="6" t="n">
        <v>100</v>
      </c>
      <c r="L3783" s="6" t="n">
        <v>875.33</v>
      </c>
      <c r="M3783" s="7">
        <f>IF(N3783=0,+L3783+H3783,0)</f>
        <v/>
      </c>
      <c r="N3783" s="7">
        <f>IF((+G3783-K3783)=0,0,+G3783-K3783)</f>
        <v/>
      </c>
      <c r="O3783" s="7">
        <f>IF(N3783=0,0,(L3783+H3783)/-N3783)</f>
        <v/>
      </c>
      <c r="P3783" s="7">
        <f>VLOOKUP(OPERAC[[#This Row],[especie]],[1]!ESPECIES[#All],6,0)</f>
        <v/>
      </c>
      <c r="Q3783" s="7">
        <f>IF(N3783&lt;&gt;0,P3783*N3783,0)</f>
        <v/>
      </c>
      <c r="R3783" s="8">
        <f>IF(Q3783&lt;&gt;0,Q3783+H3783+L3783,0)</f>
        <v/>
      </c>
      <c r="S3783" s="9">
        <f>VLOOKUP(OPERAC[[#This Row],[especie]],[1]!ESPECIES[#Data],9,FALSE)</f>
        <v/>
      </c>
    </row>
    <row r="3784">
      <c r="A3784" s="4" t="n">
        <v>7493</v>
      </c>
      <c r="B3784" s="5" t="n">
        <v>44547</v>
      </c>
      <c r="C3784" s="13" t="inlineStr">
        <is>
          <t>VTA</t>
        </is>
      </c>
      <c r="D3784" s="13" t="n">
        <v>32</v>
      </c>
      <c r="E3784" s="10">
        <f>IF(D3784&gt;0,VLOOKUP(OPERAC[[#This Row],[COD CART]],[1]!MatrizCortoLargoCyl[#All],3,0),"")</f>
        <v/>
      </c>
      <c r="F3784" s="13" t="inlineStr">
        <is>
          <t>ARLO/CYL/9,00/18-02-22</t>
        </is>
      </c>
      <c r="G3784" s="6" t="n">
        <v>100</v>
      </c>
      <c r="H3784" s="6">
        <f>-866.74+14.88</f>
        <v/>
      </c>
      <c r="I3784" s="7">
        <f>-H3784/G3784</f>
        <v/>
      </c>
      <c r="J3784" s="11" t="n">
        <v>44607</v>
      </c>
      <c r="K3784" s="6" t="n">
        <v>100</v>
      </c>
      <c r="L3784" s="6" t="n">
        <v>875.33</v>
      </c>
      <c r="M3784" s="7">
        <f>IF(N3784=0,+L3784+H3784,0)</f>
        <v/>
      </c>
      <c r="N3784" s="7">
        <f>IF((+G3784-K3784)=0,0,+G3784-K3784)</f>
        <v/>
      </c>
      <c r="O3784" s="7">
        <f>IF(N3784=0,0,(L3784+H3784)/-N3784)</f>
        <v/>
      </c>
      <c r="P3784" s="7">
        <f>VLOOKUP(OPERAC[[#This Row],[especie]],[1]!ESPECIES[#All],6,0)</f>
        <v/>
      </c>
      <c r="Q3784" s="7">
        <f>IF(N3784&lt;&gt;0,P3784*N3784,0)</f>
        <v/>
      </c>
      <c r="R3784" s="8">
        <f>IF(Q3784&lt;&gt;0,Q3784+H3784+L3784,0)</f>
        <v/>
      </c>
      <c r="S3784" s="9">
        <f>VLOOKUP(OPERAC[[#This Row],[especie]],[1]!ESPECIES[#Data],9,FALSE)</f>
        <v/>
      </c>
    </row>
    <row r="3785">
      <c r="A3785" s="4" t="n">
        <v>7916</v>
      </c>
      <c r="B3785" s="5" t="n">
        <v>44547</v>
      </c>
      <c r="C3785" s="13" t="inlineStr">
        <is>
          <t>VTA</t>
        </is>
      </c>
      <c r="D3785" s="13" t="n">
        <v>32</v>
      </c>
      <c r="E3785" s="10">
        <f>IF(D3785&gt;0,VLOOKUP(OPERAC[[#This Row],[COD CART]],[1]!MatrizCortoLargoCyl[#All],3,0),"")</f>
        <v/>
      </c>
      <c r="F3785" s="13" t="inlineStr">
        <is>
          <t>ARLO/CYL/9,00/18-02-22</t>
        </is>
      </c>
      <c r="G3785" s="6" t="n">
        <v>100</v>
      </c>
      <c r="H3785" s="6">
        <f>-866.74+14.88</f>
        <v/>
      </c>
      <c r="I3785" s="7">
        <f>-H3785/G3785</f>
        <v/>
      </c>
      <c r="J3785" s="11" t="n">
        <v>44607</v>
      </c>
      <c r="K3785" s="6" t="n">
        <v>100</v>
      </c>
      <c r="L3785" s="6" t="n">
        <v>875.33</v>
      </c>
      <c r="M3785" s="7">
        <f>IF(N3785=0,+L3785+H3785,0)</f>
        <v/>
      </c>
      <c r="N3785" s="7">
        <f>IF((+G3785-K3785)=0,0,+G3785-K3785)</f>
        <v/>
      </c>
      <c r="O3785" s="7">
        <f>IF(N3785=0,0,(L3785+H3785)/-N3785)</f>
        <v/>
      </c>
      <c r="P3785" s="7">
        <f>VLOOKUP(OPERAC[[#This Row],[especie]],[1]!ESPECIES[#All],6,0)</f>
        <v/>
      </c>
      <c r="Q3785" s="7">
        <f>IF(N3785&lt;&gt;0,P3785*N3785,0)</f>
        <v/>
      </c>
      <c r="R3785" s="8">
        <f>IF(Q3785&lt;&gt;0,Q3785+H3785+L3785,0)</f>
        <v/>
      </c>
      <c r="S3785" s="9">
        <f>VLOOKUP(OPERAC[[#This Row],[especie]],[1]!ESPECIES[#Data],9,FALSE)</f>
        <v/>
      </c>
    </row>
    <row r="3786">
      <c r="A3786" s="4" t="n">
        <v>7925</v>
      </c>
      <c r="B3786" s="5" t="n">
        <v>44547</v>
      </c>
      <c r="C3786" s="13" t="inlineStr">
        <is>
          <t>VTA</t>
        </is>
      </c>
      <c r="D3786" s="13" t="n">
        <v>32</v>
      </c>
      <c r="E3786" s="10">
        <f>IF(D3786&gt;0,VLOOKUP(OPERAC[[#This Row],[COD CART]],[1]!MatrizCortoLargoCyl[#All],3,0),"")</f>
        <v/>
      </c>
      <c r="F3786" s="13" t="inlineStr">
        <is>
          <t>ARLO/CYL/9,00/18-02-22</t>
        </is>
      </c>
      <c r="G3786" s="6" t="n">
        <v>100</v>
      </c>
      <c r="H3786" s="6">
        <f>-866.74+14.88</f>
        <v/>
      </c>
      <c r="I3786" s="7">
        <f>-H3786/G3786</f>
        <v/>
      </c>
      <c r="J3786" s="11" t="n">
        <v>44607</v>
      </c>
      <c r="K3786" s="6" t="n">
        <v>100</v>
      </c>
      <c r="L3786" s="6" t="n">
        <v>875.33</v>
      </c>
      <c r="M3786" s="7">
        <f>IF(N3786=0,+L3786+H3786,0)</f>
        <v/>
      </c>
      <c r="N3786" s="7">
        <f>IF((+G3786-K3786)=0,0,+G3786-K3786)</f>
        <v/>
      </c>
      <c r="O3786" s="7">
        <f>IF(N3786=0,0,(L3786+H3786)/-N3786)</f>
        <v/>
      </c>
      <c r="P3786" s="7">
        <f>VLOOKUP(OPERAC[[#This Row],[especie]],[1]!ESPECIES[#All],6,0)</f>
        <v/>
      </c>
      <c r="Q3786" s="7">
        <f>IF(N3786&lt;&gt;0,P3786*N3786,0)</f>
        <v/>
      </c>
      <c r="R3786" s="8">
        <f>IF(Q3786&lt;&gt;0,Q3786+H3786+L3786,0)</f>
        <v/>
      </c>
      <c r="S3786" s="9">
        <f>VLOOKUP(OPERAC[[#This Row],[especie]],[1]!ESPECIES[#Data],9,FALSE)</f>
        <v/>
      </c>
    </row>
    <row r="3787">
      <c r="A3787" s="4" t="n">
        <v>8066</v>
      </c>
      <c r="B3787" s="5" t="n">
        <v>44547</v>
      </c>
      <c r="C3787" s="13" t="inlineStr">
        <is>
          <t>VTA</t>
        </is>
      </c>
      <c r="D3787" s="13" t="n">
        <v>32</v>
      </c>
      <c r="E3787" s="10">
        <f>IF(D3787&gt;0,VLOOKUP(OPERAC[[#This Row],[COD CART]],[1]!MatrizCortoLargoCyl[#All],3,0),"")</f>
        <v/>
      </c>
      <c r="F3787" s="13" t="inlineStr">
        <is>
          <t>ARLO/CYL/9,00/18-02-22</t>
        </is>
      </c>
      <c r="G3787" s="6" t="n">
        <v>100</v>
      </c>
      <c r="H3787" s="6">
        <f>-866.74+14.88</f>
        <v/>
      </c>
      <c r="I3787" s="7">
        <f>-H3787/G3787</f>
        <v/>
      </c>
      <c r="J3787" s="11" t="n">
        <v>44607</v>
      </c>
      <c r="K3787" s="6" t="n">
        <v>100</v>
      </c>
      <c r="L3787" s="6" t="n">
        <v>875.33</v>
      </c>
      <c r="M3787" s="7">
        <f>IF(N3787=0,+L3787+H3787,0)</f>
        <v/>
      </c>
      <c r="N3787" s="7">
        <f>IF((+G3787-K3787)=0,0,+G3787-K3787)</f>
        <v/>
      </c>
      <c r="O3787" s="7">
        <f>IF(N3787=0,0,(L3787+H3787)/-N3787)</f>
        <v/>
      </c>
      <c r="P3787" s="7">
        <f>VLOOKUP(OPERAC[[#This Row],[especie]],[1]!ESPECIES[#All],6,0)</f>
        <v/>
      </c>
      <c r="Q3787" s="7">
        <f>IF(N3787&lt;&gt;0,P3787*N3787,0)</f>
        <v/>
      </c>
      <c r="R3787" s="8">
        <f>IF(Q3787&lt;&gt;0,Q3787+H3787+L3787,0)</f>
        <v/>
      </c>
      <c r="S3787" s="9">
        <f>VLOOKUP(OPERAC[[#This Row],[especie]],[1]!ESPECIES[#Data],9,FALSE)</f>
        <v/>
      </c>
    </row>
    <row r="3788">
      <c r="A3788" s="4" t="n">
        <v>12652</v>
      </c>
      <c r="B3788" s="5" t="n">
        <v>44547</v>
      </c>
      <c r="C3788" s="13" t="inlineStr">
        <is>
          <t>VTA</t>
        </is>
      </c>
      <c r="D3788" s="13" t="n">
        <v>32</v>
      </c>
      <c r="E3788" s="10">
        <f>IF(D3788&gt;0,VLOOKUP(OPERAC[[#This Row],[COD CART]],[1]!MatrizCortoLargoCyl[#All],3,0),"")</f>
        <v/>
      </c>
      <c r="F3788" s="13" t="inlineStr">
        <is>
          <t>ARLO/CYL/9,00/18-02-22</t>
        </is>
      </c>
      <c r="G3788" s="6" t="n">
        <v>100</v>
      </c>
      <c r="H3788" s="6">
        <f>-866.74+14.88</f>
        <v/>
      </c>
      <c r="I3788" s="7">
        <f>-H3788/G3788</f>
        <v/>
      </c>
      <c r="J3788" s="11" t="n">
        <v>44607</v>
      </c>
      <c r="K3788" s="6" t="n">
        <v>100</v>
      </c>
      <c r="L3788" s="6" t="n">
        <v>875.33</v>
      </c>
      <c r="M3788" s="7">
        <f>IF(N3788=0,+L3788+H3788,0)</f>
        <v/>
      </c>
      <c r="N3788" s="7">
        <f>IF((+G3788-K3788)=0,0,+G3788-K3788)</f>
        <v/>
      </c>
      <c r="O3788" s="7">
        <f>IF(N3788=0,0,(L3788+H3788)/-N3788)</f>
        <v/>
      </c>
      <c r="P3788" s="7">
        <f>VLOOKUP(OPERAC[[#This Row],[especie]],[1]!ESPECIES[#All],6,0)</f>
        <v/>
      </c>
      <c r="Q3788" s="7">
        <f>IF(N3788&lt;&gt;0,P3788*N3788,0)</f>
        <v/>
      </c>
      <c r="R3788" s="8">
        <f>IF(Q3788&lt;&gt;0,Q3788+H3788+L3788,0)</f>
        <v/>
      </c>
      <c r="S3788" s="9">
        <f>VLOOKUP(OPERAC[[#This Row],[especie]],[1]!ESPECIES[#Data],9,FALSE)</f>
        <v/>
      </c>
    </row>
    <row r="3789">
      <c r="A3789" s="4" t="n">
        <v>12655</v>
      </c>
      <c r="B3789" s="5" t="n">
        <v>44547</v>
      </c>
      <c r="C3789" s="13" t="inlineStr">
        <is>
          <t>VTA</t>
        </is>
      </c>
      <c r="D3789" s="13" t="n">
        <v>32</v>
      </c>
      <c r="E3789" s="10">
        <f>IF(D3789&gt;0,VLOOKUP(OPERAC[[#This Row],[COD CART]],[1]!MatrizCortoLargoCyl[#All],3,0),"")</f>
        <v/>
      </c>
      <c r="F3789" s="13" t="inlineStr">
        <is>
          <t>ARLO/CYL/9,00/18-02-22</t>
        </is>
      </c>
      <c r="G3789" s="6" t="n">
        <v>100</v>
      </c>
      <c r="H3789" s="6">
        <f>-866.74+14.88</f>
        <v/>
      </c>
      <c r="I3789" s="7">
        <f>-H3789/G3789</f>
        <v/>
      </c>
      <c r="J3789" s="11" t="n">
        <v>44607</v>
      </c>
      <c r="K3789" s="6" t="n">
        <v>100</v>
      </c>
      <c r="L3789" s="6" t="n">
        <v>875.33</v>
      </c>
      <c r="M3789" s="7">
        <f>IF(N3789=0,+L3789+H3789,0)</f>
        <v/>
      </c>
      <c r="N3789" s="7">
        <f>IF((+G3789-K3789)=0,0,+G3789-K3789)</f>
        <v/>
      </c>
      <c r="O3789" s="7">
        <f>IF(N3789=0,0,(L3789+H3789)/-N3789)</f>
        <v/>
      </c>
      <c r="P3789" s="7">
        <f>VLOOKUP(OPERAC[[#This Row],[especie]],[1]!ESPECIES[#All],6,0)</f>
        <v/>
      </c>
      <c r="Q3789" s="7">
        <f>IF(N3789&lt;&gt;0,P3789*N3789,0)</f>
        <v/>
      </c>
      <c r="R3789" s="8">
        <f>IF(Q3789&lt;&gt;0,Q3789+H3789+L3789,0)</f>
        <v/>
      </c>
      <c r="S3789" s="9">
        <f>VLOOKUP(OPERAC[[#This Row],[especie]],[1]!ESPECIES[#Data],9,FALSE)</f>
        <v/>
      </c>
    </row>
    <row r="3790">
      <c r="A3790" s="4" t="n">
        <v>12662</v>
      </c>
      <c r="B3790" s="5" t="n">
        <v>44547</v>
      </c>
      <c r="C3790" s="13" t="inlineStr">
        <is>
          <t>VTA</t>
        </is>
      </c>
      <c r="D3790" s="13" t="n">
        <v>32</v>
      </c>
      <c r="E3790" s="10">
        <f>IF(D3790&gt;0,VLOOKUP(OPERAC[[#This Row],[COD CART]],[1]!MatrizCortoLargoCyl[#All],3,0),"")</f>
        <v/>
      </c>
      <c r="F3790" s="13" t="inlineStr">
        <is>
          <t>ARLO/CYL/9,00/18-02-22</t>
        </is>
      </c>
      <c r="G3790" s="6" t="n">
        <v>100</v>
      </c>
      <c r="H3790" s="6">
        <f>-866.74+14.88</f>
        <v/>
      </c>
      <c r="I3790" s="7">
        <f>-H3790/G3790</f>
        <v/>
      </c>
      <c r="J3790" s="11" t="n">
        <v>44607</v>
      </c>
      <c r="K3790" s="6" t="n">
        <v>100</v>
      </c>
      <c r="L3790" s="6" t="n">
        <v>875.33</v>
      </c>
      <c r="M3790" s="7">
        <f>IF(N3790=0,+L3790+H3790,0)</f>
        <v/>
      </c>
      <c r="N3790" s="7">
        <f>IF((+G3790-K3790)=0,0,+G3790-K3790)</f>
        <v/>
      </c>
      <c r="O3790" s="7">
        <f>IF(N3790=0,0,(L3790+H3790)/-N3790)</f>
        <v/>
      </c>
      <c r="P3790" s="7">
        <f>VLOOKUP(OPERAC[[#This Row],[especie]],[1]!ESPECIES[#All],6,0)</f>
        <v/>
      </c>
      <c r="Q3790" s="7">
        <f>IF(N3790&lt;&gt;0,P3790*N3790,0)</f>
        <v/>
      </c>
      <c r="R3790" s="8">
        <f>IF(Q3790&lt;&gt;0,Q3790+H3790+L3790,0)</f>
        <v/>
      </c>
      <c r="S3790" s="9">
        <f>VLOOKUP(OPERAC[[#This Row],[especie]],[1]!ESPECIES[#Data],9,FALSE)</f>
        <v/>
      </c>
    </row>
    <row r="3791">
      <c r="A3791" s="4" t="n">
        <v>12674</v>
      </c>
      <c r="B3791" s="5" t="n">
        <v>44547</v>
      </c>
      <c r="C3791" s="13" t="inlineStr">
        <is>
          <t>VTA</t>
        </is>
      </c>
      <c r="D3791" s="13" t="n">
        <v>32</v>
      </c>
      <c r="E3791" s="10">
        <f>IF(D3791&gt;0,VLOOKUP(OPERAC[[#This Row],[COD CART]],[1]!MatrizCortoLargoCyl[#All],3,0),"")</f>
        <v/>
      </c>
      <c r="F3791" s="13" t="inlineStr">
        <is>
          <t>ARLO/CYL/9,00/18-02-22</t>
        </is>
      </c>
      <c r="G3791" s="6" t="n">
        <v>100</v>
      </c>
      <c r="H3791" s="6">
        <f>-866.74+14.88</f>
        <v/>
      </c>
      <c r="I3791" s="7">
        <f>-H3791/G3791</f>
        <v/>
      </c>
      <c r="J3791" s="11" t="n">
        <v>44607</v>
      </c>
      <c r="K3791" s="6" t="n">
        <v>100</v>
      </c>
      <c r="L3791" s="6" t="n">
        <v>875.33</v>
      </c>
      <c r="M3791" s="7">
        <f>IF(N3791=0,+L3791+H3791,0)</f>
        <v/>
      </c>
      <c r="N3791" s="7">
        <f>IF((+G3791-K3791)=0,0,+G3791-K3791)</f>
        <v/>
      </c>
      <c r="O3791" s="7">
        <f>IF(N3791=0,0,(L3791+H3791)/-N3791)</f>
        <v/>
      </c>
      <c r="P3791" s="7">
        <f>VLOOKUP(OPERAC[[#This Row],[especie]],[1]!ESPECIES[#All],6,0)</f>
        <v/>
      </c>
      <c r="Q3791" s="7">
        <f>IF(N3791&lt;&gt;0,P3791*N3791,0)</f>
        <v/>
      </c>
      <c r="R3791" s="8">
        <f>IF(Q3791&lt;&gt;0,Q3791+H3791+L3791,0)</f>
        <v/>
      </c>
      <c r="S3791" s="9">
        <f>VLOOKUP(OPERAC[[#This Row],[especie]],[1]!ESPECIES[#Data],9,FALSE)</f>
        <v/>
      </c>
    </row>
    <row r="3792">
      <c r="A3792" s="4" t="n">
        <v>12690</v>
      </c>
      <c r="B3792" s="5" t="n">
        <v>44547</v>
      </c>
      <c r="C3792" s="13" t="inlineStr">
        <is>
          <t>VTA</t>
        </is>
      </c>
      <c r="D3792" s="13" t="n">
        <v>32</v>
      </c>
      <c r="E3792" s="10">
        <f>IF(D3792&gt;0,VLOOKUP(OPERAC[[#This Row],[COD CART]],[1]!MatrizCortoLargoCyl[#All],3,0),"")</f>
        <v/>
      </c>
      <c r="F3792" s="13" t="inlineStr">
        <is>
          <t>ARLO/CYL/9,00/18-02-22</t>
        </is>
      </c>
      <c r="G3792" s="6" t="n">
        <v>100</v>
      </c>
      <c r="H3792" s="6">
        <f>-866.74+14.88</f>
        <v/>
      </c>
      <c r="I3792" s="7">
        <f>-H3792/G3792</f>
        <v/>
      </c>
      <c r="J3792" s="11" t="n">
        <v>44607</v>
      </c>
      <c r="K3792" s="6" t="n">
        <v>100</v>
      </c>
      <c r="L3792" s="6" t="n">
        <v>875.33</v>
      </c>
      <c r="M3792" s="7">
        <f>IF(N3792=0,+L3792+H3792,0)</f>
        <v/>
      </c>
      <c r="N3792" s="7">
        <f>IF((+G3792-K3792)=0,0,+G3792-K3792)</f>
        <v/>
      </c>
      <c r="O3792" s="7">
        <f>IF(N3792=0,0,(L3792+H3792)/-N3792)</f>
        <v/>
      </c>
      <c r="P3792" s="7">
        <f>VLOOKUP(OPERAC[[#This Row],[especie]],[1]!ESPECIES[#All],6,0)</f>
        <v/>
      </c>
      <c r="Q3792" s="7">
        <f>IF(N3792&lt;&gt;0,P3792*N3792,0)</f>
        <v/>
      </c>
      <c r="R3792" s="8">
        <f>IF(Q3792&lt;&gt;0,Q3792+H3792+L3792,0)</f>
        <v/>
      </c>
      <c r="S3792" s="9">
        <f>VLOOKUP(OPERAC[[#This Row],[especie]],[1]!ESPECIES[#Data],9,FALSE)</f>
        <v/>
      </c>
    </row>
    <row r="3793">
      <c r="A3793" s="4" t="n">
        <v>13180</v>
      </c>
      <c r="B3793" s="5" t="n">
        <v>44547</v>
      </c>
      <c r="C3793" s="13" t="inlineStr">
        <is>
          <t>VTA</t>
        </is>
      </c>
      <c r="D3793" s="13" t="n">
        <v>32</v>
      </c>
      <c r="E3793" s="10">
        <f>IF(D3793&gt;0,VLOOKUP(OPERAC[[#This Row],[COD CART]],[1]!MatrizCortoLargoCyl[#All],3,0),"")</f>
        <v/>
      </c>
      <c r="F3793" s="13" t="inlineStr">
        <is>
          <t>ARLO/CYL/9,00/18-02-22</t>
        </is>
      </c>
      <c r="G3793" s="6" t="n">
        <v>100</v>
      </c>
      <c r="H3793" s="6">
        <f>-866.74+14.88</f>
        <v/>
      </c>
      <c r="I3793" s="7">
        <f>-H3793/G3793</f>
        <v/>
      </c>
      <c r="J3793" s="11" t="n">
        <v>44607</v>
      </c>
      <c r="K3793" s="6" t="n">
        <v>100</v>
      </c>
      <c r="L3793" s="6" t="n">
        <v>875.33</v>
      </c>
      <c r="M3793" s="7">
        <f>IF(N3793=0,+L3793+H3793,0)</f>
        <v/>
      </c>
      <c r="N3793" s="7">
        <f>IF((+G3793-K3793)=0,0,+G3793-K3793)</f>
        <v/>
      </c>
      <c r="O3793" s="7">
        <f>IF(N3793=0,0,(L3793+H3793)/-N3793)</f>
        <v/>
      </c>
      <c r="P3793" s="7">
        <f>VLOOKUP(OPERAC[[#This Row],[especie]],[1]!ESPECIES[#All],6,0)</f>
        <v/>
      </c>
      <c r="Q3793" s="7">
        <f>IF(N3793&lt;&gt;0,P3793*N3793,0)</f>
        <v/>
      </c>
      <c r="R3793" s="8">
        <f>IF(Q3793&lt;&gt;0,Q3793+H3793+L3793,0)</f>
        <v/>
      </c>
      <c r="S3793" s="9">
        <f>VLOOKUP(OPERAC[[#This Row],[especie]],[1]!ESPECIES[#Data],9,FALSE)</f>
        <v/>
      </c>
    </row>
    <row r="3794">
      <c r="A3794" s="4" t="n">
        <v>13230</v>
      </c>
      <c r="B3794" s="5" t="n">
        <v>44547</v>
      </c>
      <c r="C3794" s="13" t="inlineStr">
        <is>
          <t>VTA</t>
        </is>
      </c>
      <c r="D3794" s="13" t="n">
        <v>32</v>
      </c>
      <c r="E3794" s="10">
        <f>IF(D3794&gt;0,VLOOKUP(OPERAC[[#This Row],[COD CART]],[1]!MatrizCortoLargoCyl[#All],3,0),"")</f>
        <v/>
      </c>
      <c r="F3794" s="13" t="inlineStr">
        <is>
          <t>ARLO/CYL/9,00/18-02-22</t>
        </is>
      </c>
      <c r="G3794" s="6" t="n">
        <v>100</v>
      </c>
      <c r="H3794" s="6">
        <f>-866.74+14.88</f>
        <v/>
      </c>
      <c r="I3794" s="7">
        <f>-H3794/G3794</f>
        <v/>
      </c>
      <c r="J3794" s="11" t="n">
        <v>44607</v>
      </c>
      <c r="K3794" s="6" t="n">
        <v>100</v>
      </c>
      <c r="L3794" s="6" t="n">
        <v>875.33</v>
      </c>
      <c r="M3794" s="7">
        <f>IF(N3794=0,+L3794+H3794,0)</f>
        <v/>
      </c>
      <c r="N3794" s="7">
        <f>IF((+G3794-K3794)=0,0,+G3794-K3794)</f>
        <v/>
      </c>
      <c r="O3794" s="7">
        <f>IF(N3794=0,0,(L3794+H3794)/-N3794)</f>
        <v/>
      </c>
      <c r="P3794" s="7">
        <f>VLOOKUP(OPERAC[[#This Row],[especie]],[1]!ESPECIES[#All],6,0)</f>
        <v/>
      </c>
      <c r="Q3794" s="7">
        <f>IF(N3794&lt;&gt;0,P3794*N3794,0)</f>
        <v/>
      </c>
      <c r="R3794" s="8">
        <f>IF(Q3794&lt;&gt;0,Q3794+H3794+L3794,0)</f>
        <v/>
      </c>
      <c r="S3794" s="9">
        <f>VLOOKUP(OPERAC[[#This Row],[especie]],[1]!ESPECIES[#Data],9,FALSE)</f>
        <v/>
      </c>
    </row>
    <row r="3795">
      <c r="A3795" s="4" t="n">
        <v>15194</v>
      </c>
      <c r="B3795" s="5" t="n">
        <v>44547</v>
      </c>
      <c r="C3795" s="13" t="inlineStr">
        <is>
          <t>VTA</t>
        </is>
      </c>
      <c r="D3795" s="13" t="n">
        <v>32</v>
      </c>
      <c r="E3795" s="10">
        <f>IF(D3795&gt;0,VLOOKUP(OPERAC[[#This Row],[COD CART]],[1]!MatrizCortoLargoCyl[#All],3,0),"")</f>
        <v/>
      </c>
      <c r="F3795" s="13" t="inlineStr">
        <is>
          <t>ARLO/CYL/9,00/18-02-22</t>
        </is>
      </c>
      <c r="G3795" s="6" t="n">
        <v>100</v>
      </c>
      <c r="H3795" s="6">
        <f>-866.74+14.88</f>
        <v/>
      </c>
      <c r="I3795" s="7">
        <f>-H3795/G3795</f>
        <v/>
      </c>
      <c r="J3795" s="11" t="n">
        <v>44607</v>
      </c>
      <c r="K3795" s="6" t="n">
        <v>100</v>
      </c>
      <c r="L3795" s="6" t="n">
        <v>875.33</v>
      </c>
      <c r="M3795" s="7">
        <f>IF(N3795=0,+L3795+H3795,0)</f>
        <v/>
      </c>
      <c r="N3795" s="7">
        <f>IF((+G3795-K3795)=0,0,+G3795-K3795)</f>
        <v/>
      </c>
      <c r="O3795" s="7">
        <f>IF(N3795=0,0,(L3795+H3795)/-N3795)</f>
        <v/>
      </c>
      <c r="P3795" s="7">
        <f>VLOOKUP(OPERAC[[#This Row],[especie]],[1]!ESPECIES[#All],6,0)</f>
        <v/>
      </c>
      <c r="Q3795" s="7">
        <f>IF(N3795&lt;&gt;0,P3795*N3795,0)</f>
        <v/>
      </c>
      <c r="R3795" s="8">
        <f>IF(Q3795&lt;&gt;0,Q3795+H3795+L3795,0)</f>
        <v/>
      </c>
      <c r="S3795" s="9">
        <f>VLOOKUP(OPERAC[[#This Row],[especie]],[1]!ESPECIES[#Data],9,FALSE)</f>
        <v/>
      </c>
    </row>
    <row r="3796">
      <c r="A3796" s="4" t="n">
        <v>16786</v>
      </c>
      <c r="B3796" s="5" t="n">
        <v>44547</v>
      </c>
      <c r="C3796" s="13" t="inlineStr">
        <is>
          <t>VTA</t>
        </is>
      </c>
      <c r="D3796" s="13" t="n">
        <v>32</v>
      </c>
      <c r="E3796" s="10">
        <f>IF(D3796&gt;0,VLOOKUP(OPERAC[[#This Row],[COD CART]],[1]!MatrizCortoLargoCyl[#All],3,0),"")</f>
        <v/>
      </c>
      <c r="F3796" s="13" t="inlineStr">
        <is>
          <t>ARLO/CYL/9,00/18-02-22</t>
        </is>
      </c>
      <c r="G3796" s="6" t="n">
        <v>100</v>
      </c>
      <c r="H3796" s="6">
        <f>-866.74+14.88</f>
        <v/>
      </c>
      <c r="I3796" s="7">
        <f>-H3796/G3796</f>
        <v/>
      </c>
      <c r="J3796" s="11" t="n">
        <v>44607</v>
      </c>
      <c r="K3796" s="6" t="n">
        <v>100</v>
      </c>
      <c r="L3796" s="6" t="n">
        <v>875.33</v>
      </c>
      <c r="M3796" s="7">
        <f>IF(N3796=0,+L3796+H3796,0)</f>
        <v/>
      </c>
      <c r="N3796" s="7">
        <f>IF((+G3796-K3796)=0,0,+G3796-K3796)</f>
        <v/>
      </c>
      <c r="O3796" s="7">
        <f>IF(N3796=0,0,(L3796+H3796)/-N3796)</f>
        <v/>
      </c>
      <c r="P3796" s="7">
        <f>VLOOKUP(OPERAC[[#This Row],[especie]],[1]!ESPECIES[#All],6,0)</f>
        <v/>
      </c>
      <c r="Q3796" s="7">
        <f>IF(N3796&lt;&gt;0,P3796*N3796,0)</f>
        <v/>
      </c>
      <c r="R3796" s="8">
        <f>IF(Q3796&lt;&gt;0,Q3796+H3796+L3796,0)</f>
        <v/>
      </c>
      <c r="S3796" s="9">
        <f>VLOOKUP(OPERAC[[#This Row],[especie]],[1]!ESPECIES[#Data],9,FALSE)</f>
        <v/>
      </c>
    </row>
    <row r="3797">
      <c r="A3797" s="4" t="n">
        <v>18662</v>
      </c>
      <c r="B3797" s="5" t="n">
        <v>44547</v>
      </c>
      <c r="C3797" s="13" t="inlineStr">
        <is>
          <t>VTA</t>
        </is>
      </c>
      <c r="D3797" s="13" t="n">
        <v>32</v>
      </c>
      <c r="E3797" s="10">
        <f>IF(D3797&gt;0,VLOOKUP(OPERAC[[#This Row],[COD CART]],[1]!MatrizCortoLargoCyl[#All],3,0),"")</f>
        <v/>
      </c>
      <c r="F3797" s="13" t="inlineStr">
        <is>
          <t>ARLO/CYL/9,00/18-02-22</t>
        </is>
      </c>
      <c r="G3797" s="6" t="n">
        <v>100</v>
      </c>
      <c r="H3797" s="6">
        <f>-866.74+14.88</f>
        <v/>
      </c>
      <c r="I3797" s="7">
        <f>-H3797/G3797</f>
        <v/>
      </c>
      <c r="J3797" s="11" t="n">
        <v>44607</v>
      </c>
      <c r="K3797" s="6" t="n">
        <v>100</v>
      </c>
      <c r="L3797" s="6" t="n">
        <v>875.33</v>
      </c>
      <c r="M3797" s="7">
        <f>IF(N3797=0,+L3797+H3797,0)</f>
        <v/>
      </c>
      <c r="N3797" s="7">
        <f>IF((+G3797-K3797)=0,0,+G3797-K3797)</f>
        <v/>
      </c>
      <c r="O3797" s="7">
        <f>IF(N3797=0,0,(L3797+H3797)/-N3797)</f>
        <v/>
      </c>
      <c r="P3797" s="7">
        <f>VLOOKUP(OPERAC[[#This Row],[especie]],[1]!ESPECIES[#All],6,0)</f>
        <v/>
      </c>
      <c r="Q3797" s="7">
        <f>IF(N3797&lt;&gt;0,P3797*N3797,0)</f>
        <v/>
      </c>
      <c r="R3797" s="8">
        <f>IF(Q3797&lt;&gt;0,Q3797+H3797+L3797,0)</f>
        <v/>
      </c>
      <c r="S3797" s="9">
        <f>VLOOKUP(OPERAC[[#This Row],[especie]],[1]!ESPECIES[#Data],9,FALSE)</f>
        <v/>
      </c>
    </row>
    <row r="3798">
      <c r="A3798" s="4" t="n">
        <v>18677</v>
      </c>
      <c r="B3798" s="5" t="n">
        <v>44547</v>
      </c>
      <c r="C3798" s="13" t="inlineStr">
        <is>
          <t>VTA</t>
        </is>
      </c>
      <c r="D3798" s="13" t="n">
        <v>32</v>
      </c>
      <c r="E3798" s="10">
        <f>IF(D3798&gt;0,VLOOKUP(OPERAC[[#This Row],[COD CART]],[1]!MatrizCortoLargoCyl[#All],3,0),"")</f>
        <v/>
      </c>
      <c r="F3798" s="13" t="inlineStr">
        <is>
          <t>ARLO/CYL/9,00/18-02-22</t>
        </is>
      </c>
      <c r="G3798" s="6" t="n">
        <v>100</v>
      </c>
      <c r="H3798" s="6">
        <f>-866.74+14.88</f>
        <v/>
      </c>
      <c r="I3798" s="7">
        <f>-H3798/G3798</f>
        <v/>
      </c>
      <c r="J3798" s="11" t="n">
        <v>44607</v>
      </c>
      <c r="K3798" s="6" t="n">
        <v>100</v>
      </c>
      <c r="L3798" s="6" t="n">
        <v>875.33</v>
      </c>
      <c r="M3798" s="7">
        <f>IF(N3798=0,+L3798+H3798,0)</f>
        <v/>
      </c>
      <c r="N3798" s="7">
        <f>IF((+G3798-K3798)=0,0,+G3798-K3798)</f>
        <v/>
      </c>
      <c r="O3798" s="7">
        <f>IF(N3798=0,0,(L3798+H3798)/-N3798)</f>
        <v/>
      </c>
      <c r="P3798" s="7">
        <f>VLOOKUP(OPERAC[[#This Row],[especie]],[1]!ESPECIES[#All],6,0)</f>
        <v/>
      </c>
      <c r="Q3798" s="7">
        <f>IF(N3798&lt;&gt;0,P3798*N3798,0)</f>
        <v/>
      </c>
      <c r="R3798" s="8">
        <f>IF(Q3798&lt;&gt;0,Q3798+H3798+L3798,0)</f>
        <v/>
      </c>
      <c r="S3798" s="9">
        <f>VLOOKUP(OPERAC[[#This Row],[especie]],[1]!ESPECIES[#Data],9,FALSE)</f>
        <v/>
      </c>
    </row>
    <row r="3799">
      <c r="A3799" s="4" t="n">
        <v>19867</v>
      </c>
      <c r="B3799" s="5" t="n">
        <v>44547</v>
      </c>
      <c r="C3799" s="13" t="inlineStr">
        <is>
          <t>VTA</t>
        </is>
      </c>
      <c r="D3799" s="13" t="n">
        <v>32</v>
      </c>
      <c r="E3799" s="10">
        <f>IF(D3799&gt;0,VLOOKUP(OPERAC[[#This Row],[COD CART]],[1]!MatrizCortoLargoCyl[#All],3,0),"")</f>
        <v/>
      </c>
      <c r="F3799" s="13" t="inlineStr">
        <is>
          <t>ARLO/CYL/9,00/18-02-22</t>
        </is>
      </c>
      <c r="G3799" s="6" t="n">
        <v>100</v>
      </c>
      <c r="H3799" s="6">
        <f>-866.74+14.88</f>
        <v/>
      </c>
      <c r="I3799" s="7">
        <f>-H3799/G3799</f>
        <v/>
      </c>
      <c r="J3799" s="11" t="n">
        <v>44607</v>
      </c>
      <c r="K3799" s="6" t="n">
        <v>100</v>
      </c>
      <c r="L3799" s="6" t="n">
        <v>875.33</v>
      </c>
      <c r="M3799" s="7">
        <f>IF(N3799=0,+L3799+H3799,0)</f>
        <v/>
      </c>
      <c r="N3799" s="7">
        <f>IF((+G3799-K3799)=0,0,+G3799-K3799)</f>
        <v/>
      </c>
      <c r="O3799" s="7">
        <f>IF(N3799=0,0,(L3799+H3799)/-N3799)</f>
        <v/>
      </c>
      <c r="P3799" s="7">
        <f>VLOOKUP(OPERAC[[#This Row],[especie]],[1]!ESPECIES[#All],6,0)</f>
        <v/>
      </c>
      <c r="Q3799" s="7">
        <f>IF(N3799&lt;&gt;0,P3799*N3799,0)</f>
        <v/>
      </c>
      <c r="R3799" s="8">
        <f>IF(Q3799&lt;&gt;0,Q3799+H3799+L3799,0)</f>
        <v/>
      </c>
      <c r="S3799" s="9">
        <f>VLOOKUP(OPERAC[[#This Row],[especie]],[1]!ESPECIES[#Data],9,FALSE)</f>
        <v/>
      </c>
    </row>
    <row r="3800">
      <c r="A3800" s="4" t="n">
        <v>19888</v>
      </c>
      <c r="B3800" s="5" t="n">
        <v>44547</v>
      </c>
      <c r="C3800" s="13" t="inlineStr">
        <is>
          <t>VTA</t>
        </is>
      </c>
      <c r="D3800" s="13" t="n">
        <v>32</v>
      </c>
      <c r="E3800" s="10">
        <f>IF(D3800&gt;0,VLOOKUP(OPERAC[[#This Row],[COD CART]],[1]!MatrizCortoLargoCyl[#All],3,0),"")</f>
        <v/>
      </c>
      <c r="F3800" s="13" t="inlineStr">
        <is>
          <t>ARLO/CYL/9,00/18-02-22</t>
        </is>
      </c>
      <c r="G3800" s="6" t="n">
        <v>100</v>
      </c>
      <c r="H3800" s="6">
        <f>-866.74+14.88</f>
        <v/>
      </c>
      <c r="I3800" s="7">
        <f>-H3800/G3800</f>
        <v/>
      </c>
      <c r="J3800" s="11" t="n">
        <v>44607</v>
      </c>
      <c r="K3800" s="6" t="n">
        <v>100</v>
      </c>
      <c r="L3800" s="6" t="n">
        <v>875.33</v>
      </c>
      <c r="M3800" s="7">
        <f>IF(N3800=0,+L3800+H3800,0)</f>
        <v/>
      </c>
      <c r="N3800" s="7">
        <f>IF((+G3800-K3800)=0,0,+G3800-K3800)</f>
        <v/>
      </c>
      <c r="O3800" s="7">
        <f>IF(N3800=0,0,(L3800+H3800)/-N3800)</f>
        <v/>
      </c>
      <c r="P3800" s="7">
        <f>VLOOKUP(OPERAC[[#This Row],[especie]],[1]!ESPECIES[#All],6,0)</f>
        <v/>
      </c>
      <c r="Q3800" s="7">
        <f>IF(N3800&lt;&gt;0,P3800*N3800,0)</f>
        <v/>
      </c>
      <c r="R3800" s="8">
        <f>IF(Q3800&lt;&gt;0,Q3800+H3800+L3800,0)</f>
        <v/>
      </c>
      <c r="S3800" s="9">
        <f>VLOOKUP(OPERAC[[#This Row],[especie]],[1]!ESPECIES[#Data],9,FALSE)</f>
        <v/>
      </c>
    </row>
    <row r="3801">
      <c r="A3801" s="4" t="n">
        <v>19920</v>
      </c>
      <c r="B3801" s="5" t="n">
        <v>44547</v>
      </c>
      <c r="C3801" s="13" t="inlineStr">
        <is>
          <t>VTA</t>
        </is>
      </c>
      <c r="D3801" s="13" t="n">
        <v>32</v>
      </c>
      <c r="E3801" s="10">
        <f>IF(D3801&gt;0,VLOOKUP(OPERAC[[#This Row],[COD CART]],[1]!MatrizCortoLargoCyl[#All],3,0),"")</f>
        <v/>
      </c>
      <c r="F3801" s="13" t="inlineStr">
        <is>
          <t>ARLO/CYL/9,00/18-02-22</t>
        </is>
      </c>
      <c r="G3801" s="6" t="n">
        <v>100</v>
      </c>
      <c r="H3801" s="6">
        <f>-866.74+14.88</f>
        <v/>
      </c>
      <c r="I3801" s="7">
        <f>-H3801/G3801</f>
        <v/>
      </c>
      <c r="J3801" s="11" t="n">
        <v>44607</v>
      </c>
      <c r="K3801" s="6" t="n">
        <v>100</v>
      </c>
      <c r="L3801" s="6" t="n">
        <v>875.33</v>
      </c>
      <c r="M3801" s="7">
        <f>IF(N3801=0,+L3801+H3801,0)</f>
        <v/>
      </c>
      <c r="N3801" s="7">
        <f>IF((+G3801-K3801)=0,0,+G3801-K3801)</f>
        <v/>
      </c>
      <c r="O3801" s="7">
        <f>IF(N3801=0,0,(L3801+H3801)/-N3801)</f>
        <v/>
      </c>
      <c r="P3801" s="7">
        <f>VLOOKUP(OPERAC[[#This Row],[especie]],[1]!ESPECIES[#All],6,0)</f>
        <v/>
      </c>
      <c r="Q3801" s="7">
        <f>IF(N3801&lt;&gt;0,P3801*N3801,0)</f>
        <v/>
      </c>
      <c r="R3801" s="8">
        <f>IF(Q3801&lt;&gt;0,Q3801+H3801+L3801,0)</f>
        <v/>
      </c>
      <c r="S3801" s="9">
        <f>VLOOKUP(OPERAC[[#This Row],[especie]],[1]!ESPECIES[#Data],9,FALSE)</f>
        <v/>
      </c>
    </row>
    <row r="3802">
      <c r="A3802" s="4" t="n">
        <v>20317</v>
      </c>
      <c r="B3802" s="5" t="n">
        <v>44547</v>
      </c>
      <c r="C3802" s="13" t="inlineStr">
        <is>
          <t>VTA</t>
        </is>
      </c>
      <c r="D3802" s="13" t="n">
        <v>32</v>
      </c>
      <c r="E3802" s="10">
        <f>IF(D3802&gt;0,VLOOKUP(OPERAC[[#This Row],[COD CART]],[1]!MatrizCortoLargoCyl[#All],3,0),"")</f>
        <v/>
      </c>
      <c r="F3802" s="13" t="inlineStr">
        <is>
          <t>ARLO/CYL/9,00/18-02-22</t>
        </is>
      </c>
      <c r="G3802" s="6" t="n">
        <v>100</v>
      </c>
      <c r="H3802" s="6">
        <f>-866.74+14.88</f>
        <v/>
      </c>
      <c r="I3802" s="7">
        <f>-H3802/G3802</f>
        <v/>
      </c>
      <c r="J3802" s="11" t="n">
        <v>44607</v>
      </c>
      <c r="K3802" s="6" t="n">
        <v>100</v>
      </c>
      <c r="L3802" s="6" t="n">
        <v>875.33</v>
      </c>
      <c r="M3802" s="7">
        <f>IF(N3802=0,+L3802+H3802,0)</f>
        <v/>
      </c>
      <c r="N3802" s="7">
        <f>IF((+G3802-K3802)=0,0,+G3802-K3802)</f>
        <v/>
      </c>
      <c r="O3802" s="7">
        <f>IF(N3802=0,0,(L3802+H3802)/-N3802)</f>
        <v/>
      </c>
      <c r="P3802" s="7">
        <f>VLOOKUP(OPERAC[[#This Row],[especie]],[1]!ESPECIES[#All],6,0)</f>
        <v/>
      </c>
      <c r="Q3802" s="7">
        <f>IF(N3802&lt;&gt;0,P3802*N3802,0)</f>
        <v/>
      </c>
      <c r="R3802" s="8">
        <f>IF(Q3802&lt;&gt;0,Q3802+H3802+L3802,0)</f>
        <v/>
      </c>
      <c r="S3802" s="9">
        <f>VLOOKUP(OPERAC[[#This Row],[especie]],[1]!ESPECIES[#Data],9,FALSE)</f>
        <v/>
      </c>
    </row>
    <row r="3803">
      <c r="A3803" s="4" t="n">
        <v>22407</v>
      </c>
      <c r="B3803" s="5" t="n">
        <v>44547</v>
      </c>
      <c r="C3803" s="13" t="inlineStr">
        <is>
          <t>VTA</t>
        </is>
      </c>
      <c r="D3803" s="13" t="n">
        <v>32</v>
      </c>
      <c r="E3803" s="10">
        <f>IF(D3803&gt;0,VLOOKUP(OPERAC[[#This Row],[COD CART]],[1]!MatrizCortoLargoCyl[#All],3,0),"")</f>
        <v/>
      </c>
      <c r="F3803" s="13" t="inlineStr">
        <is>
          <t>ARLO/CYL/9,00/18-02-22</t>
        </is>
      </c>
      <c r="G3803" s="6" t="n">
        <v>100</v>
      </c>
      <c r="H3803" s="6">
        <f>-866.74+14.88</f>
        <v/>
      </c>
      <c r="I3803" s="7">
        <f>-H3803/G3803</f>
        <v/>
      </c>
      <c r="J3803" s="11" t="n">
        <v>44607</v>
      </c>
      <c r="K3803" s="6" t="n">
        <v>100</v>
      </c>
      <c r="L3803" s="6" t="n">
        <v>875.33</v>
      </c>
      <c r="M3803" s="7">
        <f>IF(N3803=0,+L3803+H3803,0)</f>
        <v/>
      </c>
      <c r="N3803" s="7">
        <f>IF((+G3803-K3803)=0,0,+G3803-K3803)</f>
        <v/>
      </c>
      <c r="O3803" s="7">
        <f>IF(N3803=0,0,(L3803+H3803)/-N3803)</f>
        <v/>
      </c>
      <c r="P3803" s="7">
        <f>VLOOKUP(OPERAC[[#This Row],[especie]],[1]!ESPECIES[#All],6,0)</f>
        <v/>
      </c>
      <c r="Q3803" s="7">
        <f>IF(N3803&lt;&gt;0,P3803*N3803,0)</f>
        <v/>
      </c>
      <c r="R3803" s="8">
        <f>IF(Q3803&lt;&gt;0,Q3803+H3803+L3803,0)</f>
        <v/>
      </c>
      <c r="S3803" s="9">
        <f>VLOOKUP(OPERAC[[#This Row],[especie]],[1]!ESPECIES[#Data],9,FALSE)</f>
        <v/>
      </c>
    </row>
    <row r="3804">
      <c r="A3804" s="4" t="n">
        <v>22431</v>
      </c>
      <c r="B3804" s="5" t="n">
        <v>44547</v>
      </c>
      <c r="C3804" s="13" t="inlineStr">
        <is>
          <t>VTA</t>
        </is>
      </c>
      <c r="D3804" s="13" t="n">
        <v>32</v>
      </c>
      <c r="E3804" s="10">
        <f>IF(D3804&gt;0,VLOOKUP(OPERAC[[#This Row],[COD CART]],[1]!MatrizCortoLargoCyl[#All],3,0),"")</f>
        <v/>
      </c>
      <c r="F3804" s="13" t="inlineStr">
        <is>
          <t>ARLO/CYL/9,00/18-02-22</t>
        </is>
      </c>
      <c r="G3804" s="6" t="n">
        <v>100</v>
      </c>
      <c r="H3804" s="6">
        <f>-866.74+14.88</f>
        <v/>
      </c>
      <c r="I3804" s="7">
        <f>-H3804/G3804</f>
        <v/>
      </c>
      <c r="J3804" s="11" t="n">
        <v>44607</v>
      </c>
      <c r="K3804" s="6" t="n">
        <v>100</v>
      </c>
      <c r="L3804" s="6" t="n">
        <v>875.33</v>
      </c>
      <c r="M3804" s="7">
        <f>IF(N3804=0,+L3804+H3804,0)</f>
        <v/>
      </c>
      <c r="N3804" s="7">
        <f>IF((+G3804-K3804)=0,0,+G3804-K3804)</f>
        <v/>
      </c>
      <c r="O3804" s="7">
        <f>IF(N3804=0,0,(L3804+H3804)/-N3804)</f>
        <v/>
      </c>
      <c r="P3804" s="7">
        <f>VLOOKUP(OPERAC[[#This Row],[especie]],[1]!ESPECIES[#All],6,0)</f>
        <v/>
      </c>
      <c r="Q3804" s="7">
        <f>IF(N3804&lt;&gt;0,P3804*N3804,0)</f>
        <v/>
      </c>
      <c r="R3804" s="8">
        <f>IF(Q3804&lt;&gt;0,Q3804+H3804+L3804,0)</f>
        <v/>
      </c>
      <c r="S3804" s="9">
        <f>VLOOKUP(OPERAC[[#This Row],[especie]],[1]!ESPECIES[#Data],9,FALSE)</f>
        <v/>
      </c>
    </row>
    <row r="3805">
      <c r="A3805" s="4" t="n">
        <v>22433</v>
      </c>
      <c r="B3805" s="5" t="n">
        <v>44547</v>
      </c>
      <c r="C3805" s="13" t="inlineStr">
        <is>
          <t>VTA</t>
        </is>
      </c>
      <c r="D3805" s="13" t="n">
        <v>32</v>
      </c>
      <c r="E3805" s="10">
        <f>IF(D3805&gt;0,VLOOKUP(OPERAC[[#This Row],[COD CART]],[1]!MatrizCortoLargoCyl[#All],3,0),"")</f>
        <v/>
      </c>
      <c r="F3805" s="13" t="inlineStr">
        <is>
          <t>ARLO/CYL/9,00/18-02-22</t>
        </is>
      </c>
      <c r="G3805" s="6" t="n">
        <v>100</v>
      </c>
      <c r="H3805" s="6">
        <f>-866.74+14.88</f>
        <v/>
      </c>
      <c r="I3805" s="7">
        <f>-H3805/G3805</f>
        <v/>
      </c>
      <c r="J3805" s="11" t="n">
        <v>44607</v>
      </c>
      <c r="K3805" s="6" t="n">
        <v>100</v>
      </c>
      <c r="L3805" s="6" t="n">
        <v>875.33</v>
      </c>
      <c r="M3805" s="7">
        <f>IF(N3805=0,+L3805+H3805,0)</f>
        <v/>
      </c>
      <c r="N3805" s="7">
        <f>IF((+G3805-K3805)=0,0,+G3805-K3805)</f>
        <v/>
      </c>
      <c r="O3805" s="7">
        <f>IF(N3805=0,0,(L3805+H3805)/-N3805)</f>
        <v/>
      </c>
      <c r="P3805" s="7">
        <f>VLOOKUP(OPERAC[[#This Row],[especie]],[1]!ESPECIES[#All],6,0)</f>
        <v/>
      </c>
      <c r="Q3805" s="7">
        <f>IF(N3805&lt;&gt;0,P3805*N3805,0)</f>
        <v/>
      </c>
      <c r="R3805" s="8">
        <f>IF(Q3805&lt;&gt;0,Q3805+H3805+L3805,0)</f>
        <v/>
      </c>
      <c r="S3805" s="9">
        <f>VLOOKUP(OPERAC[[#This Row],[especie]],[1]!ESPECIES[#Data],9,FALSE)</f>
        <v/>
      </c>
    </row>
    <row r="3806">
      <c r="A3806" s="4" t="n">
        <v>26137</v>
      </c>
      <c r="B3806" s="5" t="n">
        <v>44547</v>
      </c>
      <c r="C3806" s="13" t="inlineStr">
        <is>
          <t>VTA</t>
        </is>
      </c>
      <c r="D3806" s="13" t="n">
        <v>32</v>
      </c>
      <c r="E3806" s="10">
        <f>IF(D3806&gt;0,VLOOKUP(OPERAC[[#This Row],[COD CART]],[1]!MatrizCortoLargoCyl[#All],3,0),"")</f>
        <v/>
      </c>
      <c r="F3806" s="13" t="inlineStr">
        <is>
          <t>ARLO/CYL/9,00/18-02-22</t>
        </is>
      </c>
      <c r="G3806" s="6" t="n">
        <v>100</v>
      </c>
      <c r="H3806" s="6">
        <f>-866.74+14.88</f>
        <v/>
      </c>
      <c r="I3806" s="7">
        <f>-H3806/G3806</f>
        <v/>
      </c>
      <c r="J3806" s="11" t="n">
        <v>44607</v>
      </c>
      <c r="K3806" s="6" t="n">
        <v>100</v>
      </c>
      <c r="L3806" s="6" t="n">
        <v>875.33</v>
      </c>
      <c r="M3806" s="7">
        <f>IF(N3806=0,+L3806+H3806,0)</f>
        <v/>
      </c>
      <c r="N3806" s="7">
        <f>IF((+G3806-K3806)=0,0,+G3806-K3806)</f>
        <v/>
      </c>
      <c r="O3806" s="7">
        <f>IF(N3806=0,0,(L3806+H3806)/-N3806)</f>
        <v/>
      </c>
      <c r="P3806" s="7">
        <f>VLOOKUP(OPERAC[[#This Row],[especie]],[1]!ESPECIES[#All],6,0)</f>
        <v/>
      </c>
      <c r="Q3806" s="7">
        <f>IF(N3806&lt;&gt;0,P3806*N3806,0)</f>
        <v/>
      </c>
      <c r="R3806" s="8">
        <f>IF(Q3806&lt;&gt;0,Q3806+H3806+L3806,0)</f>
        <v/>
      </c>
      <c r="S3806" s="9">
        <f>VLOOKUP(OPERAC[[#This Row],[especie]],[1]!ESPECIES[#Data],9,FALSE)</f>
        <v/>
      </c>
    </row>
    <row r="3807">
      <c r="A3807" s="4" t="n">
        <v>16783</v>
      </c>
      <c r="B3807" s="5" t="n">
        <v>44671</v>
      </c>
      <c r="C3807" s="13" t="inlineStr">
        <is>
          <t>VTA</t>
        </is>
      </c>
      <c r="D3807" s="13" t="n">
        <v>42</v>
      </c>
      <c r="E3807" s="10">
        <f>IF(D3807&gt;0,VLOOKUP(OPERAC[[#This Row],[COD CART]],[1]!MatrizCortoLargoCyl[#All],3,0),"")</f>
        <v/>
      </c>
      <c r="F3807" s="13" t="inlineStr">
        <is>
          <t>TLT</t>
        </is>
      </c>
      <c r="G3807" s="6" t="n">
        <v>7</v>
      </c>
      <c r="H3807" s="6" t="n">
        <v>-854.5381950000001</v>
      </c>
      <c r="I3807" s="7">
        <f>-H3807/G3807</f>
        <v/>
      </c>
      <c r="J3807" s="11" t="n"/>
      <c r="K3807" s="6" t="n"/>
      <c r="L3807" s="6" t="n"/>
      <c r="M3807" s="7">
        <f>IF(N3807=0,+L3807+H3807,0)</f>
        <v/>
      </c>
      <c r="N3807" s="7">
        <f>IF((+G3807-K3807)=0,0,+G3807-K3807)</f>
        <v/>
      </c>
      <c r="O3807" s="7">
        <f>IF(N3807=0,0,(L3807+H3807)/-N3807)</f>
        <v/>
      </c>
      <c r="P3807" s="7">
        <f>VLOOKUP(OPERAC[[#This Row],[especie]],[1]!ESPECIES[#All],6,0)</f>
        <v/>
      </c>
      <c r="Q3807" s="7">
        <f>IF(N3807&lt;&gt;0,P3807*N3807,0)</f>
        <v/>
      </c>
      <c r="R3807" s="8">
        <f>IF(Q3807&lt;&gt;0,Q3807+H3807+L3807,0)</f>
        <v/>
      </c>
      <c r="S3807" s="9">
        <f>VLOOKUP(OPERAC[[#This Row],[especie]],[1]!ESPECIES[#Data],9,FALSE)</f>
        <v/>
      </c>
    </row>
    <row r="3808">
      <c r="A3808" s="4" t="n">
        <v>2203</v>
      </c>
      <c r="B3808" s="5" t="n">
        <v>44643</v>
      </c>
      <c r="C3808" s="13" t="inlineStr">
        <is>
          <t>VTA</t>
        </is>
      </c>
      <c r="D3808" s="13" t="n">
        <v>32</v>
      </c>
      <c r="E3808" s="10">
        <f>IF(D3808&gt;0,VLOOKUP(OPERAC[[#This Row],[COD CART]],[1]!MatrizCortoLargoCyl[#All],3,0),"")</f>
        <v/>
      </c>
      <c r="F3808" s="13" t="inlineStr">
        <is>
          <t>COTY/CYL/9,00/14-04-22</t>
        </is>
      </c>
      <c r="G3808" s="6" t="n">
        <v>100</v>
      </c>
      <c r="H3808" s="6" t="n">
        <v>-855.451</v>
      </c>
      <c r="I3808" s="7">
        <f>-H3808/G3808</f>
        <v/>
      </c>
      <c r="J3808" s="11" t="n">
        <v>44649</v>
      </c>
      <c r="K3808" s="6" t="n">
        <v>100</v>
      </c>
      <c r="L3808" s="6" t="n">
        <v>875.28</v>
      </c>
      <c r="M3808" s="7">
        <f>IF(N3808=0,+L3808+H3808,0)</f>
        <v/>
      </c>
      <c r="N3808" s="7">
        <f>IF((+G3808-K3808)=0,0,+G3808-K3808)</f>
        <v/>
      </c>
      <c r="O3808" s="7">
        <f>IF(N3808=0,0,(L3808+H3808)/-N3808)</f>
        <v/>
      </c>
      <c r="P3808" s="7">
        <f>VLOOKUP(OPERAC[[#This Row],[especie]],[1]!ESPECIES[#All],6,0)</f>
        <v/>
      </c>
      <c r="Q3808" s="7">
        <f>IF(N3808&lt;&gt;0,P3808*N3808,0)</f>
        <v/>
      </c>
      <c r="R3808" s="8">
        <f>IF(Q3808&lt;&gt;0,Q3808+H3808+L3808,0)</f>
        <v/>
      </c>
      <c r="S3808" s="9">
        <f>VLOOKUP(OPERAC[[#This Row],[especie]],[1]!ESPECIES[#Data],9,FALSE)</f>
        <v/>
      </c>
    </row>
    <row r="3809">
      <c r="A3809" s="4" t="n">
        <v>2289</v>
      </c>
      <c r="B3809" s="5" t="n">
        <v>44643</v>
      </c>
      <c r="C3809" s="13" t="inlineStr">
        <is>
          <t>VTA</t>
        </is>
      </c>
      <c r="D3809" s="13" t="n">
        <v>32</v>
      </c>
      <c r="E3809" s="10">
        <f>IF(D3809&gt;0,VLOOKUP(OPERAC[[#This Row],[COD CART]],[1]!MatrizCortoLargoCyl[#All],3,0),"")</f>
        <v/>
      </c>
      <c r="F3809" s="13" t="inlineStr">
        <is>
          <t>COTY/CYL/9,00/14-04-22</t>
        </is>
      </c>
      <c r="G3809" s="6" t="n">
        <v>100</v>
      </c>
      <c r="H3809" s="6" t="n">
        <v>-855.451</v>
      </c>
      <c r="I3809" s="7">
        <f>-H3809/G3809</f>
        <v/>
      </c>
      <c r="J3809" s="11" t="n">
        <v>44649</v>
      </c>
      <c r="K3809" s="6" t="n">
        <v>100</v>
      </c>
      <c r="L3809" s="6" t="n">
        <v>875.28</v>
      </c>
      <c r="M3809" s="7">
        <f>IF(N3809=0,+L3809+H3809,0)</f>
        <v/>
      </c>
      <c r="N3809" s="7">
        <f>IF((+G3809-K3809)=0,0,+G3809-K3809)</f>
        <v/>
      </c>
      <c r="O3809" s="7">
        <f>IF(N3809=0,0,(L3809+H3809)/-N3809)</f>
        <v/>
      </c>
      <c r="P3809" s="7">
        <f>VLOOKUP(OPERAC[[#This Row],[especie]],[1]!ESPECIES[#All],6,0)</f>
        <v/>
      </c>
      <c r="Q3809" s="7">
        <f>IF(N3809&lt;&gt;0,P3809*N3809,0)</f>
        <v/>
      </c>
      <c r="R3809" s="8">
        <f>IF(Q3809&lt;&gt;0,Q3809+H3809+L3809,0)</f>
        <v/>
      </c>
      <c r="S3809" s="9">
        <f>VLOOKUP(OPERAC[[#This Row],[especie]],[1]!ESPECIES[#Data],9,FALSE)</f>
        <v/>
      </c>
    </row>
    <row r="3810">
      <c r="A3810" s="4" t="n">
        <v>3853</v>
      </c>
      <c r="B3810" s="5" t="n">
        <v>44643</v>
      </c>
      <c r="C3810" s="13" t="inlineStr">
        <is>
          <t>VTA</t>
        </is>
      </c>
      <c r="D3810" s="13" t="n">
        <v>32</v>
      </c>
      <c r="E3810" s="10">
        <f>IF(D3810&gt;0,VLOOKUP(OPERAC[[#This Row],[COD CART]],[1]!MatrizCortoLargoCyl[#All],3,0),"")</f>
        <v/>
      </c>
      <c r="F3810" s="13" t="inlineStr">
        <is>
          <t>COTY/CYL/9,00/14-04-22</t>
        </is>
      </c>
      <c r="G3810" s="6" t="n">
        <v>100</v>
      </c>
      <c r="H3810" s="6" t="n">
        <v>-855.451</v>
      </c>
      <c r="I3810" s="7">
        <f>-H3810/G3810</f>
        <v/>
      </c>
      <c r="J3810" s="11" t="n">
        <v>44649</v>
      </c>
      <c r="K3810" s="6" t="n">
        <v>100</v>
      </c>
      <c r="L3810" s="6" t="n">
        <v>875.28</v>
      </c>
      <c r="M3810" s="7">
        <f>IF(N3810=0,+L3810+H3810,0)</f>
        <v/>
      </c>
      <c r="N3810" s="7">
        <f>IF((+G3810-K3810)=0,0,+G3810-K3810)</f>
        <v/>
      </c>
      <c r="O3810" s="7">
        <f>IF(N3810=0,0,(L3810+H3810)/-N3810)</f>
        <v/>
      </c>
      <c r="P3810" s="7">
        <f>VLOOKUP(OPERAC[[#This Row],[especie]],[1]!ESPECIES[#All],6,0)</f>
        <v/>
      </c>
      <c r="Q3810" s="7">
        <f>IF(N3810&lt;&gt;0,P3810*N3810,0)</f>
        <v/>
      </c>
      <c r="R3810" s="8">
        <f>IF(Q3810&lt;&gt;0,Q3810+H3810+L3810,0)</f>
        <v/>
      </c>
      <c r="S3810" s="9">
        <f>VLOOKUP(OPERAC[[#This Row],[especie]],[1]!ESPECIES[#Data],9,FALSE)</f>
        <v/>
      </c>
    </row>
    <row r="3811">
      <c r="A3811" s="4" t="n">
        <v>7879</v>
      </c>
      <c r="B3811" s="5" t="n">
        <v>44643</v>
      </c>
      <c r="C3811" s="13" t="inlineStr">
        <is>
          <t>VTA</t>
        </is>
      </c>
      <c r="D3811" s="13" t="n">
        <v>32</v>
      </c>
      <c r="E3811" s="10">
        <f>IF(D3811&gt;0,VLOOKUP(OPERAC[[#This Row],[COD CART]],[1]!MatrizCortoLargoCyl[#All],3,0),"")</f>
        <v/>
      </c>
      <c r="F3811" s="13" t="inlineStr">
        <is>
          <t>COTY/CYL/9,00/14-04-22</t>
        </is>
      </c>
      <c r="G3811" s="6" t="n">
        <v>100</v>
      </c>
      <c r="H3811" s="6" t="n">
        <v>-855.451</v>
      </c>
      <c r="I3811" s="7">
        <f>-H3811/G3811</f>
        <v/>
      </c>
      <c r="J3811" s="11" t="n">
        <v>44649</v>
      </c>
      <c r="K3811" s="6" t="n">
        <v>100</v>
      </c>
      <c r="L3811" s="6" t="n">
        <v>875.28</v>
      </c>
      <c r="M3811" s="7">
        <f>IF(N3811=0,+L3811+H3811,0)</f>
        <v/>
      </c>
      <c r="N3811" s="7">
        <f>IF((+G3811-K3811)=0,0,+G3811-K3811)</f>
        <v/>
      </c>
      <c r="O3811" s="7">
        <f>IF(N3811=0,0,(L3811+H3811)/-N3811)</f>
        <v/>
      </c>
      <c r="P3811" s="7">
        <f>VLOOKUP(OPERAC[[#This Row],[especie]],[1]!ESPECIES[#All],6,0)</f>
        <v/>
      </c>
      <c r="Q3811" s="7">
        <f>IF(N3811&lt;&gt;0,P3811*N3811,0)</f>
        <v/>
      </c>
      <c r="R3811" s="8">
        <f>IF(Q3811&lt;&gt;0,Q3811+H3811+L3811,0)</f>
        <v/>
      </c>
      <c r="S3811" s="9">
        <f>VLOOKUP(OPERAC[[#This Row],[especie]],[1]!ESPECIES[#Data],9,FALSE)</f>
        <v/>
      </c>
    </row>
    <row r="3812">
      <c r="A3812" s="4" t="n">
        <v>12686</v>
      </c>
      <c r="B3812" s="5" t="n">
        <v>44643</v>
      </c>
      <c r="C3812" s="13" t="inlineStr">
        <is>
          <t>VTA</t>
        </is>
      </c>
      <c r="D3812" s="13" t="n">
        <v>32</v>
      </c>
      <c r="E3812" s="10">
        <f>IF(D3812&gt;0,VLOOKUP(OPERAC[[#This Row],[COD CART]],[1]!MatrizCortoLargoCyl[#All],3,0),"")</f>
        <v/>
      </c>
      <c r="F3812" s="13" t="inlineStr">
        <is>
          <t>COTY/CYL/9,00/14-04-22</t>
        </is>
      </c>
      <c r="G3812" s="6" t="n">
        <v>100</v>
      </c>
      <c r="H3812" s="6" t="n">
        <v>-855.451</v>
      </c>
      <c r="I3812" s="7">
        <f>-H3812/G3812</f>
        <v/>
      </c>
      <c r="J3812" s="11" t="n">
        <v>44649</v>
      </c>
      <c r="K3812" s="6" t="n">
        <v>100</v>
      </c>
      <c r="L3812" s="6" t="n">
        <v>875.28</v>
      </c>
      <c r="M3812" s="7">
        <f>IF(N3812=0,+L3812+H3812,0)</f>
        <v/>
      </c>
      <c r="N3812" s="7">
        <f>IF((+G3812-K3812)=0,0,+G3812-K3812)</f>
        <v/>
      </c>
      <c r="O3812" s="7">
        <f>IF(N3812=0,0,(L3812+H3812)/-N3812)</f>
        <v/>
      </c>
      <c r="P3812" s="7">
        <f>VLOOKUP(OPERAC[[#This Row],[especie]],[1]!ESPECIES[#All],6,0)</f>
        <v/>
      </c>
      <c r="Q3812" s="7">
        <f>IF(N3812&lt;&gt;0,P3812*N3812,0)</f>
        <v/>
      </c>
      <c r="R3812" s="8">
        <f>IF(Q3812&lt;&gt;0,Q3812+H3812+L3812,0)</f>
        <v/>
      </c>
      <c r="S3812" s="9">
        <f>VLOOKUP(OPERAC[[#This Row],[especie]],[1]!ESPECIES[#Data],9,FALSE)</f>
        <v/>
      </c>
    </row>
    <row r="3813">
      <c r="A3813" s="4" t="n">
        <v>12690</v>
      </c>
      <c r="B3813" s="5" t="n">
        <v>44643</v>
      </c>
      <c r="C3813" s="13" t="inlineStr">
        <is>
          <t>VTA</t>
        </is>
      </c>
      <c r="D3813" s="13" t="n">
        <v>32</v>
      </c>
      <c r="E3813" s="10">
        <f>IF(D3813&gt;0,VLOOKUP(OPERAC[[#This Row],[COD CART]],[1]!MatrizCortoLargoCyl[#All],3,0),"")</f>
        <v/>
      </c>
      <c r="F3813" s="13" t="inlineStr">
        <is>
          <t>COTY/CYL/9,00/14-04-22</t>
        </is>
      </c>
      <c r="G3813" s="6" t="n">
        <v>100</v>
      </c>
      <c r="H3813" s="6" t="n">
        <v>-855.451</v>
      </c>
      <c r="I3813" s="7">
        <f>-H3813/G3813</f>
        <v/>
      </c>
      <c r="J3813" s="11" t="n">
        <v>44649</v>
      </c>
      <c r="K3813" s="6" t="n">
        <v>100</v>
      </c>
      <c r="L3813" s="6" t="n">
        <v>875.28</v>
      </c>
      <c r="M3813" s="7">
        <f>IF(N3813=0,+L3813+H3813,0)</f>
        <v/>
      </c>
      <c r="N3813" s="7">
        <f>IF((+G3813-K3813)=0,0,+G3813-K3813)</f>
        <v/>
      </c>
      <c r="O3813" s="7">
        <f>IF(N3813=0,0,(L3813+H3813)/-N3813)</f>
        <v/>
      </c>
      <c r="P3813" s="7">
        <f>VLOOKUP(OPERAC[[#This Row],[especie]],[1]!ESPECIES[#All],6,0)</f>
        <v/>
      </c>
      <c r="Q3813" s="7">
        <f>IF(N3813&lt;&gt;0,P3813*N3813,0)</f>
        <v/>
      </c>
      <c r="R3813" s="8">
        <f>IF(Q3813&lt;&gt;0,Q3813+H3813+L3813,0)</f>
        <v/>
      </c>
      <c r="S3813" s="9">
        <f>VLOOKUP(OPERAC[[#This Row],[especie]],[1]!ESPECIES[#Data],9,FALSE)</f>
        <v/>
      </c>
    </row>
    <row r="3814">
      <c r="A3814" s="4" t="n">
        <v>16776</v>
      </c>
      <c r="B3814" s="5" t="n">
        <v>44643</v>
      </c>
      <c r="C3814" s="13" t="inlineStr">
        <is>
          <t>VTA</t>
        </is>
      </c>
      <c r="D3814" s="13" t="n">
        <v>32</v>
      </c>
      <c r="E3814" s="10">
        <f>IF(D3814&gt;0,VLOOKUP(OPERAC[[#This Row],[COD CART]],[1]!MatrizCortoLargoCyl[#All],3,0),"")</f>
        <v/>
      </c>
      <c r="F3814" s="13" t="inlineStr">
        <is>
          <t>COTY/CYL/9,00/14-04-22</t>
        </is>
      </c>
      <c r="G3814" s="6" t="n">
        <v>100</v>
      </c>
      <c r="H3814" s="6" t="n">
        <v>-855.451</v>
      </c>
      <c r="I3814" s="7">
        <f>-H3814/G3814</f>
        <v/>
      </c>
      <c r="J3814" s="11" t="n">
        <v>44649</v>
      </c>
      <c r="K3814" s="6" t="n">
        <v>100</v>
      </c>
      <c r="L3814" s="6" t="n">
        <v>875.28</v>
      </c>
      <c r="M3814" s="7">
        <f>IF(N3814=0,+L3814+H3814,0)</f>
        <v/>
      </c>
      <c r="N3814" s="7">
        <f>IF((+G3814-K3814)=0,0,+G3814-K3814)</f>
        <v/>
      </c>
      <c r="O3814" s="7">
        <f>IF(N3814=0,0,(L3814+H3814)/-N3814)</f>
        <v/>
      </c>
      <c r="P3814" s="7">
        <f>VLOOKUP(OPERAC[[#This Row],[especie]],[1]!ESPECIES[#All],6,0)</f>
        <v/>
      </c>
      <c r="Q3814" s="7">
        <f>IF(N3814&lt;&gt;0,P3814*N3814,0)</f>
        <v/>
      </c>
      <c r="R3814" s="8">
        <f>IF(Q3814&lt;&gt;0,Q3814+H3814+L3814,0)</f>
        <v/>
      </c>
      <c r="S3814" s="9">
        <f>VLOOKUP(OPERAC[[#This Row],[especie]],[1]!ESPECIES[#Data],9,FALSE)</f>
        <v/>
      </c>
    </row>
    <row r="3815">
      <c r="A3815" s="4" t="n">
        <v>18703</v>
      </c>
      <c r="B3815" s="5" t="n">
        <v>44643</v>
      </c>
      <c r="C3815" s="13" t="inlineStr">
        <is>
          <t>VTA</t>
        </is>
      </c>
      <c r="D3815" s="13" t="n">
        <v>32</v>
      </c>
      <c r="E3815" s="10">
        <f>IF(D3815&gt;0,VLOOKUP(OPERAC[[#This Row],[COD CART]],[1]!MatrizCortoLargoCyl[#All],3,0),"")</f>
        <v/>
      </c>
      <c r="F3815" s="13" t="inlineStr">
        <is>
          <t>COTY/CYL/9,00/14-04-22</t>
        </is>
      </c>
      <c r="G3815" s="6" t="n">
        <v>100</v>
      </c>
      <c r="H3815" s="6" t="n">
        <v>-855.451</v>
      </c>
      <c r="I3815" s="7">
        <f>-H3815/G3815</f>
        <v/>
      </c>
      <c r="J3815" s="11" t="n">
        <v>44649</v>
      </c>
      <c r="K3815" s="6" t="n">
        <v>100</v>
      </c>
      <c r="L3815" s="6" t="n">
        <v>875.28</v>
      </c>
      <c r="M3815" s="7">
        <f>IF(N3815=0,+L3815+H3815,0)</f>
        <v/>
      </c>
      <c r="N3815" s="7">
        <f>IF((+G3815-K3815)=0,0,+G3815-K3815)</f>
        <v/>
      </c>
      <c r="O3815" s="7">
        <f>IF(N3815=0,0,(L3815+H3815)/-N3815)</f>
        <v/>
      </c>
      <c r="P3815" s="7">
        <f>VLOOKUP(OPERAC[[#This Row],[especie]],[1]!ESPECIES[#All],6,0)</f>
        <v/>
      </c>
      <c r="Q3815" s="7">
        <f>IF(N3815&lt;&gt;0,P3815*N3815,0)</f>
        <v/>
      </c>
      <c r="R3815" s="8">
        <f>IF(Q3815&lt;&gt;0,Q3815+H3815+L3815,0)</f>
        <v/>
      </c>
      <c r="S3815" s="9">
        <f>VLOOKUP(OPERAC[[#This Row],[especie]],[1]!ESPECIES[#Data],9,FALSE)</f>
        <v/>
      </c>
    </row>
    <row r="3816">
      <c r="A3816" s="4" t="n">
        <v>18726</v>
      </c>
      <c r="B3816" s="5" t="n">
        <v>44643</v>
      </c>
      <c r="C3816" s="13" t="inlineStr">
        <is>
          <t>VTA</t>
        </is>
      </c>
      <c r="D3816" s="13" t="n">
        <v>32</v>
      </c>
      <c r="E3816" s="10">
        <f>IF(D3816&gt;0,VLOOKUP(OPERAC[[#This Row],[COD CART]],[1]!MatrizCortoLargoCyl[#All],3,0),"")</f>
        <v/>
      </c>
      <c r="F3816" s="13" t="inlineStr">
        <is>
          <t>COTY/CYL/9,00/14-04-22</t>
        </is>
      </c>
      <c r="G3816" s="6" t="n">
        <v>100</v>
      </c>
      <c r="H3816" s="6" t="n">
        <v>-855.451</v>
      </c>
      <c r="I3816" s="7">
        <f>-H3816/G3816</f>
        <v/>
      </c>
      <c r="J3816" s="11" t="n">
        <v>44649</v>
      </c>
      <c r="K3816" s="6" t="n">
        <v>100</v>
      </c>
      <c r="L3816" s="6" t="n">
        <v>875.28</v>
      </c>
      <c r="M3816" s="7">
        <f>IF(N3816=0,+L3816+H3816,0)</f>
        <v/>
      </c>
      <c r="N3816" s="7">
        <f>IF((+G3816-K3816)=0,0,+G3816-K3816)</f>
        <v/>
      </c>
      <c r="O3816" s="7">
        <f>IF(N3816=0,0,(L3816+H3816)/-N3816)</f>
        <v/>
      </c>
      <c r="P3816" s="7">
        <f>VLOOKUP(OPERAC[[#This Row],[especie]],[1]!ESPECIES[#All],6,0)</f>
        <v/>
      </c>
      <c r="Q3816" s="7">
        <f>IF(N3816&lt;&gt;0,P3816*N3816,0)</f>
        <v/>
      </c>
      <c r="R3816" s="8">
        <f>IF(Q3816&lt;&gt;0,Q3816+H3816+L3816,0)</f>
        <v/>
      </c>
      <c r="S3816" s="9">
        <f>VLOOKUP(OPERAC[[#This Row],[especie]],[1]!ESPECIES[#Data],9,FALSE)</f>
        <v/>
      </c>
    </row>
    <row r="3817">
      <c r="A3817" s="4" t="n">
        <v>26137</v>
      </c>
      <c r="B3817" s="5" t="n">
        <v>44643</v>
      </c>
      <c r="C3817" s="13" t="inlineStr">
        <is>
          <t>VTA</t>
        </is>
      </c>
      <c r="D3817" s="13" t="n">
        <v>32</v>
      </c>
      <c r="E3817" s="10">
        <f>IF(D3817&gt;0,VLOOKUP(OPERAC[[#This Row],[COD CART]],[1]!MatrizCortoLargoCyl[#All],3,0),"")</f>
        <v/>
      </c>
      <c r="F3817" s="13" t="inlineStr">
        <is>
          <t>COTY/CYL/9,00/14-04-22</t>
        </is>
      </c>
      <c r="G3817" s="6" t="n">
        <v>100</v>
      </c>
      <c r="H3817" s="6" t="n">
        <v>-855.451</v>
      </c>
      <c r="I3817" s="7">
        <f>-H3817/G3817</f>
        <v/>
      </c>
      <c r="J3817" s="11" t="n">
        <v>44649</v>
      </c>
      <c r="K3817" s="6" t="n">
        <v>100</v>
      </c>
      <c r="L3817" s="6" t="n">
        <v>875.28</v>
      </c>
      <c r="M3817" s="7">
        <f>IF(N3817=0,+L3817+H3817,0)</f>
        <v/>
      </c>
      <c r="N3817" s="7">
        <f>IF((+G3817-K3817)=0,0,+G3817-K3817)</f>
        <v/>
      </c>
      <c r="O3817" s="7">
        <f>IF(N3817=0,0,(L3817+H3817)/-N3817)</f>
        <v/>
      </c>
      <c r="P3817" s="7">
        <f>VLOOKUP(OPERAC[[#This Row],[especie]],[1]!ESPECIES[#All],6,0)</f>
        <v/>
      </c>
      <c r="Q3817" s="7">
        <f>IF(N3817&lt;&gt;0,P3817*N3817,0)</f>
        <v/>
      </c>
      <c r="R3817" s="8">
        <f>IF(Q3817&lt;&gt;0,Q3817+H3817+L3817,0)</f>
        <v/>
      </c>
      <c r="S3817" s="9">
        <f>VLOOKUP(OPERAC[[#This Row],[especie]],[1]!ESPECIES[#Data],9,FALSE)</f>
        <v/>
      </c>
    </row>
    <row r="3818">
      <c r="A3818" s="4" t="n">
        <v>16776</v>
      </c>
      <c r="B3818" s="5" t="n">
        <v>44349</v>
      </c>
      <c r="C3818" s="13" t="inlineStr">
        <is>
          <t>VTA</t>
        </is>
      </c>
      <c r="D3818" s="13" t="n">
        <v>40</v>
      </c>
      <c r="E3818" s="10">
        <f>IF(D3818&gt;0,VLOOKUP(OPERAC[[#This Row],[COD CART]],[1]!MatrizCortoLargoCyl[#All],3,0),"")</f>
        <v/>
      </c>
      <c r="F3818" s="13" t="inlineStr">
        <is>
          <t>GMBL</t>
        </is>
      </c>
      <c r="G3818" s="6" t="n">
        <v>100</v>
      </c>
      <c r="H3818" s="6">
        <f>-9.52*OPERAC[[#This Row],[cantidad]]+14.558+39.972+39.622</f>
        <v/>
      </c>
      <c r="I3818" s="7">
        <f>-H3818/G3818</f>
        <v/>
      </c>
      <c r="J3818" s="11" t="n">
        <v>44630</v>
      </c>
      <c r="K3818" s="6" t="n">
        <v>100</v>
      </c>
      <c r="L3818" s="6" t="n">
        <v>71.011</v>
      </c>
      <c r="M3818" s="7">
        <f>IF(N3818=0,+L3818+H3818,0)</f>
        <v/>
      </c>
      <c r="N3818" s="7">
        <f>IF((+G3818-K3818)=0,0,+G3818-K3818)</f>
        <v/>
      </c>
      <c r="O3818" s="7">
        <f>IF(N3818=0,0,(L3818+H3818)/-N3818)</f>
        <v/>
      </c>
      <c r="P3818" s="7">
        <f>VLOOKUP(OPERAC[[#This Row],[especie]],[1]!ESPECIES[#All],6,0)</f>
        <v/>
      </c>
      <c r="Q3818" s="7">
        <f>IF(N3818&lt;&gt;0,P3818*N3818,0)</f>
        <v/>
      </c>
      <c r="R3818" s="8">
        <f>IF(Q3818&lt;&gt;0,Q3818+H3818+L3818,0)</f>
        <v/>
      </c>
      <c r="S3818" s="9">
        <f>VLOOKUP(OPERAC[[#This Row],[especie]],[1]!ESPECIES[#Data],9,FALSE)</f>
        <v/>
      </c>
    </row>
    <row r="3819">
      <c r="A3819" s="4" t="n">
        <v>13269</v>
      </c>
      <c r="B3819" s="5" t="n">
        <v>44671</v>
      </c>
      <c r="C3819" s="13" t="inlineStr">
        <is>
          <t>VTA</t>
        </is>
      </c>
      <c r="D3819" s="13" t="n">
        <v>42</v>
      </c>
      <c r="E3819" s="10">
        <f>IF(D3819&gt;0,VLOOKUP(OPERAC[[#This Row],[COD CART]],[1]!MatrizCortoLargoCyl[#All],3,0),"")</f>
        <v/>
      </c>
      <c r="F3819" s="13" t="inlineStr">
        <is>
          <t>TLT</t>
        </is>
      </c>
      <c r="G3819" s="6" t="n">
        <v>7</v>
      </c>
      <c r="H3819" s="6" t="n">
        <v>-857.9410350000001</v>
      </c>
      <c r="I3819" s="7">
        <f>-H3819/G3819</f>
        <v/>
      </c>
      <c r="J3819" s="11" t="n"/>
      <c r="K3819" s="6" t="n"/>
      <c r="L3819" s="6" t="n"/>
      <c r="M3819" s="7">
        <f>IF(N3819=0,+L3819+H3819,0)</f>
        <v/>
      </c>
      <c r="N3819" s="7">
        <f>IF((+G3819-K3819)=0,0,+G3819-K3819)</f>
        <v/>
      </c>
      <c r="O3819" s="7">
        <f>IF(N3819=0,0,(L3819+H3819)/-N3819)</f>
        <v/>
      </c>
      <c r="P3819" s="7">
        <f>VLOOKUP(OPERAC[[#This Row],[especie]],[1]!ESPECIES[#All],6,0)</f>
        <v/>
      </c>
      <c r="Q3819" s="7">
        <f>IF(N3819&lt;&gt;0,P3819*N3819,0)</f>
        <v/>
      </c>
      <c r="R3819" s="8">
        <f>IF(Q3819&lt;&gt;0,Q3819+H3819+L3819,0)</f>
        <v/>
      </c>
      <c r="S3819" s="9">
        <f>VLOOKUP(OPERAC[[#This Row],[especie]],[1]!ESPECIES[#Data],9,FALSE)</f>
        <v/>
      </c>
    </row>
    <row r="3820">
      <c r="A3820" s="4" t="n">
        <v>19932</v>
      </c>
      <c r="B3820" s="5" t="n">
        <v>44671</v>
      </c>
      <c r="C3820" s="13" t="inlineStr">
        <is>
          <t>VTA</t>
        </is>
      </c>
      <c r="D3820" s="13" t="n">
        <v>42</v>
      </c>
      <c r="E3820" s="10">
        <f>IF(D3820&gt;0,VLOOKUP(OPERAC[[#This Row],[COD CART]],[1]!MatrizCortoLargoCyl[#All],3,0),"")</f>
        <v/>
      </c>
      <c r="F3820" s="13" t="inlineStr">
        <is>
          <t>TLT</t>
        </is>
      </c>
      <c r="G3820" s="6" t="n">
        <v>7</v>
      </c>
      <c r="H3820" s="6" t="n">
        <v>-857.9410350000001</v>
      </c>
      <c r="I3820" s="7">
        <f>-H3820/G3820</f>
        <v/>
      </c>
      <c r="J3820" s="11" t="n"/>
      <c r="K3820" s="6" t="n"/>
      <c r="L3820" s="6" t="n"/>
      <c r="M3820" s="7">
        <f>IF(N3820=0,+L3820+H3820,0)</f>
        <v/>
      </c>
      <c r="N3820" s="7">
        <f>IF((+G3820-K3820)=0,0,+G3820-K3820)</f>
        <v/>
      </c>
      <c r="O3820" s="7">
        <f>IF(N3820=0,0,(L3820+H3820)/-N3820)</f>
        <v/>
      </c>
      <c r="P3820" s="7">
        <f>VLOOKUP(OPERAC[[#This Row],[especie]],[1]!ESPECIES[#All],6,0)</f>
        <v/>
      </c>
      <c r="Q3820" s="7">
        <f>IF(N3820&lt;&gt;0,P3820*N3820,0)</f>
        <v/>
      </c>
      <c r="R3820" s="8">
        <f>IF(Q3820&lt;&gt;0,Q3820+H3820+L3820,0)</f>
        <v/>
      </c>
      <c r="S3820" s="9">
        <f>VLOOKUP(OPERAC[[#This Row],[especie]],[1]!ESPECIES[#Data],9,FALSE)</f>
        <v/>
      </c>
    </row>
    <row r="3821">
      <c r="A3821" s="4" t="n">
        <v>1760</v>
      </c>
      <c r="B3821" s="5" t="n">
        <v>44671</v>
      </c>
      <c r="C3821" s="13" t="inlineStr">
        <is>
          <t>VTA</t>
        </is>
      </c>
      <c r="D3821" s="13" t="n">
        <v>42</v>
      </c>
      <c r="E3821" s="10">
        <f>IF(D3821&gt;0,VLOOKUP(OPERAC[[#This Row],[COD CART]],[1]!MatrizCortoLargoCyl[#All],3,0),"")</f>
        <v/>
      </c>
      <c r="F3821" s="13" t="inlineStr">
        <is>
          <t>TLT</t>
        </is>
      </c>
      <c r="G3821" s="6" t="n">
        <v>7</v>
      </c>
      <c r="H3821" s="6" t="n">
        <v>-857.9410350000001</v>
      </c>
      <c r="I3821" s="7">
        <f>-H3821/G3821</f>
        <v/>
      </c>
      <c r="J3821" s="11" t="n">
        <v>44704</v>
      </c>
      <c r="K3821" s="6" t="n">
        <v>7</v>
      </c>
      <c r="L3821" s="6">
        <f>+OPERAC[[#This Row],[cantidad venta]]*116.581</f>
        <v/>
      </c>
      <c r="M3821" s="7">
        <f>IF(N3821=0,+L3821+H3821,0)</f>
        <v/>
      </c>
      <c r="N3821" s="7">
        <f>IF((+G3821-K3821)=0,0,+G3821-K3821)</f>
        <v/>
      </c>
      <c r="O3821" s="7">
        <f>IF(N3821=0,0,(L3821+H3821)/-N3821)</f>
        <v/>
      </c>
      <c r="P3821" s="7">
        <f>VLOOKUP(OPERAC[[#This Row],[especie]],[1]!ESPECIES[#All],6,0)</f>
        <v/>
      </c>
      <c r="Q3821" s="7">
        <f>IF(N3821&lt;&gt;0,P3821*N3821,0)</f>
        <v/>
      </c>
      <c r="R3821" s="8">
        <f>IF(Q3821&lt;&gt;0,Q3821+H3821+L3821,0)</f>
        <v/>
      </c>
      <c r="S3821" s="9">
        <f>VLOOKUP(OPERAC[[#This Row],[especie]],[1]!ESPECIES[#Data],9,FALSE)</f>
        <v/>
      </c>
    </row>
    <row r="3822">
      <c r="A3822" s="4" t="n">
        <v>19932</v>
      </c>
      <c r="B3822" s="5" t="n">
        <v>44671</v>
      </c>
      <c r="C3822" s="13" t="inlineStr">
        <is>
          <t>VTA</t>
        </is>
      </c>
      <c r="D3822" s="13" t="n">
        <v>42</v>
      </c>
      <c r="E3822" s="10">
        <f>IF(D3822&gt;0,VLOOKUP(OPERAC[[#This Row],[COD CART]],[1]!MatrizCortoLargoCyl[#All],3,0),"")</f>
        <v/>
      </c>
      <c r="F3822" s="13" t="inlineStr">
        <is>
          <t>TLT</t>
        </is>
      </c>
      <c r="G3822" s="6" t="n">
        <v>7</v>
      </c>
      <c r="H3822" s="6" t="n">
        <v>-857.9410350000001</v>
      </c>
      <c r="I3822" s="7">
        <f>-H3822/G3822</f>
        <v/>
      </c>
      <c r="J3822" s="11" t="n"/>
      <c r="K3822" s="6" t="n"/>
      <c r="L3822" s="6" t="n"/>
      <c r="M3822" s="7">
        <f>IF(N3822=0,+L3822+H3822,0)</f>
        <v/>
      </c>
      <c r="N3822" s="7">
        <f>IF((+G3822-K3822)=0,0,+G3822-K3822)</f>
        <v/>
      </c>
      <c r="O3822" s="7">
        <f>IF(N3822=0,0,(L3822+H3822)/-N3822)</f>
        <v/>
      </c>
      <c r="P3822" s="7">
        <f>VLOOKUP(OPERAC[[#This Row],[especie]],[1]!ESPECIES[#All],6,0)</f>
        <v/>
      </c>
      <c r="Q3822" s="7">
        <f>IF(N3822&lt;&gt;0,P3822*N3822,0)</f>
        <v/>
      </c>
      <c r="R3822" s="8">
        <f>IF(Q3822&lt;&gt;0,Q3822+H3822+L3822,0)</f>
        <v/>
      </c>
      <c r="S3822" s="9">
        <f>VLOOKUP(OPERAC[[#This Row],[especie]],[1]!ESPECIES[#Data],9,FALSE)</f>
        <v/>
      </c>
    </row>
    <row r="3823">
      <c r="A3823" s="4" t="n">
        <v>16780</v>
      </c>
      <c r="B3823" s="5" t="n">
        <v>44671</v>
      </c>
      <c r="C3823" s="13" t="inlineStr">
        <is>
          <t>VTA</t>
        </is>
      </c>
      <c r="D3823" s="13" t="n">
        <v>42</v>
      </c>
      <c r="E3823" s="10">
        <f>IF(D3823&gt;0,VLOOKUP(OPERAC[[#This Row],[COD CART]],[1]!MatrizCortoLargoCyl[#All],3,0),"")</f>
        <v/>
      </c>
      <c r="F3823" s="13" t="inlineStr">
        <is>
          <t>TLT</t>
        </is>
      </c>
      <c r="G3823" s="6" t="n">
        <v>7</v>
      </c>
      <c r="H3823" s="6" t="n">
        <v>-857.9410350000001</v>
      </c>
      <c r="I3823" s="7">
        <f>-H3823/G3823</f>
        <v/>
      </c>
      <c r="J3823" s="11" t="n"/>
      <c r="K3823" s="6" t="n"/>
      <c r="L3823" s="6" t="n"/>
      <c r="M3823" s="7">
        <f>IF(N3823=0,+L3823+H3823,0)</f>
        <v/>
      </c>
      <c r="N3823" s="7">
        <f>IF((+G3823-K3823)=0,0,+G3823-K3823)</f>
        <v/>
      </c>
      <c r="O3823" s="7">
        <f>IF(N3823=0,0,(L3823+H3823)/-N3823)</f>
        <v/>
      </c>
      <c r="P3823" s="7">
        <f>VLOOKUP(OPERAC[[#This Row],[especie]],[1]!ESPECIES[#All],6,0)</f>
        <v/>
      </c>
      <c r="Q3823" s="7">
        <f>IF(N3823&lt;&gt;0,P3823*N3823,0)</f>
        <v/>
      </c>
      <c r="R3823" s="8">
        <f>IF(Q3823&lt;&gt;0,Q3823+H3823+L3823,0)</f>
        <v/>
      </c>
      <c r="S3823" s="9">
        <f>VLOOKUP(OPERAC[[#This Row],[especie]],[1]!ESPECIES[#Data],9,FALSE)</f>
        <v/>
      </c>
    </row>
    <row r="3824">
      <c r="A3824" s="4" t="n">
        <v>1760</v>
      </c>
      <c r="B3824" s="5" t="n">
        <v>44602</v>
      </c>
      <c r="C3824" s="13" t="inlineStr">
        <is>
          <t>VTA</t>
        </is>
      </c>
      <c r="D3824" s="13" t="n">
        <v>32</v>
      </c>
      <c r="E3824" s="10">
        <f>IF(D3824&gt;0,VLOOKUP(OPERAC[[#This Row],[COD CART]],[1]!MatrizCortoLargoCyl[#All],3,0),"")</f>
        <v/>
      </c>
      <c r="F3824" s="13" t="inlineStr">
        <is>
          <t>TEVA</t>
        </is>
      </c>
      <c r="G3824" s="6" t="n">
        <v>100</v>
      </c>
      <c r="H3824" s="6">
        <f>-8.59*OPERAC[[#This Row],[cantidad]]</f>
        <v/>
      </c>
      <c r="I3824" s="7">
        <f>-H3824/G3824</f>
        <v/>
      </c>
      <c r="J3824" s="11" t="n">
        <v>44643</v>
      </c>
      <c r="K3824" s="6">
        <f>+OPERAC[[#This Row],[cantidad]]</f>
        <v/>
      </c>
      <c r="L3824" s="6">
        <f>+OPERAC[[#This Row],[cantidad venta]]*8.051</f>
        <v/>
      </c>
      <c r="M3824" s="7">
        <f>IF(N3824=0,+L3824+H3824,0)</f>
        <v/>
      </c>
      <c r="N3824" s="7">
        <f>IF((+G3824-K3824)=0,0,+G3824-K3824)</f>
        <v/>
      </c>
      <c r="O3824" s="7">
        <f>IF(N3824=0,0,(L3824+H3824)/-N3824)</f>
        <v/>
      </c>
      <c r="P3824" s="7">
        <f>VLOOKUP(OPERAC[[#This Row],[especie]],[1]!ESPECIES[#All],6,0)</f>
        <v/>
      </c>
      <c r="Q3824" s="7">
        <f>IF(N3824&lt;&gt;0,P3824*N3824,0)</f>
        <v/>
      </c>
      <c r="R3824" s="8">
        <f>IF(Q3824&lt;&gt;0,Q3824+H3824+L3824,0)</f>
        <v/>
      </c>
      <c r="S3824" s="9">
        <f>VLOOKUP(OPERAC[[#This Row],[especie]],[1]!ESPECIES[#Data],9,FALSE)</f>
        <v/>
      </c>
    </row>
    <row r="3825">
      <c r="A3825" s="4" t="n">
        <v>2194</v>
      </c>
      <c r="B3825" s="5" t="n">
        <v>44602</v>
      </c>
      <c r="C3825" s="13" t="inlineStr">
        <is>
          <t>VTA</t>
        </is>
      </c>
      <c r="D3825" s="13" t="n">
        <v>32</v>
      </c>
      <c r="E3825" s="10">
        <f>IF(D3825&gt;0,VLOOKUP(OPERAC[[#This Row],[COD CART]],[1]!MatrizCortoLargoCyl[#All],3,0),"")</f>
        <v/>
      </c>
      <c r="F3825" s="13" t="inlineStr">
        <is>
          <t>TEVA</t>
        </is>
      </c>
      <c r="G3825" s="6" t="n">
        <v>100</v>
      </c>
      <c r="H3825" s="6">
        <f>-8.59*OPERAC[[#This Row],[cantidad]]</f>
        <v/>
      </c>
      <c r="I3825" s="7">
        <f>-H3825/G3825</f>
        <v/>
      </c>
      <c r="J3825" s="11" t="n">
        <v>44643</v>
      </c>
      <c r="K3825" s="6">
        <f>+OPERAC[[#This Row],[cantidad]]</f>
        <v/>
      </c>
      <c r="L3825" s="6">
        <f>+OPERAC[[#This Row],[cantidad venta]]*8.051</f>
        <v/>
      </c>
      <c r="M3825" s="7">
        <f>IF(N3825=0,+L3825+H3825,0)</f>
        <v/>
      </c>
      <c r="N3825" s="7">
        <f>IF((+G3825-K3825)=0,0,+G3825-K3825)</f>
        <v/>
      </c>
      <c r="O3825" s="7">
        <f>IF(N3825=0,0,(L3825+H3825)/-N3825)</f>
        <v/>
      </c>
      <c r="P3825" s="7">
        <f>VLOOKUP(OPERAC[[#This Row],[especie]],[1]!ESPECIES[#All],6,0)</f>
        <v/>
      </c>
      <c r="Q3825" s="7">
        <f>IF(N3825&lt;&gt;0,P3825*N3825,0)</f>
        <v/>
      </c>
      <c r="R3825" s="8">
        <f>IF(Q3825&lt;&gt;0,Q3825+H3825+L3825,0)</f>
        <v/>
      </c>
      <c r="S3825" s="9">
        <f>VLOOKUP(OPERAC[[#This Row],[especie]],[1]!ESPECIES[#Data],9,FALSE)</f>
        <v/>
      </c>
    </row>
    <row r="3826">
      <c r="A3826" s="4" t="n">
        <v>2257</v>
      </c>
      <c r="B3826" s="5" t="n">
        <v>44602</v>
      </c>
      <c r="C3826" s="13" t="inlineStr">
        <is>
          <t>VTA</t>
        </is>
      </c>
      <c r="D3826" s="13" t="n">
        <v>32</v>
      </c>
      <c r="E3826" s="10">
        <f>IF(D3826&gt;0,VLOOKUP(OPERAC[[#This Row],[COD CART]],[1]!MatrizCortoLargoCyl[#All],3,0),"")</f>
        <v/>
      </c>
      <c r="F3826" s="13" t="inlineStr">
        <is>
          <t>TEVA</t>
        </is>
      </c>
      <c r="G3826" s="6" t="n">
        <v>100</v>
      </c>
      <c r="H3826" s="6">
        <f>-8.59*OPERAC[[#This Row],[cantidad]]</f>
        <v/>
      </c>
      <c r="I3826" s="7">
        <f>-H3826/G3826</f>
        <v/>
      </c>
      <c r="J3826" s="11" t="n">
        <v>44643</v>
      </c>
      <c r="K3826" s="6">
        <f>+OPERAC[[#This Row],[cantidad]]</f>
        <v/>
      </c>
      <c r="L3826" s="6">
        <f>+OPERAC[[#This Row],[cantidad venta]]*8.051</f>
        <v/>
      </c>
      <c r="M3826" s="7">
        <f>IF(N3826=0,+L3826+H3826,0)</f>
        <v/>
      </c>
      <c r="N3826" s="7">
        <f>IF((+G3826-K3826)=0,0,+G3826-K3826)</f>
        <v/>
      </c>
      <c r="O3826" s="7">
        <f>IF(N3826=0,0,(L3826+H3826)/-N3826)</f>
        <v/>
      </c>
      <c r="P3826" s="7">
        <f>VLOOKUP(OPERAC[[#This Row],[especie]],[1]!ESPECIES[#All],6,0)</f>
        <v/>
      </c>
      <c r="Q3826" s="7">
        <f>IF(N3826&lt;&gt;0,P3826*N3826,0)</f>
        <v/>
      </c>
      <c r="R3826" s="8">
        <f>IF(Q3826&lt;&gt;0,Q3826+H3826+L3826,0)</f>
        <v/>
      </c>
      <c r="S3826" s="9">
        <f>VLOOKUP(OPERAC[[#This Row],[especie]],[1]!ESPECIES[#Data],9,FALSE)</f>
        <v/>
      </c>
    </row>
    <row r="3827">
      <c r="A3827" s="4" t="n">
        <v>3823</v>
      </c>
      <c r="B3827" s="5" t="n">
        <v>44602</v>
      </c>
      <c r="C3827" s="13" t="inlineStr">
        <is>
          <t>VTA</t>
        </is>
      </c>
      <c r="D3827" s="13" t="n">
        <v>32</v>
      </c>
      <c r="E3827" s="10">
        <f>IF(D3827&gt;0,VLOOKUP(OPERAC[[#This Row],[COD CART]],[1]!MatrizCortoLargoCyl[#All],3,0),"")</f>
        <v/>
      </c>
      <c r="F3827" s="13" t="inlineStr">
        <is>
          <t>TEVA</t>
        </is>
      </c>
      <c r="G3827" s="6" t="n">
        <v>100</v>
      </c>
      <c r="H3827" s="6">
        <f>-8.59*OPERAC[[#This Row],[cantidad]]</f>
        <v/>
      </c>
      <c r="I3827" s="7">
        <f>-H3827/G3827</f>
        <v/>
      </c>
      <c r="J3827" s="11" t="n">
        <v>44643</v>
      </c>
      <c r="K3827" s="6">
        <f>+OPERAC[[#This Row],[cantidad]]</f>
        <v/>
      </c>
      <c r="L3827" s="6">
        <f>+OPERAC[[#This Row],[cantidad venta]]*8.051</f>
        <v/>
      </c>
      <c r="M3827" s="7">
        <f>IF(N3827=0,+L3827+H3827,0)</f>
        <v/>
      </c>
      <c r="N3827" s="7">
        <f>IF((+G3827-K3827)=0,0,+G3827-K3827)</f>
        <v/>
      </c>
      <c r="O3827" s="7">
        <f>IF(N3827=0,0,(L3827+H3827)/-N3827)</f>
        <v/>
      </c>
      <c r="P3827" s="7">
        <f>VLOOKUP(OPERAC[[#This Row],[especie]],[1]!ESPECIES[#All],6,0)</f>
        <v/>
      </c>
      <c r="Q3827" s="7">
        <f>IF(N3827&lt;&gt;0,P3827*N3827,0)</f>
        <v/>
      </c>
      <c r="R3827" s="8">
        <f>IF(Q3827&lt;&gt;0,Q3827+H3827+L3827,0)</f>
        <v/>
      </c>
      <c r="S3827" s="9">
        <f>VLOOKUP(OPERAC[[#This Row],[especie]],[1]!ESPECIES[#Data],9,FALSE)</f>
        <v/>
      </c>
    </row>
    <row r="3828">
      <c r="A3828" s="4" t="n">
        <v>3853</v>
      </c>
      <c r="B3828" s="5" t="n">
        <v>44602</v>
      </c>
      <c r="C3828" s="13" t="inlineStr">
        <is>
          <t>VTA</t>
        </is>
      </c>
      <c r="D3828" s="13" t="n">
        <v>32</v>
      </c>
      <c r="E3828" s="10">
        <f>IF(D3828&gt;0,VLOOKUP(OPERAC[[#This Row],[COD CART]],[1]!MatrizCortoLargoCyl[#All],3,0),"")</f>
        <v/>
      </c>
      <c r="F3828" s="13" t="inlineStr">
        <is>
          <t>TEVA</t>
        </is>
      </c>
      <c r="G3828" s="6" t="n">
        <v>100</v>
      </c>
      <c r="H3828" s="6">
        <f>-8.59*OPERAC[[#This Row],[cantidad]]</f>
        <v/>
      </c>
      <c r="I3828" s="7">
        <f>-H3828/G3828</f>
        <v/>
      </c>
      <c r="J3828" s="11" t="n">
        <v>44643</v>
      </c>
      <c r="K3828" s="6">
        <f>+OPERAC[[#This Row],[cantidad]]</f>
        <v/>
      </c>
      <c r="L3828" s="6">
        <f>+OPERAC[[#This Row],[cantidad venta]]*8.051</f>
        <v/>
      </c>
      <c r="M3828" s="7">
        <f>IF(N3828=0,+L3828+H3828,0)</f>
        <v/>
      </c>
      <c r="N3828" s="7">
        <f>IF((+G3828-K3828)=0,0,+G3828-K3828)</f>
        <v/>
      </c>
      <c r="O3828" s="7">
        <f>IF(N3828=0,0,(L3828+H3828)/-N3828)</f>
        <v/>
      </c>
      <c r="P3828" s="7">
        <f>VLOOKUP(OPERAC[[#This Row],[especie]],[1]!ESPECIES[#All],6,0)</f>
        <v/>
      </c>
      <c r="Q3828" s="7">
        <f>IF(N3828&lt;&gt;0,P3828*N3828,0)</f>
        <v/>
      </c>
      <c r="R3828" s="8">
        <f>IF(Q3828&lt;&gt;0,Q3828+H3828+L3828,0)</f>
        <v/>
      </c>
      <c r="S3828" s="9">
        <f>VLOOKUP(OPERAC[[#This Row],[especie]],[1]!ESPECIES[#Data],9,FALSE)</f>
        <v/>
      </c>
    </row>
    <row r="3829">
      <c r="A3829" s="4" t="n">
        <v>3867</v>
      </c>
      <c r="B3829" s="5" t="n">
        <v>44602</v>
      </c>
      <c r="C3829" s="13" t="inlineStr">
        <is>
          <t>VTA</t>
        </is>
      </c>
      <c r="D3829" s="13" t="n">
        <v>32</v>
      </c>
      <c r="E3829" s="10">
        <f>IF(D3829&gt;0,VLOOKUP(OPERAC[[#This Row],[COD CART]],[1]!MatrizCortoLargoCyl[#All],3,0),"")</f>
        <v/>
      </c>
      <c r="F3829" s="13" t="inlineStr">
        <is>
          <t>TEVA</t>
        </is>
      </c>
      <c r="G3829" s="6" t="n">
        <v>100</v>
      </c>
      <c r="H3829" s="6">
        <f>-8.59*OPERAC[[#This Row],[cantidad]]</f>
        <v/>
      </c>
      <c r="I3829" s="7">
        <f>-H3829/G3829</f>
        <v/>
      </c>
      <c r="J3829" s="11" t="n">
        <v>44643</v>
      </c>
      <c r="K3829" s="6">
        <f>+OPERAC[[#This Row],[cantidad]]</f>
        <v/>
      </c>
      <c r="L3829" s="6">
        <f>+OPERAC[[#This Row],[cantidad venta]]*8.051</f>
        <v/>
      </c>
      <c r="M3829" s="7">
        <f>IF(N3829=0,+L3829+H3829,0)</f>
        <v/>
      </c>
      <c r="N3829" s="7">
        <f>IF((+G3829-K3829)=0,0,+G3829-K3829)</f>
        <v/>
      </c>
      <c r="O3829" s="7">
        <f>IF(N3829=0,0,(L3829+H3829)/-N3829)</f>
        <v/>
      </c>
      <c r="P3829" s="7">
        <f>VLOOKUP(OPERAC[[#This Row],[especie]],[1]!ESPECIES[#All],6,0)</f>
        <v/>
      </c>
      <c r="Q3829" s="7">
        <f>IF(N3829&lt;&gt;0,P3829*N3829,0)</f>
        <v/>
      </c>
      <c r="R3829" s="8">
        <f>IF(Q3829&lt;&gt;0,Q3829+H3829+L3829,0)</f>
        <v/>
      </c>
      <c r="S3829" s="9">
        <f>VLOOKUP(OPERAC[[#This Row],[especie]],[1]!ESPECIES[#Data],9,FALSE)</f>
        <v/>
      </c>
    </row>
    <row r="3830">
      <c r="A3830" s="4" t="n">
        <v>12022</v>
      </c>
      <c r="B3830" s="5" t="n">
        <v>44602</v>
      </c>
      <c r="C3830" s="13" t="inlineStr">
        <is>
          <t>VTA</t>
        </is>
      </c>
      <c r="D3830" s="13" t="n">
        <v>32</v>
      </c>
      <c r="E3830" s="10">
        <f>IF(D3830&gt;0,VLOOKUP(OPERAC[[#This Row],[COD CART]],[1]!MatrizCortoLargoCyl[#All],3,0),"")</f>
        <v/>
      </c>
      <c r="F3830" s="13" t="inlineStr">
        <is>
          <t>TEVA</t>
        </is>
      </c>
      <c r="G3830" s="6" t="n">
        <v>100</v>
      </c>
      <c r="H3830" s="6">
        <f>-8.59*OPERAC[[#This Row],[cantidad]]</f>
        <v/>
      </c>
      <c r="I3830" s="7">
        <f>-H3830/G3830</f>
        <v/>
      </c>
      <c r="J3830" s="11" t="n">
        <v>44643</v>
      </c>
      <c r="K3830" s="6">
        <f>+OPERAC[[#This Row],[cantidad]]</f>
        <v/>
      </c>
      <c r="L3830" s="6">
        <f>+OPERAC[[#This Row],[cantidad venta]]*8.051</f>
        <v/>
      </c>
      <c r="M3830" s="7">
        <f>IF(N3830=0,+L3830+H3830,0)</f>
        <v/>
      </c>
      <c r="N3830" s="7">
        <f>IF((+G3830-K3830)=0,0,+G3830-K3830)</f>
        <v/>
      </c>
      <c r="O3830" s="7">
        <f>IF(N3830=0,0,(L3830+H3830)/-N3830)</f>
        <v/>
      </c>
      <c r="P3830" s="7">
        <f>VLOOKUP(OPERAC[[#This Row],[especie]],[1]!ESPECIES[#All],6,0)</f>
        <v/>
      </c>
      <c r="Q3830" s="7">
        <f>IF(N3830&lt;&gt;0,P3830*N3830,0)</f>
        <v/>
      </c>
      <c r="R3830" s="8">
        <f>IF(Q3830&lt;&gt;0,Q3830+H3830+L3830,0)</f>
        <v/>
      </c>
      <c r="S3830" s="9">
        <f>VLOOKUP(OPERAC[[#This Row],[especie]],[1]!ESPECIES[#Data],9,FALSE)</f>
        <v/>
      </c>
    </row>
    <row r="3831">
      <c r="A3831" s="4" t="n">
        <v>12671</v>
      </c>
      <c r="B3831" s="5" t="n">
        <v>44602</v>
      </c>
      <c r="C3831" s="13" t="inlineStr">
        <is>
          <t>VTA</t>
        </is>
      </c>
      <c r="D3831" s="13" t="n">
        <v>32</v>
      </c>
      <c r="E3831" s="10">
        <f>IF(D3831&gt;0,VLOOKUP(OPERAC[[#This Row],[COD CART]],[1]!MatrizCortoLargoCyl[#All],3,0),"")</f>
        <v/>
      </c>
      <c r="F3831" s="13" t="inlineStr">
        <is>
          <t>TEVA</t>
        </is>
      </c>
      <c r="G3831" s="6" t="n">
        <v>100</v>
      </c>
      <c r="H3831" s="6">
        <f>-8.59*OPERAC[[#This Row],[cantidad]]</f>
        <v/>
      </c>
      <c r="I3831" s="7">
        <f>-H3831/G3831</f>
        <v/>
      </c>
      <c r="J3831" s="11" t="n">
        <v>44643</v>
      </c>
      <c r="K3831" s="6">
        <f>+OPERAC[[#This Row],[cantidad]]</f>
        <v/>
      </c>
      <c r="L3831" s="6">
        <f>+OPERAC[[#This Row],[cantidad venta]]*8.051</f>
        <v/>
      </c>
      <c r="M3831" s="7">
        <f>IF(N3831=0,+L3831+H3831,0)</f>
        <v/>
      </c>
      <c r="N3831" s="7">
        <f>IF((+G3831-K3831)=0,0,+G3831-K3831)</f>
        <v/>
      </c>
      <c r="O3831" s="7">
        <f>IF(N3831=0,0,(L3831+H3831)/-N3831)</f>
        <v/>
      </c>
      <c r="P3831" s="7">
        <f>VLOOKUP(OPERAC[[#This Row],[especie]],[1]!ESPECIES[#All],6,0)</f>
        <v/>
      </c>
      <c r="Q3831" s="7">
        <f>IF(N3831&lt;&gt;0,P3831*N3831,0)</f>
        <v/>
      </c>
      <c r="R3831" s="8">
        <f>IF(Q3831&lt;&gt;0,Q3831+H3831+L3831,0)</f>
        <v/>
      </c>
      <c r="S3831" s="9">
        <f>VLOOKUP(OPERAC[[#This Row],[especie]],[1]!ESPECIES[#Data],9,FALSE)</f>
        <v/>
      </c>
    </row>
    <row r="3832">
      <c r="A3832" s="4" t="n">
        <v>13188</v>
      </c>
      <c r="B3832" s="5" t="n">
        <v>44602</v>
      </c>
      <c r="C3832" s="13" t="inlineStr">
        <is>
          <t>VTA</t>
        </is>
      </c>
      <c r="D3832" s="13" t="n">
        <v>32</v>
      </c>
      <c r="E3832" s="10">
        <f>IF(D3832&gt;0,VLOOKUP(OPERAC[[#This Row],[COD CART]],[1]!MatrizCortoLargoCyl[#All],3,0),"")</f>
        <v/>
      </c>
      <c r="F3832" s="13" t="inlineStr">
        <is>
          <t>TEVA</t>
        </is>
      </c>
      <c r="G3832" s="6" t="n">
        <v>100</v>
      </c>
      <c r="H3832" s="6">
        <f>-8.59*OPERAC[[#This Row],[cantidad]]</f>
        <v/>
      </c>
      <c r="I3832" s="7">
        <f>-H3832/G3832</f>
        <v/>
      </c>
      <c r="J3832" s="11" t="n">
        <v>44643</v>
      </c>
      <c r="K3832" s="6">
        <f>+OPERAC[[#This Row],[cantidad]]</f>
        <v/>
      </c>
      <c r="L3832" s="6">
        <f>+OPERAC[[#This Row],[cantidad venta]]*8.051</f>
        <v/>
      </c>
      <c r="M3832" s="7">
        <f>IF(N3832=0,+L3832+H3832,0)</f>
        <v/>
      </c>
      <c r="N3832" s="7">
        <f>IF((+G3832-K3832)=0,0,+G3832-K3832)</f>
        <v/>
      </c>
      <c r="O3832" s="7">
        <f>IF(N3832=0,0,(L3832+H3832)/-N3832)</f>
        <v/>
      </c>
      <c r="P3832" s="7">
        <f>VLOOKUP(OPERAC[[#This Row],[especie]],[1]!ESPECIES[#All],6,0)</f>
        <v/>
      </c>
      <c r="Q3832" s="7">
        <f>IF(N3832&lt;&gt;0,P3832*N3832,0)</f>
        <v/>
      </c>
      <c r="R3832" s="8">
        <f>IF(Q3832&lt;&gt;0,Q3832+H3832+L3832,0)</f>
        <v/>
      </c>
      <c r="S3832" s="9">
        <f>VLOOKUP(OPERAC[[#This Row],[especie]],[1]!ESPECIES[#Data],9,FALSE)</f>
        <v/>
      </c>
    </row>
    <row r="3833">
      <c r="A3833" s="4" t="n">
        <v>13240</v>
      </c>
      <c r="B3833" s="5" t="n">
        <v>44602</v>
      </c>
      <c r="C3833" s="13" t="inlineStr">
        <is>
          <t>VTA</t>
        </is>
      </c>
      <c r="D3833" s="13" t="n">
        <v>32</v>
      </c>
      <c r="E3833" s="10">
        <f>IF(D3833&gt;0,VLOOKUP(OPERAC[[#This Row],[COD CART]],[1]!MatrizCortoLargoCyl[#All],3,0),"")</f>
        <v/>
      </c>
      <c r="F3833" s="13" t="inlineStr">
        <is>
          <t>TEVA</t>
        </is>
      </c>
      <c r="G3833" s="6" t="n">
        <v>100</v>
      </c>
      <c r="H3833" s="6">
        <f>-8.59*OPERAC[[#This Row],[cantidad]]</f>
        <v/>
      </c>
      <c r="I3833" s="7">
        <f>-H3833/G3833</f>
        <v/>
      </c>
      <c r="J3833" s="11" t="n">
        <v>44643</v>
      </c>
      <c r="K3833" s="6">
        <f>+OPERAC[[#This Row],[cantidad]]</f>
        <v/>
      </c>
      <c r="L3833" s="6">
        <f>+OPERAC[[#This Row],[cantidad venta]]*8.051</f>
        <v/>
      </c>
      <c r="M3833" s="7">
        <f>IF(N3833=0,+L3833+H3833,0)</f>
        <v/>
      </c>
      <c r="N3833" s="7">
        <f>IF((+G3833-K3833)=0,0,+G3833-K3833)</f>
        <v/>
      </c>
      <c r="O3833" s="7">
        <f>IF(N3833=0,0,(L3833+H3833)/-N3833)</f>
        <v/>
      </c>
      <c r="P3833" s="7">
        <f>VLOOKUP(OPERAC[[#This Row],[especie]],[1]!ESPECIES[#All],6,0)</f>
        <v/>
      </c>
      <c r="Q3833" s="7">
        <f>IF(N3833&lt;&gt;0,P3833*N3833,0)</f>
        <v/>
      </c>
      <c r="R3833" s="8">
        <f>IF(Q3833&lt;&gt;0,Q3833+H3833+L3833,0)</f>
        <v/>
      </c>
      <c r="S3833" s="9">
        <f>VLOOKUP(OPERAC[[#This Row],[especie]],[1]!ESPECIES[#Data],9,FALSE)</f>
        <v/>
      </c>
    </row>
    <row r="3834">
      <c r="A3834" s="4" t="n">
        <v>13271</v>
      </c>
      <c r="B3834" s="5" t="n">
        <v>44602</v>
      </c>
      <c r="C3834" s="13" t="inlineStr">
        <is>
          <t>VTA</t>
        </is>
      </c>
      <c r="D3834" s="13" t="n">
        <v>32</v>
      </c>
      <c r="E3834" s="10">
        <f>IF(D3834&gt;0,VLOOKUP(OPERAC[[#This Row],[COD CART]],[1]!MatrizCortoLargoCyl[#All],3,0),"")</f>
        <v/>
      </c>
      <c r="F3834" s="13" t="inlineStr">
        <is>
          <t>TEVA</t>
        </is>
      </c>
      <c r="G3834" s="6" t="n">
        <v>100</v>
      </c>
      <c r="H3834" s="6">
        <f>-8.59*OPERAC[[#This Row],[cantidad]]</f>
        <v/>
      </c>
      <c r="I3834" s="7">
        <f>-H3834/G3834</f>
        <v/>
      </c>
      <c r="J3834" s="11" t="n">
        <v>44643</v>
      </c>
      <c r="K3834" s="6">
        <f>+OPERAC[[#This Row],[cantidad]]</f>
        <v/>
      </c>
      <c r="L3834" s="6">
        <f>+OPERAC[[#This Row],[cantidad venta]]*8.051</f>
        <v/>
      </c>
      <c r="M3834" s="7">
        <f>IF(N3834=0,+L3834+H3834,0)</f>
        <v/>
      </c>
      <c r="N3834" s="7">
        <f>IF((+G3834-K3834)=0,0,+G3834-K3834)</f>
        <v/>
      </c>
      <c r="O3834" s="7">
        <f>IF(N3834=0,0,(L3834+H3834)/-N3834)</f>
        <v/>
      </c>
      <c r="P3834" s="7">
        <f>VLOOKUP(OPERAC[[#This Row],[especie]],[1]!ESPECIES[#All],6,0)</f>
        <v/>
      </c>
      <c r="Q3834" s="7">
        <f>IF(N3834&lt;&gt;0,P3834*N3834,0)</f>
        <v/>
      </c>
      <c r="R3834" s="8">
        <f>IF(Q3834&lt;&gt;0,Q3834+H3834+L3834,0)</f>
        <v/>
      </c>
      <c r="S3834" s="9">
        <f>VLOOKUP(OPERAC[[#This Row],[especie]],[1]!ESPECIES[#Data],9,FALSE)</f>
        <v/>
      </c>
    </row>
    <row r="3835">
      <c r="A3835" s="4" t="n">
        <v>13273</v>
      </c>
      <c r="B3835" s="5" t="n">
        <v>44602</v>
      </c>
      <c r="C3835" s="13" t="inlineStr">
        <is>
          <t>VTA</t>
        </is>
      </c>
      <c r="D3835" s="13" t="n">
        <v>32</v>
      </c>
      <c r="E3835" s="10">
        <f>IF(D3835&gt;0,VLOOKUP(OPERAC[[#This Row],[COD CART]],[1]!MatrizCortoLargoCyl[#All],3,0),"")</f>
        <v/>
      </c>
      <c r="F3835" s="13" t="inlineStr">
        <is>
          <t>TEVA</t>
        </is>
      </c>
      <c r="G3835" s="6" t="n">
        <v>100</v>
      </c>
      <c r="H3835" s="6">
        <f>-8.59*OPERAC[[#This Row],[cantidad]]</f>
        <v/>
      </c>
      <c r="I3835" s="7">
        <f>-H3835/G3835</f>
        <v/>
      </c>
      <c r="J3835" s="11" t="n">
        <v>44643</v>
      </c>
      <c r="K3835" s="6">
        <f>+OPERAC[[#This Row],[cantidad]]</f>
        <v/>
      </c>
      <c r="L3835" s="6">
        <f>+OPERAC[[#This Row],[cantidad venta]]*8.051</f>
        <v/>
      </c>
      <c r="M3835" s="7">
        <f>IF(N3835=0,+L3835+H3835,0)</f>
        <v/>
      </c>
      <c r="N3835" s="7">
        <f>IF((+G3835-K3835)=0,0,+G3835-K3835)</f>
        <v/>
      </c>
      <c r="O3835" s="7">
        <f>IF(N3835=0,0,(L3835+H3835)/-N3835)</f>
        <v/>
      </c>
      <c r="P3835" s="7">
        <f>VLOOKUP(OPERAC[[#This Row],[especie]],[1]!ESPECIES[#All],6,0)</f>
        <v/>
      </c>
      <c r="Q3835" s="7">
        <f>IF(N3835&lt;&gt;0,P3835*N3835,0)</f>
        <v/>
      </c>
      <c r="R3835" s="8">
        <f>IF(Q3835&lt;&gt;0,Q3835+H3835+L3835,0)</f>
        <v/>
      </c>
      <c r="S3835" s="9">
        <f>VLOOKUP(OPERAC[[#This Row],[especie]],[1]!ESPECIES[#Data],9,FALSE)</f>
        <v/>
      </c>
    </row>
    <row r="3836">
      <c r="A3836" s="4" t="n">
        <v>15189</v>
      </c>
      <c r="B3836" s="5" t="n">
        <v>44602</v>
      </c>
      <c r="C3836" s="13" t="inlineStr">
        <is>
          <t>VTA</t>
        </is>
      </c>
      <c r="D3836" s="13" t="n">
        <v>32</v>
      </c>
      <c r="E3836" s="10">
        <f>IF(D3836&gt;0,VLOOKUP(OPERAC[[#This Row],[COD CART]],[1]!MatrizCortoLargoCyl[#All],3,0),"")</f>
        <v/>
      </c>
      <c r="F3836" s="13" t="inlineStr">
        <is>
          <t>TEVA</t>
        </is>
      </c>
      <c r="G3836" s="6" t="n">
        <v>100</v>
      </c>
      <c r="H3836" s="6">
        <f>-8.59*OPERAC[[#This Row],[cantidad]]</f>
        <v/>
      </c>
      <c r="I3836" s="7">
        <f>-H3836/G3836</f>
        <v/>
      </c>
      <c r="J3836" s="11" t="n">
        <v>44643</v>
      </c>
      <c r="K3836" s="6">
        <f>+OPERAC[[#This Row],[cantidad]]</f>
        <v/>
      </c>
      <c r="L3836" s="6">
        <f>+OPERAC[[#This Row],[cantidad venta]]*8.051</f>
        <v/>
      </c>
      <c r="M3836" s="7">
        <f>IF(N3836=0,+L3836+H3836,0)</f>
        <v/>
      </c>
      <c r="N3836" s="7">
        <f>IF((+G3836-K3836)=0,0,+G3836-K3836)</f>
        <v/>
      </c>
      <c r="O3836" s="7">
        <f>IF(N3836=0,0,(L3836+H3836)/-N3836)</f>
        <v/>
      </c>
      <c r="P3836" s="7">
        <f>VLOOKUP(OPERAC[[#This Row],[especie]],[1]!ESPECIES[#All],6,0)</f>
        <v/>
      </c>
      <c r="Q3836" s="7">
        <f>IF(N3836&lt;&gt;0,P3836*N3836,0)</f>
        <v/>
      </c>
      <c r="R3836" s="8">
        <f>IF(Q3836&lt;&gt;0,Q3836+H3836+L3836,0)</f>
        <v/>
      </c>
      <c r="S3836" s="9">
        <f>VLOOKUP(OPERAC[[#This Row],[especie]],[1]!ESPECIES[#Data],9,FALSE)</f>
        <v/>
      </c>
    </row>
    <row r="3837">
      <c r="A3837" s="4" t="n">
        <v>16795</v>
      </c>
      <c r="B3837" s="5" t="n">
        <v>44602</v>
      </c>
      <c r="C3837" s="13" t="inlineStr">
        <is>
          <t>VTA</t>
        </is>
      </c>
      <c r="D3837" s="13" t="n">
        <v>32</v>
      </c>
      <c r="E3837" s="10">
        <f>IF(D3837&gt;0,VLOOKUP(OPERAC[[#This Row],[COD CART]],[1]!MatrizCortoLargoCyl[#All],3,0),"")</f>
        <v/>
      </c>
      <c r="F3837" s="13" t="inlineStr">
        <is>
          <t>TEVA</t>
        </is>
      </c>
      <c r="G3837" s="6" t="n">
        <v>100</v>
      </c>
      <c r="H3837" s="6">
        <f>-8.59*OPERAC[[#This Row],[cantidad]]</f>
        <v/>
      </c>
      <c r="I3837" s="7">
        <f>-H3837/G3837</f>
        <v/>
      </c>
      <c r="J3837" s="11" t="n">
        <v>44643</v>
      </c>
      <c r="K3837" s="6">
        <f>+OPERAC[[#This Row],[cantidad]]</f>
        <v/>
      </c>
      <c r="L3837" s="6">
        <f>+OPERAC[[#This Row],[cantidad venta]]*8.051</f>
        <v/>
      </c>
      <c r="M3837" s="7">
        <f>IF(N3837=0,+L3837+H3837,0)</f>
        <v/>
      </c>
      <c r="N3837" s="7">
        <f>IF((+G3837-K3837)=0,0,+G3837-K3837)</f>
        <v/>
      </c>
      <c r="O3837" s="7">
        <f>IF(N3837=0,0,(L3837+H3837)/-N3837)</f>
        <v/>
      </c>
      <c r="P3837" s="7">
        <f>VLOOKUP(OPERAC[[#This Row],[especie]],[1]!ESPECIES[#All],6,0)</f>
        <v/>
      </c>
      <c r="Q3837" s="7">
        <f>IF(N3837&lt;&gt;0,P3837*N3837,0)</f>
        <v/>
      </c>
      <c r="R3837" s="8">
        <f>IF(Q3837&lt;&gt;0,Q3837+H3837+L3837,0)</f>
        <v/>
      </c>
      <c r="S3837" s="9">
        <f>VLOOKUP(OPERAC[[#This Row],[especie]],[1]!ESPECIES[#Data],9,FALSE)</f>
        <v/>
      </c>
    </row>
    <row r="3838">
      <c r="A3838" s="4" t="n">
        <v>19932</v>
      </c>
      <c r="B3838" s="5" t="n">
        <v>44602</v>
      </c>
      <c r="C3838" s="13" t="inlineStr">
        <is>
          <t>VTA</t>
        </is>
      </c>
      <c r="D3838" s="13" t="n">
        <v>32</v>
      </c>
      <c r="E3838" s="10">
        <f>IF(D3838&gt;0,VLOOKUP(OPERAC[[#This Row],[COD CART]],[1]!MatrizCortoLargoCyl[#All],3,0),"")</f>
        <v/>
      </c>
      <c r="F3838" s="13" t="inlineStr">
        <is>
          <t>TEVA</t>
        </is>
      </c>
      <c r="G3838" s="6" t="n">
        <v>100</v>
      </c>
      <c r="H3838" s="6">
        <f>-8.59*OPERAC[[#This Row],[cantidad]]</f>
        <v/>
      </c>
      <c r="I3838" s="7">
        <f>-H3838/G3838</f>
        <v/>
      </c>
      <c r="J3838" s="11" t="n">
        <v>44643</v>
      </c>
      <c r="K3838" s="6">
        <f>+OPERAC[[#This Row],[cantidad]]</f>
        <v/>
      </c>
      <c r="L3838" s="6">
        <f>+OPERAC[[#This Row],[cantidad venta]]*8.051</f>
        <v/>
      </c>
      <c r="M3838" s="7">
        <f>IF(N3838=0,+L3838+H3838,0)</f>
        <v/>
      </c>
      <c r="N3838" s="7">
        <f>IF((+G3838-K3838)=0,0,+G3838-K3838)</f>
        <v/>
      </c>
      <c r="O3838" s="7">
        <f>IF(N3838=0,0,(L3838+H3838)/-N3838)</f>
        <v/>
      </c>
      <c r="P3838" s="7">
        <f>VLOOKUP(OPERAC[[#This Row],[especie]],[1]!ESPECIES[#All],6,0)</f>
        <v/>
      </c>
      <c r="Q3838" s="7">
        <f>IF(N3838&lt;&gt;0,P3838*N3838,0)</f>
        <v/>
      </c>
      <c r="R3838" s="8">
        <f>IF(Q3838&lt;&gt;0,Q3838+H3838+L3838,0)</f>
        <v/>
      </c>
      <c r="S3838" s="9">
        <f>VLOOKUP(OPERAC[[#This Row],[especie]],[1]!ESPECIES[#Data],9,FALSE)</f>
        <v/>
      </c>
    </row>
    <row r="3839">
      <c r="A3839" s="4" t="n">
        <v>22407</v>
      </c>
      <c r="B3839" s="5" t="n">
        <v>44602</v>
      </c>
      <c r="C3839" s="13" t="inlineStr">
        <is>
          <t>VTA</t>
        </is>
      </c>
      <c r="D3839" s="13" t="n">
        <v>32</v>
      </c>
      <c r="E3839" s="10">
        <f>IF(D3839&gt;0,VLOOKUP(OPERAC[[#This Row],[COD CART]],[1]!MatrizCortoLargoCyl[#All],3,0),"")</f>
        <v/>
      </c>
      <c r="F3839" s="13" t="inlineStr">
        <is>
          <t>TEVA</t>
        </is>
      </c>
      <c r="G3839" s="6" t="n">
        <v>100</v>
      </c>
      <c r="H3839" s="6">
        <f>-8.59*OPERAC[[#This Row],[cantidad]]</f>
        <v/>
      </c>
      <c r="I3839" s="7">
        <f>-H3839/G3839</f>
        <v/>
      </c>
      <c r="J3839" s="11" t="n">
        <v>44643</v>
      </c>
      <c r="K3839" s="6">
        <f>+OPERAC[[#This Row],[cantidad]]</f>
        <v/>
      </c>
      <c r="L3839" s="6">
        <f>+OPERAC[[#This Row],[cantidad venta]]*8.051</f>
        <v/>
      </c>
      <c r="M3839" s="7">
        <f>IF(N3839=0,+L3839+H3839,0)</f>
        <v/>
      </c>
      <c r="N3839" s="7">
        <f>IF((+G3839-K3839)=0,0,+G3839-K3839)</f>
        <v/>
      </c>
      <c r="O3839" s="7">
        <f>IF(N3839=0,0,(L3839+H3839)/-N3839)</f>
        <v/>
      </c>
      <c r="P3839" s="7">
        <f>VLOOKUP(OPERAC[[#This Row],[especie]],[1]!ESPECIES[#All],6,0)</f>
        <v/>
      </c>
      <c r="Q3839" s="7">
        <f>IF(N3839&lt;&gt;0,P3839*N3839,0)</f>
        <v/>
      </c>
      <c r="R3839" s="8">
        <f>IF(Q3839&lt;&gt;0,Q3839+H3839+L3839,0)</f>
        <v/>
      </c>
      <c r="S3839" s="9">
        <f>VLOOKUP(OPERAC[[#This Row],[especie]],[1]!ESPECIES[#Data],9,FALSE)</f>
        <v/>
      </c>
    </row>
    <row r="3840">
      <c r="A3840" s="4" t="n">
        <v>1792</v>
      </c>
      <c r="B3840" s="5" t="n">
        <v>44602</v>
      </c>
      <c r="C3840" s="13" t="inlineStr">
        <is>
          <t>VTA</t>
        </is>
      </c>
      <c r="D3840" s="13" t="n">
        <v>32</v>
      </c>
      <c r="E3840" s="10">
        <f>IF(D3840&gt;0,VLOOKUP(OPERAC[[#This Row],[COD CART]],[1]!MatrizCortoLargoCyl[#All],3,0),"")</f>
        <v/>
      </c>
      <c r="F3840" s="13" t="inlineStr">
        <is>
          <t>TEVA</t>
        </is>
      </c>
      <c r="G3840" s="6" t="n">
        <v>100</v>
      </c>
      <c r="H3840" s="6">
        <f>-8.59*OPERAC[[#This Row],[cantidad]]</f>
        <v/>
      </c>
      <c r="I3840" s="7">
        <f>-H3840/G3840</f>
        <v/>
      </c>
      <c r="J3840" s="11" t="n">
        <v>44643</v>
      </c>
      <c r="K3840" s="6">
        <f>+OPERAC[[#This Row],[cantidad]]</f>
        <v/>
      </c>
      <c r="L3840" s="6">
        <f>+OPERAC[[#This Row],[cantidad venta]]*8.051</f>
        <v/>
      </c>
      <c r="M3840" s="7">
        <f>IF(N3840=0,+L3840+H3840,0)</f>
        <v/>
      </c>
      <c r="N3840" s="7">
        <f>IF((+G3840-K3840)=0,0,+G3840-K3840)</f>
        <v/>
      </c>
      <c r="O3840" s="7">
        <f>IF(N3840=0,0,(L3840+H3840)/-N3840)</f>
        <v/>
      </c>
      <c r="P3840" s="7">
        <f>VLOOKUP(OPERAC[[#This Row],[especie]],[1]!ESPECIES[#All],6,0)</f>
        <v/>
      </c>
      <c r="Q3840" s="7">
        <f>IF(N3840&lt;&gt;0,P3840*N3840,0)</f>
        <v/>
      </c>
      <c r="R3840" s="8">
        <f>IF(Q3840&lt;&gt;0,Q3840+H3840+L3840,0)</f>
        <v/>
      </c>
      <c r="S3840" s="9">
        <f>VLOOKUP(OPERAC[[#This Row],[especie]],[1]!ESPECIES[#Data],9,FALSE)</f>
        <v/>
      </c>
    </row>
    <row r="3841">
      <c r="A3841" s="4" t="n">
        <v>18724</v>
      </c>
      <c r="B3841" s="5" t="n">
        <v>44602</v>
      </c>
      <c r="C3841" s="13" t="inlineStr">
        <is>
          <t>VTA</t>
        </is>
      </c>
      <c r="D3841" s="13" t="n">
        <v>32</v>
      </c>
      <c r="E3841" s="10">
        <f>IF(D3841&gt;0,VLOOKUP(OPERAC[[#This Row],[COD CART]],[1]!MatrizCortoLargoCyl[#All],3,0),"")</f>
        <v/>
      </c>
      <c r="F3841" s="13" t="inlineStr">
        <is>
          <t>TEVA</t>
        </is>
      </c>
      <c r="G3841" s="6" t="n">
        <v>100</v>
      </c>
      <c r="H3841" s="6">
        <f>-8.59*OPERAC[[#This Row],[cantidad]]</f>
        <v/>
      </c>
      <c r="I3841" s="7">
        <f>-H3841/G3841</f>
        <v/>
      </c>
      <c r="J3841" s="11" t="n">
        <v>44643</v>
      </c>
      <c r="K3841" s="6">
        <f>+OPERAC[[#This Row],[cantidad]]</f>
        <v/>
      </c>
      <c r="L3841" s="6">
        <f>+OPERAC[[#This Row],[cantidad venta]]*8.051</f>
        <v/>
      </c>
      <c r="M3841" s="7">
        <f>IF(N3841=0,+L3841+H3841,0)</f>
        <v/>
      </c>
      <c r="N3841" s="7">
        <f>IF((+G3841-K3841)=0,0,+G3841-K3841)</f>
        <v/>
      </c>
      <c r="O3841" s="7">
        <f>IF(N3841=0,0,(L3841+H3841)/-N3841)</f>
        <v/>
      </c>
      <c r="P3841" s="7">
        <f>VLOOKUP(OPERAC[[#This Row],[especie]],[1]!ESPECIES[#All],6,0)</f>
        <v/>
      </c>
      <c r="Q3841" s="7">
        <f>IF(N3841&lt;&gt;0,P3841*N3841,0)</f>
        <v/>
      </c>
      <c r="R3841" s="8">
        <f>IF(Q3841&lt;&gt;0,Q3841+H3841+L3841,0)</f>
        <v/>
      </c>
      <c r="S3841" s="9">
        <f>VLOOKUP(OPERAC[[#This Row],[especie]],[1]!ESPECIES[#Data],9,FALSE)</f>
        <v/>
      </c>
    </row>
    <row r="3842">
      <c r="A3842" s="4" t="n">
        <v>3787</v>
      </c>
      <c r="B3842" s="5" t="n">
        <v>44649</v>
      </c>
      <c r="C3842" s="13" t="inlineStr">
        <is>
          <t>VTA</t>
        </is>
      </c>
      <c r="D3842" s="13" t="n">
        <v>42</v>
      </c>
      <c r="E3842" s="10">
        <f>IF(D3842&gt;0,VLOOKUP(OPERAC[[#This Row],[COD CART]],[1]!MatrizCortoLargoCyl[#All],3,0),"")</f>
        <v/>
      </c>
      <c r="F3842" s="13" t="inlineStr">
        <is>
          <t>DIS</t>
        </is>
      </c>
      <c r="G3842" s="6" t="n">
        <v>6</v>
      </c>
      <c r="H3842" s="6" t="n">
        <v>-859.4063599999999</v>
      </c>
      <c r="I3842" s="7">
        <f>-H3842/G3842</f>
        <v/>
      </c>
      <c r="J3842" s="11" t="n">
        <v>44671</v>
      </c>
      <c r="K3842" s="6">
        <f>+OPERAC[[#This Row],[cantidad]]</f>
        <v/>
      </c>
      <c r="L3842" s="6">
        <f>+OPERAC[[#This Row],[cantidad venta]]*123.621</f>
        <v/>
      </c>
      <c r="M3842" s="7">
        <f>IF(N3842=0,+L3842+H3842,0)</f>
        <v/>
      </c>
      <c r="N3842" s="7">
        <f>IF((+G3842-K3842)=0,0,+G3842-K3842)</f>
        <v/>
      </c>
      <c r="O3842" s="7">
        <f>IF(N3842=0,0,(L3842+H3842)/-N3842)</f>
        <v/>
      </c>
      <c r="P3842" s="7">
        <f>VLOOKUP(OPERAC[[#This Row],[especie]],[1]!ESPECIES[#All],6,0)</f>
        <v/>
      </c>
      <c r="Q3842" s="7">
        <f>IF(N3842&lt;&gt;0,P3842*N3842,0)</f>
        <v/>
      </c>
      <c r="R3842" s="8">
        <f>IF(Q3842&lt;&gt;0,Q3842+H3842+L3842,0)</f>
        <v/>
      </c>
      <c r="S3842" s="9">
        <f>VLOOKUP(OPERAC[[#This Row],[especie]],[1]!ESPECIES[#Data],9,FALSE)</f>
        <v/>
      </c>
    </row>
    <row r="3843">
      <c r="A3843" s="4" t="n">
        <v>7950</v>
      </c>
      <c r="B3843" s="5" t="n">
        <v>44680</v>
      </c>
      <c r="C3843" s="13" t="inlineStr">
        <is>
          <t>VTA</t>
        </is>
      </c>
      <c r="D3843" s="13" t="n">
        <v>31</v>
      </c>
      <c r="E3843" s="10">
        <f>IF(D3843&gt;0,VLOOKUP(OPERAC[[#This Row],[COD CART]],[1]!MatrizCortoLargoCyl[#All],3,0),"")</f>
        <v/>
      </c>
      <c r="F3843" s="13" t="inlineStr">
        <is>
          <t>YPF</t>
        </is>
      </c>
      <c r="G3843" s="6" t="n">
        <v>200</v>
      </c>
      <c r="H3843" s="6" t="n">
        <v>-860.116</v>
      </c>
      <c r="I3843" s="7">
        <f>-H3843/G3843</f>
        <v/>
      </c>
      <c r="J3843" s="11" t="n"/>
      <c r="K3843" s="6" t="n"/>
      <c r="L3843" s="6" t="n"/>
      <c r="M3843" s="7">
        <f>IF(N3843=0,+L3843+H3843,0)</f>
        <v/>
      </c>
      <c r="N3843" s="7">
        <f>IF((+G3843-K3843)=0,0,+G3843-K3843)</f>
        <v/>
      </c>
      <c r="O3843" s="7">
        <f>IF(N3843=0,0,(L3843+H3843)/-N3843)</f>
        <v/>
      </c>
      <c r="P3843" s="7">
        <f>VLOOKUP(OPERAC[[#This Row],[especie]],[1]!ESPECIES[#All],6,0)</f>
        <v/>
      </c>
      <c r="Q3843" s="7">
        <f>IF(N3843&lt;&gt;0,P3843*N3843,0)</f>
        <v/>
      </c>
      <c r="R3843" s="8">
        <f>IF(Q3843&lt;&gt;0,Q3843+H3843+L3843,0)</f>
        <v/>
      </c>
      <c r="S3843" s="9">
        <f>VLOOKUP(OPERAC[[#This Row],[especie]],[1]!ESPECIES[#Data],9,FALSE)</f>
        <v/>
      </c>
    </row>
    <row r="3844">
      <c r="A3844" s="4" t="n">
        <v>22393</v>
      </c>
      <c r="B3844" s="5" t="n">
        <v>44714</v>
      </c>
      <c r="C3844" s="13" t="inlineStr">
        <is>
          <t>VTA</t>
        </is>
      </c>
      <c r="D3844" s="13" t="n">
        <v>32</v>
      </c>
      <c r="E3844" s="10">
        <f>IF(D3844&gt;0,VLOOKUP(OPERAC[[#This Row],[COD CART]],[1]!MatrizCortoLargoCyl[#All],3,0),"")</f>
        <v/>
      </c>
      <c r="F3844" s="13" t="inlineStr">
        <is>
          <t>PLBY/CYL/10,00/17-06-22</t>
        </is>
      </c>
      <c r="G3844" s="6" t="n">
        <v>100</v>
      </c>
      <c r="H3844" s="6" t="n">
        <v>-860.896</v>
      </c>
      <c r="I3844" s="7">
        <f>-H3844/G3844</f>
        <v/>
      </c>
      <c r="J3844" s="5" t="n"/>
      <c r="K3844" s="6" t="n"/>
      <c r="L3844" s="6" t="n"/>
      <c r="M3844" s="7">
        <f>IF(N3844=0,+L3844+H3844,0)</f>
        <v/>
      </c>
      <c r="N3844" s="7">
        <f>IF((+G3844-K3844)=0,0,+G3844-K3844)</f>
        <v/>
      </c>
      <c r="O3844" s="7">
        <f>IF(N3844=0,0,(L3844+H3844)/-N3844)</f>
        <v/>
      </c>
      <c r="P3844" s="7">
        <f>VLOOKUP(OPERAC[[#This Row],[especie]],[1]!ESPECIES[#All],6,0)</f>
        <v/>
      </c>
      <c r="Q3844" s="7">
        <f>IF(N3844&lt;&gt;0,P3844*N3844,0)</f>
        <v/>
      </c>
      <c r="R3844" s="8">
        <f>IF(Q3844&lt;&gt;0,Q3844+H3844+L3844,0)</f>
        <v/>
      </c>
      <c r="S3844" s="9">
        <f>VLOOKUP(OPERAC[[#This Row],[especie]],[1]!ESPECIES[#Data],9,FALSE)</f>
        <v/>
      </c>
    </row>
    <row r="3845">
      <c r="A3845" s="4" t="n">
        <v>3728</v>
      </c>
      <c r="B3845" s="5" t="n">
        <v>44459</v>
      </c>
      <c r="C3845" s="13" t="inlineStr">
        <is>
          <t>VTA</t>
        </is>
      </c>
      <c r="D3845" s="13" t="n">
        <v>40</v>
      </c>
      <c r="E3845" s="10">
        <f>IF(D3845&gt;0,VLOOKUP(OPERAC[[#This Row],[COD CART]],[1]!MatrizCortoLargoCyl[#All],3,0),"")</f>
        <v/>
      </c>
      <c r="F3845" s="13" t="inlineStr">
        <is>
          <t>EDU</t>
        </is>
      </c>
      <c r="G3845" s="6" t="n">
        <v>1000</v>
      </c>
      <c r="H3845" s="6">
        <f>-901.14+0.04*OPERAC[[#This Row],[cantidad]]</f>
        <v/>
      </c>
      <c r="I3845" s="7">
        <f>-H3845/G3845</f>
        <v/>
      </c>
      <c r="J3845" s="11" t="n">
        <v>44622</v>
      </c>
      <c r="K3845" s="6" t="n">
        <v>1000</v>
      </c>
      <c r="L3845" s="6">
        <f>+OPERAC[[#This Row],[cantidad venta]]*1.383</f>
        <v/>
      </c>
      <c r="M3845" s="7">
        <f>IF(N3845=0,+L3845+H3845,0)</f>
        <v/>
      </c>
      <c r="N3845" s="7">
        <f>IF((+G3845-K3845)=0,0,+G3845-K3845)</f>
        <v/>
      </c>
      <c r="O3845" s="7">
        <f>IF(N3845=0,0,(L3845+H3845)/-N3845)</f>
        <v/>
      </c>
      <c r="P3845" s="7">
        <f>VLOOKUP(OPERAC[[#This Row],[especie]],[1]!ESPECIES[#All],6,0)</f>
        <v/>
      </c>
      <c r="Q3845" s="7">
        <f>IF(N3845&lt;&gt;0,P3845*N3845,0)</f>
        <v/>
      </c>
      <c r="R3845" s="8">
        <f>IF(Q3845&lt;&gt;0,Q3845+H3845+L3845,0)</f>
        <v/>
      </c>
      <c r="S3845" s="9">
        <f>VLOOKUP(OPERAC[[#This Row],[especie]],[1]!ESPECIES[#Data],9,FALSE)</f>
        <v/>
      </c>
    </row>
    <row r="3846">
      <c r="A3846" s="4" t="n">
        <v>2257</v>
      </c>
      <c r="B3846" s="5" t="n">
        <v>44650</v>
      </c>
      <c r="C3846" s="13" t="inlineStr">
        <is>
          <t>VTA</t>
        </is>
      </c>
      <c r="D3846" s="13" t="n">
        <v>42</v>
      </c>
      <c r="E3846" s="10">
        <f>IF(D3846&gt;0,VLOOKUP(OPERAC[[#This Row],[COD CART]],[1]!MatrizCortoLargoCyl[#All],3,0),"")</f>
        <v/>
      </c>
      <c r="F3846" s="13" t="inlineStr">
        <is>
          <t>DIS</t>
        </is>
      </c>
      <c r="G3846" s="6" t="n">
        <v>6</v>
      </c>
      <c r="H3846" s="6" t="n">
        <v>-861.2970000000001</v>
      </c>
      <c r="I3846" s="7">
        <f>-H3846/G3846</f>
        <v/>
      </c>
      <c r="J3846" s="11" t="n">
        <v>44671</v>
      </c>
      <c r="K3846" s="6">
        <f>+OPERAC[[#This Row],[cantidad]]</f>
        <v/>
      </c>
      <c r="L3846" s="6">
        <f>+OPERAC[[#This Row],[cantidad venta]]*123.621</f>
        <v/>
      </c>
      <c r="M3846" s="7">
        <f>IF(N3846=0,+L3846+H3846,0)</f>
        <v/>
      </c>
      <c r="N3846" s="7">
        <f>IF((+G3846-K3846)=0,0,+G3846-K3846)</f>
        <v/>
      </c>
      <c r="O3846" s="7">
        <f>IF(N3846=0,0,(L3846+H3846)/-N3846)</f>
        <v/>
      </c>
      <c r="P3846" s="7">
        <f>VLOOKUP(OPERAC[[#This Row],[especie]],[1]!ESPECIES[#All],6,0)</f>
        <v/>
      </c>
      <c r="Q3846" s="7">
        <f>IF(N3846&lt;&gt;0,P3846*N3846,0)</f>
        <v/>
      </c>
      <c r="R3846" s="8">
        <f>IF(Q3846&lt;&gt;0,Q3846+H3846+L3846,0)</f>
        <v/>
      </c>
      <c r="S3846" s="9">
        <f>VLOOKUP(OPERAC[[#This Row],[especie]],[1]!ESPECIES[#Data],9,FALSE)</f>
        <v/>
      </c>
    </row>
    <row r="3847">
      <c r="A3847" s="4" t="n">
        <v>19932</v>
      </c>
      <c r="B3847" s="5" t="n">
        <v>44629</v>
      </c>
      <c r="C3847" s="13" t="inlineStr">
        <is>
          <t>VTA</t>
        </is>
      </c>
      <c r="D3847" s="13" t="n">
        <v>31</v>
      </c>
      <c r="E3847" s="10">
        <f>IF(D3847&gt;0,VLOOKUP(OPERAC[[#This Row],[COD CART]],[1]!MatrizCortoLargoCyl[#All],3,0),"")</f>
        <v/>
      </c>
      <c r="F3847" s="13" t="inlineStr">
        <is>
          <t>SPY</t>
        </is>
      </c>
      <c r="G3847" s="6" t="n">
        <v>2</v>
      </c>
      <c r="H3847" s="6" t="n">
        <v>-862.19488</v>
      </c>
      <c r="I3847" s="7">
        <f>-H3847/G3847</f>
        <v/>
      </c>
      <c r="J3847" s="11" t="n"/>
      <c r="K3847" s="6" t="n"/>
      <c r="L3847" s="6" t="n"/>
      <c r="M3847" s="7">
        <f>IF(N3847=0,+L3847+H3847,0)</f>
        <v/>
      </c>
      <c r="N3847" s="7">
        <f>IF((+G3847-K3847)=0,0,+G3847-K3847)</f>
        <v/>
      </c>
      <c r="O3847" s="7">
        <f>IF(N3847=0,0,(L3847+H3847)/-N3847)</f>
        <v/>
      </c>
      <c r="P3847" s="7">
        <f>VLOOKUP(OPERAC[[#This Row],[especie]],[1]!ESPECIES[#All],6,0)</f>
        <v/>
      </c>
      <c r="Q3847" s="7">
        <f>IF(N3847&lt;&gt;0,P3847*N3847,0)</f>
        <v/>
      </c>
      <c r="R3847" s="8">
        <f>IF(Q3847&lt;&gt;0,Q3847+H3847+L3847,0)</f>
        <v/>
      </c>
      <c r="S3847" s="9">
        <f>VLOOKUP(OPERAC[[#This Row],[especie]],[1]!ESPECIES[#Data],9,FALSE)</f>
        <v/>
      </c>
    </row>
    <row r="3848">
      <c r="A3848" s="4" t="n">
        <v>13253</v>
      </c>
      <c r="B3848" s="5" t="n">
        <v>44690</v>
      </c>
      <c r="C3848" s="13" t="inlineStr">
        <is>
          <t>VTA</t>
        </is>
      </c>
      <c r="D3848" s="13" t="n">
        <v>41</v>
      </c>
      <c r="E3848" s="10">
        <f>IF(D3848&gt;0,VLOOKUP(OPERAC[[#This Row],[COD CART]],[1]!MatrizCortoLargoCyl[#All],3,0),"")</f>
        <v/>
      </c>
      <c r="F3848" s="13" t="inlineStr">
        <is>
          <t>JEPI</t>
        </is>
      </c>
      <c r="G3848" s="6" t="n">
        <v>15</v>
      </c>
      <c r="H3848" s="6" t="n">
        <v>-862.418775</v>
      </c>
      <c r="I3848" s="7">
        <f>-H3848/G3848</f>
        <v/>
      </c>
      <c r="J3848" s="11" t="n"/>
      <c r="K3848" s="6" t="n"/>
      <c r="L3848" s="6" t="n"/>
      <c r="M3848" s="7">
        <f>IF(N3848=0,+L3848+H3848,0)</f>
        <v/>
      </c>
      <c r="N3848" s="7">
        <f>IF((+G3848-K3848)=0,0,+G3848-K3848)</f>
        <v/>
      </c>
      <c r="O3848" s="7">
        <f>IF(N3848=0,0,(L3848+H3848)/-N3848)</f>
        <v/>
      </c>
      <c r="P3848" s="7">
        <f>VLOOKUP(OPERAC[[#This Row],[especie]],[1]!ESPECIES[#All],6,0)</f>
        <v/>
      </c>
      <c r="Q3848" s="7">
        <f>IF(N3848&lt;&gt;0,P3848*N3848,0)</f>
        <v/>
      </c>
      <c r="R3848" s="8">
        <f>IF(Q3848&lt;&gt;0,Q3848+H3848+L3848,0)</f>
        <v/>
      </c>
      <c r="S3848" s="9">
        <f>VLOOKUP(OPERAC[[#This Row],[especie]],[1]!ESPECIES[#Data],9,FALSE)</f>
        <v/>
      </c>
    </row>
    <row r="3849">
      <c r="A3849" s="4" t="n">
        <v>2255</v>
      </c>
      <c r="B3849" s="5" t="n">
        <v>44609</v>
      </c>
      <c r="C3849" s="13" t="inlineStr">
        <is>
          <t>VTA</t>
        </is>
      </c>
      <c r="D3849" s="13" t="n">
        <v>32</v>
      </c>
      <c r="E3849" s="10">
        <f>IF(D3849&gt;0,VLOOKUP(OPERAC[[#This Row],[COD CART]],[1]!MatrizCortoLargoCyl[#All],3,0),"")</f>
        <v/>
      </c>
      <c r="F3849" s="13" t="inlineStr">
        <is>
          <t>HIMX/CYL/9,00/18-03-22</t>
        </is>
      </c>
      <c r="G3849" s="6" t="n">
        <v>100</v>
      </c>
      <c r="H3849" s="6" t="n">
        <v>-864.3919999999998</v>
      </c>
      <c r="I3849" s="7">
        <f>-H3849/G3849</f>
        <v/>
      </c>
      <c r="J3849" s="11" t="n">
        <v>44622</v>
      </c>
      <c r="K3849" s="6">
        <f>+OPERAC[[#This Row],[cantidad]]</f>
        <v/>
      </c>
      <c r="L3849" s="6" t="n">
        <v>883.576</v>
      </c>
      <c r="M3849" s="7">
        <f>IF(N3849=0,+L3849+H3849,0)</f>
        <v/>
      </c>
      <c r="N3849" s="7">
        <f>IF((+G3849-K3849)=0,0,+G3849-K3849)</f>
        <v/>
      </c>
      <c r="O3849" s="7">
        <f>IF(N3849=0,0,(L3849+H3849)/-N3849)</f>
        <v/>
      </c>
      <c r="P3849" s="7">
        <f>VLOOKUP(OPERAC[[#This Row],[especie]],[1]!ESPECIES[#All],6,0)</f>
        <v/>
      </c>
      <c r="Q3849" s="7">
        <f>IF(N3849&lt;&gt;0,P3849*N3849,0)</f>
        <v/>
      </c>
      <c r="R3849" s="8">
        <f>IF(Q3849&lt;&gt;0,Q3849+H3849+L3849,0)</f>
        <v/>
      </c>
      <c r="S3849" s="9">
        <f>VLOOKUP(OPERAC[[#This Row],[especie]],[1]!ESPECIES[#Data],9,FALSE)</f>
        <v/>
      </c>
    </row>
    <row r="3850">
      <c r="A3850" s="4" t="n">
        <v>16829</v>
      </c>
      <c r="B3850" s="5" t="n">
        <v>44609</v>
      </c>
      <c r="C3850" s="13" t="inlineStr">
        <is>
          <t>VTA</t>
        </is>
      </c>
      <c r="D3850" s="13" t="n">
        <v>32</v>
      </c>
      <c r="E3850" s="10">
        <f>IF(D3850&gt;0,VLOOKUP(OPERAC[[#This Row],[COD CART]],[1]!MatrizCortoLargoCyl[#All],3,0),"")</f>
        <v/>
      </c>
      <c r="F3850" s="13" t="inlineStr">
        <is>
          <t>HIMX/CYL/9,00/18-03-22</t>
        </is>
      </c>
      <c r="G3850" s="6" t="n">
        <v>100</v>
      </c>
      <c r="H3850" s="6" t="n">
        <v>-864.3919999999998</v>
      </c>
      <c r="I3850" s="7">
        <f>-H3850/G3850</f>
        <v/>
      </c>
      <c r="J3850" s="11" t="n">
        <v>44622</v>
      </c>
      <c r="K3850" s="6">
        <f>+OPERAC[[#This Row],[cantidad]]</f>
        <v/>
      </c>
      <c r="L3850" s="6" t="n">
        <v>883.576</v>
      </c>
      <c r="M3850" s="7">
        <f>IF(N3850=0,+L3850+H3850,0)</f>
        <v/>
      </c>
      <c r="N3850" s="7">
        <f>IF((+G3850-K3850)=0,0,+G3850-K3850)</f>
        <v/>
      </c>
      <c r="O3850" s="7">
        <f>IF(N3850=0,0,(L3850+H3850)/-N3850)</f>
        <v/>
      </c>
      <c r="P3850" s="7">
        <f>VLOOKUP(OPERAC[[#This Row],[especie]],[1]!ESPECIES[#All],6,0)</f>
        <v/>
      </c>
      <c r="Q3850" s="7">
        <f>IF(N3850&lt;&gt;0,P3850*N3850,0)</f>
        <v/>
      </c>
      <c r="R3850" s="8">
        <f>IF(Q3850&lt;&gt;0,Q3850+H3850+L3850,0)</f>
        <v/>
      </c>
      <c r="S3850" s="9">
        <f>VLOOKUP(OPERAC[[#This Row],[especie]],[1]!ESPECIES[#Data],9,FALSE)</f>
        <v/>
      </c>
    </row>
    <row r="3851">
      <c r="A3851" s="4" t="n">
        <v>1760</v>
      </c>
      <c r="B3851" s="5" t="n">
        <v>44643</v>
      </c>
      <c r="C3851" s="13" t="inlineStr">
        <is>
          <t>VTA</t>
        </is>
      </c>
      <c r="D3851" s="13" t="n">
        <v>42</v>
      </c>
      <c r="E3851" s="10">
        <f>IF(D3851&gt;0,VLOOKUP(OPERAC[[#This Row],[COD CART]],[1]!MatrizCortoLargoCyl[#All],3,0),"")</f>
        <v/>
      </c>
      <c r="F3851" s="13" t="inlineStr">
        <is>
          <t>FB</t>
        </is>
      </c>
      <c r="G3851" s="6" t="n">
        <v>4</v>
      </c>
      <c r="H3851" s="6" t="n">
        <v>-864.4930400000001</v>
      </c>
      <c r="I3851" s="7">
        <f>-H3851/G3851</f>
        <v/>
      </c>
      <c r="J3851" s="11" t="n">
        <v>44671</v>
      </c>
      <c r="K3851" s="6">
        <f>+OPERAC[[#This Row],[cantidad]]</f>
        <v/>
      </c>
      <c r="L3851" s="6">
        <f>+OPERAC[[#This Row],[cantidad venta]]*213.173</f>
        <v/>
      </c>
      <c r="M3851" s="7">
        <f>IF(N3851=0,+L3851+H3851,0)</f>
        <v/>
      </c>
      <c r="N3851" s="7">
        <f>IF((+G3851-K3851)=0,0,+G3851-K3851)</f>
        <v/>
      </c>
      <c r="O3851" s="7">
        <f>IF(N3851=0,0,(L3851+H3851)/-N3851)</f>
        <v/>
      </c>
      <c r="P3851" s="7">
        <f>VLOOKUP(OPERAC[[#This Row],[especie]],[1]!ESPECIES[#All],6,0)</f>
        <v/>
      </c>
      <c r="Q3851" s="7">
        <f>IF(N3851&lt;&gt;0,P3851*N3851,0)</f>
        <v/>
      </c>
      <c r="R3851" s="8">
        <f>IF(Q3851&lt;&gt;0,Q3851+H3851+L3851,0)</f>
        <v/>
      </c>
      <c r="S3851" s="9">
        <f>VLOOKUP(OPERAC[[#This Row],[especie]],[1]!ESPECIES[#Data],9,FALSE)</f>
        <v/>
      </c>
    </row>
    <row r="3852">
      <c r="A3852" s="4" t="n">
        <v>16795</v>
      </c>
      <c r="B3852" s="5" t="n">
        <v>44643</v>
      </c>
      <c r="C3852" s="13" t="inlineStr">
        <is>
          <t>VTA</t>
        </is>
      </c>
      <c r="D3852" s="13" t="n">
        <v>42</v>
      </c>
      <c r="E3852" s="10">
        <f>IF(D3852&gt;0,VLOOKUP(OPERAC[[#This Row],[COD CART]],[1]!MatrizCortoLargoCyl[#All],3,0),"")</f>
        <v/>
      </c>
      <c r="F3852" s="13" t="inlineStr">
        <is>
          <t>FB</t>
        </is>
      </c>
      <c r="G3852" s="6" t="n">
        <v>4</v>
      </c>
      <c r="H3852" s="6" t="n">
        <v>-864.4930400000001</v>
      </c>
      <c r="I3852" s="7">
        <f>-H3852/G3852</f>
        <v/>
      </c>
      <c r="J3852" s="11" t="n">
        <v>44671</v>
      </c>
      <c r="K3852" s="6">
        <f>+OPERAC[[#This Row],[cantidad]]</f>
        <v/>
      </c>
      <c r="L3852" s="6">
        <f>+OPERAC[[#This Row],[cantidad venta]]*213.173</f>
        <v/>
      </c>
      <c r="M3852" s="7">
        <f>IF(N3852=0,+L3852+H3852,0)</f>
        <v/>
      </c>
      <c r="N3852" s="7">
        <f>IF((+G3852-K3852)=0,0,+G3852-K3852)</f>
        <v/>
      </c>
      <c r="O3852" s="7">
        <f>IF(N3852=0,0,(L3852+H3852)/-N3852)</f>
        <v/>
      </c>
      <c r="P3852" s="7">
        <f>VLOOKUP(OPERAC[[#This Row],[especie]],[1]!ESPECIES[#All],6,0)</f>
        <v/>
      </c>
      <c r="Q3852" s="7">
        <f>IF(N3852&lt;&gt;0,P3852*N3852,0)</f>
        <v/>
      </c>
      <c r="R3852" s="8">
        <f>IF(Q3852&lt;&gt;0,Q3852+H3852+L3852,0)</f>
        <v/>
      </c>
      <c r="S3852" s="9">
        <f>VLOOKUP(OPERAC[[#This Row],[especie]],[1]!ESPECIES[#Data],9,FALSE)</f>
        <v/>
      </c>
    </row>
    <row r="3853">
      <c r="A3853" s="4" t="n">
        <v>19920</v>
      </c>
      <c r="B3853" s="5" t="n">
        <v>44643</v>
      </c>
      <c r="C3853" s="13" t="inlineStr">
        <is>
          <t>VTA</t>
        </is>
      </c>
      <c r="D3853" s="13" t="n">
        <v>42</v>
      </c>
      <c r="E3853" s="10">
        <f>IF(D3853&gt;0,VLOOKUP(OPERAC[[#This Row],[COD CART]],[1]!MatrizCortoLargoCyl[#All],3,0),"")</f>
        <v/>
      </c>
      <c r="F3853" s="13" t="inlineStr">
        <is>
          <t>FB</t>
        </is>
      </c>
      <c r="G3853" s="6" t="n">
        <v>4</v>
      </c>
      <c r="H3853" s="6" t="n">
        <v>-864.4930400000001</v>
      </c>
      <c r="I3853" s="7">
        <f>-H3853/G3853</f>
        <v/>
      </c>
      <c r="J3853" s="11" t="n">
        <v>44671</v>
      </c>
      <c r="K3853" s="6">
        <f>+OPERAC[[#This Row],[cantidad]]</f>
        <v/>
      </c>
      <c r="L3853" s="6">
        <f>+OPERAC[[#This Row],[cantidad venta]]*213.173</f>
        <v/>
      </c>
      <c r="M3853" s="7">
        <f>IF(N3853=0,+L3853+H3853,0)</f>
        <v/>
      </c>
      <c r="N3853" s="7">
        <f>IF((+G3853-K3853)=0,0,+G3853-K3853)</f>
        <v/>
      </c>
      <c r="O3853" s="7">
        <f>IF(N3853=0,0,(L3853+H3853)/-N3853)</f>
        <v/>
      </c>
      <c r="P3853" s="7">
        <f>VLOOKUP(OPERAC[[#This Row],[especie]],[1]!ESPECIES[#All],6,0)</f>
        <v/>
      </c>
      <c r="Q3853" s="7">
        <f>IF(N3853&lt;&gt;0,P3853*N3853,0)</f>
        <v/>
      </c>
      <c r="R3853" s="8">
        <f>IF(Q3853&lt;&gt;0,Q3853+H3853+L3853,0)</f>
        <v/>
      </c>
      <c r="S3853" s="9">
        <f>VLOOKUP(OPERAC[[#This Row],[especie]],[1]!ESPECIES[#Data],9,FALSE)</f>
        <v/>
      </c>
    </row>
    <row r="3854">
      <c r="A3854" s="4" t="n">
        <v>2194</v>
      </c>
      <c r="B3854" s="5" t="n">
        <v>44704</v>
      </c>
      <c r="C3854" s="13" t="inlineStr">
        <is>
          <t>VTA</t>
        </is>
      </c>
      <c r="D3854" s="13" t="n">
        <v>32</v>
      </c>
      <c r="E3854" s="10">
        <f>IF(D3854&gt;0,VLOOKUP(OPERAC[[#This Row],[COD CART]],[1]!MatrizCortoLargoCyl[#All],3,0),"")</f>
        <v/>
      </c>
      <c r="F3854" s="13" t="inlineStr">
        <is>
          <t>HIMX/CYL/9,00/10-06-22</t>
        </is>
      </c>
      <c r="G3854" s="6" t="n">
        <v>100</v>
      </c>
      <c r="H3854" s="6" t="n">
        <v>-866.7</v>
      </c>
      <c r="I3854" s="7">
        <f>-H3854/G3854</f>
        <v/>
      </c>
      <c r="J3854" s="5" t="n">
        <v>44721</v>
      </c>
      <c r="K3854" s="6" t="n">
        <v>100</v>
      </c>
      <c r="L3854" s="6" t="n">
        <v>898.25</v>
      </c>
      <c r="M3854" s="7">
        <f>IF(N3854=0,+L3854+H3854,0)</f>
        <v/>
      </c>
      <c r="N3854" s="7">
        <f>IF((+G3854-K3854)=0,0,+G3854-K3854)</f>
        <v/>
      </c>
      <c r="O3854" s="7">
        <f>IF(N3854=0,0,(L3854+H3854)/-N3854)</f>
        <v/>
      </c>
      <c r="P3854" s="7">
        <f>VLOOKUP(OPERAC[[#This Row],[especie]],[1]!ESPECIES[#All],6,0)</f>
        <v/>
      </c>
      <c r="Q3854" s="7">
        <f>IF(N3854&lt;&gt;0,P3854*N3854,0)</f>
        <v/>
      </c>
      <c r="R3854" s="8">
        <f>IF(Q3854&lt;&gt;0,Q3854+H3854+L3854,0)</f>
        <v/>
      </c>
      <c r="S3854" s="9">
        <f>VLOOKUP(OPERAC[[#This Row],[especie]],[1]!ESPECIES[#Data],9,FALSE)</f>
        <v/>
      </c>
    </row>
    <row r="3855">
      <c r="A3855" s="4" t="n">
        <v>2255</v>
      </c>
      <c r="B3855" s="5" t="n">
        <v>44704</v>
      </c>
      <c r="C3855" s="13" t="inlineStr">
        <is>
          <t>VTA</t>
        </is>
      </c>
      <c r="D3855" s="13" t="n">
        <v>32</v>
      </c>
      <c r="E3855" s="10">
        <f>IF(D3855&gt;0,VLOOKUP(OPERAC[[#This Row],[COD CART]],[1]!MatrizCortoLargoCyl[#All],3,0),"")</f>
        <v/>
      </c>
      <c r="F3855" s="13" t="inlineStr">
        <is>
          <t>HIMX/CYL/9,00/10-06-22</t>
        </is>
      </c>
      <c r="G3855" s="6" t="n">
        <v>100</v>
      </c>
      <c r="H3855" s="6" t="n">
        <v>-866.7</v>
      </c>
      <c r="I3855" s="7">
        <f>-H3855/G3855</f>
        <v/>
      </c>
      <c r="J3855" s="5" t="n">
        <v>44721</v>
      </c>
      <c r="K3855" s="6" t="n">
        <v>100</v>
      </c>
      <c r="L3855" s="6" t="n">
        <v>898.25</v>
      </c>
      <c r="M3855" s="7">
        <f>IF(N3855=0,+L3855+H3855,0)</f>
        <v/>
      </c>
      <c r="N3855" s="7">
        <f>IF((+G3855-K3855)=0,0,+G3855-K3855)</f>
        <v/>
      </c>
      <c r="O3855" s="7">
        <f>IF(N3855=0,0,(L3855+H3855)/-N3855)</f>
        <v/>
      </c>
      <c r="P3855" s="7">
        <f>VLOOKUP(OPERAC[[#This Row],[especie]],[1]!ESPECIES[#All],6,0)</f>
        <v/>
      </c>
      <c r="Q3855" s="7">
        <f>IF(N3855&lt;&gt;0,P3855*N3855,0)</f>
        <v/>
      </c>
      <c r="R3855" s="8">
        <f>IF(Q3855&lt;&gt;0,Q3855+H3855+L3855,0)</f>
        <v/>
      </c>
      <c r="S3855" s="9">
        <f>VLOOKUP(OPERAC[[#This Row],[especie]],[1]!ESPECIES[#Data],9,FALSE)</f>
        <v/>
      </c>
    </row>
    <row r="3856">
      <c r="A3856" s="4" t="n">
        <v>2257</v>
      </c>
      <c r="B3856" s="5" t="n">
        <v>44704</v>
      </c>
      <c r="C3856" s="13" t="inlineStr">
        <is>
          <t>VTA</t>
        </is>
      </c>
      <c r="D3856" s="13" t="n">
        <v>32</v>
      </c>
      <c r="E3856" s="10">
        <f>IF(D3856&gt;0,VLOOKUP(OPERAC[[#This Row],[COD CART]],[1]!MatrizCortoLargoCyl[#All],3,0),"")</f>
        <v/>
      </c>
      <c r="F3856" s="13" t="inlineStr">
        <is>
          <t>HIMX/CYL/9,00/10-06-22</t>
        </is>
      </c>
      <c r="G3856" s="6" t="n">
        <v>100</v>
      </c>
      <c r="H3856" s="6" t="n">
        <v>-866.7</v>
      </c>
      <c r="I3856" s="7">
        <f>-H3856/G3856</f>
        <v/>
      </c>
      <c r="J3856" s="5" t="n">
        <v>44721</v>
      </c>
      <c r="K3856" s="6" t="n">
        <v>100</v>
      </c>
      <c r="L3856" s="6" t="n">
        <v>898.25</v>
      </c>
      <c r="M3856" s="7">
        <f>IF(N3856=0,+L3856+H3856,0)</f>
        <v/>
      </c>
      <c r="N3856" s="7">
        <f>IF((+G3856-K3856)=0,0,+G3856-K3856)</f>
        <v/>
      </c>
      <c r="O3856" s="7">
        <f>IF(N3856=0,0,(L3856+H3856)/-N3856)</f>
        <v/>
      </c>
      <c r="P3856" s="7">
        <f>VLOOKUP(OPERAC[[#This Row],[especie]],[1]!ESPECIES[#All],6,0)</f>
        <v/>
      </c>
      <c r="Q3856" s="7">
        <f>IF(N3856&lt;&gt;0,P3856*N3856,0)</f>
        <v/>
      </c>
      <c r="R3856" s="8">
        <f>IF(Q3856&lt;&gt;0,Q3856+H3856+L3856,0)</f>
        <v/>
      </c>
      <c r="S3856" s="9">
        <f>VLOOKUP(OPERAC[[#This Row],[especie]],[1]!ESPECIES[#Data],9,FALSE)</f>
        <v/>
      </c>
    </row>
    <row r="3857">
      <c r="A3857" s="4" t="n">
        <v>2306</v>
      </c>
      <c r="B3857" s="5" t="n">
        <v>44704</v>
      </c>
      <c r="C3857" s="13" t="inlineStr">
        <is>
          <t>VTA</t>
        </is>
      </c>
      <c r="D3857" s="13" t="n">
        <v>32</v>
      </c>
      <c r="E3857" s="10">
        <f>IF(D3857&gt;0,VLOOKUP(OPERAC[[#This Row],[COD CART]],[1]!MatrizCortoLargoCyl[#All],3,0),"")</f>
        <v/>
      </c>
      <c r="F3857" s="13" t="inlineStr">
        <is>
          <t>HIMX/CYL/9,00/10-06-22</t>
        </is>
      </c>
      <c r="G3857" s="6" t="n">
        <v>100</v>
      </c>
      <c r="H3857" s="6" t="n">
        <v>-866.7</v>
      </c>
      <c r="I3857" s="7">
        <f>-H3857/G3857</f>
        <v/>
      </c>
      <c r="J3857" s="5" t="n">
        <v>44721</v>
      </c>
      <c r="K3857" s="6" t="n">
        <v>100</v>
      </c>
      <c r="L3857" s="6" t="n">
        <v>898.25</v>
      </c>
      <c r="M3857" s="7">
        <f>IF(N3857=0,+L3857+H3857,0)</f>
        <v/>
      </c>
      <c r="N3857" s="7">
        <f>IF((+G3857-K3857)=0,0,+G3857-K3857)</f>
        <v/>
      </c>
      <c r="O3857" s="7">
        <f>IF(N3857=0,0,(L3857+H3857)/-N3857)</f>
        <v/>
      </c>
      <c r="P3857" s="7">
        <f>VLOOKUP(OPERAC[[#This Row],[especie]],[1]!ESPECIES[#All],6,0)</f>
        <v/>
      </c>
      <c r="Q3857" s="7">
        <f>IF(N3857&lt;&gt;0,P3857*N3857,0)</f>
        <v/>
      </c>
      <c r="R3857" s="8">
        <f>IF(Q3857&lt;&gt;0,Q3857+H3857+L3857,0)</f>
        <v/>
      </c>
      <c r="S3857" s="9">
        <f>VLOOKUP(OPERAC[[#This Row],[especie]],[1]!ESPECIES[#Data],9,FALSE)</f>
        <v/>
      </c>
    </row>
    <row r="3858">
      <c r="A3858" s="4" t="n">
        <v>7493</v>
      </c>
      <c r="B3858" s="5" t="n">
        <v>44704</v>
      </c>
      <c r="C3858" s="13" t="inlineStr">
        <is>
          <t>VTA</t>
        </is>
      </c>
      <c r="D3858" s="13" t="n">
        <v>32</v>
      </c>
      <c r="E3858" s="10">
        <f>IF(D3858&gt;0,VLOOKUP(OPERAC[[#This Row],[COD CART]],[1]!MatrizCortoLargoCyl[#All],3,0),"")</f>
        <v/>
      </c>
      <c r="F3858" s="13" t="inlineStr">
        <is>
          <t>HIMX/CYL/9,00/10-06-22</t>
        </is>
      </c>
      <c r="G3858" s="6" t="n">
        <v>100</v>
      </c>
      <c r="H3858" s="6" t="n">
        <v>-866.7</v>
      </c>
      <c r="I3858" s="7">
        <f>-H3858/G3858</f>
        <v/>
      </c>
      <c r="J3858" s="5" t="n">
        <v>44721</v>
      </c>
      <c r="K3858" s="6" t="n">
        <v>100</v>
      </c>
      <c r="L3858" s="6" t="n">
        <v>898.25</v>
      </c>
      <c r="M3858" s="7">
        <f>IF(N3858=0,+L3858+H3858,0)</f>
        <v/>
      </c>
      <c r="N3858" s="7">
        <f>IF((+G3858-K3858)=0,0,+G3858-K3858)</f>
        <v/>
      </c>
      <c r="O3858" s="7">
        <f>IF(N3858=0,0,(L3858+H3858)/-N3858)</f>
        <v/>
      </c>
      <c r="P3858" s="7">
        <f>VLOOKUP(OPERAC[[#This Row],[especie]],[1]!ESPECIES[#All],6,0)</f>
        <v/>
      </c>
      <c r="Q3858" s="7">
        <f>IF(N3858&lt;&gt;0,P3858*N3858,0)</f>
        <v/>
      </c>
      <c r="R3858" s="8">
        <f>IF(Q3858&lt;&gt;0,Q3858+H3858+L3858,0)</f>
        <v/>
      </c>
      <c r="S3858" s="9">
        <f>VLOOKUP(OPERAC[[#This Row],[especie]],[1]!ESPECIES[#Data],9,FALSE)</f>
        <v/>
      </c>
    </row>
    <row r="3859">
      <c r="A3859" s="4" t="n">
        <v>10079</v>
      </c>
      <c r="B3859" s="5" t="n">
        <v>44704</v>
      </c>
      <c r="C3859" s="13" t="inlineStr">
        <is>
          <t>VTA</t>
        </is>
      </c>
      <c r="D3859" s="13" t="n">
        <v>32</v>
      </c>
      <c r="E3859" s="10">
        <f>IF(D3859&gt;0,VLOOKUP(OPERAC[[#This Row],[COD CART]],[1]!MatrizCortoLargoCyl[#All],3,0),"")</f>
        <v/>
      </c>
      <c r="F3859" s="13" t="inlineStr">
        <is>
          <t>HIMX/CYL/9,00/10-06-22</t>
        </is>
      </c>
      <c r="G3859" s="6" t="n">
        <v>100</v>
      </c>
      <c r="H3859" s="6" t="n">
        <v>-866.7</v>
      </c>
      <c r="I3859" s="7">
        <f>-H3859/G3859</f>
        <v/>
      </c>
      <c r="J3859" s="5" t="n">
        <v>44721</v>
      </c>
      <c r="K3859" s="6" t="n">
        <v>100</v>
      </c>
      <c r="L3859" s="6" t="n">
        <v>898.25</v>
      </c>
      <c r="M3859" s="7">
        <f>IF(N3859=0,+L3859+H3859,0)</f>
        <v/>
      </c>
      <c r="N3859" s="7">
        <f>IF((+G3859-K3859)=0,0,+G3859-K3859)</f>
        <v/>
      </c>
      <c r="O3859" s="7">
        <f>IF(N3859=0,0,(L3859+H3859)/-N3859)</f>
        <v/>
      </c>
      <c r="P3859" s="7">
        <f>VLOOKUP(OPERAC[[#This Row],[especie]],[1]!ESPECIES[#All],6,0)</f>
        <v/>
      </c>
      <c r="Q3859" s="7">
        <f>IF(N3859&lt;&gt;0,P3859*N3859,0)</f>
        <v/>
      </c>
      <c r="R3859" s="8">
        <f>IF(Q3859&lt;&gt;0,Q3859+H3859+L3859,0)</f>
        <v/>
      </c>
      <c r="S3859" s="9">
        <f>VLOOKUP(OPERAC[[#This Row],[especie]],[1]!ESPECIES[#Data],9,FALSE)</f>
        <v/>
      </c>
    </row>
    <row r="3860">
      <c r="A3860" s="4" t="n">
        <v>2218</v>
      </c>
      <c r="B3860" s="5" t="n">
        <v>44523</v>
      </c>
      <c r="C3860" s="13" t="inlineStr">
        <is>
          <t>VTA</t>
        </is>
      </c>
      <c r="D3860" s="13" t="n">
        <v>40</v>
      </c>
      <c r="E3860" s="10">
        <f>IF(D3860&gt;0,VLOOKUP(OPERAC[[#This Row],[COD CART]],[1]!MatrizCortoLargoCyl[#All],3,0),"")</f>
        <v/>
      </c>
      <c r="F3860" s="13" t="inlineStr">
        <is>
          <t>EDU</t>
        </is>
      </c>
      <c r="G3860" s="6" t="n">
        <v>500</v>
      </c>
      <c r="H3860" s="6">
        <f>-879.7875+0.026*OPERAC[[#This Row],[cantidad]]</f>
        <v/>
      </c>
      <c r="I3860" s="7">
        <f>-H3860/G3860</f>
        <v/>
      </c>
      <c r="J3860" s="11" t="n">
        <v>44615</v>
      </c>
      <c r="K3860" s="6" t="n">
        <v>500</v>
      </c>
      <c r="L3860" s="6">
        <f>+OPERAC[[#This Row],[cantidad venta]]*1.505</f>
        <v/>
      </c>
      <c r="M3860" s="7">
        <f>IF(N3860=0,+L3860+H3860,0)</f>
        <v/>
      </c>
      <c r="N3860" s="7">
        <f>IF((+G3860-K3860)=0,0,+G3860-K3860)</f>
        <v/>
      </c>
      <c r="O3860" s="7">
        <f>IF(N3860=0,0,(L3860+H3860)/-N3860)</f>
        <v/>
      </c>
      <c r="P3860" s="7">
        <f>VLOOKUP(OPERAC[[#This Row],[especie]],[1]!ESPECIES[#All],6,0)</f>
        <v/>
      </c>
      <c r="Q3860" s="7">
        <f>IF(N3860&lt;&gt;0,P3860*N3860,0)</f>
        <v/>
      </c>
      <c r="R3860" s="8">
        <f>IF(Q3860&lt;&gt;0,Q3860+H3860+L3860,0)</f>
        <v/>
      </c>
      <c r="S3860" s="9">
        <f>VLOOKUP(OPERAC[[#This Row],[especie]],[1]!ESPECIES[#Data],9,FALSE)</f>
        <v/>
      </c>
    </row>
    <row r="3861">
      <c r="A3861" s="4" t="n">
        <v>18663</v>
      </c>
      <c r="B3861" s="5" t="n">
        <v>43831</v>
      </c>
      <c r="C3861" s="13" t="inlineStr">
        <is>
          <t>VTA</t>
        </is>
      </c>
      <c r="D3861" s="13" t="n">
        <v>41</v>
      </c>
      <c r="E3861" s="10">
        <f>IF(D3861&gt;0,VLOOKUP(OPERAC[[#This Row],[COD CART]],[1]!MatrizCortoLargoCyl[#All],3,0),"")</f>
        <v/>
      </c>
      <c r="F3861" s="13" t="inlineStr">
        <is>
          <t>BABA</t>
        </is>
      </c>
      <c r="G3861" s="6" t="n">
        <v>4</v>
      </c>
      <c r="H3861" s="6" t="n">
        <v>-868</v>
      </c>
      <c r="I3861" s="7" t="n">
        <v>217</v>
      </c>
      <c r="J3861" s="5" t="n"/>
      <c r="K3861" s="6" t="n">
        <v>1</v>
      </c>
      <c r="L3861" s="6" t="n">
        <v>208</v>
      </c>
      <c r="M3861" s="7">
        <f>IF(N3861=0,+L3861+H3861,0)</f>
        <v/>
      </c>
      <c r="N3861" s="7">
        <f>IF((+G3861-K3861)=0,0,+G3861-K3861)</f>
        <v/>
      </c>
      <c r="O3861" s="7">
        <f>IF(N3861=0,0,(L3861+H3861)/-N3861)</f>
        <v/>
      </c>
      <c r="P3861" s="7">
        <f>VLOOKUP(OPERAC[[#This Row],[especie]],[1]!ESPECIES[#All],6,0)</f>
        <v/>
      </c>
      <c r="Q3861" s="7">
        <f>IF(N3861&lt;&gt;0,P3861*N3861,0)</f>
        <v/>
      </c>
      <c r="R3861" s="8">
        <f>IF(Q3861&lt;&gt;0,Q3861+H3861+L3861,0)</f>
        <v/>
      </c>
      <c r="S3861" s="9">
        <f>VLOOKUP(OPERAC[[#This Row],[especie]],[1]!ESPECIES[#Data],9,FALSE)</f>
        <v/>
      </c>
    </row>
    <row r="3862">
      <c r="A3862" s="4" t="n">
        <v>1807</v>
      </c>
      <c r="B3862" s="5" t="n">
        <v>44609</v>
      </c>
      <c r="C3862" s="13" t="inlineStr">
        <is>
          <t>VTA</t>
        </is>
      </c>
      <c r="D3862" s="13" t="n">
        <v>32</v>
      </c>
      <c r="E3862" s="10">
        <f>IF(D3862&gt;0,VLOOKUP(OPERAC[[#This Row],[COD CART]],[1]!MatrizCortoLargoCyl[#All],3,0),"")</f>
        <v/>
      </c>
      <c r="F3862" s="13" t="inlineStr">
        <is>
          <t>HIMX/CYL/9,00/18-03-22</t>
        </is>
      </c>
      <c r="G3862" s="6" t="n">
        <v>100</v>
      </c>
      <c r="H3862" s="6" t="n">
        <v>-869.5839999999999</v>
      </c>
      <c r="I3862" s="7">
        <f>-H3862/G3862</f>
        <v/>
      </c>
      <c r="J3862" s="11" t="n">
        <v>44622</v>
      </c>
      <c r="K3862" s="6">
        <f>+OPERAC[[#This Row],[cantidad]]</f>
        <v/>
      </c>
      <c r="L3862" s="6" t="n">
        <v>883.576</v>
      </c>
      <c r="M3862" s="7">
        <f>IF(N3862=0,+L3862+H3862,0)</f>
        <v/>
      </c>
      <c r="N3862" s="7">
        <f>IF((+G3862-K3862)=0,0,+G3862-K3862)</f>
        <v/>
      </c>
      <c r="O3862" s="7">
        <f>IF(N3862=0,0,(L3862+H3862)/-N3862)</f>
        <v/>
      </c>
      <c r="P3862" s="7">
        <f>VLOOKUP(OPERAC[[#This Row],[especie]],[1]!ESPECIES[#All],6,0)</f>
        <v/>
      </c>
      <c r="Q3862" s="7">
        <f>IF(N3862&lt;&gt;0,P3862*N3862,0)</f>
        <v/>
      </c>
      <c r="R3862" s="8">
        <f>IF(Q3862&lt;&gt;0,Q3862+H3862+L3862,0)</f>
        <v/>
      </c>
      <c r="S3862" s="9">
        <f>VLOOKUP(OPERAC[[#This Row],[especie]],[1]!ESPECIES[#Data],9,FALSE)</f>
        <v/>
      </c>
    </row>
    <row r="3863">
      <c r="A3863" s="4" t="n">
        <v>2194</v>
      </c>
      <c r="B3863" s="5" t="n">
        <v>44609</v>
      </c>
      <c r="C3863" s="13" t="inlineStr">
        <is>
          <t>VTA</t>
        </is>
      </c>
      <c r="D3863" s="13" t="n">
        <v>32</v>
      </c>
      <c r="E3863" s="10">
        <f>IF(D3863&gt;0,VLOOKUP(OPERAC[[#This Row],[COD CART]],[1]!MatrizCortoLargoCyl[#All],3,0),"")</f>
        <v/>
      </c>
      <c r="F3863" s="13" t="inlineStr">
        <is>
          <t>HIMX/CYL/9,00/18-03-22</t>
        </is>
      </c>
      <c r="G3863" s="6" t="n">
        <v>100</v>
      </c>
      <c r="H3863" s="6" t="n">
        <v>-869.5839999999999</v>
      </c>
      <c r="I3863" s="7">
        <f>-H3863/G3863</f>
        <v/>
      </c>
      <c r="J3863" s="11" t="n">
        <v>44622</v>
      </c>
      <c r="K3863" s="6">
        <f>+OPERAC[[#This Row],[cantidad]]</f>
        <v/>
      </c>
      <c r="L3863" s="6" t="n">
        <v>883.576</v>
      </c>
      <c r="M3863" s="7">
        <f>IF(N3863=0,+L3863+H3863,0)</f>
        <v/>
      </c>
      <c r="N3863" s="7">
        <f>IF((+G3863-K3863)=0,0,+G3863-K3863)</f>
        <v/>
      </c>
      <c r="O3863" s="7">
        <f>IF(N3863=0,0,(L3863+H3863)/-N3863)</f>
        <v/>
      </c>
      <c r="P3863" s="7">
        <f>VLOOKUP(OPERAC[[#This Row],[especie]],[1]!ESPECIES[#All],6,0)</f>
        <v/>
      </c>
      <c r="Q3863" s="7">
        <f>IF(N3863&lt;&gt;0,P3863*N3863,0)</f>
        <v/>
      </c>
      <c r="R3863" s="8">
        <f>IF(Q3863&lt;&gt;0,Q3863+H3863+L3863,0)</f>
        <v/>
      </c>
      <c r="S3863" s="9">
        <f>VLOOKUP(OPERAC[[#This Row],[especie]],[1]!ESPECIES[#Data],9,FALSE)</f>
        <v/>
      </c>
    </row>
    <row r="3864">
      <c r="A3864" s="4" t="n">
        <v>2203</v>
      </c>
      <c r="B3864" s="5" t="n">
        <v>44609</v>
      </c>
      <c r="C3864" s="13" t="inlineStr">
        <is>
          <t>VTA</t>
        </is>
      </c>
      <c r="D3864" s="13" t="n">
        <v>32</v>
      </c>
      <c r="E3864" s="10">
        <f>IF(D3864&gt;0,VLOOKUP(OPERAC[[#This Row],[COD CART]],[1]!MatrizCortoLargoCyl[#All],3,0),"")</f>
        <v/>
      </c>
      <c r="F3864" s="13" t="inlineStr">
        <is>
          <t>HIMX/CYL/9,00/18-03-22</t>
        </is>
      </c>
      <c r="G3864" s="6" t="n">
        <v>100</v>
      </c>
      <c r="H3864" s="6" t="n">
        <v>-869.5839999999999</v>
      </c>
      <c r="I3864" s="7">
        <f>-H3864/G3864</f>
        <v/>
      </c>
      <c r="J3864" s="11" t="n">
        <v>44622</v>
      </c>
      <c r="K3864" s="6">
        <f>+OPERAC[[#This Row],[cantidad]]</f>
        <v/>
      </c>
      <c r="L3864" s="6" t="n">
        <v>883.576</v>
      </c>
      <c r="M3864" s="7">
        <f>IF(N3864=0,+L3864+H3864,0)</f>
        <v/>
      </c>
      <c r="N3864" s="7">
        <f>IF((+G3864-K3864)=0,0,+G3864-K3864)</f>
        <v/>
      </c>
      <c r="O3864" s="7">
        <f>IF(N3864=0,0,(L3864+H3864)/-N3864)</f>
        <v/>
      </c>
      <c r="P3864" s="7">
        <f>VLOOKUP(OPERAC[[#This Row],[especie]],[1]!ESPECIES[#All],6,0)</f>
        <v/>
      </c>
      <c r="Q3864" s="7">
        <f>IF(N3864&lt;&gt;0,P3864*N3864,0)</f>
        <v/>
      </c>
      <c r="R3864" s="8">
        <f>IF(Q3864&lt;&gt;0,Q3864+H3864+L3864,0)</f>
        <v/>
      </c>
      <c r="S3864" s="9">
        <f>VLOOKUP(OPERAC[[#This Row],[especie]],[1]!ESPECIES[#Data],9,FALSE)</f>
        <v/>
      </c>
    </row>
    <row r="3865">
      <c r="A3865" s="4" t="n">
        <v>2217</v>
      </c>
      <c r="B3865" s="5" t="n">
        <v>44609</v>
      </c>
      <c r="C3865" s="13" t="inlineStr">
        <is>
          <t>VTA</t>
        </is>
      </c>
      <c r="D3865" s="13" t="n">
        <v>32</v>
      </c>
      <c r="E3865" s="10">
        <f>IF(D3865&gt;0,VLOOKUP(OPERAC[[#This Row],[COD CART]],[1]!MatrizCortoLargoCyl[#All],3,0),"")</f>
        <v/>
      </c>
      <c r="F3865" s="13" t="inlineStr">
        <is>
          <t>HIMX/CYL/9,00/18-03-22</t>
        </is>
      </c>
      <c r="G3865" s="6" t="n">
        <v>100</v>
      </c>
      <c r="H3865" s="6" t="n">
        <v>-869.5839999999999</v>
      </c>
      <c r="I3865" s="7">
        <f>-H3865/G3865</f>
        <v/>
      </c>
      <c r="J3865" s="11" t="n">
        <v>44622</v>
      </c>
      <c r="K3865" s="6">
        <f>+OPERAC[[#This Row],[cantidad]]</f>
        <v/>
      </c>
      <c r="L3865" s="6" t="n">
        <v>883.576</v>
      </c>
      <c r="M3865" s="7">
        <f>IF(N3865=0,+L3865+H3865,0)</f>
        <v/>
      </c>
      <c r="N3865" s="7">
        <f>IF((+G3865-K3865)=0,0,+G3865-K3865)</f>
        <v/>
      </c>
      <c r="O3865" s="7">
        <f>IF(N3865=0,0,(L3865+H3865)/-N3865)</f>
        <v/>
      </c>
      <c r="P3865" s="7">
        <f>VLOOKUP(OPERAC[[#This Row],[especie]],[1]!ESPECIES[#All],6,0)</f>
        <v/>
      </c>
      <c r="Q3865" s="7">
        <f>IF(N3865&lt;&gt;0,P3865*N3865,0)</f>
        <v/>
      </c>
      <c r="R3865" s="8">
        <f>IF(Q3865&lt;&gt;0,Q3865+H3865+L3865,0)</f>
        <v/>
      </c>
      <c r="S3865" s="9">
        <f>VLOOKUP(OPERAC[[#This Row],[especie]],[1]!ESPECIES[#Data],9,FALSE)</f>
        <v/>
      </c>
    </row>
    <row r="3866">
      <c r="A3866" s="4" t="n">
        <v>2253</v>
      </c>
      <c r="B3866" s="5" t="n">
        <v>44609</v>
      </c>
      <c r="C3866" s="13" t="inlineStr">
        <is>
          <t>VTA</t>
        </is>
      </c>
      <c r="D3866" s="13" t="n">
        <v>32</v>
      </c>
      <c r="E3866" s="10">
        <f>IF(D3866&gt;0,VLOOKUP(OPERAC[[#This Row],[COD CART]],[1]!MatrizCortoLargoCyl[#All],3,0),"")</f>
        <v/>
      </c>
      <c r="F3866" s="13" t="inlineStr">
        <is>
          <t>HIMX/CYL/9,00/18-03-22</t>
        </is>
      </c>
      <c r="G3866" s="6" t="n">
        <v>100</v>
      </c>
      <c r="H3866" s="6" t="n">
        <v>-869.5839999999999</v>
      </c>
      <c r="I3866" s="7">
        <f>-H3866/G3866</f>
        <v/>
      </c>
      <c r="J3866" s="11" t="n">
        <v>44622</v>
      </c>
      <c r="K3866" s="6">
        <f>+OPERAC[[#This Row],[cantidad]]</f>
        <v/>
      </c>
      <c r="L3866" s="6" t="n">
        <v>883.576</v>
      </c>
      <c r="M3866" s="7">
        <f>IF(N3866=0,+L3866+H3866,0)</f>
        <v/>
      </c>
      <c r="N3866" s="7">
        <f>IF((+G3866-K3866)=0,0,+G3866-K3866)</f>
        <v/>
      </c>
      <c r="O3866" s="7">
        <f>IF(N3866=0,0,(L3866+H3866)/-N3866)</f>
        <v/>
      </c>
      <c r="P3866" s="7">
        <f>VLOOKUP(OPERAC[[#This Row],[especie]],[1]!ESPECIES[#All],6,0)</f>
        <v/>
      </c>
      <c r="Q3866" s="7">
        <f>IF(N3866&lt;&gt;0,P3866*N3866,0)</f>
        <v/>
      </c>
      <c r="R3866" s="8">
        <f>IF(Q3866&lt;&gt;0,Q3866+H3866+L3866,0)</f>
        <v/>
      </c>
      <c r="S3866" s="9">
        <f>VLOOKUP(OPERAC[[#This Row],[especie]],[1]!ESPECIES[#Data],9,FALSE)</f>
        <v/>
      </c>
    </row>
    <row r="3867">
      <c r="A3867" s="4" t="n">
        <v>2257</v>
      </c>
      <c r="B3867" s="5" t="n">
        <v>44609</v>
      </c>
      <c r="C3867" s="13" t="inlineStr">
        <is>
          <t>VTA</t>
        </is>
      </c>
      <c r="D3867" s="13" t="n">
        <v>32</v>
      </c>
      <c r="E3867" s="10">
        <f>IF(D3867&gt;0,VLOOKUP(OPERAC[[#This Row],[COD CART]],[1]!MatrizCortoLargoCyl[#All],3,0),"")</f>
        <v/>
      </c>
      <c r="F3867" s="13" t="inlineStr">
        <is>
          <t>HIMX/CYL/9,00/18-03-22</t>
        </is>
      </c>
      <c r="G3867" s="6" t="n">
        <v>100</v>
      </c>
      <c r="H3867" s="6" t="n">
        <v>-869.5839999999999</v>
      </c>
      <c r="I3867" s="7">
        <f>-H3867/G3867</f>
        <v/>
      </c>
      <c r="J3867" s="11" t="n">
        <v>44622</v>
      </c>
      <c r="K3867" s="6">
        <f>+OPERAC[[#This Row],[cantidad]]</f>
        <v/>
      </c>
      <c r="L3867" s="6" t="n">
        <v>883.576</v>
      </c>
      <c r="M3867" s="7">
        <f>IF(N3867=0,+L3867+H3867,0)</f>
        <v/>
      </c>
      <c r="N3867" s="7">
        <f>IF((+G3867-K3867)=0,0,+G3867-K3867)</f>
        <v/>
      </c>
      <c r="O3867" s="7">
        <f>IF(N3867=0,0,(L3867+H3867)/-N3867)</f>
        <v/>
      </c>
      <c r="P3867" s="7">
        <f>VLOOKUP(OPERAC[[#This Row],[especie]],[1]!ESPECIES[#All],6,0)</f>
        <v/>
      </c>
      <c r="Q3867" s="7">
        <f>IF(N3867&lt;&gt;0,P3867*N3867,0)</f>
        <v/>
      </c>
      <c r="R3867" s="8">
        <f>IF(Q3867&lt;&gt;0,Q3867+H3867+L3867,0)</f>
        <v/>
      </c>
      <c r="S3867" s="9">
        <f>VLOOKUP(OPERAC[[#This Row],[especie]],[1]!ESPECIES[#Data],9,FALSE)</f>
        <v/>
      </c>
    </row>
    <row r="3868">
      <c r="A3868" s="4" t="n">
        <v>4561</v>
      </c>
      <c r="B3868" s="5" t="n">
        <v>44609</v>
      </c>
      <c r="C3868" s="13" t="inlineStr">
        <is>
          <t>VTA</t>
        </is>
      </c>
      <c r="D3868" s="13" t="n">
        <v>32</v>
      </c>
      <c r="E3868" s="10">
        <f>IF(D3868&gt;0,VLOOKUP(OPERAC[[#This Row],[COD CART]],[1]!MatrizCortoLargoCyl[#All],3,0),"")</f>
        <v/>
      </c>
      <c r="F3868" s="13" t="inlineStr">
        <is>
          <t>HIMX/CYL/9,00/18-03-22</t>
        </is>
      </c>
      <c r="G3868" s="6" t="n">
        <v>100</v>
      </c>
      <c r="H3868" s="6" t="n">
        <v>-869.5839999999999</v>
      </c>
      <c r="I3868" s="7">
        <f>-H3868/G3868</f>
        <v/>
      </c>
      <c r="J3868" s="11" t="n">
        <v>44622</v>
      </c>
      <c r="K3868" s="6">
        <f>+OPERAC[[#This Row],[cantidad]]</f>
        <v/>
      </c>
      <c r="L3868" s="6" t="n">
        <v>883.576</v>
      </c>
      <c r="M3868" s="7">
        <f>IF(N3868=0,+L3868+H3868,0)</f>
        <v/>
      </c>
      <c r="N3868" s="7">
        <f>IF((+G3868-K3868)=0,0,+G3868-K3868)</f>
        <v/>
      </c>
      <c r="O3868" s="7">
        <f>IF(N3868=0,0,(L3868+H3868)/-N3868)</f>
        <v/>
      </c>
      <c r="P3868" s="7">
        <f>VLOOKUP(OPERAC[[#This Row],[especie]],[1]!ESPECIES[#All],6,0)</f>
        <v/>
      </c>
      <c r="Q3868" s="7">
        <f>IF(N3868&lt;&gt;0,P3868*N3868,0)</f>
        <v/>
      </c>
      <c r="R3868" s="8">
        <f>IF(Q3868&lt;&gt;0,Q3868+H3868+L3868,0)</f>
        <v/>
      </c>
      <c r="S3868" s="9">
        <f>VLOOKUP(OPERAC[[#This Row],[especie]],[1]!ESPECIES[#Data],9,FALSE)</f>
        <v/>
      </c>
    </row>
    <row r="3869">
      <c r="A3869" s="4" t="n">
        <v>5212</v>
      </c>
      <c r="B3869" s="5" t="n">
        <v>44609</v>
      </c>
      <c r="C3869" s="13" t="inlineStr">
        <is>
          <t>VTA</t>
        </is>
      </c>
      <c r="D3869" s="13" t="n">
        <v>32</v>
      </c>
      <c r="E3869" s="10">
        <f>IF(D3869&gt;0,VLOOKUP(OPERAC[[#This Row],[COD CART]],[1]!MatrizCortoLargoCyl[#All],3,0),"")</f>
        <v/>
      </c>
      <c r="F3869" s="13" t="inlineStr">
        <is>
          <t>HIMX/CYL/9,00/18-03-22</t>
        </is>
      </c>
      <c r="G3869" s="6" t="n">
        <v>100</v>
      </c>
      <c r="H3869" s="6" t="n">
        <v>-869.5839999999999</v>
      </c>
      <c r="I3869" s="7">
        <f>-H3869/G3869</f>
        <v/>
      </c>
      <c r="J3869" s="11" t="n">
        <v>44622</v>
      </c>
      <c r="K3869" s="6">
        <f>+OPERAC[[#This Row],[cantidad]]</f>
        <v/>
      </c>
      <c r="L3869" s="6" t="n">
        <v>883.576</v>
      </c>
      <c r="M3869" s="7">
        <f>IF(N3869=0,+L3869+H3869,0)</f>
        <v/>
      </c>
      <c r="N3869" s="7">
        <f>IF((+G3869-K3869)=0,0,+G3869-K3869)</f>
        <v/>
      </c>
      <c r="O3869" s="7">
        <f>IF(N3869=0,0,(L3869+H3869)/-N3869)</f>
        <v/>
      </c>
      <c r="P3869" s="7">
        <f>VLOOKUP(OPERAC[[#This Row],[especie]],[1]!ESPECIES[#All],6,0)</f>
        <v/>
      </c>
      <c r="Q3869" s="7">
        <f>IF(N3869&lt;&gt;0,P3869*N3869,0)</f>
        <v/>
      </c>
      <c r="R3869" s="8">
        <f>IF(Q3869&lt;&gt;0,Q3869+H3869+L3869,0)</f>
        <v/>
      </c>
      <c r="S3869" s="9">
        <f>VLOOKUP(OPERAC[[#This Row],[especie]],[1]!ESPECIES[#Data],9,FALSE)</f>
        <v/>
      </c>
    </row>
    <row r="3870">
      <c r="A3870" s="4" t="n">
        <v>6628</v>
      </c>
      <c r="B3870" s="5" t="n">
        <v>44609</v>
      </c>
      <c r="C3870" s="13" t="inlineStr">
        <is>
          <t>VTA</t>
        </is>
      </c>
      <c r="D3870" s="13" t="n">
        <v>32</v>
      </c>
      <c r="E3870" s="10">
        <f>IF(D3870&gt;0,VLOOKUP(OPERAC[[#This Row],[COD CART]],[1]!MatrizCortoLargoCyl[#All],3,0),"")</f>
        <v/>
      </c>
      <c r="F3870" s="13" t="inlineStr">
        <is>
          <t>HIMX/CYL/9,00/18-03-22</t>
        </is>
      </c>
      <c r="G3870" s="6" t="n">
        <v>100</v>
      </c>
      <c r="H3870" s="6" t="n">
        <v>-869.5839999999999</v>
      </c>
      <c r="I3870" s="7">
        <f>-H3870/G3870</f>
        <v/>
      </c>
      <c r="J3870" s="11" t="n">
        <v>44622</v>
      </c>
      <c r="K3870" s="6">
        <f>+OPERAC[[#This Row],[cantidad]]</f>
        <v/>
      </c>
      <c r="L3870" s="6" t="n">
        <v>883.576</v>
      </c>
      <c r="M3870" s="7">
        <f>IF(N3870=0,+L3870+H3870,0)</f>
        <v/>
      </c>
      <c r="N3870" s="7">
        <f>IF((+G3870-K3870)=0,0,+G3870-K3870)</f>
        <v/>
      </c>
      <c r="O3870" s="7">
        <f>IF(N3870=0,0,(L3870+H3870)/-N3870)</f>
        <v/>
      </c>
      <c r="P3870" s="7">
        <f>VLOOKUP(OPERAC[[#This Row],[especie]],[1]!ESPECIES[#All],6,0)</f>
        <v/>
      </c>
      <c r="Q3870" s="7">
        <f>IF(N3870&lt;&gt;0,P3870*N3870,0)</f>
        <v/>
      </c>
      <c r="R3870" s="8">
        <f>IF(Q3870&lt;&gt;0,Q3870+H3870+L3870,0)</f>
        <v/>
      </c>
      <c r="S3870" s="9">
        <f>VLOOKUP(OPERAC[[#This Row],[especie]],[1]!ESPECIES[#Data],9,FALSE)</f>
        <v/>
      </c>
    </row>
    <row r="3871">
      <c r="A3871" s="4" t="n">
        <v>7493</v>
      </c>
      <c r="B3871" s="5" t="n">
        <v>44609</v>
      </c>
      <c r="C3871" s="13" t="inlineStr">
        <is>
          <t>VTA</t>
        </is>
      </c>
      <c r="D3871" s="13" t="n">
        <v>32</v>
      </c>
      <c r="E3871" s="10">
        <f>IF(D3871&gt;0,VLOOKUP(OPERAC[[#This Row],[COD CART]],[1]!MatrizCortoLargoCyl[#All],3,0),"")</f>
        <v/>
      </c>
      <c r="F3871" s="13" t="inlineStr">
        <is>
          <t>HIMX/CYL/9,00/18-03-22</t>
        </is>
      </c>
      <c r="G3871" s="6" t="n">
        <v>100</v>
      </c>
      <c r="H3871" s="6" t="n">
        <v>-869.5839999999999</v>
      </c>
      <c r="I3871" s="7">
        <f>-H3871/G3871</f>
        <v/>
      </c>
      <c r="J3871" s="11" t="n">
        <v>44622</v>
      </c>
      <c r="K3871" s="6">
        <f>+OPERAC[[#This Row],[cantidad]]</f>
        <v/>
      </c>
      <c r="L3871" s="6" t="n">
        <v>883.576</v>
      </c>
      <c r="M3871" s="7">
        <f>IF(N3871=0,+L3871+H3871,0)</f>
        <v/>
      </c>
      <c r="N3871" s="7">
        <f>IF((+G3871-K3871)=0,0,+G3871-K3871)</f>
        <v/>
      </c>
      <c r="O3871" s="7">
        <f>IF(N3871=0,0,(L3871+H3871)/-N3871)</f>
        <v/>
      </c>
      <c r="P3871" s="7">
        <f>VLOOKUP(OPERAC[[#This Row],[especie]],[1]!ESPECIES[#All],6,0)</f>
        <v/>
      </c>
      <c r="Q3871" s="7">
        <f>IF(N3871&lt;&gt;0,P3871*N3871,0)</f>
        <v/>
      </c>
      <c r="R3871" s="8">
        <f>IF(Q3871&lt;&gt;0,Q3871+H3871+L3871,0)</f>
        <v/>
      </c>
      <c r="S3871" s="9">
        <f>VLOOKUP(OPERAC[[#This Row],[especie]],[1]!ESPECIES[#Data],9,FALSE)</f>
        <v/>
      </c>
    </row>
    <row r="3872">
      <c r="A3872" s="4" t="n">
        <v>7895</v>
      </c>
      <c r="B3872" s="5" t="n">
        <v>44609</v>
      </c>
      <c r="C3872" s="13" t="inlineStr">
        <is>
          <t>VTA</t>
        </is>
      </c>
      <c r="D3872" s="13" t="n">
        <v>32</v>
      </c>
      <c r="E3872" s="10">
        <f>IF(D3872&gt;0,VLOOKUP(OPERAC[[#This Row],[COD CART]],[1]!MatrizCortoLargoCyl[#All],3,0),"")</f>
        <v/>
      </c>
      <c r="F3872" s="13" t="inlineStr">
        <is>
          <t>HIMX/CYL/9,00/18-03-22</t>
        </is>
      </c>
      <c r="G3872" s="6" t="n">
        <v>100</v>
      </c>
      <c r="H3872" s="6" t="n">
        <v>-869.5839999999999</v>
      </c>
      <c r="I3872" s="7">
        <f>-H3872/G3872</f>
        <v/>
      </c>
      <c r="J3872" s="11" t="n">
        <v>44622</v>
      </c>
      <c r="K3872" s="6">
        <f>+OPERAC[[#This Row],[cantidad]]</f>
        <v/>
      </c>
      <c r="L3872" s="6" t="n">
        <v>883.576</v>
      </c>
      <c r="M3872" s="7">
        <f>IF(N3872=0,+L3872+H3872,0)</f>
        <v/>
      </c>
      <c r="N3872" s="7">
        <f>IF((+G3872-K3872)=0,0,+G3872-K3872)</f>
        <v/>
      </c>
      <c r="O3872" s="7">
        <f>IF(N3872=0,0,(L3872+H3872)/-N3872)</f>
        <v/>
      </c>
      <c r="P3872" s="7">
        <f>VLOOKUP(OPERAC[[#This Row],[especie]],[1]!ESPECIES[#All],6,0)</f>
        <v/>
      </c>
      <c r="Q3872" s="7">
        <f>IF(N3872&lt;&gt;0,P3872*N3872,0)</f>
        <v/>
      </c>
      <c r="R3872" s="8">
        <f>IF(Q3872&lt;&gt;0,Q3872+H3872+L3872,0)</f>
        <v/>
      </c>
      <c r="S3872" s="9">
        <f>VLOOKUP(OPERAC[[#This Row],[especie]],[1]!ESPECIES[#Data],9,FALSE)</f>
        <v/>
      </c>
    </row>
    <row r="3873">
      <c r="A3873" s="4" t="n">
        <v>11170</v>
      </c>
      <c r="B3873" s="5" t="n">
        <v>44609</v>
      </c>
      <c r="C3873" s="13" t="inlineStr">
        <is>
          <t>VTA</t>
        </is>
      </c>
      <c r="D3873" s="13" t="n">
        <v>32</v>
      </c>
      <c r="E3873" s="10">
        <f>IF(D3873&gt;0,VLOOKUP(OPERAC[[#This Row],[COD CART]],[1]!MatrizCortoLargoCyl[#All],3,0),"")</f>
        <v/>
      </c>
      <c r="F3873" s="13" t="inlineStr">
        <is>
          <t>HIMX/CYL/9,00/18-03-22</t>
        </is>
      </c>
      <c r="G3873" s="6" t="n">
        <v>100</v>
      </c>
      <c r="H3873" s="6" t="n">
        <v>-869.5839999999999</v>
      </c>
      <c r="I3873" s="7">
        <f>-H3873/G3873</f>
        <v/>
      </c>
      <c r="J3873" s="11" t="n">
        <v>44622</v>
      </c>
      <c r="K3873" s="6">
        <f>+OPERAC[[#This Row],[cantidad]]</f>
        <v/>
      </c>
      <c r="L3873" s="6" t="n">
        <v>883.576</v>
      </c>
      <c r="M3873" s="7">
        <f>IF(N3873=0,+L3873+H3873,0)</f>
        <v/>
      </c>
      <c r="N3873" s="7">
        <f>IF((+G3873-K3873)=0,0,+G3873-K3873)</f>
        <v/>
      </c>
      <c r="O3873" s="7">
        <f>IF(N3873=0,0,(L3873+H3873)/-N3873)</f>
        <v/>
      </c>
      <c r="P3873" s="7">
        <f>VLOOKUP(OPERAC[[#This Row],[especie]],[1]!ESPECIES[#All],6,0)</f>
        <v/>
      </c>
      <c r="Q3873" s="7">
        <f>IF(N3873&lt;&gt;0,P3873*N3873,0)</f>
        <v/>
      </c>
      <c r="R3873" s="8">
        <f>IF(Q3873&lt;&gt;0,Q3873+H3873+L3873,0)</f>
        <v/>
      </c>
      <c r="S3873" s="9">
        <f>VLOOKUP(OPERAC[[#This Row],[especie]],[1]!ESPECIES[#Data],9,FALSE)</f>
        <v/>
      </c>
    </row>
    <row r="3874">
      <c r="A3874" s="4" t="n">
        <v>12655</v>
      </c>
      <c r="B3874" s="5" t="n">
        <v>44609</v>
      </c>
      <c r="C3874" s="13" t="inlineStr">
        <is>
          <t>VTA</t>
        </is>
      </c>
      <c r="D3874" s="13" t="n">
        <v>32</v>
      </c>
      <c r="E3874" s="10">
        <f>IF(D3874&gt;0,VLOOKUP(OPERAC[[#This Row],[COD CART]],[1]!MatrizCortoLargoCyl[#All],3,0),"")</f>
        <v/>
      </c>
      <c r="F3874" s="13" t="inlineStr">
        <is>
          <t>HIMX/CYL/9,00/18-03-22</t>
        </is>
      </c>
      <c r="G3874" s="6" t="n">
        <v>100</v>
      </c>
      <c r="H3874" s="6" t="n">
        <v>-869.5839999999999</v>
      </c>
      <c r="I3874" s="7">
        <f>-H3874/G3874</f>
        <v/>
      </c>
      <c r="J3874" s="11" t="n">
        <v>44622</v>
      </c>
      <c r="K3874" s="6">
        <f>+OPERAC[[#This Row],[cantidad]]</f>
        <v/>
      </c>
      <c r="L3874" s="6" t="n">
        <v>883.576</v>
      </c>
      <c r="M3874" s="7">
        <f>IF(N3874=0,+L3874+H3874,0)</f>
        <v/>
      </c>
      <c r="N3874" s="7">
        <f>IF((+G3874-K3874)=0,0,+G3874-K3874)</f>
        <v/>
      </c>
      <c r="O3874" s="7">
        <f>IF(N3874=0,0,(L3874+H3874)/-N3874)</f>
        <v/>
      </c>
      <c r="P3874" s="7">
        <f>VLOOKUP(OPERAC[[#This Row],[especie]],[1]!ESPECIES[#All],6,0)</f>
        <v/>
      </c>
      <c r="Q3874" s="7">
        <f>IF(N3874&lt;&gt;0,P3874*N3874,0)</f>
        <v/>
      </c>
      <c r="R3874" s="8">
        <f>IF(Q3874&lt;&gt;0,Q3874+H3874+L3874,0)</f>
        <v/>
      </c>
      <c r="S3874" s="9">
        <f>VLOOKUP(OPERAC[[#This Row],[especie]],[1]!ESPECIES[#Data],9,FALSE)</f>
        <v/>
      </c>
    </row>
    <row r="3875">
      <c r="A3875" s="4" t="n">
        <v>12671</v>
      </c>
      <c r="B3875" s="5" t="n">
        <v>44609</v>
      </c>
      <c r="C3875" s="13" t="inlineStr">
        <is>
          <t>VTA</t>
        </is>
      </c>
      <c r="D3875" s="13" t="n">
        <v>32</v>
      </c>
      <c r="E3875" s="10">
        <f>IF(D3875&gt;0,VLOOKUP(OPERAC[[#This Row],[COD CART]],[1]!MatrizCortoLargoCyl[#All],3,0),"")</f>
        <v/>
      </c>
      <c r="F3875" s="13" t="inlineStr">
        <is>
          <t>HIMX/CYL/9,00/18-03-22</t>
        </is>
      </c>
      <c r="G3875" s="6" t="n">
        <v>100</v>
      </c>
      <c r="H3875" s="6" t="n">
        <v>-869.5839999999999</v>
      </c>
      <c r="I3875" s="7">
        <f>-H3875/G3875</f>
        <v/>
      </c>
      <c r="J3875" s="11" t="n">
        <v>44622</v>
      </c>
      <c r="K3875" s="6">
        <f>+OPERAC[[#This Row],[cantidad]]</f>
        <v/>
      </c>
      <c r="L3875" s="6" t="n">
        <v>883.576</v>
      </c>
      <c r="M3875" s="7">
        <f>IF(N3875=0,+L3875+H3875,0)</f>
        <v/>
      </c>
      <c r="N3875" s="7">
        <f>IF((+G3875-K3875)=0,0,+G3875-K3875)</f>
        <v/>
      </c>
      <c r="O3875" s="7">
        <f>IF(N3875=0,0,(L3875+H3875)/-N3875)</f>
        <v/>
      </c>
      <c r="P3875" s="7">
        <f>VLOOKUP(OPERAC[[#This Row],[especie]],[1]!ESPECIES[#All],6,0)</f>
        <v/>
      </c>
      <c r="Q3875" s="7">
        <f>IF(N3875&lt;&gt;0,P3875*N3875,0)</f>
        <v/>
      </c>
      <c r="R3875" s="8">
        <f>IF(Q3875&lt;&gt;0,Q3875+H3875+L3875,0)</f>
        <v/>
      </c>
      <c r="S3875" s="9">
        <f>VLOOKUP(OPERAC[[#This Row],[especie]],[1]!ESPECIES[#Data],9,FALSE)</f>
        <v/>
      </c>
    </row>
    <row r="3876">
      <c r="A3876" s="4" t="n">
        <v>12684</v>
      </c>
      <c r="B3876" s="5" t="n">
        <v>44609</v>
      </c>
      <c r="C3876" s="13" t="inlineStr">
        <is>
          <t>VTA</t>
        </is>
      </c>
      <c r="D3876" s="13" t="n">
        <v>32</v>
      </c>
      <c r="E3876" s="10">
        <f>IF(D3876&gt;0,VLOOKUP(OPERAC[[#This Row],[COD CART]],[1]!MatrizCortoLargoCyl[#All],3,0),"")</f>
        <v/>
      </c>
      <c r="F3876" s="13" t="inlineStr">
        <is>
          <t>HIMX/CYL/9,00/18-03-22</t>
        </is>
      </c>
      <c r="G3876" s="6" t="n">
        <v>100</v>
      </c>
      <c r="H3876" s="6" t="n">
        <v>-869.5839999999999</v>
      </c>
      <c r="I3876" s="7">
        <f>-H3876/G3876</f>
        <v/>
      </c>
      <c r="J3876" s="11" t="n">
        <v>44622</v>
      </c>
      <c r="K3876" s="6">
        <f>+OPERAC[[#This Row],[cantidad]]</f>
        <v/>
      </c>
      <c r="L3876" s="6" t="n">
        <v>883.576</v>
      </c>
      <c r="M3876" s="7">
        <f>IF(N3876=0,+L3876+H3876,0)</f>
        <v/>
      </c>
      <c r="N3876" s="7">
        <f>IF((+G3876-K3876)=0,0,+G3876-K3876)</f>
        <v/>
      </c>
      <c r="O3876" s="7">
        <f>IF(N3876=0,0,(L3876+H3876)/-N3876)</f>
        <v/>
      </c>
      <c r="P3876" s="7">
        <f>VLOOKUP(OPERAC[[#This Row],[especie]],[1]!ESPECIES[#All],6,0)</f>
        <v/>
      </c>
      <c r="Q3876" s="7">
        <f>IF(N3876&lt;&gt;0,P3876*N3876,0)</f>
        <v/>
      </c>
      <c r="R3876" s="8">
        <f>IF(Q3876&lt;&gt;0,Q3876+H3876+L3876,0)</f>
        <v/>
      </c>
      <c r="S3876" s="9">
        <f>VLOOKUP(OPERAC[[#This Row],[especie]],[1]!ESPECIES[#Data],9,FALSE)</f>
        <v/>
      </c>
    </row>
    <row r="3877">
      <c r="A3877" s="4" t="n">
        <v>13188</v>
      </c>
      <c r="B3877" s="5" t="n">
        <v>44609</v>
      </c>
      <c r="C3877" s="13" t="inlineStr">
        <is>
          <t>VTA</t>
        </is>
      </c>
      <c r="D3877" s="13" t="n">
        <v>32</v>
      </c>
      <c r="E3877" s="10">
        <f>IF(D3877&gt;0,VLOOKUP(OPERAC[[#This Row],[COD CART]],[1]!MatrizCortoLargoCyl[#All],3,0),"")</f>
        <v/>
      </c>
      <c r="F3877" s="13" t="inlineStr">
        <is>
          <t>HIMX/CYL/9,00/18-03-22</t>
        </is>
      </c>
      <c r="G3877" s="6" t="n">
        <v>100</v>
      </c>
      <c r="H3877" s="6" t="n">
        <v>-869.5839999999999</v>
      </c>
      <c r="I3877" s="7">
        <f>-H3877/G3877</f>
        <v/>
      </c>
      <c r="J3877" s="11" t="n">
        <v>44622</v>
      </c>
      <c r="K3877" s="6">
        <f>+OPERAC[[#This Row],[cantidad]]</f>
        <v/>
      </c>
      <c r="L3877" s="6" t="n">
        <v>883.576</v>
      </c>
      <c r="M3877" s="7">
        <f>IF(N3877=0,+L3877+H3877,0)</f>
        <v/>
      </c>
      <c r="N3877" s="7">
        <f>IF((+G3877-K3877)=0,0,+G3877-K3877)</f>
        <v/>
      </c>
      <c r="O3877" s="7">
        <f>IF(N3877=0,0,(L3877+H3877)/-N3877)</f>
        <v/>
      </c>
      <c r="P3877" s="7">
        <f>VLOOKUP(OPERAC[[#This Row],[especie]],[1]!ESPECIES[#All],6,0)</f>
        <v/>
      </c>
      <c r="Q3877" s="7">
        <f>IF(N3877&lt;&gt;0,P3877*N3877,0)</f>
        <v/>
      </c>
      <c r="R3877" s="8">
        <f>IF(Q3877&lt;&gt;0,Q3877+H3877+L3877,0)</f>
        <v/>
      </c>
      <c r="S3877" s="9">
        <f>VLOOKUP(OPERAC[[#This Row],[especie]],[1]!ESPECIES[#Data],9,FALSE)</f>
        <v/>
      </c>
    </row>
    <row r="3878">
      <c r="A3878" s="4" t="n">
        <v>13190</v>
      </c>
      <c r="B3878" s="5" t="n">
        <v>44609</v>
      </c>
      <c r="C3878" s="13" t="inlineStr">
        <is>
          <t>VTA</t>
        </is>
      </c>
      <c r="D3878" s="13" t="n">
        <v>32</v>
      </c>
      <c r="E3878" s="10">
        <f>IF(D3878&gt;0,VLOOKUP(OPERAC[[#This Row],[COD CART]],[1]!MatrizCortoLargoCyl[#All],3,0),"")</f>
        <v/>
      </c>
      <c r="F3878" s="13" t="inlineStr">
        <is>
          <t>HIMX/CYL/9,00/18-03-22</t>
        </is>
      </c>
      <c r="G3878" s="6" t="n">
        <v>100</v>
      </c>
      <c r="H3878" s="6" t="n">
        <v>-869.5839999999999</v>
      </c>
      <c r="I3878" s="7">
        <f>-H3878/G3878</f>
        <v/>
      </c>
      <c r="J3878" s="11" t="n">
        <v>44622</v>
      </c>
      <c r="K3878" s="6">
        <f>+OPERAC[[#This Row],[cantidad]]</f>
        <v/>
      </c>
      <c r="L3878" s="6" t="n">
        <v>883.576</v>
      </c>
      <c r="M3878" s="7">
        <f>IF(N3878=0,+L3878+H3878,0)</f>
        <v/>
      </c>
      <c r="N3878" s="7">
        <f>IF((+G3878-K3878)=0,0,+G3878-K3878)</f>
        <v/>
      </c>
      <c r="O3878" s="7">
        <f>IF(N3878=0,0,(L3878+H3878)/-N3878)</f>
        <v/>
      </c>
      <c r="P3878" s="7">
        <f>VLOOKUP(OPERAC[[#This Row],[especie]],[1]!ESPECIES[#All],6,0)</f>
        <v/>
      </c>
      <c r="Q3878" s="7">
        <f>IF(N3878&lt;&gt;0,P3878*N3878,0)</f>
        <v/>
      </c>
      <c r="R3878" s="8">
        <f>IF(Q3878&lt;&gt;0,Q3878+H3878+L3878,0)</f>
        <v/>
      </c>
      <c r="S3878" s="9">
        <f>VLOOKUP(OPERAC[[#This Row],[especie]],[1]!ESPECIES[#Data],9,FALSE)</f>
        <v/>
      </c>
    </row>
    <row r="3879">
      <c r="A3879" s="4" t="n">
        <v>13230</v>
      </c>
      <c r="B3879" s="5" t="n">
        <v>44609</v>
      </c>
      <c r="C3879" s="13" t="inlineStr">
        <is>
          <t>VTA</t>
        </is>
      </c>
      <c r="D3879" s="13" t="n">
        <v>32</v>
      </c>
      <c r="E3879" s="10">
        <f>IF(D3879&gt;0,VLOOKUP(OPERAC[[#This Row],[COD CART]],[1]!MatrizCortoLargoCyl[#All],3,0),"")</f>
        <v/>
      </c>
      <c r="F3879" s="13" t="inlineStr">
        <is>
          <t>HIMX/CYL/9,00/18-03-22</t>
        </is>
      </c>
      <c r="G3879" s="6" t="n">
        <v>100</v>
      </c>
      <c r="H3879" s="6" t="n">
        <v>-869.5839999999999</v>
      </c>
      <c r="I3879" s="7">
        <f>-H3879/G3879</f>
        <v/>
      </c>
      <c r="J3879" s="11" t="n">
        <v>44622</v>
      </c>
      <c r="K3879" s="6">
        <f>+OPERAC[[#This Row],[cantidad]]</f>
        <v/>
      </c>
      <c r="L3879" s="6" t="n">
        <v>883.576</v>
      </c>
      <c r="M3879" s="7">
        <f>IF(N3879=0,+L3879+H3879,0)</f>
        <v/>
      </c>
      <c r="N3879" s="7">
        <f>IF((+G3879-K3879)=0,0,+G3879-K3879)</f>
        <v/>
      </c>
      <c r="O3879" s="7">
        <f>IF(N3879=0,0,(L3879+H3879)/-N3879)</f>
        <v/>
      </c>
      <c r="P3879" s="7">
        <f>VLOOKUP(OPERAC[[#This Row],[especie]],[1]!ESPECIES[#All],6,0)</f>
        <v/>
      </c>
      <c r="Q3879" s="7">
        <f>IF(N3879&lt;&gt;0,P3879*N3879,0)</f>
        <v/>
      </c>
      <c r="R3879" s="8">
        <f>IF(Q3879&lt;&gt;0,Q3879+H3879+L3879,0)</f>
        <v/>
      </c>
      <c r="S3879" s="9">
        <f>VLOOKUP(OPERAC[[#This Row],[especie]],[1]!ESPECIES[#Data],9,FALSE)</f>
        <v/>
      </c>
    </row>
    <row r="3880">
      <c r="A3880" s="4" t="n">
        <v>13271</v>
      </c>
      <c r="B3880" s="5" t="n">
        <v>44609</v>
      </c>
      <c r="C3880" s="13" t="inlineStr">
        <is>
          <t>VTA</t>
        </is>
      </c>
      <c r="D3880" s="13" t="n">
        <v>32</v>
      </c>
      <c r="E3880" s="10">
        <f>IF(D3880&gt;0,VLOOKUP(OPERAC[[#This Row],[COD CART]],[1]!MatrizCortoLargoCyl[#All],3,0),"")</f>
        <v/>
      </c>
      <c r="F3880" s="13" t="inlineStr">
        <is>
          <t>HIMX/CYL/9,00/18-03-22</t>
        </is>
      </c>
      <c r="G3880" s="6" t="n">
        <v>100</v>
      </c>
      <c r="H3880" s="6" t="n">
        <v>-869.5839999999999</v>
      </c>
      <c r="I3880" s="7">
        <f>-H3880/G3880</f>
        <v/>
      </c>
      <c r="J3880" s="11" t="n">
        <v>44622</v>
      </c>
      <c r="K3880" s="6">
        <f>+OPERAC[[#This Row],[cantidad]]</f>
        <v/>
      </c>
      <c r="L3880" s="6" t="n">
        <v>883.576</v>
      </c>
      <c r="M3880" s="7">
        <f>IF(N3880=0,+L3880+H3880,0)</f>
        <v/>
      </c>
      <c r="N3880" s="7">
        <f>IF((+G3880-K3880)=0,0,+G3880-K3880)</f>
        <v/>
      </c>
      <c r="O3880" s="7">
        <f>IF(N3880=0,0,(L3880+H3880)/-N3880)</f>
        <v/>
      </c>
      <c r="P3880" s="7">
        <f>VLOOKUP(OPERAC[[#This Row],[especie]],[1]!ESPECIES[#All],6,0)</f>
        <v/>
      </c>
      <c r="Q3880" s="7">
        <f>IF(N3880&lt;&gt;0,P3880*N3880,0)</f>
        <v/>
      </c>
      <c r="R3880" s="8">
        <f>IF(Q3880&lt;&gt;0,Q3880+H3880+L3880,0)</f>
        <v/>
      </c>
      <c r="S3880" s="9">
        <f>VLOOKUP(OPERAC[[#This Row],[especie]],[1]!ESPECIES[#Data],9,FALSE)</f>
        <v/>
      </c>
    </row>
    <row r="3881">
      <c r="A3881" s="4" t="n">
        <v>16833</v>
      </c>
      <c r="B3881" s="5" t="n">
        <v>44609</v>
      </c>
      <c r="C3881" s="13" t="inlineStr">
        <is>
          <t>VTA</t>
        </is>
      </c>
      <c r="D3881" s="13" t="n">
        <v>32</v>
      </c>
      <c r="E3881" s="10">
        <f>IF(D3881&gt;0,VLOOKUP(OPERAC[[#This Row],[COD CART]],[1]!MatrizCortoLargoCyl[#All],3,0),"")</f>
        <v/>
      </c>
      <c r="F3881" s="13" t="inlineStr">
        <is>
          <t>HIMX/CYL/9,00/18-03-22</t>
        </is>
      </c>
      <c r="G3881" s="6" t="n">
        <v>100</v>
      </c>
      <c r="H3881" s="6" t="n">
        <v>-869.5839999999999</v>
      </c>
      <c r="I3881" s="7">
        <f>-H3881/G3881</f>
        <v/>
      </c>
      <c r="J3881" s="11" t="n">
        <v>44622</v>
      </c>
      <c r="K3881" s="6">
        <f>+OPERAC[[#This Row],[cantidad]]</f>
        <v/>
      </c>
      <c r="L3881" s="6" t="n">
        <v>883.576</v>
      </c>
      <c r="M3881" s="7">
        <f>IF(N3881=0,+L3881+H3881,0)</f>
        <v/>
      </c>
      <c r="N3881" s="7">
        <f>IF((+G3881-K3881)=0,0,+G3881-K3881)</f>
        <v/>
      </c>
      <c r="O3881" s="7">
        <f>IF(N3881=0,0,(L3881+H3881)/-N3881)</f>
        <v/>
      </c>
      <c r="P3881" s="7">
        <f>VLOOKUP(OPERAC[[#This Row],[especie]],[1]!ESPECIES[#All],6,0)</f>
        <v/>
      </c>
      <c r="Q3881" s="7">
        <f>IF(N3881&lt;&gt;0,P3881*N3881,0)</f>
        <v/>
      </c>
      <c r="R3881" s="8">
        <f>IF(Q3881&lt;&gt;0,Q3881+H3881+L3881,0)</f>
        <v/>
      </c>
      <c r="S3881" s="9">
        <f>VLOOKUP(OPERAC[[#This Row],[especie]],[1]!ESPECIES[#Data],9,FALSE)</f>
        <v/>
      </c>
    </row>
    <row r="3882">
      <c r="A3882" s="4" t="n">
        <v>18711</v>
      </c>
      <c r="B3882" s="5" t="n">
        <v>44609</v>
      </c>
      <c r="C3882" s="13" t="inlineStr">
        <is>
          <t>VTA</t>
        </is>
      </c>
      <c r="D3882" s="13" t="n">
        <v>32</v>
      </c>
      <c r="E3882" s="10">
        <f>IF(D3882&gt;0,VLOOKUP(OPERAC[[#This Row],[COD CART]],[1]!MatrizCortoLargoCyl[#All],3,0),"")</f>
        <v/>
      </c>
      <c r="F3882" s="13" t="inlineStr">
        <is>
          <t>HIMX/CYL/9,00/18-03-22</t>
        </is>
      </c>
      <c r="G3882" s="6" t="n">
        <v>100</v>
      </c>
      <c r="H3882" s="6" t="n">
        <v>-869.5839999999999</v>
      </c>
      <c r="I3882" s="7">
        <f>-H3882/G3882</f>
        <v/>
      </c>
      <c r="J3882" s="11" t="n">
        <v>44622</v>
      </c>
      <c r="K3882" s="6">
        <f>+OPERAC[[#This Row],[cantidad]]</f>
        <v/>
      </c>
      <c r="L3882" s="6" t="n">
        <v>883.576</v>
      </c>
      <c r="M3882" s="7">
        <f>IF(N3882=0,+L3882+H3882,0)</f>
        <v/>
      </c>
      <c r="N3882" s="7">
        <f>IF((+G3882-K3882)=0,0,+G3882-K3882)</f>
        <v/>
      </c>
      <c r="O3882" s="7">
        <f>IF(N3882=0,0,(L3882+H3882)/-N3882)</f>
        <v/>
      </c>
      <c r="P3882" s="7">
        <f>VLOOKUP(OPERAC[[#This Row],[especie]],[1]!ESPECIES[#All],6,0)</f>
        <v/>
      </c>
      <c r="Q3882" s="7">
        <f>IF(N3882&lt;&gt;0,P3882*N3882,0)</f>
        <v/>
      </c>
      <c r="R3882" s="8">
        <f>IF(Q3882&lt;&gt;0,Q3882+H3882+L3882,0)</f>
        <v/>
      </c>
      <c r="S3882" s="9">
        <f>VLOOKUP(OPERAC[[#This Row],[especie]],[1]!ESPECIES[#Data],9,FALSE)</f>
        <v/>
      </c>
    </row>
    <row r="3883">
      <c r="A3883" s="4" t="n">
        <v>19931</v>
      </c>
      <c r="B3883" s="5" t="n">
        <v>44609</v>
      </c>
      <c r="C3883" s="13" t="inlineStr">
        <is>
          <t>VTA</t>
        </is>
      </c>
      <c r="D3883" s="13" t="n">
        <v>32</v>
      </c>
      <c r="E3883" s="10">
        <f>IF(D3883&gt;0,VLOOKUP(OPERAC[[#This Row],[COD CART]],[1]!MatrizCortoLargoCyl[#All],3,0),"")</f>
        <v/>
      </c>
      <c r="F3883" s="13" t="inlineStr">
        <is>
          <t>HIMX/CYL/9,00/18-03-22</t>
        </is>
      </c>
      <c r="G3883" s="6" t="n">
        <v>100</v>
      </c>
      <c r="H3883" s="6" t="n">
        <v>-869.5839999999999</v>
      </c>
      <c r="I3883" s="7">
        <f>-H3883/G3883</f>
        <v/>
      </c>
      <c r="J3883" s="11" t="n">
        <v>44622</v>
      </c>
      <c r="K3883" s="6">
        <f>+OPERAC[[#This Row],[cantidad]]</f>
        <v/>
      </c>
      <c r="L3883" s="6" t="n">
        <v>883.576</v>
      </c>
      <c r="M3883" s="7">
        <f>IF(N3883=0,+L3883+H3883,0)</f>
        <v/>
      </c>
      <c r="N3883" s="7">
        <f>IF((+G3883-K3883)=0,0,+G3883-K3883)</f>
        <v/>
      </c>
      <c r="O3883" s="7">
        <f>IF(N3883=0,0,(L3883+H3883)/-N3883)</f>
        <v/>
      </c>
      <c r="P3883" s="7">
        <f>VLOOKUP(OPERAC[[#This Row],[especie]],[1]!ESPECIES[#All],6,0)</f>
        <v/>
      </c>
      <c r="Q3883" s="7">
        <f>IF(N3883&lt;&gt;0,P3883*N3883,0)</f>
        <v/>
      </c>
      <c r="R3883" s="8">
        <f>IF(Q3883&lt;&gt;0,Q3883+H3883+L3883,0)</f>
        <v/>
      </c>
      <c r="S3883" s="9">
        <f>VLOOKUP(OPERAC[[#This Row],[especie]],[1]!ESPECIES[#Data],9,FALSE)</f>
        <v/>
      </c>
    </row>
    <row r="3884">
      <c r="A3884" s="4" t="n">
        <v>21070</v>
      </c>
      <c r="B3884" s="5" t="n">
        <v>44609</v>
      </c>
      <c r="C3884" s="13" t="inlineStr">
        <is>
          <t>VTA</t>
        </is>
      </c>
      <c r="D3884" s="13" t="n">
        <v>32</v>
      </c>
      <c r="E3884" s="10">
        <f>IF(D3884&gt;0,VLOOKUP(OPERAC[[#This Row],[COD CART]],[1]!MatrizCortoLargoCyl[#All],3,0),"")</f>
        <v/>
      </c>
      <c r="F3884" s="13" t="inlineStr">
        <is>
          <t>HIMX/CYL/9,00/18-03-22</t>
        </is>
      </c>
      <c r="G3884" s="6" t="n">
        <v>100</v>
      </c>
      <c r="H3884" s="6" t="n">
        <v>-869.5839999999999</v>
      </c>
      <c r="I3884" s="7">
        <f>-H3884/G3884</f>
        <v/>
      </c>
      <c r="J3884" s="11" t="n">
        <v>44622</v>
      </c>
      <c r="K3884" s="6">
        <f>+OPERAC[[#This Row],[cantidad]]</f>
        <v/>
      </c>
      <c r="L3884" s="6" t="n">
        <v>883.576</v>
      </c>
      <c r="M3884" s="7">
        <f>IF(N3884=0,+L3884+H3884,0)</f>
        <v/>
      </c>
      <c r="N3884" s="7">
        <f>IF((+G3884-K3884)=0,0,+G3884-K3884)</f>
        <v/>
      </c>
      <c r="O3884" s="7">
        <f>IF(N3884=0,0,(L3884+H3884)/-N3884)</f>
        <v/>
      </c>
      <c r="P3884" s="7">
        <f>VLOOKUP(OPERAC[[#This Row],[especie]],[1]!ESPECIES[#All],6,0)</f>
        <v/>
      </c>
      <c r="Q3884" s="7">
        <f>IF(N3884&lt;&gt;0,P3884*N3884,0)</f>
        <v/>
      </c>
      <c r="R3884" s="8">
        <f>IF(Q3884&lt;&gt;0,Q3884+H3884+L3884,0)</f>
        <v/>
      </c>
      <c r="S3884" s="9">
        <f>VLOOKUP(OPERAC[[#This Row],[especie]],[1]!ESPECIES[#Data],9,FALSE)</f>
        <v/>
      </c>
    </row>
    <row r="3885">
      <c r="A3885" s="4" t="n">
        <v>22431</v>
      </c>
      <c r="B3885" s="5" t="n">
        <v>44609</v>
      </c>
      <c r="C3885" s="13" t="inlineStr">
        <is>
          <t>VTA</t>
        </is>
      </c>
      <c r="D3885" s="13" t="n">
        <v>32</v>
      </c>
      <c r="E3885" s="10">
        <f>IF(D3885&gt;0,VLOOKUP(OPERAC[[#This Row],[COD CART]],[1]!MatrizCortoLargoCyl[#All],3,0),"")</f>
        <v/>
      </c>
      <c r="F3885" s="13" t="inlineStr">
        <is>
          <t>HIMX/CYL/9,00/18-03-22</t>
        </is>
      </c>
      <c r="G3885" s="6" t="n">
        <v>100</v>
      </c>
      <c r="H3885" s="6" t="n">
        <v>-869.5839999999999</v>
      </c>
      <c r="I3885" s="7">
        <f>-H3885/G3885</f>
        <v/>
      </c>
      <c r="J3885" s="11" t="n">
        <v>44622</v>
      </c>
      <c r="K3885" s="6">
        <f>+OPERAC[[#This Row],[cantidad]]</f>
        <v/>
      </c>
      <c r="L3885" s="6" t="n">
        <v>883.576</v>
      </c>
      <c r="M3885" s="7">
        <f>IF(N3885=0,+L3885+H3885,0)</f>
        <v/>
      </c>
      <c r="N3885" s="7">
        <f>IF((+G3885-K3885)=0,0,+G3885-K3885)</f>
        <v/>
      </c>
      <c r="O3885" s="7">
        <f>IF(N3885=0,0,(L3885+H3885)/-N3885)</f>
        <v/>
      </c>
      <c r="P3885" s="7">
        <f>VLOOKUP(OPERAC[[#This Row],[especie]],[1]!ESPECIES[#All],6,0)</f>
        <v/>
      </c>
      <c r="Q3885" s="7">
        <f>IF(N3885&lt;&gt;0,P3885*N3885,0)</f>
        <v/>
      </c>
      <c r="R3885" s="8">
        <f>IF(Q3885&lt;&gt;0,Q3885+H3885+L3885,0)</f>
        <v/>
      </c>
      <c r="S3885" s="9">
        <f>VLOOKUP(OPERAC[[#This Row],[especie]],[1]!ESPECIES[#Data],9,FALSE)</f>
        <v/>
      </c>
    </row>
    <row r="3886">
      <c r="A3886" s="4" t="n">
        <v>22433</v>
      </c>
      <c r="B3886" s="5" t="n">
        <v>44609</v>
      </c>
      <c r="C3886" s="13" t="inlineStr">
        <is>
          <t>VTA</t>
        </is>
      </c>
      <c r="D3886" s="13" t="n">
        <v>32</v>
      </c>
      <c r="E3886" s="10">
        <f>IF(D3886&gt;0,VLOOKUP(OPERAC[[#This Row],[COD CART]],[1]!MatrizCortoLargoCyl[#All],3,0),"")</f>
        <v/>
      </c>
      <c r="F3886" s="13" t="inlineStr">
        <is>
          <t>HIMX/CYL/9,00/18-03-22</t>
        </is>
      </c>
      <c r="G3886" s="6" t="n">
        <v>100</v>
      </c>
      <c r="H3886" s="6" t="n">
        <v>-869.5839999999999</v>
      </c>
      <c r="I3886" s="7">
        <f>-H3886/G3886</f>
        <v/>
      </c>
      <c r="J3886" s="11" t="n">
        <v>44622</v>
      </c>
      <c r="K3886" s="6">
        <f>+OPERAC[[#This Row],[cantidad]]</f>
        <v/>
      </c>
      <c r="L3886" s="6" t="n">
        <v>883.576</v>
      </c>
      <c r="M3886" s="7">
        <f>IF(N3886=0,+L3886+H3886,0)</f>
        <v/>
      </c>
      <c r="N3886" s="7">
        <f>IF((+G3886-K3886)=0,0,+G3886-K3886)</f>
        <v/>
      </c>
      <c r="O3886" s="7">
        <f>IF(N3886=0,0,(L3886+H3886)/-N3886)</f>
        <v/>
      </c>
      <c r="P3886" s="7">
        <f>VLOOKUP(OPERAC[[#This Row],[especie]],[1]!ESPECIES[#All],6,0)</f>
        <v/>
      </c>
      <c r="Q3886" s="7">
        <f>IF(N3886&lt;&gt;0,P3886*N3886,0)</f>
        <v/>
      </c>
      <c r="R3886" s="8">
        <f>IF(Q3886&lt;&gt;0,Q3886+H3886+L3886,0)</f>
        <v/>
      </c>
      <c r="S3886" s="9">
        <f>VLOOKUP(OPERAC[[#This Row],[especie]],[1]!ESPECIES[#Data],9,FALSE)</f>
        <v/>
      </c>
    </row>
    <row r="3887">
      <c r="A3887" s="4" t="n">
        <v>22439</v>
      </c>
      <c r="B3887" s="5" t="n">
        <v>44609</v>
      </c>
      <c r="C3887" s="13" t="inlineStr">
        <is>
          <t>VTA</t>
        </is>
      </c>
      <c r="D3887" s="13" t="n">
        <v>32</v>
      </c>
      <c r="E3887" s="10">
        <f>IF(D3887&gt;0,VLOOKUP(OPERAC[[#This Row],[COD CART]],[1]!MatrizCortoLargoCyl[#All],3,0),"")</f>
        <v/>
      </c>
      <c r="F3887" s="13" t="inlineStr">
        <is>
          <t>HIMX/CYL/9,00/18-03-22</t>
        </is>
      </c>
      <c r="G3887" s="6" t="n">
        <v>100</v>
      </c>
      <c r="H3887" s="6" t="n">
        <v>-869.5839999999999</v>
      </c>
      <c r="I3887" s="7">
        <f>-H3887/G3887</f>
        <v/>
      </c>
      <c r="J3887" s="11" t="n">
        <v>44622</v>
      </c>
      <c r="K3887" s="6">
        <f>+OPERAC[[#This Row],[cantidad]]</f>
        <v/>
      </c>
      <c r="L3887" s="6" t="n">
        <v>883.576</v>
      </c>
      <c r="M3887" s="7">
        <f>IF(N3887=0,+L3887+H3887,0)</f>
        <v/>
      </c>
      <c r="N3887" s="7">
        <f>IF((+G3887-K3887)=0,0,+G3887-K3887)</f>
        <v/>
      </c>
      <c r="O3887" s="7">
        <f>IF(N3887=0,0,(L3887+H3887)/-N3887)</f>
        <v/>
      </c>
      <c r="P3887" s="7">
        <f>VLOOKUP(OPERAC[[#This Row],[especie]],[1]!ESPECIES[#All],6,0)</f>
        <v/>
      </c>
      <c r="Q3887" s="7">
        <f>IF(N3887&lt;&gt;0,P3887*N3887,0)</f>
        <v/>
      </c>
      <c r="R3887" s="8">
        <f>IF(Q3887&lt;&gt;0,Q3887+H3887+L3887,0)</f>
        <v/>
      </c>
      <c r="S3887" s="9">
        <f>VLOOKUP(OPERAC[[#This Row],[especie]],[1]!ESPECIES[#Data],9,FALSE)</f>
        <v/>
      </c>
    </row>
    <row r="3888">
      <c r="A3888" s="4" t="n">
        <v>25070</v>
      </c>
      <c r="B3888" s="5" t="n">
        <v>44609</v>
      </c>
      <c r="C3888" s="13" t="inlineStr">
        <is>
          <t>VTA</t>
        </is>
      </c>
      <c r="D3888" s="13" t="n">
        <v>32</v>
      </c>
      <c r="E3888" s="10">
        <f>IF(D3888&gt;0,VLOOKUP(OPERAC[[#This Row],[COD CART]],[1]!MatrizCortoLargoCyl[#All],3,0),"")</f>
        <v/>
      </c>
      <c r="F3888" s="13" t="inlineStr">
        <is>
          <t>HIMX/CYL/9,00/18-03-22</t>
        </is>
      </c>
      <c r="G3888" s="6" t="n">
        <v>100</v>
      </c>
      <c r="H3888" s="6" t="n">
        <v>-869.5839999999999</v>
      </c>
      <c r="I3888" s="7">
        <f>-H3888/G3888</f>
        <v/>
      </c>
      <c r="J3888" s="11" t="n">
        <v>44622</v>
      </c>
      <c r="K3888" s="6">
        <f>+OPERAC[[#This Row],[cantidad]]</f>
        <v/>
      </c>
      <c r="L3888" s="6" t="n">
        <v>883.576</v>
      </c>
      <c r="M3888" s="7">
        <f>IF(N3888=0,+L3888+H3888,0)</f>
        <v/>
      </c>
      <c r="N3888" s="7">
        <f>IF((+G3888-K3888)=0,0,+G3888-K3888)</f>
        <v/>
      </c>
      <c r="O3888" s="7">
        <f>IF(N3888=0,0,(L3888+H3888)/-N3888)</f>
        <v/>
      </c>
      <c r="P3888" s="7">
        <f>VLOOKUP(OPERAC[[#This Row],[especie]],[1]!ESPECIES[#All],6,0)</f>
        <v/>
      </c>
      <c r="Q3888" s="7">
        <f>IF(N3888&lt;&gt;0,P3888*N3888,0)</f>
        <v/>
      </c>
      <c r="R3888" s="8">
        <f>IF(Q3888&lt;&gt;0,Q3888+H3888+L3888,0)</f>
        <v/>
      </c>
      <c r="S3888" s="9">
        <f>VLOOKUP(OPERAC[[#This Row],[especie]],[1]!ESPECIES[#Data],9,FALSE)</f>
        <v/>
      </c>
    </row>
    <row r="3889">
      <c r="A3889" s="4" t="n">
        <v>2217</v>
      </c>
      <c r="B3889" s="5" t="n">
        <v>44614</v>
      </c>
      <c r="C3889" s="13" t="inlineStr">
        <is>
          <t>VTA</t>
        </is>
      </c>
      <c r="D3889" s="13" t="n">
        <v>32</v>
      </c>
      <c r="E3889" s="10">
        <f>IF(D3889&gt;0,VLOOKUP(OPERAC[[#This Row],[COD CART]],[1]!MatrizCortoLargoCyl[#All],3,0),"")</f>
        <v/>
      </c>
      <c r="F3889" s="13" t="inlineStr">
        <is>
          <t>COTY/CYL/9,00/18-03-22</t>
        </is>
      </c>
      <c r="G3889" s="6" t="n">
        <v>100</v>
      </c>
      <c r="H3889" s="6" t="n">
        <v>-870.27</v>
      </c>
      <c r="I3889" s="7">
        <f>-H3889/G3889</f>
        <v/>
      </c>
      <c r="J3889" s="11" t="n">
        <v>44638</v>
      </c>
      <c r="K3889" s="6" t="n">
        <v>100</v>
      </c>
      <c r="L3889" s="6" t="n">
        <v>886.41</v>
      </c>
      <c r="M3889" s="7">
        <f>IF(N3889=0,+L3889+H3889,0)</f>
        <v/>
      </c>
      <c r="N3889" s="7">
        <f>IF((+G3889-K3889)=0,0,+G3889-K3889)</f>
        <v/>
      </c>
      <c r="O3889" s="7">
        <f>IF(N3889=0,0,(L3889+H3889)/-N3889)</f>
        <v/>
      </c>
      <c r="P3889" s="7">
        <f>VLOOKUP(OPERAC[[#This Row],[especie]],[1]!ESPECIES[#All],6,0)</f>
        <v/>
      </c>
      <c r="Q3889" s="7">
        <f>IF(N3889&lt;&gt;0,P3889*N3889,0)</f>
        <v/>
      </c>
      <c r="R3889" s="8">
        <f>IF(Q3889&lt;&gt;0,Q3889+H3889+L3889,0)</f>
        <v/>
      </c>
      <c r="S3889" s="9">
        <f>VLOOKUP(OPERAC[[#This Row],[especie]],[1]!ESPECIES[#Data],9,FALSE)</f>
        <v/>
      </c>
    </row>
    <row r="3890">
      <c r="A3890" s="4" t="n">
        <v>2305</v>
      </c>
      <c r="B3890" s="5" t="n">
        <v>44614</v>
      </c>
      <c r="C3890" s="13" t="inlineStr">
        <is>
          <t>VTA</t>
        </is>
      </c>
      <c r="D3890" s="13" t="n">
        <v>32</v>
      </c>
      <c r="E3890" s="10">
        <f>IF(D3890&gt;0,VLOOKUP(OPERAC[[#This Row],[COD CART]],[1]!MatrizCortoLargoCyl[#All],3,0),"")</f>
        <v/>
      </c>
      <c r="F3890" s="13" t="inlineStr">
        <is>
          <t>COTY/CYL/9,00/18-03-22</t>
        </is>
      </c>
      <c r="G3890" s="6" t="n">
        <v>100</v>
      </c>
      <c r="H3890" s="6" t="n">
        <v>-870.27</v>
      </c>
      <c r="I3890" s="7">
        <f>-H3890/G3890</f>
        <v/>
      </c>
      <c r="J3890" s="11" t="n">
        <v>44638</v>
      </c>
      <c r="K3890" s="6" t="n">
        <v>100</v>
      </c>
      <c r="L3890" s="6" t="n">
        <v>886.41</v>
      </c>
      <c r="M3890" s="7">
        <f>IF(N3890=0,+L3890+H3890,0)</f>
        <v/>
      </c>
      <c r="N3890" s="7">
        <f>IF((+G3890-K3890)=0,0,+G3890-K3890)</f>
        <v/>
      </c>
      <c r="O3890" s="7">
        <f>IF(N3890=0,0,(L3890+H3890)/-N3890)</f>
        <v/>
      </c>
      <c r="P3890" s="7">
        <f>VLOOKUP(OPERAC[[#This Row],[especie]],[1]!ESPECIES[#All],6,0)</f>
        <v/>
      </c>
      <c r="Q3890" s="7">
        <f>IF(N3890&lt;&gt;0,P3890*N3890,0)</f>
        <v/>
      </c>
      <c r="R3890" s="8">
        <f>IF(Q3890&lt;&gt;0,Q3890+H3890+L3890,0)</f>
        <v/>
      </c>
      <c r="S3890" s="9">
        <f>VLOOKUP(OPERAC[[#This Row],[especie]],[1]!ESPECIES[#Data],9,FALSE)</f>
        <v/>
      </c>
    </row>
    <row r="3891">
      <c r="A3891" s="4" t="n">
        <v>2257</v>
      </c>
      <c r="B3891" s="5" t="n">
        <v>44664</v>
      </c>
      <c r="C3891" s="13" t="inlineStr">
        <is>
          <t>VTA</t>
        </is>
      </c>
      <c r="D3891" s="13" t="n">
        <v>42</v>
      </c>
      <c r="E3891" s="10">
        <f>IF(D3891&gt;0,VLOOKUP(OPERAC[[#This Row],[COD CART]],[1]!MatrizCortoLargoCyl[#All],3,0),"")</f>
        <v/>
      </c>
      <c r="F3891" s="13" t="inlineStr">
        <is>
          <t>PSQ</t>
        </is>
      </c>
      <c r="G3891" s="6" t="n">
        <v>70</v>
      </c>
      <c r="H3891" s="6" t="n">
        <v>-870.28005267</v>
      </c>
      <c r="I3891" s="7">
        <f>-H3891/G3891</f>
        <v/>
      </c>
      <c r="J3891" s="11" t="n">
        <v>44680</v>
      </c>
      <c r="K3891" s="6">
        <f>+OPERAC[[#This Row],[cantidad]]</f>
        <v/>
      </c>
      <c r="L3891" s="6">
        <f>12.848*OPERAC[[#This Row],[cantidad venta]]</f>
        <v/>
      </c>
      <c r="M3891" s="7">
        <f>IF(N3891=0,+L3891+H3891,0)</f>
        <v/>
      </c>
      <c r="N3891" s="7">
        <f>IF((+G3891-K3891)=0,0,+G3891-K3891)</f>
        <v/>
      </c>
      <c r="O3891" s="7">
        <f>IF(N3891=0,0,(L3891+H3891)/-N3891)</f>
        <v/>
      </c>
      <c r="P3891" s="7">
        <f>VLOOKUP(OPERAC[[#This Row],[especie]],[1]!ESPECIES[#All],6,0)</f>
        <v/>
      </c>
      <c r="Q3891" s="7">
        <f>IF(N3891&lt;&gt;0,P3891*N3891,0)</f>
        <v/>
      </c>
      <c r="R3891" s="8">
        <f>IF(Q3891&lt;&gt;0,Q3891+H3891+L3891,0)</f>
        <v/>
      </c>
      <c r="S3891" s="9">
        <f>VLOOKUP(OPERAC[[#This Row],[especie]],[1]!ESPECIES[#Data],9,FALSE)</f>
        <v/>
      </c>
    </row>
    <row r="3892">
      <c r="A3892" s="4" t="n">
        <v>3728</v>
      </c>
      <c r="B3892" s="5" t="n">
        <v>44725</v>
      </c>
      <c r="C3892" s="13" t="inlineStr">
        <is>
          <t>VTA</t>
        </is>
      </c>
      <c r="D3892" s="13" t="n">
        <v>40</v>
      </c>
      <c r="E3892" s="10">
        <f>IF(D3892&gt;0,VLOOKUP(OPERAC[[#This Row],[COD CART]],[1]!MatrizCortoLargoCyl[#All],3,0),"")</f>
        <v/>
      </c>
      <c r="F3892" s="13" t="inlineStr">
        <is>
          <t>AMD</t>
        </is>
      </c>
      <c r="G3892" s="6" t="n">
        <v>10</v>
      </c>
      <c r="H3892" s="6" t="n">
        <v>-870.41955</v>
      </c>
      <c r="I3892" s="7">
        <f>-H3892/G3892</f>
        <v/>
      </c>
      <c r="J3892" s="5" t="n"/>
      <c r="K3892" s="6" t="n"/>
      <c r="L3892" s="6" t="n"/>
      <c r="M3892" s="7">
        <f>IF(N3892=0,+L3892+H3892,0)</f>
        <v/>
      </c>
      <c r="N3892" s="7">
        <f>IF((+G3892-K3892)=0,0,+G3892-K3892)</f>
        <v/>
      </c>
      <c r="O3892" s="7">
        <f>IF(N3892=0,0,(L3892+H3892)/-N3892)</f>
        <v/>
      </c>
      <c r="P3892" s="7">
        <f>VLOOKUP(OPERAC[[#This Row],[especie]],[1]!ESPECIES[#All],6,0)</f>
        <v/>
      </c>
      <c r="Q3892" s="7">
        <f>IF(N3892&lt;&gt;0,P3892*N3892,0)</f>
        <v/>
      </c>
      <c r="R3892" s="8">
        <f>IF(Q3892&lt;&gt;0,Q3892+H3892+L3892,0)</f>
        <v/>
      </c>
      <c r="S3892" s="9">
        <f>VLOOKUP(OPERAC[[#This Row],[especie]],[1]!ESPECIES[#Data],9,FALSE)</f>
        <v/>
      </c>
    </row>
    <row r="3893">
      <c r="A3893" s="4" t="n">
        <v>12690</v>
      </c>
      <c r="B3893" s="5" t="n">
        <v>44715</v>
      </c>
      <c r="C3893" s="13" t="inlineStr">
        <is>
          <t>VTA</t>
        </is>
      </c>
      <c r="D3893" s="13" t="n">
        <v>32</v>
      </c>
      <c r="E3893" s="10">
        <f>IF(D3893&gt;0,VLOOKUP(OPERAC[[#This Row],[COD CART]],[1]!MatrizCortoLargoCyl[#All],3,0),"")</f>
        <v/>
      </c>
      <c r="F3893" s="13" t="inlineStr">
        <is>
          <t>PCT/CYL/9,00/17-06-22</t>
        </is>
      </c>
      <c r="G3893" s="6" t="n">
        <v>100</v>
      </c>
      <c r="H3893" s="6" t="n">
        <v>-870.64</v>
      </c>
      <c r="I3893" s="7">
        <f>-H3893/G3893</f>
        <v/>
      </c>
      <c r="J3893" s="5" t="n"/>
      <c r="K3893" s="6" t="n"/>
      <c r="L3893" s="6" t="n"/>
      <c r="M3893" s="7">
        <f>IF(N3893=0,+L3893+H3893,0)</f>
        <v/>
      </c>
      <c r="N3893" s="7">
        <f>IF((+G3893-K3893)=0,0,+G3893-K3893)</f>
        <v/>
      </c>
      <c r="O3893" s="7">
        <f>IF(N3893=0,0,(L3893+H3893)/-N3893)</f>
        <v/>
      </c>
      <c r="P3893" s="7">
        <f>VLOOKUP(OPERAC[[#This Row],[especie]],[1]!ESPECIES[#All],6,0)</f>
        <v/>
      </c>
      <c r="Q3893" s="7">
        <f>IF(N3893&lt;&gt;0,P3893*N3893,0)</f>
        <v/>
      </c>
      <c r="R3893" s="8">
        <f>IF(Q3893&lt;&gt;0,Q3893+H3893+L3893,0)</f>
        <v/>
      </c>
      <c r="S3893" s="9">
        <f>VLOOKUP(OPERAC[[#This Row],[especie]],[1]!ESPECIES[#Data],9,FALSE)</f>
        <v/>
      </c>
    </row>
    <row r="3894">
      <c r="A3894" s="4" t="n">
        <v>3728</v>
      </c>
      <c r="B3894" s="5" t="n">
        <v>44670</v>
      </c>
      <c r="C3894" s="13" t="inlineStr">
        <is>
          <t>VTA</t>
        </is>
      </c>
      <c r="D3894" s="13" t="n">
        <v>40</v>
      </c>
      <c r="E3894" s="10">
        <f>IF(D3894&gt;0,VLOOKUP(OPERAC[[#This Row],[COD CART]],[1]!MatrizCortoLargoCyl[#All],3,0),"")</f>
        <v/>
      </c>
      <c r="F3894" s="13" t="inlineStr">
        <is>
          <t>SATL</t>
        </is>
      </c>
      <c r="G3894" s="6" t="n">
        <v>100</v>
      </c>
      <c r="H3894" s="6" t="n">
        <v>-870.87</v>
      </c>
      <c r="I3894" s="7">
        <f>-H3894/G3894</f>
        <v/>
      </c>
      <c r="J3894" s="11" t="n">
        <v>44671</v>
      </c>
      <c r="K3894" s="6" t="n">
        <v>100</v>
      </c>
      <c r="L3894" s="6" t="n">
        <v>909.09</v>
      </c>
      <c r="M3894" s="7">
        <f>IF(N3894=0,+L3894+H3894,0)</f>
        <v/>
      </c>
      <c r="N3894" s="7">
        <f>IF((+G3894-K3894)=0,0,+G3894-K3894)</f>
        <v/>
      </c>
      <c r="O3894" s="7">
        <f>IF(N3894=0,0,(L3894+H3894)/-N3894)</f>
        <v/>
      </c>
      <c r="P3894" s="7">
        <f>VLOOKUP(OPERAC[[#This Row],[especie]],[1]!ESPECIES[#All],6,0)</f>
        <v/>
      </c>
      <c r="Q3894" s="7">
        <f>IF(N3894&lt;&gt;0,P3894*N3894,0)</f>
        <v/>
      </c>
      <c r="R3894" s="8">
        <f>IF(Q3894&lt;&gt;0,Q3894+H3894+L3894,0)</f>
        <v/>
      </c>
      <c r="S3894" s="9">
        <f>VLOOKUP(OPERAC[[#This Row],[especie]],[1]!ESPECIES[#Data],9,FALSE)</f>
        <v/>
      </c>
    </row>
    <row r="3895">
      <c r="A3895" s="4" t="n">
        <v>2276</v>
      </c>
      <c r="B3895" s="5" t="n">
        <v>44698</v>
      </c>
      <c r="C3895" s="13" t="inlineStr">
        <is>
          <t>VTA</t>
        </is>
      </c>
      <c r="D3895" s="13" t="n">
        <v>41</v>
      </c>
      <c r="E3895" s="10">
        <f>IF(D3895&gt;0,VLOOKUP(OPERAC[[#This Row],[COD CART]],[1]!MatrizCortoLargoCyl[#All],3,0),"")</f>
        <v/>
      </c>
      <c r="F3895" s="13" t="inlineStr">
        <is>
          <t>QFIN</t>
        </is>
      </c>
      <c r="G3895" s="6" t="n">
        <v>62</v>
      </c>
      <c r="H3895" s="6" t="n">
        <v>-871.626</v>
      </c>
      <c r="I3895" s="7">
        <f>-H3895/G3895</f>
        <v/>
      </c>
      <c r="J3895" s="11" t="n"/>
      <c r="K3895" s="6" t="n"/>
      <c r="L3895" s="6" t="n"/>
      <c r="M3895" s="7">
        <f>IF(N3895=0,+L3895+H3895,0)</f>
        <v/>
      </c>
      <c r="N3895" s="7">
        <f>IF((+G3895-K3895)=0,0,+G3895-K3895)</f>
        <v/>
      </c>
      <c r="O3895" s="7">
        <f>IF(N3895=0,0,(L3895+H3895)/-N3895)</f>
        <v/>
      </c>
      <c r="P3895" s="7">
        <f>VLOOKUP(OPERAC[[#This Row],[especie]],[1]!ESPECIES[#All],6,0)</f>
        <v/>
      </c>
      <c r="Q3895" s="7">
        <f>IF(N3895&lt;&gt;0,P3895*N3895,0)</f>
        <v/>
      </c>
      <c r="R3895" s="8">
        <f>IF(Q3895&lt;&gt;0,Q3895+H3895+L3895,0)</f>
        <v/>
      </c>
      <c r="S3895" s="9">
        <f>VLOOKUP(OPERAC[[#This Row],[especie]],[1]!ESPECIES[#Data],9,FALSE)</f>
        <v/>
      </c>
    </row>
    <row r="3896">
      <c r="A3896" s="4" t="n">
        <v>3787</v>
      </c>
      <c r="B3896" s="5" t="n">
        <v>44642</v>
      </c>
      <c r="C3896" s="13" t="inlineStr">
        <is>
          <t>VTA</t>
        </is>
      </c>
      <c r="D3896" s="13" t="n">
        <v>42</v>
      </c>
      <c r="E3896" s="10">
        <f>IF(D3896&gt;0,VLOOKUP(OPERAC[[#This Row],[COD CART]],[1]!MatrizCortoLargoCyl[#All],3,0),"")</f>
        <v/>
      </c>
      <c r="F3896" s="13" t="inlineStr">
        <is>
          <t>HYDR</t>
        </is>
      </c>
      <c r="G3896" s="6" t="n">
        <v>45</v>
      </c>
      <c r="H3896" s="6">
        <f>-19.39*OPERAC[[#This Row],[cantidad]]</f>
        <v/>
      </c>
      <c r="I3896" s="7">
        <f>-H3896/G3896</f>
        <v/>
      </c>
      <c r="J3896" s="11" t="n">
        <v>44691</v>
      </c>
      <c r="K3896" s="6" t="n">
        <v>45</v>
      </c>
      <c r="L3896" s="6">
        <f>+OPERAC[[#This Row],[cantidad venta]]*12.85</f>
        <v/>
      </c>
      <c r="M3896" s="7">
        <f>IF(N3896=0,+L3896+H3896,0)</f>
        <v/>
      </c>
      <c r="N3896" s="7">
        <f>IF((+G3896-K3896)=0,0,+G3896-K3896)</f>
        <v/>
      </c>
      <c r="O3896" s="7">
        <f>IF(N3896=0,0,(L3896+H3896)/-N3896)</f>
        <v/>
      </c>
      <c r="P3896" s="7">
        <f>VLOOKUP(OPERAC[[#This Row],[especie]],[1]!ESPECIES[#All],6,0)</f>
        <v/>
      </c>
      <c r="Q3896" s="7">
        <f>IF(N3896&lt;&gt;0,P3896*N3896,0)</f>
        <v/>
      </c>
      <c r="R3896" s="8">
        <f>IF(Q3896&lt;&gt;0,Q3896+H3896+L3896,0)</f>
        <v/>
      </c>
      <c r="S3896" s="9">
        <f>VLOOKUP(OPERAC[[#This Row],[especie]],[1]!ESPECIES[#Data],9,FALSE)</f>
        <v/>
      </c>
    </row>
    <row r="3897">
      <c r="A3897" s="4" t="n">
        <v>18724</v>
      </c>
      <c r="B3897" s="5" t="n">
        <v>44705</v>
      </c>
      <c r="C3897" s="13" t="inlineStr">
        <is>
          <t>VTA</t>
        </is>
      </c>
      <c r="D3897" s="13" t="n">
        <v>32</v>
      </c>
      <c r="E3897" s="10">
        <f>IF(D3897&gt;0,VLOOKUP(OPERAC[[#This Row],[COD CART]],[1]!MatrizCortoLargoCyl[#All],3,0),"")</f>
        <v/>
      </c>
      <c r="F3897" s="13" t="inlineStr">
        <is>
          <t>AMC/CYL/9,00/03-06-22</t>
        </is>
      </c>
      <c r="G3897" s="6" t="n">
        <v>100</v>
      </c>
      <c r="H3897" s="6" t="n">
        <v>-876.657</v>
      </c>
      <c r="I3897" s="7">
        <f>-H3897/G3897</f>
        <v/>
      </c>
      <c r="J3897" s="5" t="n">
        <v>44715</v>
      </c>
      <c r="K3897" s="6">
        <f>+OPERAC[[#This Row],[cantidad]]</f>
        <v/>
      </c>
      <c r="L3897" s="6">
        <f>8.96*OPERAC[[#This Row],[cantidad venta]]</f>
        <v/>
      </c>
      <c r="M3897" s="7">
        <f>IF(N3897=0,+L3897+H3897,0)</f>
        <v/>
      </c>
      <c r="N3897" s="7">
        <f>IF((+G3897-K3897)=0,0,+G3897-K3897)</f>
        <v/>
      </c>
      <c r="O3897" s="7">
        <f>IF(N3897=0,0,(L3897+H3897)/-N3897)</f>
        <v/>
      </c>
      <c r="P3897" s="7">
        <f>VLOOKUP(OPERAC[[#This Row],[especie]],[1]!ESPECIES[#All],6,0)</f>
        <v/>
      </c>
      <c r="Q3897" s="7">
        <f>IF(N3897&lt;&gt;0,P3897*N3897,0)</f>
        <v/>
      </c>
      <c r="R3897" s="8">
        <f>IF(Q3897&lt;&gt;0,Q3897+H3897+L3897,0)</f>
        <v/>
      </c>
      <c r="S3897" s="9">
        <f>VLOOKUP(OPERAC[[#This Row],[especie]],[1]!ESPECIES[#Data],9,FALSE)</f>
        <v/>
      </c>
    </row>
    <row r="3898">
      <c r="A3898" s="4" t="n">
        <v>18726</v>
      </c>
      <c r="B3898" s="5" t="n">
        <v>44705</v>
      </c>
      <c r="C3898" s="13" t="inlineStr">
        <is>
          <t>VTA</t>
        </is>
      </c>
      <c r="D3898" s="13" t="n">
        <v>32</v>
      </c>
      <c r="E3898" s="10">
        <f>IF(D3898&gt;0,VLOOKUP(OPERAC[[#This Row],[COD CART]],[1]!MatrizCortoLargoCyl[#All],3,0),"")</f>
        <v/>
      </c>
      <c r="F3898" s="13" t="inlineStr">
        <is>
          <t>AMC/CYL/9,00/03-06-22</t>
        </is>
      </c>
      <c r="G3898" s="6" t="n">
        <v>100</v>
      </c>
      <c r="H3898" s="6" t="n">
        <v>-876.657</v>
      </c>
      <c r="I3898" s="7">
        <f>-H3898/G3898</f>
        <v/>
      </c>
      <c r="J3898" s="5" t="n">
        <v>44715</v>
      </c>
      <c r="K3898" s="6">
        <f>+OPERAC[[#This Row],[cantidad]]</f>
        <v/>
      </c>
      <c r="L3898" s="6">
        <f>8.96*OPERAC[[#This Row],[cantidad venta]]</f>
        <v/>
      </c>
      <c r="M3898" s="7">
        <f>IF(N3898=0,+L3898+H3898,0)</f>
        <v/>
      </c>
      <c r="N3898" s="7">
        <f>IF((+G3898-K3898)=0,0,+G3898-K3898)</f>
        <v/>
      </c>
      <c r="O3898" s="7">
        <f>IF(N3898=0,0,(L3898+H3898)/-N3898)</f>
        <v/>
      </c>
      <c r="P3898" s="7">
        <f>VLOOKUP(OPERAC[[#This Row],[especie]],[1]!ESPECIES[#All],6,0)</f>
        <v/>
      </c>
      <c r="Q3898" s="7">
        <f>IF(N3898&lt;&gt;0,P3898*N3898,0)</f>
        <v/>
      </c>
      <c r="R3898" s="8">
        <f>IF(Q3898&lt;&gt;0,Q3898+H3898+L3898,0)</f>
        <v/>
      </c>
      <c r="S3898" s="9">
        <f>VLOOKUP(OPERAC[[#This Row],[especie]],[1]!ESPECIES[#Data],9,FALSE)</f>
        <v/>
      </c>
    </row>
    <row r="3899">
      <c r="A3899" s="4" t="n">
        <v>3787</v>
      </c>
      <c r="B3899" s="5" t="n">
        <v>44523</v>
      </c>
      <c r="C3899" s="13" t="inlineStr">
        <is>
          <t>VTA</t>
        </is>
      </c>
      <c r="D3899" s="13" t="n">
        <v>40</v>
      </c>
      <c r="E3899" s="10">
        <f>IF(D3899&gt;0,VLOOKUP(OPERAC[[#This Row],[COD CART]],[1]!MatrizCortoLargoCyl[#All],3,0),"")</f>
        <v/>
      </c>
      <c r="F3899" s="13" t="inlineStr">
        <is>
          <t>EDU</t>
        </is>
      </c>
      <c r="G3899" s="6" t="n">
        <v>500</v>
      </c>
      <c r="H3899" s="6">
        <f>-889.745+0.026*OPERAC[[#This Row],[cantidad]]</f>
        <v/>
      </c>
      <c r="I3899" s="7">
        <f>-H3899/G3899</f>
        <v/>
      </c>
      <c r="J3899" s="11" t="n">
        <v>44630</v>
      </c>
      <c r="K3899" s="6" t="n">
        <v>500</v>
      </c>
      <c r="L3899" s="6" t="n">
        <v>569.318</v>
      </c>
      <c r="M3899" s="7">
        <f>IF(N3899=0,+L3899+H3899,0)</f>
        <v/>
      </c>
      <c r="N3899" s="7">
        <f>IF((+G3899-K3899)=0,0,+G3899-K3899)</f>
        <v/>
      </c>
      <c r="O3899" s="7">
        <f>IF(N3899=0,0,(L3899+H3899)/-N3899)</f>
        <v/>
      </c>
      <c r="P3899" s="7">
        <f>VLOOKUP(OPERAC[[#This Row],[especie]],[1]!ESPECIES[#All],6,0)</f>
        <v/>
      </c>
      <c r="Q3899" s="7">
        <f>IF(N3899&lt;&gt;0,P3899*N3899,0)</f>
        <v/>
      </c>
      <c r="R3899" s="8">
        <f>IF(Q3899&lt;&gt;0,Q3899+H3899+L3899,0)</f>
        <v/>
      </c>
      <c r="S3899" s="9">
        <f>VLOOKUP(OPERAC[[#This Row],[especie]],[1]!ESPECIES[#Data],9,FALSE)</f>
        <v/>
      </c>
    </row>
    <row r="3900">
      <c r="A3900" s="4" t="n">
        <v>2217</v>
      </c>
      <c r="B3900" s="5" t="n">
        <v>44523</v>
      </c>
      <c r="C3900" s="13" t="inlineStr">
        <is>
          <t>VTA</t>
        </is>
      </c>
      <c r="D3900" s="13" t="n">
        <v>40</v>
      </c>
      <c r="E3900" s="10">
        <f>IF(D3900&gt;0,VLOOKUP(OPERAC[[#This Row],[COD CART]],[1]!MatrizCortoLargoCyl[#All],3,0),"")</f>
        <v/>
      </c>
      <c r="F3900" s="13" t="inlineStr">
        <is>
          <t>EDU</t>
        </is>
      </c>
      <c r="G3900" s="6" t="n">
        <v>500</v>
      </c>
      <c r="H3900" s="6">
        <f>-889.745+0.026*OPERAC[[#This Row],[cantidad]]</f>
        <v/>
      </c>
      <c r="I3900" s="7">
        <f>-H3900/G3900</f>
        <v/>
      </c>
      <c r="J3900" s="11" t="n">
        <v>44614</v>
      </c>
      <c r="K3900" s="6">
        <f>+OPERAC[[#This Row],[cantidad]]</f>
        <v/>
      </c>
      <c r="L3900" s="6">
        <f>1.483*OPERAC[[#This Row],[cantidad venta]]</f>
        <v/>
      </c>
      <c r="M3900" s="7">
        <f>IF(N3900=0,+L3900+H3900,0)</f>
        <v/>
      </c>
      <c r="N3900" s="7">
        <f>IF((+G3900-K3900)=0,0,+G3900-K3900)</f>
        <v/>
      </c>
      <c r="O3900" s="7">
        <f>IF(N3900=0,0,(L3900+H3900)/-N3900)</f>
        <v/>
      </c>
      <c r="P3900" s="7">
        <f>VLOOKUP(OPERAC[[#This Row],[especie]],[1]!ESPECIES[#All],6,0)</f>
        <v/>
      </c>
      <c r="Q3900" s="7">
        <f>IF(N3900&lt;&gt;0,P3900*N3900,0)</f>
        <v/>
      </c>
      <c r="R3900" s="8">
        <f>IF(Q3900&lt;&gt;0,Q3900+H3900+L3900,0)</f>
        <v/>
      </c>
      <c r="S3900" s="9">
        <f>VLOOKUP(OPERAC[[#This Row],[especie]],[1]!ESPECIES[#Data],9,FALSE)</f>
        <v/>
      </c>
    </row>
    <row r="3901">
      <c r="A3901" s="4" t="n">
        <v>2257</v>
      </c>
      <c r="B3901" s="5" t="n">
        <v>44523</v>
      </c>
      <c r="C3901" s="13" t="inlineStr">
        <is>
          <t>VTA</t>
        </is>
      </c>
      <c r="D3901" s="13" t="n">
        <v>40</v>
      </c>
      <c r="E3901" s="10">
        <f>IF(D3901&gt;0,VLOOKUP(OPERAC[[#This Row],[COD CART]],[1]!MatrizCortoLargoCyl[#All],3,0),"")</f>
        <v/>
      </c>
      <c r="F3901" s="13" t="inlineStr">
        <is>
          <t>EDU</t>
        </is>
      </c>
      <c r="G3901" s="6" t="n">
        <v>500</v>
      </c>
      <c r="H3901" s="6">
        <f>-889.745+0.026*OPERAC[[#This Row],[cantidad]]</f>
        <v/>
      </c>
      <c r="I3901" s="7">
        <f>-H3901/G3901</f>
        <v/>
      </c>
      <c r="J3901" s="11" t="n">
        <v>44616</v>
      </c>
      <c r="K3901" s="6" t="n">
        <v>500</v>
      </c>
      <c r="L3901" s="6" t="n">
        <v>691.83</v>
      </c>
      <c r="M3901" s="7">
        <f>IF(N3901=0,+L3901+H3901,0)</f>
        <v/>
      </c>
      <c r="N3901" s="7">
        <f>IF((+G3901-K3901)=0,0,+G3901-K3901)</f>
        <v/>
      </c>
      <c r="O3901" s="7">
        <f>IF(N3901=0,0,(L3901+H3901)/-N3901)</f>
        <v/>
      </c>
      <c r="P3901" s="7">
        <f>VLOOKUP(OPERAC[[#This Row],[especie]],[1]!ESPECIES[#All],6,0)</f>
        <v/>
      </c>
      <c r="Q3901" s="7">
        <f>IF(N3901&lt;&gt;0,P3901*N3901,0)</f>
        <v/>
      </c>
      <c r="R3901" s="8">
        <f>IF(Q3901&lt;&gt;0,Q3901+H3901+L3901,0)</f>
        <v/>
      </c>
      <c r="S3901" s="9">
        <f>VLOOKUP(OPERAC[[#This Row],[especie]],[1]!ESPECIES[#Data],9,FALSE)</f>
        <v/>
      </c>
    </row>
    <row r="3902">
      <c r="A3902" s="4" t="n">
        <v>12652</v>
      </c>
      <c r="B3902" s="5" t="n">
        <v>44523</v>
      </c>
      <c r="C3902" s="13" t="inlineStr">
        <is>
          <t>VTA</t>
        </is>
      </c>
      <c r="D3902" s="13" t="n">
        <v>40</v>
      </c>
      <c r="E3902" s="10">
        <f>IF(D3902&gt;0,VLOOKUP(OPERAC[[#This Row],[COD CART]],[1]!MatrizCortoLargoCyl[#All],3,0),"")</f>
        <v/>
      </c>
      <c r="F3902" s="13" t="inlineStr">
        <is>
          <t>EDU</t>
        </is>
      </c>
      <c r="G3902" s="6" t="n">
        <v>500</v>
      </c>
      <c r="H3902" s="6">
        <f>-889.745+0.026*OPERAC[[#This Row],[cantidad]]</f>
        <v/>
      </c>
      <c r="I3902" s="7">
        <f>-H3902/G3902</f>
        <v/>
      </c>
      <c r="J3902" s="11" t="n">
        <v>44630</v>
      </c>
      <c r="K3902" s="6" t="n">
        <v>500</v>
      </c>
      <c r="L3902" s="6" t="n">
        <v>568.328</v>
      </c>
      <c r="M3902" s="7">
        <f>IF(N3902=0,+L3902+H3902,0)</f>
        <v/>
      </c>
      <c r="N3902" s="7">
        <f>IF((+G3902-K3902)=0,0,+G3902-K3902)</f>
        <v/>
      </c>
      <c r="O3902" s="7">
        <f>IF(N3902=0,0,(L3902+H3902)/-N3902)</f>
        <v/>
      </c>
      <c r="P3902" s="7">
        <f>VLOOKUP(OPERAC[[#This Row],[especie]],[1]!ESPECIES[#All],6,0)</f>
        <v/>
      </c>
      <c r="Q3902" s="7">
        <f>IF(N3902&lt;&gt;0,P3902*N3902,0)</f>
        <v/>
      </c>
      <c r="R3902" s="8">
        <f>IF(Q3902&lt;&gt;0,Q3902+H3902+L3902,0)</f>
        <v/>
      </c>
      <c r="S3902" s="9">
        <f>VLOOKUP(OPERAC[[#This Row],[especie]],[1]!ESPECIES[#Data],9,FALSE)</f>
        <v/>
      </c>
    </row>
    <row r="3903">
      <c r="A3903" s="4" t="n">
        <v>12655</v>
      </c>
      <c r="B3903" s="5" t="n">
        <v>44523</v>
      </c>
      <c r="C3903" s="13" t="inlineStr">
        <is>
          <t>VTA</t>
        </is>
      </c>
      <c r="D3903" s="13" t="n">
        <v>40</v>
      </c>
      <c r="E3903" s="10">
        <f>IF(D3903&gt;0,VLOOKUP(OPERAC[[#This Row],[COD CART]],[1]!MatrizCortoLargoCyl[#All],3,0),"")</f>
        <v/>
      </c>
      <c r="F3903" s="13" t="inlineStr">
        <is>
          <t>EDU</t>
        </is>
      </c>
      <c r="G3903" s="6" t="n">
        <v>500</v>
      </c>
      <c r="H3903" s="6">
        <f>-889.745+0.026*OPERAC[[#This Row],[cantidad]]</f>
        <v/>
      </c>
      <c r="I3903" s="7">
        <f>-H3903/G3903</f>
        <v/>
      </c>
      <c r="J3903" s="11" t="n">
        <v>44630</v>
      </c>
      <c r="K3903" s="6" t="n">
        <v>500</v>
      </c>
      <c r="L3903" s="6" t="n">
        <v>568.328</v>
      </c>
      <c r="M3903" s="7">
        <f>IF(N3903=0,+L3903+H3903,0)</f>
        <v/>
      </c>
      <c r="N3903" s="7">
        <f>IF((+G3903-K3903)=0,0,+G3903-K3903)</f>
        <v/>
      </c>
      <c r="O3903" s="7">
        <f>IF(N3903=0,0,(L3903+H3903)/-N3903)</f>
        <v/>
      </c>
      <c r="P3903" s="7">
        <f>VLOOKUP(OPERAC[[#This Row],[especie]],[1]!ESPECIES[#All],6,0)</f>
        <v/>
      </c>
      <c r="Q3903" s="7">
        <f>IF(N3903&lt;&gt;0,P3903*N3903,0)</f>
        <v/>
      </c>
      <c r="R3903" s="8">
        <f>IF(Q3903&lt;&gt;0,Q3903+H3903+L3903,0)</f>
        <v/>
      </c>
      <c r="S3903" s="9">
        <f>VLOOKUP(OPERAC[[#This Row],[especie]],[1]!ESPECIES[#Data],9,FALSE)</f>
        <v/>
      </c>
    </row>
    <row r="3904">
      <c r="A3904" s="4" t="n">
        <v>12022</v>
      </c>
      <c r="B3904" s="5" t="n">
        <v>44523</v>
      </c>
      <c r="C3904" s="13" t="inlineStr">
        <is>
          <t>VTA</t>
        </is>
      </c>
      <c r="D3904" s="13" t="n">
        <v>40</v>
      </c>
      <c r="E3904" s="10">
        <f>IF(D3904&gt;0,VLOOKUP(OPERAC[[#This Row],[COD CART]],[1]!MatrizCortoLargoCyl[#All],3,0),"")</f>
        <v/>
      </c>
      <c r="F3904" s="13" t="inlineStr">
        <is>
          <t>EDU</t>
        </is>
      </c>
      <c r="G3904" s="6" t="n">
        <v>500</v>
      </c>
      <c r="H3904" s="6">
        <f>-889.745+0.026*OPERAC[[#This Row],[cantidad]]</f>
        <v/>
      </c>
      <c r="I3904" s="7">
        <f>-H3904/G3904</f>
        <v/>
      </c>
      <c r="J3904" s="11" t="n">
        <v>44615</v>
      </c>
      <c r="K3904" s="6" t="n">
        <v>500</v>
      </c>
      <c r="L3904" s="6" t="n">
        <v>747.384</v>
      </c>
      <c r="M3904" s="7">
        <f>IF(N3904=0,+L3904+H3904,0)</f>
        <v/>
      </c>
      <c r="N3904" s="7">
        <f>IF((+G3904-K3904)=0,0,+G3904-K3904)</f>
        <v/>
      </c>
      <c r="O3904" s="7">
        <f>IF(N3904=0,0,(L3904+H3904)/-N3904)</f>
        <v/>
      </c>
      <c r="P3904" s="7">
        <f>VLOOKUP(OPERAC[[#This Row],[especie]],[1]!ESPECIES[#All],6,0)</f>
        <v/>
      </c>
      <c r="Q3904" s="7">
        <f>IF(N3904&lt;&gt;0,P3904*N3904,0)</f>
        <v/>
      </c>
      <c r="R3904" s="8">
        <f>IF(Q3904&lt;&gt;0,Q3904+H3904+L3904,0)</f>
        <v/>
      </c>
      <c r="S3904" s="9">
        <f>VLOOKUP(OPERAC[[#This Row],[especie]],[1]!ESPECIES[#Data],9,FALSE)</f>
        <v/>
      </c>
    </row>
    <row r="3905">
      <c r="A3905" s="4" t="n">
        <v>12690</v>
      </c>
      <c r="B3905" s="5" t="n">
        <v>44523</v>
      </c>
      <c r="C3905" s="13" t="inlineStr">
        <is>
          <t>VTA</t>
        </is>
      </c>
      <c r="D3905" s="13" t="n">
        <v>40</v>
      </c>
      <c r="E3905" s="10">
        <f>IF(D3905&gt;0,VLOOKUP(OPERAC[[#This Row],[COD CART]],[1]!MatrizCortoLargoCyl[#All],3,0),"")</f>
        <v/>
      </c>
      <c r="F3905" s="13" t="inlineStr">
        <is>
          <t>EDU</t>
        </is>
      </c>
      <c r="G3905" s="6" t="n">
        <v>500</v>
      </c>
      <c r="H3905" s="6">
        <f>-889.745+0.026*OPERAC[[#This Row],[cantidad]]</f>
        <v/>
      </c>
      <c r="I3905" s="7">
        <f>-H3905/G3905</f>
        <v/>
      </c>
      <c r="J3905" s="11" t="n">
        <v>44615</v>
      </c>
      <c r="K3905" s="6" t="n">
        <v>500</v>
      </c>
      <c r="L3905" s="6" t="n">
        <v>747.384</v>
      </c>
      <c r="M3905" s="7">
        <f>IF(N3905=0,+L3905+H3905,0)</f>
        <v/>
      </c>
      <c r="N3905" s="7">
        <f>IF((+G3905-K3905)=0,0,+G3905-K3905)</f>
        <v/>
      </c>
      <c r="O3905" s="7">
        <f>IF(N3905=0,0,(L3905+H3905)/-N3905)</f>
        <v/>
      </c>
      <c r="P3905" s="7">
        <f>VLOOKUP(OPERAC[[#This Row],[especie]],[1]!ESPECIES[#All],6,0)</f>
        <v/>
      </c>
      <c r="Q3905" s="7">
        <f>IF(N3905&lt;&gt;0,P3905*N3905,0)</f>
        <v/>
      </c>
      <c r="R3905" s="8">
        <f>IF(Q3905&lt;&gt;0,Q3905+H3905+L3905,0)</f>
        <v/>
      </c>
      <c r="S3905" s="9">
        <f>VLOOKUP(OPERAC[[#This Row],[especie]],[1]!ESPECIES[#Data],9,FALSE)</f>
        <v/>
      </c>
    </row>
    <row r="3906">
      <c r="A3906" s="4" t="n">
        <v>13273</v>
      </c>
      <c r="B3906" s="5" t="n">
        <v>44523</v>
      </c>
      <c r="C3906" s="13" t="inlineStr">
        <is>
          <t>VTA</t>
        </is>
      </c>
      <c r="D3906" s="13" t="n">
        <v>40</v>
      </c>
      <c r="E3906" s="10">
        <f>IF(D3906&gt;0,VLOOKUP(OPERAC[[#This Row],[COD CART]],[1]!MatrizCortoLargoCyl[#All],3,0),"")</f>
        <v/>
      </c>
      <c r="F3906" s="13" t="inlineStr">
        <is>
          <t>EDU</t>
        </is>
      </c>
      <c r="G3906" s="6" t="n">
        <v>500</v>
      </c>
      <c r="H3906" s="6">
        <f>-889.745+0.026*OPERAC[[#This Row],[cantidad]]</f>
        <v/>
      </c>
      <c r="I3906" s="7">
        <f>-H3906/G3906</f>
        <v/>
      </c>
      <c r="J3906" s="11" t="n">
        <v>44630</v>
      </c>
      <c r="K3906" s="6" t="n">
        <v>500</v>
      </c>
      <c r="L3906" s="6" t="n">
        <v>574.278</v>
      </c>
      <c r="M3906" s="7">
        <f>IF(N3906=0,+L3906+H3906,0)</f>
        <v/>
      </c>
      <c r="N3906" s="7">
        <f>IF((+G3906-K3906)=0,0,+G3906-K3906)</f>
        <v/>
      </c>
      <c r="O3906" s="7">
        <f>IF(N3906=0,0,(L3906+H3906)/-N3906)</f>
        <v/>
      </c>
      <c r="P3906" s="7">
        <f>VLOOKUP(OPERAC[[#This Row],[especie]],[1]!ESPECIES[#All],6,0)</f>
        <v/>
      </c>
      <c r="Q3906" s="7">
        <f>IF(N3906&lt;&gt;0,P3906*N3906,0)</f>
        <v/>
      </c>
      <c r="R3906" s="8">
        <f>IF(Q3906&lt;&gt;0,Q3906+H3906+L3906,0)</f>
        <v/>
      </c>
      <c r="S3906" s="9">
        <f>VLOOKUP(OPERAC[[#This Row],[especie]],[1]!ESPECIES[#Data],9,FALSE)</f>
        <v/>
      </c>
    </row>
    <row r="3907">
      <c r="A3907" s="4" t="n">
        <v>15194</v>
      </c>
      <c r="B3907" s="5" t="n">
        <v>44523</v>
      </c>
      <c r="C3907" s="13" t="inlineStr">
        <is>
          <t>VTA</t>
        </is>
      </c>
      <c r="D3907" s="13" t="n">
        <v>40</v>
      </c>
      <c r="E3907" s="10">
        <f>IF(D3907&gt;0,VLOOKUP(OPERAC[[#This Row],[COD CART]],[1]!MatrizCortoLargoCyl[#All],3,0),"")</f>
        <v/>
      </c>
      <c r="F3907" s="13" t="inlineStr">
        <is>
          <t>EDU</t>
        </is>
      </c>
      <c r="G3907" s="6" t="n">
        <v>500</v>
      </c>
      <c r="H3907" s="6">
        <f>-889.745+0.026*OPERAC[[#This Row],[cantidad]]</f>
        <v/>
      </c>
      <c r="I3907" s="7">
        <f>-H3907/G3907</f>
        <v/>
      </c>
      <c r="J3907" s="11" t="n">
        <v>44630</v>
      </c>
      <c r="K3907" s="6" t="n">
        <v>500</v>
      </c>
      <c r="L3907" s="6">
        <f>+OPERAC[[#This Row],[cantidad venta]]*1.16</f>
        <v/>
      </c>
      <c r="M3907" s="7">
        <f>IF(N3907=0,+L3907+H3907,0)</f>
        <v/>
      </c>
      <c r="N3907" s="7">
        <f>IF((+G3907-K3907)=0,0,+G3907-K3907)</f>
        <v/>
      </c>
      <c r="O3907" s="7">
        <f>IF(N3907=0,0,(L3907+H3907)/-N3907)</f>
        <v/>
      </c>
      <c r="P3907" s="7">
        <f>VLOOKUP(OPERAC[[#This Row],[especie]],[1]!ESPECIES[#All],6,0)</f>
        <v/>
      </c>
      <c r="Q3907" s="7">
        <f>IF(N3907&lt;&gt;0,P3907*N3907,0)</f>
        <v/>
      </c>
      <c r="R3907" s="8">
        <f>IF(Q3907&lt;&gt;0,Q3907+H3907+L3907,0)</f>
        <v/>
      </c>
      <c r="S3907" s="9">
        <f>VLOOKUP(OPERAC[[#This Row],[especie]],[1]!ESPECIES[#Data],9,FALSE)</f>
        <v/>
      </c>
    </row>
    <row r="3908">
      <c r="A3908" s="4" t="n">
        <v>19932</v>
      </c>
      <c r="B3908" s="5" t="n">
        <v>44523</v>
      </c>
      <c r="C3908" s="13" t="inlineStr">
        <is>
          <t>VTA</t>
        </is>
      </c>
      <c r="D3908" s="13" t="n">
        <v>40</v>
      </c>
      <c r="E3908" s="10">
        <f>IF(D3908&gt;0,VLOOKUP(OPERAC[[#This Row],[COD CART]],[1]!MatrizCortoLargoCyl[#All],3,0),"")</f>
        <v/>
      </c>
      <c r="F3908" s="13" t="inlineStr">
        <is>
          <t>EDU</t>
        </is>
      </c>
      <c r="G3908" s="6" t="n">
        <v>500</v>
      </c>
      <c r="H3908" s="6">
        <f>-889.745+0.026*OPERAC[[#This Row],[cantidad]]</f>
        <v/>
      </c>
      <c r="I3908" s="7">
        <f>-H3908/G3908</f>
        <v/>
      </c>
      <c r="J3908" s="11" t="n">
        <v>44629</v>
      </c>
      <c r="K3908" s="6" t="n">
        <v>500</v>
      </c>
      <c r="L3908" s="6">
        <f>+OPERAC[[#This Row],[cantidad venta]]*1.259</f>
        <v/>
      </c>
      <c r="M3908" s="7">
        <f>IF(N3908=0,+L3908+H3908,0)</f>
        <v/>
      </c>
      <c r="N3908" s="7">
        <f>IF((+G3908-K3908)=0,0,+G3908-K3908)</f>
        <v/>
      </c>
      <c r="O3908" s="7">
        <f>IF(N3908=0,0,(L3908+H3908)/-N3908)</f>
        <v/>
      </c>
      <c r="P3908" s="7">
        <f>VLOOKUP(OPERAC[[#This Row],[especie]],[1]!ESPECIES[#All],6,0)</f>
        <v/>
      </c>
      <c r="Q3908" s="7">
        <f>IF(N3908&lt;&gt;0,P3908*N3908,0)</f>
        <v/>
      </c>
      <c r="R3908" s="8">
        <f>IF(Q3908&lt;&gt;0,Q3908+H3908+L3908,0)</f>
        <v/>
      </c>
      <c r="S3908" s="9">
        <f>VLOOKUP(OPERAC[[#This Row],[especie]],[1]!ESPECIES[#Data],9,FALSE)</f>
        <v/>
      </c>
    </row>
    <row r="3909">
      <c r="A3909" s="4" t="n">
        <v>1760</v>
      </c>
      <c r="B3909" s="5" t="n">
        <v>44725</v>
      </c>
      <c r="C3909" s="13" t="inlineStr">
        <is>
          <t>VTA</t>
        </is>
      </c>
      <c r="D3909" s="13" t="n">
        <v>40</v>
      </c>
      <c r="E3909" s="10">
        <f>IF(D3909&gt;0,VLOOKUP(OPERAC[[#This Row],[COD CART]],[1]!MatrizCortoLargoCyl[#All],3,0),"")</f>
        <v/>
      </c>
      <c r="F3909" s="13" t="inlineStr">
        <is>
          <t>AMD</t>
        </is>
      </c>
      <c r="G3909" s="6" t="n">
        <v>10</v>
      </c>
      <c r="H3909" s="6" t="n">
        <v>-876.9411749999999</v>
      </c>
      <c r="I3909" s="7">
        <f>-H3909/G3909</f>
        <v/>
      </c>
      <c r="J3909" s="5" t="n"/>
      <c r="K3909" s="6" t="n"/>
      <c r="L3909" s="6" t="n"/>
      <c r="M3909" s="7">
        <f>IF(N3909=0,+L3909+H3909,0)</f>
        <v/>
      </c>
      <c r="N3909" s="7">
        <f>IF((+G3909-K3909)=0,0,+G3909-K3909)</f>
        <v/>
      </c>
      <c r="O3909" s="7">
        <f>IF(N3909=0,0,(L3909+H3909)/-N3909)</f>
        <v/>
      </c>
      <c r="P3909" s="7">
        <f>VLOOKUP(OPERAC[[#This Row],[especie]],[1]!ESPECIES[#All],6,0)</f>
        <v/>
      </c>
      <c r="Q3909" s="7">
        <f>IF(N3909&lt;&gt;0,P3909*N3909,0)</f>
        <v/>
      </c>
      <c r="R3909" s="8">
        <f>IF(Q3909&lt;&gt;0,Q3909+H3909+L3909,0)</f>
        <v/>
      </c>
      <c r="S3909" s="9">
        <f>VLOOKUP(OPERAC[[#This Row],[especie]],[1]!ESPECIES[#Data],9,FALSE)</f>
        <v/>
      </c>
    </row>
    <row r="3910">
      <c r="A3910" s="4" t="n">
        <v>12022</v>
      </c>
      <c r="B3910" s="5" t="n">
        <v>44725</v>
      </c>
      <c r="C3910" s="13" t="inlineStr">
        <is>
          <t>VTA</t>
        </is>
      </c>
      <c r="D3910" s="13" t="n">
        <v>40</v>
      </c>
      <c r="E3910" s="10">
        <f>IF(D3910&gt;0,VLOOKUP(OPERAC[[#This Row],[COD CART]],[1]!MatrizCortoLargoCyl[#All],3,0),"")</f>
        <v/>
      </c>
      <c r="F3910" s="13" t="inlineStr">
        <is>
          <t>AMD</t>
        </is>
      </c>
      <c r="G3910" s="6" t="n">
        <v>10</v>
      </c>
      <c r="H3910" s="6" t="n">
        <v>-876.9411749999999</v>
      </c>
      <c r="I3910" s="7">
        <f>-H3910/G3910</f>
        <v/>
      </c>
      <c r="J3910" s="5" t="n"/>
      <c r="K3910" s="6" t="n"/>
      <c r="L3910" s="6" t="n"/>
      <c r="M3910" s="7">
        <f>IF(N3910=0,+L3910+H3910,0)</f>
        <v/>
      </c>
      <c r="N3910" s="7">
        <f>IF((+G3910-K3910)=0,0,+G3910-K3910)</f>
        <v/>
      </c>
      <c r="O3910" s="7">
        <f>IF(N3910=0,0,(L3910+H3910)/-N3910)</f>
        <v/>
      </c>
      <c r="P3910" s="7">
        <f>VLOOKUP(OPERAC[[#This Row],[especie]],[1]!ESPECIES[#All],6,0)</f>
        <v/>
      </c>
      <c r="Q3910" s="7">
        <f>IF(N3910&lt;&gt;0,P3910*N3910,0)</f>
        <v/>
      </c>
      <c r="R3910" s="8">
        <f>IF(Q3910&lt;&gt;0,Q3910+H3910+L3910,0)</f>
        <v/>
      </c>
      <c r="S3910" s="9">
        <f>VLOOKUP(OPERAC[[#This Row],[especie]],[1]!ESPECIES[#Data],9,FALSE)</f>
        <v/>
      </c>
    </row>
    <row r="3911">
      <c r="A3911" s="4" t="n">
        <v>18651</v>
      </c>
      <c r="B3911" s="5" t="n">
        <v>44725</v>
      </c>
      <c r="C3911" s="13" t="inlineStr">
        <is>
          <t>VTA</t>
        </is>
      </c>
      <c r="D3911" s="13" t="n">
        <v>40</v>
      </c>
      <c r="E3911" s="10">
        <f>IF(D3911&gt;0,VLOOKUP(OPERAC[[#This Row],[COD CART]],[1]!MatrizCortoLargoCyl[#All],3,0),"")</f>
        <v/>
      </c>
      <c r="F3911" s="13" t="inlineStr">
        <is>
          <t>AMD</t>
        </is>
      </c>
      <c r="G3911" s="6" t="n">
        <v>10</v>
      </c>
      <c r="H3911" s="6" t="n">
        <v>-876.9411749999999</v>
      </c>
      <c r="I3911" s="7">
        <f>-H3911/G3911</f>
        <v/>
      </c>
      <c r="J3911" s="5" t="n"/>
      <c r="K3911" s="6" t="n"/>
      <c r="L3911" s="6" t="n"/>
      <c r="M3911" s="7">
        <f>IF(N3911=0,+L3911+H3911,0)</f>
        <v/>
      </c>
      <c r="N3911" s="7">
        <f>IF((+G3911-K3911)=0,0,+G3911-K3911)</f>
        <v/>
      </c>
      <c r="O3911" s="7">
        <f>IF(N3911=0,0,(L3911+H3911)/-N3911)</f>
        <v/>
      </c>
      <c r="P3911" s="7">
        <f>VLOOKUP(OPERAC[[#This Row],[especie]],[1]!ESPECIES[#All],6,0)</f>
        <v/>
      </c>
      <c r="Q3911" s="7">
        <f>IF(N3911&lt;&gt;0,P3911*N3911,0)</f>
        <v/>
      </c>
      <c r="R3911" s="8">
        <f>IF(Q3911&lt;&gt;0,Q3911+H3911+L3911,0)</f>
        <v/>
      </c>
      <c r="S3911" s="9">
        <f>VLOOKUP(OPERAC[[#This Row],[especie]],[1]!ESPECIES[#Data],9,FALSE)</f>
        <v/>
      </c>
    </row>
    <row r="3912">
      <c r="A3912" s="4" t="n">
        <v>25070</v>
      </c>
      <c r="B3912" s="5" t="n">
        <v>44725</v>
      </c>
      <c r="C3912" s="13" t="inlineStr">
        <is>
          <t>VTA</t>
        </is>
      </c>
      <c r="D3912" s="13" t="n">
        <v>40</v>
      </c>
      <c r="E3912" s="10">
        <f>IF(D3912&gt;0,VLOOKUP(OPERAC[[#This Row],[COD CART]],[1]!MatrizCortoLargoCyl[#All],3,0),"")</f>
        <v/>
      </c>
      <c r="F3912" s="13" t="inlineStr">
        <is>
          <t>AMD</t>
        </is>
      </c>
      <c r="G3912" s="6" t="n">
        <v>10</v>
      </c>
      <c r="H3912" s="6" t="n">
        <v>-876.9411749999999</v>
      </c>
      <c r="I3912" s="7">
        <f>-H3912/G3912</f>
        <v/>
      </c>
      <c r="J3912" s="5" t="n"/>
      <c r="K3912" s="6" t="n"/>
      <c r="L3912" s="6" t="n"/>
      <c r="M3912" s="7">
        <f>IF(N3912=0,+L3912+H3912,0)</f>
        <v/>
      </c>
      <c r="N3912" s="7">
        <f>IF((+G3912-K3912)=0,0,+G3912-K3912)</f>
        <v/>
      </c>
      <c r="O3912" s="7">
        <f>IF(N3912=0,0,(L3912+H3912)/-N3912)</f>
        <v/>
      </c>
      <c r="P3912" s="7">
        <f>VLOOKUP(OPERAC[[#This Row],[especie]],[1]!ESPECIES[#All],6,0)</f>
        <v/>
      </c>
      <c r="Q3912" s="7">
        <f>IF(N3912&lt;&gt;0,P3912*N3912,0)</f>
        <v/>
      </c>
      <c r="R3912" s="8">
        <f>IF(Q3912&lt;&gt;0,Q3912+H3912+L3912,0)</f>
        <v/>
      </c>
      <c r="S3912" s="9">
        <f>VLOOKUP(OPERAC[[#This Row],[especie]],[1]!ESPECIES[#Data],9,FALSE)</f>
        <v/>
      </c>
    </row>
    <row r="3913">
      <c r="A3913" s="4" t="n">
        <v>19888</v>
      </c>
      <c r="B3913" s="5" t="n">
        <v>44725</v>
      </c>
      <c r="C3913" s="13" t="inlineStr">
        <is>
          <t>VTA</t>
        </is>
      </c>
      <c r="D3913" s="13" t="n">
        <v>40</v>
      </c>
      <c r="E3913" s="10">
        <f>IF(D3913&gt;0,VLOOKUP(OPERAC[[#This Row],[COD CART]],[1]!MatrizCortoLargoCyl[#All],3,0),"")</f>
        <v/>
      </c>
      <c r="F3913" s="13" t="inlineStr">
        <is>
          <t>AMD</t>
        </is>
      </c>
      <c r="G3913" s="6" t="n">
        <v>10</v>
      </c>
      <c r="H3913" s="6" t="n">
        <v>-876.9411749999999</v>
      </c>
      <c r="I3913" s="7">
        <f>-H3913/G3913</f>
        <v/>
      </c>
      <c r="J3913" s="5" t="n"/>
      <c r="K3913" s="6" t="n"/>
      <c r="L3913" s="6" t="n"/>
      <c r="M3913" s="7">
        <f>IF(N3913=0,+L3913+H3913,0)</f>
        <v/>
      </c>
      <c r="N3913" s="7">
        <f>IF((+G3913-K3913)=0,0,+G3913-K3913)</f>
        <v/>
      </c>
      <c r="O3913" s="7">
        <f>IF(N3913=0,0,(L3913+H3913)/-N3913)</f>
        <v/>
      </c>
      <c r="P3913" s="7">
        <f>VLOOKUP(OPERAC[[#This Row],[especie]],[1]!ESPECIES[#All],6,0)</f>
        <v/>
      </c>
      <c r="Q3913" s="7">
        <f>IF(N3913&lt;&gt;0,P3913*N3913,0)</f>
        <v/>
      </c>
      <c r="R3913" s="8">
        <f>IF(Q3913&lt;&gt;0,Q3913+H3913+L3913,0)</f>
        <v/>
      </c>
      <c r="S3913" s="9">
        <f>VLOOKUP(OPERAC[[#This Row],[especie]],[1]!ESPECIES[#Data],9,FALSE)</f>
        <v/>
      </c>
    </row>
    <row r="3914">
      <c r="A3914" s="4" t="n">
        <v>19867</v>
      </c>
      <c r="B3914" s="5" t="n">
        <v>44725</v>
      </c>
      <c r="C3914" s="13" t="inlineStr">
        <is>
          <t>VTA</t>
        </is>
      </c>
      <c r="D3914" s="13" t="n">
        <v>40</v>
      </c>
      <c r="E3914" s="10">
        <f>IF(D3914&gt;0,VLOOKUP(OPERAC[[#This Row],[COD CART]],[1]!MatrizCortoLargoCyl[#All],3,0),"")</f>
        <v/>
      </c>
      <c r="F3914" s="13" t="inlineStr">
        <is>
          <t>AMD</t>
        </is>
      </c>
      <c r="G3914" s="6" t="n">
        <v>10</v>
      </c>
      <c r="H3914" s="6" t="n">
        <v>-876.9411749999999</v>
      </c>
      <c r="I3914" s="7">
        <f>-H3914/G3914</f>
        <v/>
      </c>
      <c r="J3914" s="5" t="n"/>
      <c r="K3914" s="6" t="n"/>
      <c r="L3914" s="6" t="n"/>
      <c r="M3914" s="7">
        <f>IF(N3914=0,+L3914+H3914,0)</f>
        <v/>
      </c>
      <c r="N3914" s="7">
        <f>IF((+G3914-K3914)=0,0,+G3914-K3914)</f>
        <v/>
      </c>
      <c r="O3914" s="7">
        <f>IF(N3914=0,0,(L3914+H3914)/-N3914)</f>
        <v/>
      </c>
      <c r="P3914" s="7">
        <f>VLOOKUP(OPERAC[[#This Row],[especie]],[1]!ESPECIES[#All],6,0)</f>
        <v/>
      </c>
      <c r="Q3914" s="7">
        <f>IF(N3914&lt;&gt;0,P3914*N3914,0)</f>
        <v/>
      </c>
      <c r="R3914" s="8">
        <f>IF(Q3914&lt;&gt;0,Q3914+H3914+L3914,0)</f>
        <v/>
      </c>
      <c r="S3914" s="9">
        <f>VLOOKUP(OPERAC[[#This Row],[especie]],[1]!ESPECIES[#Data],9,FALSE)</f>
        <v/>
      </c>
    </row>
    <row r="3915">
      <c r="A3915" s="4" t="n">
        <v>13240</v>
      </c>
      <c r="B3915" s="5" t="n">
        <v>44515</v>
      </c>
      <c r="C3915" s="13" t="inlineStr">
        <is>
          <t>VTA</t>
        </is>
      </c>
      <c r="D3915" s="13" t="n">
        <v>38</v>
      </c>
      <c r="E3915" s="10">
        <f>IF(D3915&gt;0,VLOOKUP(OPERAC[[#This Row],[COD CART]],[1]!MatrizCortoLargoCyl[#All],3,0),"")</f>
        <v/>
      </c>
      <c r="F3915" s="13" t="inlineStr">
        <is>
          <t>GLD</t>
        </is>
      </c>
      <c r="G3915" s="6" t="n">
        <v>5</v>
      </c>
      <c r="H3915" s="6" t="n">
        <v>-879.0083199999999</v>
      </c>
      <c r="I3915" s="7">
        <f>-H3915/G3915</f>
        <v/>
      </c>
      <c r="J3915" s="11" t="n"/>
      <c r="K3915" s="6" t="n"/>
      <c r="L3915" s="6" t="n"/>
      <c r="M3915" s="7">
        <f>IF(N3915=0,+L3915+H3915,0)</f>
        <v/>
      </c>
      <c r="N3915" s="7">
        <f>IF((+G3915-K3915)=0,0,+G3915-K3915)</f>
        <v/>
      </c>
      <c r="O3915" s="7">
        <f>IF(N3915=0,0,(L3915+H3915)/-N3915)</f>
        <v/>
      </c>
      <c r="P3915" s="7">
        <f>VLOOKUP(OPERAC[[#This Row],[especie]],[1]!ESPECIES[#All],6,0)</f>
        <v/>
      </c>
      <c r="Q3915" s="7">
        <f>IF(N3915&lt;&gt;0,P3915*N3915,0)</f>
        <v/>
      </c>
      <c r="R3915" s="8">
        <f>IF(Q3915&lt;&gt;0,Q3915+H3915+L3915,0)</f>
        <v/>
      </c>
      <c r="S3915" s="9">
        <f>VLOOKUP(OPERAC[[#This Row],[especie]],[1]!ESPECIES[#Data],9,FALSE)</f>
        <v/>
      </c>
    </row>
    <row r="3916">
      <c r="A3916" s="4" t="n">
        <v>1801</v>
      </c>
      <c r="B3916" s="5" t="n">
        <v>44532</v>
      </c>
      <c r="C3916" s="13" t="inlineStr">
        <is>
          <t>VTA</t>
        </is>
      </c>
      <c r="D3916" s="13" t="n">
        <v>32</v>
      </c>
      <c r="E3916" s="10">
        <f>IF(D3916&gt;0,VLOOKUP(OPERAC[[#This Row],[COD CART]],[1]!MatrizCortoLargoCyl[#All],3,0),"")</f>
        <v/>
      </c>
      <c r="F3916" s="13" t="inlineStr">
        <is>
          <t>COTY/CYL/10,00/18-02-22</t>
        </is>
      </c>
      <c r="G3916" s="6" t="n">
        <v>100</v>
      </c>
      <c r="H3916" s="6">
        <f>-901.599+20.838</f>
        <v/>
      </c>
      <c r="I3916" s="7">
        <f>-H3916/G3916</f>
        <v/>
      </c>
      <c r="J3916" s="11" t="n">
        <v>44608</v>
      </c>
      <c r="K3916" s="6">
        <f>+OPERAC[[#This Row],[cantidad]]</f>
        <v/>
      </c>
      <c r="L3916" s="6" t="n">
        <v>941.701</v>
      </c>
      <c r="M3916" s="7">
        <f>IF(N3916=0,+L3916+H3916,0)</f>
        <v/>
      </c>
      <c r="N3916" s="7">
        <f>IF((+G3916-K3916)=0,0,+G3916-K3916)</f>
        <v/>
      </c>
      <c r="O3916" s="7">
        <f>IF(N3916=0,0,(L3916+H3916)/-N3916)</f>
        <v/>
      </c>
      <c r="P3916" s="7">
        <f>VLOOKUP(OPERAC[[#This Row],[especie]],[1]!ESPECIES[#All],6,0)</f>
        <v/>
      </c>
      <c r="Q3916" s="7">
        <f>IF(N3916&lt;&gt;0,P3916*N3916,0)</f>
        <v/>
      </c>
      <c r="R3916" s="8">
        <f>IF(Q3916&lt;&gt;0,Q3916+H3916+L3916,0)</f>
        <v/>
      </c>
      <c r="S3916" s="9">
        <f>VLOOKUP(OPERAC[[#This Row],[especie]],[1]!ESPECIES[#Data],9,FALSE)</f>
        <v/>
      </c>
    </row>
    <row r="3917">
      <c r="A3917" s="4" t="n">
        <v>1807</v>
      </c>
      <c r="B3917" s="5" t="n">
        <v>44532</v>
      </c>
      <c r="C3917" s="13" t="inlineStr">
        <is>
          <t>VTA</t>
        </is>
      </c>
      <c r="D3917" s="13" t="n">
        <v>32</v>
      </c>
      <c r="E3917" s="10">
        <f>IF(D3917&gt;0,VLOOKUP(OPERAC[[#This Row],[COD CART]],[1]!MatrizCortoLargoCyl[#All],3,0),"")</f>
        <v/>
      </c>
      <c r="F3917" s="13" t="inlineStr">
        <is>
          <t>COTY/CYL/10,00/18-02-22</t>
        </is>
      </c>
      <c r="G3917" s="6" t="n">
        <v>100</v>
      </c>
      <c r="H3917" s="6">
        <f>-901.599+20.838</f>
        <v/>
      </c>
      <c r="I3917" s="7">
        <f>-H3917/G3917</f>
        <v/>
      </c>
      <c r="J3917" s="11" t="n">
        <v>44608</v>
      </c>
      <c r="K3917" s="6">
        <f>+OPERAC[[#This Row],[cantidad]]</f>
        <v/>
      </c>
      <c r="L3917" s="6" t="n">
        <v>941.701</v>
      </c>
      <c r="M3917" s="7">
        <f>IF(N3917=0,+L3917+H3917,0)</f>
        <v/>
      </c>
      <c r="N3917" s="7">
        <f>IF((+G3917-K3917)=0,0,+G3917-K3917)</f>
        <v/>
      </c>
      <c r="O3917" s="7">
        <f>IF(N3917=0,0,(L3917+H3917)/-N3917)</f>
        <v/>
      </c>
      <c r="P3917" s="7">
        <f>VLOOKUP(OPERAC[[#This Row],[especie]],[1]!ESPECIES[#All],6,0)</f>
        <v/>
      </c>
      <c r="Q3917" s="7">
        <f>IF(N3917&lt;&gt;0,P3917*N3917,0)</f>
        <v/>
      </c>
      <c r="R3917" s="8">
        <f>IF(Q3917&lt;&gt;0,Q3917+H3917+L3917,0)</f>
        <v/>
      </c>
      <c r="S3917" s="9">
        <f>VLOOKUP(OPERAC[[#This Row],[especie]],[1]!ESPECIES[#Data],9,FALSE)</f>
        <v/>
      </c>
    </row>
    <row r="3918">
      <c r="A3918" s="4" t="n">
        <v>2217</v>
      </c>
      <c r="B3918" s="5" t="n">
        <v>44532</v>
      </c>
      <c r="C3918" s="13" t="inlineStr">
        <is>
          <t>VTA</t>
        </is>
      </c>
      <c r="D3918" s="13" t="n">
        <v>32</v>
      </c>
      <c r="E3918" s="10">
        <f>IF(D3918&gt;0,VLOOKUP(OPERAC[[#This Row],[COD CART]],[1]!MatrizCortoLargoCyl[#All],3,0),"")</f>
        <v/>
      </c>
      <c r="F3918" s="13" t="inlineStr">
        <is>
          <t>COTY/CYL/10,00/18-02-22</t>
        </is>
      </c>
      <c r="G3918" s="6" t="n">
        <v>100</v>
      </c>
      <c r="H3918" s="6">
        <f>-901.599+20.838</f>
        <v/>
      </c>
      <c r="I3918" s="7">
        <f>-H3918/G3918</f>
        <v/>
      </c>
      <c r="J3918" s="11" t="n">
        <v>44608</v>
      </c>
      <c r="K3918" s="6">
        <f>+OPERAC[[#This Row],[cantidad]]</f>
        <v/>
      </c>
      <c r="L3918" s="6" t="n">
        <v>941.701</v>
      </c>
      <c r="M3918" s="7">
        <f>IF(N3918=0,+L3918+H3918,0)</f>
        <v/>
      </c>
      <c r="N3918" s="7">
        <f>IF((+G3918-K3918)=0,0,+G3918-K3918)</f>
        <v/>
      </c>
      <c r="O3918" s="7">
        <f>IF(N3918=0,0,(L3918+H3918)/-N3918)</f>
        <v/>
      </c>
      <c r="P3918" s="7">
        <f>VLOOKUP(OPERAC[[#This Row],[especie]],[1]!ESPECIES[#All],6,0)</f>
        <v/>
      </c>
      <c r="Q3918" s="7">
        <f>IF(N3918&lt;&gt;0,P3918*N3918,0)</f>
        <v/>
      </c>
      <c r="R3918" s="8">
        <f>IF(Q3918&lt;&gt;0,Q3918+H3918+L3918,0)</f>
        <v/>
      </c>
      <c r="S3918" s="9">
        <f>VLOOKUP(OPERAC[[#This Row],[especie]],[1]!ESPECIES[#Data],9,FALSE)</f>
        <v/>
      </c>
    </row>
    <row r="3919">
      <c r="A3919" s="4" t="n">
        <v>2253</v>
      </c>
      <c r="B3919" s="5" t="n">
        <v>44532</v>
      </c>
      <c r="C3919" s="13" t="inlineStr">
        <is>
          <t>VTA</t>
        </is>
      </c>
      <c r="D3919" s="13" t="n">
        <v>32</v>
      </c>
      <c r="E3919" s="10">
        <f>IF(D3919&gt;0,VLOOKUP(OPERAC[[#This Row],[COD CART]],[1]!MatrizCortoLargoCyl[#All],3,0),"")</f>
        <v/>
      </c>
      <c r="F3919" s="13" t="inlineStr">
        <is>
          <t>COTY/CYL/10,00/18-02-22</t>
        </is>
      </c>
      <c r="G3919" s="6" t="n">
        <v>100</v>
      </c>
      <c r="H3919" s="6">
        <f>-901.599+20.838</f>
        <v/>
      </c>
      <c r="I3919" s="7">
        <f>-H3919/G3919</f>
        <v/>
      </c>
      <c r="J3919" s="11" t="n">
        <v>44608</v>
      </c>
      <c r="K3919" s="6">
        <f>+OPERAC[[#This Row],[cantidad]]</f>
        <v/>
      </c>
      <c r="L3919" s="6" t="n">
        <v>941.701</v>
      </c>
      <c r="M3919" s="7">
        <f>IF(N3919=0,+L3919+H3919,0)</f>
        <v/>
      </c>
      <c r="N3919" s="7">
        <f>IF((+G3919-K3919)=0,0,+G3919-K3919)</f>
        <v/>
      </c>
      <c r="O3919" s="7">
        <f>IF(N3919=0,0,(L3919+H3919)/-N3919)</f>
        <v/>
      </c>
      <c r="P3919" s="7">
        <f>VLOOKUP(OPERAC[[#This Row],[especie]],[1]!ESPECIES[#All],6,0)</f>
        <v/>
      </c>
      <c r="Q3919" s="7">
        <f>IF(N3919&lt;&gt;0,P3919*N3919,0)</f>
        <v/>
      </c>
      <c r="R3919" s="8">
        <f>IF(Q3919&lt;&gt;0,Q3919+H3919+L3919,0)</f>
        <v/>
      </c>
      <c r="S3919" s="9">
        <f>VLOOKUP(OPERAC[[#This Row],[especie]],[1]!ESPECIES[#Data],9,FALSE)</f>
        <v/>
      </c>
    </row>
    <row r="3920">
      <c r="A3920" s="4" t="n">
        <v>2279</v>
      </c>
      <c r="B3920" s="5" t="n">
        <v>44532</v>
      </c>
      <c r="C3920" s="13" t="inlineStr">
        <is>
          <t>VTA</t>
        </is>
      </c>
      <c r="D3920" s="13" t="n">
        <v>32</v>
      </c>
      <c r="E3920" s="10">
        <f>IF(D3920&gt;0,VLOOKUP(OPERAC[[#This Row],[COD CART]],[1]!MatrizCortoLargoCyl[#All],3,0),"")</f>
        <v/>
      </c>
      <c r="F3920" s="13" t="inlineStr">
        <is>
          <t>COTY/CYL/10,00/18-02-22</t>
        </is>
      </c>
      <c r="G3920" s="6" t="n">
        <v>100</v>
      </c>
      <c r="H3920" s="6">
        <f>-901.599+20.838</f>
        <v/>
      </c>
      <c r="I3920" s="7">
        <f>-H3920/G3920</f>
        <v/>
      </c>
      <c r="J3920" s="11" t="n">
        <v>44608</v>
      </c>
      <c r="K3920" s="6">
        <f>+OPERAC[[#This Row],[cantidad]]</f>
        <v/>
      </c>
      <c r="L3920" s="6" t="n">
        <v>941.701</v>
      </c>
      <c r="M3920" s="7">
        <f>IF(N3920=0,+L3920+H3920,0)</f>
        <v/>
      </c>
      <c r="N3920" s="7">
        <f>IF((+G3920-K3920)=0,0,+G3920-K3920)</f>
        <v/>
      </c>
      <c r="O3920" s="7">
        <f>IF(N3920=0,0,(L3920+H3920)/-N3920)</f>
        <v/>
      </c>
      <c r="P3920" s="7">
        <f>VLOOKUP(OPERAC[[#This Row],[especie]],[1]!ESPECIES[#All],6,0)</f>
        <v/>
      </c>
      <c r="Q3920" s="7">
        <f>IF(N3920&lt;&gt;0,P3920*N3920,0)</f>
        <v/>
      </c>
      <c r="R3920" s="8">
        <f>IF(Q3920&lt;&gt;0,Q3920+H3920+L3920,0)</f>
        <v/>
      </c>
      <c r="S3920" s="9">
        <f>VLOOKUP(OPERAC[[#This Row],[especie]],[1]!ESPECIES[#Data],9,FALSE)</f>
        <v/>
      </c>
    </row>
    <row r="3921">
      <c r="A3921" s="4" t="n">
        <v>2289</v>
      </c>
      <c r="B3921" s="5" t="n">
        <v>44532</v>
      </c>
      <c r="C3921" s="13" t="inlineStr">
        <is>
          <t>VTA</t>
        </is>
      </c>
      <c r="D3921" s="13" t="n">
        <v>32</v>
      </c>
      <c r="E3921" s="10">
        <f>IF(D3921&gt;0,VLOOKUP(OPERAC[[#This Row],[COD CART]],[1]!MatrizCortoLargoCyl[#All],3,0),"")</f>
        <v/>
      </c>
      <c r="F3921" s="13" t="inlineStr">
        <is>
          <t>COTY/CYL/10,00/18-02-22</t>
        </is>
      </c>
      <c r="G3921" s="6" t="n">
        <v>100</v>
      </c>
      <c r="H3921" s="6">
        <f>-901.599+20.838</f>
        <v/>
      </c>
      <c r="I3921" s="7">
        <f>-H3921/G3921</f>
        <v/>
      </c>
      <c r="J3921" s="11" t="n">
        <v>44608</v>
      </c>
      <c r="K3921" s="6">
        <f>+OPERAC[[#This Row],[cantidad]]</f>
        <v/>
      </c>
      <c r="L3921" s="6" t="n">
        <v>941.701</v>
      </c>
      <c r="M3921" s="7">
        <f>IF(N3921=0,+L3921+H3921,0)</f>
        <v/>
      </c>
      <c r="N3921" s="7">
        <f>IF((+G3921-K3921)=0,0,+G3921-K3921)</f>
        <v/>
      </c>
      <c r="O3921" s="7">
        <f>IF(N3921=0,0,(L3921+H3921)/-N3921)</f>
        <v/>
      </c>
      <c r="P3921" s="7">
        <f>VLOOKUP(OPERAC[[#This Row],[especie]],[1]!ESPECIES[#All],6,0)</f>
        <v/>
      </c>
      <c r="Q3921" s="7">
        <f>IF(N3921&lt;&gt;0,P3921*N3921,0)</f>
        <v/>
      </c>
      <c r="R3921" s="8">
        <f>IF(Q3921&lt;&gt;0,Q3921+H3921+L3921,0)</f>
        <v/>
      </c>
      <c r="S3921" s="9">
        <f>VLOOKUP(OPERAC[[#This Row],[especie]],[1]!ESPECIES[#Data],9,FALSE)</f>
        <v/>
      </c>
    </row>
    <row r="3922">
      <c r="A3922" s="4" t="n">
        <v>3820</v>
      </c>
      <c r="B3922" s="5" t="n">
        <v>44532</v>
      </c>
      <c r="C3922" s="13" t="inlineStr">
        <is>
          <t>VTA</t>
        </is>
      </c>
      <c r="D3922" s="13" t="n">
        <v>32</v>
      </c>
      <c r="E3922" s="10">
        <f>IF(D3922&gt;0,VLOOKUP(OPERAC[[#This Row],[COD CART]],[1]!MatrizCortoLargoCyl[#All],3,0),"")</f>
        <v/>
      </c>
      <c r="F3922" s="13" t="inlineStr">
        <is>
          <t>COTY/CYL/10,00/18-02-22</t>
        </is>
      </c>
      <c r="G3922" s="6" t="n">
        <v>100</v>
      </c>
      <c r="H3922" s="6">
        <f>-901.599+20.838</f>
        <v/>
      </c>
      <c r="I3922" s="7">
        <f>-H3922/G3922</f>
        <v/>
      </c>
      <c r="J3922" s="11" t="n">
        <v>44608</v>
      </c>
      <c r="K3922" s="6">
        <f>+OPERAC[[#This Row],[cantidad]]</f>
        <v/>
      </c>
      <c r="L3922" s="6" t="n">
        <v>941.701</v>
      </c>
      <c r="M3922" s="7">
        <f>IF(N3922=0,+L3922+H3922,0)</f>
        <v/>
      </c>
      <c r="N3922" s="7">
        <f>IF((+G3922-K3922)=0,0,+G3922-K3922)</f>
        <v/>
      </c>
      <c r="O3922" s="7">
        <f>IF(N3922=0,0,(L3922+H3922)/-N3922)</f>
        <v/>
      </c>
      <c r="P3922" s="7">
        <f>VLOOKUP(OPERAC[[#This Row],[especie]],[1]!ESPECIES[#All],6,0)</f>
        <v/>
      </c>
      <c r="Q3922" s="7">
        <f>IF(N3922&lt;&gt;0,P3922*N3922,0)</f>
        <v/>
      </c>
      <c r="R3922" s="8">
        <f>IF(Q3922&lt;&gt;0,Q3922+H3922+L3922,0)</f>
        <v/>
      </c>
      <c r="S3922" s="9">
        <f>VLOOKUP(OPERAC[[#This Row],[especie]],[1]!ESPECIES[#Data],9,FALSE)</f>
        <v/>
      </c>
    </row>
    <row r="3923">
      <c r="A3923" s="4" t="n">
        <v>5212</v>
      </c>
      <c r="B3923" s="5" t="n">
        <v>44532</v>
      </c>
      <c r="C3923" s="13" t="inlineStr">
        <is>
          <t>VTA</t>
        </is>
      </c>
      <c r="D3923" s="13" t="n">
        <v>32</v>
      </c>
      <c r="E3923" s="10">
        <f>IF(D3923&gt;0,VLOOKUP(OPERAC[[#This Row],[COD CART]],[1]!MatrizCortoLargoCyl[#All],3,0),"")</f>
        <v/>
      </c>
      <c r="F3923" s="13" t="inlineStr">
        <is>
          <t>COTY/CYL/10,00/18-02-22</t>
        </is>
      </c>
      <c r="G3923" s="6" t="n">
        <v>100</v>
      </c>
      <c r="H3923" s="6">
        <f>-901.599+20.838</f>
        <v/>
      </c>
      <c r="I3923" s="7">
        <f>-H3923/G3923</f>
        <v/>
      </c>
      <c r="J3923" s="11" t="n">
        <v>44608</v>
      </c>
      <c r="K3923" s="6">
        <f>+OPERAC[[#This Row],[cantidad]]</f>
        <v/>
      </c>
      <c r="L3923" s="6" t="n">
        <v>941.701</v>
      </c>
      <c r="M3923" s="7">
        <f>IF(N3923=0,+L3923+H3923,0)</f>
        <v/>
      </c>
      <c r="N3923" s="7">
        <f>IF((+G3923-K3923)=0,0,+G3923-K3923)</f>
        <v/>
      </c>
      <c r="O3923" s="7">
        <f>IF(N3923=0,0,(L3923+H3923)/-N3923)</f>
        <v/>
      </c>
      <c r="P3923" s="7">
        <f>VLOOKUP(OPERAC[[#This Row],[especie]],[1]!ESPECIES[#All],6,0)</f>
        <v/>
      </c>
      <c r="Q3923" s="7">
        <f>IF(N3923&lt;&gt;0,P3923*N3923,0)</f>
        <v/>
      </c>
      <c r="R3923" s="8">
        <f>IF(Q3923&lt;&gt;0,Q3923+H3923+L3923,0)</f>
        <v/>
      </c>
      <c r="S3923" s="9">
        <f>VLOOKUP(OPERAC[[#This Row],[especie]],[1]!ESPECIES[#Data],9,FALSE)</f>
        <v/>
      </c>
    </row>
    <row r="3924">
      <c r="A3924" s="4" t="n">
        <v>6628</v>
      </c>
      <c r="B3924" s="5" t="n">
        <v>44532</v>
      </c>
      <c r="C3924" s="13" t="inlineStr">
        <is>
          <t>VTA</t>
        </is>
      </c>
      <c r="D3924" s="13" t="n">
        <v>32</v>
      </c>
      <c r="E3924" s="10">
        <f>IF(D3924&gt;0,VLOOKUP(OPERAC[[#This Row],[COD CART]],[1]!MatrizCortoLargoCyl[#All],3,0),"")</f>
        <v/>
      </c>
      <c r="F3924" s="13" t="inlineStr">
        <is>
          <t>COTY/CYL/10,00/18-02-22</t>
        </is>
      </c>
      <c r="G3924" s="6" t="n">
        <v>100</v>
      </c>
      <c r="H3924" s="6">
        <f>-901.599+20.838</f>
        <v/>
      </c>
      <c r="I3924" s="7">
        <f>-H3924/G3924</f>
        <v/>
      </c>
      <c r="J3924" s="11" t="n">
        <v>44608</v>
      </c>
      <c r="K3924" s="6">
        <f>+OPERAC[[#This Row],[cantidad]]</f>
        <v/>
      </c>
      <c r="L3924" s="6" t="n">
        <v>941.701</v>
      </c>
      <c r="M3924" s="7">
        <f>IF(N3924=0,+L3924+H3924,0)</f>
        <v/>
      </c>
      <c r="N3924" s="7">
        <f>IF((+G3924-K3924)=0,0,+G3924-K3924)</f>
        <v/>
      </c>
      <c r="O3924" s="7">
        <f>IF(N3924=0,0,(L3924+H3924)/-N3924)</f>
        <v/>
      </c>
      <c r="P3924" s="7">
        <f>VLOOKUP(OPERAC[[#This Row],[especie]],[1]!ESPECIES[#All],6,0)</f>
        <v/>
      </c>
      <c r="Q3924" s="7">
        <f>IF(N3924&lt;&gt;0,P3924*N3924,0)</f>
        <v/>
      </c>
      <c r="R3924" s="8">
        <f>IF(Q3924&lt;&gt;0,Q3924+H3924+L3924,0)</f>
        <v/>
      </c>
      <c r="S3924" s="9">
        <f>VLOOKUP(OPERAC[[#This Row],[especie]],[1]!ESPECIES[#Data],9,FALSE)</f>
        <v/>
      </c>
    </row>
    <row r="3925">
      <c r="A3925" s="4" t="n">
        <v>7493</v>
      </c>
      <c r="B3925" s="5" t="n">
        <v>44532</v>
      </c>
      <c r="C3925" s="13" t="inlineStr">
        <is>
          <t>VTA</t>
        </is>
      </c>
      <c r="D3925" s="13" t="n">
        <v>32</v>
      </c>
      <c r="E3925" s="10">
        <f>IF(D3925&gt;0,VLOOKUP(OPERAC[[#This Row],[COD CART]],[1]!MatrizCortoLargoCyl[#All],3,0),"")</f>
        <v/>
      </c>
      <c r="F3925" s="13" t="inlineStr">
        <is>
          <t>COTY/CYL/10,00/18-02-22</t>
        </is>
      </c>
      <c r="G3925" s="6" t="n">
        <v>100</v>
      </c>
      <c r="H3925" s="6">
        <f>-901.599+20.838</f>
        <v/>
      </c>
      <c r="I3925" s="7">
        <f>-H3925/G3925</f>
        <v/>
      </c>
      <c r="J3925" s="11" t="n">
        <v>44608</v>
      </c>
      <c r="K3925" s="6">
        <f>+OPERAC[[#This Row],[cantidad]]</f>
        <v/>
      </c>
      <c r="L3925" s="6" t="n">
        <v>941.701</v>
      </c>
      <c r="M3925" s="7">
        <f>IF(N3925=0,+L3925+H3925,0)</f>
        <v/>
      </c>
      <c r="N3925" s="7">
        <f>IF((+G3925-K3925)=0,0,+G3925-K3925)</f>
        <v/>
      </c>
      <c r="O3925" s="7">
        <f>IF(N3925=0,0,(L3925+H3925)/-N3925)</f>
        <v/>
      </c>
      <c r="P3925" s="7">
        <f>VLOOKUP(OPERAC[[#This Row],[especie]],[1]!ESPECIES[#All],6,0)</f>
        <v/>
      </c>
      <c r="Q3925" s="7">
        <f>IF(N3925&lt;&gt;0,P3925*N3925,0)</f>
        <v/>
      </c>
      <c r="R3925" s="8">
        <f>IF(Q3925&lt;&gt;0,Q3925+H3925+L3925,0)</f>
        <v/>
      </c>
      <c r="S3925" s="9">
        <f>VLOOKUP(OPERAC[[#This Row],[especie]],[1]!ESPECIES[#Data],9,FALSE)</f>
        <v/>
      </c>
    </row>
    <row r="3926">
      <c r="A3926" s="4" t="n">
        <v>7895</v>
      </c>
      <c r="B3926" s="5" t="n">
        <v>44532</v>
      </c>
      <c r="C3926" s="13" t="inlineStr">
        <is>
          <t>VTA</t>
        </is>
      </c>
      <c r="D3926" s="13" t="n">
        <v>32</v>
      </c>
      <c r="E3926" s="10">
        <f>IF(D3926&gt;0,VLOOKUP(OPERAC[[#This Row],[COD CART]],[1]!MatrizCortoLargoCyl[#All],3,0),"")</f>
        <v/>
      </c>
      <c r="F3926" s="13" t="inlineStr">
        <is>
          <t>COTY/CYL/10,00/18-02-22</t>
        </is>
      </c>
      <c r="G3926" s="6" t="n">
        <v>100</v>
      </c>
      <c r="H3926" s="6">
        <f>-901.599+20.838</f>
        <v/>
      </c>
      <c r="I3926" s="7">
        <f>-H3926/G3926</f>
        <v/>
      </c>
      <c r="J3926" s="11" t="n">
        <v>44608</v>
      </c>
      <c r="K3926" s="6">
        <f>+OPERAC[[#This Row],[cantidad]]</f>
        <v/>
      </c>
      <c r="L3926" s="6" t="n">
        <v>941.701</v>
      </c>
      <c r="M3926" s="7">
        <f>IF(N3926=0,+L3926+H3926,0)</f>
        <v/>
      </c>
      <c r="N3926" s="7">
        <f>IF((+G3926-K3926)=0,0,+G3926-K3926)</f>
        <v/>
      </c>
      <c r="O3926" s="7">
        <f>IF(N3926=0,0,(L3926+H3926)/-N3926)</f>
        <v/>
      </c>
      <c r="P3926" s="7">
        <f>VLOOKUP(OPERAC[[#This Row],[especie]],[1]!ESPECIES[#All],6,0)</f>
        <v/>
      </c>
      <c r="Q3926" s="7">
        <f>IF(N3926&lt;&gt;0,P3926*N3926,0)</f>
        <v/>
      </c>
      <c r="R3926" s="8">
        <f>IF(Q3926&lt;&gt;0,Q3926+H3926+L3926,0)</f>
        <v/>
      </c>
      <c r="S3926" s="9">
        <f>VLOOKUP(OPERAC[[#This Row],[especie]],[1]!ESPECIES[#Data],9,FALSE)</f>
        <v/>
      </c>
    </row>
    <row r="3927">
      <c r="A3927" s="4" t="n">
        <v>9195</v>
      </c>
      <c r="B3927" s="5" t="n">
        <v>44532</v>
      </c>
      <c r="C3927" s="13" t="inlineStr">
        <is>
          <t>VTA</t>
        </is>
      </c>
      <c r="D3927" s="13" t="n">
        <v>32</v>
      </c>
      <c r="E3927" s="10">
        <f>IF(D3927&gt;0,VLOOKUP(OPERAC[[#This Row],[COD CART]],[1]!MatrizCortoLargoCyl[#All],3,0),"")</f>
        <v/>
      </c>
      <c r="F3927" s="13" t="inlineStr">
        <is>
          <t>COTY/CYL/10,00/18-02-22</t>
        </is>
      </c>
      <c r="G3927" s="6" t="n">
        <v>100</v>
      </c>
      <c r="H3927" s="6">
        <f>-901.599+20.838</f>
        <v/>
      </c>
      <c r="I3927" s="7">
        <f>-H3927/G3927</f>
        <v/>
      </c>
      <c r="J3927" s="11" t="n">
        <v>44608</v>
      </c>
      <c r="K3927" s="6">
        <f>+OPERAC[[#This Row],[cantidad]]</f>
        <v/>
      </c>
      <c r="L3927" s="6" t="n">
        <v>941.701</v>
      </c>
      <c r="M3927" s="7">
        <f>IF(N3927=0,+L3927+H3927,0)</f>
        <v/>
      </c>
      <c r="N3927" s="7">
        <f>IF((+G3927-K3927)=0,0,+G3927-K3927)</f>
        <v/>
      </c>
      <c r="O3927" s="7">
        <f>IF(N3927=0,0,(L3927+H3927)/-N3927)</f>
        <v/>
      </c>
      <c r="P3927" s="7">
        <f>VLOOKUP(OPERAC[[#This Row],[especie]],[1]!ESPECIES[#All],6,0)</f>
        <v/>
      </c>
      <c r="Q3927" s="7">
        <f>IF(N3927&lt;&gt;0,P3927*N3927,0)</f>
        <v/>
      </c>
      <c r="R3927" s="8">
        <f>IF(Q3927&lt;&gt;0,Q3927+H3927+L3927,0)</f>
        <v/>
      </c>
      <c r="S3927" s="9">
        <f>VLOOKUP(OPERAC[[#This Row],[especie]],[1]!ESPECIES[#Data],9,FALSE)</f>
        <v/>
      </c>
    </row>
    <row r="3928">
      <c r="A3928" s="4" t="n">
        <v>11168</v>
      </c>
      <c r="B3928" s="5" t="n">
        <v>44532</v>
      </c>
      <c r="C3928" s="13" t="inlineStr">
        <is>
          <t>VTA</t>
        </is>
      </c>
      <c r="D3928" s="13" t="n">
        <v>32</v>
      </c>
      <c r="E3928" s="10">
        <f>IF(D3928&gt;0,VLOOKUP(OPERAC[[#This Row],[COD CART]],[1]!MatrizCortoLargoCyl[#All],3,0),"")</f>
        <v/>
      </c>
      <c r="F3928" s="13" t="inlineStr">
        <is>
          <t>COTY/CYL/10,00/18-02-22</t>
        </is>
      </c>
      <c r="G3928" s="6" t="n">
        <v>100</v>
      </c>
      <c r="H3928" s="6">
        <f>-901.599+20.838</f>
        <v/>
      </c>
      <c r="I3928" s="7">
        <f>-H3928/G3928</f>
        <v/>
      </c>
      <c r="J3928" s="11" t="n">
        <v>44608</v>
      </c>
      <c r="K3928" s="6">
        <f>+OPERAC[[#This Row],[cantidad]]</f>
        <v/>
      </c>
      <c r="L3928" s="6" t="n">
        <v>941.701</v>
      </c>
      <c r="M3928" s="7">
        <f>IF(N3928=0,+L3928+H3928,0)</f>
        <v/>
      </c>
      <c r="N3928" s="7">
        <f>IF((+G3928-K3928)=0,0,+G3928-K3928)</f>
        <v/>
      </c>
      <c r="O3928" s="7">
        <f>IF(N3928=0,0,(L3928+H3928)/-N3928)</f>
        <v/>
      </c>
      <c r="P3928" s="7">
        <f>VLOOKUP(OPERAC[[#This Row],[especie]],[1]!ESPECIES[#All],6,0)</f>
        <v/>
      </c>
      <c r="Q3928" s="7">
        <f>IF(N3928&lt;&gt;0,P3928*N3928,0)</f>
        <v/>
      </c>
      <c r="R3928" s="8">
        <f>IF(Q3928&lt;&gt;0,Q3928+H3928+L3928,0)</f>
        <v/>
      </c>
      <c r="S3928" s="9">
        <f>VLOOKUP(OPERAC[[#This Row],[especie]],[1]!ESPECIES[#Data],9,FALSE)</f>
        <v/>
      </c>
    </row>
    <row r="3929">
      <c r="A3929" s="4" t="n">
        <v>12655</v>
      </c>
      <c r="B3929" s="5" t="n">
        <v>44532</v>
      </c>
      <c r="C3929" s="13" t="inlineStr">
        <is>
          <t>VTA</t>
        </is>
      </c>
      <c r="D3929" s="13" t="n">
        <v>32</v>
      </c>
      <c r="E3929" s="10">
        <f>IF(D3929&gt;0,VLOOKUP(OPERAC[[#This Row],[COD CART]],[1]!MatrizCortoLargoCyl[#All],3,0),"")</f>
        <v/>
      </c>
      <c r="F3929" s="13" t="inlineStr">
        <is>
          <t>COTY/CYL/10,00/18-02-22</t>
        </is>
      </c>
      <c r="G3929" s="6" t="n">
        <v>100</v>
      </c>
      <c r="H3929" s="6">
        <f>-901.599+20.838</f>
        <v/>
      </c>
      <c r="I3929" s="7">
        <f>-H3929/G3929</f>
        <v/>
      </c>
      <c r="J3929" s="11" t="n">
        <v>44608</v>
      </c>
      <c r="K3929" s="6">
        <f>+OPERAC[[#This Row],[cantidad]]</f>
        <v/>
      </c>
      <c r="L3929" s="6" t="n">
        <v>941.701</v>
      </c>
      <c r="M3929" s="7">
        <f>IF(N3929=0,+L3929+H3929,0)</f>
        <v/>
      </c>
      <c r="N3929" s="7">
        <f>IF((+G3929-K3929)=0,0,+G3929-K3929)</f>
        <v/>
      </c>
      <c r="O3929" s="7">
        <f>IF(N3929=0,0,(L3929+H3929)/-N3929)</f>
        <v/>
      </c>
      <c r="P3929" s="7">
        <f>VLOOKUP(OPERAC[[#This Row],[especie]],[1]!ESPECIES[#All],6,0)</f>
        <v/>
      </c>
      <c r="Q3929" s="7">
        <f>IF(N3929&lt;&gt;0,P3929*N3929,0)</f>
        <v/>
      </c>
      <c r="R3929" s="8">
        <f>IF(Q3929&lt;&gt;0,Q3929+H3929+L3929,0)</f>
        <v/>
      </c>
      <c r="S3929" s="9">
        <f>VLOOKUP(OPERAC[[#This Row],[especie]],[1]!ESPECIES[#Data],9,FALSE)</f>
        <v/>
      </c>
    </row>
    <row r="3930">
      <c r="A3930" s="4" t="n">
        <v>12662</v>
      </c>
      <c r="B3930" s="5" t="n">
        <v>44532</v>
      </c>
      <c r="C3930" s="13" t="inlineStr">
        <is>
          <t>VTA</t>
        </is>
      </c>
      <c r="D3930" s="13" t="n">
        <v>32</v>
      </c>
      <c r="E3930" s="10">
        <f>IF(D3930&gt;0,VLOOKUP(OPERAC[[#This Row],[COD CART]],[1]!MatrizCortoLargoCyl[#All],3,0),"")</f>
        <v/>
      </c>
      <c r="F3930" s="13" t="inlineStr">
        <is>
          <t>COTY/CYL/10,00/18-02-22</t>
        </is>
      </c>
      <c r="G3930" s="6" t="n">
        <v>100</v>
      </c>
      <c r="H3930" s="6">
        <f>-901.599+20.838</f>
        <v/>
      </c>
      <c r="I3930" s="7">
        <f>-H3930/G3930</f>
        <v/>
      </c>
      <c r="J3930" s="11" t="n">
        <v>44608</v>
      </c>
      <c r="K3930" s="6">
        <f>+OPERAC[[#This Row],[cantidad]]</f>
        <v/>
      </c>
      <c r="L3930" s="6" t="n">
        <v>941.701</v>
      </c>
      <c r="M3930" s="7">
        <f>IF(N3930=0,+L3930+H3930,0)</f>
        <v/>
      </c>
      <c r="N3930" s="7">
        <f>IF((+G3930-K3930)=0,0,+G3930-K3930)</f>
        <v/>
      </c>
      <c r="O3930" s="7">
        <f>IF(N3930=0,0,(L3930+H3930)/-N3930)</f>
        <v/>
      </c>
      <c r="P3930" s="7">
        <f>VLOOKUP(OPERAC[[#This Row],[especie]],[1]!ESPECIES[#All],6,0)</f>
        <v/>
      </c>
      <c r="Q3930" s="7">
        <f>IF(N3930&lt;&gt;0,P3930*N3930,0)</f>
        <v/>
      </c>
      <c r="R3930" s="8">
        <f>IF(Q3930&lt;&gt;0,Q3930+H3930+L3930,0)</f>
        <v/>
      </c>
      <c r="S3930" s="9">
        <f>VLOOKUP(OPERAC[[#This Row],[especie]],[1]!ESPECIES[#Data],9,FALSE)</f>
        <v/>
      </c>
    </row>
    <row r="3931">
      <c r="A3931" s="4" t="n">
        <v>12690</v>
      </c>
      <c r="B3931" s="5" t="n">
        <v>44532</v>
      </c>
      <c r="C3931" s="13" t="inlineStr">
        <is>
          <t>VTA</t>
        </is>
      </c>
      <c r="D3931" s="13" t="n">
        <v>32</v>
      </c>
      <c r="E3931" s="10">
        <f>IF(D3931&gt;0,VLOOKUP(OPERAC[[#This Row],[COD CART]],[1]!MatrizCortoLargoCyl[#All],3,0),"")</f>
        <v/>
      </c>
      <c r="F3931" s="13" t="inlineStr">
        <is>
          <t>COTY/CYL/10,00/18-02-22</t>
        </is>
      </c>
      <c r="G3931" s="6" t="n">
        <v>100</v>
      </c>
      <c r="H3931" s="6">
        <f>-901.599+20.838</f>
        <v/>
      </c>
      <c r="I3931" s="7">
        <f>-H3931/G3931</f>
        <v/>
      </c>
      <c r="J3931" s="11" t="n">
        <v>44608</v>
      </c>
      <c r="K3931" s="6">
        <f>+OPERAC[[#This Row],[cantidad]]</f>
        <v/>
      </c>
      <c r="L3931" s="6" t="n">
        <v>941.701</v>
      </c>
      <c r="M3931" s="7">
        <f>IF(N3931=0,+L3931+H3931,0)</f>
        <v/>
      </c>
      <c r="N3931" s="7">
        <f>IF((+G3931-K3931)=0,0,+G3931-K3931)</f>
        <v/>
      </c>
      <c r="O3931" s="7">
        <f>IF(N3931=0,0,(L3931+H3931)/-N3931)</f>
        <v/>
      </c>
      <c r="P3931" s="7">
        <f>VLOOKUP(OPERAC[[#This Row],[especie]],[1]!ESPECIES[#All],6,0)</f>
        <v/>
      </c>
      <c r="Q3931" s="7">
        <f>IF(N3931&lt;&gt;0,P3931*N3931,0)</f>
        <v/>
      </c>
      <c r="R3931" s="8">
        <f>IF(Q3931&lt;&gt;0,Q3931+H3931+L3931,0)</f>
        <v/>
      </c>
      <c r="S3931" s="9">
        <f>VLOOKUP(OPERAC[[#This Row],[especie]],[1]!ESPECIES[#Data],9,FALSE)</f>
        <v/>
      </c>
    </row>
    <row r="3932">
      <c r="A3932" s="4" t="n">
        <v>13185</v>
      </c>
      <c r="B3932" s="5" t="n">
        <v>44532</v>
      </c>
      <c r="C3932" s="13" t="inlineStr">
        <is>
          <t>VTA</t>
        </is>
      </c>
      <c r="D3932" s="13" t="n">
        <v>32</v>
      </c>
      <c r="E3932" s="10">
        <f>IF(D3932&gt;0,VLOOKUP(OPERAC[[#This Row],[COD CART]],[1]!MatrizCortoLargoCyl[#All],3,0),"")</f>
        <v/>
      </c>
      <c r="F3932" s="13" t="inlineStr">
        <is>
          <t>COTY/CYL/10,00/18-02-22</t>
        </is>
      </c>
      <c r="G3932" s="6" t="n">
        <v>100</v>
      </c>
      <c r="H3932" s="6">
        <f>-901.599+20.838</f>
        <v/>
      </c>
      <c r="I3932" s="7">
        <f>-H3932/G3932</f>
        <v/>
      </c>
      <c r="J3932" s="11" t="n">
        <v>44608</v>
      </c>
      <c r="K3932" s="6">
        <f>+OPERAC[[#This Row],[cantidad]]</f>
        <v/>
      </c>
      <c r="L3932" s="6" t="n">
        <v>941.701</v>
      </c>
      <c r="M3932" s="7">
        <f>IF(N3932=0,+L3932+H3932,0)</f>
        <v/>
      </c>
      <c r="N3932" s="7">
        <f>IF((+G3932-K3932)=0,0,+G3932-K3932)</f>
        <v/>
      </c>
      <c r="O3932" s="7">
        <f>IF(N3932=0,0,(L3932+H3932)/-N3932)</f>
        <v/>
      </c>
      <c r="P3932" s="7">
        <f>VLOOKUP(OPERAC[[#This Row],[especie]],[1]!ESPECIES[#All],6,0)</f>
        <v/>
      </c>
      <c r="Q3932" s="7">
        <f>IF(N3932&lt;&gt;0,P3932*N3932,0)</f>
        <v/>
      </c>
      <c r="R3932" s="8">
        <f>IF(Q3932&lt;&gt;0,Q3932+H3932+L3932,0)</f>
        <v/>
      </c>
      <c r="S3932" s="9">
        <f>VLOOKUP(OPERAC[[#This Row],[especie]],[1]!ESPECIES[#Data],9,FALSE)</f>
        <v/>
      </c>
    </row>
    <row r="3933">
      <c r="A3933" s="4" t="n">
        <v>13246</v>
      </c>
      <c r="B3933" s="5" t="n">
        <v>44532</v>
      </c>
      <c r="C3933" s="13" t="inlineStr">
        <is>
          <t>VTA</t>
        </is>
      </c>
      <c r="D3933" s="13" t="n">
        <v>32</v>
      </c>
      <c r="E3933" s="10">
        <f>IF(D3933&gt;0,VLOOKUP(OPERAC[[#This Row],[COD CART]],[1]!MatrizCortoLargoCyl[#All],3,0),"")</f>
        <v/>
      </c>
      <c r="F3933" s="13" t="inlineStr">
        <is>
          <t>COTY/CYL/10,00/18-02-22</t>
        </is>
      </c>
      <c r="G3933" s="6" t="n">
        <v>100</v>
      </c>
      <c r="H3933" s="6">
        <f>-901.599+20.838</f>
        <v/>
      </c>
      <c r="I3933" s="7">
        <f>-H3933/G3933</f>
        <v/>
      </c>
      <c r="J3933" s="11" t="n">
        <v>44608</v>
      </c>
      <c r="K3933" s="6">
        <f>+OPERAC[[#This Row],[cantidad]]</f>
        <v/>
      </c>
      <c r="L3933" s="6" t="n">
        <v>941.701</v>
      </c>
      <c r="M3933" s="7">
        <f>IF(N3933=0,+L3933+H3933,0)</f>
        <v/>
      </c>
      <c r="N3933" s="7">
        <f>IF((+G3933-K3933)=0,0,+G3933-K3933)</f>
        <v/>
      </c>
      <c r="O3933" s="7">
        <f>IF(N3933=0,0,(L3933+H3933)/-N3933)</f>
        <v/>
      </c>
      <c r="P3933" s="7">
        <f>VLOOKUP(OPERAC[[#This Row],[especie]],[1]!ESPECIES[#All],6,0)</f>
        <v/>
      </c>
      <c r="Q3933" s="7">
        <f>IF(N3933&lt;&gt;0,P3933*N3933,0)</f>
        <v/>
      </c>
      <c r="R3933" s="8">
        <f>IF(Q3933&lt;&gt;0,Q3933+H3933+L3933,0)</f>
        <v/>
      </c>
      <c r="S3933" s="9">
        <f>VLOOKUP(OPERAC[[#This Row],[especie]],[1]!ESPECIES[#Data],9,FALSE)</f>
        <v/>
      </c>
    </row>
    <row r="3934">
      <c r="A3934" s="4" t="n">
        <v>13269</v>
      </c>
      <c r="B3934" s="5" t="n">
        <v>44532</v>
      </c>
      <c r="C3934" s="13" t="inlineStr">
        <is>
          <t>VTA</t>
        </is>
      </c>
      <c r="D3934" s="13" t="n">
        <v>32</v>
      </c>
      <c r="E3934" s="10">
        <f>IF(D3934&gt;0,VLOOKUP(OPERAC[[#This Row],[COD CART]],[1]!MatrizCortoLargoCyl[#All],3,0),"")</f>
        <v/>
      </c>
      <c r="F3934" s="13" t="inlineStr">
        <is>
          <t>COTY/CYL/10,00/18-02-22</t>
        </is>
      </c>
      <c r="G3934" s="6" t="n">
        <v>100</v>
      </c>
      <c r="H3934" s="6">
        <f>-901.599+20.838</f>
        <v/>
      </c>
      <c r="I3934" s="7">
        <f>-H3934/G3934</f>
        <v/>
      </c>
      <c r="J3934" s="11" t="n">
        <v>44608</v>
      </c>
      <c r="K3934" s="6">
        <f>+OPERAC[[#This Row],[cantidad]]</f>
        <v/>
      </c>
      <c r="L3934" s="6" t="n">
        <v>941.701</v>
      </c>
      <c r="M3934" s="7">
        <f>IF(N3934=0,+L3934+H3934,0)</f>
        <v/>
      </c>
      <c r="N3934" s="7">
        <f>IF((+G3934-K3934)=0,0,+G3934-K3934)</f>
        <v/>
      </c>
      <c r="O3934" s="7">
        <f>IF(N3934=0,0,(L3934+H3934)/-N3934)</f>
        <v/>
      </c>
      <c r="P3934" s="7">
        <f>VLOOKUP(OPERAC[[#This Row],[especie]],[1]!ESPECIES[#All],6,0)</f>
        <v/>
      </c>
      <c r="Q3934" s="7">
        <f>IF(N3934&lt;&gt;0,P3934*N3934,0)</f>
        <v/>
      </c>
      <c r="R3934" s="8">
        <f>IF(Q3934&lt;&gt;0,Q3934+H3934+L3934,0)</f>
        <v/>
      </c>
      <c r="S3934" s="9">
        <f>VLOOKUP(OPERAC[[#This Row],[especie]],[1]!ESPECIES[#Data],9,FALSE)</f>
        <v/>
      </c>
    </row>
    <row r="3935">
      <c r="A3935" s="4" t="n">
        <v>15194</v>
      </c>
      <c r="B3935" s="5" t="n">
        <v>44532</v>
      </c>
      <c r="C3935" s="13" t="inlineStr">
        <is>
          <t>VTA</t>
        </is>
      </c>
      <c r="D3935" s="13" t="n">
        <v>32</v>
      </c>
      <c r="E3935" s="10">
        <f>IF(D3935&gt;0,VLOOKUP(OPERAC[[#This Row],[COD CART]],[1]!MatrizCortoLargoCyl[#All],3,0),"")</f>
        <v/>
      </c>
      <c r="F3935" s="13" t="inlineStr">
        <is>
          <t>COTY/CYL/10,00/18-02-22</t>
        </is>
      </c>
      <c r="G3935" s="6" t="n">
        <v>100</v>
      </c>
      <c r="H3935" s="6">
        <f>-901.599+20.838</f>
        <v/>
      </c>
      <c r="I3935" s="7">
        <f>-H3935/G3935</f>
        <v/>
      </c>
      <c r="J3935" s="11" t="n">
        <v>44608</v>
      </c>
      <c r="K3935" s="6">
        <f>+OPERAC[[#This Row],[cantidad]]</f>
        <v/>
      </c>
      <c r="L3935" s="6" t="n">
        <v>941.701</v>
      </c>
      <c r="M3935" s="7">
        <f>IF(N3935=0,+L3935+H3935,0)</f>
        <v/>
      </c>
      <c r="N3935" s="7">
        <f>IF((+G3935-K3935)=0,0,+G3935-K3935)</f>
        <v/>
      </c>
      <c r="O3935" s="7">
        <f>IF(N3935=0,0,(L3935+H3935)/-N3935)</f>
        <v/>
      </c>
      <c r="P3935" s="7">
        <f>VLOOKUP(OPERAC[[#This Row],[especie]],[1]!ESPECIES[#All],6,0)</f>
        <v/>
      </c>
      <c r="Q3935" s="7">
        <f>IF(N3935&lt;&gt;0,P3935*N3935,0)</f>
        <v/>
      </c>
      <c r="R3935" s="8">
        <f>IF(Q3935&lt;&gt;0,Q3935+H3935+L3935,0)</f>
        <v/>
      </c>
      <c r="S3935" s="9">
        <f>VLOOKUP(OPERAC[[#This Row],[especie]],[1]!ESPECIES[#Data],9,FALSE)</f>
        <v/>
      </c>
    </row>
    <row r="3936">
      <c r="A3936" s="4" t="n">
        <v>16776</v>
      </c>
      <c r="B3936" s="5" t="n">
        <v>44532</v>
      </c>
      <c r="C3936" s="13" t="inlineStr">
        <is>
          <t>VTA</t>
        </is>
      </c>
      <c r="D3936" s="13" t="n">
        <v>32</v>
      </c>
      <c r="E3936" s="10">
        <f>IF(D3936&gt;0,VLOOKUP(OPERAC[[#This Row],[COD CART]],[1]!MatrizCortoLargoCyl[#All],3,0),"")</f>
        <v/>
      </c>
      <c r="F3936" s="13" t="inlineStr">
        <is>
          <t>COTY/CYL/10,00/18-02-22</t>
        </is>
      </c>
      <c r="G3936" s="6" t="n">
        <v>100</v>
      </c>
      <c r="H3936" s="6">
        <f>-901.599+20.838</f>
        <v/>
      </c>
      <c r="I3936" s="7">
        <f>-H3936/G3936</f>
        <v/>
      </c>
      <c r="J3936" s="11" t="n">
        <v>44608</v>
      </c>
      <c r="K3936" s="6">
        <f>+OPERAC[[#This Row],[cantidad]]</f>
        <v/>
      </c>
      <c r="L3936" s="6" t="n">
        <v>941.701</v>
      </c>
      <c r="M3936" s="7">
        <f>IF(N3936=0,+L3936+H3936,0)</f>
        <v/>
      </c>
      <c r="N3936" s="7">
        <f>IF((+G3936-K3936)=0,0,+G3936-K3936)</f>
        <v/>
      </c>
      <c r="O3936" s="7">
        <f>IF(N3936=0,0,(L3936+H3936)/-N3936)</f>
        <v/>
      </c>
      <c r="P3936" s="7">
        <f>VLOOKUP(OPERAC[[#This Row],[especie]],[1]!ESPECIES[#All],6,0)</f>
        <v/>
      </c>
      <c r="Q3936" s="7">
        <f>IF(N3936&lt;&gt;0,P3936*N3936,0)</f>
        <v/>
      </c>
      <c r="R3936" s="8">
        <f>IF(Q3936&lt;&gt;0,Q3936+H3936+L3936,0)</f>
        <v/>
      </c>
      <c r="S3936" s="9">
        <f>VLOOKUP(OPERAC[[#This Row],[especie]],[1]!ESPECIES[#Data],9,FALSE)</f>
        <v/>
      </c>
    </row>
    <row r="3937">
      <c r="A3937" s="4" t="n">
        <v>16829</v>
      </c>
      <c r="B3937" s="5" t="n">
        <v>44532</v>
      </c>
      <c r="C3937" s="13" t="inlineStr">
        <is>
          <t>VTA</t>
        </is>
      </c>
      <c r="D3937" s="13" t="n">
        <v>32</v>
      </c>
      <c r="E3937" s="10">
        <f>IF(D3937&gt;0,VLOOKUP(OPERAC[[#This Row],[COD CART]],[1]!MatrizCortoLargoCyl[#All],3,0),"")</f>
        <v/>
      </c>
      <c r="F3937" s="13" t="inlineStr">
        <is>
          <t>COTY/CYL/10,00/18-02-22</t>
        </is>
      </c>
      <c r="G3937" s="6" t="n">
        <v>100</v>
      </c>
      <c r="H3937" s="6">
        <f>-901.599+20.838</f>
        <v/>
      </c>
      <c r="I3937" s="7">
        <f>-H3937/G3937</f>
        <v/>
      </c>
      <c r="J3937" s="11" t="n">
        <v>44608</v>
      </c>
      <c r="K3937" s="6">
        <f>+OPERAC[[#This Row],[cantidad]]</f>
        <v/>
      </c>
      <c r="L3937" s="6" t="n">
        <v>941.701</v>
      </c>
      <c r="M3937" s="7">
        <f>IF(N3937=0,+L3937+H3937,0)</f>
        <v/>
      </c>
      <c r="N3937" s="7">
        <f>IF((+G3937-K3937)=0,0,+G3937-K3937)</f>
        <v/>
      </c>
      <c r="O3937" s="7">
        <f>IF(N3937=0,0,(L3937+H3937)/-N3937)</f>
        <v/>
      </c>
      <c r="P3937" s="7">
        <f>VLOOKUP(OPERAC[[#This Row],[especie]],[1]!ESPECIES[#All],6,0)</f>
        <v/>
      </c>
      <c r="Q3937" s="7">
        <f>IF(N3937&lt;&gt;0,P3937*N3937,0)</f>
        <v/>
      </c>
      <c r="R3937" s="8">
        <f>IF(Q3937&lt;&gt;0,Q3937+H3937+L3937,0)</f>
        <v/>
      </c>
      <c r="S3937" s="9">
        <f>VLOOKUP(OPERAC[[#This Row],[especie]],[1]!ESPECIES[#Data],9,FALSE)</f>
        <v/>
      </c>
    </row>
    <row r="3938">
      <c r="A3938" s="4" t="n">
        <v>18662</v>
      </c>
      <c r="B3938" s="5" t="n">
        <v>44532</v>
      </c>
      <c r="C3938" s="13" t="inlineStr">
        <is>
          <t>VTA</t>
        </is>
      </c>
      <c r="D3938" s="13" t="n">
        <v>32</v>
      </c>
      <c r="E3938" s="10">
        <f>IF(D3938&gt;0,VLOOKUP(OPERAC[[#This Row],[COD CART]],[1]!MatrizCortoLargoCyl[#All],3,0),"")</f>
        <v/>
      </c>
      <c r="F3938" s="13" t="inlineStr">
        <is>
          <t>COTY/CYL/10,00/18-02-22</t>
        </is>
      </c>
      <c r="G3938" s="6" t="n">
        <v>100</v>
      </c>
      <c r="H3938" s="6">
        <f>-901.599+20.838</f>
        <v/>
      </c>
      <c r="I3938" s="7">
        <f>-H3938/G3938</f>
        <v/>
      </c>
      <c r="J3938" s="11" t="n">
        <v>44608</v>
      </c>
      <c r="K3938" s="6">
        <f>+OPERAC[[#This Row],[cantidad]]</f>
        <v/>
      </c>
      <c r="L3938" s="6" t="n">
        <v>941.701</v>
      </c>
      <c r="M3938" s="7">
        <f>IF(N3938=0,+L3938+H3938,0)</f>
        <v/>
      </c>
      <c r="N3938" s="7">
        <f>IF((+G3938-K3938)=0,0,+G3938-K3938)</f>
        <v/>
      </c>
      <c r="O3938" s="7">
        <f>IF(N3938=0,0,(L3938+H3938)/-N3938)</f>
        <v/>
      </c>
      <c r="P3938" s="7">
        <f>VLOOKUP(OPERAC[[#This Row],[especie]],[1]!ESPECIES[#All],6,0)</f>
        <v/>
      </c>
      <c r="Q3938" s="7">
        <f>IF(N3938&lt;&gt;0,P3938*N3938,0)</f>
        <v/>
      </c>
      <c r="R3938" s="8">
        <f>IF(Q3938&lt;&gt;0,Q3938+H3938+L3938,0)</f>
        <v/>
      </c>
      <c r="S3938" s="9">
        <f>VLOOKUP(OPERAC[[#This Row],[especie]],[1]!ESPECIES[#Data],9,FALSE)</f>
        <v/>
      </c>
    </row>
    <row r="3939">
      <c r="A3939" s="4" t="n">
        <v>19867</v>
      </c>
      <c r="B3939" s="5" t="n">
        <v>44532</v>
      </c>
      <c r="C3939" s="13" t="inlineStr">
        <is>
          <t>VTA</t>
        </is>
      </c>
      <c r="D3939" s="13" t="n">
        <v>32</v>
      </c>
      <c r="E3939" s="10">
        <f>IF(D3939&gt;0,VLOOKUP(OPERAC[[#This Row],[COD CART]],[1]!MatrizCortoLargoCyl[#All],3,0),"")</f>
        <v/>
      </c>
      <c r="F3939" s="13" t="inlineStr">
        <is>
          <t>COTY/CYL/10,00/18-02-22</t>
        </is>
      </c>
      <c r="G3939" s="6" t="n">
        <v>100</v>
      </c>
      <c r="H3939" s="6">
        <f>-901.599+20.838</f>
        <v/>
      </c>
      <c r="I3939" s="7">
        <f>-H3939/G3939</f>
        <v/>
      </c>
      <c r="J3939" s="11" t="n">
        <v>44608</v>
      </c>
      <c r="K3939" s="6">
        <f>+OPERAC[[#This Row],[cantidad]]</f>
        <v/>
      </c>
      <c r="L3939" s="6" t="n">
        <v>941.701</v>
      </c>
      <c r="M3939" s="7">
        <f>IF(N3939=0,+L3939+H3939,0)</f>
        <v/>
      </c>
      <c r="N3939" s="7">
        <f>IF((+G3939-K3939)=0,0,+G3939-K3939)</f>
        <v/>
      </c>
      <c r="O3939" s="7">
        <f>IF(N3939=0,0,(L3939+H3939)/-N3939)</f>
        <v/>
      </c>
      <c r="P3939" s="7">
        <f>VLOOKUP(OPERAC[[#This Row],[especie]],[1]!ESPECIES[#All],6,0)</f>
        <v/>
      </c>
      <c r="Q3939" s="7">
        <f>IF(N3939&lt;&gt;0,P3939*N3939,0)</f>
        <v/>
      </c>
      <c r="R3939" s="8">
        <f>IF(Q3939&lt;&gt;0,Q3939+H3939+L3939,0)</f>
        <v/>
      </c>
      <c r="S3939" s="9">
        <f>VLOOKUP(OPERAC[[#This Row],[especie]],[1]!ESPECIES[#Data],9,FALSE)</f>
        <v/>
      </c>
    </row>
    <row r="3940">
      <c r="A3940" s="4" t="n">
        <v>19878</v>
      </c>
      <c r="B3940" s="5" t="n">
        <v>44532</v>
      </c>
      <c r="C3940" s="13" t="inlineStr">
        <is>
          <t>VTA</t>
        </is>
      </c>
      <c r="D3940" s="13" t="n">
        <v>32</v>
      </c>
      <c r="E3940" s="10">
        <f>IF(D3940&gt;0,VLOOKUP(OPERAC[[#This Row],[COD CART]],[1]!MatrizCortoLargoCyl[#All],3,0),"")</f>
        <v/>
      </c>
      <c r="F3940" s="13" t="inlineStr">
        <is>
          <t>COTY/CYL/10,00/18-02-22</t>
        </is>
      </c>
      <c r="G3940" s="6" t="n">
        <v>100</v>
      </c>
      <c r="H3940" s="6">
        <f>-901.599+20.838</f>
        <v/>
      </c>
      <c r="I3940" s="7">
        <f>-H3940/G3940</f>
        <v/>
      </c>
      <c r="J3940" s="11" t="n">
        <v>44608</v>
      </c>
      <c r="K3940" s="6">
        <f>+OPERAC[[#This Row],[cantidad]]</f>
        <v/>
      </c>
      <c r="L3940" s="6" t="n">
        <v>941.701</v>
      </c>
      <c r="M3940" s="7">
        <f>IF(N3940=0,+L3940+H3940,0)</f>
        <v/>
      </c>
      <c r="N3940" s="7">
        <f>IF((+G3940-K3940)=0,0,+G3940-K3940)</f>
        <v/>
      </c>
      <c r="O3940" s="7">
        <f>IF(N3940=0,0,(L3940+H3940)/-N3940)</f>
        <v/>
      </c>
      <c r="P3940" s="7">
        <f>VLOOKUP(OPERAC[[#This Row],[especie]],[1]!ESPECIES[#All],6,0)</f>
        <v/>
      </c>
      <c r="Q3940" s="7">
        <f>IF(N3940&lt;&gt;0,P3940*N3940,0)</f>
        <v/>
      </c>
      <c r="R3940" s="8">
        <f>IF(Q3940&lt;&gt;0,Q3940+H3940+L3940,0)</f>
        <v/>
      </c>
      <c r="S3940" s="9">
        <f>VLOOKUP(OPERAC[[#This Row],[especie]],[1]!ESPECIES[#Data],9,FALSE)</f>
        <v/>
      </c>
    </row>
    <row r="3941">
      <c r="A3941" s="4" t="n">
        <v>19920</v>
      </c>
      <c r="B3941" s="5" t="n">
        <v>44532</v>
      </c>
      <c r="C3941" s="13" t="inlineStr">
        <is>
          <t>VTA</t>
        </is>
      </c>
      <c r="D3941" s="13" t="n">
        <v>32</v>
      </c>
      <c r="E3941" s="10">
        <f>IF(D3941&gt;0,VLOOKUP(OPERAC[[#This Row],[COD CART]],[1]!MatrizCortoLargoCyl[#All],3,0),"")</f>
        <v/>
      </c>
      <c r="F3941" s="13" t="inlineStr">
        <is>
          <t>COTY/CYL/10,00/18-02-22</t>
        </is>
      </c>
      <c r="G3941" s="6" t="n">
        <v>100</v>
      </c>
      <c r="H3941" s="6">
        <f>-901.599+20.838</f>
        <v/>
      </c>
      <c r="I3941" s="7">
        <f>-H3941/G3941</f>
        <v/>
      </c>
      <c r="J3941" s="11" t="n">
        <v>44608</v>
      </c>
      <c r="K3941" s="6">
        <f>+OPERAC[[#This Row],[cantidad]]</f>
        <v/>
      </c>
      <c r="L3941" s="6" t="n">
        <v>941.701</v>
      </c>
      <c r="M3941" s="7">
        <f>IF(N3941=0,+L3941+H3941,0)</f>
        <v/>
      </c>
      <c r="N3941" s="7">
        <f>IF((+G3941-K3941)=0,0,+G3941-K3941)</f>
        <v/>
      </c>
      <c r="O3941" s="7">
        <f>IF(N3941=0,0,(L3941+H3941)/-N3941)</f>
        <v/>
      </c>
      <c r="P3941" s="7">
        <f>VLOOKUP(OPERAC[[#This Row],[especie]],[1]!ESPECIES[#All],6,0)</f>
        <v/>
      </c>
      <c r="Q3941" s="7">
        <f>IF(N3941&lt;&gt;0,P3941*N3941,0)</f>
        <v/>
      </c>
      <c r="R3941" s="8">
        <f>IF(Q3941&lt;&gt;0,Q3941+H3941+L3941,0)</f>
        <v/>
      </c>
      <c r="S3941" s="9">
        <f>VLOOKUP(OPERAC[[#This Row],[especie]],[1]!ESPECIES[#Data],9,FALSE)</f>
        <v/>
      </c>
    </row>
    <row r="3942">
      <c r="A3942" s="4" t="n">
        <v>19932</v>
      </c>
      <c r="B3942" s="5" t="n">
        <v>44532</v>
      </c>
      <c r="C3942" s="13" t="inlineStr">
        <is>
          <t>VTA</t>
        </is>
      </c>
      <c r="D3942" s="13" t="n">
        <v>32</v>
      </c>
      <c r="E3942" s="10">
        <f>IF(D3942&gt;0,VLOOKUP(OPERAC[[#This Row],[COD CART]],[1]!MatrizCortoLargoCyl[#All],3,0),"")</f>
        <v/>
      </c>
      <c r="F3942" s="13" t="inlineStr">
        <is>
          <t>COTY/CYL/10,00/18-02-22</t>
        </is>
      </c>
      <c r="G3942" s="6" t="n">
        <v>100</v>
      </c>
      <c r="H3942" s="6">
        <f>-901.599+20.838</f>
        <v/>
      </c>
      <c r="I3942" s="7">
        <f>-H3942/G3942</f>
        <v/>
      </c>
      <c r="J3942" s="11" t="n">
        <v>44608</v>
      </c>
      <c r="K3942" s="6">
        <f>+OPERAC[[#This Row],[cantidad]]</f>
        <v/>
      </c>
      <c r="L3942" s="6" t="n">
        <v>941.701</v>
      </c>
      <c r="M3942" s="7">
        <f>IF(N3942=0,+L3942+H3942,0)</f>
        <v/>
      </c>
      <c r="N3942" s="7">
        <f>IF((+G3942-K3942)=0,0,+G3942-K3942)</f>
        <v/>
      </c>
      <c r="O3942" s="7">
        <f>IF(N3942=0,0,(L3942+H3942)/-N3942)</f>
        <v/>
      </c>
      <c r="P3942" s="7">
        <f>VLOOKUP(OPERAC[[#This Row],[especie]],[1]!ESPECIES[#All],6,0)</f>
        <v/>
      </c>
      <c r="Q3942" s="7">
        <f>IF(N3942&lt;&gt;0,P3942*N3942,0)</f>
        <v/>
      </c>
      <c r="R3942" s="8">
        <f>IF(Q3942&lt;&gt;0,Q3942+H3942+L3942,0)</f>
        <v/>
      </c>
      <c r="S3942" s="9">
        <f>VLOOKUP(OPERAC[[#This Row],[especie]],[1]!ESPECIES[#Data],9,FALSE)</f>
        <v/>
      </c>
    </row>
    <row r="3943">
      <c r="A3943" s="4" t="n">
        <v>19934</v>
      </c>
      <c r="B3943" s="5" t="n">
        <v>44532</v>
      </c>
      <c r="C3943" s="13" t="inlineStr">
        <is>
          <t>VTA</t>
        </is>
      </c>
      <c r="D3943" s="13" t="n">
        <v>32</v>
      </c>
      <c r="E3943" s="10">
        <f>IF(D3943&gt;0,VLOOKUP(OPERAC[[#This Row],[COD CART]],[1]!MatrizCortoLargoCyl[#All],3,0),"")</f>
        <v/>
      </c>
      <c r="F3943" s="13" t="inlineStr">
        <is>
          <t>COTY/CYL/10,00/18-02-22</t>
        </is>
      </c>
      <c r="G3943" s="6" t="n">
        <v>100</v>
      </c>
      <c r="H3943" s="6">
        <f>-901.599+20.838</f>
        <v/>
      </c>
      <c r="I3943" s="7">
        <f>-H3943/G3943</f>
        <v/>
      </c>
      <c r="J3943" s="11" t="n">
        <v>44608</v>
      </c>
      <c r="K3943" s="6">
        <f>+OPERAC[[#This Row],[cantidad]]</f>
        <v/>
      </c>
      <c r="L3943" s="6" t="n">
        <v>941.701</v>
      </c>
      <c r="M3943" s="7">
        <f>IF(N3943=0,+L3943+H3943,0)</f>
        <v/>
      </c>
      <c r="N3943" s="7">
        <f>IF((+G3943-K3943)=0,0,+G3943-K3943)</f>
        <v/>
      </c>
      <c r="O3943" s="7">
        <f>IF(N3943=0,0,(L3943+H3943)/-N3943)</f>
        <v/>
      </c>
      <c r="P3943" s="7">
        <f>VLOOKUP(OPERAC[[#This Row],[especie]],[1]!ESPECIES[#All],6,0)</f>
        <v/>
      </c>
      <c r="Q3943" s="7">
        <f>IF(N3943&lt;&gt;0,P3943*N3943,0)</f>
        <v/>
      </c>
      <c r="R3943" s="8">
        <f>IF(Q3943&lt;&gt;0,Q3943+H3943+L3943,0)</f>
        <v/>
      </c>
      <c r="S3943" s="9">
        <f>VLOOKUP(OPERAC[[#This Row],[especie]],[1]!ESPECIES[#Data],9,FALSE)</f>
        <v/>
      </c>
    </row>
    <row r="3944">
      <c r="A3944" s="4" t="n">
        <v>22407</v>
      </c>
      <c r="B3944" s="5" t="n">
        <v>44532</v>
      </c>
      <c r="C3944" s="13" t="inlineStr">
        <is>
          <t>VTA</t>
        </is>
      </c>
      <c r="D3944" s="13" t="n">
        <v>32</v>
      </c>
      <c r="E3944" s="10">
        <f>IF(D3944&gt;0,VLOOKUP(OPERAC[[#This Row],[COD CART]],[1]!MatrizCortoLargoCyl[#All],3,0),"")</f>
        <v/>
      </c>
      <c r="F3944" s="13" t="inlineStr">
        <is>
          <t>COTY/CYL/10,00/18-02-22</t>
        </is>
      </c>
      <c r="G3944" s="6" t="n">
        <v>100</v>
      </c>
      <c r="H3944" s="6">
        <f>-901.599+20.838</f>
        <v/>
      </c>
      <c r="I3944" s="7">
        <f>-H3944/G3944</f>
        <v/>
      </c>
      <c r="J3944" s="11" t="n">
        <v>44608</v>
      </c>
      <c r="K3944" s="6">
        <f>+OPERAC[[#This Row],[cantidad]]</f>
        <v/>
      </c>
      <c r="L3944" s="6" t="n">
        <v>941.701</v>
      </c>
      <c r="M3944" s="7">
        <f>IF(N3944=0,+L3944+H3944,0)</f>
        <v/>
      </c>
      <c r="N3944" s="7">
        <f>IF((+G3944-K3944)=0,0,+G3944-K3944)</f>
        <v/>
      </c>
      <c r="O3944" s="7">
        <f>IF(N3944=0,0,(L3944+H3944)/-N3944)</f>
        <v/>
      </c>
      <c r="P3944" s="7">
        <f>VLOOKUP(OPERAC[[#This Row],[especie]],[1]!ESPECIES[#All],6,0)</f>
        <v/>
      </c>
      <c r="Q3944" s="7">
        <f>IF(N3944&lt;&gt;0,P3944*N3944,0)</f>
        <v/>
      </c>
      <c r="R3944" s="8">
        <f>IF(Q3944&lt;&gt;0,Q3944+H3944+L3944,0)</f>
        <v/>
      </c>
      <c r="S3944" s="9">
        <f>VLOOKUP(OPERAC[[#This Row],[especie]],[1]!ESPECIES[#Data],9,FALSE)</f>
        <v/>
      </c>
    </row>
    <row r="3945">
      <c r="A3945" s="4" t="n">
        <v>22433</v>
      </c>
      <c r="B3945" s="5" t="n">
        <v>44532</v>
      </c>
      <c r="C3945" s="13" t="inlineStr">
        <is>
          <t>VTA</t>
        </is>
      </c>
      <c r="D3945" s="13" t="n">
        <v>32</v>
      </c>
      <c r="E3945" s="10">
        <f>IF(D3945&gt;0,VLOOKUP(OPERAC[[#This Row],[COD CART]],[1]!MatrizCortoLargoCyl[#All],3,0),"")</f>
        <v/>
      </c>
      <c r="F3945" s="13" t="inlineStr">
        <is>
          <t>COTY/CYL/10,00/18-02-22</t>
        </is>
      </c>
      <c r="G3945" s="6" t="n">
        <v>100</v>
      </c>
      <c r="H3945" s="6">
        <f>-901.599+20.838</f>
        <v/>
      </c>
      <c r="I3945" s="7">
        <f>-H3945/G3945</f>
        <v/>
      </c>
      <c r="J3945" s="11" t="n">
        <v>44608</v>
      </c>
      <c r="K3945" s="6">
        <f>+OPERAC[[#This Row],[cantidad]]</f>
        <v/>
      </c>
      <c r="L3945" s="6" t="n">
        <v>941.701</v>
      </c>
      <c r="M3945" s="7">
        <f>IF(N3945=0,+L3945+H3945,0)</f>
        <v/>
      </c>
      <c r="N3945" s="7">
        <f>IF((+G3945-K3945)=0,0,+G3945-K3945)</f>
        <v/>
      </c>
      <c r="O3945" s="7">
        <f>IF(N3945=0,0,(L3945+H3945)/-N3945)</f>
        <v/>
      </c>
      <c r="P3945" s="7">
        <f>VLOOKUP(OPERAC[[#This Row],[especie]],[1]!ESPECIES[#All],6,0)</f>
        <v/>
      </c>
      <c r="Q3945" s="7">
        <f>IF(N3945&lt;&gt;0,P3945*N3945,0)</f>
        <v/>
      </c>
      <c r="R3945" s="8">
        <f>IF(Q3945&lt;&gt;0,Q3945+H3945+L3945,0)</f>
        <v/>
      </c>
      <c r="S3945" s="9">
        <f>VLOOKUP(OPERAC[[#This Row],[especie]],[1]!ESPECIES[#Data],9,FALSE)</f>
        <v/>
      </c>
    </row>
    <row r="3946">
      <c r="A3946" s="4" t="n">
        <v>22439</v>
      </c>
      <c r="B3946" s="5" t="n">
        <v>44532</v>
      </c>
      <c r="C3946" s="13" t="inlineStr">
        <is>
          <t>VTA</t>
        </is>
      </c>
      <c r="D3946" s="13" t="n">
        <v>32</v>
      </c>
      <c r="E3946" s="10">
        <f>IF(D3946&gt;0,VLOOKUP(OPERAC[[#This Row],[COD CART]],[1]!MatrizCortoLargoCyl[#All],3,0),"")</f>
        <v/>
      </c>
      <c r="F3946" s="13" t="inlineStr">
        <is>
          <t>COTY/CYL/10,00/18-02-22</t>
        </is>
      </c>
      <c r="G3946" s="6" t="n">
        <v>100</v>
      </c>
      <c r="H3946" s="6">
        <f>-901.599+20.838</f>
        <v/>
      </c>
      <c r="I3946" s="7">
        <f>-H3946/G3946</f>
        <v/>
      </c>
      <c r="J3946" s="11" t="n">
        <v>44608</v>
      </c>
      <c r="K3946" s="6">
        <f>+OPERAC[[#This Row],[cantidad]]</f>
        <v/>
      </c>
      <c r="L3946" s="6" t="n">
        <v>941.701</v>
      </c>
      <c r="M3946" s="7">
        <f>IF(N3946=0,+L3946+H3946,0)</f>
        <v/>
      </c>
      <c r="N3946" s="7">
        <f>IF((+G3946-K3946)=0,0,+G3946-K3946)</f>
        <v/>
      </c>
      <c r="O3946" s="7">
        <f>IF(N3946=0,0,(L3946+H3946)/-N3946)</f>
        <v/>
      </c>
      <c r="P3946" s="7">
        <f>VLOOKUP(OPERAC[[#This Row],[especie]],[1]!ESPECIES[#All],6,0)</f>
        <v/>
      </c>
      <c r="Q3946" s="7">
        <f>IF(N3946&lt;&gt;0,P3946*N3946,0)</f>
        <v/>
      </c>
      <c r="R3946" s="8">
        <f>IF(Q3946&lt;&gt;0,Q3946+H3946+L3946,0)</f>
        <v/>
      </c>
      <c r="S3946" s="9">
        <f>VLOOKUP(OPERAC[[#This Row],[especie]],[1]!ESPECIES[#Data],9,FALSE)</f>
        <v/>
      </c>
    </row>
    <row r="3947">
      <c r="A3947" s="4" t="n">
        <v>13190</v>
      </c>
      <c r="B3947" s="5" t="n">
        <v>44532</v>
      </c>
      <c r="C3947" s="13" t="inlineStr">
        <is>
          <t>VTA</t>
        </is>
      </c>
      <c r="D3947" s="13" t="n">
        <v>32</v>
      </c>
      <c r="E3947" s="10">
        <f>IF(D3947&gt;0,VLOOKUP(OPERAC[[#This Row],[COD CART]],[1]!MatrizCortoLargoCyl[#All],3,0),"")</f>
        <v/>
      </c>
      <c r="F3947" s="13" t="inlineStr">
        <is>
          <t>COTY/CYL/10,00/18-02-22</t>
        </is>
      </c>
      <c r="G3947" s="6" t="n">
        <v>100</v>
      </c>
      <c r="H3947" s="6">
        <f>-901.599+20.83</f>
        <v/>
      </c>
      <c r="I3947" s="7">
        <f>-H3947/G3947</f>
        <v/>
      </c>
      <c r="J3947" s="11" t="n">
        <v>44608</v>
      </c>
      <c r="K3947" s="6">
        <f>+OPERAC[[#This Row],[cantidad]]</f>
        <v/>
      </c>
      <c r="L3947" s="6" t="n">
        <v>941.701</v>
      </c>
      <c r="M3947" s="7">
        <f>IF(N3947=0,+L3947+H3947,0)</f>
        <v/>
      </c>
      <c r="N3947" s="7">
        <f>IF((+G3947-K3947)=0,0,+G3947-K3947)</f>
        <v/>
      </c>
      <c r="O3947" s="7">
        <f>IF(N3947=0,0,(L3947+H3947)/-N3947)</f>
        <v/>
      </c>
      <c r="P3947" s="7">
        <f>VLOOKUP(OPERAC[[#This Row],[especie]],[1]!ESPECIES[#All],6,0)</f>
        <v/>
      </c>
      <c r="Q3947" s="7">
        <f>IF(N3947&lt;&gt;0,P3947*N3947,0)</f>
        <v/>
      </c>
      <c r="R3947" s="8">
        <f>IF(Q3947&lt;&gt;0,Q3947+H3947+L3947,0)</f>
        <v/>
      </c>
      <c r="S3947" s="9">
        <f>VLOOKUP(OPERAC[[#This Row],[especie]],[1]!ESPECIES[#Data],9,FALSE)</f>
        <v/>
      </c>
    </row>
    <row r="3948">
      <c r="A3948" s="4" t="n">
        <v>12619</v>
      </c>
      <c r="B3948" s="5" t="n">
        <v>44550</v>
      </c>
      <c r="C3948" s="13" t="inlineStr">
        <is>
          <t>VTA</t>
        </is>
      </c>
      <c r="D3948" s="13" t="n">
        <v>40</v>
      </c>
      <c r="E3948" s="10">
        <f>IF(D3948&gt;0,VLOOKUP(OPERAC[[#This Row],[COD CART]],[1]!MatrizCortoLargoCyl[#All],3,0),"")</f>
        <v/>
      </c>
      <c r="F3948" s="13" t="inlineStr">
        <is>
          <t>SMH</t>
        </is>
      </c>
      <c r="G3948" s="6" t="n">
        <v>3</v>
      </c>
      <c r="H3948" s="6" t="n">
        <v>-881.9191199999999</v>
      </c>
      <c r="I3948" s="7">
        <f>-H3948/G3948</f>
        <v/>
      </c>
      <c r="J3948" s="11" t="n">
        <v>44574</v>
      </c>
      <c r="K3948" s="6">
        <f>+OPERAC[[#This Row],[cantidad]]</f>
        <v/>
      </c>
      <c r="L3948" s="6">
        <f>+OPERAC[[#This Row],[cantidad venta]]*306.843</f>
        <v/>
      </c>
      <c r="M3948" s="7">
        <f>IF(N3948=0,+L3948+H3948,0)</f>
        <v/>
      </c>
      <c r="N3948" s="7">
        <f>IF((+G3948-K3948)=0,0,+G3948-K3948)</f>
        <v/>
      </c>
      <c r="O3948" s="7">
        <f>IF(N3948=0,0,(L3948+H3948)/-N3948)</f>
        <v/>
      </c>
      <c r="P3948" s="7">
        <f>VLOOKUP(OPERAC[[#This Row],[especie]],[1]!ESPECIES[#All],6,0)</f>
        <v/>
      </c>
      <c r="Q3948" s="7">
        <f>IF(N3948&lt;&gt;0,P3948*N3948,0)</f>
        <v/>
      </c>
      <c r="R3948" s="8">
        <f>IF(Q3948&lt;&gt;0,Q3948+H3948+L3948,0)</f>
        <v/>
      </c>
      <c r="S3948" s="9">
        <f>VLOOKUP(OPERAC[[#This Row],[especie]],[1]!ESPECIES[#Data],9,FALSE)</f>
        <v/>
      </c>
    </row>
    <row r="3949">
      <c r="A3949" s="4" t="n">
        <v>2257</v>
      </c>
      <c r="B3949" s="5" t="n">
        <v>44648</v>
      </c>
      <c r="C3949" s="13" t="inlineStr">
        <is>
          <t>VTA</t>
        </is>
      </c>
      <c r="D3949" s="13" t="n">
        <v>42</v>
      </c>
      <c r="E3949" s="10">
        <f>IF(D3949&gt;0,VLOOKUP(OPERAC[[#This Row],[COD CART]],[1]!MatrizCortoLargoCyl[#All],3,0),"")</f>
        <v/>
      </c>
      <c r="F3949" s="13" t="inlineStr">
        <is>
          <t>ADBE</t>
        </is>
      </c>
      <c r="G3949" s="6" t="n">
        <v>2</v>
      </c>
      <c r="H3949" s="6" t="n">
        <v>-882.8249</v>
      </c>
      <c r="I3949" s="7">
        <f>-H3949/G3949</f>
        <v/>
      </c>
      <c r="J3949" s="11" t="n">
        <v>44687</v>
      </c>
      <c r="K3949" s="6">
        <f>+OPERAC[[#This Row],[cantidad]]</f>
        <v/>
      </c>
      <c r="L3949" s="6" t="n">
        <v>772.84</v>
      </c>
      <c r="M3949" s="7">
        <f>IF(N3949=0,+L3949+H3949,0)</f>
        <v/>
      </c>
      <c r="N3949" s="7">
        <f>IF((+G3949-K3949)=0,0,+G3949-K3949)</f>
        <v/>
      </c>
      <c r="O3949" s="7">
        <f>IF(N3949=0,0,(L3949+H3949)/-N3949)</f>
        <v/>
      </c>
      <c r="P3949" s="7">
        <f>VLOOKUP(OPERAC[[#This Row],[especie]],[1]!ESPECIES[#All],6,0)</f>
        <v/>
      </c>
      <c r="Q3949" s="7">
        <f>IF(N3949&lt;&gt;0,P3949*N3949,0)</f>
        <v/>
      </c>
      <c r="R3949" s="8">
        <f>IF(Q3949&lt;&gt;0,Q3949+H3949+L3949,0)</f>
        <v/>
      </c>
      <c r="S3949" s="9">
        <f>VLOOKUP(OPERAC[[#This Row],[especie]],[1]!ESPECIES[#Data],9,FALSE)</f>
        <v/>
      </c>
    </row>
    <row r="3950">
      <c r="A3950" s="4" t="n">
        <v>13185</v>
      </c>
      <c r="B3950" s="5" t="n">
        <v>44648</v>
      </c>
      <c r="C3950" s="13" t="inlineStr">
        <is>
          <t>VTA</t>
        </is>
      </c>
      <c r="D3950" s="13" t="n">
        <v>42</v>
      </c>
      <c r="E3950" s="10">
        <f>IF(D3950&gt;0,VLOOKUP(OPERAC[[#This Row],[COD CART]],[1]!MatrizCortoLargoCyl[#All],3,0),"")</f>
        <v/>
      </c>
      <c r="F3950" s="13" t="inlineStr">
        <is>
          <t>ADBE</t>
        </is>
      </c>
      <c r="G3950" s="6" t="n">
        <v>2</v>
      </c>
      <c r="H3950" s="6" t="n">
        <v>-882.8249</v>
      </c>
      <c r="I3950" s="7">
        <f>-H3950/G3950</f>
        <v/>
      </c>
      <c r="J3950" s="11" t="n">
        <v>44687</v>
      </c>
      <c r="K3950" s="6">
        <f>+OPERAC[[#This Row],[cantidad]]</f>
        <v/>
      </c>
      <c r="L3950" s="6" t="n">
        <v>772.84</v>
      </c>
      <c r="M3950" s="7">
        <f>IF(N3950=0,+L3950+H3950,0)</f>
        <v/>
      </c>
      <c r="N3950" s="7">
        <f>IF((+G3950-K3950)=0,0,+G3950-K3950)</f>
        <v/>
      </c>
      <c r="O3950" s="7">
        <f>IF(N3950=0,0,(L3950+H3950)/-N3950)</f>
        <v/>
      </c>
      <c r="P3950" s="7">
        <f>VLOOKUP(OPERAC[[#This Row],[especie]],[1]!ESPECIES[#All],6,0)</f>
        <v/>
      </c>
      <c r="Q3950" s="7">
        <f>IF(N3950&lt;&gt;0,P3950*N3950,0)</f>
        <v/>
      </c>
      <c r="R3950" s="8">
        <f>IF(Q3950&lt;&gt;0,Q3950+H3950+L3950,0)</f>
        <v/>
      </c>
      <c r="S3950" s="9">
        <f>VLOOKUP(OPERAC[[#This Row],[especie]],[1]!ESPECIES[#Data],9,FALSE)</f>
        <v/>
      </c>
    </row>
    <row r="3951">
      <c r="A3951" s="4" t="n">
        <v>16780</v>
      </c>
      <c r="B3951" s="5" t="n">
        <v>44655</v>
      </c>
      <c r="C3951" s="13" t="inlineStr">
        <is>
          <t>VTA</t>
        </is>
      </c>
      <c r="D3951" s="13" t="n">
        <v>42</v>
      </c>
      <c r="E3951" s="10">
        <f>IF(D3951&gt;0,VLOOKUP(OPERAC[[#This Row],[COD CART]],[1]!MatrizCortoLargoCyl[#All],3,0),"")</f>
        <v/>
      </c>
      <c r="F3951" s="13" t="inlineStr">
        <is>
          <t>AMD</t>
        </is>
      </c>
      <c r="G3951" s="6" t="n">
        <v>8</v>
      </c>
      <c r="H3951" s="6" t="n">
        <v>-884.9612</v>
      </c>
      <c r="I3951" s="7">
        <f>-H3951/G3951</f>
        <v/>
      </c>
      <c r="J3951" s="11" t="n">
        <v>44693</v>
      </c>
      <c r="K3951" s="6">
        <f>+OPERAC[[#This Row],[cantidad]]</f>
        <v/>
      </c>
      <c r="L3951" s="6">
        <f>+OPERAC[[#This Row],[cantidad venta]]*85.26</f>
        <v/>
      </c>
      <c r="M3951" s="7">
        <f>IF(N3951=0,+L3951+H3951,0)</f>
        <v/>
      </c>
      <c r="N3951" s="7">
        <f>IF((+G3951-K3951)=0,0,+G3951-K3951)</f>
        <v/>
      </c>
      <c r="O3951" s="7">
        <f>IF(N3951=0,0,(L3951+H3951)/-N3951)</f>
        <v/>
      </c>
      <c r="P3951" s="7">
        <f>VLOOKUP(OPERAC[[#This Row],[especie]],[1]!ESPECIES[#All],6,0)</f>
        <v/>
      </c>
      <c r="Q3951" s="7">
        <f>IF(N3951&lt;&gt;0,P3951*N3951,0)</f>
        <v/>
      </c>
      <c r="R3951" s="8">
        <f>IF(Q3951&lt;&gt;0,Q3951+H3951+L3951,0)</f>
        <v/>
      </c>
      <c r="S3951" s="9">
        <f>VLOOKUP(OPERAC[[#This Row],[especie]],[1]!ESPECIES[#Data],9,FALSE)</f>
        <v/>
      </c>
    </row>
    <row r="3952">
      <c r="A3952" s="4" t="n">
        <v>18662</v>
      </c>
      <c r="B3952" s="5" t="n">
        <v>43880</v>
      </c>
      <c r="C3952" s="13" t="inlineStr">
        <is>
          <t>VTA</t>
        </is>
      </c>
      <c r="D3952" s="13" t="n">
        <v>41</v>
      </c>
      <c r="E3952" s="10">
        <f>IF(D3952&gt;0,VLOOKUP(OPERAC[[#This Row],[COD CART]],[1]!MatrizCortoLargoCyl[#All],3,0),"")</f>
        <v/>
      </c>
      <c r="F3952" s="13" t="inlineStr">
        <is>
          <t>BBAR</t>
        </is>
      </c>
      <c r="G3952" s="6" t="n">
        <v>200</v>
      </c>
      <c r="H3952" s="6" t="n">
        <v>-888.0400000000002</v>
      </c>
      <c r="I3952" s="7" t="n">
        <v>4.440200000000001</v>
      </c>
      <c r="J3952" s="5" t="n"/>
      <c r="K3952" s="6" t="n"/>
      <c r="L3952" s="6" t="n"/>
      <c r="M3952" s="7">
        <f>IF(N3952=0,+L3952+H3952,0)</f>
        <v/>
      </c>
      <c r="N3952" s="7">
        <f>IF((+G3952-K3952)=0,0,+G3952-K3952)</f>
        <v/>
      </c>
      <c r="O3952" s="7">
        <f>IF(N3952=0,0,(L3952+H3952)/-N3952)</f>
        <v/>
      </c>
      <c r="P3952" s="7">
        <f>VLOOKUP(OPERAC[[#This Row],[especie]],[1]!ESPECIES[#All],6,0)</f>
        <v/>
      </c>
      <c r="Q3952" s="7">
        <f>IF(N3952&lt;&gt;0,P3952*N3952,0)</f>
        <v/>
      </c>
      <c r="R3952" s="8">
        <f>IF(Q3952&lt;&gt;0,Q3952+H3952+L3952,0)</f>
        <v/>
      </c>
      <c r="S3952" s="9">
        <f>VLOOKUP(OPERAC[[#This Row],[especie]],[1]!ESPECIES[#Data],9,FALSE)</f>
        <v/>
      </c>
    </row>
    <row r="3953">
      <c r="A3953" s="4" t="n">
        <v>2194</v>
      </c>
      <c r="B3953" s="5" t="n">
        <v>44147</v>
      </c>
      <c r="C3953" s="13" t="inlineStr">
        <is>
          <t>VTA</t>
        </is>
      </c>
      <c r="D3953" s="13" t="n">
        <v>41</v>
      </c>
      <c r="E3953" s="10">
        <f>IF(D3953&gt;0,VLOOKUP(OPERAC[[#This Row],[COD CART]],[1]!MatrizCortoLargoCyl[#All],3,0),"")</f>
        <v/>
      </c>
      <c r="F3953" s="13" t="inlineStr">
        <is>
          <t>GLD</t>
        </is>
      </c>
      <c r="G3953" s="6" t="n">
        <v>5</v>
      </c>
      <c r="H3953" s="6" t="n">
        <v>-888.6448</v>
      </c>
      <c r="I3953" s="7">
        <f>-H3953/G3953</f>
        <v/>
      </c>
      <c r="J3953" s="11" t="n">
        <v>44623</v>
      </c>
      <c r="K3953" s="6" t="n">
        <v>5</v>
      </c>
      <c r="L3953" s="6" t="n">
        <v>892.785</v>
      </c>
      <c r="M3953" s="7">
        <f>IF(N3953=0,+L3953+H3953,0)</f>
        <v/>
      </c>
      <c r="N3953" s="7">
        <f>IF((+G3953-K3953)=0,0,+G3953-K3953)</f>
        <v/>
      </c>
      <c r="O3953" s="7">
        <f>IF(N3953=0,0,(L3953+H3953)/-N3953)</f>
        <v/>
      </c>
      <c r="P3953" s="7">
        <f>VLOOKUP(OPERAC[[#This Row],[especie]],[1]!ESPECIES[#All],6,0)</f>
        <v/>
      </c>
      <c r="Q3953" s="7">
        <f>IF(N3953&lt;&gt;0,P3953*N3953,0)</f>
        <v/>
      </c>
      <c r="R3953" s="8">
        <f>IF(Q3953&lt;&gt;0,Q3953+H3953+L3953,0)</f>
        <v/>
      </c>
      <c r="S3953" s="9">
        <f>VLOOKUP(OPERAC[[#This Row],[especie]],[1]!ESPECIES[#Data],9,FALSE)</f>
        <v/>
      </c>
    </row>
    <row r="3954">
      <c r="A3954" s="4" t="n">
        <v>2194</v>
      </c>
      <c r="B3954" s="5" t="n">
        <v>44648</v>
      </c>
      <c r="C3954" s="13" t="inlineStr">
        <is>
          <t>VTA</t>
        </is>
      </c>
      <c r="D3954" s="13" t="n">
        <v>42</v>
      </c>
      <c r="E3954" s="10">
        <f>IF(D3954&gt;0,VLOOKUP(OPERAC[[#This Row],[COD CART]],[1]!MatrizCortoLargoCyl[#All],3,0),"")</f>
        <v/>
      </c>
      <c r="F3954" s="13" t="inlineStr">
        <is>
          <t>FB</t>
        </is>
      </c>
      <c r="G3954" s="6" t="n">
        <v>4</v>
      </c>
      <c r="H3954" s="6" t="n">
        <v>-888.6617199999999</v>
      </c>
      <c r="I3954" s="7">
        <f>-H3954/G3954</f>
        <v/>
      </c>
      <c r="J3954" s="11" t="n">
        <v>44671</v>
      </c>
      <c r="K3954" s="6">
        <f>+OPERAC[[#This Row],[cantidad]]</f>
        <v/>
      </c>
      <c r="L3954" s="6">
        <f>+OPERAC[[#This Row],[cantidad venta]]*213.173</f>
        <v/>
      </c>
      <c r="M3954" s="7">
        <f>IF(N3954=0,+L3954+H3954,0)</f>
        <v/>
      </c>
      <c r="N3954" s="7">
        <f>IF((+G3954-K3954)=0,0,+G3954-K3954)</f>
        <v/>
      </c>
      <c r="O3954" s="7">
        <f>IF(N3954=0,0,(L3954+H3954)/-N3954)</f>
        <v/>
      </c>
      <c r="P3954" s="7">
        <f>VLOOKUP(OPERAC[[#This Row],[especie]],[1]!ESPECIES[#All],6,0)</f>
        <v/>
      </c>
      <c r="Q3954" s="7">
        <f>IF(N3954&lt;&gt;0,P3954*N3954,0)</f>
        <v/>
      </c>
      <c r="R3954" s="8">
        <f>IF(Q3954&lt;&gt;0,Q3954+H3954+L3954,0)</f>
        <v/>
      </c>
      <c r="S3954" s="9">
        <f>VLOOKUP(OPERAC[[#This Row],[especie]],[1]!ESPECIES[#Data],9,FALSE)</f>
        <v/>
      </c>
    </row>
    <row r="3955">
      <c r="A3955" s="4" t="n">
        <v>16780</v>
      </c>
      <c r="B3955" s="5" t="n">
        <v>44648</v>
      </c>
      <c r="C3955" s="13" t="inlineStr">
        <is>
          <t>VTA</t>
        </is>
      </c>
      <c r="D3955" s="13" t="n">
        <v>42</v>
      </c>
      <c r="E3955" s="10">
        <f>IF(D3955&gt;0,VLOOKUP(OPERAC[[#This Row],[COD CART]],[1]!MatrizCortoLargoCyl[#All],3,0),"")</f>
        <v/>
      </c>
      <c r="F3955" s="13" t="inlineStr">
        <is>
          <t>FB</t>
        </is>
      </c>
      <c r="G3955" s="6" t="n">
        <v>4</v>
      </c>
      <c r="H3955" s="6" t="n">
        <v>-888.6617199999999</v>
      </c>
      <c r="I3955" s="7">
        <f>-H3955/G3955</f>
        <v/>
      </c>
      <c r="J3955" s="11" t="n">
        <v>44671</v>
      </c>
      <c r="K3955" s="6">
        <f>+OPERAC[[#This Row],[cantidad]]</f>
        <v/>
      </c>
      <c r="L3955" s="6">
        <f>+OPERAC[[#This Row],[cantidad venta]]*213.173</f>
        <v/>
      </c>
      <c r="M3955" s="7">
        <f>IF(N3955=0,+L3955+H3955,0)</f>
        <v/>
      </c>
      <c r="N3955" s="7">
        <f>IF((+G3955-K3955)=0,0,+G3955-K3955)</f>
        <v/>
      </c>
      <c r="O3955" s="7">
        <f>IF(N3955=0,0,(L3955+H3955)/-N3955)</f>
        <v/>
      </c>
      <c r="P3955" s="7">
        <f>VLOOKUP(OPERAC[[#This Row],[especie]],[1]!ESPECIES[#All],6,0)</f>
        <v/>
      </c>
      <c r="Q3955" s="7">
        <f>IF(N3955&lt;&gt;0,P3955*N3955,0)</f>
        <v/>
      </c>
      <c r="R3955" s="8">
        <f>IF(Q3955&lt;&gt;0,Q3955+H3955+L3955,0)</f>
        <v/>
      </c>
      <c r="S3955" s="9">
        <f>VLOOKUP(OPERAC[[#This Row],[especie]],[1]!ESPECIES[#Data],9,FALSE)</f>
        <v/>
      </c>
    </row>
    <row r="3956">
      <c r="A3956" s="4" t="n">
        <v>22393</v>
      </c>
      <c r="B3956" s="5" t="n">
        <v>44652</v>
      </c>
      <c r="C3956" s="13" t="inlineStr">
        <is>
          <t>VTA</t>
        </is>
      </c>
      <c r="D3956" s="13" t="n">
        <v>41</v>
      </c>
      <c r="E3956" s="10">
        <f>IF(D3956&gt;0,VLOOKUP(OPERAC[[#This Row],[COD CART]],[1]!MatrizCortoLargoCyl[#All],3,0),"")</f>
        <v/>
      </c>
      <c r="F3956" s="13" t="inlineStr">
        <is>
          <t>SATL</t>
        </is>
      </c>
      <c r="G3956" s="6" t="n">
        <v>100</v>
      </c>
      <c r="H3956" s="6" t="n">
        <v>-890.064</v>
      </c>
      <c r="I3956" s="7">
        <f>-H3956/G3956</f>
        <v/>
      </c>
      <c r="J3956" s="11" t="n">
        <v>44657</v>
      </c>
      <c r="K3956" s="6" t="n">
        <v>100</v>
      </c>
      <c r="L3956" s="6" t="n">
        <v>910.628</v>
      </c>
      <c r="M3956" s="7">
        <f>IF(N3956=0,+L3956+H3956,0)</f>
        <v/>
      </c>
      <c r="N3956" s="7">
        <f>IF((+G3956-K3956)=0,0,+G3956-K3956)</f>
        <v/>
      </c>
      <c r="O3956" s="7">
        <f>IF(N3956=0,0,(L3956+H3956)/-N3956)</f>
        <v/>
      </c>
      <c r="P3956" s="7">
        <f>VLOOKUP(OPERAC[[#This Row],[especie]],[1]!ESPECIES[#All],6,0)</f>
        <v/>
      </c>
      <c r="Q3956" s="7">
        <f>IF(N3956&lt;&gt;0,P3956*N3956,0)</f>
        <v/>
      </c>
      <c r="R3956" s="8">
        <f>IF(Q3956&lt;&gt;0,Q3956+H3956+L3956,0)</f>
        <v/>
      </c>
      <c r="S3956" s="9">
        <f>VLOOKUP(OPERAC[[#This Row],[especie]],[1]!ESPECIES[#Data],9,FALSE)</f>
        <v/>
      </c>
    </row>
    <row r="3957">
      <c r="A3957" s="4" t="n">
        <v>6578</v>
      </c>
      <c r="B3957" s="5" t="n">
        <v>44649</v>
      </c>
      <c r="C3957" s="13" t="inlineStr">
        <is>
          <t>VTA</t>
        </is>
      </c>
      <c r="D3957" s="13" t="n">
        <v>42</v>
      </c>
      <c r="E3957" s="10">
        <f>IF(D3957&gt;0,VLOOKUP(OPERAC[[#This Row],[COD CART]],[1]!MatrizCortoLargoCyl[#All],3,0),"")</f>
        <v/>
      </c>
      <c r="F3957" s="13" t="inlineStr">
        <is>
          <t>CRESY</t>
        </is>
      </c>
      <c r="G3957" s="6" t="n">
        <v>110</v>
      </c>
      <c r="H3957" s="6" t="n">
        <v>-890.1402399999999</v>
      </c>
      <c r="I3957" s="7">
        <f>-H3957/G3957</f>
        <v/>
      </c>
      <c r="J3957" s="11" t="n">
        <v>44657</v>
      </c>
      <c r="K3957" s="6">
        <f>+OPERAC[[#This Row],[cantidad]]</f>
        <v/>
      </c>
      <c r="L3957" s="6">
        <f>+OPERAC[[#This Row],[cantidad venta]]*7.664</f>
        <v/>
      </c>
      <c r="M3957" s="7">
        <f>IF(N3957=0,+L3957+H3957,0)</f>
        <v/>
      </c>
      <c r="N3957" s="7">
        <f>IF((+G3957-K3957)=0,0,+G3957-K3957)</f>
        <v/>
      </c>
      <c r="O3957" s="7">
        <f>IF(N3957=0,0,(L3957+H3957)/-N3957)</f>
        <v/>
      </c>
      <c r="P3957" s="7">
        <f>VLOOKUP(OPERAC[[#This Row],[especie]],[1]!ESPECIES[#All],6,0)</f>
        <v/>
      </c>
      <c r="Q3957" s="7">
        <f>IF(N3957&lt;&gt;0,P3957*N3957,0)</f>
        <v/>
      </c>
      <c r="R3957" s="8">
        <f>IF(Q3957&lt;&gt;0,Q3957+H3957+L3957,0)</f>
        <v/>
      </c>
      <c r="S3957" s="9">
        <f>VLOOKUP(OPERAC[[#This Row],[especie]],[1]!ESPECIES[#Data],9,FALSE)</f>
        <v/>
      </c>
    </row>
    <row r="3958">
      <c r="A3958" s="4" t="n">
        <v>15194</v>
      </c>
      <c r="B3958" s="5" t="n">
        <v>44649</v>
      </c>
      <c r="C3958" s="13" t="inlineStr">
        <is>
          <t>VTA</t>
        </is>
      </c>
      <c r="D3958" s="13" t="n">
        <v>42</v>
      </c>
      <c r="E3958" s="10">
        <f>IF(D3958&gt;0,VLOOKUP(OPERAC[[#This Row],[COD CART]],[1]!MatrizCortoLargoCyl[#All],3,0),"")</f>
        <v/>
      </c>
      <c r="F3958" s="13" t="inlineStr">
        <is>
          <t>CRESY</t>
        </is>
      </c>
      <c r="G3958" s="6" t="n">
        <v>110</v>
      </c>
      <c r="H3958" s="6" t="n">
        <v>-890.1402399999999</v>
      </c>
      <c r="I3958" s="7">
        <f>-H3958/G3958</f>
        <v/>
      </c>
      <c r="J3958" s="11" t="n">
        <v>44657</v>
      </c>
      <c r="K3958" s="6">
        <f>+OPERAC[[#This Row],[cantidad]]</f>
        <v/>
      </c>
      <c r="L3958" s="6">
        <f>+OPERAC[[#This Row],[cantidad venta]]*7.664</f>
        <v/>
      </c>
      <c r="M3958" s="7">
        <f>IF(N3958=0,+L3958+H3958,0)</f>
        <v/>
      </c>
      <c r="N3958" s="7">
        <f>IF((+G3958-K3958)=0,0,+G3958-K3958)</f>
        <v/>
      </c>
      <c r="O3958" s="7">
        <f>IF(N3958=0,0,(L3958+H3958)/-N3958)</f>
        <v/>
      </c>
      <c r="P3958" s="7">
        <f>VLOOKUP(OPERAC[[#This Row],[especie]],[1]!ESPECIES[#All],6,0)</f>
        <v/>
      </c>
      <c r="Q3958" s="7">
        <f>IF(N3958&lt;&gt;0,P3958*N3958,0)</f>
        <v/>
      </c>
      <c r="R3958" s="8">
        <f>IF(Q3958&lt;&gt;0,Q3958+H3958+L3958,0)</f>
        <v/>
      </c>
      <c r="S3958" s="9">
        <f>VLOOKUP(OPERAC[[#This Row],[especie]],[1]!ESPECIES[#Data],9,FALSE)</f>
        <v/>
      </c>
    </row>
    <row r="3959">
      <c r="A3959" s="4" t="n">
        <v>25070</v>
      </c>
      <c r="B3959" s="5" t="n">
        <v>44649</v>
      </c>
      <c r="C3959" s="13" t="inlineStr">
        <is>
          <t>VTA</t>
        </is>
      </c>
      <c r="D3959" s="13" t="n">
        <v>42</v>
      </c>
      <c r="E3959" s="10">
        <f>IF(D3959&gt;0,VLOOKUP(OPERAC[[#This Row],[COD CART]],[1]!MatrizCortoLargoCyl[#All],3,0),"")</f>
        <v/>
      </c>
      <c r="F3959" s="13" t="inlineStr">
        <is>
          <t>CRESY</t>
        </is>
      </c>
      <c r="G3959" s="6" t="n">
        <v>110</v>
      </c>
      <c r="H3959" s="6" t="n">
        <v>-890.1402399999999</v>
      </c>
      <c r="I3959" s="7">
        <f>-H3959/G3959</f>
        <v/>
      </c>
      <c r="J3959" s="11" t="n">
        <v>44657</v>
      </c>
      <c r="K3959" s="6">
        <f>+OPERAC[[#This Row],[cantidad]]</f>
        <v/>
      </c>
      <c r="L3959" s="6">
        <f>+OPERAC[[#This Row],[cantidad venta]]*7.664</f>
        <v/>
      </c>
      <c r="M3959" s="7">
        <f>IF(N3959=0,+L3959+H3959,0)</f>
        <v/>
      </c>
      <c r="N3959" s="7">
        <f>IF((+G3959-K3959)=0,0,+G3959-K3959)</f>
        <v/>
      </c>
      <c r="O3959" s="7">
        <f>IF(N3959=0,0,(L3959+H3959)/-N3959)</f>
        <v/>
      </c>
      <c r="P3959" s="7">
        <f>VLOOKUP(OPERAC[[#This Row],[especie]],[1]!ESPECIES[#All],6,0)</f>
        <v/>
      </c>
      <c r="Q3959" s="7">
        <f>IF(N3959&lt;&gt;0,P3959*N3959,0)</f>
        <v/>
      </c>
      <c r="R3959" s="8">
        <f>IF(Q3959&lt;&gt;0,Q3959+H3959+L3959,0)</f>
        <v/>
      </c>
      <c r="S3959" s="9">
        <f>VLOOKUP(OPERAC[[#This Row],[especie]],[1]!ESPECIES[#Data],9,FALSE)</f>
        <v/>
      </c>
    </row>
    <row r="3960">
      <c r="A3960" s="4" t="n">
        <v>2218</v>
      </c>
      <c r="B3960" s="5" t="n">
        <v>44536</v>
      </c>
      <c r="C3960" s="13" t="inlineStr">
        <is>
          <t>VTA</t>
        </is>
      </c>
      <c r="D3960" s="13" t="n">
        <v>43</v>
      </c>
      <c r="E3960" s="10">
        <f>IF(D3960&gt;0,VLOOKUP(OPERAC[[#This Row],[COD CART]],[1]!MatrizCortoLargoCyl[#All],3,0),"")</f>
        <v/>
      </c>
      <c r="F3960" s="13" t="inlineStr">
        <is>
          <t>XSPA/CYL-PUT/1,50/20-01-23</t>
        </is>
      </c>
      <c r="G3960" s="6" t="n">
        <v>2000</v>
      </c>
      <c r="H3960" s="6">
        <f>-0.4462*OPERAC[[#This Row],[cantidad]]</f>
        <v/>
      </c>
      <c r="I3960" s="7">
        <f>-H3960/G3960</f>
        <v/>
      </c>
      <c r="J3960" s="11" t="n"/>
      <c r="K3960" s="6" t="n"/>
      <c r="L3960" s="6" t="n"/>
      <c r="M3960" s="7">
        <f>IF(N3960=0,+L3960+H3960,0)</f>
        <v/>
      </c>
      <c r="N3960" s="7">
        <f>IF((+G3960-K3960)=0,0,+G3960-K3960)</f>
        <v/>
      </c>
      <c r="O3960" s="7">
        <f>IF(N3960=0,0,(L3960+H3960)/-N3960)</f>
        <v/>
      </c>
      <c r="P3960" s="7">
        <f>VLOOKUP(OPERAC[[#This Row],[especie]],[1]!ESPECIES[#All],6,0)</f>
        <v/>
      </c>
      <c r="Q3960" s="7">
        <f>IF(N3960&lt;&gt;0,P3960*N3960,0)</f>
        <v/>
      </c>
      <c r="R3960" s="8">
        <f>IF(Q3960&lt;&gt;0,Q3960+H3960+L3960,0)</f>
        <v/>
      </c>
      <c r="S3960" s="9">
        <f>VLOOKUP(OPERAC[[#This Row],[especie]],[1]!ESPECIES[#Data],9,FALSE)</f>
        <v/>
      </c>
    </row>
    <row r="3961">
      <c r="A3961" s="4" t="n">
        <v>3728</v>
      </c>
      <c r="B3961" s="5" t="n">
        <v>44536</v>
      </c>
      <c r="C3961" s="13" t="inlineStr">
        <is>
          <t>CPR</t>
        </is>
      </c>
      <c r="D3961" s="13" t="n">
        <v>43</v>
      </c>
      <c r="E3961" s="10">
        <f>IF(D3961&gt;0,VLOOKUP(OPERAC[[#This Row],[COD CART]],[1]!MatrizCortoLargoCyl[#All],3,0),"")</f>
        <v/>
      </c>
      <c r="F3961" s="13" t="inlineStr">
        <is>
          <t>XSPA/CYL-PUT/1,50/20-01-23</t>
        </is>
      </c>
      <c r="G3961" s="6" t="n">
        <v>2000</v>
      </c>
      <c r="H3961" s="6">
        <f>-0.4462*OPERAC[[#This Row],[cantidad]]</f>
        <v/>
      </c>
      <c r="I3961" s="7">
        <f>-H3961/G3961</f>
        <v/>
      </c>
      <c r="J3961" s="11" t="n"/>
      <c r="K3961" s="6" t="n"/>
      <c r="L3961" s="6" t="n"/>
      <c r="M3961" s="7">
        <f>IF(N3961=0,+L3961+H3961,0)</f>
        <v/>
      </c>
      <c r="N3961" s="7">
        <f>IF((+G3961-K3961)=0,0,+G3961-K3961)</f>
        <v/>
      </c>
      <c r="O3961" s="7">
        <f>IF(N3961=0,0,(L3961+H3961)/-N3961)</f>
        <v/>
      </c>
      <c r="P3961" s="7">
        <f>VLOOKUP(OPERAC[[#This Row],[especie]],[1]!ESPECIES[#All],6,0)</f>
        <v/>
      </c>
      <c r="Q3961" s="7">
        <f>IF(N3961&lt;&gt;0,P3961*N3961,0)</f>
        <v/>
      </c>
      <c r="R3961" s="8">
        <f>IF(Q3961&lt;&gt;0,Q3961+H3961+L3961,0)</f>
        <v/>
      </c>
      <c r="S3961" s="9">
        <f>VLOOKUP(OPERAC[[#This Row],[especie]],[1]!ESPECIES[#Data],9,FALSE)</f>
        <v/>
      </c>
    </row>
    <row r="3962">
      <c r="A3962" s="4" t="n">
        <v>3787</v>
      </c>
      <c r="B3962" s="5" t="n">
        <v>44536</v>
      </c>
      <c r="C3962" s="13" t="inlineStr">
        <is>
          <t>CPR</t>
        </is>
      </c>
      <c r="D3962" s="13" t="n">
        <v>43</v>
      </c>
      <c r="E3962" s="10">
        <f>IF(D3962&gt;0,VLOOKUP(OPERAC[[#This Row],[COD CART]],[1]!MatrizCortoLargoCyl[#All],3,0),"")</f>
        <v/>
      </c>
      <c r="F3962" s="13" t="inlineStr">
        <is>
          <t>XSPA/CYL-PUT/1,50/20-01-23</t>
        </is>
      </c>
      <c r="G3962" s="6" t="n">
        <v>2000</v>
      </c>
      <c r="H3962" s="6">
        <f>-0.4462*OPERAC[[#This Row],[cantidad]]</f>
        <v/>
      </c>
      <c r="I3962" s="7">
        <f>-H3962/G3962</f>
        <v/>
      </c>
      <c r="J3962" s="11" t="n"/>
      <c r="K3962" s="6" t="n"/>
      <c r="L3962" s="6" t="n"/>
      <c r="M3962" s="7">
        <f>IF(N3962=0,+L3962+H3962,0)</f>
        <v/>
      </c>
      <c r="N3962" s="7">
        <f>IF((+G3962-K3962)=0,0,+G3962-K3962)</f>
        <v/>
      </c>
      <c r="O3962" s="7">
        <f>IF(N3962=0,0,(L3962+H3962)/-N3962)</f>
        <v/>
      </c>
      <c r="P3962" s="7">
        <f>VLOOKUP(OPERAC[[#This Row],[especie]],[1]!ESPECIES[#All],6,0)</f>
        <v/>
      </c>
      <c r="Q3962" s="7">
        <f>IF(N3962&lt;&gt;0,P3962*N3962,0)</f>
        <v/>
      </c>
      <c r="R3962" s="8">
        <f>IF(Q3962&lt;&gt;0,Q3962+H3962+L3962,0)</f>
        <v/>
      </c>
      <c r="S3962" s="9">
        <f>VLOOKUP(OPERAC[[#This Row],[especie]],[1]!ESPECIES[#Data],9,FALSE)</f>
        <v/>
      </c>
    </row>
    <row r="3963">
      <c r="A3963" s="4" t="n">
        <v>9195</v>
      </c>
      <c r="B3963" s="5" t="n">
        <v>44536</v>
      </c>
      <c r="C3963" s="13" t="inlineStr">
        <is>
          <t>CPR</t>
        </is>
      </c>
      <c r="D3963" s="13" t="n">
        <v>43</v>
      </c>
      <c r="E3963" s="10">
        <f>IF(D3963&gt;0,VLOOKUP(OPERAC[[#This Row],[COD CART]],[1]!MatrizCortoLargoCyl[#All],3,0),"")</f>
        <v/>
      </c>
      <c r="F3963" s="13" t="inlineStr">
        <is>
          <t>XSPA/CYL-PUT/1,50/20-01-23</t>
        </is>
      </c>
      <c r="G3963" s="6" t="n">
        <v>2000</v>
      </c>
      <c r="H3963" s="6">
        <f>-0.4462*OPERAC[[#This Row],[cantidad]]</f>
        <v/>
      </c>
      <c r="I3963" s="7">
        <f>-H3963/G3963</f>
        <v/>
      </c>
      <c r="J3963" s="11" t="n"/>
      <c r="K3963" s="6" t="n"/>
      <c r="L3963" s="6" t="n"/>
      <c r="M3963" s="7">
        <f>IF(N3963=0,+L3963+H3963,0)</f>
        <v/>
      </c>
      <c r="N3963" s="7">
        <f>IF((+G3963-K3963)=0,0,+G3963-K3963)</f>
        <v/>
      </c>
      <c r="O3963" s="7">
        <f>IF(N3963=0,0,(L3963+H3963)/-N3963)</f>
        <v/>
      </c>
      <c r="P3963" s="7">
        <f>VLOOKUP(OPERAC[[#This Row],[especie]],[1]!ESPECIES[#All],6,0)</f>
        <v/>
      </c>
      <c r="Q3963" s="7">
        <f>IF(N3963&lt;&gt;0,P3963*N3963,0)</f>
        <v/>
      </c>
      <c r="R3963" s="8">
        <f>IF(Q3963&lt;&gt;0,Q3963+H3963+L3963,0)</f>
        <v/>
      </c>
      <c r="S3963" s="9">
        <f>VLOOKUP(OPERAC[[#This Row],[especie]],[1]!ESPECIES[#Data],9,FALSE)</f>
        <v/>
      </c>
    </row>
    <row r="3964">
      <c r="A3964" s="4" t="n">
        <v>18662</v>
      </c>
      <c r="B3964" s="5" t="n">
        <v>43831</v>
      </c>
      <c r="C3964" s="13" t="inlineStr">
        <is>
          <t>CPR</t>
        </is>
      </c>
      <c r="D3964" s="13" t="n">
        <v>41</v>
      </c>
      <c r="E3964" s="10">
        <f>IF(D3964&gt;0,VLOOKUP(OPERAC[[#This Row],[COD CART]],[1]!MatrizCortoLargoCyl[#All],3,0),"")</f>
        <v/>
      </c>
      <c r="F3964" s="13" t="inlineStr">
        <is>
          <t>YPF</t>
        </is>
      </c>
      <c r="G3964" s="6" t="n">
        <v>100</v>
      </c>
      <c r="H3964" s="6" t="n">
        <v>-894</v>
      </c>
      <c r="I3964" s="7" t="n">
        <v>8.94</v>
      </c>
      <c r="J3964" s="5" t="n"/>
      <c r="K3964" s="6" t="n"/>
      <c r="L3964" s="6" t="n"/>
      <c r="M3964" s="7">
        <f>IF(N3964=0,+L3964+H3964,0)</f>
        <v/>
      </c>
      <c r="N3964" s="7">
        <f>IF((+G3964-K3964)=0,0,+G3964-K3964)</f>
        <v/>
      </c>
      <c r="O3964" s="7">
        <f>IF(N3964=0,0,(L3964+H3964)/-N3964)</f>
        <v/>
      </c>
      <c r="P3964" s="7">
        <f>VLOOKUP(OPERAC[[#This Row],[especie]],[1]!ESPECIES[#All],6,0)</f>
        <v/>
      </c>
      <c r="Q3964" s="7">
        <f>IF(N3964&lt;&gt;0,P3964*N3964,0)</f>
        <v/>
      </c>
      <c r="R3964" s="8">
        <f>IF(Q3964&lt;&gt;0,Q3964+H3964+L3964,0)</f>
        <v/>
      </c>
      <c r="S3964" s="9">
        <f>VLOOKUP(OPERAC[[#This Row],[especie]],[1]!ESPECIES[#Data],9,FALSE)</f>
        <v/>
      </c>
    </row>
    <row r="3965">
      <c r="A3965" s="4" t="n">
        <v>22407</v>
      </c>
      <c r="B3965" s="5" t="n">
        <v>44543</v>
      </c>
      <c r="C3965" s="13" t="inlineStr">
        <is>
          <t>CPR</t>
        </is>
      </c>
      <c r="D3965" s="13" t="n">
        <v>40</v>
      </c>
      <c r="E3965" s="10">
        <f>IF(D3965&gt;0,VLOOKUP(OPERAC[[#This Row],[COD CART]],[1]!MatrizCortoLargoCyl[#All],3,0),"")</f>
        <v/>
      </c>
      <c r="F3965" s="13" t="inlineStr">
        <is>
          <t>VIST</t>
        </is>
      </c>
      <c r="G3965" s="6" t="n">
        <v>160</v>
      </c>
      <c r="H3965" s="6" t="n">
        <v>-895.904</v>
      </c>
      <c r="I3965" s="7">
        <f>-H3965/G3965</f>
        <v/>
      </c>
      <c r="J3965" s="11" t="n">
        <v>44574</v>
      </c>
      <c r="K3965" s="6">
        <f>+OPERAC[[#This Row],[cantidad]]</f>
        <v/>
      </c>
      <c r="L3965" s="6">
        <f>+OPERAC[[#This Row],[cantidad venta]]*6.125</f>
        <v/>
      </c>
      <c r="M3965" s="7">
        <f>IF(N3965=0,+L3965+H3965,0)</f>
        <v/>
      </c>
      <c r="N3965" s="7">
        <f>IF((+G3965-K3965)=0,0,+G3965-K3965)</f>
        <v/>
      </c>
      <c r="O3965" s="7">
        <f>IF(N3965=0,0,(L3965+H3965)/-N3965)</f>
        <v/>
      </c>
      <c r="P3965" s="7">
        <f>VLOOKUP(OPERAC[[#This Row],[especie]],[1]!ESPECIES[#All],6,0)</f>
        <v/>
      </c>
      <c r="Q3965" s="7">
        <f>IF(N3965&lt;&gt;0,P3965*N3965,0)</f>
        <v/>
      </c>
      <c r="R3965" s="8">
        <f>IF(Q3965&lt;&gt;0,Q3965+H3965+L3965,0)</f>
        <v/>
      </c>
      <c r="S3965" s="9">
        <f>VLOOKUP(OPERAC[[#This Row],[especie]],[1]!ESPECIES[#Data],9,FALSE)</f>
        <v/>
      </c>
    </row>
    <row r="3966">
      <c r="A3966" s="4" t="n">
        <v>2257</v>
      </c>
      <c r="B3966" s="5" t="n">
        <v>44636</v>
      </c>
      <c r="C3966" s="13" t="inlineStr">
        <is>
          <t>CPR</t>
        </is>
      </c>
      <c r="D3966" s="13" t="n">
        <v>43</v>
      </c>
      <c r="E3966" s="10">
        <f>IF(D3966&gt;0,VLOOKUP(OPERAC[[#This Row],[COD CART]],[1]!MatrizCortoLargoCyl[#All],3,0),"")</f>
        <v/>
      </c>
      <c r="F3966" s="13" t="inlineStr">
        <is>
          <t>GMBL/CYL-PUT/1,00/20-01-23</t>
        </is>
      </c>
      <c r="G3966" s="6">
        <f>3500+1500</f>
        <v/>
      </c>
      <c r="H3966" s="6">
        <f>-571.860275-324.146</f>
        <v/>
      </c>
      <c r="I3966" s="7">
        <f>-H3966/G3966</f>
        <v/>
      </c>
      <c r="J3966" s="11" t="n"/>
      <c r="K3966" s="6" t="n"/>
      <c r="L3966" s="6" t="n"/>
      <c r="M3966" s="7">
        <f>IF(N3966=0,+L3966+H3966,0)</f>
        <v/>
      </c>
      <c r="N3966" s="7">
        <f>IF((+G3966-K3966)=0,0,+G3966-K3966)</f>
        <v/>
      </c>
      <c r="O3966" s="7">
        <f>IF(N3966=0,0,(L3966+H3966)/-N3966)</f>
        <v/>
      </c>
      <c r="P3966" s="7">
        <f>VLOOKUP(OPERAC[[#This Row],[especie]],[1]!ESPECIES[#All],6,0)</f>
        <v/>
      </c>
      <c r="Q3966" s="7">
        <f>IF(N3966&lt;&gt;0,P3966*N3966,0)</f>
        <v/>
      </c>
      <c r="R3966" s="8">
        <f>IF(Q3966&lt;&gt;0,Q3966+H3966+L3966,0)</f>
        <v/>
      </c>
      <c r="S3966" s="9">
        <f>VLOOKUP(OPERAC[[#This Row],[especie]],[1]!ESPECIES[#Data],9,FALSE)</f>
        <v/>
      </c>
    </row>
    <row r="3967">
      <c r="A3967" s="4" t="n">
        <v>12652</v>
      </c>
      <c r="B3967" s="5" t="n">
        <v>44558</v>
      </c>
      <c r="C3967" s="13" t="inlineStr">
        <is>
          <t>CPR</t>
        </is>
      </c>
      <c r="D3967" s="13" t="n">
        <v>40</v>
      </c>
      <c r="E3967" s="10">
        <f>IF(D3967&gt;0,VLOOKUP(OPERAC[[#This Row],[COD CART]],[1]!MatrizCortoLargoCyl[#All],3,0),"")</f>
        <v/>
      </c>
      <c r="F3967" s="13" t="inlineStr">
        <is>
          <t>UPST</t>
        </is>
      </c>
      <c r="G3967" s="6" t="n">
        <v>6</v>
      </c>
      <c r="H3967" s="6" t="n">
        <v>-903.6012000000001</v>
      </c>
      <c r="I3967" s="7">
        <f>-H3967/G3967</f>
        <v/>
      </c>
      <c r="J3967" s="11" t="n">
        <v>44606</v>
      </c>
      <c r="K3967" s="6">
        <f>+OPERAC[[#This Row],[cantidad]]</f>
        <v/>
      </c>
      <c r="L3967" s="6">
        <f>+OPERAC[[#This Row],[cantidad venta]]*98.994</f>
        <v/>
      </c>
      <c r="M3967" s="7">
        <f>IF(N3967=0,+L3967+H3967,0)</f>
        <v/>
      </c>
      <c r="N3967" s="7">
        <f>IF((+G3967-K3967)=0,0,+G3967-K3967)</f>
        <v/>
      </c>
      <c r="O3967" s="7">
        <f>IF(N3967=0,0,(L3967+H3967)/-N3967)</f>
        <v/>
      </c>
      <c r="P3967" s="7">
        <f>VLOOKUP(OPERAC[[#This Row],[especie]],[1]!ESPECIES[#All],6,0)</f>
        <v/>
      </c>
      <c r="Q3967" s="7">
        <f>IF(N3967&lt;&gt;0,P3967*N3967,0)</f>
        <v/>
      </c>
      <c r="R3967" s="8">
        <f>IF(Q3967&lt;&gt;0,Q3967+H3967+L3967,0)</f>
        <v/>
      </c>
      <c r="S3967" s="9">
        <f>VLOOKUP(OPERAC[[#This Row],[especie]],[1]!ESPECIES[#Data],9,FALSE)</f>
        <v/>
      </c>
    </row>
    <row r="3968">
      <c r="A3968" s="4" t="n">
        <v>2218</v>
      </c>
      <c r="B3968" s="5" t="n">
        <v>44651</v>
      </c>
      <c r="C3968" s="13" t="inlineStr">
        <is>
          <t>CPR</t>
        </is>
      </c>
      <c r="D3968" s="13" t="n">
        <v>42</v>
      </c>
      <c r="E3968" s="10">
        <f>IF(D3968&gt;0,VLOOKUP(OPERAC[[#This Row],[COD CART]],[1]!MatrizCortoLargoCyl[#All],3,0),"")</f>
        <v/>
      </c>
      <c r="F3968" s="13" t="inlineStr">
        <is>
          <t>AMD</t>
        </is>
      </c>
      <c r="G3968" s="6" t="n">
        <v>8</v>
      </c>
      <c r="H3968" s="6" t="n">
        <v>-904.8639199999999</v>
      </c>
      <c r="I3968" s="7">
        <f>-H3968/G3968</f>
        <v/>
      </c>
      <c r="J3968" s="11" t="n"/>
      <c r="K3968" s="6" t="n"/>
      <c r="L3968" s="6" t="n"/>
      <c r="M3968" s="7">
        <f>IF(N3968=0,+L3968+H3968,0)</f>
        <v/>
      </c>
      <c r="N3968" s="7">
        <f>IF((+G3968-K3968)=0,0,+G3968-K3968)</f>
        <v/>
      </c>
      <c r="O3968" s="7">
        <f>IF(N3968=0,0,(L3968+H3968)/-N3968)</f>
        <v/>
      </c>
      <c r="P3968" s="7">
        <f>VLOOKUP(OPERAC[[#This Row],[especie]],[1]!ESPECIES[#All],6,0)</f>
        <v/>
      </c>
      <c r="Q3968" s="7">
        <f>IF(N3968&lt;&gt;0,P3968*N3968,0)</f>
        <v/>
      </c>
      <c r="R3968" s="8">
        <f>IF(Q3968&lt;&gt;0,Q3968+H3968+L3968,0)</f>
        <v/>
      </c>
      <c r="S3968" s="9">
        <f>VLOOKUP(OPERAC[[#This Row],[especie]],[1]!ESPECIES[#Data],9,FALSE)</f>
        <v/>
      </c>
    </row>
    <row r="3969">
      <c r="A3969" s="4" t="n">
        <v>13188</v>
      </c>
      <c r="B3969" s="5" t="n">
        <v>44515</v>
      </c>
      <c r="C3969" s="13" t="inlineStr">
        <is>
          <t>CPR</t>
        </is>
      </c>
      <c r="D3969" s="13" t="n">
        <v>41</v>
      </c>
      <c r="E3969" s="10">
        <f>IF(D3969&gt;0,VLOOKUP(OPERAC[[#This Row],[COD CART]],[1]!MatrizCortoLargoCyl[#All],3,0),"")</f>
        <v/>
      </c>
      <c r="F3969" s="13" t="inlineStr">
        <is>
          <t>AAPL</t>
        </is>
      </c>
      <c r="G3969" s="6" t="n">
        <v>6</v>
      </c>
      <c r="H3969" s="6" t="n">
        <v>-906.14368</v>
      </c>
      <c r="I3969" s="7">
        <f>-H3969/G3969</f>
        <v/>
      </c>
      <c r="J3969" s="11" t="n"/>
      <c r="K3969" s="6" t="n"/>
      <c r="L3969" s="6" t="n"/>
      <c r="M3969" s="7">
        <f>IF(N3969=0,+L3969+H3969,0)</f>
        <v/>
      </c>
      <c r="N3969" s="7">
        <f>IF((+G3969-K3969)=0,0,+G3969-K3969)</f>
        <v/>
      </c>
      <c r="O3969" s="7">
        <f>IF(N3969=0,0,(L3969+H3969)/-N3969)</f>
        <v/>
      </c>
      <c r="P3969" s="7">
        <f>VLOOKUP(OPERAC[[#This Row],[especie]],[1]!ESPECIES[#All],6,0)</f>
        <v/>
      </c>
      <c r="Q3969" s="7">
        <f>IF(N3969&lt;&gt;0,P3969*N3969,0)</f>
        <v/>
      </c>
      <c r="R3969" s="8">
        <f>IF(Q3969&lt;&gt;0,Q3969+H3969+L3969,0)</f>
        <v/>
      </c>
      <c r="S3969" s="9">
        <f>VLOOKUP(OPERAC[[#This Row],[especie]],[1]!ESPECIES[#Data],9,FALSE)</f>
        <v/>
      </c>
    </row>
    <row r="3970">
      <c r="A3970" s="4" t="n">
        <v>19888</v>
      </c>
      <c r="B3970" s="5" t="n">
        <v>44655</v>
      </c>
      <c r="C3970" s="13" t="inlineStr">
        <is>
          <t>CPR</t>
        </is>
      </c>
      <c r="D3970" s="13" t="n">
        <v>31</v>
      </c>
      <c r="E3970" s="10">
        <f>IF(D3970&gt;0,VLOOKUP(OPERAC[[#This Row],[COD CART]],[1]!MatrizCortoLargoCyl[#All],3,0),"")</f>
        <v/>
      </c>
      <c r="F3970" s="13" t="inlineStr">
        <is>
          <t>CRESY</t>
        </is>
      </c>
      <c r="G3970" s="6" t="n">
        <v>110</v>
      </c>
      <c r="H3970" s="6" t="n">
        <v>-907.9983999999999</v>
      </c>
      <c r="I3970" s="7">
        <f>-H3970/G3970</f>
        <v/>
      </c>
      <c r="J3970" s="11" t="n"/>
      <c r="K3970" s="6" t="n"/>
      <c r="L3970" s="6" t="n"/>
      <c r="M3970" s="7">
        <f>IF(N3970=0,+L3970+H3970,0)</f>
        <v/>
      </c>
      <c r="N3970" s="7">
        <f>IF((+G3970-K3970)=0,0,+G3970-K3970)</f>
        <v/>
      </c>
      <c r="O3970" s="7">
        <f>IF(N3970=0,0,(L3970+H3970)/-N3970)</f>
        <v/>
      </c>
      <c r="P3970" s="7">
        <f>VLOOKUP(OPERAC[[#This Row],[especie]],[1]!ESPECIES[#All],6,0)</f>
        <v/>
      </c>
      <c r="Q3970" s="7">
        <f>IF(N3970&lt;&gt;0,P3970*N3970,0)</f>
        <v/>
      </c>
      <c r="R3970" s="8">
        <f>IF(Q3970&lt;&gt;0,Q3970+H3970+L3970,0)</f>
        <v/>
      </c>
      <c r="S3970" s="9">
        <f>VLOOKUP(OPERAC[[#This Row],[especie]],[1]!ESPECIES[#Data],9,FALSE)</f>
        <v/>
      </c>
    </row>
    <row r="3971">
      <c r="A3971" s="4" t="n">
        <v>6579</v>
      </c>
      <c r="B3971" s="5" t="n">
        <v>44362</v>
      </c>
      <c r="C3971" s="13" t="inlineStr">
        <is>
          <t>CPR</t>
        </is>
      </c>
      <c r="D3971" s="13" t="n">
        <v>41</v>
      </c>
      <c r="E3971" s="10">
        <f>IF(D3971&gt;0,VLOOKUP(OPERAC[[#This Row],[COD CART]],[1]!MatrizCortoLargoCyl[#All],3,0),"")</f>
        <v/>
      </c>
      <c r="F3971" s="13" t="inlineStr">
        <is>
          <t>JEPI</t>
        </is>
      </c>
      <c r="G3971" s="6" t="n">
        <v>15</v>
      </c>
      <c r="H3971" s="6" t="n">
        <v>-908.472</v>
      </c>
      <c r="I3971" s="7">
        <f>-H3971/G3971</f>
        <v/>
      </c>
      <c r="J3971" s="11" t="n"/>
      <c r="K3971" s="6" t="n"/>
      <c r="L3971" s="6" t="n"/>
      <c r="M3971" s="7">
        <f>IF(N3971=0,+L3971+H3971,0)</f>
        <v/>
      </c>
      <c r="N3971" s="7">
        <f>IF((+G3971-K3971)=0,0,+G3971-K3971)</f>
        <v/>
      </c>
      <c r="O3971" s="7">
        <f>IF(N3971=0,0,(L3971+H3971)/-N3971)</f>
        <v/>
      </c>
      <c r="P3971" s="7">
        <f>VLOOKUP(OPERAC[[#This Row],[especie]],[1]!ESPECIES[#All],6,0)</f>
        <v/>
      </c>
      <c r="Q3971" s="7">
        <f>IF(N3971&lt;&gt;0,P3971*N3971,0)</f>
        <v/>
      </c>
      <c r="R3971" s="8">
        <f>IF(Q3971&lt;&gt;0,Q3971+H3971+L3971,0)</f>
        <v/>
      </c>
      <c r="S3971" s="9">
        <f>VLOOKUP(OPERAC[[#This Row],[especie]],[1]!ESPECIES[#Data],9,FALSE)</f>
        <v/>
      </c>
    </row>
    <row r="3972">
      <c r="A3972" s="4" t="n">
        <v>13180</v>
      </c>
      <c r="B3972" s="5" t="n">
        <v>44587</v>
      </c>
      <c r="C3972" s="13" t="inlineStr">
        <is>
          <t>CPR</t>
        </is>
      </c>
      <c r="D3972" s="13" t="n">
        <v>40</v>
      </c>
      <c r="E3972" s="10">
        <f>IF(D3972&gt;0,VLOOKUP(OPERAC[[#This Row],[COD CART]],[1]!MatrizCortoLargoCyl[#All],3,0),"")</f>
        <v/>
      </c>
      <c r="F3972" s="13" t="inlineStr">
        <is>
          <t>MSFT</t>
        </is>
      </c>
      <c r="G3972" s="6" t="n">
        <v>3</v>
      </c>
      <c r="H3972" s="6" t="n">
        <v>-910.23378</v>
      </c>
      <c r="I3972" s="7">
        <f>-H3972/G3972</f>
        <v/>
      </c>
      <c r="J3972" s="11" t="n">
        <v>44606</v>
      </c>
      <c r="K3972" s="6">
        <f>+OPERAC[[#This Row],[cantidad]]</f>
        <v/>
      </c>
      <c r="L3972" s="6">
        <f>+OPERAC[[#This Row],[cantidad venta]]*290.091</f>
        <v/>
      </c>
      <c r="M3972" s="7">
        <f>IF(N3972=0,+L3972+H3972,0)</f>
        <v/>
      </c>
      <c r="N3972" s="7">
        <f>IF((+G3972-K3972)=0,0,+G3972-K3972)</f>
        <v/>
      </c>
      <c r="O3972" s="7">
        <f>IF(N3972=0,0,(L3972+H3972)/-N3972)</f>
        <v/>
      </c>
      <c r="P3972" s="7">
        <f>VLOOKUP(OPERAC[[#This Row],[especie]],[1]!ESPECIES[#All],6,0)</f>
        <v/>
      </c>
      <c r="Q3972" s="7">
        <f>IF(N3972&lt;&gt;0,P3972*N3972,0)</f>
        <v/>
      </c>
      <c r="R3972" s="8">
        <f>IF(Q3972&lt;&gt;0,Q3972+H3972+L3972,0)</f>
        <v/>
      </c>
      <c r="S3972" s="9">
        <f>VLOOKUP(OPERAC[[#This Row],[especie]],[1]!ESPECIES[#Data],9,FALSE)</f>
        <v/>
      </c>
    </row>
    <row r="3973">
      <c r="A3973" s="4" t="n">
        <v>16780</v>
      </c>
      <c r="B3973" s="5" t="n">
        <v>44587</v>
      </c>
      <c r="C3973" s="13" t="inlineStr">
        <is>
          <t>CPR</t>
        </is>
      </c>
      <c r="D3973" s="13" t="n">
        <v>40</v>
      </c>
      <c r="E3973" s="10">
        <f>IF(D3973&gt;0,VLOOKUP(OPERAC[[#This Row],[COD CART]],[1]!MatrizCortoLargoCyl[#All],3,0),"")</f>
        <v/>
      </c>
      <c r="F3973" s="13" t="inlineStr">
        <is>
          <t>MSFT</t>
        </is>
      </c>
      <c r="G3973" s="6" t="n">
        <v>3</v>
      </c>
      <c r="H3973" s="6" t="n">
        <v>-910.23378</v>
      </c>
      <c r="I3973" s="7">
        <f>-H3973/G3973</f>
        <v/>
      </c>
      <c r="J3973" s="11" t="n">
        <v>44606</v>
      </c>
      <c r="K3973" s="6">
        <f>+OPERAC[[#This Row],[cantidad]]</f>
        <v/>
      </c>
      <c r="L3973" s="6">
        <f>+OPERAC[[#This Row],[cantidad venta]]*290.091</f>
        <v/>
      </c>
      <c r="M3973" s="7">
        <f>IF(N3973=0,+L3973+H3973,0)</f>
        <v/>
      </c>
      <c r="N3973" s="7">
        <f>IF((+G3973-K3973)=0,0,+G3973-K3973)</f>
        <v/>
      </c>
      <c r="O3973" s="7">
        <f>IF(N3973=0,0,(L3973+H3973)/-N3973)</f>
        <v/>
      </c>
      <c r="P3973" s="7">
        <f>VLOOKUP(OPERAC[[#This Row],[especie]],[1]!ESPECIES[#All],6,0)</f>
        <v/>
      </c>
      <c r="Q3973" s="7">
        <f>IF(N3973&lt;&gt;0,P3973*N3973,0)</f>
        <v/>
      </c>
      <c r="R3973" s="8">
        <f>IF(Q3973&lt;&gt;0,Q3973+H3973+L3973,0)</f>
        <v/>
      </c>
      <c r="S3973" s="9">
        <f>VLOOKUP(OPERAC[[#This Row],[especie]],[1]!ESPECIES[#Data],9,FALSE)</f>
        <v/>
      </c>
    </row>
    <row r="3974">
      <c r="A3974" s="4" t="n">
        <v>20312</v>
      </c>
      <c r="B3974" s="5" t="n">
        <v>44587</v>
      </c>
      <c r="C3974" s="13" t="inlineStr">
        <is>
          <t>CPR</t>
        </is>
      </c>
      <c r="D3974" s="13" t="n">
        <v>40</v>
      </c>
      <c r="E3974" s="10">
        <f>IF(D3974&gt;0,VLOOKUP(OPERAC[[#This Row],[COD CART]],[1]!MatrizCortoLargoCyl[#All],3,0),"")</f>
        <v/>
      </c>
      <c r="F3974" s="13" t="inlineStr">
        <is>
          <t>MSFT</t>
        </is>
      </c>
      <c r="G3974" s="6" t="n">
        <v>3</v>
      </c>
      <c r="H3974" s="6" t="n">
        <v>-910.23378</v>
      </c>
      <c r="I3974" s="7">
        <f>-H3974/G3974</f>
        <v/>
      </c>
      <c r="J3974" s="11" t="n">
        <v>44606</v>
      </c>
      <c r="K3974" s="6">
        <f>+OPERAC[[#This Row],[cantidad]]</f>
        <v/>
      </c>
      <c r="L3974" s="6">
        <f>+OPERAC[[#This Row],[cantidad venta]]*290.091</f>
        <v/>
      </c>
      <c r="M3974" s="7">
        <f>IF(N3974=0,+L3974+H3974,0)</f>
        <v/>
      </c>
      <c r="N3974" s="7">
        <f>IF((+G3974-K3974)=0,0,+G3974-K3974)</f>
        <v/>
      </c>
      <c r="O3974" s="7">
        <f>IF(N3974=0,0,(L3974+H3974)/-N3974)</f>
        <v/>
      </c>
      <c r="P3974" s="7">
        <f>VLOOKUP(OPERAC[[#This Row],[especie]],[1]!ESPECIES[#All],6,0)</f>
        <v/>
      </c>
      <c r="Q3974" s="7">
        <f>IF(N3974&lt;&gt;0,P3974*N3974,0)</f>
        <v/>
      </c>
      <c r="R3974" s="8">
        <f>IF(Q3974&lt;&gt;0,Q3974+H3974+L3974,0)</f>
        <v/>
      </c>
      <c r="S3974" s="9">
        <f>VLOOKUP(OPERAC[[#This Row],[especie]],[1]!ESPECIES[#Data],9,FALSE)</f>
        <v/>
      </c>
    </row>
    <row r="3975">
      <c r="A3975" s="4" t="n">
        <v>25070</v>
      </c>
      <c r="B3975" s="5" t="n">
        <v>44587</v>
      </c>
      <c r="C3975" s="13" t="inlineStr">
        <is>
          <t>CPR</t>
        </is>
      </c>
      <c r="D3975" s="13" t="n">
        <v>40</v>
      </c>
      <c r="E3975" s="10">
        <f>IF(D3975&gt;0,VLOOKUP(OPERAC[[#This Row],[COD CART]],[1]!MatrizCortoLargoCyl[#All],3,0),"")</f>
        <v/>
      </c>
      <c r="F3975" s="13" t="inlineStr">
        <is>
          <t>MSFT</t>
        </is>
      </c>
      <c r="G3975" s="6" t="n">
        <v>3</v>
      </c>
      <c r="H3975" s="6" t="n">
        <v>-910.23378</v>
      </c>
      <c r="I3975" s="7">
        <f>-H3975/G3975</f>
        <v/>
      </c>
      <c r="J3975" s="11" t="n">
        <v>44606</v>
      </c>
      <c r="K3975" s="6">
        <f>+OPERAC[[#This Row],[cantidad]]</f>
        <v/>
      </c>
      <c r="L3975" s="6">
        <f>+OPERAC[[#This Row],[cantidad venta]]*290.091</f>
        <v/>
      </c>
      <c r="M3975" s="7">
        <f>IF(N3975=0,+L3975+H3975,0)</f>
        <v/>
      </c>
      <c r="N3975" s="7">
        <f>IF((+G3975-K3975)=0,0,+G3975-K3975)</f>
        <v/>
      </c>
      <c r="O3975" s="7">
        <f>IF(N3975=0,0,(L3975+H3975)/-N3975)</f>
        <v/>
      </c>
      <c r="P3975" s="7">
        <f>VLOOKUP(OPERAC[[#This Row],[especie]],[1]!ESPECIES[#All],6,0)</f>
        <v/>
      </c>
      <c r="Q3975" s="7">
        <f>IF(N3975&lt;&gt;0,P3975*N3975,0)</f>
        <v/>
      </c>
      <c r="R3975" s="8">
        <f>IF(Q3975&lt;&gt;0,Q3975+H3975+L3975,0)</f>
        <v/>
      </c>
      <c r="S3975" s="9">
        <f>VLOOKUP(OPERAC[[#This Row],[especie]],[1]!ESPECIES[#Data],9,FALSE)</f>
        <v/>
      </c>
    </row>
    <row r="3976">
      <c r="A3976" s="4" t="n">
        <v>3820</v>
      </c>
      <c r="B3976" s="5" t="n">
        <v>44708</v>
      </c>
      <c r="C3976" s="13" t="inlineStr">
        <is>
          <t>CPR</t>
        </is>
      </c>
      <c r="D3976" s="13" t="n">
        <v>42</v>
      </c>
      <c r="E3976" s="10">
        <f>IF(D3976&gt;0,VLOOKUP(OPERAC[[#This Row],[COD CART]],[1]!MatrizCortoLargoCyl[#All],3,0),"")</f>
        <v/>
      </c>
      <c r="F3976" s="13" t="inlineStr">
        <is>
          <t>ACB</t>
        </is>
      </c>
      <c r="G3976" s="6" t="n">
        <v>500</v>
      </c>
      <c r="H3976" s="6" t="n">
        <v>-910.8504580725</v>
      </c>
      <c r="I3976" s="7">
        <f>-H3976/G3976</f>
        <v/>
      </c>
      <c r="J3976" s="5" t="n">
        <v>44726</v>
      </c>
      <c r="K3976" s="6" t="n">
        <v>500</v>
      </c>
      <c r="L3976" s="6" t="n">
        <v>613.49</v>
      </c>
      <c r="M3976" s="7">
        <f>IF(N3976=0,+L3976+H3976,0)</f>
        <v/>
      </c>
      <c r="N3976" s="7">
        <f>IF((+G3976-K3976)=0,0,+G3976-K3976)</f>
        <v/>
      </c>
      <c r="O3976" s="7">
        <f>IF(N3976=0,0,(L3976+H3976)/-N3976)</f>
        <v/>
      </c>
      <c r="P3976" s="7">
        <f>VLOOKUP(OPERAC[[#This Row],[especie]],[1]!ESPECIES[#All],6,0)</f>
        <v/>
      </c>
      <c r="Q3976" s="7">
        <f>IF(N3976&lt;&gt;0,P3976*N3976,0)</f>
        <v/>
      </c>
      <c r="R3976" s="8">
        <f>IF(Q3976&lt;&gt;0,Q3976+H3976+L3976,0)</f>
        <v/>
      </c>
      <c r="S3976" s="9">
        <f>VLOOKUP(OPERAC[[#This Row],[especie]],[1]!ESPECIES[#Data],9,FALSE)</f>
        <v/>
      </c>
    </row>
    <row r="3977">
      <c r="A3977" s="4" t="n">
        <v>3787</v>
      </c>
      <c r="B3977" s="5" t="n">
        <v>44651</v>
      </c>
      <c r="C3977" s="13" t="inlineStr">
        <is>
          <t>CPR</t>
        </is>
      </c>
      <c r="D3977" s="13" t="n">
        <v>42</v>
      </c>
      <c r="E3977" s="10">
        <f>IF(D3977&gt;0,VLOOKUP(OPERAC[[#This Row],[COD CART]],[1]!MatrizCortoLargoCyl[#All],3,0),"")</f>
        <v/>
      </c>
      <c r="F3977" s="13" t="inlineStr">
        <is>
          <t>AMD</t>
        </is>
      </c>
      <c r="G3977" s="6" t="n">
        <v>8</v>
      </c>
      <c r="H3977" s="6" t="n">
        <v>-911.1913599999999</v>
      </c>
      <c r="I3977" s="7">
        <f>-H3977/G3977</f>
        <v/>
      </c>
      <c r="J3977" s="11" t="n">
        <v>44691</v>
      </c>
      <c r="K3977" s="6" t="n">
        <v>8</v>
      </c>
      <c r="L3977" s="6" t="n">
        <v>691.432</v>
      </c>
      <c r="M3977" s="7">
        <f>IF(N3977=0,+L3977+H3977,0)</f>
        <v/>
      </c>
      <c r="N3977" s="7">
        <f>IF((+G3977-K3977)=0,0,+G3977-K3977)</f>
        <v/>
      </c>
      <c r="O3977" s="7">
        <f>IF(N3977=0,0,(L3977+H3977)/-N3977)</f>
        <v/>
      </c>
      <c r="P3977" s="7">
        <f>VLOOKUP(OPERAC[[#This Row],[especie]],[1]!ESPECIES[#All],6,0)</f>
        <v/>
      </c>
      <c r="Q3977" s="7">
        <f>IF(N3977&lt;&gt;0,P3977*N3977,0)</f>
        <v/>
      </c>
      <c r="R3977" s="8">
        <f>IF(Q3977&lt;&gt;0,Q3977+H3977+L3977,0)</f>
        <v/>
      </c>
      <c r="S3977" s="9">
        <f>VLOOKUP(OPERAC[[#This Row],[especie]],[1]!ESPECIES[#Data],9,FALSE)</f>
        <v/>
      </c>
    </row>
    <row r="3978">
      <c r="A3978" s="4" t="n">
        <v>18690</v>
      </c>
      <c r="B3978" s="5" t="n">
        <v>44651</v>
      </c>
      <c r="C3978" s="13" t="inlineStr">
        <is>
          <t>CPR</t>
        </is>
      </c>
      <c r="D3978" s="13" t="n">
        <v>42</v>
      </c>
      <c r="E3978" s="10">
        <f>IF(D3978&gt;0,VLOOKUP(OPERAC[[#This Row],[COD CART]],[1]!MatrizCortoLargoCyl[#All],3,0),"")</f>
        <v/>
      </c>
      <c r="F3978" s="13" t="inlineStr">
        <is>
          <t>AMD</t>
        </is>
      </c>
      <c r="G3978" s="6" t="n">
        <v>8</v>
      </c>
      <c r="H3978" s="6" t="n">
        <v>-911.1913599999999</v>
      </c>
      <c r="I3978" s="7">
        <f>-H3978/G3978</f>
        <v/>
      </c>
      <c r="J3978" s="11" t="n"/>
      <c r="K3978" s="6" t="n"/>
      <c r="L3978" s="6" t="n"/>
      <c r="M3978" s="7">
        <f>IF(N3978=0,+L3978+H3978,0)</f>
        <v/>
      </c>
      <c r="N3978" s="7">
        <f>IF((+G3978-K3978)=0,0,+G3978-K3978)</f>
        <v/>
      </c>
      <c r="O3978" s="7">
        <f>IF(N3978=0,0,(L3978+H3978)/-N3978)</f>
        <v/>
      </c>
      <c r="P3978" s="7">
        <f>VLOOKUP(OPERAC[[#This Row],[especie]],[1]!ESPECIES[#All],6,0)</f>
        <v/>
      </c>
      <c r="Q3978" s="7">
        <f>IF(N3978&lt;&gt;0,P3978*N3978,0)</f>
        <v/>
      </c>
      <c r="R3978" s="8">
        <f>IF(Q3978&lt;&gt;0,Q3978+H3978+L3978,0)</f>
        <v/>
      </c>
      <c r="S3978" s="9">
        <f>VLOOKUP(OPERAC[[#This Row],[especie]],[1]!ESPECIES[#Data],9,FALSE)</f>
        <v/>
      </c>
    </row>
    <row r="3979">
      <c r="A3979" s="4" t="n">
        <v>19888</v>
      </c>
      <c r="B3979" s="5" t="n">
        <v>44651</v>
      </c>
      <c r="C3979" s="13" t="inlineStr">
        <is>
          <t>CPR</t>
        </is>
      </c>
      <c r="D3979" s="13" t="n">
        <v>42</v>
      </c>
      <c r="E3979" s="10">
        <f>IF(D3979&gt;0,VLOOKUP(OPERAC[[#This Row],[COD CART]],[1]!MatrizCortoLargoCyl[#All],3,0),"")</f>
        <v/>
      </c>
      <c r="F3979" s="13" t="inlineStr">
        <is>
          <t>AMD</t>
        </is>
      </c>
      <c r="G3979" s="6" t="n">
        <v>8</v>
      </c>
      <c r="H3979" s="6" t="n">
        <v>-911.1913599999999</v>
      </c>
      <c r="I3979" s="7">
        <f>-H3979/G3979</f>
        <v/>
      </c>
      <c r="J3979" s="11" t="n">
        <v>44693</v>
      </c>
      <c r="K3979" s="6">
        <f>+OPERAC[[#This Row],[cantidad]]</f>
        <v/>
      </c>
      <c r="L3979" s="6">
        <f>+OPERAC[[#This Row],[cantidad venta]]*85.26</f>
        <v/>
      </c>
      <c r="M3979" s="7">
        <f>IF(N3979=0,+L3979+H3979,0)</f>
        <v/>
      </c>
      <c r="N3979" s="7">
        <f>IF((+G3979-K3979)=0,0,+G3979-K3979)</f>
        <v/>
      </c>
      <c r="O3979" s="7">
        <f>IF(N3979=0,0,(L3979+H3979)/-N3979)</f>
        <v/>
      </c>
      <c r="P3979" s="7">
        <f>VLOOKUP(OPERAC[[#This Row],[especie]],[1]!ESPECIES[#All],6,0)</f>
        <v/>
      </c>
      <c r="Q3979" s="7">
        <f>IF(N3979&lt;&gt;0,P3979*N3979,0)</f>
        <v/>
      </c>
      <c r="R3979" s="8">
        <f>IF(Q3979&lt;&gt;0,Q3979+H3979+L3979,0)</f>
        <v/>
      </c>
      <c r="S3979" s="9">
        <f>VLOOKUP(OPERAC[[#This Row],[especie]],[1]!ESPECIES[#Data],9,FALSE)</f>
        <v/>
      </c>
    </row>
    <row r="3980">
      <c r="A3980" s="4" t="n">
        <v>19932</v>
      </c>
      <c r="B3980" s="5" t="n">
        <v>44651</v>
      </c>
      <c r="C3980" s="13" t="inlineStr">
        <is>
          <t>CPR</t>
        </is>
      </c>
      <c r="D3980" s="13" t="n">
        <v>42</v>
      </c>
      <c r="E3980" s="10">
        <f>IF(D3980&gt;0,VLOOKUP(OPERAC[[#This Row],[COD CART]],[1]!MatrizCortoLargoCyl[#All],3,0),"")</f>
        <v/>
      </c>
      <c r="F3980" s="13" t="inlineStr">
        <is>
          <t>AMD</t>
        </is>
      </c>
      <c r="G3980" s="6" t="n">
        <v>8</v>
      </c>
      <c r="H3980" s="6" t="n">
        <v>-911.1913599999999</v>
      </c>
      <c r="I3980" s="7">
        <f>-H3980/G3980</f>
        <v/>
      </c>
      <c r="J3980" s="11" t="n">
        <v>44693</v>
      </c>
      <c r="K3980" s="6">
        <f>+OPERAC[[#This Row],[cantidad]]</f>
        <v/>
      </c>
      <c r="L3980" s="6">
        <f>+OPERAC[[#This Row],[cantidad venta]]*85.26</f>
        <v/>
      </c>
      <c r="M3980" s="7">
        <f>IF(N3980=0,+L3980+H3980,0)</f>
        <v/>
      </c>
      <c r="N3980" s="7">
        <f>IF((+G3980-K3980)=0,0,+G3980-K3980)</f>
        <v/>
      </c>
      <c r="O3980" s="7">
        <f>IF(N3980=0,0,(L3980+H3980)/-N3980)</f>
        <v/>
      </c>
      <c r="P3980" s="7">
        <f>VLOOKUP(OPERAC[[#This Row],[especie]],[1]!ESPECIES[#All],6,0)</f>
        <v/>
      </c>
      <c r="Q3980" s="7">
        <f>IF(N3980&lt;&gt;0,P3980*N3980,0)</f>
        <v/>
      </c>
      <c r="R3980" s="8">
        <f>IF(Q3980&lt;&gt;0,Q3980+H3980+L3980,0)</f>
        <v/>
      </c>
      <c r="S3980" s="9">
        <f>VLOOKUP(OPERAC[[#This Row],[especie]],[1]!ESPECIES[#Data],9,FALSE)</f>
        <v/>
      </c>
    </row>
    <row r="3981">
      <c r="A3981" s="4" t="n">
        <v>20234</v>
      </c>
      <c r="B3981" s="5" t="n">
        <v>44669</v>
      </c>
      <c r="C3981" s="13" t="inlineStr">
        <is>
          <t>CPR</t>
        </is>
      </c>
      <c r="D3981" s="13" t="n">
        <v>32</v>
      </c>
      <c r="E3981" s="10">
        <f>IF(D3981&gt;0,VLOOKUP(OPERAC[[#This Row],[COD CART]],[1]!MatrizCortoLargoCyl[#All],3,0),"")</f>
        <v/>
      </c>
      <c r="F3981" s="13" t="inlineStr">
        <is>
          <t>HMY/CYL/5,00/19-08-22</t>
        </is>
      </c>
      <c r="G3981" s="6" t="n">
        <v>200</v>
      </c>
      <c r="H3981" s="6">
        <f>-4.64*OPERAC[[#This Row],[cantidad]]+15.864</f>
        <v/>
      </c>
      <c r="I3981" s="7">
        <f>-H3981/G3981</f>
        <v/>
      </c>
      <c r="J3981" s="11" t="n"/>
      <c r="K3981" s="6" t="n"/>
      <c r="L3981" s="6" t="n"/>
      <c r="M3981" s="7">
        <f>IF(N3981=0,+L3981+H3981,0)</f>
        <v/>
      </c>
      <c r="N3981" s="7">
        <f>IF((+G3981-K3981)=0,0,+G3981-K3981)</f>
        <v/>
      </c>
      <c r="O3981" s="7">
        <f>IF(N3981=0,0,(L3981+H3981)/-N3981)</f>
        <v/>
      </c>
      <c r="P3981" s="7">
        <f>VLOOKUP(OPERAC[[#This Row],[especie]],[1]!ESPECIES[#All],6,0)</f>
        <v/>
      </c>
      <c r="Q3981" s="7">
        <f>IF(N3981&lt;&gt;0,P3981*N3981,0)</f>
        <v/>
      </c>
      <c r="R3981" s="8">
        <f>IF(Q3981&lt;&gt;0,Q3981+H3981+L3981,0)</f>
        <v/>
      </c>
      <c r="S3981" s="9">
        <f>VLOOKUP(OPERAC[[#This Row],[especie]],[1]!ESPECIES[#Data],9,FALSE)</f>
        <v/>
      </c>
    </row>
    <row r="3982">
      <c r="A3982" s="4" t="n">
        <v>12671</v>
      </c>
      <c r="B3982" s="5" t="n">
        <v>44662</v>
      </c>
      <c r="C3982" s="13" t="inlineStr">
        <is>
          <t>CPR</t>
        </is>
      </c>
      <c r="D3982" s="13" t="n">
        <v>42</v>
      </c>
      <c r="E3982" s="10">
        <f>IF(D3982&gt;0,VLOOKUP(OPERAC[[#This Row],[COD CART]],[1]!MatrizCortoLargoCyl[#All],3,0),"")</f>
        <v/>
      </c>
      <c r="F3982" s="13" t="inlineStr">
        <is>
          <t>UPST</t>
        </is>
      </c>
      <c r="G3982" s="6" t="n">
        <v>10</v>
      </c>
      <c r="H3982" s="6" t="n">
        <v>-912.1902</v>
      </c>
      <c r="I3982" s="7">
        <f>-H3982/G3982</f>
        <v/>
      </c>
      <c r="J3982" s="11" t="n">
        <v>44693</v>
      </c>
      <c r="K3982" s="6" t="n">
        <v>10</v>
      </c>
      <c r="L3982" s="6" t="n">
        <v>307.44</v>
      </c>
      <c r="M3982" s="7">
        <f>IF(N3982=0,+L3982+H3982,0)</f>
        <v/>
      </c>
      <c r="N3982" s="7">
        <f>IF((+G3982-K3982)=0,0,+G3982-K3982)</f>
        <v/>
      </c>
      <c r="O3982" s="7">
        <f>IF(N3982=0,0,(L3982+H3982)/-N3982)</f>
        <v/>
      </c>
      <c r="P3982" s="7">
        <f>VLOOKUP(OPERAC[[#This Row],[especie]],[1]!ESPECIES[#All],6,0)</f>
        <v/>
      </c>
      <c r="Q3982" s="7">
        <f>IF(N3982&lt;&gt;0,P3982*N3982,0)</f>
        <v/>
      </c>
      <c r="R3982" s="8">
        <f>IF(Q3982&lt;&gt;0,Q3982+H3982+L3982,0)</f>
        <v/>
      </c>
      <c r="S3982" s="9">
        <f>VLOOKUP(OPERAC[[#This Row],[especie]],[1]!ESPECIES[#Data],9,FALSE)</f>
        <v/>
      </c>
    </row>
    <row r="3983">
      <c r="A3983" s="4" t="n">
        <v>1807</v>
      </c>
      <c r="B3983" s="5" t="n">
        <v>44708</v>
      </c>
      <c r="C3983" s="13" t="inlineStr">
        <is>
          <t>CPR</t>
        </is>
      </c>
      <c r="D3983" s="13" t="n">
        <v>42</v>
      </c>
      <c r="E3983" s="10">
        <f>IF(D3983&gt;0,VLOOKUP(OPERAC[[#This Row],[COD CART]],[1]!MatrizCortoLargoCyl[#All],3,0),"")</f>
        <v/>
      </c>
      <c r="F3983" s="13" t="inlineStr">
        <is>
          <t>ACB</t>
        </is>
      </c>
      <c r="G3983" s="6" t="n">
        <v>500</v>
      </c>
      <c r="H3983" s="6" t="n">
        <v>-912.6603944024999</v>
      </c>
      <c r="I3983" s="7">
        <f>-H3983/G3983</f>
        <v/>
      </c>
      <c r="J3983" s="5" t="n"/>
      <c r="K3983" s="6" t="n"/>
      <c r="L3983" s="6" t="n"/>
      <c r="M3983" s="7">
        <f>IF(N3983=0,+L3983+H3983,0)</f>
        <v/>
      </c>
      <c r="N3983" s="7">
        <f>IF((+G3983-K3983)=0,0,+G3983-K3983)</f>
        <v/>
      </c>
      <c r="O3983" s="7">
        <f>IF(N3983=0,0,(L3983+H3983)/-N3983)</f>
        <v/>
      </c>
      <c r="P3983" s="7">
        <f>VLOOKUP(OPERAC[[#This Row],[especie]],[1]!ESPECIES[#All],6,0)</f>
        <v/>
      </c>
      <c r="Q3983" s="7">
        <f>IF(N3983&lt;&gt;0,P3983*N3983,0)</f>
        <v/>
      </c>
      <c r="R3983" s="8">
        <f>IF(Q3983&lt;&gt;0,Q3983+H3983+L3983,0)</f>
        <v/>
      </c>
      <c r="S3983" s="9">
        <f>VLOOKUP(OPERAC[[#This Row],[especie]],[1]!ESPECIES[#Data],9,FALSE)</f>
        <v/>
      </c>
    </row>
    <row r="3984">
      <c r="A3984" s="4" t="n">
        <v>2194</v>
      </c>
      <c r="B3984" s="5" t="n">
        <v>44708</v>
      </c>
      <c r="C3984" s="13" t="inlineStr">
        <is>
          <t>CPR</t>
        </is>
      </c>
      <c r="D3984" s="13" t="n">
        <v>42</v>
      </c>
      <c r="E3984" s="10">
        <f>IF(D3984&gt;0,VLOOKUP(OPERAC[[#This Row],[COD CART]],[1]!MatrizCortoLargoCyl[#All],3,0),"")</f>
        <v/>
      </c>
      <c r="F3984" s="13" t="inlineStr">
        <is>
          <t>ACB</t>
        </is>
      </c>
      <c r="G3984" s="6" t="n">
        <v>500</v>
      </c>
      <c r="H3984" s="6" t="n">
        <v>-912.6603944024999</v>
      </c>
      <c r="I3984" s="7">
        <f>-H3984/G3984</f>
        <v/>
      </c>
      <c r="J3984" s="5" t="n"/>
      <c r="K3984" s="6" t="n"/>
      <c r="L3984" s="6" t="n"/>
      <c r="M3984" s="7">
        <f>IF(N3984=0,+L3984+H3984,0)</f>
        <v/>
      </c>
      <c r="N3984" s="7">
        <f>IF((+G3984-K3984)=0,0,+G3984-K3984)</f>
        <v/>
      </c>
      <c r="O3984" s="7">
        <f>IF(N3984=0,0,(L3984+H3984)/-N3984)</f>
        <v/>
      </c>
      <c r="P3984" s="7">
        <f>VLOOKUP(OPERAC[[#This Row],[especie]],[1]!ESPECIES[#All],6,0)</f>
        <v/>
      </c>
      <c r="Q3984" s="7">
        <f>IF(N3984&lt;&gt;0,P3984*N3984,0)</f>
        <v/>
      </c>
      <c r="R3984" s="8">
        <f>IF(Q3984&lt;&gt;0,Q3984+H3984+L3984,0)</f>
        <v/>
      </c>
      <c r="S3984" s="9">
        <f>VLOOKUP(OPERAC[[#This Row],[especie]],[1]!ESPECIES[#Data],9,FALSE)</f>
        <v/>
      </c>
    </row>
    <row r="3985">
      <c r="A3985" s="4" t="n">
        <v>7895</v>
      </c>
      <c r="B3985" s="5" t="n">
        <v>44708</v>
      </c>
      <c r="C3985" s="13" t="inlineStr">
        <is>
          <t>CPR</t>
        </is>
      </c>
      <c r="D3985" s="13" t="n">
        <v>42</v>
      </c>
      <c r="E3985" s="10">
        <f>IF(D3985&gt;0,VLOOKUP(OPERAC[[#This Row],[COD CART]],[1]!MatrizCortoLargoCyl[#All],3,0),"")</f>
        <v/>
      </c>
      <c r="F3985" s="13" t="inlineStr">
        <is>
          <t>ACB</t>
        </is>
      </c>
      <c r="G3985" s="6" t="n">
        <v>500</v>
      </c>
      <c r="H3985" s="6" t="n">
        <v>-912.6603944024999</v>
      </c>
      <c r="I3985" s="7">
        <f>-H3985/G3985</f>
        <v/>
      </c>
      <c r="J3985" s="5" t="n"/>
      <c r="K3985" s="6" t="n"/>
      <c r="L3985" s="6" t="n"/>
      <c r="M3985" s="7">
        <f>IF(N3985=0,+L3985+H3985,0)</f>
        <v/>
      </c>
      <c r="N3985" s="7">
        <f>IF((+G3985-K3985)=0,0,+G3985-K3985)</f>
        <v/>
      </c>
      <c r="O3985" s="7">
        <f>IF(N3985=0,0,(L3985+H3985)/-N3985)</f>
        <v/>
      </c>
      <c r="P3985" s="7">
        <f>VLOOKUP(OPERAC[[#This Row],[especie]],[1]!ESPECIES[#All],6,0)</f>
        <v/>
      </c>
      <c r="Q3985" s="7">
        <f>IF(N3985&lt;&gt;0,P3985*N3985,0)</f>
        <v/>
      </c>
      <c r="R3985" s="8">
        <f>IF(Q3985&lt;&gt;0,Q3985+H3985+L3985,0)</f>
        <v/>
      </c>
      <c r="S3985" s="9">
        <f>VLOOKUP(OPERAC[[#This Row],[especie]],[1]!ESPECIES[#Data],9,FALSE)</f>
        <v/>
      </c>
    </row>
    <row r="3986">
      <c r="A3986" s="4" t="n">
        <v>13185</v>
      </c>
      <c r="B3986" s="5" t="n">
        <v>44708</v>
      </c>
      <c r="C3986" s="13" t="inlineStr">
        <is>
          <t>CPR</t>
        </is>
      </c>
      <c r="D3986" s="13" t="n">
        <v>42</v>
      </c>
      <c r="E3986" s="10">
        <f>IF(D3986&gt;0,VLOOKUP(OPERAC[[#This Row],[COD CART]],[1]!MatrizCortoLargoCyl[#All],3,0),"")</f>
        <v/>
      </c>
      <c r="F3986" s="13" t="inlineStr">
        <is>
          <t>ACB</t>
        </is>
      </c>
      <c r="G3986" s="6" t="n">
        <v>500</v>
      </c>
      <c r="H3986" s="6" t="n">
        <v>-912.6603944024999</v>
      </c>
      <c r="I3986" s="7">
        <f>-H3986/G3986</f>
        <v/>
      </c>
      <c r="J3986" s="5" t="n"/>
      <c r="K3986" s="6" t="n"/>
      <c r="L3986" s="6" t="n"/>
      <c r="M3986" s="7">
        <f>IF(N3986=0,+L3986+H3986,0)</f>
        <v/>
      </c>
      <c r="N3986" s="7">
        <f>IF((+G3986-K3986)=0,0,+G3986-K3986)</f>
        <v/>
      </c>
      <c r="O3986" s="7">
        <f>IF(N3986=0,0,(L3986+H3986)/-N3986)</f>
        <v/>
      </c>
      <c r="P3986" s="7">
        <f>VLOOKUP(OPERAC[[#This Row],[especie]],[1]!ESPECIES[#All],6,0)</f>
        <v/>
      </c>
      <c r="Q3986" s="7">
        <f>IF(N3986&lt;&gt;0,P3986*N3986,0)</f>
        <v/>
      </c>
      <c r="R3986" s="8">
        <f>IF(Q3986&lt;&gt;0,Q3986+H3986+L3986,0)</f>
        <v/>
      </c>
      <c r="S3986" s="9">
        <f>VLOOKUP(OPERAC[[#This Row],[especie]],[1]!ESPECIES[#Data],9,FALSE)</f>
        <v/>
      </c>
    </row>
    <row r="3987">
      <c r="A3987" s="4" t="n">
        <v>2203</v>
      </c>
      <c r="B3987" s="5" t="n">
        <v>44708</v>
      </c>
      <c r="C3987" s="13" t="inlineStr">
        <is>
          <t>CPR</t>
        </is>
      </c>
      <c r="D3987" s="13" t="n">
        <v>42</v>
      </c>
      <c r="E3987" s="10">
        <f>IF(D3987&gt;0,VLOOKUP(OPERAC[[#This Row],[COD CART]],[1]!MatrizCortoLargoCyl[#All],3,0),"")</f>
        <v/>
      </c>
      <c r="F3987" s="13" t="inlineStr">
        <is>
          <t>ACB</t>
        </is>
      </c>
      <c r="G3987" s="6" t="n">
        <v>500</v>
      </c>
      <c r="H3987" s="6" t="n">
        <v>-912.6603944024999</v>
      </c>
      <c r="I3987" s="7">
        <f>-H3987/G3987</f>
        <v/>
      </c>
      <c r="J3987" s="5" t="n"/>
      <c r="K3987" s="6" t="n"/>
      <c r="L3987" s="6" t="n"/>
      <c r="M3987" s="7">
        <f>IF(N3987=0,+L3987+H3987,0)</f>
        <v/>
      </c>
      <c r="N3987" s="7">
        <f>IF((+G3987-K3987)=0,0,+G3987-K3987)</f>
        <v/>
      </c>
      <c r="O3987" s="7">
        <f>IF(N3987=0,0,(L3987+H3987)/-N3987)</f>
        <v/>
      </c>
      <c r="P3987" s="7">
        <f>VLOOKUP(OPERAC[[#This Row],[especie]],[1]!ESPECIES[#All],6,0)</f>
        <v/>
      </c>
      <c r="Q3987" s="7">
        <f>IF(N3987&lt;&gt;0,P3987*N3987,0)</f>
        <v/>
      </c>
      <c r="R3987" s="8">
        <f>IF(Q3987&lt;&gt;0,Q3987+H3987+L3987,0)</f>
        <v/>
      </c>
      <c r="S3987" s="9">
        <f>VLOOKUP(OPERAC[[#This Row],[especie]],[1]!ESPECIES[#Data],9,FALSE)</f>
        <v/>
      </c>
    </row>
    <row r="3988">
      <c r="A3988" s="4" t="n">
        <v>18651</v>
      </c>
      <c r="B3988" s="5" t="n">
        <v>44708</v>
      </c>
      <c r="C3988" s="13" t="inlineStr">
        <is>
          <t>CPR</t>
        </is>
      </c>
      <c r="D3988" s="13" t="n">
        <v>42</v>
      </c>
      <c r="E3988" s="10">
        <f>IF(D3988&gt;0,VLOOKUP(OPERAC[[#This Row],[COD CART]],[1]!MatrizCortoLargoCyl[#All],3,0),"")</f>
        <v/>
      </c>
      <c r="F3988" s="13" t="inlineStr">
        <is>
          <t>ACB</t>
        </is>
      </c>
      <c r="G3988" s="6" t="n">
        <v>500</v>
      </c>
      <c r="H3988" s="6" t="n">
        <v>-912.6603944024999</v>
      </c>
      <c r="I3988" s="7">
        <f>-H3988/G3988</f>
        <v/>
      </c>
      <c r="J3988" s="5" t="n"/>
      <c r="K3988" s="6" t="n"/>
      <c r="L3988" s="6" t="n"/>
      <c r="M3988" s="7">
        <f>IF(N3988=0,+L3988+H3988,0)</f>
        <v/>
      </c>
      <c r="N3988" s="7">
        <f>IF((+G3988-K3988)=0,0,+G3988-K3988)</f>
        <v/>
      </c>
      <c r="O3988" s="7">
        <f>IF(N3988=0,0,(L3988+H3988)/-N3988)</f>
        <v/>
      </c>
      <c r="P3988" s="7">
        <f>VLOOKUP(OPERAC[[#This Row],[especie]],[1]!ESPECIES[#All],6,0)</f>
        <v/>
      </c>
      <c r="Q3988" s="7">
        <f>IF(N3988&lt;&gt;0,P3988*N3988,0)</f>
        <v/>
      </c>
      <c r="R3988" s="8">
        <f>IF(Q3988&lt;&gt;0,Q3988+H3988+L3988,0)</f>
        <v/>
      </c>
      <c r="S3988" s="9">
        <f>VLOOKUP(OPERAC[[#This Row],[especie]],[1]!ESPECIES[#Data],9,FALSE)</f>
        <v/>
      </c>
    </row>
    <row r="3989">
      <c r="A3989" s="4" t="n">
        <v>1807</v>
      </c>
      <c r="B3989" s="5" t="n">
        <v>44551</v>
      </c>
      <c r="C3989" s="13" t="inlineStr">
        <is>
          <t>CPR</t>
        </is>
      </c>
      <c r="D3989" s="13" t="n">
        <v>40</v>
      </c>
      <c r="E3989" s="10">
        <f>IF(D3989&gt;0,VLOOKUP(OPERAC[[#This Row],[COD CART]],[1]!MatrizCortoLargoCyl[#All],3,0),"")</f>
        <v/>
      </c>
      <c r="F3989" s="13" t="inlineStr">
        <is>
          <t>EDIT</t>
        </is>
      </c>
      <c r="G3989" s="6" t="n">
        <v>30</v>
      </c>
      <c r="H3989" s="6" t="n">
        <v>-912.7859999999999</v>
      </c>
      <c r="I3989" s="7">
        <f>-H3989/G3989</f>
        <v/>
      </c>
      <c r="J3989" s="11" t="n">
        <v>44585</v>
      </c>
      <c r="K3989" s="6" t="n">
        <v>30</v>
      </c>
      <c r="L3989" s="6" t="n">
        <v>514.4299999999999</v>
      </c>
      <c r="M3989" s="7">
        <f>IF(N3989=0,+L3989+H3989,0)</f>
        <v/>
      </c>
      <c r="N3989" s="7">
        <f>IF((+G3989-K3989)=0,0,+G3989-K3989)</f>
        <v/>
      </c>
      <c r="O3989" s="7">
        <f>IF(N3989=0,0,(L3989+H3989)/-N3989)</f>
        <v/>
      </c>
      <c r="P3989" s="7">
        <f>VLOOKUP(OPERAC[[#This Row],[especie]],[1]!ESPECIES[#All],6,0)</f>
        <v/>
      </c>
      <c r="Q3989" s="7">
        <f>IF(N3989&lt;&gt;0,P3989*N3989,0)</f>
        <v/>
      </c>
      <c r="R3989" s="8">
        <f>IF(Q3989&lt;&gt;0,Q3989+H3989+L3989,0)</f>
        <v/>
      </c>
      <c r="S3989" s="9">
        <f>VLOOKUP(OPERAC[[#This Row],[especie]],[1]!ESPECIES[#Data],9,FALSE)</f>
        <v/>
      </c>
    </row>
    <row r="3990">
      <c r="A3990" s="4" t="n">
        <v>4561</v>
      </c>
      <c r="B3990" s="5" t="n">
        <v>44551</v>
      </c>
      <c r="C3990" s="13" t="inlineStr">
        <is>
          <t>CPR</t>
        </is>
      </c>
      <c r="D3990" s="13" t="n">
        <v>40</v>
      </c>
      <c r="E3990" s="10">
        <f>IF(D3990&gt;0,VLOOKUP(OPERAC[[#This Row],[COD CART]],[1]!MatrizCortoLargoCyl[#All],3,0),"")</f>
        <v/>
      </c>
      <c r="F3990" s="13" t="inlineStr">
        <is>
          <t>EDIT</t>
        </is>
      </c>
      <c r="G3990" s="6" t="n">
        <v>30</v>
      </c>
      <c r="H3990" s="6" t="n">
        <v>-912.7859999999999</v>
      </c>
      <c r="I3990" s="7">
        <f>-H3990/G3990</f>
        <v/>
      </c>
      <c r="J3990" s="11" t="n">
        <v>44606</v>
      </c>
      <c r="K3990" s="6" t="n">
        <v>30</v>
      </c>
      <c r="L3990" s="6" t="n">
        <v>481.95</v>
      </c>
      <c r="M3990" s="7">
        <f>IF(N3990=0,+L3990+H3990,0)</f>
        <v/>
      </c>
      <c r="N3990" s="7">
        <f>IF((+G3990-K3990)=0,0,+G3990-K3990)</f>
        <v/>
      </c>
      <c r="O3990" s="7">
        <f>IF(N3990=0,0,(L3990+H3990)/-N3990)</f>
        <v/>
      </c>
      <c r="P3990" s="7">
        <f>VLOOKUP(OPERAC[[#This Row],[especie]],[1]!ESPECIES[#All],6,0)</f>
        <v/>
      </c>
      <c r="Q3990" s="7">
        <f>IF(N3990&lt;&gt;0,P3990*N3990,0)</f>
        <v/>
      </c>
      <c r="R3990" s="8">
        <f>IF(Q3990&lt;&gt;0,Q3990+H3990+L3990,0)</f>
        <v/>
      </c>
      <c r="S3990" s="9">
        <f>VLOOKUP(OPERAC[[#This Row],[especie]],[1]!ESPECIES[#Data],9,FALSE)</f>
        <v/>
      </c>
    </row>
    <row r="3991">
      <c r="A3991" s="4" t="n">
        <v>12619</v>
      </c>
      <c r="B3991" s="5" t="n">
        <v>44551</v>
      </c>
      <c r="C3991" s="13" t="inlineStr">
        <is>
          <t>CPR</t>
        </is>
      </c>
      <c r="D3991" s="13" t="n">
        <v>40</v>
      </c>
      <c r="E3991" s="10">
        <f>IF(D3991&gt;0,VLOOKUP(OPERAC[[#This Row],[COD CART]],[1]!MatrizCortoLargoCyl[#All],3,0),"")</f>
        <v/>
      </c>
      <c r="F3991" s="13" t="inlineStr">
        <is>
          <t>EDIT</t>
        </is>
      </c>
      <c r="G3991" s="6" t="n">
        <v>30</v>
      </c>
      <c r="H3991" s="6" t="n">
        <v>-912.7859999999999</v>
      </c>
      <c r="I3991" s="7">
        <f>-H3991/G3991</f>
        <v/>
      </c>
      <c r="J3991" s="11" t="n">
        <v>44606</v>
      </c>
      <c r="K3991" s="6" t="n">
        <v>30</v>
      </c>
      <c r="L3991" s="6" t="n">
        <v>480.983</v>
      </c>
      <c r="M3991" s="7">
        <f>IF(N3991=0,+L3991+H3991,0)</f>
        <v/>
      </c>
      <c r="N3991" s="7">
        <f>IF((+G3991-K3991)=0,0,+G3991-K3991)</f>
        <v/>
      </c>
      <c r="O3991" s="7">
        <f>IF(N3991=0,0,(L3991+H3991)/-N3991)</f>
        <v/>
      </c>
      <c r="P3991" s="7">
        <f>VLOOKUP(OPERAC[[#This Row],[especie]],[1]!ESPECIES[#All],6,0)</f>
        <v/>
      </c>
      <c r="Q3991" s="7">
        <f>IF(N3991&lt;&gt;0,P3991*N3991,0)</f>
        <v/>
      </c>
      <c r="R3991" s="8">
        <f>IF(Q3991&lt;&gt;0,Q3991+H3991+L3991,0)</f>
        <v/>
      </c>
      <c r="S3991" s="9">
        <f>VLOOKUP(OPERAC[[#This Row],[especie]],[1]!ESPECIES[#Data],9,FALSE)</f>
        <v/>
      </c>
    </row>
    <row r="3992">
      <c r="A3992" s="4" t="n">
        <v>3728</v>
      </c>
      <c r="B3992" s="5" t="n">
        <v>44707</v>
      </c>
      <c r="C3992" s="13" t="inlineStr">
        <is>
          <t>CPR</t>
        </is>
      </c>
      <c r="D3992" s="13" t="n">
        <v>32</v>
      </c>
      <c r="E3992" s="10">
        <f>IF(D3992&gt;0,VLOOKUP(OPERAC[[#This Row],[COD CART]],[1]!MatrizCortoLargoCyl[#All],3,0),"")</f>
        <v/>
      </c>
      <c r="F3992" s="13" t="inlineStr">
        <is>
          <t>PLBY/CYL/12,50/17-06-22</t>
        </is>
      </c>
      <c r="G3992" s="6" t="n">
        <v>100</v>
      </c>
      <c r="H3992" s="6" t="n">
        <v>-912.938</v>
      </c>
      <c r="I3992" s="7">
        <f>-H3992/G3992</f>
        <v/>
      </c>
      <c r="J3992" s="5" t="n"/>
      <c r="K3992" s="6" t="n"/>
      <c r="L3992" s="6" t="n"/>
      <c r="M3992" s="7">
        <f>IF(N3992=0,+L3992+H3992,0)</f>
        <v/>
      </c>
      <c r="N3992" s="7">
        <f>IF((+G3992-K3992)=0,0,+G3992-K3992)</f>
        <v/>
      </c>
      <c r="O3992" s="7">
        <f>IF(N3992=0,0,(L3992+H3992)/-N3992)</f>
        <v/>
      </c>
      <c r="P3992" s="7">
        <f>VLOOKUP(OPERAC[[#This Row],[especie]],[1]!ESPECIES[#All],6,0)</f>
        <v/>
      </c>
      <c r="Q3992" s="7">
        <f>IF(N3992&lt;&gt;0,P3992*N3992,0)</f>
        <v/>
      </c>
      <c r="R3992" s="8">
        <f>IF(Q3992&lt;&gt;0,Q3992+H3992+L3992,0)</f>
        <v/>
      </c>
      <c r="S3992" s="9">
        <f>VLOOKUP(OPERAC[[#This Row],[especie]],[1]!ESPECIES[#Data],9,FALSE)</f>
        <v/>
      </c>
    </row>
    <row r="3993">
      <c r="A3993" s="4" t="n">
        <v>7879</v>
      </c>
      <c r="B3993" s="5" t="n">
        <v>44223</v>
      </c>
      <c r="C3993" s="13" t="inlineStr">
        <is>
          <t>CPR</t>
        </is>
      </c>
      <c r="D3993" s="13" t="n">
        <v>41</v>
      </c>
      <c r="E3993" s="10">
        <f>IF(D3993&gt;0,VLOOKUP(OPERAC[[#This Row],[COD CART]],[1]!MatrizCortoLargoCyl[#All],3,0),"")</f>
        <v/>
      </c>
      <c r="F3993" s="13" t="inlineStr">
        <is>
          <t>GBTC</t>
        </is>
      </c>
      <c r="G3993" s="6" t="n">
        <v>30</v>
      </c>
      <c r="H3993" s="6" t="n">
        <v>-913.3408000000001</v>
      </c>
      <c r="I3993" s="7">
        <f>-H3993/G3993</f>
        <v/>
      </c>
      <c r="J3993" s="11" t="n"/>
      <c r="K3993" s="6" t="n"/>
      <c r="L3993" s="6" t="n"/>
      <c r="M3993" s="7">
        <f>IF(N3993=0,+L3993+H3993,0)</f>
        <v/>
      </c>
      <c r="N3993" s="7">
        <f>IF((+G3993-K3993)=0,0,+G3993-K3993)</f>
        <v/>
      </c>
      <c r="O3993" s="7" t="n">
        <v>23.7</v>
      </c>
      <c r="P3993" s="7">
        <f>VLOOKUP(OPERAC[[#This Row],[especie]],[1]!ESPECIES[#All],6,0)</f>
        <v/>
      </c>
      <c r="Q3993" s="7">
        <f>IF(N3993&lt;&gt;0,P3993*N3993,0)</f>
        <v/>
      </c>
      <c r="R3993" s="8">
        <f>IF(Q3993&lt;&gt;0,Q3993+H3993+L3993,0)</f>
        <v/>
      </c>
      <c r="S3993" s="9">
        <f>VLOOKUP(OPERAC[[#This Row],[especie]],[1]!ESPECIES[#Data],9,FALSE)</f>
        <v/>
      </c>
    </row>
    <row r="3994">
      <c r="A3994" s="4" t="n">
        <v>18724</v>
      </c>
      <c r="B3994" s="5" t="n">
        <v>44650</v>
      </c>
      <c r="C3994" s="13" t="inlineStr">
        <is>
          <t>CPR</t>
        </is>
      </c>
      <c r="D3994" s="13" t="n">
        <v>42</v>
      </c>
      <c r="E3994" s="10">
        <f>IF(D3994&gt;0,VLOOKUP(OPERAC[[#This Row],[COD CART]],[1]!MatrizCortoLargoCyl[#All],3,0),"")</f>
        <v/>
      </c>
      <c r="F3994" s="13" t="inlineStr">
        <is>
          <t>BBAR</t>
        </is>
      </c>
      <c r="G3994" s="6" t="n">
        <v>250</v>
      </c>
      <c r="H3994" s="6" t="n">
        <v>-913.49</v>
      </c>
      <c r="I3994" s="7">
        <f>-H3994/G3994</f>
        <v/>
      </c>
      <c r="J3994" s="11" t="n">
        <v>44693</v>
      </c>
      <c r="K3994" s="6" t="n">
        <v>250</v>
      </c>
      <c r="L3994" s="6" t="n">
        <v>699.0309999999999</v>
      </c>
      <c r="M3994" s="7">
        <f>IF(N3994=0,+L3994+H3994,0)</f>
        <v/>
      </c>
      <c r="N3994" s="7">
        <f>IF((+G3994-K3994)=0,0,+G3994-K3994)</f>
        <v/>
      </c>
      <c r="O3994" s="7">
        <f>IF(N3994=0,0,(L3994+H3994)/-N3994)</f>
        <v/>
      </c>
      <c r="P3994" s="7">
        <f>VLOOKUP(OPERAC[[#This Row],[especie]],[1]!ESPECIES[#All],6,0)</f>
        <v/>
      </c>
      <c r="Q3994" s="7">
        <f>IF(N3994&lt;&gt;0,P3994*N3994,0)</f>
        <v/>
      </c>
      <c r="R3994" s="8">
        <f>IF(Q3994&lt;&gt;0,Q3994+H3994+L3994,0)</f>
        <v/>
      </c>
      <c r="S3994" s="9">
        <f>VLOOKUP(OPERAC[[#This Row],[especie]],[1]!ESPECIES[#Data],9,FALSE)</f>
        <v/>
      </c>
    </row>
    <row r="3995">
      <c r="A3995" s="4" t="n">
        <v>16780</v>
      </c>
      <c r="B3995" s="5" t="n">
        <v>44662</v>
      </c>
      <c r="C3995" s="13" t="inlineStr">
        <is>
          <t>CPR</t>
        </is>
      </c>
      <c r="D3995" s="13" t="n">
        <v>42</v>
      </c>
      <c r="E3995" s="10">
        <f>IF(D3995&gt;0,VLOOKUP(OPERAC[[#This Row],[COD CART]],[1]!MatrizCortoLargoCyl[#All],3,0),"")</f>
        <v/>
      </c>
      <c r="F3995" s="13" t="inlineStr">
        <is>
          <t>UPST</t>
        </is>
      </c>
      <c r="G3995" s="6" t="n">
        <v>10</v>
      </c>
      <c r="H3995" s="6" t="n">
        <v>-914.0036</v>
      </c>
      <c r="I3995" s="7">
        <f>-H3995/G3995</f>
        <v/>
      </c>
      <c r="J3995" s="11" t="n">
        <v>44693</v>
      </c>
      <c r="K3995" s="6" t="n">
        <v>10</v>
      </c>
      <c r="L3995" s="6" t="n">
        <v>307.44</v>
      </c>
      <c r="M3995" s="7">
        <f>IF(N3995=0,+L3995+H3995,0)</f>
        <v/>
      </c>
      <c r="N3995" s="7">
        <f>IF((+G3995-K3995)=0,0,+G3995-K3995)</f>
        <v/>
      </c>
      <c r="O3995" s="7">
        <f>IF(N3995=0,0,(L3995+H3995)/-N3995)</f>
        <v/>
      </c>
      <c r="P3995" s="7">
        <f>VLOOKUP(OPERAC[[#This Row],[especie]],[1]!ESPECIES[#All],6,0)</f>
        <v/>
      </c>
      <c r="Q3995" s="7">
        <f>IF(N3995&lt;&gt;0,P3995*N3995,0)</f>
        <v/>
      </c>
      <c r="R3995" s="8">
        <f>IF(Q3995&lt;&gt;0,Q3995+H3995+L3995,0)</f>
        <v/>
      </c>
      <c r="S3995" s="9">
        <f>VLOOKUP(OPERAC[[#This Row],[especie]],[1]!ESPECIES[#Data],9,FALSE)</f>
        <v/>
      </c>
    </row>
    <row r="3996">
      <c r="A3996" s="4" t="n">
        <v>20312</v>
      </c>
      <c r="B3996" s="5" t="n">
        <v>44669</v>
      </c>
      <c r="C3996" s="13" t="inlineStr">
        <is>
          <t>CPR</t>
        </is>
      </c>
      <c r="D3996" s="13" t="n">
        <v>32</v>
      </c>
      <c r="E3996" s="10">
        <f>IF(D3996&gt;0,VLOOKUP(OPERAC[[#This Row],[COD CART]],[1]!MatrizCortoLargoCyl[#All],3,0),"")</f>
        <v/>
      </c>
      <c r="F3996" s="13" t="inlineStr">
        <is>
          <t>HMY/CYL/5,00/19-08-22</t>
        </is>
      </c>
      <c r="G3996" s="6" t="n">
        <v>200</v>
      </c>
      <c r="H3996" s="6">
        <f>-4.64*OPERAC[[#This Row],[cantidad]]+13.881</f>
        <v/>
      </c>
      <c r="I3996" s="7">
        <f>-H3996/G3996</f>
        <v/>
      </c>
      <c r="J3996" s="11" t="n"/>
      <c r="K3996" s="6" t="n"/>
      <c r="L3996" s="6" t="n"/>
      <c r="M3996" s="7">
        <f>IF(N3996=0,+L3996+H3996,0)</f>
        <v/>
      </c>
      <c r="N3996" s="7">
        <f>IF((+G3996-K3996)=0,0,+G3996-K3996)</f>
        <v/>
      </c>
      <c r="O3996" s="7">
        <f>IF(N3996=0,0,(L3996+H3996)/-N3996)</f>
        <v/>
      </c>
      <c r="P3996" s="7">
        <f>VLOOKUP(OPERAC[[#This Row],[especie]],[1]!ESPECIES[#All],6,0)</f>
        <v/>
      </c>
      <c r="Q3996" s="7">
        <f>IF(N3996&lt;&gt;0,P3996*N3996,0)</f>
        <v/>
      </c>
      <c r="R3996" s="8">
        <f>IF(Q3996&lt;&gt;0,Q3996+H3996+L3996,0)</f>
        <v/>
      </c>
      <c r="S3996" s="9">
        <f>VLOOKUP(OPERAC[[#This Row],[especie]],[1]!ESPECIES[#Data],9,FALSE)</f>
        <v/>
      </c>
    </row>
    <row r="3997">
      <c r="A3997" s="4" t="n">
        <v>26137</v>
      </c>
      <c r="B3997" s="5" t="n">
        <v>44669</v>
      </c>
      <c r="C3997" s="13" t="inlineStr">
        <is>
          <t>CPR</t>
        </is>
      </c>
      <c r="D3997" s="13" t="n">
        <v>32</v>
      </c>
      <c r="E3997" s="10">
        <f>IF(D3997&gt;0,VLOOKUP(OPERAC[[#This Row],[COD CART]],[1]!MatrizCortoLargoCyl[#All],3,0),"")</f>
        <v/>
      </c>
      <c r="F3997" s="13" t="inlineStr">
        <is>
          <t>HMY/CYL/5,00/19-08-22</t>
        </is>
      </c>
      <c r="G3997" s="6" t="n">
        <v>200</v>
      </c>
      <c r="H3997" s="6">
        <f>-4.64*OPERAC[[#This Row],[cantidad]]+13.881</f>
        <v/>
      </c>
      <c r="I3997" s="7">
        <f>-H3997/G3997</f>
        <v/>
      </c>
      <c r="J3997" s="11" t="n"/>
      <c r="K3997" s="6" t="n"/>
      <c r="L3997" s="6" t="n"/>
      <c r="M3997" s="7">
        <f>IF(N3997=0,+L3997+H3997,0)</f>
        <v/>
      </c>
      <c r="N3997" s="7">
        <f>IF((+G3997-K3997)=0,0,+G3997-K3997)</f>
        <v/>
      </c>
      <c r="O3997" s="7">
        <f>IF(N3997=0,0,(L3997+H3997)/-N3997)</f>
        <v/>
      </c>
      <c r="P3997" s="7">
        <f>VLOOKUP(OPERAC[[#This Row],[especie]],[1]!ESPECIES[#All],6,0)</f>
        <v/>
      </c>
      <c r="Q3997" s="7">
        <f>IF(N3997&lt;&gt;0,P3997*N3997,0)</f>
        <v/>
      </c>
      <c r="R3997" s="8">
        <f>IF(Q3997&lt;&gt;0,Q3997+H3997+L3997,0)</f>
        <v/>
      </c>
      <c r="S3997" s="9">
        <f>VLOOKUP(OPERAC[[#This Row],[especie]],[1]!ESPECIES[#Data],9,FALSE)</f>
        <v/>
      </c>
    </row>
    <row r="3998">
      <c r="A3998" s="4" t="n">
        <v>13253</v>
      </c>
      <c r="B3998" s="5" t="n">
        <v>44719</v>
      </c>
      <c r="C3998" s="13" t="inlineStr">
        <is>
          <t>CPR</t>
        </is>
      </c>
      <c r="D3998" s="13" t="n">
        <v>41</v>
      </c>
      <c r="E3998" s="10">
        <f>IF(D3998&gt;0,VLOOKUP(OPERAC[[#This Row],[COD CART]],[1]!MatrizCortoLargoCyl[#All],3,0),"")</f>
        <v/>
      </c>
      <c r="F3998" s="13" t="inlineStr">
        <is>
          <t>HIMX/CYL/9,50/17-06-22</t>
        </is>
      </c>
      <c r="G3998" s="6" t="n">
        <v>100</v>
      </c>
      <c r="H3998" s="6" t="n">
        <v>-915.87</v>
      </c>
      <c r="I3998" s="7">
        <f>-H3998/G3998</f>
        <v/>
      </c>
      <c r="J3998" s="5" t="n"/>
      <c r="K3998" s="6" t="n"/>
      <c r="L3998" s="6" t="n"/>
      <c r="M3998" s="7">
        <f>IF(N3998=0,+L3998+H3998,0)</f>
        <v/>
      </c>
      <c r="N3998" s="7">
        <f>IF((+G3998-K3998)=0,0,+G3998-K3998)</f>
        <v/>
      </c>
      <c r="O3998" s="7">
        <f>IF(N3998=0,0,(L3998+H3998)/-N3998)</f>
        <v/>
      </c>
      <c r="P3998" s="7">
        <f>VLOOKUP(OPERAC[[#This Row],[especie]],[1]!ESPECIES[#All],6,0)</f>
        <v/>
      </c>
      <c r="Q3998" s="7">
        <f>IF(N3998&lt;&gt;0,P3998*N3998,0)</f>
        <v/>
      </c>
      <c r="R3998" s="8">
        <f>IF(Q3998&lt;&gt;0,Q3998+H3998+L3998,0)</f>
        <v/>
      </c>
      <c r="S3998" s="9">
        <f>VLOOKUP(OPERAC[[#This Row],[especie]],[1]!ESPECIES[#Data],9,FALSE)</f>
        <v/>
      </c>
    </row>
    <row r="3999">
      <c r="A3999" s="4" t="n">
        <v>15194</v>
      </c>
      <c r="B3999" s="5" t="n">
        <v>44459</v>
      </c>
      <c r="C3999" s="13" t="inlineStr">
        <is>
          <t>CPR</t>
        </is>
      </c>
      <c r="D3999" s="13" t="n">
        <v>40</v>
      </c>
      <c r="E3999" s="10">
        <f>IF(D3999&gt;0,VLOOKUP(OPERAC[[#This Row],[COD CART]],[1]!MatrizCortoLargoCyl[#All],3,0),"")</f>
        <v/>
      </c>
      <c r="F3999" s="13" t="inlineStr">
        <is>
          <t>EDU</t>
        </is>
      </c>
      <c r="G3999" s="6" t="n">
        <v>1000</v>
      </c>
      <c r="H3999" s="6">
        <f>-955.96+0.04*OPERAC[[#This Row],[cantidad]]</f>
        <v/>
      </c>
      <c r="I3999" s="7">
        <f>-H3999/G3999</f>
        <v/>
      </c>
      <c r="J3999" s="11" t="n">
        <v>44630</v>
      </c>
      <c r="K3999" s="6" t="n">
        <v>1000</v>
      </c>
      <c r="L3999" s="6">
        <f>+OPERAC[[#This Row],[cantidad venta]]*1.16</f>
        <v/>
      </c>
      <c r="M3999" s="7">
        <f>IF(N3999=0,+L3999+H3999,0)</f>
        <v/>
      </c>
      <c r="N3999" s="7">
        <f>IF((+G3999-K3999)=0,0,+G3999-K3999)</f>
        <v/>
      </c>
      <c r="O3999" s="7">
        <f>IF(N3999=0,0,(L3999+H3999)/-N3999)</f>
        <v/>
      </c>
      <c r="P3999" s="7">
        <f>VLOOKUP(OPERAC[[#This Row],[especie]],[1]!ESPECIES[#All],6,0)</f>
        <v/>
      </c>
      <c r="Q3999" s="7">
        <f>IF(N3999&lt;&gt;0,P3999*N3999,0)</f>
        <v/>
      </c>
      <c r="R3999" s="8">
        <f>IF(Q3999&lt;&gt;0,Q3999+H3999+L3999,0)</f>
        <v/>
      </c>
      <c r="S3999" s="9">
        <f>VLOOKUP(OPERAC[[#This Row],[especie]],[1]!ESPECIES[#Data],9,FALSE)</f>
        <v/>
      </c>
    </row>
    <row r="4000">
      <c r="A4000" s="4" t="n">
        <v>16783</v>
      </c>
      <c r="B4000" s="5" t="n">
        <v>44459</v>
      </c>
      <c r="C4000" s="13" t="inlineStr">
        <is>
          <t>CPR</t>
        </is>
      </c>
      <c r="D4000" s="13" t="n">
        <v>40</v>
      </c>
      <c r="E4000" s="10">
        <f>IF(D4000&gt;0,VLOOKUP(OPERAC[[#This Row],[COD CART]],[1]!MatrizCortoLargoCyl[#All],3,0),"")</f>
        <v/>
      </c>
      <c r="F4000" s="13" t="inlineStr">
        <is>
          <t>EDU</t>
        </is>
      </c>
      <c r="G4000" s="6" t="n">
        <v>1000</v>
      </c>
      <c r="H4000" s="6">
        <f>-955.96+0.04*OPERAC[[#This Row],[cantidad]]</f>
        <v/>
      </c>
      <c r="I4000" s="7">
        <f>-H4000/G4000</f>
        <v/>
      </c>
      <c r="J4000" s="11" t="n">
        <v>44630</v>
      </c>
      <c r="K4000" s="6" t="n">
        <v>1000</v>
      </c>
      <c r="L4000" s="6" t="n">
        <v>1141.26</v>
      </c>
      <c r="M4000" s="7">
        <f>IF(N4000=0,+L4000+H4000,0)</f>
        <v/>
      </c>
      <c r="N4000" s="7">
        <f>IF((+G4000-K4000)=0,0,+G4000-K4000)</f>
        <v/>
      </c>
      <c r="O4000" s="7">
        <f>IF(N4000=0,0,(L4000+H4000)/-N4000)</f>
        <v/>
      </c>
      <c r="P4000" s="7">
        <f>VLOOKUP(OPERAC[[#This Row],[especie]],[1]!ESPECIES[#All],6,0)</f>
        <v/>
      </c>
      <c r="Q4000" s="7">
        <f>IF(N4000&lt;&gt;0,P4000*N4000,0)</f>
        <v/>
      </c>
      <c r="R4000" s="8">
        <f>IF(Q4000&lt;&gt;0,Q4000+H4000+L4000,0)</f>
        <v/>
      </c>
      <c r="S4000" s="9">
        <f>VLOOKUP(OPERAC[[#This Row],[especie]],[1]!ESPECIES[#Data],9,FALSE)</f>
        <v/>
      </c>
    </row>
    <row r="4001">
      <c r="A4001" s="4" t="n">
        <v>18651</v>
      </c>
      <c r="B4001" s="5" t="n">
        <v>44459</v>
      </c>
      <c r="C4001" s="13" t="inlineStr">
        <is>
          <t>CPR</t>
        </is>
      </c>
      <c r="D4001" s="13" t="n">
        <v>40</v>
      </c>
      <c r="E4001" s="10">
        <f>IF(D4001&gt;0,VLOOKUP(OPERAC[[#This Row],[COD CART]],[1]!MatrizCortoLargoCyl[#All],3,0),"")</f>
        <v/>
      </c>
      <c r="F4001" s="13" t="inlineStr">
        <is>
          <t>EDU</t>
        </is>
      </c>
      <c r="G4001" s="6" t="n">
        <v>1000</v>
      </c>
      <c r="H4001" s="6">
        <f>-955.96+0.04*OPERAC[[#This Row],[cantidad]]</f>
        <v/>
      </c>
      <c r="I4001" s="7">
        <f>-H4001/G4001</f>
        <v/>
      </c>
      <c r="J4001" s="11" t="n">
        <v>44614</v>
      </c>
      <c r="K4001" s="6">
        <f>+OPERAC[[#This Row],[cantidad]]</f>
        <v/>
      </c>
      <c r="L4001" s="6">
        <f>1.483*OPERAC[[#This Row],[cantidad venta]]</f>
        <v/>
      </c>
      <c r="M4001" s="7">
        <f>IF(N4001=0,+L4001+H4001,0)</f>
        <v/>
      </c>
      <c r="N4001" s="7">
        <f>IF((+G4001-K4001)=0,0,+G4001-K4001)</f>
        <v/>
      </c>
      <c r="O4001" s="7">
        <f>IF(N4001=0,0,(L4001+H4001)/-N4001)</f>
        <v/>
      </c>
      <c r="P4001" s="7">
        <f>VLOOKUP(OPERAC[[#This Row],[especie]],[1]!ESPECIES[#All],6,0)</f>
        <v/>
      </c>
      <c r="Q4001" s="7">
        <f>IF(N4001&lt;&gt;0,P4001*N4001,0)</f>
        <v/>
      </c>
      <c r="R4001" s="8">
        <f>IF(Q4001&lt;&gt;0,Q4001+H4001+L4001,0)</f>
        <v/>
      </c>
      <c r="S4001" s="9">
        <f>VLOOKUP(OPERAC[[#This Row],[especie]],[1]!ESPECIES[#Data],9,FALSE)</f>
        <v/>
      </c>
    </row>
    <row r="4002">
      <c r="A4002" s="4" t="n">
        <v>19920</v>
      </c>
      <c r="B4002" s="5" t="n">
        <v>44459</v>
      </c>
      <c r="C4002" s="13" t="inlineStr">
        <is>
          <t>CPR</t>
        </is>
      </c>
      <c r="D4002" s="13" t="n">
        <v>40</v>
      </c>
      <c r="E4002" s="10">
        <f>IF(D4002&gt;0,VLOOKUP(OPERAC[[#This Row],[COD CART]],[1]!MatrizCortoLargoCyl[#All],3,0),"")</f>
        <v/>
      </c>
      <c r="F4002" s="13" t="inlineStr">
        <is>
          <t>EDU</t>
        </is>
      </c>
      <c r="G4002" s="6" t="n">
        <v>1000</v>
      </c>
      <c r="H4002" s="6">
        <f>-955.96+0.04*OPERAC[[#This Row],[cantidad]]</f>
        <v/>
      </c>
      <c r="I4002" s="7">
        <f>-H4002/G4002</f>
        <v/>
      </c>
      <c r="J4002" s="11" t="n">
        <v>44630</v>
      </c>
      <c r="K4002" s="6" t="n">
        <v>1000</v>
      </c>
      <c r="L4002" s="6" t="n">
        <v>1136.656</v>
      </c>
      <c r="M4002" s="7">
        <f>IF(N4002=0,+L4002+H4002,0)</f>
        <v/>
      </c>
      <c r="N4002" s="7">
        <f>IF((+G4002-K4002)=0,0,+G4002-K4002)</f>
        <v/>
      </c>
      <c r="O4002" s="7">
        <f>IF(N4002=0,0,(L4002+H4002)/-N4002)</f>
        <v/>
      </c>
      <c r="P4002" s="7">
        <f>VLOOKUP(OPERAC[[#This Row],[especie]],[1]!ESPECIES[#All],6,0)</f>
        <v/>
      </c>
      <c r="Q4002" s="7">
        <f>IF(N4002&lt;&gt;0,P4002*N4002,0)</f>
        <v/>
      </c>
      <c r="R4002" s="8">
        <f>IF(Q4002&lt;&gt;0,Q4002+H4002+L4002,0)</f>
        <v/>
      </c>
      <c r="S4002" s="9">
        <f>VLOOKUP(OPERAC[[#This Row],[especie]],[1]!ESPECIES[#Data],9,FALSE)</f>
        <v/>
      </c>
    </row>
    <row r="4003">
      <c r="A4003" s="4" t="n">
        <v>16783</v>
      </c>
      <c r="B4003" s="5" t="n">
        <v>44707</v>
      </c>
      <c r="C4003" s="13" t="inlineStr">
        <is>
          <t>CPR</t>
        </is>
      </c>
      <c r="D4003" s="13" t="n">
        <v>32</v>
      </c>
      <c r="E4003" s="10">
        <f>IF(D4003&gt;0,VLOOKUP(OPERAC[[#This Row],[COD CART]],[1]!MatrizCortoLargoCyl[#All],3,0),"")</f>
        <v/>
      </c>
      <c r="F4003" s="13" t="inlineStr">
        <is>
          <t>PLBY/CYL/12,50/17-06-22</t>
        </is>
      </c>
      <c r="G4003" s="6" t="n">
        <v>100</v>
      </c>
      <c r="H4003" s="6" t="n">
        <v>-916.22</v>
      </c>
      <c r="I4003" s="7">
        <f>-H4003/G4003</f>
        <v/>
      </c>
      <c r="J4003" s="5" t="n"/>
      <c r="K4003" s="6" t="n"/>
      <c r="L4003" s="6" t="n"/>
      <c r="M4003" s="7">
        <f>IF(N4003=0,+L4003+H4003,0)</f>
        <v/>
      </c>
      <c r="N4003" s="7">
        <f>IF((+G4003-K4003)=0,0,+G4003-K4003)</f>
        <v/>
      </c>
      <c r="O4003" s="7">
        <f>IF(N4003=0,0,(L4003+H4003)/-N4003)</f>
        <v/>
      </c>
      <c r="P4003" s="7">
        <f>VLOOKUP(OPERAC[[#This Row],[especie]],[1]!ESPECIES[#All],6,0)</f>
        <v/>
      </c>
      <c r="Q4003" s="7">
        <f>IF(N4003&lt;&gt;0,P4003*N4003,0)</f>
        <v/>
      </c>
      <c r="R4003" s="8">
        <f>IF(Q4003&lt;&gt;0,Q4003+H4003+L4003,0)</f>
        <v/>
      </c>
      <c r="S4003" s="9">
        <f>VLOOKUP(OPERAC[[#This Row],[especie]],[1]!ESPECIES[#Data],9,FALSE)</f>
        <v/>
      </c>
    </row>
    <row r="4004">
      <c r="A4004" s="4" t="n">
        <v>1760</v>
      </c>
      <c r="B4004" s="5" t="n">
        <v>44462</v>
      </c>
      <c r="C4004" s="13" t="inlineStr">
        <is>
          <t>CPR</t>
        </is>
      </c>
      <c r="D4004" s="13" t="n">
        <v>43</v>
      </c>
      <c r="E4004" s="10">
        <f>IF(D4004&gt;0,VLOOKUP(OPERAC[[#This Row],[COD CART]],[1]!MatrizCortoLargoCyl[#All],3,0),"")</f>
        <v/>
      </c>
      <c r="F4004" s="13" t="inlineStr">
        <is>
          <t>SOLO/CYL-PUT/4,00/18-03-22</t>
        </is>
      </c>
      <c r="G4004" s="6" t="n">
        <v>500</v>
      </c>
      <c r="H4004" s="6">
        <f>OPERAC[[#This Row],[cantidad]]*-2.54+0.32*OPERAC[[#This Row],[cantidad]]+0.387*OPERAC[[#This Row],[cantidad]]</f>
        <v/>
      </c>
      <c r="I4004" s="7">
        <f>-H4004/G4004</f>
        <v/>
      </c>
      <c r="J4004" s="11" t="n">
        <v>44622</v>
      </c>
      <c r="K4004" s="6" t="n">
        <v>500</v>
      </c>
      <c r="L4004" s="6" t="n">
        <v>-49.738</v>
      </c>
      <c r="M4004" s="7">
        <f>IF(N4004=0,+L4004+H4004,0)</f>
        <v/>
      </c>
      <c r="N4004" s="7">
        <f>IF((+G4004-K4004)=0,0,+G4004-K4004)</f>
        <v/>
      </c>
      <c r="O4004" s="7">
        <f>IF(N4004=0,0,(L4004+H4004)/-N4004)</f>
        <v/>
      </c>
      <c r="P4004" s="7">
        <f>VLOOKUP(OPERAC[[#This Row],[especie]],[1]!ESPECIES[#All],6,0)</f>
        <v/>
      </c>
      <c r="Q4004" s="7">
        <f>IF(N4004&lt;&gt;0,P4004*N4004,0)</f>
        <v/>
      </c>
      <c r="R4004" s="8">
        <f>IF(Q4004&lt;&gt;0,Q4004+H4004+L4004,0)</f>
        <v/>
      </c>
      <c r="S4004" s="9">
        <f>VLOOKUP(OPERAC[[#This Row],[especie]],[1]!ESPECIES[#Data],9,FALSE)</f>
        <v/>
      </c>
    </row>
    <row r="4005">
      <c r="A4005" s="4" t="n">
        <v>16783</v>
      </c>
      <c r="B4005" s="5" t="n">
        <v>44462</v>
      </c>
      <c r="C4005" s="13" t="inlineStr">
        <is>
          <t>CPR</t>
        </is>
      </c>
      <c r="D4005" s="13" t="n">
        <v>43</v>
      </c>
      <c r="E4005" s="10">
        <f>IF(D4005&gt;0,VLOOKUP(OPERAC[[#This Row],[COD CART]],[1]!MatrizCortoLargoCyl[#All],3,0),"")</f>
        <v/>
      </c>
      <c r="F4005" s="13" t="inlineStr">
        <is>
          <t>SOLO/CYL-PUT/4,00/18-03-22</t>
        </is>
      </c>
      <c r="G4005" s="6" t="n">
        <v>500</v>
      </c>
      <c r="H4005" s="6">
        <f>OPERAC[[#This Row],[cantidad]]*-2.54+0.32*OPERAC[[#This Row],[cantidad]]+0.387*OPERAC[[#This Row],[cantidad]]</f>
        <v/>
      </c>
      <c r="I4005" s="7">
        <f>-H4005/G4005</f>
        <v/>
      </c>
      <c r="J4005" s="11" t="n">
        <v>44614</v>
      </c>
      <c r="K4005" s="6" t="n">
        <v>500</v>
      </c>
      <c r="L4005" s="6" t="n">
        <v>-106.74</v>
      </c>
      <c r="M4005" s="7">
        <f>IF(N4005=0,+L4005+H4005,0)</f>
        <v/>
      </c>
      <c r="N4005" s="7">
        <f>IF((+G4005-K4005)=0,0,+G4005-K4005)</f>
        <v/>
      </c>
      <c r="O4005" s="7">
        <f>IF(N4005=0,0,(L4005+H4005)/-N4005)</f>
        <v/>
      </c>
      <c r="P4005" s="7">
        <f>VLOOKUP(OPERAC[[#This Row],[especie]],[1]!ESPECIES[#All],6,0)</f>
        <v/>
      </c>
      <c r="Q4005" s="7">
        <f>IF(N4005&lt;&gt;0,P4005*N4005,0)</f>
        <v/>
      </c>
      <c r="R4005" s="8">
        <f>IF(Q4005&lt;&gt;0,Q4005+H4005+L4005,0)</f>
        <v/>
      </c>
      <c r="S4005" s="9">
        <f>VLOOKUP(OPERAC[[#This Row],[especie]],[1]!ESPECIES[#Data],9,FALSE)</f>
        <v/>
      </c>
    </row>
    <row r="4006">
      <c r="A4006" s="4" t="n">
        <v>16833</v>
      </c>
      <c r="B4006" s="5" t="n">
        <v>44501</v>
      </c>
      <c r="C4006" s="13" t="inlineStr">
        <is>
          <t>CPR</t>
        </is>
      </c>
      <c r="D4006" s="13" t="n">
        <v>32</v>
      </c>
      <c r="E4006" s="10">
        <f>IF(D4006&gt;0,VLOOKUP(OPERAC[[#This Row],[COD CART]],[1]!MatrizCortoLargoCyl[#All],3,0),"")</f>
        <v/>
      </c>
      <c r="F4006" s="13" t="inlineStr">
        <is>
          <t>SOLO/CYL/4,00/17-06-22</t>
        </is>
      </c>
      <c r="G4006" s="6" t="n">
        <v>300</v>
      </c>
      <c r="H4006" s="6">
        <f>-3.35*OPERAC[[#This Row],[cantidad]]+68.661+19.802</f>
        <v/>
      </c>
      <c r="I4006" s="7">
        <f>-H4006/G4006</f>
        <v/>
      </c>
      <c r="J4006" s="11" t="n">
        <v>44718</v>
      </c>
      <c r="K4006" s="6" t="n">
        <v>300</v>
      </c>
      <c r="L4006" s="6" t="n">
        <v>461.93</v>
      </c>
      <c r="M4006" s="7">
        <f>IF(N4006=0,+L4006+H4006,0)</f>
        <v/>
      </c>
      <c r="N4006" s="7">
        <f>IF((+G4006-K4006)=0,0,+G4006-K4006)</f>
        <v/>
      </c>
      <c r="O4006" s="7">
        <f>IF(N4006=0,0,(L4006+H4006)/-N4006)</f>
        <v/>
      </c>
      <c r="P4006" s="7">
        <f>VLOOKUP(OPERAC[[#This Row],[especie]],[1]!ESPECIES[#All],6,0)</f>
        <v/>
      </c>
      <c r="Q4006" s="7">
        <f>IF(N4006&lt;&gt;0,P4006*N4006,0)</f>
        <v/>
      </c>
      <c r="R4006" s="8">
        <f>IF(Q4006&lt;&gt;0,Q4006+H4006+L4006,0)</f>
        <v/>
      </c>
      <c r="S4006" s="9">
        <f>VLOOKUP(OPERAC[[#This Row],[especie]],[1]!ESPECIES[#Data],9,FALSE)</f>
        <v/>
      </c>
    </row>
    <row r="4007">
      <c r="A4007" s="4" t="n">
        <v>2218</v>
      </c>
      <c r="B4007" s="5" t="n">
        <v>44575</v>
      </c>
      <c r="C4007" s="13" t="inlineStr">
        <is>
          <t>CPR</t>
        </is>
      </c>
      <c r="D4007" s="13" t="n">
        <v>40</v>
      </c>
      <c r="E4007" s="10">
        <f>IF(D4007&gt;0,VLOOKUP(OPERAC[[#This Row],[COD CART]],[1]!MatrizCortoLargoCyl[#All],3,0),"")</f>
        <v/>
      </c>
      <c r="F4007" s="13" t="inlineStr">
        <is>
          <t>GBTC</t>
        </is>
      </c>
      <c r="G4007" s="6" t="n">
        <v>30</v>
      </c>
      <c r="H4007" s="6" t="n">
        <v>-917.8667999999999</v>
      </c>
      <c r="I4007" s="7">
        <f>-H4007/G4007</f>
        <v/>
      </c>
      <c r="J4007" s="11" t="n">
        <v>44651</v>
      </c>
      <c r="K4007" s="6">
        <f>+OPERAC[[#This Row],[cantidad]]</f>
        <v/>
      </c>
      <c r="L4007" s="6">
        <f>+OPERAC[[#This Row],[cantidad venta]]*31.332</f>
        <v/>
      </c>
      <c r="M4007" s="7">
        <f>IF(N4007=0,+L4007+H4007,0)</f>
        <v/>
      </c>
      <c r="N4007" s="7">
        <f>IF((+G4007-K4007)=0,0,+G4007-K4007)</f>
        <v/>
      </c>
      <c r="O4007" s="7">
        <f>IF(N4007=0,0,(L4007+H4007)/-N4007)</f>
        <v/>
      </c>
      <c r="P4007" s="7">
        <f>VLOOKUP(OPERAC[[#This Row],[especie]],[1]!ESPECIES[#All],6,0)</f>
        <v/>
      </c>
      <c r="Q4007" s="7">
        <f>IF(N4007&lt;&gt;0,P4007*N4007,0)</f>
        <v/>
      </c>
      <c r="R4007" s="8">
        <f>IF(Q4007&lt;&gt;0,Q4007+H4007+L4007,0)</f>
        <v/>
      </c>
      <c r="S4007" s="9">
        <f>VLOOKUP(OPERAC[[#This Row],[especie]],[1]!ESPECIES[#Data],9,FALSE)</f>
        <v/>
      </c>
    </row>
    <row r="4008">
      <c r="A4008" s="4" t="n">
        <v>1792</v>
      </c>
      <c r="B4008" s="5" t="n">
        <v>44707</v>
      </c>
      <c r="C4008" s="13" t="inlineStr">
        <is>
          <t>CPR</t>
        </is>
      </c>
      <c r="D4008" s="13" t="n">
        <v>32</v>
      </c>
      <c r="E4008" s="10">
        <f>IF(D4008&gt;0,VLOOKUP(OPERAC[[#This Row],[COD CART]],[1]!MatrizCortoLargoCyl[#All],3,0),"")</f>
        <v/>
      </c>
      <c r="F4008" s="13" t="inlineStr">
        <is>
          <t>PLBY/CYL/12,50/17-06-22</t>
        </is>
      </c>
      <c r="G4008" s="6" t="n">
        <v>100</v>
      </c>
      <c r="H4008" s="6" t="n">
        <v>-918.3099999999999</v>
      </c>
      <c r="I4008" s="7">
        <f>-H4008/G4008</f>
        <v/>
      </c>
      <c r="J4008" s="5" t="n"/>
      <c r="K4008" s="6" t="n"/>
      <c r="L4008" s="6" t="n"/>
      <c r="M4008" s="7">
        <f>IF(N4008=0,+L4008+H4008,0)</f>
        <v/>
      </c>
      <c r="N4008" s="7">
        <f>IF((+G4008-K4008)=0,0,+G4008-K4008)</f>
        <v/>
      </c>
      <c r="O4008" s="7">
        <f>IF(N4008=0,0,(L4008+H4008)/-N4008)</f>
        <v/>
      </c>
      <c r="P4008" s="7">
        <f>VLOOKUP(OPERAC[[#This Row],[especie]],[1]!ESPECIES[#All],6,0)</f>
        <v/>
      </c>
      <c r="Q4008" s="7">
        <f>IF(N4008&lt;&gt;0,P4008*N4008,0)</f>
        <v/>
      </c>
      <c r="R4008" s="8">
        <f>IF(Q4008&lt;&gt;0,Q4008+H4008+L4008,0)</f>
        <v/>
      </c>
      <c r="S4008" s="9">
        <f>VLOOKUP(OPERAC[[#This Row],[especie]],[1]!ESPECIES[#Data],9,FALSE)</f>
        <v/>
      </c>
    </row>
    <row r="4009">
      <c r="A4009" s="4" t="n">
        <v>10079</v>
      </c>
      <c r="B4009" s="5" t="n">
        <v>44649</v>
      </c>
      <c r="C4009" s="13" t="inlineStr">
        <is>
          <t>CPR</t>
        </is>
      </c>
      <c r="D4009" s="13" t="n">
        <v>42</v>
      </c>
      <c r="E4009" s="10">
        <f>IF(D4009&gt;0,VLOOKUP(OPERAC[[#This Row],[COD CART]],[1]!MatrizCortoLargoCyl[#All],3,0),"")</f>
        <v/>
      </c>
      <c r="F4009" s="13" t="inlineStr">
        <is>
          <t>FB</t>
        </is>
      </c>
      <c r="G4009" s="6" t="n">
        <v>4</v>
      </c>
      <c r="H4009" s="6" t="n">
        <v>-919.6226</v>
      </c>
      <c r="I4009" s="7">
        <f>-H4009/G4009</f>
        <v/>
      </c>
      <c r="J4009" s="11" t="n">
        <v>44671</v>
      </c>
      <c r="K4009" s="6">
        <f>+OPERAC[[#This Row],[cantidad]]</f>
        <v/>
      </c>
      <c r="L4009" s="6">
        <f>+OPERAC[[#This Row],[cantidad venta]]*213.173</f>
        <v/>
      </c>
      <c r="M4009" s="7">
        <f>IF(N4009=0,+L4009+H4009,0)</f>
        <v/>
      </c>
      <c r="N4009" s="7">
        <f>IF((+G4009-K4009)=0,0,+G4009-K4009)</f>
        <v/>
      </c>
      <c r="O4009" s="7">
        <f>IF(N4009=0,0,(L4009+H4009)/-N4009)</f>
        <v/>
      </c>
      <c r="P4009" s="7">
        <f>VLOOKUP(OPERAC[[#This Row],[especie]],[1]!ESPECIES[#All],6,0)</f>
        <v/>
      </c>
      <c r="Q4009" s="7">
        <f>IF(N4009&lt;&gt;0,P4009*N4009,0)</f>
        <v/>
      </c>
      <c r="R4009" s="8">
        <f>IF(Q4009&lt;&gt;0,Q4009+H4009+L4009,0)</f>
        <v/>
      </c>
      <c r="S4009" s="9">
        <f>VLOOKUP(OPERAC[[#This Row],[especie]],[1]!ESPECIES[#Data],9,FALSE)</f>
        <v/>
      </c>
    </row>
    <row r="4010">
      <c r="A4010" s="4" t="n">
        <v>16824</v>
      </c>
      <c r="B4010" s="5" t="n">
        <v>44649</v>
      </c>
      <c r="C4010" s="13" t="inlineStr">
        <is>
          <t>CPR</t>
        </is>
      </c>
      <c r="D4010" s="13" t="n">
        <v>42</v>
      </c>
      <c r="E4010" s="10">
        <f>IF(D4010&gt;0,VLOOKUP(OPERAC[[#This Row],[COD CART]],[1]!MatrizCortoLargoCyl[#All],3,0),"")</f>
        <v/>
      </c>
      <c r="F4010" s="13" t="inlineStr">
        <is>
          <t>FB</t>
        </is>
      </c>
      <c r="G4010" s="6" t="n">
        <v>4</v>
      </c>
      <c r="H4010" s="6" t="n">
        <v>-919.6226</v>
      </c>
      <c r="I4010" s="7">
        <f>-H4010/G4010</f>
        <v/>
      </c>
      <c r="J4010" s="11" t="n">
        <v>44671</v>
      </c>
      <c r="K4010" s="6">
        <f>+OPERAC[[#This Row],[cantidad]]</f>
        <v/>
      </c>
      <c r="L4010" s="6">
        <f>+OPERAC[[#This Row],[cantidad venta]]*213.173</f>
        <v/>
      </c>
      <c r="M4010" s="7">
        <f>IF(N4010=0,+L4010+H4010,0)</f>
        <v/>
      </c>
      <c r="N4010" s="7">
        <f>IF((+G4010-K4010)=0,0,+G4010-K4010)</f>
        <v/>
      </c>
      <c r="O4010" s="7">
        <f>IF(N4010=0,0,(L4010+H4010)/-N4010)</f>
        <v/>
      </c>
      <c r="P4010" s="7">
        <f>VLOOKUP(OPERAC[[#This Row],[especie]],[1]!ESPECIES[#All],6,0)</f>
        <v/>
      </c>
      <c r="Q4010" s="7">
        <f>IF(N4010&lt;&gt;0,P4010*N4010,0)</f>
        <v/>
      </c>
      <c r="R4010" s="8">
        <f>IF(Q4010&lt;&gt;0,Q4010+H4010+L4010,0)</f>
        <v/>
      </c>
      <c r="S4010" s="9">
        <f>VLOOKUP(OPERAC[[#This Row],[especie]],[1]!ESPECIES[#Data],9,FALSE)</f>
        <v/>
      </c>
    </row>
    <row r="4011">
      <c r="A4011" s="4" t="n">
        <v>15194</v>
      </c>
      <c r="B4011" s="5" t="n">
        <v>44707</v>
      </c>
      <c r="C4011" s="13" t="inlineStr">
        <is>
          <t>CPR</t>
        </is>
      </c>
      <c r="D4011" s="13" t="n">
        <v>32</v>
      </c>
      <c r="E4011" s="10">
        <f>IF(D4011&gt;0,VLOOKUP(OPERAC[[#This Row],[COD CART]],[1]!MatrizCortoLargoCyl[#All],3,0),"")</f>
        <v/>
      </c>
      <c r="F4011" s="13" t="inlineStr">
        <is>
          <t>PLBY/CYL/12,50/17-06-22</t>
        </is>
      </c>
      <c r="G4011" s="6" t="n">
        <v>100</v>
      </c>
      <c r="H4011" s="6" t="n">
        <v>-919.97</v>
      </c>
      <c r="I4011" s="7">
        <f>-H4011/G4011</f>
        <v/>
      </c>
      <c r="J4011" s="5" t="n"/>
      <c r="K4011" s="6" t="n"/>
      <c r="L4011" s="6" t="n"/>
      <c r="M4011" s="7">
        <f>IF(N4011=0,+L4011+H4011,0)</f>
        <v/>
      </c>
      <c r="N4011" s="7">
        <f>IF((+G4011-K4011)=0,0,+G4011-K4011)</f>
        <v/>
      </c>
      <c r="O4011" s="7">
        <f>IF(N4011=0,0,(L4011+H4011)/-N4011)</f>
        <v/>
      </c>
      <c r="P4011" s="7">
        <f>VLOOKUP(OPERAC[[#This Row],[especie]],[1]!ESPECIES[#All],6,0)</f>
        <v/>
      </c>
      <c r="Q4011" s="7">
        <f>IF(N4011&lt;&gt;0,P4011*N4011,0)</f>
        <v/>
      </c>
      <c r="R4011" s="8">
        <f>IF(Q4011&lt;&gt;0,Q4011+H4011+L4011,0)</f>
        <v/>
      </c>
      <c r="S4011" s="9">
        <f>VLOOKUP(OPERAC[[#This Row],[especie]],[1]!ESPECIES[#Data],9,FALSE)</f>
        <v/>
      </c>
    </row>
    <row r="4012">
      <c r="A4012" s="4" t="n">
        <v>3728</v>
      </c>
      <c r="B4012" s="5" t="n">
        <v>44622</v>
      </c>
      <c r="C4012" s="13" t="inlineStr">
        <is>
          <t>CPR</t>
        </is>
      </c>
      <c r="D4012" s="13" t="n">
        <v>32</v>
      </c>
      <c r="E4012" s="10">
        <f>IF(D4012&gt;0,VLOOKUP(OPERAC[[#This Row],[COD CART]],[1]!MatrizCortoLargoCyl[#All],3,0),"")</f>
        <v/>
      </c>
      <c r="F4012" s="13" t="inlineStr">
        <is>
          <t>SABR/CYL/10,00/14-04-22</t>
        </is>
      </c>
      <c r="G4012" s="6" t="n">
        <v>100</v>
      </c>
      <c r="H4012" s="6" t="n">
        <v>-921.1231</v>
      </c>
      <c r="I4012" s="7">
        <f>-H4012/G4012</f>
        <v/>
      </c>
      <c r="J4012" s="11" t="n">
        <v>44649</v>
      </c>
      <c r="K4012" s="6" t="n">
        <v>100</v>
      </c>
      <c r="L4012" s="6" t="n">
        <v>982.1799999999999</v>
      </c>
      <c r="M4012" s="7">
        <f>IF(N4012=0,+L4012+H4012,0)</f>
        <v/>
      </c>
      <c r="N4012" s="7">
        <f>IF((+G4012-K4012)=0,0,+G4012-K4012)</f>
        <v/>
      </c>
      <c r="O4012" s="7">
        <f>IF(N4012=0,0,(L4012+H4012)/-N4012)</f>
        <v/>
      </c>
      <c r="P4012" s="7">
        <f>VLOOKUP(OPERAC[[#This Row],[especie]],[1]!ESPECIES[#All],6,0)</f>
        <v/>
      </c>
      <c r="Q4012" s="7">
        <f>IF(N4012&lt;&gt;0,P4012*N4012,0)</f>
        <v/>
      </c>
      <c r="R4012" s="8">
        <f>IF(Q4012&lt;&gt;0,Q4012+H4012+L4012,0)</f>
        <v/>
      </c>
      <c r="S4012" s="9">
        <f>VLOOKUP(OPERAC[[#This Row],[especie]],[1]!ESPECIES[#Data],9,FALSE)</f>
        <v/>
      </c>
    </row>
    <row r="4013">
      <c r="A4013" s="4" t="n">
        <v>19888</v>
      </c>
      <c r="B4013" s="5" t="n">
        <v>44655</v>
      </c>
      <c r="C4013" s="13" t="inlineStr">
        <is>
          <t>CPR</t>
        </is>
      </c>
      <c r="D4013" s="13" t="n">
        <v>31</v>
      </c>
      <c r="E4013" s="10">
        <f>IF(D4013&gt;0,VLOOKUP(OPERAC[[#This Row],[COD CART]],[1]!MatrizCortoLargoCyl[#All],3,0),"")</f>
        <v/>
      </c>
      <c r="F4013" s="13" t="inlineStr">
        <is>
          <t>BBAR</t>
        </is>
      </c>
      <c r="G4013" s="6" t="n">
        <v>250</v>
      </c>
      <c r="H4013" s="6" t="n">
        <v>-922.562</v>
      </c>
      <c r="I4013" s="7">
        <f>-H4013/G4013</f>
        <v/>
      </c>
      <c r="J4013" s="11" t="n"/>
      <c r="K4013" s="6" t="n"/>
      <c r="L4013" s="6" t="n"/>
      <c r="M4013" s="7">
        <f>IF(N4013=0,+L4013+H4013,0)</f>
        <v/>
      </c>
      <c r="N4013" s="7">
        <f>IF((+G4013-K4013)=0,0,+G4013-K4013)</f>
        <v/>
      </c>
      <c r="O4013" s="7">
        <f>IF(N4013=0,0,(L4013+H4013)/-N4013)</f>
        <v/>
      </c>
      <c r="P4013" s="7">
        <f>VLOOKUP(OPERAC[[#This Row],[especie]],[1]!ESPECIES[#All],6,0)</f>
        <v/>
      </c>
      <c r="Q4013" s="7">
        <f>IF(N4013&lt;&gt;0,P4013*N4013,0)</f>
        <v/>
      </c>
      <c r="R4013" s="8">
        <f>IF(Q4013&lt;&gt;0,Q4013+H4013+L4013,0)</f>
        <v/>
      </c>
      <c r="S4013" s="9">
        <f>VLOOKUP(OPERAC[[#This Row],[especie]],[1]!ESPECIES[#Data],9,FALSE)</f>
        <v/>
      </c>
    </row>
    <row r="4014">
      <c r="A4014" s="4" t="n">
        <v>2257</v>
      </c>
      <c r="B4014" s="5" t="n">
        <v>44575</v>
      </c>
      <c r="C4014" s="13" t="inlineStr">
        <is>
          <t>CPR</t>
        </is>
      </c>
      <c r="D4014" s="13" t="n">
        <v>40</v>
      </c>
      <c r="E4014" s="10">
        <f>IF(D4014&gt;0,VLOOKUP(OPERAC[[#This Row],[COD CART]],[1]!MatrizCortoLargoCyl[#All],3,0),"")</f>
        <v/>
      </c>
      <c r="F4014" s="13" t="inlineStr">
        <is>
          <t>GBTC</t>
        </is>
      </c>
      <c r="G4014" s="6" t="n">
        <v>30</v>
      </c>
      <c r="H4014" s="6" t="n">
        <v>-924.2843999999999</v>
      </c>
      <c r="I4014" s="7">
        <f>-H4014/G4014</f>
        <v/>
      </c>
      <c r="J4014" s="11" t="n">
        <v>44636</v>
      </c>
      <c r="K4014" s="6" t="n">
        <v>30</v>
      </c>
      <c r="L4014" s="6" t="n">
        <v>799.832</v>
      </c>
      <c r="M4014" s="7">
        <f>IF(N4014=0,+L4014+H4014,0)</f>
        <v/>
      </c>
      <c r="N4014" s="7">
        <f>IF((+G4014-K4014)=0,0,+G4014-K4014)</f>
        <v/>
      </c>
      <c r="O4014" s="7">
        <f>IF(N4014=0,0,(L4014+H4014)/-N4014)</f>
        <v/>
      </c>
      <c r="P4014" s="7">
        <f>VLOOKUP(OPERAC[[#This Row],[especie]],[1]!ESPECIES[#All],6,0)</f>
        <v/>
      </c>
      <c r="Q4014" s="7">
        <f>IF(N4014&lt;&gt;0,P4014*N4014,0)</f>
        <v/>
      </c>
      <c r="R4014" s="8">
        <f>IF(Q4014&lt;&gt;0,Q4014+H4014+L4014,0)</f>
        <v/>
      </c>
      <c r="S4014" s="9">
        <f>VLOOKUP(OPERAC[[#This Row],[especie]],[1]!ESPECIES[#Data],9,FALSE)</f>
        <v/>
      </c>
    </row>
    <row r="4015">
      <c r="A4015" s="4" t="n">
        <v>3787</v>
      </c>
      <c r="B4015" s="5" t="n">
        <v>44575</v>
      </c>
      <c r="C4015" s="13" t="inlineStr">
        <is>
          <t>CPR</t>
        </is>
      </c>
      <c r="D4015" s="13" t="n">
        <v>40</v>
      </c>
      <c r="E4015" s="10">
        <f>IF(D4015&gt;0,VLOOKUP(OPERAC[[#This Row],[COD CART]],[1]!MatrizCortoLargoCyl[#All],3,0),"")</f>
        <v/>
      </c>
      <c r="F4015" s="13" t="inlineStr">
        <is>
          <t>GBTC</t>
        </is>
      </c>
      <c r="G4015" s="6" t="n">
        <v>30</v>
      </c>
      <c r="H4015" s="6" t="n">
        <v>-924.2843999999999</v>
      </c>
      <c r="I4015" s="7">
        <f>-H4015/G4015</f>
        <v/>
      </c>
      <c r="J4015" s="11" t="n">
        <v>44651</v>
      </c>
      <c r="K4015" s="6">
        <f>+OPERAC[[#This Row],[cantidad]]</f>
        <v/>
      </c>
      <c r="L4015" s="6">
        <f>+OPERAC[[#This Row],[cantidad venta]]*31.332</f>
        <v/>
      </c>
      <c r="M4015" s="7">
        <f>IF(N4015=0,+L4015+H4015,0)</f>
        <v/>
      </c>
      <c r="N4015" s="7">
        <f>IF((+G4015-K4015)=0,0,+G4015-K4015)</f>
        <v/>
      </c>
      <c r="O4015" s="7">
        <f>IF(N4015=0,0,(L4015+H4015)/-N4015)</f>
        <v/>
      </c>
      <c r="P4015" s="7">
        <f>VLOOKUP(OPERAC[[#This Row],[especie]],[1]!ESPECIES[#All],6,0)</f>
        <v/>
      </c>
      <c r="Q4015" s="7">
        <f>IF(N4015&lt;&gt;0,P4015*N4015,0)</f>
        <v/>
      </c>
      <c r="R4015" s="8">
        <f>IF(Q4015&lt;&gt;0,Q4015+H4015+L4015,0)</f>
        <v/>
      </c>
      <c r="S4015" s="9">
        <f>VLOOKUP(OPERAC[[#This Row],[especie]],[1]!ESPECIES[#Data],9,FALSE)</f>
        <v/>
      </c>
    </row>
    <row r="4016">
      <c r="A4016" s="4" t="n">
        <v>18690</v>
      </c>
      <c r="B4016" s="5" t="n">
        <v>44575</v>
      </c>
      <c r="C4016" s="13" t="inlineStr">
        <is>
          <t>CPR</t>
        </is>
      </c>
      <c r="D4016" s="13" t="n">
        <v>40</v>
      </c>
      <c r="E4016" s="10">
        <f>IF(D4016&gt;0,VLOOKUP(OPERAC[[#This Row],[COD CART]],[1]!MatrizCortoLargoCyl[#All],3,0),"")</f>
        <v/>
      </c>
      <c r="F4016" s="13" t="inlineStr">
        <is>
          <t>GBTC</t>
        </is>
      </c>
      <c r="G4016" s="6" t="n">
        <v>30</v>
      </c>
      <c r="H4016" s="6" t="n">
        <v>-924.2843999999999</v>
      </c>
      <c r="I4016" s="7">
        <f>-H4016/G4016</f>
        <v/>
      </c>
      <c r="J4016" s="11" t="n">
        <v>44651</v>
      </c>
      <c r="K4016" s="6">
        <f>+OPERAC[[#This Row],[cantidad]]</f>
        <v/>
      </c>
      <c r="L4016" s="6">
        <f>+OPERAC[[#This Row],[cantidad venta]]*31.332</f>
        <v/>
      </c>
      <c r="M4016" s="7">
        <f>IF(N4016=0,+L4016+H4016,0)</f>
        <v/>
      </c>
      <c r="N4016" s="7">
        <f>IF((+G4016-K4016)=0,0,+G4016-K4016)</f>
        <v/>
      </c>
      <c r="O4016" s="7">
        <f>IF(N4016=0,0,(L4016+H4016)/-N4016)</f>
        <v/>
      </c>
      <c r="P4016" s="7">
        <f>VLOOKUP(OPERAC[[#This Row],[especie]],[1]!ESPECIES[#All],6,0)</f>
        <v/>
      </c>
      <c r="Q4016" s="7">
        <f>IF(N4016&lt;&gt;0,P4016*N4016,0)</f>
        <v/>
      </c>
      <c r="R4016" s="8">
        <f>IF(Q4016&lt;&gt;0,Q4016+H4016+L4016,0)</f>
        <v/>
      </c>
      <c r="S4016" s="9">
        <f>VLOOKUP(OPERAC[[#This Row],[especie]],[1]!ESPECIES[#Data],9,FALSE)</f>
        <v/>
      </c>
    </row>
    <row r="4017">
      <c r="A4017" s="4" t="n">
        <v>19888</v>
      </c>
      <c r="B4017" s="5" t="n">
        <v>44575</v>
      </c>
      <c r="C4017" s="13" t="inlineStr">
        <is>
          <t>CPR</t>
        </is>
      </c>
      <c r="D4017" s="13" t="n">
        <v>40</v>
      </c>
      <c r="E4017" s="10">
        <f>IF(D4017&gt;0,VLOOKUP(OPERAC[[#This Row],[COD CART]],[1]!MatrizCortoLargoCyl[#All],3,0),"")</f>
        <v/>
      </c>
      <c r="F4017" s="13" t="inlineStr">
        <is>
          <t>GBTC</t>
        </is>
      </c>
      <c r="G4017" s="6" t="n">
        <v>30</v>
      </c>
      <c r="H4017" s="6" t="n">
        <v>-924.2843999999999</v>
      </c>
      <c r="I4017" s="7">
        <f>-H4017/G4017</f>
        <v/>
      </c>
      <c r="J4017" s="11" t="n">
        <v>44651</v>
      </c>
      <c r="K4017" s="6">
        <f>+OPERAC[[#This Row],[cantidad]]</f>
        <v/>
      </c>
      <c r="L4017" s="6">
        <f>+OPERAC[[#This Row],[cantidad venta]]*31.332</f>
        <v/>
      </c>
      <c r="M4017" s="7">
        <f>IF(N4017=0,+L4017+H4017,0)</f>
        <v/>
      </c>
      <c r="N4017" s="7">
        <f>IF((+G4017-K4017)=0,0,+G4017-K4017)</f>
        <v/>
      </c>
      <c r="O4017" s="7">
        <f>IF(N4017=0,0,(L4017+H4017)/-N4017)</f>
        <v/>
      </c>
      <c r="P4017" s="7">
        <f>VLOOKUP(OPERAC[[#This Row],[especie]],[1]!ESPECIES[#All],6,0)</f>
        <v/>
      </c>
      <c r="Q4017" s="7">
        <f>IF(N4017&lt;&gt;0,P4017*N4017,0)</f>
        <v/>
      </c>
      <c r="R4017" s="8">
        <f>IF(Q4017&lt;&gt;0,Q4017+H4017+L4017,0)</f>
        <v/>
      </c>
      <c r="S4017" s="9">
        <f>VLOOKUP(OPERAC[[#This Row],[especie]],[1]!ESPECIES[#Data],9,FALSE)</f>
        <v/>
      </c>
    </row>
    <row r="4018">
      <c r="A4018" s="4" t="n">
        <v>19932</v>
      </c>
      <c r="B4018" s="5" t="n">
        <v>44575</v>
      </c>
      <c r="C4018" s="13" t="inlineStr">
        <is>
          <t>CPR</t>
        </is>
      </c>
      <c r="D4018" s="13" t="n">
        <v>40</v>
      </c>
      <c r="E4018" s="10">
        <f>IF(D4018&gt;0,VLOOKUP(OPERAC[[#This Row],[COD CART]],[1]!MatrizCortoLargoCyl[#All],3,0),"")</f>
        <v/>
      </c>
      <c r="F4018" s="13" t="inlineStr">
        <is>
          <t>GBTC</t>
        </is>
      </c>
      <c r="G4018" s="6" t="n">
        <v>30</v>
      </c>
      <c r="H4018" s="6" t="n">
        <v>-924.2843999999999</v>
      </c>
      <c r="I4018" s="7">
        <f>-H4018/G4018</f>
        <v/>
      </c>
      <c r="J4018" s="11" t="n">
        <v>44651</v>
      </c>
      <c r="K4018" s="6">
        <f>+OPERAC[[#This Row],[cantidad]]</f>
        <v/>
      </c>
      <c r="L4018" s="6">
        <f>+OPERAC[[#This Row],[cantidad venta]]*31.332</f>
        <v/>
      </c>
      <c r="M4018" s="7">
        <f>IF(N4018=0,+L4018+H4018,0)</f>
        <v/>
      </c>
      <c r="N4018" s="7">
        <f>IF((+G4018-K4018)=0,0,+G4018-K4018)</f>
        <v/>
      </c>
      <c r="O4018" s="7">
        <f>IF(N4018=0,0,(L4018+H4018)/-N4018)</f>
        <v/>
      </c>
      <c r="P4018" s="7">
        <f>VLOOKUP(OPERAC[[#This Row],[especie]],[1]!ESPECIES[#All],6,0)</f>
        <v/>
      </c>
      <c r="Q4018" s="7">
        <f>IF(N4018&lt;&gt;0,P4018*N4018,0)</f>
        <v/>
      </c>
      <c r="R4018" s="8">
        <f>IF(Q4018&lt;&gt;0,Q4018+H4018+L4018,0)</f>
        <v/>
      </c>
      <c r="S4018" s="9">
        <f>VLOOKUP(OPERAC[[#This Row],[especie]],[1]!ESPECIES[#Data],9,FALSE)</f>
        <v/>
      </c>
    </row>
    <row r="4019">
      <c r="A4019" s="4" t="n">
        <v>7950</v>
      </c>
      <c r="B4019" s="5" t="n">
        <v>44680</v>
      </c>
      <c r="C4019" s="13" t="inlineStr">
        <is>
          <t>CPR</t>
        </is>
      </c>
      <c r="D4019" s="13" t="n">
        <v>31</v>
      </c>
      <c r="E4019" s="10">
        <f>IF(D4019&gt;0,VLOOKUP(OPERAC[[#This Row],[COD CART]],[1]!MatrizCortoLargoCyl[#All],3,0),"")</f>
        <v/>
      </c>
      <c r="F4019" s="13" t="inlineStr">
        <is>
          <t>GGAL</t>
        </is>
      </c>
      <c r="G4019" s="6" t="n">
        <v>100</v>
      </c>
      <c r="H4019" s="6" t="n">
        <v>-924.958</v>
      </c>
      <c r="I4019" s="7">
        <f>-H4019/G4019</f>
        <v/>
      </c>
      <c r="J4019" s="11" t="n"/>
      <c r="K4019" s="6" t="n"/>
      <c r="L4019" s="6" t="n"/>
      <c r="M4019" s="7">
        <f>IF(N4019=0,+L4019+H4019,0)</f>
        <v/>
      </c>
      <c r="N4019" s="7">
        <f>IF((+G4019-K4019)=0,0,+G4019-K4019)</f>
        <v/>
      </c>
      <c r="O4019" s="7">
        <f>IF(N4019=0,0,(L4019+H4019)/-N4019)</f>
        <v/>
      </c>
      <c r="P4019" s="7">
        <f>VLOOKUP(OPERAC[[#This Row],[especie]],[1]!ESPECIES[#All],6,0)</f>
        <v/>
      </c>
      <c r="Q4019" s="7">
        <f>IF(N4019&lt;&gt;0,P4019*N4019,0)</f>
        <v/>
      </c>
      <c r="R4019" s="8">
        <f>IF(Q4019&lt;&gt;0,Q4019+H4019+L4019,0)</f>
        <v/>
      </c>
      <c r="S4019" s="9">
        <f>VLOOKUP(OPERAC[[#This Row],[especie]],[1]!ESPECIES[#Data],9,FALSE)</f>
        <v/>
      </c>
    </row>
    <row r="4020">
      <c r="A4020" s="4" t="n">
        <v>3853</v>
      </c>
      <c r="B4020" s="5" t="n">
        <v>44705</v>
      </c>
      <c r="C4020" s="13" t="inlineStr">
        <is>
          <t>CPR</t>
        </is>
      </c>
      <c r="D4020" s="13" t="n">
        <v>42</v>
      </c>
      <c r="E4020" s="10">
        <f>IF(D4020&gt;0,VLOOKUP(OPERAC[[#This Row],[COD CART]],[1]!MatrizCortoLargoCyl[#All],3,0),"")</f>
        <v/>
      </c>
      <c r="F4020" s="13" t="inlineStr">
        <is>
          <t>AMD</t>
        </is>
      </c>
      <c r="G4020" s="6" t="n">
        <v>10</v>
      </c>
      <c r="H4020" s="6" t="n">
        <v>-925.0354</v>
      </c>
      <c r="I4020" s="7">
        <f>-H4020/G4020</f>
        <v/>
      </c>
      <c r="J4020" s="5" t="n">
        <v>44707</v>
      </c>
      <c r="K4020" s="6">
        <f>+OPERAC[[#This Row],[cantidad]]</f>
        <v/>
      </c>
      <c r="L4020" s="6">
        <f>+OPERAC[[#This Row],[cantidad venta]]*94.8</f>
        <v/>
      </c>
      <c r="M4020" s="7">
        <f>IF(N4020=0,+L4020+H4020,0)</f>
        <v/>
      </c>
      <c r="N4020" s="7">
        <f>IF((+G4020-K4020)=0,0,+G4020-K4020)</f>
        <v/>
      </c>
      <c r="O4020" s="7">
        <f>IF(N4020=0,0,(L4020+H4020)/-N4020)</f>
        <v/>
      </c>
      <c r="P4020" s="7">
        <f>VLOOKUP(OPERAC[[#This Row],[especie]],[1]!ESPECIES[#All],6,0)</f>
        <v/>
      </c>
      <c r="Q4020" s="7">
        <f>IF(N4020&lt;&gt;0,P4020*N4020,0)</f>
        <v/>
      </c>
      <c r="R4020" s="8">
        <f>IF(Q4020&lt;&gt;0,Q4020+H4020+L4020,0)</f>
        <v/>
      </c>
      <c r="S4020" s="9">
        <f>VLOOKUP(OPERAC[[#This Row],[especie]],[1]!ESPECIES[#Data],9,FALSE)</f>
        <v/>
      </c>
    </row>
    <row r="4021">
      <c r="A4021" s="4" t="n">
        <v>12655</v>
      </c>
      <c r="B4021" s="5" t="n">
        <v>44705</v>
      </c>
      <c r="C4021" s="13" t="inlineStr">
        <is>
          <t>CPR</t>
        </is>
      </c>
      <c r="D4021" s="13" t="n">
        <v>42</v>
      </c>
      <c r="E4021" s="10">
        <f>IF(D4021&gt;0,VLOOKUP(OPERAC[[#This Row],[COD CART]],[1]!MatrizCortoLargoCyl[#All],3,0),"")</f>
        <v/>
      </c>
      <c r="F4021" s="13" t="inlineStr">
        <is>
          <t>AMD</t>
        </is>
      </c>
      <c r="G4021" s="6" t="n">
        <v>10</v>
      </c>
      <c r="H4021" s="6" t="n">
        <v>-925.0354</v>
      </c>
      <c r="I4021" s="7">
        <f>-H4021/G4021</f>
        <v/>
      </c>
      <c r="J4021" s="5" t="n">
        <v>44707</v>
      </c>
      <c r="K4021" s="6">
        <f>+OPERAC[[#This Row],[cantidad]]</f>
        <v/>
      </c>
      <c r="L4021" s="6">
        <f>+OPERAC[[#This Row],[cantidad venta]]*94.8</f>
        <v/>
      </c>
      <c r="M4021" s="7">
        <f>IF(N4021=0,+L4021+H4021,0)</f>
        <v/>
      </c>
      <c r="N4021" s="7">
        <f>IF((+G4021-K4021)=0,0,+G4021-K4021)</f>
        <v/>
      </c>
      <c r="O4021" s="7">
        <f>IF(N4021=0,0,(L4021+H4021)/-N4021)</f>
        <v/>
      </c>
      <c r="P4021" s="7">
        <f>VLOOKUP(OPERAC[[#This Row],[especie]],[1]!ESPECIES[#All],6,0)</f>
        <v/>
      </c>
      <c r="Q4021" s="7">
        <f>IF(N4021&lt;&gt;0,P4021*N4021,0)</f>
        <v/>
      </c>
      <c r="R4021" s="8">
        <f>IF(Q4021&lt;&gt;0,Q4021+H4021+L4021,0)</f>
        <v/>
      </c>
      <c r="S4021" s="9">
        <f>VLOOKUP(OPERAC[[#This Row],[especie]],[1]!ESPECIES[#Data],9,FALSE)</f>
        <v/>
      </c>
    </row>
    <row r="4022">
      <c r="A4022" s="4" t="n">
        <v>12662</v>
      </c>
      <c r="B4022" s="5" t="n">
        <v>44705</v>
      </c>
      <c r="C4022" s="13" t="inlineStr">
        <is>
          <t>CPR</t>
        </is>
      </c>
      <c r="D4022" s="13" t="n">
        <v>42</v>
      </c>
      <c r="E4022" s="10">
        <f>IF(D4022&gt;0,VLOOKUP(OPERAC[[#This Row],[COD CART]],[1]!MatrizCortoLargoCyl[#All],3,0),"")</f>
        <v/>
      </c>
      <c r="F4022" s="13" t="inlineStr">
        <is>
          <t>AMD</t>
        </is>
      </c>
      <c r="G4022" s="6" t="n">
        <v>10</v>
      </c>
      <c r="H4022" s="6" t="n">
        <v>-925.0354</v>
      </c>
      <c r="I4022" s="7">
        <f>-H4022/G4022</f>
        <v/>
      </c>
      <c r="J4022" s="5" t="n">
        <v>44707</v>
      </c>
      <c r="K4022" s="6">
        <f>+OPERAC[[#This Row],[cantidad]]</f>
        <v/>
      </c>
      <c r="L4022" s="6">
        <f>+OPERAC[[#This Row],[cantidad venta]]*94.8</f>
        <v/>
      </c>
      <c r="M4022" s="7">
        <f>IF(N4022=0,+L4022+H4022,0)</f>
        <v/>
      </c>
      <c r="N4022" s="7">
        <f>IF((+G4022-K4022)=0,0,+G4022-K4022)</f>
        <v/>
      </c>
      <c r="O4022" s="7">
        <f>IF(N4022=0,0,(L4022+H4022)/-N4022)</f>
        <v/>
      </c>
      <c r="P4022" s="7">
        <f>VLOOKUP(OPERAC[[#This Row],[especie]],[1]!ESPECIES[#All],6,0)</f>
        <v/>
      </c>
      <c r="Q4022" s="7">
        <f>IF(N4022&lt;&gt;0,P4022*N4022,0)</f>
        <v/>
      </c>
      <c r="R4022" s="8">
        <f>IF(Q4022&lt;&gt;0,Q4022+H4022+L4022,0)</f>
        <v/>
      </c>
      <c r="S4022" s="9">
        <f>VLOOKUP(OPERAC[[#This Row],[especie]],[1]!ESPECIES[#Data],9,FALSE)</f>
        <v/>
      </c>
    </row>
    <row r="4023">
      <c r="A4023" s="4" t="n">
        <v>12671</v>
      </c>
      <c r="B4023" s="5" t="n">
        <v>44705</v>
      </c>
      <c r="C4023" s="13" t="inlineStr">
        <is>
          <t>CPR</t>
        </is>
      </c>
      <c r="D4023" s="13" t="n">
        <v>42</v>
      </c>
      <c r="E4023" s="10">
        <f>IF(D4023&gt;0,VLOOKUP(OPERAC[[#This Row],[COD CART]],[1]!MatrizCortoLargoCyl[#All],3,0),"")</f>
        <v/>
      </c>
      <c r="F4023" s="13" t="inlineStr">
        <is>
          <t>AMD</t>
        </is>
      </c>
      <c r="G4023" s="6" t="n">
        <v>10</v>
      </c>
      <c r="H4023" s="6" t="n">
        <v>-925.0354</v>
      </c>
      <c r="I4023" s="7">
        <f>-H4023/G4023</f>
        <v/>
      </c>
      <c r="J4023" s="5" t="n">
        <v>44707</v>
      </c>
      <c r="K4023" s="6">
        <f>+OPERAC[[#This Row],[cantidad]]</f>
        <v/>
      </c>
      <c r="L4023" s="6">
        <f>+OPERAC[[#This Row],[cantidad venta]]*94.8</f>
        <v/>
      </c>
      <c r="M4023" s="7">
        <f>IF(N4023=0,+L4023+H4023,0)</f>
        <v/>
      </c>
      <c r="N4023" s="7">
        <f>IF((+G4023-K4023)=0,0,+G4023-K4023)</f>
        <v/>
      </c>
      <c r="O4023" s="7">
        <f>IF(N4023=0,0,(L4023+H4023)/-N4023)</f>
        <v/>
      </c>
      <c r="P4023" s="7">
        <f>VLOOKUP(OPERAC[[#This Row],[especie]],[1]!ESPECIES[#All],6,0)</f>
        <v/>
      </c>
      <c r="Q4023" s="7">
        <f>IF(N4023&lt;&gt;0,P4023*N4023,0)</f>
        <v/>
      </c>
      <c r="R4023" s="8">
        <f>IF(Q4023&lt;&gt;0,Q4023+H4023+L4023,0)</f>
        <v/>
      </c>
      <c r="S4023" s="9">
        <f>VLOOKUP(OPERAC[[#This Row],[especie]],[1]!ESPECIES[#Data],9,FALSE)</f>
        <v/>
      </c>
    </row>
    <row r="4024">
      <c r="A4024" s="4" t="n">
        <v>12671</v>
      </c>
      <c r="B4024" s="5" t="n">
        <v>44705</v>
      </c>
      <c r="C4024" s="13" t="inlineStr">
        <is>
          <t>CPR</t>
        </is>
      </c>
      <c r="D4024" s="13" t="n">
        <v>42</v>
      </c>
      <c r="E4024" s="10">
        <f>IF(D4024&gt;0,VLOOKUP(OPERAC[[#This Row],[COD CART]],[1]!MatrizCortoLargoCyl[#All],3,0),"")</f>
        <v/>
      </c>
      <c r="F4024" s="13" t="inlineStr">
        <is>
          <t>AMD</t>
        </is>
      </c>
      <c r="G4024" s="6" t="n">
        <v>10</v>
      </c>
      <c r="H4024" s="6" t="n">
        <v>-925.0354</v>
      </c>
      <c r="I4024" s="7">
        <f>-H4024/G4024</f>
        <v/>
      </c>
      <c r="J4024" s="5" t="n">
        <v>44707</v>
      </c>
      <c r="K4024" s="6">
        <f>+OPERAC[[#This Row],[cantidad]]</f>
        <v/>
      </c>
      <c r="L4024" s="6">
        <f>+OPERAC[[#This Row],[cantidad venta]]*94.8</f>
        <v/>
      </c>
      <c r="M4024" s="7">
        <f>IF(N4024=0,+L4024+H4024,0)</f>
        <v/>
      </c>
      <c r="N4024" s="7">
        <f>IF((+G4024-K4024)=0,0,+G4024-K4024)</f>
        <v/>
      </c>
      <c r="O4024" s="7">
        <f>IF(N4024=0,0,(L4024+H4024)/-N4024)</f>
        <v/>
      </c>
      <c r="P4024" s="7">
        <f>VLOOKUP(OPERAC[[#This Row],[especie]],[1]!ESPECIES[#All],6,0)</f>
        <v/>
      </c>
      <c r="Q4024" s="7">
        <f>IF(N4024&lt;&gt;0,P4024*N4024,0)</f>
        <v/>
      </c>
      <c r="R4024" s="8">
        <f>IF(Q4024&lt;&gt;0,Q4024+H4024+L4024,0)</f>
        <v/>
      </c>
      <c r="S4024" s="9">
        <f>VLOOKUP(OPERAC[[#This Row],[especie]],[1]!ESPECIES[#Data],9,FALSE)</f>
        <v/>
      </c>
    </row>
    <row r="4025">
      <c r="A4025" s="4" t="n">
        <v>12674</v>
      </c>
      <c r="B4025" s="5" t="n">
        <v>44705</v>
      </c>
      <c r="C4025" s="13" t="inlineStr">
        <is>
          <t>CPR</t>
        </is>
      </c>
      <c r="D4025" s="13" t="n">
        <v>42</v>
      </c>
      <c r="E4025" s="10">
        <f>IF(D4025&gt;0,VLOOKUP(OPERAC[[#This Row],[COD CART]],[1]!MatrizCortoLargoCyl[#All],3,0),"")</f>
        <v/>
      </c>
      <c r="F4025" s="13" t="inlineStr">
        <is>
          <t>AMD</t>
        </is>
      </c>
      <c r="G4025" s="6" t="n">
        <v>10</v>
      </c>
      <c r="H4025" s="6" t="n">
        <v>-925.0354</v>
      </c>
      <c r="I4025" s="7">
        <f>-H4025/G4025</f>
        <v/>
      </c>
      <c r="J4025" s="5" t="n">
        <v>44707</v>
      </c>
      <c r="K4025" s="6">
        <f>+OPERAC[[#This Row],[cantidad]]</f>
        <v/>
      </c>
      <c r="L4025" s="6">
        <f>+OPERAC[[#This Row],[cantidad venta]]*94.8</f>
        <v/>
      </c>
      <c r="M4025" s="7">
        <f>IF(N4025=0,+L4025+H4025,0)</f>
        <v/>
      </c>
      <c r="N4025" s="7">
        <f>IF((+G4025-K4025)=0,0,+G4025-K4025)</f>
        <v/>
      </c>
      <c r="O4025" s="7">
        <f>IF(N4025=0,0,(L4025+H4025)/-N4025)</f>
        <v/>
      </c>
      <c r="P4025" s="7">
        <f>VLOOKUP(OPERAC[[#This Row],[especie]],[1]!ESPECIES[#All],6,0)</f>
        <v/>
      </c>
      <c r="Q4025" s="7">
        <f>IF(N4025&lt;&gt;0,P4025*N4025,0)</f>
        <v/>
      </c>
      <c r="R4025" s="8">
        <f>IF(Q4025&lt;&gt;0,Q4025+H4025+L4025,0)</f>
        <v/>
      </c>
      <c r="S4025" s="9">
        <f>VLOOKUP(OPERAC[[#This Row],[especie]],[1]!ESPECIES[#Data],9,FALSE)</f>
        <v/>
      </c>
    </row>
    <row r="4026">
      <c r="A4026" s="4" t="n">
        <v>13190</v>
      </c>
      <c r="B4026" s="5" t="n">
        <v>44705</v>
      </c>
      <c r="C4026" s="13" t="inlineStr">
        <is>
          <t>CPR</t>
        </is>
      </c>
      <c r="D4026" s="13" t="n">
        <v>42</v>
      </c>
      <c r="E4026" s="10">
        <f>IF(D4026&gt;0,VLOOKUP(OPERAC[[#This Row],[COD CART]],[1]!MatrizCortoLargoCyl[#All],3,0),"")</f>
        <v/>
      </c>
      <c r="F4026" s="13" t="inlineStr">
        <is>
          <t>AMD</t>
        </is>
      </c>
      <c r="G4026" s="6" t="n">
        <v>10</v>
      </c>
      <c r="H4026" s="6" t="n">
        <v>-925.0354</v>
      </c>
      <c r="I4026" s="7">
        <f>-H4026/G4026</f>
        <v/>
      </c>
      <c r="J4026" s="5" t="n">
        <v>44707</v>
      </c>
      <c r="K4026" s="6">
        <f>+OPERAC[[#This Row],[cantidad]]</f>
        <v/>
      </c>
      <c r="L4026" s="6">
        <f>+OPERAC[[#This Row],[cantidad venta]]*94.8</f>
        <v/>
      </c>
      <c r="M4026" s="7">
        <f>IF(N4026=0,+L4026+H4026,0)</f>
        <v/>
      </c>
      <c r="N4026" s="7">
        <f>IF((+G4026-K4026)=0,0,+G4026-K4026)</f>
        <v/>
      </c>
      <c r="O4026" s="7">
        <f>IF(N4026=0,0,(L4026+H4026)/-N4026)</f>
        <v/>
      </c>
      <c r="P4026" s="7">
        <f>VLOOKUP(OPERAC[[#This Row],[especie]],[1]!ESPECIES[#All],6,0)</f>
        <v/>
      </c>
      <c r="Q4026" s="7">
        <f>IF(N4026&lt;&gt;0,P4026*N4026,0)</f>
        <v/>
      </c>
      <c r="R4026" s="8">
        <f>IF(Q4026&lt;&gt;0,Q4026+H4026+L4026,0)</f>
        <v/>
      </c>
      <c r="S4026" s="9">
        <f>VLOOKUP(OPERAC[[#This Row],[especie]],[1]!ESPECIES[#Data],9,FALSE)</f>
        <v/>
      </c>
    </row>
    <row r="4027">
      <c r="A4027" s="4" t="n">
        <v>13246</v>
      </c>
      <c r="B4027" s="5" t="n">
        <v>44705</v>
      </c>
      <c r="C4027" s="13" t="inlineStr">
        <is>
          <t>CPR</t>
        </is>
      </c>
      <c r="D4027" s="13" t="n">
        <v>42</v>
      </c>
      <c r="E4027" s="10">
        <f>IF(D4027&gt;0,VLOOKUP(OPERAC[[#This Row],[COD CART]],[1]!MatrizCortoLargoCyl[#All],3,0),"")</f>
        <v/>
      </c>
      <c r="F4027" s="13" t="inlineStr">
        <is>
          <t>AMD</t>
        </is>
      </c>
      <c r="G4027" s="6" t="n">
        <v>10</v>
      </c>
      <c r="H4027" s="6" t="n">
        <v>-925.0354</v>
      </c>
      <c r="I4027" s="7">
        <f>-H4027/G4027</f>
        <v/>
      </c>
      <c r="J4027" s="5" t="n">
        <v>44707</v>
      </c>
      <c r="K4027" s="6">
        <f>+OPERAC[[#This Row],[cantidad]]</f>
        <v/>
      </c>
      <c r="L4027" s="6">
        <f>+OPERAC[[#This Row],[cantidad venta]]*94.8</f>
        <v/>
      </c>
      <c r="M4027" s="7">
        <f>IF(N4027=0,+L4027+H4027,0)</f>
        <v/>
      </c>
      <c r="N4027" s="7">
        <f>IF((+G4027-K4027)=0,0,+G4027-K4027)</f>
        <v/>
      </c>
      <c r="O4027" s="7">
        <f>IF(N4027=0,0,(L4027+H4027)/-N4027)</f>
        <v/>
      </c>
      <c r="P4027" s="7">
        <f>VLOOKUP(OPERAC[[#This Row],[especie]],[1]!ESPECIES[#All],6,0)</f>
        <v/>
      </c>
      <c r="Q4027" s="7">
        <f>IF(N4027&lt;&gt;0,P4027*N4027,0)</f>
        <v/>
      </c>
      <c r="R4027" s="8">
        <f>IF(Q4027&lt;&gt;0,Q4027+H4027+L4027,0)</f>
        <v/>
      </c>
      <c r="S4027" s="9">
        <f>VLOOKUP(OPERAC[[#This Row],[especie]],[1]!ESPECIES[#Data],9,FALSE)</f>
        <v/>
      </c>
    </row>
    <row r="4028">
      <c r="A4028" s="4" t="n">
        <v>2255</v>
      </c>
      <c r="B4028" s="5" t="n">
        <v>44574</v>
      </c>
      <c r="C4028" s="13" t="inlineStr">
        <is>
          <t>CPR</t>
        </is>
      </c>
      <c r="D4028" s="13" t="n">
        <v>39</v>
      </c>
      <c r="E4028" s="10">
        <f>IF(D4028&gt;0,VLOOKUP(OPERAC[[#This Row],[COD CART]],[1]!MatrizCortoLargoCyl[#All],3,0),"")</f>
        <v/>
      </c>
      <c r="F4028" s="13" t="inlineStr">
        <is>
          <t>BABA/BULL/120,0-135,0/20-05-22</t>
        </is>
      </c>
      <c r="G4028" s="6" t="n">
        <v>100</v>
      </c>
      <c r="H4028" s="6" t="n">
        <v>-925.66</v>
      </c>
      <c r="I4028" s="7">
        <f>-H4028/G4028</f>
        <v/>
      </c>
      <c r="J4028" s="11" t="n">
        <v>44701</v>
      </c>
      <c r="K4028" s="6">
        <f>+OPERAC[[#This Row],[cantidad]]</f>
        <v/>
      </c>
      <c r="L4028" s="6" t="n">
        <v>0</v>
      </c>
      <c r="M4028" s="7">
        <f>IF(N4028=0,+L4028+H4028,0)</f>
        <v/>
      </c>
      <c r="N4028" s="7">
        <f>IF((+G4028-K4028)=0,0,+G4028-K4028)</f>
        <v/>
      </c>
      <c r="O4028" s="7">
        <f>IF(N4028=0,0,(L4028+H4028)/-N4028)</f>
        <v/>
      </c>
      <c r="P4028" s="7">
        <f>VLOOKUP(OPERAC[[#This Row],[especie]],[1]!ESPECIES[#All],6,0)</f>
        <v/>
      </c>
      <c r="Q4028" s="7">
        <f>IF(N4028&lt;&gt;0,P4028*N4028,0)</f>
        <v/>
      </c>
      <c r="R4028" s="8">
        <f>IF(Q4028&lt;&gt;0,Q4028+H4028+L4028,0)</f>
        <v/>
      </c>
      <c r="S4028" s="9">
        <f>VLOOKUP(OPERAC[[#This Row],[especie]],[1]!ESPECIES[#Data],9,FALSE)</f>
        <v/>
      </c>
    </row>
    <row r="4029">
      <c r="A4029" s="4" t="n">
        <v>3728</v>
      </c>
      <c r="B4029" s="5" t="n">
        <v>44459</v>
      </c>
      <c r="C4029" s="13" t="inlineStr">
        <is>
          <t>CPR</t>
        </is>
      </c>
      <c r="D4029" s="13" t="n">
        <v>43</v>
      </c>
      <c r="E4029" s="10">
        <f>IF(D4029&gt;0,VLOOKUP(OPERAC[[#This Row],[COD CART]],[1]!MatrizCortoLargoCyl[#All],3,0),"")</f>
        <v/>
      </c>
      <c r="F4029" s="13" t="inlineStr">
        <is>
          <t>SOLO/CYL-PUT/3,00/17-06-22</t>
        </is>
      </c>
      <c r="G4029" s="6" t="n">
        <v>500</v>
      </c>
      <c r="H4029" s="6">
        <f>-1122.01+0.137*OPERAC[[#This Row],[cantidad]]-517.511+72.925+572.415</f>
        <v/>
      </c>
      <c r="I4029" s="7">
        <f>-H4029/G4029</f>
        <v/>
      </c>
      <c r="J4029" s="11" t="n">
        <v>44719</v>
      </c>
      <c r="K4029" s="6" t="n">
        <v>500</v>
      </c>
      <c r="L4029" s="6" t="n">
        <v>29.469</v>
      </c>
      <c r="M4029" s="7">
        <f>IF(N4029=0,+L4029+H4029,0)</f>
        <v/>
      </c>
      <c r="N4029" s="7">
        <f>IF((+G4029-K4029)=0,0,+G4029-K4029)</f>
        <v/>
      </c>
      <c r="O4029" s="7">
        <f>IF(N4029=0,0,(L4029+H4029)/-N4029)</f>
        <v/>
      </c>
      <c r="P4029" s="7">
        <f>VLOOKUP(OPERAC[[#This Row],[especie]],[1]!ESPECIES[#All],6,0)</f>
        <v/>
      </c>
      <c r="Q4029" s="7">
        <f>IF(N4029&lt;&gt;0,P4029*N4029,0)</f>
        <v/>
      </c>
      <c r="R4029" s="8">
        <f>IF(Q4029&lt;&gt;0,Q4029+H4029+L4029,0)</f>
        <v/>
      </c>
      <c r="S4029" s="9">
        <f>VLOOKUP(OPERAC[[#This Row],[especie]],[1]!ESPECIES[#Data],9,FALSE)</f>
        <v/>
      </c>
    </row>
    <row r="4030">
      <c r="A4030" s="4" t="n">
        <v>12671</v>
      </c>
      <c r="B4030" s="5" t="n">
        <v>44622</v>
      </c>
      <c r="C4030" s="13" t="inlineStr">
        <is>
          <t>CPR</t>
        </is>
      </c>
      <c r="D4030" s="13" t="n">
        <v>32</v>
      </c>
      <c r="E4030" s="10">
        <f>IF(D4030&gt;0,VLOOKUP(OPERAC[[#This Row],[COD CART]],[1]!MatrizCortoLargoCyl[#All],3,0),"")</f>
        <v/>
      </c>
      <c r="F4030" s="13" t="inlineStr">
        <is>
          <t>SABR/CYL/10,00/14-04-22</t>
        </is>
      </c>
      <c r="G4030" s="6" t="n">
        <v>100</v>
      </c>
      <c r="H4030" s="6" t="n">
        <v>-926.7385999999999</v>
      </c>
      <c r="I4030" s="7">
        <f>-H4030/G4030</f>
        <v/>
      </c>
      <c r="J4030" s="11" t="n">
        <v>44649</v>
      </c>
      <c r="K4030" s="6" t="n">
        <v>100</v>
      </c>
      <c r="L4030" s="6" t="n">
        <v>982.1799999999999</v>
      </c>
      <c r="M4030" s="7">
        <f>IF(N4030=0,+L4030+H4030,0)</f>
        <v/>
      </c>
      <c r="N4030" s="7">
        <f>IF((+G4030-K4030)=0,0,+G4030-K4030)</f>
        <v/>
      </c>
      <c r="O4030" s="7">
        <f>IF(N4030=0,0,(L4030+H4030)/-N4030)</f>
        <v/>
      </c>
      <c r="P4030" s="7">
        <f>VLOOKUP(OPERAC[[#This Row],[especie]],[1]!ESPECIES[#All],6,0)</f>
        <v/>
      </c>
      <c r="Q4030" s="7">
        <f>IF(N4030&lt;&gt;0,P4030*N4030,0)</f>
        <v/>
      </c>
      <c r="R4030" s="8">
        <f>IF(Q4030&lt;&gt;0,Q4030+H4030+L4030,0)</f>
        <v/>
      </c>
      <c r="S4030" s="9">
        <f>VLOOKUP(OPERAC[[#This Row],[especie]],[1]!ESPECIES[#Data],9,FALSE)</f>
        <v/>
      </c>
    </row>
    <row r="4031">
      <c r="A4031" s="4" t="n">
        <v>13185</v>
      </c>
      <c r="B4031" s="5" t="n">
        <v>44650</v>
      </c>
      <c r="C4031" s="13" t="inlineStr">
        <is>
          <t>CPR</t>
        </is>
      </c>
      <c r="D4031" s="13" t="n">
        <v>42</v>
      </c>
      <c r="E4031" s="10">
        <f>IF(D4031&gt;0,VLOOKUP(OPERAC[[#This Row],[COD CART]],[1]!MatrizCortoLargoCyl[#All],3,0),"")</f>
        <v/>
      </c>
      <c r="F4031" s="13" t="inlineStr">
        <is>
          <t>SPY</t>
        </is>
      </c>
      <c r="G4031" s="6" t="n">
        <v>2</v>
      </c>
      <c r="H4031" s="6" t="n">
        <v>-927.12872</v>
      </c>
      <c r="I4031" s="7">
        <f>-H4031/G4031</f>
        <v/>
      </c>
      <c r="J4031" s="11" t="n">
        <v>44693</v>
      </c>
      <c r="K4031" s="6" t="n">
        <v>2</v>
      </c>
      <c r="L4031" s="6" t="n">
        <v>772</v>
      </c>
      <c r="M4031" s="7">
        <f>IF(N4031=0,+L4031+H4031,0)</f>
        <v/>
      </c>
      <c r="N4031" s="7">
        <f>IF((+G4031-K4031)=0,0,+G4031-K4031)</f>
        <v/>
      </c>
      <c r="O4031" s="7">
        <f>IF(N4031=0,0,(L4031+H4031)/-N4031)</f>
        <v/>
      </c>
      <c r="P4031" s="7">
        <f>VLOOKUP(OPERAC[[#This Row],[especie]],[1]!ESPECIES[#All],6,0)</f>
        <v/>
      </c>
      <c r="Q4031" s="7">
        <f>IF(N4031&lt;&gt;0,P4031*N4031,0)</f>
        <v/>
      </c>
      <c r="R4031" s="8">
        <f>IF(Q4031&lt;&gt;0,Q4031+H4031+L4031,0)</f>
        <v/>
      </c>
      <c r="S4031" s="9">
        <f>VLOOKUP(OPERAC[[#This Row],[especie]],[1]!ESPECIES[#Data],9,FALSE)</f>
        <v/>
      </c>
    </row>
    <row r="4032">
      <c r="A4032" s="4" t="n">
        <v>18724</v>
      </c>
      <c r="B4032" s="5" t="n">
        <v>44650</v>
      </c>
      <c r="C4032" s="13" t="inlineStr">
        <is>
          <t>CPR</t>
        </is>
      </c>
      <c r="D4032" s="13" t="n">
        <v>42</v>
      </c>
      <c r="E4032" s="10">
        <f>IF(D4032&gt;0,VLOOKUP(OPERAC[[#This Row],[COD CART]],[1]!MatrizCortoLargoCyl[#All],3,0),"")</f>
        <v/>
      </c>
      <c r="F4032" s="13" t="inlineStr">
        <is>
          <t>SPY</t>
        </is>
      </c>
      <c r="G4032" s="6" t="n">
        <v>2</v>
      </c>
      <c r="H4032" s="6" t="n">
        <v>-927.12872</v>
      </c>
      <c r="I4032" s="7">
        <f>-H4032/G4032</f>
        <v/>
      </c>
      <c r="J4032" s="11" t="n">
        <v>44693</v>
      </c>
      <c r="K4032" s="6" t="n">
        <v>2</v>
      </c>
      <c r="L4032" s="6" t="n">
        <v>771.1849999999999</v>
      </c>
      <c r="M4032" s="7">
        <f>IF(N4032=0,+L4032+H4032,0)</f>
        <v/>
      </c>
      <c r="N4032" s="7">
        <f>IF((+G4032-K4032)=0,0,+G4032-K4032)</f>
        <v/>
      </c>
      <c r="O4032" s="7">
        <f>IF(N4032=0,0,(L4032+H4032)/-N4032)</f>
        <v/>
      </c>
      <c r="P4032" s="7">
        <f>VLOOKUP(OPERAC[[#This Row],[especie]],[1]!ESPECIES[#All],6,0)</f>
        <v/>
      </c>
      <c r="Q4032" s="7">
        <f>IF(N4032&lt;&gt;0,P4032*N4032,0)</f>
        <v/>
      </c>
      <c r="R4032" s="8">
        <f>IF(Q4032&lt;&gt;0,Q4032+H4032+L4032,0)</f>
        <v/>
      </c>
      <c r="S4032" s="9">
        <f>VLOOKUP(OPERAC[[#This Row],[especie]],[1]!ESPECIES[#Data],9,FALSE)</f>
        <v/>
      </c>
    </row>
    <row r="4033">
      <c r="A4033" s="4" t="n">
        <v>12619</v>
      </c>
      <c r="B4033" s="5" t="n">
        <v>44536</v>
      </c>
      <c r="C4033" s="13" t="inlineStr">
        <is>
          <t>CPR</t>
        </is>
      </c>
      <c r="D4033" s="13" t="n">
        <v>40</v>
      </c>
      <c r="E4033" s="10">
        <f>IF(D4033&gt;0,VLOOKUP(OPERAC[[#This Row],[COD CART]],[1]!MatrizCortoLargoCyl[#All],3,0),"")</f>
        <v/>
      </c>
      <c r="F4033" s="13" t="inlineStr">
        <is>
          <t>UVXY</t>
        </is>
      </c>
      <c r="G4033" s="6" t="n">
        <v>40</v>
      </c>
      <c r="H4033" s="6" t="n">
        <v>-927.1568</v>
      </c>
      <c r="I4033" s="7">
        <f>-H4033/G4033</f>
        <v/>
      </c>
      <c r="J4033" s="11" t="n">
        <v>44571</v>
      </c>
      <c r="K4033" s="6">
        <f>+OPERAC[[#This Row],[cantidad]]</f>
        <v/>
      </c>
      <c r="L4033" s="6">
        <f>+OPERAC[[#This Row],[cantidad venta]]*14.135</f>
        <v/>
      </c>
      <c r="M4033" s="7">
        <f>IF(N4033=0,+L4033+H4033,0)</f>
        <v/>
      </c>
      <c r="N4033" s="7">
        <f>IF((+G4033-K4033)=0,0,+G4033-K4033)</f>
        <v/>
      </c>
      <c r="O4033" s="7">
        <f>IF(N4033=0,0,(L4033+H4033)/-N4033)</f>
        <v/>
      </c>
      <c r="P4033" s="7">
        <f>VLOOKUP(OPERAC[[#This Row],[especie]],[1]!ESPECIES[#All],6,0)</f>
        <v/>
      </c>
      <c r="Q4033" s="7">
        <f>IF(N4033&lt;&gt;0,P4033*N4033,0)</f>
        <v/>
      </c>
      <c r="R4033" s="8">
        <f>IF(Q4033&lt;&gt;0,Q4033+H4033+L4033,0)</f>
        <v/>
      </c>
      <c r="S4033" s="9">
        <f>VLOOKUP(OPERAC[[#This Row],[especie]],[1]!ESPECIES[#Data],9,FALSE)</f>
        <v/>
      </c>
    </row>
    <row r="4034">
      <c r="A4034" s="4" t="n">
        <v>2203</v>
      </c>
      <c r="B4034" s="5" t="n">
        <v>44669</v>
      </c>
      <c r="C4034" s="13" t="inlineStr">
        <is>
          <t>CPR</t>
        </is>
      </c>
      <c r="D4034" s="13" t="n">
        <v>32</v>
      </c>
      <c r="E4034" s="10">
        <f>IF(D4034&gt;0,VLOOKUP(OPERAC[[#This Row],[COD CART]],[1]!MatrizCortoLargoCyl[#All],3,0),"")</f>
        <v/>
      </c>
      <c r="F4034" s="13" t="inlineStr">
        <is>
          <t>HMY</t>
        </is>
      </c>
      <c r="G4034" s="6" t="n">
        <v>200</v>
      </c>
      <c r="H4034" s="6">
        <f>-4.64*OPERAC[[#This Row],[cantidad]]</f>
        <v/>
      </c>
      <c r="I4034" s="7">
        <f>-H4034/G4034</f>
        <v/>
      </c>
      <c r="J4034" s="11" t="n">
        <v>44704</v>
      </c>
      <c r="K4034" s="6" t="n">
        <v>200</v>
      </c>
      <c r="L4034" s="6" t="n">
        <v>733.804</v>
      </c>
      <c r="M4034" s="7">
        <f>IF(N4034=0,+L4034+H4034,0)</f>
        <v/>
      </c>
      <c r="N4034" s="7">
        <f>IF((+G4034-K4034)=0,0,+G4034-K4034)</f>
        <v/>
      </c>
      <c r="O4034" s="7">
        <f>IF(N4034=0,0,(L4034+H4034)/-N4034)</f>
        <v/>
      </c>
      <c r="P4034" s="7">
        <f>VLOOKUP(OPERAC[[#This Row],[especie]],[1]!ESPECIES[#All],6,0)</f>
        <v/>
      </c>
      <c r="Q4034" s="7">
        <f>IF(N4034&lt;&gt;0,P4034*N4034,0)</f>
        <v/>
      </c>
      <c r="R4034" s="8">
        <f>IF(Q4034&lt;&gt;0,Q4034+H4034+L4034,0)</f>
        <v/>
      </c>
      <c r="S4034" s="9">
        <f>VLOOKUP(OPERAC[[#This Row],[especie]],[1]!ESPECIES[#Data],9,FALSE)</f>
        <v/>
      </c>
    </row>
    <row r="4035">
      <c r="A4035" s="4" t="n">
        <v>2305</v>
      </c>
      <c r="B4035" s="5" t="n">
        <v>44669</v>
      </c>
      <c r="C4035" s="13" t="inlineStr">
        <is>
          <t>CPR</t>
        </is>
      </c>
      <c r="D4035" s="13" t="n">
        <v>32</v>
      </c>
      <c r="E4035" s="10">
        <f>IF(D4035&gt;0,VLOOKUP(OPERAC[[#This Row],[COD CART]],[1]!MatrizCortoLargoCyl[#All],3,0),"")</f>
        <v/>
      </c>
      <c r="F4035" s="13" t="inlineStr">
        <is>
          <t>HMY</t>
        </is>
      </c>
      <c r="G4035" s="6" t="n">
        <v>200</v>
      </c>
      <c r="H4035" s="6">
        <f>-4.64*OPERAC[[#This Row],[cantidad]]</f>
        <v/>
      </c>
      <c r="I4035" s="7">
        <f>-H4035/G4035</f>
        <v/>
      </c>
      <c r="J4035" s="11" t="n">
        <v>44704</v>
      </c>
      <c r="K4035" s="6" t="n">
        <v>100</v>
      </c>
      <c r="L4035" s="6" t="n">
        <v>366.902</v>
      </c>
      <c r="M4035" s="7">
        <f>IF(N4035=0,+L4035+H4035,0)</f>
        <v/>
      </c>
      <c r="N4035" s="7">
        <f>IF((+G4035-K4035)=0,0,+G4035-K4035)</f>
        <v/>
      </c>
      <c r="O4035" s="7">
        <f>IF(N4035=0,0,(L4035+H4035)/-N4035)</f>
        <v/>
      </c>
      <c r="P4035" s="7">
        <f>VLOOKUP(OPERAC[[#This Row],[especie]],[1]!ESPECIES[#All],6,0)</f>
        <v/>
      </c>
      <c r="Q4035" s="7">
        <f>IF(N4035&lt;&gt;0,P4035*N4035,0)</f>
        <v/>
      </c>
      <c r="R4035" s="8">
        <f>IF(Q4035&lt;&gt;0,Q4035+H4035+L4035,0)</f>
        <v/>
      </c>
      <c r="S4035" s="9">
        <f>VLOOKUP(OPERAC[[#This Row],[especie]],[1]!ESPECIES[#Data],9,FALSE)</f>
        <v/>
      </c>
    </row>
    <row r="4036">
      <c r="A4036" s="4" t="n">
        <v>3853</v>
      </c>
      <c r="B4036" s="5" t="n">
        <v>44669</v>
      </c>
      <c r="C4036" s="13" t="inlineStr">
        <is>
          <t>CPR</t>
        </is>
      </c>
      <c r="D4036" s="13" t="n">
        <v>32</v>
      </c>
      <c r="E4036" s="10">
        <f>IF(D4036&gt;0,VLOOKUP(OPERAC[[#This Row],[COD CART]],[1]!MatrizCortoLargoCyl[#All],3,0),"")</f>
        <v/>
      </c>
      <c r="F4036" s="13" t="inlineStr">
        <is>
          <t>HMY</t>
        </is>
      </c>
      <c r="G4036" s="6" t="n">
        <v>200</v>
      </c>
      <c r="H4036" s="6">
        <f>-4.64*OPERAC[[#This Row],[cantidad]]</f>
        <v/>
      </c>
      <c r="I4036" s="7">
        <f>-H4036/G4036</f>
        <v/>
      </c>
      <c r="J4036" s="11" t="n">
        <v>44704</v>
      </c>
      <c r="K4036" s="6" t="n">
        <v>200</v>
      </c>
      <c r="L4036" s="6" t="n">
        <v>733.84</v>
      </c>
      <c r="M4036" s="7">
        <f>IF(N4036=0,+L4036+H4036,0)</f>
        <v/>
      </c>
      <c r="N4036" s="7">
        <f>IF((+G4036-K4036)=0,0,+G4036-K4036)</f>
        <v/>
      </c>
      <c r="O4036" s="7">
        <f>IF(N4036=0,0,(L4036+H4036)/-N4036)</f>
        <v/>
      </c>
      <c r="P4036" s="7">
        <f>VLOOKUP(OPERAC[[#This Row],[especie]],[1]!ESPECIES[#All],6,0)</f>
        <v/>
      </c>
      <c r="Q4036" s="7">
        <f>IF(N4036&lt;&gt;0,P4036*N4036,0)</f>
        <v/>
      </c>
      <c r="R4036" s="8">
        <f>IF(Q4036&lt;&gt;0,Q4036+H4036+L4036,0)</f>
        <v/>
      </c>
      <c r="S4036" s="9">
        <f>VLOOKUP(OPERAC[[#This Row],[especie]],[1]!ESPECIES[#Data],9,FALSE)</f>
        <v/>
      </c>
    </row>
    <row r="4037">
      <c r="A4037" s="4" t="n">
        <v>3867</v>
      </c>
      <c r="B4037" s="5" t="n">
        <v>44669</v>
      </c>
      <c r="C4037" s="13" t="inlineStr">
        <is>
          <t>CPR</t>
        </is>
      </c>
      <c r="D4037" s="13" t="n">
        <v>32</v>
      </c>
      <c r="E4037" s="10">
        <f>IF(D4037&gt;0,VLOOKUP(OPERAC[[#This Row],[COD CART]],[1]!MatrizCortoLargoCyl[#All],3,0),"")</f>
        <v/>
      </c>
      <c r="F4037" s="13" t="inlineStr">
        <is>
          <t>HMY</t>
        </is>
      </c>
      <c r="G4037" s="6" t="n">
        <v>200</v>
      </c>
      <c r="H4037" s="6">
        <f>-4.64*OPERAC[[#This Row],[cantidad]]</f>
        <v/>
      </c>
      <c r="I4037" s="7">
        <f>-H4037/G4037</f>
        <v/>
      </c>
      <c r="J4037" s="11" t="n"/>
      <c r="K4037" s="6" t="n"/>
      <c r="L4037" s="6" t="n"/>
      <c r="M4037" s="7">
        <f>IF(N4037=0,+L4037+H4037,0)</f>
        <v/>
      </c>
      <c r="N4037" s="7">
        <f>IF((+G4037-K4037)=0,0,+G4037-K4037)</f>
        <v/>
      </c>
      <c r="O4037" s="7">
        <f>IF(N4037=0,0,(L4037+H4037)/-N4037)</f>
        <v/>
      </c>
      <c r="P4037" s="7">
        <f>VLOOKUP(OPERAC[[#This Row],[especie]],[1]!ESPECIES[#All],6,0)</f>
        <v/>
      </c>
      <c r="Q4037" s="7">
        <f>IF(N4037&lt;&gt;0,P4037*N4037,0)</f>
        <v/>
      </c>
      <c r="R4037" s="8">
        <f>IF(Q4037&lt;&gt;0,Q4037+H4037+L4037,0)</f>
        <v/>
      </c>
      <c r="S4037" s="9">
        <f>VLOOKUP(OPERAC[[#This Row],[especie]],[1]!ESPECIES[#Data],9,FALSE)</f>
        <v/>
      </c>
    </row>
    <row r="4038">
      <c r="A4038" s="4" t="n">
        <v>9195</v>
      </c>
      <c r="B4038" s="5" t="n">
        <v>44669</v>
      </c>
      <c r="C4038" s="13" t="inlineStr">
        <is>
          <t>CPR</t>
        </is>
      </c>
      <c r="D4038" s="13" t="n">
        <v>32</v>
      </c>
      <c r="E4038" s="10">
        <f>IF(D4038&gt;0,VLOOKUP(OPERAC[[#This Row],[COD CART]],[1]!MatrizCortoLargoCyl[#All],3,0),"")</f>
        <v/>
      </c>
      <c r="F4038" s="13" t="inlineStr">
        <is>
          <t>HMY</t>
        </is>
      </c>
      <c r="G4038" s="6" t="n">
        <v>200</v>
      </c>
      <c r="H4038" s="6">
        <f>-4.64*OPERAC[[#This Row],[cantidad]]</f>
        <v/>
      </c>
      <c r="I4038" s="7">
        <f>-H4038/G4038</f>
        <v/>
      </c>
      <c r="J4038" s="11" t="n"/>
      <c r="K4038" s="6" t="n"/>
      <c r="L4038" s="6" t="n"/>
      <c r="M4038" s="7">
        <f>IF(N4038=0,+L4038+H4038,0)</f>
        <v/>
      </c>
      <c r="N4038" s="7">
        <f>IF((+G4038-K4038)=0,0,+G4038-K4038)</f>
        <v/>
      </c>
      <c r="O4038" s="7">
        <f>IF(N4038=0,0,(L4038+H4038)/-N4038)</f>
        <v/>
      </c>
      <c r="P4038" s="7">
        <f>VLOOKUP(OPERAC[[#This Row],[especie]],[1]!ESPECIES[#All],6,0)</f>
        <v/>
      </c>
      <c r="Q4038" s="7">
        <f>IF(N4038&lt;&gt;0,P4038*N4038,0)</f>
        <v/>
      </c>
      <c r="R4038" s="8">
        <f>IF(Q4038&lt;&gt;0,Q4038+H4038+L4038,0)</f>
        <v/>
      </c>
      <c r="S4038" s="9">
        <f>VLOOKUP(OPERAC[[#This Row],[especie]],[1]!ESPECIES[#Data],9,FALSE)</f>
        <v/>
      </c>
    </row>
    <row r="4039">
      <c r="A4039" s="4" t="n">
        <v>13190</v>
      </c>
      <c r="B4039" s="5" t="n">
        <v>44669</v>
      </c>
      <c r="C4039" s="13" t="inlineStr">
        <is>
          <t>CPR</t>
        </is>
      </c>
      <c r="D4039" s="13" t="n">
        <v>32</v>
      </c>
      <c r="E4039" s="10">
        <f>IF(D4039&gt;0,VLOOKUP(OPERAC[[#This Row],[COD CART]],[1]!MatrizCortoLargoCyl[#All],3,0),"")</f>
        <v/>
      </c>
      <c r="F4039" s="13" t="inlineStr">
        <is>
          <t>HMY</t>
        </is>
      </c>
      <c r="G4039" s="6" t="n">
        <v>200</v>
      </c>
      <c r="H4039" s="6">
        <f>-4.64*OPERAC[[#This Row],[cantidad]]</f>
        <v/>
      </c>
      <c r="I4039" s="7">
        <f>-H4039/G4039</f>
        <v/>
      </c>
      <c r="J4039" s="11" t="n"/>
      <c r="K4039" s="6" t="n"/>
      <c r="L4039" s="6" t="n"/>
      <c r="M4039" s="7">
        <f>IF(N4039=0,+L4039+H4039,0)</f>
        <v/>
      </c>
      <c r="N4039" s="7">
        <f>IF((+G4039-K4039)=0,0,+G4039-K4039)</f>
        <v/>
      </c>
      <c r="O4039" s="7">
        <f>IF(N4039=0,0,(L4039+H4039)/-N4039)</f>
        <v/>
      </c>
      <c r="P4039" s="7">
        <f>VLOOKUP(OPERAC[[#This Row],[especie]],[1]!ESPECIES[#All],6,0)</f>
        <v/>
      </c>
      <c r="Q4039" s="7">
        <f>IF(N4039&lt;&gt;0,P4039*N4039,0)</f>
        <v/>
      </c>
      <c r="R4039" s="8">
        <f>IF(Q4039&lt;&gt;0,Q4039+H4039+L4039,0)</f>
        <v/>
      </c>
      <c r="S4039" s="9">
        <f>VLOOKUP(OPERAC[[#This Row],[especie]],[1]!ESPECIES[#Data],9,FALSE)</f>
        <v/>
      </c>
    </row>
    <row r="4040">
      <c r="A4040" s="4" t="n">
        <v>19932</v>
      </c>
      <c r="B4040" s="5" t="n">
        <v>44669</v>
      </c>
      <c r="C4040" s="13" t="inlineStr">
        <is>
          <t>CPR</t>
        </is>
      </c>
      <c r="D4040" s="13" t="n">
        <v>32</v>
      </c>
      <c r="E4040" s="10">
        <f>IF(D4040&gt;0,VLOOKUP(OPERAC[[#This Row],[COD CART]],[1]!MatrizCortoLargoCyl[#All],3,0),"")</f>
        <v/>
      </c>
      <c r="F4040" s="13" t="inlineStr">
        <is>
          <t>HMY</t>
        </is>
      </c>
      <c r="G4040" s="6" t="n">
        <v>200</v>
      </c>
      <c r="H4040" s="6">
        <f>-4.64*OPERAC[[#This Row],[cantidad]]</f>
        <v/>
      </c>
      <c r="I4040" s="7">
        <f>-H4040/G4040</f>
        <v/>
      </c>
      <c r="J4040" s="11" t="n">
        <v>44705</v>
      </c>
      <c r="K4040" s="6" t="n">
        <v>100</v>
      </c>
      <c r="L4040" s="6" t="n">
        <v>365.864</v>
      </c>
      <c r="M4040" s="7">
        <f>IF(N4040=0,+L4040+H4040,0)</f>
        <v/>
      </c>
      <c r="N4040" s="7">
        <f>IF((+G4040-K4040)=0,0,+G4040-K4040)</f>
        <v/>
      </c>
      <c r="O4040" s="7">
        <f>IF(N4040=0,0,(L4040+H4040)/-N4040)</f>
        <v/>
      </c>
      <c r="P4040" s="7">
        <f>VLOOKUP(OPERAC[[#This Row],[especie]],[1]!ESPECIES[#All],6,0)</f>
        <v/>
      </c>
      <c r="Q4040" s="7">
        <f>IF(N4040&lt;&gt;0,P4040*N4040,0)</f>
        <v/>
      </c>
      <c r="R4040" s="8">
        <f>IF(Q4040&lt;&gt;0,Q4040+H4040+L4040,0)</f>
        <v/>
      </c>
      <c r="S4040" s="9">
        <f>VLOOKUP(OPERAC[[#This Row],[especie]],[1]!ESPECIES[#Data],9,FALSE)</f>
        <v/>
      </c>
    </row>
    <row r="4041">
      <c r="A4041" s="4" t="n">
        <v>22393</v>
      </c>
      <c r="B4041" s="5" t="n">
        <v>44669</v>
      </c>
      <c r="C4041" s="13" t="inlineStr">
        <is>
          <t>CPR</t>
        </is>
      </c>
      <c r="D4041" s="13" t="n">
        <v>32</v>
      </c>
      <c r="E4041" s="10">
        <f>IF(D4041&gt;0,VLOOKUP(OPERAC[[#This Row],[COD CART]],[1]!MatrizCortoLargoCyl[#All],3,0),"")</f>
        <v/>
      </c>
      <c r="F4041" s="13" t="inlineStr">
        <is>
          <t>HMY</t>
        </is>
      </c>
      <c r="G4041" s="6" t="n">
        <v>200</v>
      </c>
      <c r="H4041" s="6">
        <f>-4.64*OPERAC[[#This Row],[cantidad]]</f>
        <v/>
      </c>
      <c r="I4041" s="7">
        <f>-H4041/G4041</f>
        <v/>
      </c>
      <c r="J4041" s="11" t="n"/>
      <c r="K4041" s="6" t="n"/>
      <c r="L4041" s="6" t="n"/>
      <c r="M4041" s="7">
        <f>IF(N4041=0,+L4041+H4041,0)</f>
        <v/>
      </c>
      <c r="N4041" s="7">
        <f>IF((+G4041-K4041)=0,0,+G4041-K4041)</f>
        <v/>
      </c>
      <c r="O4041" s="7">
        <f>IF(N4041=0,0,(L4041+H4041)/-N4041)</f>
        <v/>
      </c>
      <c r="P4041" s="7">
        <f>VLOOKUP(OPERAC[[#This Row],[especie]],[1]!ESPECIES[#All],6,0)</f>
        <v/>
      </c>
      <c r="Q4041" s="7">
        <f>IF(N4041&lt;&gt;0,P4041*N4041,0)</f>
        <v/>
      </c>
      <c r="R4041" s="8">
        <f>IF(Q4041&lt;&gt;0,Q4041+H4041+L4041,0)</f>
        <v/>
      </c>
      <c r="S4041" s="9">
        <f>VLOOKUP(OPERAC[[#This Row],[especie]],[1]!ESPECIES[#Data],9,FALSE)</f>
        <v/>
      </c>
    </row>
    <row r="4042">
      <c r="A4042" s="4" t="n">
        <v>26146</v>
      </c>
      <c r="B4042" s="5" t="n">
        <v>44669</v>
      </c>
      <c r="C4042" s="13" t="inlineStr">
        <is>
          <t>CPR</t>
        </is>
      </c>
      <c r="D4042" s="13" t="n">
        <v>32</v>
      </c>
      <c r="E4042" s="10">
        <f>IF(D4042&gt;0,VLOOKUP(OPERAC[[#This Row],[COD CART]],[1]!MatrizCortoLargoCyl[#All],3,0),"")</f>
        <v/>
      </c>
      <c r="F4042" s="13" t="inlineStr">
        <is>
          <t>HMY</t>
        </is>
      </c>
      <c r="G4042" s="6" t="n">
        <v>200</v>
      </c>
      <c r="H4042" s="6">
        <f>-4.64*OPERAC[[#This Row],[cantidad]]</f>
        <v/>
      </c>
      <c r="I4042" s="7">
        <f>-H4042/G4042</f>
        <v/>
      </c>
      <c r="J4042" s="11" t="n">
        <v>44722</v>
      </c>
      <c r="K4042" s="6" t="n">
        <v>200</v>
      </c>
      <c r="L4042" s="6">
        <f>+OPERAC[[#This Row],[cantidad venta]]*3.317</f>
        <v/>
      </c>
      <c r="M4042" s="7">
        <f>IF(N4042=0,+L4042+H4042,0)</f>
        <v/>
      </c>
      <c r="N4042" s="7">
        <f>IF((+G4042-K4042)=0,0,+G4042-K4042)</f>
        <v/>
      </c>
      <c r="O4042" s="7">
        <f>IF(N4042=0,0,(L4042+H4042)/-N4042)</f>
        <v/>
      </c>
      <c r="P4042" s="7">
        <f>VLOOKUP(OPERAC[[#This Row],[especie]],[1]!ESPECIES[#All],6,0)</f>
        <v/>
      </c>
      <c r="Q4042" s="7">
        <f>IF(N4042&lt;&gt;0,P4042*N4042,0)</f>
        <v/>
      </c>
      <c r="R4042" s="8">
        <f>IF(Q4042&lt;&gt;0,Q4042+H4042+L4042,0)</f>
        <v/>
      </c>
      <c r="S4042" s="9">
        <f>VLOOKUP(OPERAC[[#This Row],[especie]],[1]!ESPECIES[#Data],9,FALSE)</f>
        <v/>
      </c>
    </row>
    <row r="4043">
      <c r="A4043" s="4" t="n">
        <v>12655</v>
      </c>
      <c r="B4043" s="5" t="n">
        <v>44662</v>
      </c>
      <c r="C4043" s="13" t="inlineStr">
        <is>
          <t>CPR</t>
        </is>
      </c>
      <c r="D4043" s="13" t="n">
        <v>42</v>
      </c>
      <c r="E4043" s="10">
        <f>IF(D4043&gt;0,VLOOKUP(OPERAC[[#This Row],[COD CART]],[1]!MatrizCortoLargoCyl[#All],3,0),"")</f>
        <v/>
      </c>
      <c r="F4043" s="13" t="inlineStr">
        <is>
          <t>HYDR</t>
        </is>
      </c>
      <c r="G4043" s="6" t="n">
        <v>50</v>
      </c>
      <c r="H4043" s="6" t="n">
        <v>-928.5172</v>
      </c>
      <c r="I4043" s="7">
        <f>-H4043/G4043</f>
        <v/>
      </c>
      <c r="J4043" s="11" t="n">
        <v>44693</v>
      </c>
      <c r="K4043" s="6">
        <f>+OPERAC[[#This Row],[cantidad]]</f>
        <v/>
      </c>
      <c r="L4043" s="6">
        <f>+OPERAC[[#This Row],[cantidad venta]]*12.027</f>
        <v/>
      </c>
      <c r="M4043" s="7">
        <f>IF(N4043=0,+L4043+H4043,0)</f>
        <v/>
      </c>
      <c r="N4043" s="7">
        <f>IF((+G4043-K4043)=0,0,+G4043-K4043)</f>
        <v/>
      </c>
      <c r="O4043" s="7">
        <f>IF(N4043=0,0,(L4043+H4043)/-N4043)</f>
        <v/>
      </c>
      <c r="P4043" s="7">
        <f>VLOOKUP(OPERAC[[#This Row],[especie]],[1]!ESPECIES[#All],6,0)</f>
        <v/>
      </c>
      <c r="Q4043" s="7">
        <f>IF(N4043&lt;&gt;0,P4043*N4043,0)</f>
        <v/>
      </c>
      <c r="R4043" s="8">
        <f>IF(Q4043&lt;&gt;0,Q4043+H4043+L4043,0)</f>
        <v/>
      </c>
      <c r="S4043" s="9">
        <f>VLOOKUP(OPERAC[[#This Row],[especie]],[1]!ESPECIES[#Data],9,FALSE)</f>
        <v/>
      </c>
    </row>
    <row r="4044">
      <c r="A4044" s="4" t="n">
        <v>16824</v>
      </c>
      <c r="B4044" s="5" t="n">
        <v>44662</v>
      </c>
      <c r="C4044" s="13" t="inlineStr">
        <is>
          <t>CPR</t>
        </is>
      </c>
      <c r="D4044" s="13" t="n">
        <v>42</v>
      </c>
      <c r="E4044" s="10">
        <f>IF(D4044&gt;0,VLOOKUP(OPERAC[[#This Row],[COD CART]],[1]!MatrizCortoLargoCyl[#All],3,0),"")</f>
        <v/>
      </c>
      <c r="F4044" s="13" t="inlineStr">
        <is>
          <t>HYDR</t>
        </is>
      </c>
      <c r="G4044" s="6" t="n">
        <v>50</v>
      </c>
      <c r="H4044" s="6" t="n">
        <v>-928.5172</v>
      </c>
      <c r="I4044" s="7">
        <f>-H4044/G4044</f>
        <v/>
      </c>
      <c r="J4044" s="11" t="n">
        <v>44692</v>
      </c>
      <c r="K4044" s="6" t="n">
        <v>50</v>
      </c>
      <c r="L4044" s="6" t="n">
        <v>646.458</v>
      </c>
      <c r="M4044" s="7">
        <f>IF(N4044=0,+L4044+H4044,0)</f>
        <v/>
      </c>
      <c r="N4044" s="7">
        <f>IF((+G4044-K4044)=0,0,+G4044-K4044)</f>
        <v/>
      </c>
      <c r="O4044" s="7">
        <f>IF(N4044=0,0,(L4044+H4044)/-N4044)</f>
        <v/>
      </c>
      <c r="P4044" s="7">
        <f>VLOOKUP(OPERAC[[#This Row],[especie]],[1]!ESPECIES[#All],6,0)</f>
        <v/>
      </c>
      <c r="Q4044" s="7">
        <f>IF(N4044&lt;&gt;0,P4044*N4044,0)</f>
        <v/>
      </c>
      <c r="R4044" s="8">
        <f>IF(Q4044&lt;&gt;0,Q4044+H4044+L4044,0)</f>
        <v/>
      </c>
      <c r="S4044" s="9">
        <f>VLOOKUP(OPERAC[[#This Row],[especie]],[1]!ESPECIES[#Data],9,FALSE)</f>
        <v/>
      </c>
    </row>
    <row r="4045">
      <c r="A4045" s="4" t="n">
        <v>26140</v>
      </c>
      <c r="B4045" s="5" t="n">
        <v>44662</v>
      </c>
      <c r="C4045" s="13" t="inlineStr">
        <is>
          <t>CPR</t>
        </is>
      </c>
      <c r="D4045" s="13" t="n">
        <v>42</v>
      </c>
      <c r="E4045" s="10">
        <f>IF(D4045&gt;0,VLOOKUP(OPERAC[[#This Row],[COD CART]],[1]!MatrizCortoLargoCyl[#All],3,0),"")</f>
        <v/>
      </c>
      <c r="F4045" s="13" t="inlineStr">
        <is>
          <t>HYDR</t>
        </is>
      </c>
      <c r="G4045" s="6" t="n">
        <v>50</v>
      </c>
      <c r="H4045" s="6" t="n">
        <v>-928.5172</v>
      </c>
      <c r="I4045" s="7">
        <f>-H4045/G4045</f>
        <v/>
      </c>
      <c r="J4045" s="11" t="n">
        <v>44693</v>
      </c>
      <c r="K4045" s="6">
        <f>+OPERAC[[#This Row],[cantidad]]</f>
        <v/>
      </c>
      <c r="L4045" s="6">
        <f>+OPERAC[[#This Row],[cantidad venta]]*11.986</f>
        <v/>
      </c>
      <c r="M4045" s="7">
        <f>IF(N4045=0,+L4045+H4045,0)</f>
        <v/>
      </c>
      <c r="N4045" s="7">
        <f>IF((+G4045-K4045)=0,0,+G4045-K4045)</f>
        <v/>
      </c>
      <c r="O4045" s="7">
        <f>IF(N4045=0,0,(L4045+H4045)/-N4045)</f>
        <v/>
      </c>
      <c r="P4045" s="7">
        <f>VLOOKUP(OPERAC[[#This Row],[especie]],[1]!ESPECIES[#All],6,0)</f>
        <v/>
      </c>
      <c r="Q4045" s="7">
        <f>IF(N4045&lt;&gt;0,P4045*N4045,0)</f>
        <v/>
      </c>
      <c r="R4045" s="8">
        <f>IF(Q4045&lt;&gt;0,Q4045+H4045+L4045,0)</f>
        <v/>
      </c>
      <c r="S4045" s="9">
        <f>VLOOKUP(OPERAC[[#This Row],[especie]],[1]!ESPECIES[#Data],9,FALSE)</f>
        <v/>
      </c>
    </row>
    <row r="4046">
      <c r="A4046" s="4" t="n">
        <v>4561</v>
      </c>
      <c r="B4046" s="5" t="n">
        <v>44650</v>
      </c>
      <c r="C4046" s="13" t="inlineStr">
        <is>
          <t>CPR</t>
        </is>
      </c>
      <c r="D4046" s="13" t="n">
        <v>43</v>
      </c>
      <c r="E4046" s="10">
        <f>IF(D4046&gt;0,VLOOKUP(OPERAC[[#This Row],[COD CART]],[1]!MatrizCortoLargoCyl[#All],3,0),"")</f>
        <v/>
      </c>
      <c r="F4046" s="13" t="inlineStr">
        <is>
          <t>ACB/CYL-PUT/3,00/20-01-23</t>
        </is>
      </c>
      <c r="G4046" s="6" t="n">
        <v>500</v>
      </c>
      <c r="H4046" s="6" t="n">
        <v>-928.8890000000001</v>
      </c>
      <c r="I4046" s="7">
        <f>-H4046/G4046</f>
        <v/>
      </c>
      <c r="J4046" s="11" t="n"/>
      <c r="K4046" s="6" t="n"/>
      <c r="L4046" s="6" t="n"/>
      <c r="M4046" s="7">
        <f>IF(N4046=0,+L4046+H4046,0)</f>
        <v/>
      </c>
      <c r="N4046" s="7">
        <f>IF((+G4046-K4046)=0,0,+G4046-K4046)</f>
        <v/>
      </c>
      <c r="O4046" s="7">
        <f>IF(N4046=0,0,(L4046+H4046)/-N4046)</f>
        <v/>
      </c>
      <c r="P4046" s="7">
        <f>VLOOKUP(OPERAC[[#This Row],[especie]],[1]!ESPECIES[#All],6,0)</f>
        <v/>
      </c>
      <c r="Q4046" s="7">
        <f>IF(N4046&lt;&gt;0,P4046*N4046,0)</f>
        <v/>
      </c>
      <c r="R4046" s="8">
        <f>IF(Q4046&lt;&gt;0,Q4046+H4046+L4046,0)</f>
        <v/>
      </c>
      <c r="S4046" s="9">
        <f>VLOOKUP(OPERAC[[#This Row],[especie]],[1]!ESPECIES[#Data],9,FALSE)</f>
        <v/>
      </c>
    </row>
    <row r="4047">
      <c r="A4047" s="4" t="n">
        <v>13190</v>
      </c>
      <c r="B4047" s="5" t="n">
        <v>44650</v>
      </c>
      <c r="C4047" s="13" t="inlineStr">
        <is>
          <t>CPR</t>
        </is>
      </c>
      <c r="D4047" s="13" t="n">
        <v>43</v>
      </c>
      <c r="E4047" s="10">
        <f>IF(D4047&gt;0,VLOOKUP(OPERAC[[#This Row],[COD CART]],[1]!MatrizCortoLargoCyl[#All],3,0),"")</f>
        <v/>
      </c>
      <c r="F4047" s="13" t="inlineStr">
        <is>
          <t>ACB/CYL-PUT/3,00/20-01-23</t>
        </is>
      </c>
      <c r="G4047" s="6" t="n">
        <v>500</v>
      </c>
      <c r="H4047" s="6" t="n">
        <v>-928.8890000000001</v>
      </c>
      <c r="I4047" s="7">
        <f>-H4047/G4047</f>
        <v/>
      </c>
      <c r="J4047" s="11" t="n"/>
      <c r="K4047" s="6" t="n"/>
      <c r="L4047" s="6" t="n"/>
      <c r="M4047" s="7">
        <f>IF(N4047=0,+L4047+H4047,0)</f>
        <v/>
      </c>
      <c r="N4047" s="7">
        <f>IF((+G4047-K4047)=0,0,+G4047-K4047)</f>
        <v/>
      </c>
      <c r="O4047" s="7">
        <f>IF(N4047=0,0,(L4047+H4047)/-N4047)</f>
        <v/>
      </c>
      <c r="P4047" s="7">
        <f>VLOOKUP(OPERAC[[#This Row],[especie]],[1]!ESPECIES[#All],6,0)</f>
        <v/>
      </c>
      <c r="Q4047" s="7">
        <f>IF(N4047&lt;&gt;0,P4047*N4047,0)</f>
        <v/>
      </c>
      <c r="R4047" s="8">
        <f>IF(Q4047&lt;&gt;0,Q4047+H4047+L4047,0)</f>
        <v/>
      </c>
      <c r="S4047" s="9">
        <f>VLOOKUP(OPERAC[[#This Row],[especie]],[1]!ESPECIES[#Data],9,FALSE)</f>
        <v/>
      </c>
    </row>
    <row r="4048">
      <c r="A4048" s="4" t="n">
        <v>7895</v>
      </c>
      <c r="B4048" s="5" t="n">
        <v>44622</v>
      </c>
      <c r="C4048" s="13" t="inlineStr">
        <is>
          <t>CPR</t>
        </is>
      </c>
      <c r="D4048" s="13" t="n">
        <v>32</v>
      </c>
      <c r="E4048" s="10">
        <f>IF(D4048&gt;0,VLOOKUP(OPERAC[[#This Row],[COD CART]],[1]!MatrizCortoLargoCyl[#All],3,0),"")</f>
        <v/>
      </c>
      <c r="F4048" s="13" t="inlineStr">
        <is>
          <t>SABR/CYL/10,00/14-04-22</t>
        </is>
      </c>
      <c r="G4048" s="6" t="n">
        <v>100</v>
      </c>
      <c r="H4048" s="6" t="n">
        <v>-928.98</v>
      </c>
      <c r="I4048" s="7">
        <f>-H4048/G4048</f>
        <v/>
      </c>
      <c r="J4048" s="11" t="n">
        <v>44649</v>
      </c>
      <c r="K4048" s="6" t="n">
        <v>100</v>
      </c>
      <c r="L4048" s="6" t="n">
        <v>982.1799999999999</v>
      </c>
      <c r="M4048" s="7">
        <f>IF(N4048=0,+L4048+H4048,0)</f>
        <v/>
      </c>
      <c r="N4048" s="7">
        <f>IF((+G4048-K4048)=0,0,+G4048-K4048)</f>
        <v/>
      </c>
      <c r="O4048" s="7">
        <f>IF(N4048=0,0,(L4048+H4048)/-N4048)</f>
        <v/>
      </c>
      <c r="P4048" s="7">
        <f>VLOOKUP(OPERAC[[#This Row],[especie]],[1]!ESPECIES[#All],6,0)</f>
        <v/>
      </c>
      <c r="Q4048" s="7">
        <f>IF(N4048&lt;&gt;0,P4048*N4048,0)</f>
        <v/>
      </c>
      <c r="R4048" s="8">
        <f>IF(Q4048&lt;&gt;0,Q4048+H4048+L4048,0)</f>
        <v/>
      </c>
      <c r="S4048" s="9">
        <f>VLOOKUP(OPERAC[[#This Row],[especie]],[1]!ESPECIES[#Data],9,FALSE)</f>
        <v/>
      </c>
    </row>
    <row r="4049">
      <c r="A4049" s="4" t="n">
        <v>12655</v>
      </c>
      <c r="B4049" s="5" t="n">
        <v>44622</v>
      </c>
      <c r="C4049" s="13" t="inlineStr">
        <is>
          <t>CPR</t>
        </is>
      </c>
      <c r="D4049" s="13" t="n">
        <v>32</v>
      </c>
      <c r="E4049" s="10">
        <f>IF(D4049&gt;0,VLOOKUP(OPERAC[[#This Row],[COD CART]],[1]!MatrizCortoLargoCyl[#All],3,0),"")</f>
        <v/>
      </c>
      <c r="F4049" s="13" t="inlineStr">
        <is>
          <t>SABR/CYL/10,00/14-04-22</t>
        </is>
      </c>
      <c r="G4049" s="6" t="n">
        <v>100</v>
      </c>
      <c r="H4049" s="6" t="n">
        <v>-928.98</v>
      </c>
      <c r="I4049" s="7">
        <f>-H4049/G4049</f>
        <v/>
      </c>
      <c r="J4049" s="11" t="n">
        <v>44649</v>
      </c>
      <c r="K4049" s="6" t="n">
        <v>100</v>
      </c>
      <c r="L4049" s="6" t="n">
        <v>982.1799999999999</v>
      </c>
      <c r="M4049" s="7">
        <f>IF(N4049=0,+L4049+H4049,0)</f>
        <v/>
      </c>
      <c r="N4049" s="7">
        <f>IF((+G4049-K4049)=0,0,+G4049-K4049)</f>
        <v/>
      </c>
      <c r="O4049" s="7">
        <f>IF(N4049=0,0,(L4049+H4049)/-N4049)</f>
        <v/>
      </c>
      <c r="P4049" s="7">
        <f>VLOOKUP(OPERAC[[#This Row],[especie]],[1]!ESPECIES[#All],6,0)</f>
        <v/>
      </c>
      <c r="Q4049" s="7">
        <f>IF(N4049&lt;&gt;0,P4049*N4049,0)</f>
        <v/>
      </c>
      <c r="R4049" s="8">
        <f>IF(Q4049&lt;&gt;0,Q4049+H4049+L4049,0)</f>
        <v/>
      </c>
      <c r="S4049" s="9">
        <f>VLOOKUP(OPERAC[[#This Row],[especie]],[1]!ESPECIES[#Data],9,FALSE)</f>
        <v/>
      </c>
    </row>
    <row r="4050">
      <c r="A4050" s="4" t="n">
        <v>2203</v>
      </c>
      <c r="B4050" s="5" t="n">
        <v>44622</v>
      </c>
      <c r="C4050" s="13" t="inlineStr">
        <is>
          <t>CPR</t>
        </is>
      </c>
      <c r="D4050" s="13" t="n">
        <v>32</v>
      </c>
      <c r="E4050" s="10">
        <f>IF(D4050&gt;0,VLOOKUP(OPERAC[[#This Row],[COD CART]],[1]!MatrizCortoLargoCyl[#All],3,0),"")</f>
        <v/>
      </c>
      <c r="F4050" s="13" t="inlineStr">
        <is>
          <t>SABR/CYL/10,00/14-04-22</t>
        </is>
      </c>
      <c r="G4050" s="6" t="n">
        <v>100</v>
      </c>
      <c r="H4050" s="6" t="n">
        <v>-928.9848000000001</v>
      </c>
      <c r="I4050" s="7">
        <f>-H4050/G4050</f>
        <v/>
      </c>
      <c r="J4050" s="11" t="n">
        <v>44649</v>
      </c>
      <c r="K4050" s="6" t="n">
        <v>100</v>
      </c>
      <c r="L4050" s="6" t="n">
        <v>982.1799999999999</v>
      </c>
      <c r="M4050" s="7">
        <f>IF(N4050=0,+L4050+H4050,0)</f>
        <v/>
      </c>
      <c r="N4050" s="7">
        <f>IF((+G4050-K4050)=0,0,+G4050-K4050)</f>
        <v/>
      </c>
      <c r="O4050" s="7">
        <f>IF(N4050=0,0,(L4050+H4050)/-N4050)</f>
        <v/>
      </c>
      <c r="P4050" s="7">
        <f>VLOOKUP(OPERAC[[#This Row],[especie]],[1]!ESPECIES[#All],6,0)</f>
        <v/>
      </c>
      <c r="Q4050" s="7">
        <f>IF(N4050&lt;&gt;0,P4050*N4050,0)</f>
        <v/>
      </c>
      <c r="R4050" s="8">
        <f>IF(Q4050&lt;&gt;0,Q4050+H4050+L4050,0)</f>
        <v/>
      </c>
      <c r="S4050" s="9">
        <f>VLOOKUP(OPERAC[[#This Row],[especie]],[1]!ESPECIES[#Data],9,FALSE)</f>
        <v/>
      </c>
    </row>
    <row r="4051">
      <c r="A4051" s="4" t="n">
        <v>2289</v>
      </c>
      <c r="B4051" s="5" t="n">
        <v>44622</v>
      </c>
      <c r="C4051" s="13" t="inlineStr">
        <is>
          <t>CPR</t>
        </is>
      </c>
      <c r="D4051" s="13" t="n">
        <v>32</v>
      </c>
      <c r="E4051" s="10">
        <f>IF(D4051&gt;0,VLOOKUP(OPERAC[[#This Row],[COD CART]],[1]!MatrizCortoLargoCyl[#All],3,0),"")</f>
        <v/>
      </c>
      <c r="F4051" s="13" t="inlineStr">
        <is>
          <t>SABR/CYL/10,00/14-04-22</t>
        </is>
      </c>
      <c r="G4051" s="6" t="n">
        <v>100</v>
      </c>
      <c r="H4051" s="6" t="n">
        <v>-928.9848000000001</v>
      </c>
      <c r="I4051" s="7">
        <f>-H4051/G4051</f>
        <v/>
      </c>
      <c r="J4051" s="11" t="n">
        <v>44649</v>
      </c>
      <c r="K4051" s="6" t="n">
        <v>100</v>
      </c>
      <c r="L4051" s="6" t="n">
        <v>982.1799999999999</v>
      </c>
      <c r="M4051" s="7">
        <f>IF(N4051=0,+L4051+H4051,0)</f>
        <v/>
      </c>
      <c r="N4051" s="7">
        <f>IF((+G4051-K4051)=0,0,+G4051-K4051)</f>
        <v/>
      </c>
      <c r="O4051" s="7">
        <f>IF(N4051=0,0,(L4051+H4051)/-N4051)</f>
        <v/>
      </c>
      <c r="P4051" s="7">
        <f>VLOOKUP(OPERAC[[#This Row],[especie]],[1]!ESPECIES[#All],6,0)</f>
        <v/>
      </c>
      <c r="Q4051" s="7">
        <f>IF(N4051&lt;&gt;0,P4051*N4051,0)</f>
        <v/>
      </c>
      <c r="R4051" s="8">
        <f>IF(Q4051&lt;&gt;0,Q4051+H4051+L4051,0)</f>
        <v/>
      </c>
      <c r="S4051" s="9">
        <f>VLOOKUP(OPERAC[[#This Row],[especie]],[1]!ESPECIES[#Data],9,FALSE)</f>
        <v/>
      </c>
    </row>
    <row r="4052">
      <c r="A4052" s="4" t="n">
        <v>3838</v>
      </c>
      <c r="B4052" s="5" t="n">
        <v>44622</v>
      </c>
      <c r="C4052" s="13" t="inlineStr">
        <is>
          <t>CPR</t>
        </is>
      </c>
      <c r="D4052" s="13" t="n">
        <v>32</v>
      </c>
      <c r="E4052" s="10">
        <f>IF(D4052&gt;0,VLOOKUP(OPERAC[[#This Row],[COD CART]],[1]!MatrizCortoLargoCyl[#All],3,0),"")</f>
        <v/>
      </c>
      <c r="F4052" s="13" t="inlineStr">
        <is>
          <t>SABR/CYL/10,00/14-04-22</t>
        </is>
      </c>
      <c r="G4052" s="6" t="n">
        <v>100</v>
      </c>
      <c r="H4052" s="6" t="n">
        <v>-928.9848000000001</v>
      </c>
      <c r="I4052" s="7">
        <f>-H4052/G4052</f>
        <v/>
      </c>
      <c r="J4052" s="11" t="n">
        <v>44649</v>
      </c>
      <c r="K4052" s="6" t="n">
        <v>100</v>
      </c>
      <c r="L4052" s="6" t="n">
        <v>982.1799999999999</v>
      </c>
      <c r="M4052" s="7">
        <f>IF(N4052=0,+L4052+H4052,0)</f>
        <v/>
      </c>
      <c r="N4052" s="7">
        <f>IF((+G4052-K4052)=0,0,+G4052-K4052)</f>
        <v/>
      </c>
      <c r="O4052" s="7">
        <f>IF(N4052=0,0,(L4052+H4052)/-N4052)</f>
        <v/>
      </c>
      <c r="P4052" s="7">
        <f>VLOOKUP(OPERAC[[#This Row],[especie]],[1]!ESPECIES[#All],6,0)</f>
        <v/>
      </c>
      <c r="Q4052" s="7">
        <f>IF(N4052&lt;&gt;0,P4052*N4052,0)</f>
        <v/>
      </c>
      <c r="R4052" s="8">
        <f>IF(Q4052&lt;&gt;0,Q4052+H4052+L4052,0)</f>
        <v/>
      </c>
      <c r="S4052" s="9">
        <f>VLOOKUP(OPERAC[[#This Row],[especie]],[1]!ESPECIES[#Data],9,FALSE)</f>
        <v/>
      </c>
    </row>
    <row r="4053">
      <c r="A4053" s="4" t="n">
        <v>3853</v>
      </c>
      <c r="B4053" s="5" t="n">
        <v>44622</v>
      </c>
      <c r="C4053" s="13" t="inlineStr">
        <is>
          <t>CPR</t>
        </is>
      </c>
      <c r="D4053" s="13" t="n">
        <v>32</v>
      </c>
      <c r="E4053" s="10">
        <f>IF(D4053&gt;0,VLOOKUP(OPERAC[[#This Row],[COD CART]],[1]!MatrizCortoLargoCyl[#All],3,0),"")</f>
        <v/>
      </c>
      <c r="F4053" s="13" t="inlineStr">
        <is>
          <t>SABR/CYL/10,00/14-04-22</t>
        </is>
      </c>
      <c r="G4053" s="6" t="n">
        <v>100</v>
      </c>
      <c r="H4053" s="6" t="n">
        <v>-928.9848000000001</v>
      </c>
      <c r="I4053" s="7">
        <f>-H4053/G4053</f>
        <v/>
      </c>
      <c r="J4053" s="11" t="n">
        <v>44649</v>
      </c>
      <c r="K4053" s="6" t="n">
        <v>100</v>
      </c>
      <c r="L4053" s="6" t="n">
        <v>982.1799999999999</v>
      </c>
      <c r="M4053" s="7">
        <f>IF(N4053=0,+L4053+H4053,0)</f>
        <v/>
      </c>
      <c r="N4053" s="7">
        <f>IF((+G4053-K4053)=0,0,+G4053-K4053)</f>
        <v/>
      </c>
      <c r="O4053" s="7">
        <f>IF(N4053=0,0,(L4053+H4053)/-N4053)</f>
        <v/>
      </c>
      <c r="P4053" s="7">
        <f>VLOOKUP(OPERAC[[#This Row],[especie]],[1]!ESPECIES[#All],6,0)</f>
        <v/>
      </c>
      <c r="Q4053" s="7">
        <f>IF(N4053&lt;&gt;0,P4053*N4053,0)</f>
        <v/>
      </c>
      <c r="R4053" s="8">
        <f>IF(Q4053&lt;&gt;0,Q4053+H4053+L4053,0)</f>
        <v/>
      </c>
      <c r="S4053" s="9">
        <f>VLOOKUP(OPERAC[[#This Row],[especie]],[1]!ESPECIES[#Data],9,FALSE)</f>
        <v/>
      </c>
    </row>
    <row r="4054">
      <c r="A4054" s="4" t="n">
        <v>7867</v>
      </c>
      <c r="B4054" s="5" t="n">
        <v>44622</v>
      </c>
      <c r="C4054" s="13" t="inlineStr">
        <is>
          <t>CPR</t>
        </is>
      </c>
      <c r="D4054" s="13" t="n">
        <v>32</v>
      </c>
      <c r="E4054" s="10">
        <f>IF(D4054&gt;0,VLOOKUP(OPERAC[[#This Row],[COD CART]],[1]!MatrizCortoLargoCyl[#All],3,0),"")</f>
        <v/>
      </c>
      <c r="F4054" s="13" t="inlineStr">
        <is>
          <t>SABR/CYL/10,00/14-04-22</t>
        </is>
      </c>
      <c r="G4054" s="6" t="n">
        <v>100</v>
      </c>
      <c r="H4054" s="6" t="n">
        <v>-928.9848000000001</v>
      </c>
      <c r="I4054" s="7">
        <f>-H4054/G4054</f>
        <v/>
      </c>
      <c r="J4054" s="11" t="n">
        <v>44649</v>
      </c>
      <c r="K4054" s="6" t="n">
        <v>100</v>
      </c>
      <c r="L4054" s="6" t="n">
        <v>982.1799999999999</v>
      </c>
      <c r="M4054" s="7">
        <f>IF(N4054=0,+L4054+H4054,0)</f>
        <v/>
      </c>
      <c r="N4054" s="7">
        <f>IF((+G4054-K4054)=0,0,+G4054-K4054)</f>
        <v/>
      </c>
      <c r="O4054" s="7">
        <f>IF(N4054=0,0,(L4054+H4054)/-N4054)</f>
        <v/>
      </c>
      <c r="P4054" s="7">
        <f>VLOOKUP(OPERAC[[#This Row],[especie]],[1]!ESPECIES[#All],6,0)</f>
        <v/>
      </c>
      <c r="Q4054" s="7">
        <f>IF(N4054&lt;&gt;0,P4054*N4054,0)</f>
        <v/>
      </c>
      <c r="R4054" s="8">
        <f>IF(Q4054&lt;&gt;0,Q4054+H4054+L4054,0)</f>
        <v/>
      </c>
      <c r="S4054" s="9">
        <f>VLOOKUP(OPERAC[[#This Row],[especie]],[1]!ESPECIES[#Data],9,FALSE)</f>
        <v/>
      </c>
    </row>
    <row r="4055">
      <c r="A4055" s="4" t="n">
        <v>7925</v>
      </c>
      <c r="B4055" s="5" t="n">
        <v>44622</v>
      </c>
      <c r="C4055" s="13" t="inlineStr">
        <is>
          <t>CPR</t>
        </is>
      </c>
      <c r="D4055" s="13" t="n">
        <v>32</v>
      </c>
      <c r="E4055" s="10">
        <f>IF(D4055&gt;0,VLOOKUP(OPERAC[[#This Row],[COD CART]],[1]!MatrizCortoLargoCyl[#All],3,0),"")</f>
        <v/>
      </c>
      <c r="F4055" s="13" t="inlineStr">
        <is>
          <t>SABR/CYL/10,00/14-04-22</t>
        </is>
      </c>
      <c r="G4055" s="6" t="n">
        <v>100</v>
      </c>
      <c r="H4055" s="6" t="n">
        <v>-928.9848000000001</v>
      </c>
      <c r="I4055" s="7">
        <f>-H4055/G4055</f>
        <v/>
      </c>
      <c r="J4055" s="11" t="n">
        <v>44649</v>
      </c>
      <c r="K4055" s="6" t="n">
        <v>100</v>
      </c>
      <c r="L4055" s="6" t="n">
        <v>982.1799999999999</v>
      </c>
      <c r="M4055" s="7">
        <f>IF(N4055=0,+L4055+H4055,0)</f>
        <v/>
      </c>
      <c r="N4055" s="7">
        <f>IF((+G4055-K4055)=0,0,+G4055-K4055)</f>
        <v/>
      </c>
      <c r="O4055" s="7">
        <f>IF(N4055=0,0,(L4055+H4055)/-N4055)</f>
        <v/>
      </c>
      <c r="P4055" s="7">
        <f>VLOOKUP(OPERAC[[#This Row],[especie]],[1]!ESPECIES[#All],6,0)</f>
        <v/>
      </c>
      <c r="Q4055" s="7">
        <f>IF(N4055&lt;&gt;0,P4055*N4055,0)</f>
        <v/>
      </c>
      <c r="R4055" s="8">
        <f>IF(Q4055&lt;&gt;0,Q4055+H4055+L4055,0)</f>
        <v/>
      </c>
      <c r="S4055" s="9">
        <f>VLOOKUP(OPERAC[[#This Row],[especie]],[1]!ESPECIES[#Data],9,FALSE)</f>
        <v/>
      </c>
    </row>
    <row r="4056">
      <c r="A4056" s="4" t="n">
        <v>11168</v>
      </c>
      <c r="B4056" s="5" t="n">
        <v>44622</v>
      </c>
      <c r="C4056" s="13" t="inlineStr">
        <is>
          <t>CPR</t>
        </is>
      </c>
      <c r="D4056" s="13" t="n">
        <v>32</v>
      </c>
      <c r="E4056" s="10">
        <f>IF(D4056&gt;0,VLOOKUP(OPERAC[[#This Row],[COD CART]],[1]!MatrizCortoLargoCyl[#All],3,0),"")</f>
        <v/>
      </c>
      <c r="F4056" s="13" t="inlineStr">
        <is>
          <t>SABR/CYL/10,00/14-04-22</t>
        </is>
      </c>
      <c r="G4056" s="6" t="n">
        <v>100</v>
      </c>
      <c r="H4056" s="6" t="n">
        <v>-928.9848000000001</v>
      </c>
      <c r="I4056" s="7">
        <f>-H4056/G4056</f>
        <v/>
      </c>
      <c r="J4056" s="11" t="n">
        <v>44649</v>
      </c>
      <c r="K4056" s="6" t="n">
        <v>100</v>
      </c>
      <c r="L4056" s="6" t="n">
        <v>982.1799999999999</v>
      </c>
      <c r="M4056" s="7">
        <f>IF(N4056=0,+L4056+H4056,0)</f>
        <v/>
      </c>
      <c r="N4056" s="7">
        <f>IF((+G4056-K4056)=0,0,+G4056-K4056)</f>
        <v/>
      </c>
      <c r="O4056" s="7">
        <f>IF(N4056=0,0,(L4056+H4056)/-N4056)</f>
        <v/>
      </c>
      <c r="P4056" s="7">
        <f>VLOOKUP(OPERAC[[#This Row],[especie]],[1]!ESPECIES[#All],6,0)</f>
        <v/>
      </c>
      <c r="Q4056" s="7">
        <f>IF(N4056&lt;&gt;0,P4056*N4056,0)</f>
        <v/>
      </c>
      <c r="R4056" s="8">
        <f>IF(Q4056&lt;&gt;0,Q4056+H4056+L4056,0)</f>
        <v/>
      </c>
      <c r="S4056" s="9">
        <f>VLOOKUP(OPERAC[[#This Row],[especie]],[1]!ESPECIES[#Data],9,FALSE)</f>
        <v/>
      </c>
    </row>
    <row r="4057">
      <c r="A4057" s="4" t="n">
        <v>12674</v>
      </c>
      <c r="B4057" s="5" t="n">
        <v>44622</v>
      </c>
      <c r="C4057" s="13" t="inlineStr">
        <is>
          <t>CPR</t>
        </is>
      </c>
      <c r="D4057" s="13" t="n">
        <v>32</v>
      </c>
      <c r="E4057" s="10">
        <f>IF(D4057&gt;0,VLOOKUP(OPERAC[[#This Row],[COD CART]],[1]!MatrizCortoLargoCyl[#All],3,0),"")</f>
        <v/>
      </c>
      <c r="F4057" s="13" t="inlineStr">
        <is>
          <t>SABR/CYL/10,00/14-04-22</t>
        </is>
      </c>
      <c r="G4057" s="6" t="n">
        <v>100</v>
      </c>
      <c r="H4057" s="6" t="n">
        <v>-928.9848000000001</v>
      </c>
      <c r="I4057" s="7">
        <f>-H4057/G4057</f>
        <v/>
      </c>
      <c r="J4057" s="11" t="n">
        <v>44649</v>
      </c>
      <c r="K4057" s="6" t="n">
        <v>100</v>
      </c>
      <c r="L4057" s="6" t="n">
        <v>982.1799999999999</v>
      </c>
      <c r="M4057" s="7">
        <f>IF(N4057=0,+L4057+H4057,0)</f>
        <v/>
      </c>
      <c r="N4057" s="7">
        <f>IF((+G4057-K4057)=0,0,+G4057-K4057)</f>
        <v/>
      </c>
      <c r="O4057" s="7">
        <f>IF(N4057=0,0,(L4057+H4057)/-N4057)</f>
        <v/>
      </c>
      <c r="P4057" s="7">
        <f>VLOOKUP(OPERAC[[#This Row],[especie]],[1]!ESPECIES[#All],6,0)</f>
        <v/>
      </c>
      <c r="Q4057" s="7">
        <f>IF(N4057&lt;&gt;0,P4057*N4057,0)</f>
        <v/>
      </c>
      <c r="R4057" s="8">
        <f>IF(Q4057&lt;&gt;0,Q4057+H4057+L4057,0)</f>
        <v/>
      </c>
      <c r="S4057" s="9">
        <f>VLOOKUP(OPERAC[[#This Row],[especie]],[1]!ESPECIES[#Data],9,FALSE)</f>
        <v/>
      </c>
    </row>
    <row r="4058">
      <c r="A4058" s="4" t="n">
        <v>12690</v>
      </c>
      <c r="B4058" s="5" t="n">
        <v>44622</v>
      </c>
      <c r="C4058" s="13" t="inlineStr">
        <is>
          <t>CPR</t>
        </is>
      </c>
      <c r="D4058" s="13" t="n">
        <v>32</v>
      </c>
      <c r="E4058" s="10">
        <f>IF(D4058&gt;0,VLOOKUP(OPERAC[[#This Row],[COD CART]],[1]!MatrizCortoLargoCyl[#All],3,0),"")</f>
        <v/>
      </c>
      <c r="F4058" s="13" t="inlineStr">
        <is>
          <t>SABR/CYL/10,00/14-04-22</t>
        </is>
      </c>
      <c r="G4058" s="6" t="n">
        <v>100</v>
      </c>
      <c r="H4058" s="6" t="n">
        <v>-928.9848000000001</v>
      </c>
      <c r="I4058" s="7">
        <f>-H4058/G4058</f>
        <v/>
      </c>
      <c r="J4058" s="11" t="n">
        <v>44649</v>
      </c>
      <c r="K4058" s="6" t="n">
        <v>100</v>
      </c>
      <c r="L4058" s="6" t="n">
        <v>982.1799999999999</v>
      </c>
      <c r="M4058" s="7">
        <f>IF(N4058=0,+L4058+H4058,0)</f>
        <v/>
      </c>
      <c r="N4058" s="7">
        <f>IF((+G4058-K4058)=0,0,+G4058-K4058)</f>
        <v/>
      </c>
      <c r="O4058" s="7">
        <f>IF(N4058=0,0,(L4058+H4058)/-N4058)</f>
        <v/>
      </c>
      <c r="P4058" s="7">
        <f>VLOOKUP(OPERAC[[#This Row],[especie]],[1]!ESPECIES[#All],6,0)</f>
        <v/>
      </c>
      <c r="Q4058" s="7">
        <f>IF(N4058&lt;&gt;0,P4058*N4058,0)</f>
        <v/>
      </c>
      <c r="R4058" s="8">
        <f>IF(Q4058&lt;&gt;0,Q4058+H4058+L4058,0)</f>
        <v/>
      </c>
      <c r="S4058" s="9">
        <f>VLOOKUP(OPERAC[[#This Row],[especie]],[1]!ESPECIES[#Data],9,FALSE)</f>
        <v/>
      </c>
    </row>
    <row r="4059">
      <c r="A4059" s="4" t="n">
        <v>13190</v>
      </c>
      <c r="B4059" s="5" t="n">
        <v>44622</v>
      </c>
      <c r="C4059" s="13" t="inlineStr">
        <is>
          <t>CPR</t>
        </is>
      </c>
      <c r="D4059" s="13" t="n">
        <v>32</v>
      </c>
      <c r="E4059" s="10">
        <f>IF(D4059&gt;0,VLOOKUP(OPERAC[[#This Row],[COD CART]],[1]!MatrizCortoLargoCyl[#All],3,0),"")</f>
        <v/>
      </c>
      <c r="F4059" s="13" t="inlineStr">
        <is>
          <t>SABR/CYL/10,00/14-04-22</t>
        </is>
      </c>
      <c r="G4059" s="6" t="n">
        <v>100</v>
      </c>
      <c r="H4059" s="6" t="n">
        <v>-928.9848000000001</v>
      </c>
      <c r="I4059" s="7">
        <f>-H4059/G4059</f>
        <v/>
      </c>
      <c r="J4059" s="11" t="n">
        <v>44649</v>
      </c>
      <c r="K4059" s="6" t="n">
        <v>100</v>
      </c>
      <c r="L4059" s="6" t="n">
        <v>982.1799999999999</v>
      </c>
      <c r="M4059" s="7">
        <f>IF(N4059=0,+L4059+H4059,0)</f>
        <v/>
      </c>
      <c r="N4059" s="7">
        <f>IF((+G4059-K4059)=0,0,+G4059-K4059)</f>
        <v/>
      </c>
      <c r="O4059" s="7">
        <f>IF(N4059=0,0,(L4059+H4059)/-N4059)</f>
        <v/>
      </c>
      <c r="P4059" s="7">
        <f>VLOOKUP(OPERAC[[#This Row],[especie]],[1]!ESPECIES[#All],6,0)</f>
        <v/>
      </c>
      <c r="Q4059" s="7">
        <f>IF(N4059&lt;&gt;0,P4059*N4059,0)</f>
        <v/>
      </c>
      <c r="R4059" s="8">
        <f>IF(Q4059&lt;&gt;0,Q4059+H4059+L4059,0)</f>
        <v/>
      </c>
      <c r="S4059" s="9">
        <f>VLOOKUP(OPERAC[[#This Row],[especie]],[1]!ESPECIES[#Data],9,FALSE)</f>
        <v/>
      </c>
    </row>
    <row r="4060">
      <c r="A4060" s="4" t="n">
        <v>20234</v>
      </c>
      <c r="B4060" s="5" t="n">
        <v>44622</v>
      </c>
      <c r="C4060" s="13" t="inlineStr">
        <is>
          <t>CPR</t>
        </is>
      </c>
      <c r="D4060" s="13" t="n">
        <v>32</v>
      </c>
      <c r="E4060" s="10">
        <f>IF(D4060&gt;0,VLOOKUP(OPERAC[[#This Row],[COD CART]],[1]!MatrizCortoLargoCyl[#All],3,0),"")</f>
        <v/>
      </c>
      <c r="F4060" s="13" t="inlineStr">
        <is>
          <t>SABR/CYL/10,00/14-04-22</t>
        </is>
      </c>
      <c r="G4060" s="6" t="n">
        <v>100</v>
      </c>
      <c r="H4060" s="6" t="n">
        <v>-928.9848000000001</v>
      </c>
      <c r="I4060" s="7">
        <f>-H4060/G4060</f>
        <v/>
      </c>
      <c r="J4060" s="11" t="n">
        <v>44649</v>
      </c>
      <c r="K4060" s="6" t="n">
        <v>100</v>
      </c>
      <c r="L4060" s="6" t="n">
        <v>982.1799999999999</v>
      </c>
      <c r="M4060" s="7">
        <f>IF(N4060=0,+L4060+H4060,0)</f>
        <v/>
      </c>
      <c r="N4060" s="7">
        <f>IF((+G4060-K4060)=0,0,+G4060-K4060)</f>
        <v/>
      </c>
      <c r="O4060" s="7">
        <f>IF(N4060=0,0,(L4060+H4060)/-N4060)</f>
        <v/>
      </c>
      <c r="P4060" s="7">
        <f>VLOOKUP(OPERAC[[#This Row],[especie]],[1]!ESPECIES[#All],6,0)</f>
        <v/>
      </c>
      <c r="Q4060" s="7">
        <f>IF(N4060&lt;&gt;0,P4060*N4060,0)</f>
        <v/>
      </c>
      <c r="R4060" s="8">
        <f>IF(Q4060&lt;&gt;0,Q4060+H4060+L4060,0)</f>
        <v/>
      </c>
      <c r="S4060" s="9">
        <f>VLOOKUP(OPERAC[[#This Row],[especie]],[1]!ESPECIES[#Data],9,FALSE)</f>
        <v/>
      </c>
    </row>
    <row r="4061">
      <c r="A4061" s="4" t="n">
        <v>22399</v>
      </c>
      <c r="B4061" s="5" t="n">
        <v>44622</v>
      </c>
      <c r="C4061" s="13" t="inlineStr">
        <is>
          <t>CPR</t>
        </is>
      </c>
      <c r="D4061" s="13" t="n">
        <v>32</v>
      </c>
      <c r="E4061" s="10">
        <f>IF(D4061&gt;0,VLOOKUP(OPERAC[[#This Row],[COD CART]],[1]!MatrizCortoLargoCyl[#All],3,0),"")</f>
        <v/>
      </c>
      <c r="F4061" s="13" t="inlineStr">
        <is>
          <t>SABR/CYL/10,00/14-04-22</t>
        </is>
      </c>
      <c r="G4061" s="6" t="n">
        <v>100</v>
      </c>
      <c r="H4061" s="6" t="n">
        <v>-928.9848000000001</v>
      </c>
      <c r="I4061" s="7">
        <f>-H4061/G4061</f>
        <v/>
      </c>
      <c r="J4061" s="11" t="n">
        <v>44649</v>
      </c>
      <c r="K4061" s="6" t="n">
        <v>100</v>
      </c>
      <c r="L4061" s="6" t="n">
        <v>982.1799999999999</v>
      </c>
      <c r="M4061" s="7">
        <f>IF(N4061=0,+L4061+H4061,0)</f>
        <v/>
      </c>
      <c r="N4061" s="7">
        <f>IF((+G4061-K4061)=0,0,+G4061-K4061)</f>
        <v/>
      </c>
      <c r="O4061" s="7">
        <f>IF(N4061=0,0,(L4061+H4061)/-N4061)</f>
        <v/>
      </c>
      <c r="P4061" s="7">
        <f>VLOOKUP(OPERAC[[#This Row],[especie]],[1]!ESPECIES[#All],6,0)</f>
        <v/>
      </c>
      <c r="Q4061" s="7">
        <f>IF(N4061&lt;&gt;0,P4061*N4061,0)</f>
        <v/>
      </c>
      <c r="R4061" s="8">
        <f>IF(Q4061&lt;&gt;0,Q4061+H4061+L4061,0)</f>
        <v/>
      </c>
      <c r="S4061" s="9">
        <f>VLOOKUP(OPERAC[[#This Row],[especie]],[1]!ESPECIES[#Data],9,FALSE)</f>
        <v/>
      </c>
    </row>
    <row r="4062">
      <c r="A4062" s="4" t="n">
        <v>16783</v>
      </c>
      <c r="B4062" s="5" t="n">
        <v>44658</v>
      </c>
      <c r="C4062" s="13" t="inlineStr">
        <is>
          <t>CPR</t>
        </is>
      </c>
      <c r="D4062" s="13" t="n">
        <v>42</v>
      </c>
      <c r="E4062" s="10">
        <f>IF(D4062&gt;0,VLOOKUP(OPERAC[[#This Row],[COD CART]],[1]!MatrizCortoLargoCyl[#All],3,0),"")</f>
        <v/>
      </c>
      <c r="F4062" s="13" t="inlineStr">
        <is>
          <t>AMD</t>
        </is>
      </c>
      <c r="G4062" s="6" t="n">
        <v>9</v>
      </c>
      <c r="H4062" s="6" t="n">
        <v>-929.14</v>
      </c>
      <c r="I4062" s="7">
        <f>-H4062/G4062</f>
        <v/>
      </c>
      <c r="J4062" s="11" t="n">
        <v>44678</v>
      </c>
      <c r="K4062" s="6" t="n">
        <v>9</v>
      </c>
      <c r="L4062" s="6">
        <f>+OPERAC[[#This Row],[cantidad venta]]*85.782</f>
        <v/>
      </c>
      <c r="M4062" s="7">
        <f>IF(N4062=0,+L4062+H4062,0)</f>
        <v/>
      </c>
      <c r="N4062" s="7">
        <f>IF((+G4062-K4062)=0,0,+G4062-K4062)</f>
        <v/>
      </c>
      <c r="O4062" s="7">
        <f>IF(N4062=0,0,(L4062+H4062)/-N4062)</f>
        <v/>
      </c>
      <c r="P4062" s="7">
        <f>VLOOKUP(OPERAC[[#This Row],[especie]],[1]!ESPECIES[#All],6,0)</f>
        <v/>
      </c>
      <c r="Q4062" s="7">
        <f>IF(N4062&lt;&gt;0,P4062*N4062,0)</f>
        <v/>
      </c>
      <c r="R4062" s="8">
        <f>IF(Q4062&lt;&gt;0,Q4062+H4062+L4062,0)</f>
        <v/>
      </c>
      <c r="S4062" s="9">
        <f>VLOOKUP(OPERAC[[#This Row],[especie]],[1]!ESPECIES[#Data],9,FALSE)</f>
        <v/>
      </c>
    </row>
    <row r="4063">
      <c r="A4063" s="4" t="n">
        <v>13190</v>
      </c>
      <c r="B4063" s="5" t="n">
        <v>44494</v>
      </c>
      <c r="C4063" s="13" t="inlineStr">
        <is>
          <t>CPR</t>
        </is>
      </c>
      <c r="D4063" s="13" t="n">
        <v>40</v>
      </c>
      <c r="E4063" s="10">
        <f>IF(D4063&gt;0,VLOOKUP(OPERAC[[#This Row],[COD CART]],[1]!MatrizCortoLargoCyl[#All],3,0),"")</f>
        <v/>
      </c>
      <c r="F4063" s="13" t="inlineStr">
        <is>
          <t>YPF</t>
        </is>
      </c>
      <c r="G4063" s="6" t="n">
        <v>200</v>
      </c>
      <c r="H4063" s="6" t="n">
        <v>-930.544</v>
      </c>
      <c r="I4063" s="7">
        <f>-H4063/G4063</f>
        <v/>
      </c>
      <c r="J4063" s="11" t="n">
        <v>44580</v>
      </c>
      <c r="K4063" s="6" t="n">
        <v>200</v>
      </c>
      <c r="L4063" s="6" t="n">
        <v>819.354</v>
      </c>
      <c r="M4063" s="7">
        <f>IF(N4063=0,+L4063+H4063,0)</f>
        <v/>
      </c>
      <c r="N4063" s="7">
        <f>IF((+G4063-K4063)=0,0,+G4063-K4063)</f>
        <v/>
      </c>
      <c r="O4063" s="7">
        <f>IF(N4063=0,0,(L4063+H4063)/-N4063)</f>
        <v/>
      </c>
      <c r="P4063" s="7">
        <f>VLOOKUP(OPERAC[[#This Row],[especie]],[1]!ESPECIES[#All],6,0)</f>
        <v/>
      </c>
      <c r="Q4063" s="7">
        <f>IF(N4063&lt;&gt;0,P4063*N4063,0)</f>
        <v/>
      </c>
      <c r="R4063" s="8">
        <f>IF(Q4063&lt;&gt;0,Q4063+H4063+L4063,0)</f>
        <v/>
      </c>
      <c r="S4063" s="9">
        <f>VLOOKUP(OPERAC[[#This Row],[especie]],[1]!ESPECIES[#Data],9,FALSE)</f>
        <v/>
      </c>
    </row>
    <row r="4064">
      <c r="A4064" s="4" t="n">
        <v>3728</v>
      </c>
      <c r="B4064" s="5" t="n">
        <v>44656</v>
      </c>
      <c r="C4064" s="13" t="inlineStr">
        <is>
          <t>CPR</t>
        </is>
      </c>
      <c r="D4064" s="13" t="n">
        <v>32</v>
      </c>
      <c r="E4064" s="10">
        <f>IF(D4064&gt;0,VLOOKUP(OPERAC[[#This Row],[COD CART]],[1]!MatrizCortoLargoCyl[#All],3,0),"")</f>
        <v/>
      </c>
      <c r="F4064" s="13" t="inlineStr">
        <is>
          <t>HIMX/CYL/10,00/10-06-22</t>
        </is>
      </c>
      <c r="G4064" s="6" t="n">
        <v>100</v>
      </c>
      <c r="H4064" s="6">
        <f>-955.798+24.975</f>
        <v/>
      </c>
      <c r="I4064" s="7">
        <f>-H4064/G4064</f>
        <v/>
      </c>
      <c r="J4064" s="11" t="n">
        <v>44721</v>
      </c>
      <c r="K4064" s="6" t="n">
        <v>100</v>
      </c>
      <c r="L4064" s="6">
        <f>9.85*100</f>
        <v/>
      </c>
      <c r="M4064" s="7">
        <f>IF(N4064=0,+L4064+H4064,0)</f>
        <v/>
      </c>
      <c r="N4064" s="7">
        <f>IF((+G4064-K4064)=0,0,+G4064-K4064)</f>
        <v/>
      </c>
      <c r="O4064" s="7">
        <f>IF(N4064=0,0,(L4064+H4064)/-N4064)</f>
        <v/>
      </c>
      <c r="P4064" s="7">
        <f>VLOOKUP(OPERAC[[#This Row],[especie]],[1]!ESPECIES[#All],6,0)</f>
        <v/>
      </c>
      <c r="Q4064" s="7">
        <f>IF(N4064&lt;&gt;0,P4064*N4064,0)</f>
        <v/>
      </c>
      <c r="R4064" s="8">
        <f>IF(Q4064&lt;&gt;0,Q4064+H4064+L4064,0)</f>
        <v/>
      </c>
      <c r="S4064" s="9">
        <f>VLOOKUP(OPERAC[[#This Row],[especie]],[1]!ESPECIES[#Data],9,FALSE)</f>
        <v/>
      </c>
    </row>
    <row r="4065">
      <c r="A4065" s="4" t="n">
        <v>7895</v>
      </c>
      <c r="B4065" s="5" t="n">
        <v>44656</v>
      </c>
      <c r="C4065" s="13" t="inlineStr">
        <is>
          <t>CPR</t>
        </is>
      </c>
      <c r="D4065" s="13" t="n">
        <v>32</v>
      </c>
      <c r="E4065" s="10">
        <f>IF(D4065&gt;0,VLOOKUP(OPERAC[[#This Row],[COD CART]],[1]!MatrizCortoLargoCyl[#All],3,0),"")</f>
        <v/>
      </c>
      <c r="F4065" s="13" t="inlineStr">
        <is>
          <t>HIMX/CYL/10,00/10-06-22</t>
        </is>
      </c>
      <c r="G4065" s="6" t="n">
        <v>100</v>
      </c>
      <c r="H4065" s="6">
        <f>-955.798+24.788</f>
        <v/>
      </c>
      <c r="I4065" s="7">
        <f>-H4065/G4065</f>
        <v/>
      </c>
      <c r="J4065" s="11" t="n">
        <v>44721</v>
      </c>
      <c r="K4065" s="6" t="n">
        <v>100</v>
      </c>
      <c r="L4065" s="6" t="n">
        <v>985</v>
      </c>
      <c r="M4065" s="7">
        <f>IF(N4065=0,+L4065+H4065,0)</f>
        <v/>
      </c>
      <c r="N4065" s="7">
        <f>IF((+G4065-K4065)=0,0,+G4065-K4065)</f>
        <v/>
      </c>
      <c r="O4065" s="7">
        <f>IF(N4065=0,0,(L4065+H4065)/-N4065)</f>
        <v/>
      </c>
      <c r="P4065" s="7">
        <f>VLOOKUP(OPERAC[[#This Row],[especie]],[1]!ESPECIES[#All],6,0)</f>
        <v/>
      </c>
      <c r="Q4065" s="7">
        <f>IF(N4065&lt;&gt;0,P4065*N4065,0)</f>
        <v/>
      </c>
      <c r="R4065" s="8">
        <f>IF(Q4065&lt;&gt;0,Q4065+H4065+L4065,0)</f>
        <v/>
      </c>
      <c r="S4065" s="9">
        <f>VLOOKUP(OPERAC[[#This Row],[especie]],[1]!ESPECIES[#Data],9,FALSE)</f>
        <v/>
      </c>
    </row>
    <row r="4066">
      <c r="A4066" s="4" t="n">
        <v>11168</v>
      </c>
      <c r="B4066" s="5" t="n">
        <v>44656</v>
      </c>
      <c r="C4066" s="13" t="inlineStr">
        <is>
          <t>CPR</t>
        </is>
      </c>
      <c r="D4066" s="13" t="n">
        <v>32</v>
      </c>
      <c r="E4066" s="10">
        <f>IF(D4066&gt;0,VLOOKUP(OPERAC[[#This Row],[COD CART]],[1]!MatrizCortoLargoCyl[#All],3,0),"")</f>
        <v/>
      </c>
      <c r="F4066" s="13" t="inlineStr">
        <is>
          <t>HIMX/CYL/10,00/10-06-22</t>
        </is>
      </c>
      <c r="G4066" s="6" t="n">
        <v>100</v>
      </c>
      <c r="H4066" s="6">
        <f>-955.798+24.788</f>
        <v/>
      </c>
      <c r="I4066" s="7">
        <f>-H4066/G4066</f>
        <v/>
      </c>
      <c r="J4066" s="11" t="n">
        <v>44721</v>
      </c>
      <c r="K4066" s="6" t="n">
        <v>100</v>
      </c>
      <c r="L4066" s="6" t="n">
        <v>985</v>
      </c>
      <c r="M4066" s="7">
        <f>IF(N4066=0,+L4066+H4066,0)</f>
        <v/>
      </c>
      <c r="N4066" s="7">
        <f>IF((+G4066-K4066)=0,0,+G4066-K4066)</f>
        <v/>
      </c>
      <c r="O4066" s="7">
        <f>IF(N4066=0,0,(L4066+H4066)/-N4066)</f>
        <v/>
      </c>
      <c r="P4066" s="7">
        <f>VLOOKUP(OPERAC[[#This Row],[especie]],[1]!ESPECIES[#All],6,0)</f>
        <v/>
      </c>
      <c r="Q4066" s="7">
        <f>IF(N4066&lt;&gt;0,P4066*N4066,0)</f>
        <v/>
      </c>
      <c r="R4066" s="8">
        <f>IF(Q4066&lt;&gt;0,Q4066+H4066+L4066,0)</f>
        <v/>
      </c>
      <c r="S4066" s="9">
        <f>VLOOKUP(OPERAC[[#This Row],[especie]],[1]!ESPECIES[#Data],9,FALSE)</f>
        <v/>
      </c>
    </row>
    <row r="4067">
      <c r="A4067" s="4" t="n">
        <v>12671</v>
      </c>
      <c r="B4067" s="5" t="n">
        <v>44656</v>
      </c>
      <c r="C4067" s="13" t="inlineStr">
        <is>
          <t>CPR</t>
        </is>
      </c>
      <c r="D4067" s="13" t="n">
        <v>32</v>
      </c>
      <c r="E4067" s="10">
        <f>IF(D4067&gt;0,VLOOKUP(OPERAC[[#This Row],[COD CART]],[1]!MatrizCortoLargoCyl[#All],3,0),"")</f>
        <v/>
      </c>
      <c r="F4067" s="13" t="inlineStr">
        <is>
          <t>HIMX/CYL/10,00/10-06-22</t>
        </is>
      </c>
      <c r="G4067" s="6" t="n">
        <v>100</v>
      </c>
      <c r="H4067" s="6">
        <f>-955.798+24.788</f>
        <v/>
      </c>
      <c r="I4067" s="7">
        <f>-H4067/G4067</f>
        <v/>
      </c>
      <c r="J4067" s="11" t="n">
        <v>44721</v>
      </c>
      <c r="K4067" s="6" t="n">
        <v>100</v>
      </c>
      <c r="L4067" s="6" t="n">
        <v>985</v>
      </c>
      <c r="M4067" s="7">
        <f>IF(N4067=0,+L4067+H4067,0)</f>
        <v/>
      </c>
      <c r="N4067" s="7">
        <f>IF((+G4067-K4067)=0,0,+G4067-K4067)</f>
        <v/>
      </c>
      <c r="O4067" s="7">
        <f>IF(N4067=0,0,(L4067+H4067)/-N4067)</f>
        <v/>
      </c>
      <c r="P4067" s="7">
        <f>VLOOKUP(OPERAC[[#This Row],[especie]],[1]!ESPECIES[#All],6,0)</f>
        <v/>
      </c>
      <c r="Q4067" s="7">
        <f>IF(N4067&lt;&gt;0,P4067*N4067,0)</f>
        <v/>
      </c>
      <c r="R4067" s="8">
        <f>IF(Q4067&lt;&gt;0,Q4067+H4067+L4067,0)</f>
        <v/>
      </c>
      <c r="S4067" s="9">
        <f>VLOOKUP(OPERAC[[#This Row],[especie]],[1]!ESPECIES[#Data],9,FALSE)</f>
        <v/>
      </c>
    </row>
    <row r="4068">
      <c r="A4068" s="4" t="n">
        <v>22393</v>
      </c>
      <c r="B4068" s="5" t="n">
        <v>44656</v>
      </c>
      <c r="C4068" s="13" t="inlineStr">
        <is>
          <t>CPR</t>
        </is>
      </c>
      <c r="D4068" s="13" t="n">
        <v>32</v>
      </c>
      <c r="E4068" s="10">
        <f>IF(D4068&gt;0,VLOOKUP(OPERAC[[#This Row],[COD CART]],[1]!MatrizCortoLargoCyl[#All],3,0),"")</f>
        <v/>
      </c>
      <c r="F4068" s="13" t="inlineStr">
        <is>
          <t>HIMX/CYL/10,00/10-06-22</t>
        </is>
      </c>
      <c r="G4068" s="6" t="n">
        <v>100</v>
      </c>
      <c r="H4068" s="6">
        <f>-955.798+24.788</f>
        <v/>
      </c>
      <c r="I4068" s="7">
        <f>-H4068/G4068</f>
        <v/>
      </c>
      <c r="J4068" s="11" t="n">
        <v>44721</v>
      </c>
      <c r="K4068" s="6" t="n">
        <v>100</v>
      </c>
      <c r="L4068" s="6" t="n">
        <v>985</v>
      </c>
      <c r="M4068" s="7">
        <f>IF(N4068=0,+L4068+H4068,0)</f>
        <v/>
      </c>
      <c r="N4068" s="7">
        <f>IF((+G4068-K4068)=0,0,+G4068-K4068)</f>
        <v/>
      </c>
      <c r="O4068" s="7">
        <f>IF(N4068=0,0,(L4068+H4068)/-N4068)</f>
        <v/>
      </c>
      <c r="P4068" s="7">
        <f>VLOOKUP(OPERAC[[#This Row],[especie]],[1]!ESPECIES[#All],6,0)</f>
        <v/>
      </c>
      <c r="Q4068" s="7">
        <f>IF(N4068&lt;&gt;0,P4068*N4068,0)</f>
        <v/>
      </c>
      <c r="R4068" s="8">
        <f>IF(Q4068&lt;&gt;0,Q4068+H4068+L4068,0)</f>
        <v/>
      </c>
      <c r="S4068" s="9">
        <f>VLOOKUP(OPERAC[[#This Row],[especie]],[1]!ESPECIES[#Data],9,FALSE)</f>
        <v/>
      </c>
    </row>
    <row r="4069">
      <c r="A4069" s="4" t="n">
        <v>12690</v>
      </c>
      <c r="B4069" s="5" t="n">
        <v>44656</v>
      </c>
      <c r="C4069" s="13" t="inlineStr">
        <is>
          <t>CPR</t>
        </is>
      </c>
      <c r="D4069" s="13" t="n">
        <v>32</v>
      </c>
      <c r="E4069" s="10">
        <f>IF(D4069&gt;0,VLOOKUP(OPERAC[[#This Row],[COD CART]],[1]!MatrizCortoLargoCyl[#All],3,0),"")</f>
        <v/>
      </c>
      <c r="F4069" s="13" t="inlineStr">
        <is>
          <t>HIMX/CYL/10,00/10-06-22</t>
        </is>
      </c>
      <c r="G4069" s="6" t="n">
        <v>100</v>
      </c>
      <c r="H4069" s="6">
        <f>-955.798+24.788</f>
        <v/>
      </c>
      <c r="I4069" s="7">
        <f>-H4069/G4069</f>
        <v/>
      </c>
      <c r="J4069" s="11" t="n">
        <v>44721</v>
      </c>
      <c r="K4069" s="6" t="n">
        <v>100</v>
      </c>
      <c r="L4069" s="6" t="n">
        <v>985</v>
      </c>
      <c r="M4069" s="7">
        <f>IF(N4069=0,+L4069+H4069,0)</f>
        <v/>
      </c>
      <c r="N4069" s="7">
        <f>IF((+G4069-K4069)=0,0,+G4069-K4069)</f>
        <v/>
      </c>
      <c r="O4069" s="7">
        <f>IF(N4069=0,0,(L4069+H4069)/-N4069)</f>
        <v/>
      </c>
      <c r="P4069" s="7">
        <f>VLOOKUP(OPERAC[[#This Row],[especie]],[1]!ESPECIES[#All],6,0)</f>
        <v/>
      </c>
      <c r="Q4069" s="7">
        <f>IF(N4069&lt;&gt;0,P4069*N4069,0)</f>
        <v/>
      </c>
      <c r="R4069" s="8">
        <f>IF(Q4069&lt;&gt;0,Q4069+H4069+L4069,0)</f>
        <v/>
      </c>
      <c r="S4069" s="9">
        <f>VLOOKUP(OPERAC[[#This Row],[especie]],[1]!ESPECIES[#Data],9,FALSE)</f>
        <v/>
      </c>
    </row>
    <row r="4070">
      <c r="A4070" s="4" t="n">
        <v>19932</v>
      </c>
      <c r="B4070" s="5" t="n">
        <v>44629</v>
      </c>
      <c r="C4070" s="13" t="inlineStr">
        <is>
          <t>CPR</t>
        </is>
      </c>
      <c r="D4070" s="13" t="n">
        <v>42</v>
      </c>
      <c r="E4070" s="10">
        <f>IF(D4070&gt;0,VLOOKUP(OPERAC[[#This Row],[COD CART]],[1]!MatrizCortoLargoCyl[#All],3,0),"")</f>
        <v/>
      </c>
      <c r="F4070" s="13" t="inlineStr">
        <is>
          <t>NVDA</t>
        </is>
      </c>
      <c r="G4070" s="6" t="n">
        <v>4</v>
      </c>
      <c r="H4070" s="6" t="n">
        <v>-931.26304</v>
      </c>
      <c r="I4070" s="7">
        <f>-H4070/G4070</f>
        <v/>
      </c>
      <c r="J4070" s="11" t="n">
        <v>44641</v>
      </c>
      <c r="K4070" s="6" t="n">
        <v>4</v>
      </c>
      <c r="L4070" s="6" t="n">
        <v>1068.19</v>
      </c>
      <c r="M4070" s="7">
        <f>IF(N4070=0,+L4070+H4070,0)</f>
        <v/>
      </c>
      <c r="N4070" s="7">
        <f>IF((+G4070-K4070)=0,0,+G4070-K4070)</f>
        <v/>
      </c>
      <c r="O4070" s="7">
        <f>IF(N4070=0,0,(L4070+H4070)/-N4070)</f>
        <v/>
      </c>
      <c r="P4070" s="7">
        <f>VLOOKUP(OPERAC[[#This Row],[especie]],[1]!ESPECIES[#All],6,0)</f>
        <v/>
      </c>
      <c r="Q4070" s="7">
        <f>IF(N4070&lt;&gt;0,P4070*N4070,0)</f>
        <v/>
      </c>
      <c r="R4070" s="8">
        <f>IF(Q4070&lt;&gt;0,Q4070+H4070+L4070,0)</f>
        <v/>
      </c>
      <c r="S4070" s="9">
        <f>VLOOKUP(OPERAC[[#This Row],[especie]],[1]!ESPECIES[#Data],9,FALSE)</f>
        <v/>
      </c>
    </row>
    <row r="4071">
      <c r="A4071" s="4" t="n">
        <v>1779</v>
      </c>
      <c r="B4071" s="5" t="n">
        <v>44718</v>
      </c>
      <c r="C4071" s="13" t="inlineStr">
        <is>
          <t>CPR</t>
        </is>
      </c>
      <c r="D4071" s="13" t="n">
        <v>32</v>
      </c>
      <c r="E4071" s="10">
        <f>IF(D4071&gt;0,VLOOKUP(OPERAC[[#This Row],[COD CART]],[1]!MatrizCortoLargoCyl[#All],3,0),"")</f>
        <v/>
      </c>
      <c r="F4071" s="13" t="inlineStr">
        <is>
          <t>HIMX/CYL/9,50/17-06-22</t>
        </is>
      </c>
      <c r="G4071" s="6" t="n">
        <v>100</v>
      </c>
      <c r="H4071" s="6" t="n">
        <v>-931.54</v>
      </c>
      <c r="I4071" s="7">
        <f>-H4071/G4071</f>
        <v/>
      </c>
      <c r="J4071" s="5" t="n"/>
      <c r="K4071" s="6" t="n"/>
      <c r="L4071" s="6" t="n"/>
      <c r="M4071" s="7">
        <f>IF(N4071=0,+L4071+H4071,0)</f>
        <v/>
      </c>
      <c r="N4071" s="7">
        <f>IF((+G4071-K4071)=0,0,+G4071-K4071)</f>
        <v/>
      </c>
      <c r="O4071" s="7">
        <f>IF(N4071=0,0,(L4071+H4071)/-N4071)</f>
        <v/>
      </c>
      <c r="P4071" s="7">
        <f>VLOOKUP(OPERAC[[#This Row],[especie]],[1]!ESPECIES[#All],6,0)</f>
        <v/>
      </c>
      <c r="Q4071" s="7">
        <f>IF(N4071&lt;&gt;0,P4071*N4071,0)</f>
        <v/>
      </c>
      <c r="R4071" s="8">
        <f>IF(Q4071&lt;&gt;0,Q4071+H4071+L4071,0)</f>
        <v/>
      </c>
      <c r="S4071" s="9">
        <f>VLOOKUP(OPERAC[[#This Row],[especie]],[1]!ESPECIES[#Data],9,FALSE)</f>
        <v/>
      </c>
    </row>
    <row r="4072">
      <c r="A4072" s="4" t="n">
        <v>12674</v>
      </c>
      <c r="B4072" s="5" t="n">
        <v>44650</v>
      </c>
      <c r="C4072" s="13" t="inlineStr">
        <is>
          <t>CPR</t>
        </is>
      </c>
      <c r="D4072" s="13" t="n">
        <v>42</v>
      </c>
      <c r="E4072" s="10">
        <f>IF(D4072&gt;0,VLOOKUP(OPERAC[[#This Row],[COD CART]],[1]!MatrizCortoLargoCyl[#All],3,0),"")</f>
        <v/>
      </c>
      <c r="F4072" s="13" t="inlineStr">
        <is>
          <t>ADBE</t>
        </is>
      </c>
      <c r="G4072" s="6" t="n">
        <v>2</v>
      </c>
      <c r="H4072" s="6" t="n">
        <v>-932.6258</v>
      </c>
      <c r="I4072" s="7">
        <f>-H4072/G4072</f>
        <v/>
      </c>
      <c r="J4072" s="11" t="n">
        <v>44687</v>
      </c>
      <c r="K4072" s="6">
        <f>+OPERAC[[#This Row],[cantidad]]</f>
        <v/>
      </c>
      <c r="L4072" s="6" t="n">
        <v>772.84</v>
      </c>
      <c r="M4072" s="7">
        <f>IF(N4072=0,+L4072+H4072,0)</f>
        <v/>
      </c>
      <c r="N4072" s="7">
        <f>IF((+G4072-K4072)=0,0,+G4072-K4072)</f>
        <v/>
      </c>
      <c r="O4072" s="7">
        <f>IF(N4072=0,0,(L4072+H4072)/-N4072)</f>
        <v/>
      </c>
      <c r="P4072" s="7">
        <f>VLOOKUP(OPERAC[[#This Row],[especie]],[1]!ESPECIES[#All],6,0)</f>
        <v/>
      </c>
      <c r="Q4072" s="7">
        <f>IF(N4072&lt;&gt;0,P4072*N4072,0)</f>
        <v/>
      </c>
      <c r="R4072" s="8">
        <f>IF(Q4072&lt;&gt;0,Q4072+H4072+L4072,0)</f>
        <v/>
      </c>
      <c r="S4072" s="9">
        <f>VLOOKUP(OPERAC[[#This Row],[especie]],[1]!ESPECIES[#Data],9,FALSE)</f>
        <v/>
      </c>
    </row>
    <row r="4073">
      <c r="A4073" s="4" t="n">
        <v>13269</v>
      </c>
      <c r="B4073" s="5" t="n">
        <v>44650</v>
      </c>
      <c r="C4073" s="13" t="inlineStr">
        <is>
          <t>CPR</t>
        </is>
      </c>
      <c r="D4073" s="13" t="n">
        <v>42</v>
      </c>
      <c r="E4073" s="10">
        <f>IF(D4073&gt;0,VLOOKUP(OPERAC[[#This Row],[COD CART]],[1]!MatrizCortoLargoCyl[#All],3,0),"")</f>
        <v/>
      </c>
      <c r="F4073" s="13" t="inlineStr">
        <is>
          <t>ADBE</t>
        </is>
      </c>
      <c r="G4073" s="6" t="n">
        <v>2</v>
      </c>
      <c r="H4073" s="6" t="n">
        <v>-932.6258</v>
      </c>
      <c r="I4073" s="7">
        <f>-H4073/G4073</f>
        <v/>
      </c>
      <c r="J4073" s="11" t="n">
        <v>44687</v>
      </c>
      <c r="K4073" s="6">
        <f>+OPERAC[[#This Row],[cantidad]]</f>
        <v/>
      </c>
      <c r="L4073" s="6" t="n">
        <v>772.84</v>
      </c>
      <c r="M4073" s="7">
        <f>IF(N4073=0,+L4073+H4073,0)</f>
        <v/>
      </c>
      <c r="N4073" s="7">
        <f>IF((+G4073-K4073)=0,0,+G4073-K4073)</f>
        <v/>
      </c>
      <c r="O4073" s="7">
        <f>IF(N4073=0,0,(L4073+H4073)/-N4073)</f>
        <v/>
      </c>
      <c r="P4073" s="7">
        <f>VLOOKUP(OPERAC[[#This Row],[especie]],[1]!ESPECIES[#All],6,0)</f>
        <v/>
      </c>
      <c r="Q4073" s="7">
        <f>IF(N4073&lt;&gt;0,P4073*N4073,0)</f>
        <v/>
      </c>
      <c r="R4073" s="8">
        <f>IF(Q4073&lt;&gt;0,Q4073+H4073+L4073,0)</f>
        <v/>
      </c>
      <c r="S4073" s="9">
        <f>VLOOKUP(OPERAC[[#This Row],[especie]],[1]!ESPECIES[#Data],9,FALSE)</f>
        <v/>
      </c>
    </row>
    <row r="4074">
      <c r="A4074" s="4" t="n">
        <v>13240</v>
      </c>
      <c r="B4074" s="5" t="n">
        <v>44658</v>
      </c>
      <c r="C4074" s="13" t="inlineStr">
        <is>
          <t>CPR</t>
        </is>
      </c>
      <c r="D4074" s="13" t="n">
        <v>42</v>
      </c>
      <c r="E4074" s="10">
        <f>IF(D4074&gt;0,VLOOKUP(OPERAC[[#This Row],[COD CART]],[1]!MatrizCortoLargoCyl[#All],3,0),"")</f>
        <v/>
      </c>
      <c r="F4074" s="13" t="inlineStr">
        <is>
          <t>AMD</t>
        </is>
      </c>
      <c r="G4074" s="6" t="n">
        <v>9</v>
      </c>
      <c r="H4074" s="6" t="n">
        <v>-932.841</v>
      </c>
      <c r="I4074" s="7">
        <f>-H4074/G4074</f>
        <v/>
      </c>
      <c r="J4074" s="11" t="n">
        <v>44672</v>
      </c>
      <c r="K4074" s="6" t="n">
        <v>9</v>
      </c>
      <c r="L4074" s="6" t="n">
        <v>830.71</v>
      </c>
      <c r="M4074" s="7">
        <f>IF(N4074=0,+L4074+H4074,0)</f>
        <v/>
      </c>
      <c r="N4074" s="7">
        <f>IF((+G4074-K4074)=0,0,+G4074-K4074)</f>
        <v/>
      </c>
      <c r="O4074" s="7">
        <f>IF(N4074=0,0,(L4074+H4074)/-N4074)</f>
        <v/>
      </c>
      <c r="P4074" s="7">
        <f>VLOOKUP(OPERAC[[#This Row],[especie]],[1]!ESPECIES[#All],6,0)</f>
        <v/>
      </c>
      <c r="Q4074" s="7">
        <f>IF(N4074&lt;&gt;0,P4074*N4074,0)</f>
        <v/>
      </c>
      <c r="R4074" s="8">
        <f>IF(Q4074&lt;&gt;0,Q4074+H4074+L4074,0)</f>
        <v/>
      </c>
      <c r="S4074" s="9">
        <f>VLOOKUP(OPERAC[[#This Row],[especie]],[1]!ESPECIES[#Data],9,FALSE)</f>
        <v/>
      </c>
    </row>
    <row r="4075">
      <c r="A4075" s="4" t="n">
        <v>13190</v>
      </c>
      <c r="B4075" s="5" t="n">
        <v>44704</v>
      </c>
      <c r="C4075" s="13" t="inlineStr">
        <is>
          <t>CPR</t>
        </is>
      </c>
      <c r="D4075" s="13" t="n">
        <v>32</v>
      </c>
      <c r="E4075" s="10">
        <f>IF(D4075&gt;0,VLOOKUP(OPERAC[[#This Row],[COD CART]],[1]!MatrizCortoLargoCyl[#All],3,0),"")</f>
        <v/>
      </c>
      <c r="F4075" s="13" t="inlineStr">
        <is>
          <t>AMC/CYL/9,50/03-06-22</t>
        </is>
      </c>
      <c r="G4075" s="6" t="n">
        <v>100</v>
      </c>
      <c r="H4075" s="6" t="n">
        <v>-933.579</v>
      </c>
      <c r="I4075" s="7">
        <f>-H4075/G4075</f>
        <v/>
      </c>
      <c r="J4075" s="5" t="n">
        <v>44715</v>
      </c>
      <c r="K4075" s="6">
        <f>+OPERAC[[#This Row],[cantidad]]</f>
        <v/>
      </c>
      <c r="L4075" s="6">
        <f>+OPERAC[[#This Row],[cantidad venta]]*9.457</f>
        <v/>
      </c>
      <c r="M4075" s="7">
        <f>IF(N4075=0,+L4075+H4075,0)</f>
        <v/>
      </c>
      <c r="N4075" s="7">
        <f>IF((+G4075-K4075)=0,0,+G4075-K4075)</f>
        <v/>
      </c>
      <c r="O4075" s="7">
        <f>IF(N4075=0,0,(L4075+H4075)/-N4075)</f>
        <v/>
      </c>
      <c r="P4075" s="7">
        <f>VLOOKUP(OPERAC[[#This Row],[especie]],[1]!ESPECIES[#All],6,0)</f>
        <v/>
      </c>
      <c r="Q4075" s="7">
        <f>IF(N4075&lt;&gt;0,P4075*N4075,0)</f>
        <v/>
      </c>
      <c r="R4075" s="8">
        <f>IF(Q4075&lt;&gt;0,Q4075+H4075+L4075,0)</f>
        <v/>
      </c>
      <c r="S4075" s="9">
        <f>VLOOKUP(OPERAC[[#This Row],[especie]],[1]!ESPECIES[#Data],9,FALSE)</f>
        <v/>
      </c>
    </row>
    <row r="4076">
      <c r="A4076" s="4" t="n">
        <v>12690</v>
      </c>
      <c r="B4076" s="5" t="n">
        <v>44704</v>
      </c>
      <c r="C4076" s="13" t="inlineStr">
        <is>
          <t>CPR</t>
        </is>
      </c>
      <c r="D4076" s="13" t="n">
        <v>32</v>
      </c>
      <c r="E4076" s="10">
        <f>IF(D4076&gt;0,VLOOKUP(OPERAC[[#This Row],[COD CART]],[1]!MatrizCortoLargoCyl[#All],3,0),"")</f>
        <v/>
      </c>
      <c r="F4076" s="13" t="inlineStr">
        <is>
          <t>AMC/CYL/9,50/03-06-22</t>
        </is>
      </c>
      <c r="G4076" s="6" t="n">
        <v>100</v>
      </c>
      <c r="H4076" s="6" t="n">
        <v>-933.579</v>
      </c>
      <c r="I4076" s="7">
        <f>-H4076/G4076</f>
        <v/>
      </c>
      <c r="J4076" s="5" t="n">
        <v>44715</v>
      </c>
      <c r="K4076" s="6">
        <f>+OPERAC[[#This Row],[cantidad]]</f>
        <v/>
      </c>
      <c r="L4076" s="6">
        <f>+OPERAC[[#This Row],[cantidad venta]]*9.457</f>
        <v/>
      </c>
      <c r="M4076" s="7">
        <f>IF(N4076=0,+L4076+H4076,0)</f>
        <v/>
      </c>
      <c r="N4076" s="7">
        <f>IF((+G4076-K4076)=0,0,+G4076-K4076)</f>
        <v/>
      </c>
      <c r="O4076" s="7">
        <f>IF(N4076=0,0,(L4076+H4076)/-N4076)</f>
        <v/>
      </c>
      <c r="P4076" s="7">
        <f>VLOOKUP(OPERAC[[#This Row],[especie]],[1]!ESPECIES[#All],6,0)</f>
        <v/>
      </c>
      <c r="Q4076" s="7">
        <f>IF(N4076&lt;&gt;0,P4076*N4076,0)</f>
        <v/>
      </c>
      <c r="R4076" s="8">
        <f>IF(Q4076&lt;&gt;0,Q4076+H4076+L4076,0)</f>
        <v/>
      </c>
      <c r="S4076" s="9">
        <f>VLOOKUP(OPERAC[[#This Row],[especie]],[1]!ESPECIES[#Data],9,FALSE)</f>
        <v/>
      </c>
    </row>
    <row r="4077">
      <c r="A4077" s="4" t="n">
        <v>16783</v>
      </c>
      <c r="B4077" s="5" t="n">
        <v>44704</v>
      </c>
      <c r="C4077" s="13" t="inlineStr">
        <is>
          <t>CPR</t>
        </is>
      </c>
      <c r="D4077" s="13" t="n">
        <v>32</v>
      </c>
      <c r="E4077" s="10">
        <f>IF(D4077&gt;0,VLOOKUP(OPERAC[[#This Row],[COD CART]],[1]!MatrizCortoLargoCyl[#All],3,0),"")</f>
        <v/>
      </c>
      <c r="F4077" s="13" t="inlineStr">
        <is>
          <t>AMC/CYL/9,50/03-06-22</t>
        </is>
      </c>
      <c r="G4077" s="6" t="n">
        <v>100</v>
      </c>
      <c r="H4077" s="6" t="n">
        <v>-933.579</v>
      </c>
      <c r="I4077" s="7">
        <f>-H4077/G4077</f>
        <v/>
      </c>
      <c r="J4077" s="5" t="n">
        <v>44715</v>
      </c>
      <c r="K4077" s="6">
        <f>+OPERAC[[#This Row],[cantidad]]</f>
        <v/>
      </c>
      <c r="L4077" s="6">
        <f>+OPERAC[[#This Row],[cantidad venta]]*9.457</f>
        <v/>
      </c>
      <c r="M4077" s="7">
        <f>IF(N4077=0,+L4077+H4077,0)</f>
        <v/>
      </c>
      <c r="N4077" s="7">
        <f>IF((+G4077-K4077)=0,0,+G4077-K4077)</f>
        <v/>
      </c>
      <c r="O4077" s="7">
        <f>IF(N4077=0,0,(L4077+H4077)/-N4077)</f>
        <v/>
      </c>
      <c r="P4077" s="7">
        <f>VLOOKUP(OPERAC[[#This Row],[especie]],[1]!ESPECIES[#All],6,0)</f>
        <v/>
      </c>
      <c r="Q4077" s="7">
        <f>IF(N4077&lt;&gt;0,P4077*N4077,0)</f>
        <v/>
      </c>
      <c r="R4077" s="8">
        <f>IF(Q4077&lt;&gt;0,Q4077+H4077+L4077,0)</f>
        <v/>
      </c>
      <c r="S4077" s="9">
        <f>VLOOKUP(OPERAC[[#This Row],[especie]],[1]!ESPECIES[#Data],9,FALSE)</f>
        <v/>
      </c>
    </row>
    <row r="4078">
      <c r="A4078" s="4" t="n">
        <v>19932</v>
      </c>
      <c r="B4078" s="5" t="n">
        <v>44637</v>
      </c>
      <c r="C4078" s="13" t="inlineStr">
        <is>
          <t>CPR</t>
        </is>
      </c>
      <c r="D4078" s="13" t="n">
        <v>43</v>
      </c>
      <c r="E4078" s="10">
        <f>IF(D4078&gt;0,VLOOKUP(OPERAC[[#This Row],[COD CART]],[1]!MatrizCortoLargoCyl[#All],3,0),"")</f>
        <v/>
      </c>
      <c r="F4078" s="13" t="inlineStr">
        <is>
          <t>GMBL/CYL-PUT/1,00/20-01-23</t>
        </is>
      </c>
      <c r="G4078" s="6" t="n">
        <v>4500</v>
      </c>
      <c r="H4078" s="6" t="n">
        <v>-935.2429200000001</v>
      </c>
      <c r="I4078" s="7">
        <f>-H4078/G4078</f>
        <v/>
      </c>
      <c r="J4078" s="11" t="n"/>
      <c r="K4078" s="6" t="n"/>
      <c r="L4078" s="6" t="n"/>
      <c r="M4078" s="7">
        <f>IF(N4078=0,+L4078+H4078,0)</f>
        <v/>
      </c>
      <c r="N4078" s="7">
        <f>IF((+G4078-K4078)=0,0,+G4078-K4078)</f>
        <v/>
      </c>
      <c r="O4078" s="7">
        <f>IF(N4078=0,0,(L4078+H4078)/-N4078)</f>
        <v/>
      </c>
      <c r="P4078" s="7">
        <f>VLOOKUP(OPERAC[[#This Row],[especie]],[1]!ESPECIES[#All],6,0)</f>
        <v/>
      </c>
      <c r="Q4078" s="7">
        <f>IF(N4078&lt;&gt;0,P4078*N4078,0)</f>
        <v/>
      </c>
      <c r="R4078" s="8">
        <f>IF(Q4078&lt;&gt;0,Q4078+H4078+L4078,0)</f>
        <v/>
      </c>
      <c r="S4078" s="9">
        <f>VLOOKUP(OPERAC[[#This Row],[especie]],[1]!ESPECIES[#Data],9,FALSE)</f>
        <v/>
      </c>
    </row>
    <row r="4079">
      <c r="A4079" s="4" t="n">
        <v>13240</v>
      </c>
      <c r="B4079" s="5" t="n">
        <v>44515</v>
      </c>
      <c r="C4079" s="13" t="inlineStr">
        <is>
          <t>CPR</t>
        </is>
      </c>
      <c r="D4079" s="13" t="n">
        <v>38</v>
      </c>
      <c r="E4079" s="10">
        <f>IF(D4079&gt;0,VLOOKUP(OPERAC[[#This Row],[COD CART]],[1]!MatrizCortoLargoCyl[#All],3,0),"")</f>
        <v/>
      </c>
      <c r="F4079" s="13" t="inlineStr">
        <is>
          <t>SLV</t>
        </is>
      </c>
      <c r="G4079" s="6" t="n">
        <v>40</v>
      </c>
      <c r="H4079" s="6" t="n">
        <v>-936.0208</v>
      </c>
      <c r="I4079" s="7">
        <f>-H4079/G4079</f>
        <v/>
      </c>
      <c r="J4079" s="11" t="n"/>
      <c r="K4079" s="6" t="n"/>
      <c r="L4079" s="6" t="n"/>
      <c r="M4079" s="7">
        <f>IF(N4079=0,+L4079+H4079,0)</f>
        <v/>
      </c>
      <c r="N4079" s="7">
        <f>IF((+G4079-K4079)=0,0,+G4079-K4079)</f>
        <v/>
      </c>
      <c r="O4079" s="7">
        <f>IF(N4079=0,0,(L4079+H4079)/-N4079)</f>
        <v/>
      </c>
      <c r="P4079" s="7">
        <f>VLOOKUP(OPERAC[[#This Row],[especie]],[1]!ESPECIES[#All],6,0)</f>
        <v/>
      </c>
      <c r="Q4079" s="7">
        <f>IF(N4079&lt;&gt;0,P4079*N4079,0)</f>
        <v/>
      </c>
      <c r="R4079" s="8">
        <f>IF(Q4079&lt;&gt;0,Q4079+H4079+L4079,0)</f>
        <v/>
      </c>
      <c r="S4079" s="9">
        <f>VLOOKUP(OPERAC[[#This Row],[especie]],[1]!ESPECIES[#Data],9,FALSE)</f>
        <v/>
      </c>
    </row>
    <row r="4080">
      <c r="A4080" s="4" t="n">
        <v>7895</v>
      </c>
      <c r="B4080" s="5" t="n">
        <v>44622</v>
      </c>
      <c r="C4080" s="13" t="inlineStr">
        <is>
          <t>CPR</t>
        </is>
      </c>
      <c r="D4080" s="13" t="n">
        <v>32</v>
      </c>
      <c r="E4080" s="10">
        <f>IF(D4080&gt;0,VLOOKUP(OPERAC[[#This Row],[COD CART]],[1]!MatrizCortoLargoCyl[#All],3,0),"")</f>
        <v/>
      </c>
      <c r="F4080" s="13" t="inlineStr">
        <is>
          <t>HMY/CYL/5,00/18-03-22</t>
        </is>
      </c>
      <c r="G4080" s="6" t="n">
        <v>200</v>
      </c>
      <c r="H4080" s="6" t="n">
        <v>-937.0640000000001</v>
      </c>
      <c r="I4080" s="7">
        <f>-H4080/G4080</f>
        <v/>
      </c>
      <c r="J4080" s="11" t="n">
        <v>44637</v>
      </c>
      <c r="K4080" s="6">
        <f>+OPERAC[[#This Row],[cantidad]]</f>
        <v/>
      </c>
      <c r="L4080" s="6">
        <f>4.85553*OPERAC[[#This Row],[cantidad venta]]</f>
        <v/>
      </c>
      <c r="M4080" s="7">
        <f>IF(N4080=0,+L4080+H4080,0)</f>
        <v/>
      </c>
      <c r="N4080" s="7">
        <f>IF((+G4080-K4080)=0,0,+G4080-K4080)</f>
        <v/>
      </c>
      <c r="O4080" s="7">
        <f>IF(N4080=0,0,(L4080+H4080)/-N4080)</f>
        <v/>
      </c>
      <c r="P4080" s="7">
        <f>VLOOKUP(OPERAC[[#This Row],[especie]],[1]!ESPECIES[#All],6,0)</f>
        <v/>
      </c>
      <c r="Q4080" s="7">
        <f>IF(N4080&lt;&gt;0,P4080*N4080,0)</f>
        <v/>
      </c>
      <c r="R4080" s="8">
        <f>IF(Q4080&lt;&gt;0,Q4080+H4080+L4080,0)</f>
        <v/>
      </c>
      <c r="S4080" s="9">
        <f>VLOOKUP(OPERAC[[#This Row],[especie]],[1]!ESPECIES[#Data],9,FALSE)</f>
        <v/>
      </c>
    </row>
    <row r="4081">
      <c r="A4081" s="4" t="n">
        <v>11168</v>
      </c>
      <c r="B4081" s="5" t="n">
        <v>44622</v>
      </c>
      <c r="C4081" s="13" t="inlineStr">
        <is>
          <t>CPR</t>
        </is>
      </c>
      <c r="D4081" s="13" t="n">
        <v>32</v>
      </c>
      <c r="E4081" s="10">
        <f>IF(D4081&gt;0,VLOOKUP(OPERAC[[#This Row],[COD CART]],[1]!MatrizCortoLargoCyl[#All],3,0),"")</f>
        <v/>
      </c>
      <c r="F4081" s="13" t="inlineStr">
        <is>
          <t>HMY/CYL/5,00/18-03-22</t>
        </is>
      </c>
      <c r="G4081" s="6" t="n">
        <v>200</v>
      </c>
      <c r="H4081" s="6" t="n">
        <v>-937.0640000000001</v>
      </c>
      <c r="I4081" s="7">
        <f>-H4081/G4081</f>
        <v/>
      </c>
      <c r="J4081" s="11" t="n">
        <v>44637</v>
      </c>
      <c r="K4081" s="6">
        <f>+OPERAC[[#This Row],[cantidad]]</f>
        <v/>
      </c>
      <c r="L4081" s="6">
        <f>4.85553*OPERAC[[#This Row],[cantidad venta]]</f>
        <v/>
      </c>
      <c r="M4081" s="7">
        <f>IF(N4081=0,+L4081+H4081,0)</f>
        <v/>
      </c>
      <c r="N4081" s="7">
        <f>IF((+G4081-K4081)=0,0,+G4081-K4081)</f>
        <v/>
      </c>
      <c r="O4081" s="7">
        <f>IF(N4081=0,0,(L4081+H4081)/-N4081)</f>
        <v/>
      </c>
      <c r="P4081" s="7">
        <f>VLOOKUP(OPERAC[[#This Row],[especie]],[1]!ESPECIES[#All],6,0)</f>
        <v/>
      </c>
      <c r="Q4081" s="7">
        <f>IF(N4081&lt;&gt;0,P4081*N4081,0)</f>
        <v/>
      </c>
      <c r="R4081" s="8">
        <f>IF(Q4081&lt;&gt;0,Q4081+H4081+L4081,0)</f>
        <v/>
      </c>
      <c r="S4081" s="9">
        <f>VLOOKUP(OPERAC[[#This Row],[especie]],[1]!ESPECIES[#Data],9,FALSE)</f>
        <v/>
      </c>
    </row>
    <row r="4082">
      <c r="A4082" s="4" t="n">
        <v>18703</v>
      </c>
      <c r="B4082" s="5" t="n">
        <v>44622</v>
      </c>
      <c r="C4082" s="13" t="inlineStr">
        <is>
          <t>CPR</t>
        </is>
      </c>
      <c r="D4082" s="13" t="n">
        <v>32</v>
      </c>
      <c r="E4082" s="10">
        <f>IF(D4082&gt;0,VLOOKUP(OPERAC[[#This Row],[COD CART]],[1]!MatrizCortoLargoCyl[#All],3,0),"")</f>
        <v/>
      </c>
      <c r="F4082" s="13" t="inlineStr">
        <is>
          <t>HMY/CYL/5,00/18-03-22</t>
        </is>
      </c>
      <c r="G4082" s="6" t="n">
        <v>200</v>
      </c>
      <c r="H4082" s="6" t="n">
        <v>-937.0640000000001</v>
      </c>
      <c r="I4082" s="7">
        <f>-H4082/G4082</f>
        <v/>
      </c>
      <c r="J4082" s="11" t="n">
        <v>44637</v>
      </c>
      <c r="K4082" s="6">
        <f>+OPERAC[[#This Row],[cantidad]]</f>
        <v/>
      </c>
      <c r="L4082" s="6">
        <f>4.85553*OPERAC[[#This Row],[cantidad venta]]</f>
        <v/>
      </c>
      <c r="M4082" s="7">
        <f>IF(N4082=0,+L4082+H4082,0)</f>
        <v/>
      </c>
      <c r="N4082" s="7">
        <f>IF((+G4082-K4082)=0,0,+G4082-K4082)</f>
        <v/>
      </c>
      <c r="O4082" s="7">
        <f>IF(N4082=0,0,(L4082+H4082)/-N4082)</f>
        <v/>
      </c>
      <c r="P4082" s="7">
        <f>VLOOKUP(OPERAC[[#This Row],[especie]],[1]!ESPECIES[#All],6,0)</f>
        <v/>
      </c>
      <c r="Q4082" s="7">
        <f>IF(N4082&lt;&gt;0,P4082*N4082,0)</f>
        <v/>
      </c>
      <c r="R4082" s="8">
        <f>IF(Q4082&lt;&gt;0,Q4082+H4082+L4082,0)</f>
        <v/>
      </c>
      <c r="S4082" s="9">
        <f>VLOOKUP(OPERAC[[#This Row],[especie]],[1]!ESPECIES[#Data],9,FALSE)</f>
        <v/>
      </c>
    </row>
    <row r="4083">
      <c r="A4083" s="4" t="n">
        <v>20312</v>
      </c>
      <c r="B4083" s="5" t="n">
        <v>44622</v>
      </c>
      <c r="C4083" s="13" t="inlineStr">
        <is>
          <t>CPR</t>
        </is>
      </c>
      <c r="D4083" s="13" t="n">
        <v>32</v>
      </c>
      <c r="E4083" s="10">
        <f>IF(D4083&gt;0,VLOOKUP(OPERAC[[#This Row],[COD CART]],[1]!MatrizCortoLargoCyl[#All],3,0),"")</f>
        <v/>
      </c>
      <c r="F4083" s="13" t="inlineStr">
        <is>
          <t>HMY/CYL/5,00/18-03-22</t>
        </is>
      </c>
      <c r="G4083" s="6" t="n">
        <v>200</v>
      </c>
      <c r="H4083" s="6" t="n">
        <v>-937.0640000000001</v>
      </c>
      <c r="I4083" s="7">
        <f>-H4083/G4083</f>
        <v/>
      </c>
      <c r="J4083" s="11" t="n">
        <v>44637</v>
      </c>
      <c r="K4083" s="6">
        <f>+OPERAC[[#This Row],[cantidad]]</f>
        <v/>
      </c>
      <c r="L4083" s="6">
        <f>4.85553*OPERAC[[#This Row],[cantidad venta]]</f>
        <v/>
      </c>
      <c r="M4083" s="7">
        <f>IF(N4083=0,+L4083+H4083,0)</f>
        <v/>
      </c>
      <c r="N4083" s="7">
        <f>IF((+G4083-K4083)=0,0,+G4083-K4083)</f>
        <v/>
      </c>
      <c r="O4083" s="7">
        <f>IF(N4083=0,0,(L4083+H4083)/-N4083)</f>
        <v/>
      </c>
      <c r="P4083" s="7">
        <f>VLOOKUP(OPERAC[[#This Row],[especie]],[1]!ESPECIES[#All],6,0)</f>
        <v/>
      </c>
      <c r="Q4083" s="7">
        <f>IF(N4083&lt;&gt;0,P4083*N4083,0)</f>
        <v/>
      </c>
      <c r="R4083" s="8">
        <f>IF(Q4083&lt;&gt;0,Q4083+H4083+L4083,0)</f>
        <v/>
      </c>
      <c r="S4083" s="9">
        <f>VLOOKUP(OPERAC[[#This Row],[especie]],[1]!ESPECIES[#Data],9,FALSE)</f>
        <v/>
      </c>
    </row>
    <row r="4084">
      <c r="A4084" s="4" t="n">
        <v>13273</v>
      </c>
      <c r="B4084" s="5" t="n">
        <v>44715</v>
      </c>
      <c r="C4084" s="13" t="inlineStr">
        <is>
          <t>CPR</t>
        </is>
      </c>
      <c r="D4084" s="13" t="n">
        <v>32</v>
      </c>
      <c r="E4084" s="10">
        <f>IF(D4084&gt;0,VLOOKUP(OPERAC[[#This Row],[COD CART]],[1]!MatrizCortoLargoCyl[#All],3,0),"")</f>
        <v/>
      </c>
      <c r="F4084" s="13" t="inlineStr">
        <is>
          <t>HIMX/CYL/10,50/17-06-22</t>
        </is>
      </c>
      <c r="G4084" s="6" t="n">
        <v>100</v>
      </c>
      <c r="H4084" s="6" t="n">
        <v>-937.87</v>
      </c>
      <c r="I4084" s="7">
        <f>-H4084/G4084</f>
        <v/>
      </c>
      <c r="J4084" s="5" t="n"/>
      <c r="K4084" s="6" t="n"/>
      <c r="L4084" s="6" t="n"/>
      <c r="M4084" s="7">
        <f>IF(N4084=0,+L4084+H4084,0)</f>
        <v/>
      </c>
      <c r="N4084" s="7">
        <f>IF((+G4084-K4084)=0,0,+G4084-K4084)</f>
        <v/>
      </c>
      <c r="O4084" s="7">
        <f>IF(N4084=0,0,(L4084+H4084)/-N4084)</f>
        <v/>
      </c>
      <c r="P4084" s="7">
        <f>VLOOKUP(OPERAC[[#This Row],[especie]],[1]!ESPECIES[#All],6,0)</f>
        <v/>
      </c>
      <c r="Q4084" s="7">
        <f>IF(N4084&lt;&gt;0,P4084*N4084,0)</f>
        <v/>
      </c>
      <c r="R4084" s="8">
        <f>IF(Q4084&lt;&gt;0,Q4084+H4084+L4084,0)</f>
        <v/>
      </c>
      <c r="S4084" s="9">
        <f>VLOOKUP(OPERAC[[#This Row],[especie]],[1]!ESPECIES[#Data],9,FALSE)</f>
        <v/>
      </c>
    </row>
    <row r="4085">
      <c r="A4085" s="4" t="n">
        <v>4543</v>
      </c>
      <c r="B4085" s="5" t="n">
        <v>44658</v>
      </c>
      <c r="C4085" s="13" t="inlineStr">
        <is>
          <t>CPR</t>
        </is>
      </c>
      <c r="D4085" s="13" t="n">
        <v>41</v>
      </c>
      <c r="E4085" s="10">
        <f>IF(D4085&gt;0,VLOOKUP(OPERAC[[#This Row],[COD CART]],[1]!MatrizCortoLargoCyl[#All],3,0),"")</f>
        <v/>
      </c>
      <c r="F4085" s="13" t="inlineStr">
        <is>
          <t>HYDR</t>
        </is>
      </c>
      <c r="G4085" s="6" t="n">
        <v>50</v>
      </c>
      <c r="H4085" s="6" t="n">
        <v>-938.4400000000002</v>
      </c>
      <c r="I4085" s="7">
        <f>-H4085/G4085</f>
        <v/>
      </c>
      <c r="J4085" s="11" t="n">
        <v>44693</v>
      </c>
      <c r="K4085" s="6">
        <f>+OPERAC[[#This Row],[cantidad]]</f>
        <v/>
      </c>
      <c r="L4085" s="6">
        <f>+OPERAC[[#This Row],[cantidad venta]]*12.027</f>
        <v/>
      </c>
      <c r="M4085" s="7">
        <f>IF(N4085=0,+L4085+H4085,0)</f>
        <v/>
      </c>
      <c r="N4085" s="7">
        <f>IF((+G4085-K4085)=0,0,+G4085-K4085)</f>
        <v/>
      </c>
      <c r="O4085" s="7">
        <f>IF(N4085=0,0,(L4085+H4085)/-N4085)</f>
        <v/>
      </c>
      <c r="P4085" s="7">
        <f>VLOOKUP(OPERAC[[#This Row],[especie]],[1]!ESPECIES[#All],6,0)</f>
        <v/>
      </c>
      <c r="Q4085" s="7">
        <f>IF(N4085&lt;&gt;0,P4085*N4085,0)</f>
        <v/>
      </c>
      <c r="R4085" s="8">
        <f>IF(Q4085&lt;&gt;0,Q4085+H4085+L4085,0)</f>
        <v/>
      </c>
      <c r="S4085" s="9">
        <f>VLOOKUP(OPERAC[[#This Row],[especie]],[1]!ESPECIES[#Data],9,FALSE)</f>
        <v/>
      </c>
    </row>
    <row r="4086">
      <c r="A4086" s="4" t="n">
        <v>3728</v>
      </c>
      <c r="B4086" s="5" t="n">
        <v>44662</v>
      </c>
      <c r="C4086" s="13" t="inlineStr">
        <is>
          <t>CPR</t>
        </is>
      </c>
      <c r="D4086" s="13" t="n">
        <v>32</v>
      </c>
      <c r="E4086" s="10">
        <f>IF(D4086&gt;0,VLOOKUP(OPERAC[[#This Row],[COD CART]],[1]!MatrizCortoLargoCyl[#All],3,0),"")</f>
        <v/>
      </c>
      <c r="F4086" s="13" t="inlineStr">
        <is>
          <t>BLDP</t>
        </is>
      </c>
      <c r="G4086" s="6" t="n">
        <v>100</v>
      </c>
      <c r="H4086" s="6" t="n">
        <v>-938.717</v>
      </c>
      <c r="I4086" s="7">
        <f>-H4086/G4086</f>
        <v/>
      </c>
      <c r="J4086" s="11" t="n">
        <v>44707</v>
      </c>
      <c r="K4086" s="6" t="n">
        <v>100</v>
      </c>
      <c r="L4086" s="6" t="n">
        <v>724.775</v>
      </c>
      <c r="M4086" s="7">
        <f>IF(N4086=0,+L4086+H4086,0)</f>
        <v/>
      </c>
      <c r="N4086" s="7">
        <f>IF((+G4086-K4086)=0,0,+G4086-K4086)</f>
        <v/>
      </c>
      <c r="O4086" s="7">
        <f>IF(N4086=0,0,(L4086+H4086)/-N4086)</f>
        <v/>
      </c>
      <c r="P4086" s="7">
        <f>VLOOKUP(OPERAC[[#This Row],[especie]],[1]!ESPECIES[#All],6,0)</f>
        <v/>
      </c>
      <c r="Q4086" s="7">
        <f>IF(N4086&lt;&gt;0,P4086*N4086,0)</f>
        <v/>
      </c>
      <c r="R4086" s="8">
        <f>IF(Q4086&lt;&gt;0,Q4086+H4086+L4086,0)</f>
        <v/>
      </c>
      <c r="S4086" s="9">
        <f>VLOOKUP(OPERAC[[#This Row],[especie]],[1]!ESPECIES[#Data],9,FALSE)</f>
        <v/>
      </c>
    </row>
    <row r="4087">
      <c r="A4087" s="4" t="n">
        <v>2257</v>
      </c>
      <c r="B4087" s="5" t="n">
        <v>44680</v>
      </c>
      <c r="C4087" s="13" t="inlineStr">
        <is>
          <t>CPR</t>
        </is>
      </c>
      <c r="D4087" s="13" t="n">
        <v>42</v>
      </c>
      <c r="E4087" s="10">
        <f>IF(D4087&gt;0,VLOOKUP(OPERAC[[#This Row],[COD CART]],[1]!MatrizCortoLargoCyl[#All],3,0),"")</f>
        <v/>
      </c>
      <c r="F4087" s="13" t="inlineStr">
        <is>
          <t>TS</t>
        </is>
      </c>
      <c r="G4087" s="6" t="n">
        <v>30</v>
      </c>
      <c r="H4087" s="6" t="n">
        <v>-938.9639249999999</v>
      </c>
      <c r="I4087" s="7">
        <f>-H4087/G4087</f>
        <v/>
      </c>
      <c r="J4087" s="11" t="n">
        <v>44704</v>
      </c>
      <c r="K4087" s="6" t="n">
        <v>30</v>
      </c>
      <c r="L4087" s="6" t="n">
        <v>969.836</v>
      </c>
      <c r="M4087" s="7">
        <f>IF(N4087=0,+L4087+H4087,0)</f>
        <v/>
      </c>
      <c r="N4087" s="7">
        <f>IF((+G4087-K4087)=0,0,+G4087-K4087)</f>
        <v/>
      </c>
      <c r="O4087" s="7">
        <f>IF(N4087=0,0,(L4087+H4087)/-N4087)</f>
        <v/>
      </c>
      <c r="P4087" s="7">
        <f>VLOOKUP(OPERAC[[#This Row],[especie]],[1]!ESPECIES[#All],6,0)</f>
        <v/>
      </c>
      <c r="Q4087" s="7">
        <f>IF(N4087&lt;&gt;0,P4087*N4087,0)</f>
        <v/>
      </c>
      <c r="R4087" s="8">
        <f>IF(Q4087&lt;&gt;0,Q4087+H4087+L4087,0)</f>
        <v/>
      </c>
      <c r="S4087" s="9">
        <f>VLOOKUP(OPERAC[[#This Row],[especie]],[1]!ESPECIES[#Data],9,FALSE)</f>
        <v/>
      </c>
    </row>
    <row r="4088">
      <c r="A4088" s="4" t="n">
        <v>13180</v>
      </c>
      <c r="B4088" s="5" t="n">
        <v>44680</v>
      </c>
      <c r="C4088" s="13" t="inlineStr">
        <is>
          <t>CPR</t>
        </is>
      </c>
      <c r="D4088" s="13" t="n">
        <v>42</v>
      </c>
      <c r="E4088" s="10">
        <f>IF(D4088&gt;0,VLOOKUP(OPERAC[[#This Row],[COD CART]],[1]!MatrizCortoLargoCyl[#All],3,0),"")</f>
        <v/>
      </c>
      <c r="F4088" s="13" t="inlineStr">
        <is>
          <t>TS</t>
        </is>
      </c>
      <c r="G4088" s="6" t="n">
        <v>30</v>
      </c>
      <c r="H4088" s="6" t="n">
        <v>-938.9639249999999</v>
      </c>
      <c r="I4088" s="7">
        <f>-H4088/G4088</f>
        <v/>
      </c>
      <c r="J4088" s="11" t="n"/>
      <c r="K4088" s="6" t="n"/>
      <c r="L4088" s="6" t="n"/>
      <c r="M4088" s="7">
        <f>IF(N4088=0,+L4088+H4088,0)</f>
        <v/>
      </c>
      <c r="N4088" s="7">
        <f>IF((+G4088-K4088)=0,0,+G4088-K4088)</f>
        <v/>
      </c>
      <c r="O4088" s="7">
        <f>IF(N4088=0,0,(L4088+H4088)/-N4088)</f>
        <v/>
      </c>
      <c r="P4088" s="7">
        <f>VLOOKUP(OPERAC[[#This Row],[especie]],[1]!ESPECIES[#All],6,0)</f>
        <v/>
      </c>
      <c r="Q4088" s="7">
        <f>IF(N4088&lt;&gt;0,P4088*N4088,0)</f>
        <v/>
      </c>
      <c r="R4088" s="8">
        <f>IF(Q4088&lt;&gt;0,Q4088+H4088+L4088,0)</f>
        <v/>
      </c>
      <c r="S4088" s="9">
        <f>VLOOKUP(OPERAC[[#This Row],[especie]],[1]!ESPECIES[#Data],9,FALSE)</f>
        <v/>
      </c>
    </row>
    <row r="4089">
      <c r="A4089" s="4" t="n">
        <v>13185</v>
      </c>
      <c r="B4089" s="5" t="n">
        <v>44680</v>
      </c>
      <c r="C4089" s="13" t="inlineStr">
        <is>
          <t>CPR</t>
        </is>
      </c>
      <c r="D4089" s="13" t="n">
        <v>42</v>
      </c>
      <c r="E4089" s="10">
        <f>IF(D4089&gt;0,VLOOKUP(OPERAC[[#This Row],[COD CART]],[1]!MatrizCortoLargoCyl[#All],3,0),"")</f>
        <v/>
      </c>
      <c r="F4089" s="13" t="inlineStr">
        <is>
          <t>TS</t>
        </is>
      </c>
      <c r="G4089" s="6" t="n">
        <v>30</v>
      </c>
      <c r="H4089" s="6" t="n">
        <v>-938.9639249999999</v>
      </c>
      <c r="I4089" s="7">
        <f>-H4089/G4089</f>
        <v/>
      </c>
      <c r="J4089" s="11" t="n">
        <v>44693</v>
      </c>
      <c r="K4089" s="6">
        <f>+OPERAC[[#This Row],[cantidad]]</f>
        <v/>
      </c>
      <c r="L4089" s="6">
        <f>+OPERAC[[#This Row],[cantidad venta]]*29.07</f>
        <v/>
      </c>
      <c r="M4089" s="7">
        <f>IF(N4089=0,+L4089+H4089,0)</f>
        <v/>
      </c>
      <c r="N4089" s="7">
        <f>IF((+G4089-K4089)=0,0,+G4089-K4089)</f>
        <v/>
      </c>
      <c r="O4089" s="7">
        <f>IF(N4089=0,0,(L4089+H4089)/-N4089)</f>
        <v/>
      </c>
      <c r="P4089" s="7">
        <f>VLOOKUP(OPERAC[[#This Row],[especie]],[1]!ESPECIES[#All],6,0)</f>
        <v/>
      </c>
      <c r="Q4089" s="7">
        <f>IF(N4089&lt;&gt;0,P4089*N4089,0)</f>
        <v/>
      </c>
      <c r="R4089" s="8">
        <f>IF(Q4089&lt;&gt;0,Q4089+H4089+L4089,0)</f>
        <v/>
      </c>
      <c r="S4089" s="9">
        <f>VLOOKUP(OPERAC[[#This Row],[especie]],[1]!ESPECIES[#Data],9,FALSE)</f>
        <v/>
      </c>
    </row>
    <row r="4090">
      <c r="A4090" s="4" t="n">
        <v>13246</v>
      </c>
      <c r="B4090" s="5" t="n">
        <v>44680</v>
      </c>
      <c r="C4090" s="13" t="inlineStr">
        <is>
          <t>CPR</t>
        </is>
      </c>
      <c r="D4090" s="13" t="n">
        <v>42</v>
      </c>
      <c r="E4090" s="10">
        <f>IF(D4090&gt;0,VLOOKUP(OPERAC[[#This Row],[COD CART]],[1]!MatrizCortoLargoCyl[#All],3,0),"")</f>
        <v/>
      </c>
      <c r="F4090" s="13" t="inlineStr">
        <is>
          <t>TS</t>
        </is>
      </c>
      <c r="G4090" s="6" t="n">
        <v>30</v>
      </c>
      <c r="H4090" s="6" t="n">
        <v>-938.9639249999999</v>
      </c>
      <c r="I4090" s="7">
        <f>-H4090/G4090</f>
        <v/>
      </c>
      <c r="J4090" s="11" t="n">
        <v>44693</v>
      </c>
      <c r="K4090" s="6">
        <f>+OPERAC[[#This Row],[cantidad]]</f>
        <v/>
      </c>
      <c r="L4090" s="6">
        <f>+OPERAC[[#This Row],[cantidad venta]]*29.07</f>
        <v/>
      </c>
      <c r="M4090" s="7">
        <f>IF(N4090=0,+L4090+H4090,0)</f>
        <v/>
      </c>
      <c r="N4090" s="7">
        <f>IF((+G4090-K4090)=0,0,+G4090-K4090)</f>
        <v/>
      </c>
      <c r="O4090" s="7">
        <f>IF(N4090=0,0,(L4090+H4090)/-N4090)</f>
        <v/>
      </c>
      <c r="P4090" s="7">
        <f>VLOOKUP(OPERAC[[#This Row],[especie]],[1]!ESPECIES[#All],6,0)</f>
        <v/>
      </c>
      <c r="Q4090" s="7">
        <f>IF(N4090&lt;&gt;0,P4090*N4090,0)</f>
        <v/>
      </c>
      <c r="R4090" s="8">
        <f>IF(Q4090&lt;&gt;0,Q4090+H4090+L4090,0)</f>
        <v/>
      </c>
      <c r="S4090" s="9">
        <f>VLOOKUP(OPERAC[[#This Row],[especie]],[1]!ESPECIES[#Data],9,FALSE)</f>
        <v/>
      </c>
    </row>
    <row r="4091">
      <c r="A4091" s="4" t="n">
        <v>16795</v>
      </c>
      <c r="B4091" s="5" t="n">
        <v>44680</v>
      </c>
      <c r="C4091" s="13" t="inlineStr">
        <is>
          <t>CPR</t>
        </is>
      </c>
      <c r="D4091" s="13" t="n">
        <v>42</v>
      </c>
      <c r="E4091" s="10">
        <f>IF(D4091&gt;0,VLOOKUP(OPERAC[[#This Row],[COD CART]],[1]!MatrizCortoLargoCyl[#All],3,0),"")</f>
        <v/>
      </c>
      <c r="F4091" s="13" t="inlineStr">
        <is>
          <t>TS</t>
        </is>
      </c>
      <c r="G4091" s="6" t="n">
        <v>30</v>
      </c>
      <c r="H4091" s="6" t="n">
        <v>-938.9639249999999</v>
      </c>
      <c r="I4091" s="7">
        <f>-H4091/G4091</f>
        <v/>
      </c>
      <c r="J4091" s="11" t="n">
        <v>44693</v>
      </c>
      <c r="K4091" s="6">
        <f>+OPERAC[[#This Row],[cantidad]]</f>
        <v/>
      </c>
      <c r="L4091" s="6">
        <f>+OPERAC[[#This Row],[cantidad venta]]*29.07</f>
        <v/>
      </c>
      <c r="M4091" s="7">
        <f>IF(N4091=0,+L4091+H4091,0)</f>
        <v/>
      </c>
      <c r="N4091" s="7">
        <f>IF((+G4091-K4091)=0,0,+G4091-K4091)</f>
        <v/>
      </c>
      <c r="O4091" s="7">
        <f>IF(N4091=0,0,(L4091+H4091)/-N4091)</f>
        <v/>
      </c>
      <c r="P4091" s="7">
        <f>VLOOKUP(OPERAC[[#This Row],[especie]],[1]!ESPECIES[#All],6,0)</f>
        <v/>
      </c>
      <c r="Q4091" s="7">
        <f>IF(N4091&lt;&gt;0,P4091*N4091,0)</f>
        <v/>
      </c>
      <c r="R4091" s="8">
        <f>IF(Q4091&lt;&gt;0,Q4091+H4091+L4091,0)</f>
        <v/>
      </c>
      <c r="S4091" s="9">
        <f>VLOOKUP(OPERAC[[#This Row],[especie]],[1]!ESPECIES[#Data],9,FALSE)</f>
        <v/>
      </c>
    </row>
    <row r="4092">
      <c r="A4092" s="4" t="n">
        <v>19867</v>
      </c>
      <c r="B4092" s="5" t="n">
        <v>44643</v>
      </c>
      <c r="C4092" s="13" t="inlineStr">
        <is>
          <t>CPR</t>
        </is>
      </c>
      <c r="D4092" s="13" t="n">
        <v>31</v>
      </c>
      <c r="E4092" s="10">
        <f>IF(D4092&gt;0,VLOOKUP(OPERAC[[#This Row],[COD CART]],[1]!MatrizCortoLargoCyl[#All],3,0),"")</f>
        <v/>
      </c>
      <c r="F4092" s="13" t="inlineStr">
        <is>
          <t>CEPU</t>
        </is>
      </c>
      <c r="G4092" s="6" t="n">
        <v>250</v>
      </c>
      <c r="H4092" s="6" t="n">
        <v>-941.21</v>
      </c>
      <c r="I4092" s="7">
        <f>-H4092/G4092</f>
        <v/>
      </c>
      <c r="J4092" s="11" t="n"/>
      <c r="K4092" s="6" t="n"/>
      <c r="L4092" s="6" t="n"/>
      <c r="M4092" s="7">
        <f>IF(N4092=0,+L4092+H4092,0)</f>
        <v/>
      </c>
      <c r="N4092" s="7">
        <f>IF((+G4092-K4092)=0,0,+G4092-K4092)</f>
        <v/>
      </c>
      <c r="O4092" s="7">
        <f>IF(N4092=0,0,(L4092+H4092)/-N4092)</f>
        <v/>
      </c>
      <c r="P4092" s="7">
        <f>VLOOKUP(OPERAC[[#This Row],[especie]],[1]!ESPECIES[#All],6,0)</f>
        <v/>
      </c>
      <c r="Q4092" s="7">
        <f>IF(N4092&lt;&gt;0,P4092*N4092,0)</f>
        <v/>
      </c>
      <c r="R4092" s="8">
        <f>IF(Q4092&lt;&gt;0,Q4092+H4092+L4092,0)</f>
        <v/>
      </c>
      <c r="S4092" s="9">
        <f>VLOOKUP(OPERAC[[#This Row],[especie]],[1]!ESPECIES[#Data],9,FALSE)</f>
        <v/>
      </c>
    </row>
    <row r="4093">
      <c r="A4093" s="4" t="n">
        <v>15195</v>
      </c>
      <c r="B4093" s="5" t="n">
        <v>44662</v>
      </c>
      <c r="C4093" s="13" t="inlineStr">
        <is>
          <t>CPR</t>
        </is>
      </c>
      <c r="D4093" s="13" t="n">
        <v>32</v>
      </c>
      <c r="E4093" s="10">
        <f>IF(D4093&gt;0,VLOOKUP(OPERAC[[#This Row],[COD CART]],[1]!MatrizCortoLargoCyl[#All],3,0),"")</f>
        <v/>
      </c>
      <c r="F4093" s="13" t="inlineStr">
        <is>
          <t>BLDP</t>
        </is>
      </c>
      <c r="G4093" s="6" t="n">
        <v>100</v>
      </c>
      <c r="H4093" s="6" t="n">
        <v>-942.3679999999999</v>
      </c>
      <c r="I4093" s="7">
        <f>-H4093/G4093</f>
        <v/>
      </c>
      <c r="J4093" s="11" t="n">
        <v>44704</v>
      </c>
      <c r="K4093" s="6" t="n">
        <v>100</v>
      </c>
      <c r="L4093" s="6" t="n">
        <v>715.367</v>
      </c>
      <c r="M4093" s="7">
        <f>IF(N4093=0,+L4093+H4093,0)</f>
        <v/>
      </c>
      <c r="N4093" s="7">
        <f>IF((+G4093-K4093)=0,0,+G4093-K4093)</f>
        <v/>
      </c>
      <c r="O4093" s="7">
        <f>IF(N4093=0,0,(L4093+H4093)/-N4093)</f>
        <v/>
      </c>
      <c r="P4093" s="7">
        <f>VLOOKUP(OPERAC[[#This Row],[especie]],[1]!ESPECIES[#All],6,0)</f>
        <v/>
      </c>
      <c r="Q4093" s="7">
        <f>IF(N4093&lt;&gt;0,P4093*N4093,0)</f>
        <v/>
      </c>
      <c r="R4093" s="8">
        <f>IF(Q4093&lt;&gt;0,Q4093+H4093+L4093,0)</f>
        <v/>
      </c>
      <c r="S4093" s="9">
        <f>VLOOKUP(OPERAC[[#This Row],[especie]],[1]!ESPECIES[#Data],9,FALSE)</f>
        <v/>
      </c>
    </row>
    <row r="4094">
      <c r="A4094" s="4" t="n">
        <v>12652</v>
      </c>
      <c r="B4094" s="5" t="n">
        <v>44489</v>
      </c>
      <c r="C4094" s="13" t="inlineStr">
        <is>
          <t>CPR</t>
        </is>
      </c>
      <c r="D4094" s="13" t="n">
        <v>43</v>
      </c>
      <c r="E4094" s="10">
        <f>IF(D4094&gt;0,VLOOKUP(OPERAC[[#This Row],[COD CART]],[1]!MatrizCortoLargoCyl[#All],3,0),"")</f>
        <v/>
      </c>
      <c r="F4094" s="13" t="inlineStr">
        <is>
          <t>SESN/CYL-PUT/1,00/19-01-24</t>
        </is>
      </c>
      <c r="G4094" s="6" t="n">
        <v>5000</v>
      </c>
      <c r="H4094" s="6">
        <f>-0.1885*OPERAC[[#This Row],[cantidad]]</f>
        <v/>
      </c>
      <c r="I4094" s="7">
        <f>-H4094/G4094</f>
        <v/>
      </c>
      <c r="J4094" s="11" t="n">
        <v>44557</v>
      </c>
      <c r="K4094" s="6">
        <f>1000+1000</f>
        <v/>
      </c>
      <c r="L4094" s="6">
        <f>307.1+476.118-252.125</f>
        <v/>
      </c>
      <c r="M4094" s="7">
        <f>IF(N4094=0,+L4094+H4094,0)</f>
        <v/>
      </c>
      <c r="N4094" s="7">
        <f>IF((+G4094-K4094)=0,0,+G4094-K4094)</f>
        <v/>
      </c>
      <c r="O4094" s="7">
        <f>IF(N4094=0,0,(L4094+H4094)/-N4094)</f>
        <v/>
      </c>
      <c r="P4094" s="7">
        <f>VLOOKUP(OPERAC[[#This Row],[especie]],[1]!ESPECIES[#All],6,0)</f>
        <v/>
      </c>
      <c r="Q4094" s="7">
        <f>IF(N4094&lt;&gt;0,P4094*N4094,0)</f>
        <v/>
      </c>
      <c r="R4094" s="8">
        <f>IF(Q4094&lt;&gt;0,Q4094+H4094+L4094,0)</f>
        <v/>
      </c>
      <c r="S4094" s="9">
        <f>VLOOKUP(OPERAC[[#This Row],[especie]],[1]!ESPECIES[#Data],9,FALSE)</f>
        <v/>
      </c>
    </row>
    <row r="4095">
      <c r="A4095" s="4" t="n">
        <v>13190</v>
      </c>
      <c r="B4095" s="5" t="n">
        <v>44489</v>
      </c>
      <c r="C4095" s="13" t="inlineStr">
        <is>
          <t>CPR</t>
        </is>
      </c>
      <c r="D4095" s="13" t="n">
        <v>43</v>
      </c>
      <c r="E4095" s="10">
        <f>IF(D4095&gt;0,VLOOKUP(OPERAC[[#This Row],[COD CART]],[1]!MatrizCortoLargoCyl[#All],3,0),"")</f>
        <v/>
      </c>
      <c r="F4095" s="13" t="inlineStr">
        <is>
          <t>SESN/CYL-PUT/1,00/19-01-24</t>
        </is>
      </c>
      <c r="G4095" s="6" t="n">
        <v>5000</v>
      </c>
      <c r="H4095" s="6">
        <f>-0.1885*OPERAC[[#This Row],[cantidad]]</f>
        <v/>
      </c>
      <c r="I4095" s="7">
        <f>-H4095/G4095</f>
        <v/>
      </c>
      <c r="J4095" s="11" t="n">
        <v>44616</v>
      </c>
      <c r="K4095" s="6" t="n">
        <v>5000</v>
      </c>
      <c r="L4095" s="6" t="n">
        <v>1608.856</v>
      </c>
      <c r="M4095" s="7">
        <f>IF(N4095=0,+L4095+H4095,0)</f>
        <v/>
      </c>
      <c r="N4095" s="7">
        <f>IF((+G4095-K4095)=0,0,+G4095-K4095)</f>
        <v/>
      </c>
      <c r="O4095" s="7">
        <f>IF(N4095=0,0,(L4095+H4095)/-N4095)</f>
        <v/>
      </c>
      <c r="P4095" s="7">
        <f>VLOOKUP(OPERAC[[#This Row],[especie]],[1]!ESPECIES[#All],6,0)</f>
        <v/>
      </c>
      <c r="Q4095" s="7">
        <f>IF(N4095&lt;&gt;0,P4095*N4095,0)</f>
        <v/>
      </c>
      <c r="R4095" s="8">
        <f>IF(Q4095&lt;&gt;0,Q4095+H4095+L4095,0)</f>
        <v/>
      </c>
      <c r="S4095" s="9">
        <f>VLOOKUP(OPERAC[[#This Row],[especie]],[1]!ESPECIES[#Data],9,FALSE)</f>
        <v/>
      </c>
    </row>
    <row r="4096">
      <c r="A4096" s="4" t="n">
        <v>16786</v>
      </c>
      <c r="B4096" s="5" t="n">
        <v>44489</v>
      </c>
      <c r="C4096" s="13" t="inlineStr">
        <is>
          <t>CPR</t>
        </is>
      </c>
      <c r="D4096" s="13" t="n">
        <v>43</v>
      </c>
      <c r="E4096" s="10">
        <f>IF(D4096&gt;0,VLOOKUP(OPERAC[[#This Row],[COD CART]],[1]!MatrizCortoLargoCyl[#All],3,0),"")</f>
        <v/>
      </c>
      <c r="F4096" s="13" t="inlineStr">
        <is>
          <t>SESN1/CYL-PUT/1,00/19-01-24</t>
        </is>
      </c>
      <c r="G4096" s="6" t="n">
        <v>5000</v>
      </c>
      <c r="H4096" s="6">
        <f>-0.1885*OPERAC[[#This Row],[cantidad]]</f>
        <v/>
      </c>
      <c r="I4096" s="7">
        <f>-H4096/G4096</f>
        <v/>
      </c>
      <c r="J4096" s="11" t="n">
        <v>44662</v>
      </c>
      <c r="K4096" s="6" t="n">
        <v>3000</v>
      </c>
      <c r="L4096" s="6" t="n">
        <v>702.296</v>
      </c>
      <c r="M4096" s="7">
        <f>IF(N4096=0,+L4096+H4096,0)</f>
        <v/>
      </c>
      <c r="N4096" s="7">
        <f>IF((+G4096-K4096)=0,0,+G4096-K4096)</f>
        <v/>
      </c>
      <c r="O4096" s="7">
        <f>IF(N4096=0,0,(L4096+H4096)/-N4096)</f>
        <v/>
      </c>
      <c r="P4096" s="7">
        <f>VLOOKUP(OPERAC[[#This Row],[especie]],[1]!ESPECIES[#All],6,0)</f>
        <v/>
      </c>
      <c r="Q4096" s="7">
        <f>IF(N4096&lt;&gt;0,P4096*N4096,0)</f>
        <v/>
      </c>
      <c r="R4096" s="8">
        <f>IF(Q4096&lt;&gt;0,Q4096+H4096+L4096,0)</f>
        <v/>
      </c>
      <c r="S4096" s="9">
        <f>VLOOKUP(OPERAC[[#This Row],[especie]],[1]!ESPECIES[#Data],9,FALSE)</f>
        <v/>
      </c>
    </row>
    <row r="4097">
      <c r="A4097" s="4" t="n">
        <v>19888</v>
      </c>
      <c r="B4097" s="5" t="n">
        <v>44489</v>
      </c>
      <c r="C4097" s="13" t="inlineStr">
        <is>
          <t>CPR</t>
        </is>
      </c>
      <c r="D4097" s="13" t="n">
        <v>43</v>
      </c>
      <c r="E4097" s="10">
        <f>IF(D4097&gt;0,VLOOKUP(OPERAC[[#This Row],[COD CART]],[1]!MatrizCortoLargoCyl[#All],3,0),"")</f>
        <v/>
      </c>
      <c r="F4097" s="13" t="inlineStr">
        <is>
          <t>SESN/CYL-PUT/1,00/19-01-24</t>
        </is>
      </c>
      <c r="G4097" s="6" t="n">
        <v>5000</v>
      </c>
      <c r="H4097" s="6">
        <f>-0.1885*OPERAC[[#This Row],[cantidad]]</f>
        <v/>
      </c>
      <c r="I4097" s="7">
        <f>-H4097/G4097</f>
        <v/>
      </c>
      <c r="J4097" s="11" t="n">
        <v>44614</v>
      </c>
      <c r="K4097" s="6" t="n">
        <v>5000</v>
      </c>
      <c r="L4097" s="6">
        <f>0.266068*OPERAC[[#This Row],[cantidad venta]]</f>
        <v/>
      </c>
      <c r="M4097" s="7">
        <f>IF(N4097=0,+L4097+H4097,0)</f>
        <v/>
      </c>
      <c r="N4097" s="7">
        <f>IF((+G4097-K4097)=0,0,+G4097-K4097)</f>
        <v/>
      </c>
      <c r="O4097" s="7">
        <f>IF(N4097=0,0,(L4097+H4097)/-N4097)</f>
        <v/>
      </c>
      <c r="P4097" s="7">
        <f>VLOOKUP(OPERAC[[#This Row],[especie]],[1]!ESPECIES[#All],6,0)</f>
        <v/>
      </c>
      <c r="Q4097" s="7">
        <f>IF(N4097&lt;&gt;0,P4097*N4097,0)</f>
        <v/>
      </c>
      <c r="R4097" s="8">
        <f>IF(Q4097&lt;&gt;0,Q4097+H4097+L4097,0)</f>
        <v/>
      </c>
      <c r="S4097" s="9">
        <f>VLOOKUP(OPERAC[[#This Row],[especie]],[1]!ESPECIES[#Data],9,FALSE)</f>
        <v/>
      </c>
    </row>
    <row r="4098">
      <c r="A4098" s="4" t="n">
        <v>26138</v>
      </c>
      <c r="B4098" s="5" t="n">
        <v>44489</v>
      </c>
      <c r="C4098" s="13" t="inlineStr">
        <is>
          <t>CPR</t>
        </is>
      </c>
      <c r="D4098" s="13" t="n">
        <v>43</v>
      </c>
      <c r="E4098" s="10">
        <f>IF(D4098&gt;0,VLOOKUP(OPERAC[[#This Row],[COD CART]],[1]!MatrizCortoLargoCyl[#All],3,0),"")</f>
        <v/>
      </c>
      <c r="F4098" s="13" t="inlineStr">
        <is>
          <t>SESN/CYL-PUT/1,00/19-01-24</t>
        </is>
      </c>
      <c r="G4098" s="6" t="n">
        <v>5000</v>
      </c>
      <c r="H4098" s="6">
        <f>-0.1885*OPERAC[[#This Row],[cantidad]]</f>
        <v/>
      </c>
      <c r="I4098" s="7">
        <f>-H4098/G4098</f>
        <v/>
      </c>
      <c r="J4098" s="11" t="n"/>
      <c r="K4098" s="6" t="n"/>
      <c r="L4098" s="6" t="n"/>
      <c r="M4098" s="7">
        <f>IF(N4098=0,+L4098+H4098,0)</f>
        <v/>
      </c>
      <c r="N4098" s="7">
        <f>IF((+G4098-K4098)=0,0,+G4098-K4098)</f>
        <v/>
      </c>
      <c r="O4098" s="7">
        <f>IF(N4098=0,0,(L4098+H4098)/-N4098)</f>
        <v/>
      </c>
      <c r="P4098" s="7">
        <f>VLOOKUP(OPERAC[[#This Row],[especie]],[1]!ESPECIES[#All],6,0)</f>
        <v/>
      </c>
      <c r="Q4098" s="7">
        <f>IF(N4098&lt;&gt;0,P4098*N4098,0)</f>
        <v/>
      </c>
      <c r="R4098" s="8">
        <f>IF(Q4098&lt;&gt;0,Q4098+H4098+L4098,0)</f>
        <v/>
      </c>
      <c r="S4098" s="9">
        <f>VLOOKUP(OPERAC[[#This Row],[especie]],[1]!ESPECIES[#Data],9,FALSE)</f>
        <v/>
      </c>
    </row>
    <row r="4099">
      <c r="A4099" s="4" t="n">
        <v>19867</v>
      </c>
      <c r="B4099" s="5" t="n">
        <v>44538</v>
      </c>
      <c r="C4099" s="13" t="inlineStr">
        <is>
          <t>CPR</t>
        </is>
      </c>
      <c r="D4099" s="13" t="n">
        <v>43</v>
      </c>
      <c r="E4099" s="10">
        <f>IF(D4099&gt;0,VLOOKUP(OPERAC[[#This Row],[COD CART]],[1]!MatrizCortoLargoCyl[#All],3,0),"")</f>
        <v/>
      </c>
      <c r="F4099" s="13" t="inlineStr">
        <is>
          <t>HEXO/CYL-PUT/1,00/20-01-23</t>
        </is>
      </c>
      <c r="G4099" s="6" t="n">
        <v>5000</v>
      </c>
      <c r="H4099" s="6">
        <f>-0.1886*OPERAC[[#This Row],[cantidad]]</f>
        <v/>
      </c>
      <c r="I4099" s="7">
        <f>-H4099/G4099</f>
        <v/>
      </c>
      <c r="J4099" s="11" t="n">
        <v>44614</v>
      </c>
      <c r="K4099" s="6" t="n">
        <v>5000</v>
      </c>
      <c r="L4099" s="6" t="n">
        <v>1653.364</v>
      </c>
      <c r="M4099" s="7">
        <f>IF(N4099=0,+L4099+H4099,0)</f>
        <v/>
      </c>
      <c r="N4099" s="7">
        <f>IF((+G4099-K4099)=0,0,+G4099-K4099)</f>
        <v/>
      </c>
      <c r="O4099" s="7">
        <f>IF(N4099=0,0,(L4099+H4099)/-N4099)</f>
        <v/>
      </c>
      <c r="P4099" s="7">
        <f>VLOOKUP(OPERAC[[#This Row],[especie]],[1]!ESPECIES[#All],6,0)</f>
        <v/>
      </c>
      <c r="Q4099" s="7">
        <f>IF(N4099&lt;&gt;0,P4099*N4099,0)</f>
        <v/>
      </c>
      <c r="R4099" s="8">
        <f>IF(Q4099&lt;&gt;0,Q4099+H4099+L4099,0)</f>
        <v/>
      </c>
      <c r="S4099" s="9">
        <f>VLOOKUP(OPERAC[[#This Row],[especie]],[1]!ESPECIES[#Data],9,FALSE)</f>
        <v/>
      </c>
    </row>
    <row r="4100">
      <c r="A4100" s="4" t="n">
        <v>19878</v>
      </c>
      <c r="B4100" s="5" t="n">
        <v>44538</v>
      </c>
      <c r="C4100" s="13" t="inlineStr">
        <is>
          <t>CPR</t>
        </is>
      </c>
      <c r="D4100" s="13" t="n">
        <v>43</v>
      </c>
      <c r="E4100" s="10">
        <f>IF(D4100&gt;0,VLOOKUP(OPERAC[[#This Row],[COD CART]],[1]!MatrizCortoLargoCyl[#All],3,0),"")</f>
        <v/>
      </c>
      <c r="F4100" s="13" t="inlineStr">
        <is>
          <t>HEXO/CYL-PUT/1,00/20-01-23</t>
        </is>
      </c>
      <c r="G4100" s="6" t="n">
        <v>5000</v>
      </c>
      <c r="H4100" s="6">
        <f>-0.1886*OPERAC[[#This Row],[cantidad]]</f>
        <v/>
      </c>
      <c r="I4100" s="7">
        <f>-H4100/G4100</f>
        <v/>
      </c>
      <c r="J4100" s="11" t="n">
        <v>44614</v>
      </c>
      <c r="K4100" s="6" t="n">
        <v>5000</v>
      </c>
      <c r="L4100" s="6" t="n">
        <v>1653.364</v>
      </c>
      <c r="M4100" s="7">
        <f>IF(N4100=0,+L4100+H4100,0)</f>
        <v/>
      </c>
      <c r="N4100" s="7">
        <f>IF((+G4100-K4100)=0,0,+G4100-K4100)</f>
        <v/>
      </c>
      <c r="O4100" s="7">
        <f>IF(N4100=0,0,(L4100+H4100)/-N4100)</f>
        <v/>
      </c>
      <c r="P4100" s="7">
        <f>VLOOKUP(OPERAC[[#This Row],[especie]],[1]!ESPECIES[#All],6,0)</f>
        <v/>
      </c>
      <c r="Q4100" s="7">
        <f>IF(N4100&lt;&gt;0,P4100*N4100,0)</f>
        <v/>
      </c>
      <c r="R4100" s="8">
        <f>IF(Q4100&lt;&gt;0,Q4100+H4100+L4100,0)</f>
        <v/>
      </c>
      <c r="S4100" s="9">
        <f>VLOOKUP(OPERAC[[#This Row],[especie]],[1]!ESPECIES[#Data],9,FALSE)</f>
        <v/>
      </c>
    </row>
    <row r="4101">
      <c r="A4101" s="4" t="n">
        <v>19888</v>
      </c>
      <c r="B4101" s="5" t="n">
        <v>44538</v>
      </c>
      <c r="C4101" s="13" t="inlineStr">
        <is>
          <t>CPR</t>
        </is>
      </c>
      <c r="D4101" s="13" t="n">
        <v>43</v>
      </c>
      <c r="E4101" s="10">
        <f>IF(D4101&gt;0,VLOOKUP(OPERAC[[#This Row],[COD CART]],[1]!MatrizCortoLargoCyl[#All],3,0),"")</f>
        <v/>
      </c>
      <c r="F4101" s="13" t="inlineStr">
        <is>
          <t>HEXO/CYL-PUT/1,00/20-01-23</t>
        </is>
      </c>
      <c r="G4101" s="6" t="n">
        <v>5000</v>
      </c>
      <c r="H4101" s="6">
        <f>-0.1886*OPERAC[[#This Row],[cantidad]]</f>
        <v/>
      </c>
      <c r="I4101" s="7">
        <f>-H4101/G4101</f>
        <v/>
      </c>
      <c r="J4101" s="11" t="n">
        <v>44614</v>
      </c>
      <c r="K4101" s="6" t="n">
        <v>5000</v>
      </c>
      <c r="L4101" s="6" t="n">
        <v>1653.364</v>
      </c>
      <c r="M4101" s="7">
        <f>IF(N4101=0,+L4101+H4101,0)</f>
        <v/>
      </c>
      <c r="N4101" s="7">
        <f>IF((+G4101-K4101)=0,0,+G4101-K4101)</f>
        <v/>
      </c>
      <c r="O4101" s="7">
        <f>IF(N4101=0,0,(L4101+H4101)/-N4101)</f>
        <v/>
      </c>
      <c r="P4101" s="7">
        <f>VLOOKUP(OPERAC[[#This Row],[especie]],[1]!ESPECIES[#All],6,0)</f>
        <v/>
      </c>
      <c r="Q4101" s="7">
        <f>IF(N4101&lt;&gt;0,P4101*N4101,0)</f>
        <v/>
      </c>
      <c r="R4101" s="8">
        <f>IF(Q4101&lt;&gt;0,Q4101+H4101+L4101,0)</f>
        <v/>
      </c>
      <c r="S4101" s="9">
        <f>VLOOKUP(OPERAC[[#This Row],[especie]],[1]!ESPECIES[#Data],9,FALSE)</f>
        <v/>
      </c>
    </row>
    <row r="4102">
      <c r="A4102" s="4" t="n">
        <v>19931</v>
      </c>
      <c r="B4102" s="5" t="n">
        <v>44552</v>
      </c>
      <c r="C4102" s="13" t="inlineStr">
        <is>
          <t>CPR</t>
        </is>
      </c>
      <c r="D4102" s="13" t="n">
        <v>40</v>
      </c>
      <c r="E4102" s="10">
        <f>IF(D4102&gt;0,VLOOKUP(OPERAC[[#This Row],[COD CART]],[1]!MatrizCortoLargoCyl[#All],3,0),"")</f>
        <v/>
      </c>
      <c r="F4102" s="13" t="inlineStr">
        <is>
          <t>DESP</t>
        </is>
      </c>
      <c r="G4102" s="6" t="n">
        <v>100</v>
      </c>
      <c r="H4102" s="6" t="n">
        <v>-943.272</v>
      </c>
      <c r="I4102" s="7">
        <f>-H4102/G4102</f>
        <v/>
      </c>
      <c r="J4102" s="11" t="n">
        <v>44585</v>
      </c>
      <c r="K4102" s="6" t="n">
        <v>100</v>
      </c>
      <c r="L4102" s="6" t="n">
        <v>979.58</v>
      </c>
      <c r="M4102" s="7">
        <f>IF(N4102=0,+L4102+H4102,0)</f>
        <v/>
      </c>
      <c r="N4102" s="7">
        <f>IF((+G4102-K4102)=0,0,+G4102-K4102)</f>
        <v/>
      </c>
      <c r="O4102" s="7">
        <f>IF(N4102=0,0,(L4102+H4102)/-N4102)</f>
        <v/>
      </c>
      <c r="P4102" s="7">
        <f>VLOOKUP(OPERAC[[#This Row],[especie]],[1]!ESPECIES[#All],6,0)</f>
        <v/>
      </c>
      <c r="Q4102" s="7">
        <f>IF(N4102&lt;&gt;0,P4102*N4102,0)</f>
        <v/>
      </c>
      <c r="R4102" s="8">
        <f>IF(Q4102&lt;&gt;0,Q4102+H4102+L4102,0)</f>
        <v/>
      </c>
      <c r="S4102" s="9">
        <f>VLOOKUP(OPERAC[[#This Row],[especie]],[1]!ESPECIES[#Data],9,FALSE)</f>
        <v/>
      </c>
    </row>
    <row r="4103">
      <c r="A4103" s="4" t="n">
        <v>16795</v>
      </c>
      <c r="B4103" s="5" t="n">
        <v>44649</v>
      </c>
      <c r="C4103" s="13" t="inlineStr">
        <is>
          <t>CPR</t>
        </is>
      </c>
      <c r="D4103" s="13" t="n">
        <v>42</v>
      </c>
      <c r="E4103" s="10">
        <f>IF(D4103&gt;0,VLOOKUP(OPERAC[[#This Row],[COD CART]],[1]!MatrizCortoLargoCyl[#All],3,0),"")</f>
        <v/>
      </c>
      <c r="F4103" s="13" t="inlineStr">
        <is>
          <t>MSFT</t>
        </is>
      </c>
      <c r="G4103" s="6" t="n">
        <v>3</v>
      </c>
      <c r="H4103" s="6" t="n">
        <v>-944.5952000000001</v>
      </c>
      <c r="I4103" s="7">
        <f>-H4103/G4103</f>
        <v/>
      </c>
      <c r="J4103" s="11" t="n">
        <v>44662</v>
      </c>
      <c r="K4103" s="6">
        <f>+OPERAC[[#This Row],[cantidad]]</f>
        <v/>
      </c>
      <c r="L4103" s="6">
        <f>287.546*OPERAC[[#This Row],[cantidad venta]]</f>
        <v/>
      </c>
      <c r="M4103" s="7">
        <f>IF(N4103=0,+L4103+H4103,0)</f>
        <v/>
      </c>
      <c r="N4103" s="7">
        <f>IF((+G4103-K4103)=0,0,+G4103-K4103)</f>
        <v/>
      </c>
      <c r="O4103" s="7">
        <f>IF(N4103=0,0,(L4103+H4103)/-N4103)</f>
        <v/>
      </c>
      <c r="P4103" s="7">
        <f>VLOOKUP(OPERAC[[#This Row],[especie]],[1]!ESPECIES[#All],6,0)</f>
        <v/>
      </c>
      <c r="Q4103" s="7">
        <f>IF(N4103&lt;&gt;0,P4103*N4103,0)</f>
        <v/>
      </c>
      <c r="R4103" s="8">
        <f>IF(Q4103&lt;&gt;0,Q4103+H4103+L4103,0)</f>
        <v/>
      </c>
      <c r="S4103" s="9">
        <f>VLOOKUP(OPERAC[[#This Row],[especie]],[1]!ESPECIES[#Data],9,FALSE)</f>
        <v/>
      </c>
    </row>
    <row r="4104">
      <c r="A4104" s="4" t="n">
        <v>18711</v>
      </c>
      <c r="B4104" s="5" t="n">
        <v>44614</v>
      </c>
      <c r="C4104" s="13" t="inlineStr">
        <is>
          <t>CPR</t>
        </is>
      </c>
      <c r="D4104" s="13" t="n">
        <v>40</v>
      </c>
      <c r="E4104" s="10">
        <f>IF(D4104&gt;0,VLOOKUP(OPERAC[[#This Row],[COD CART]],[1]!MatrizCortoLargoCyl[#All],3,0),"")</f>
        <v/>
      </c>
      <c r="F4104" s="13" t="inlineStr">
        <is>
          <t>ROKU</t>
        </is>
      </c>
      <c r="G4104" s="6" t="n">
        <v>7</v>
      </c>
      <c r="H4104" s="6">
        <f>-135*OPERAC[[#This Row],[cantidad]]</f>
        <v/>
      </c>
      <c r="I4104" s="7">
        <f>-H4104/G4104</f>
        <v/>
      </c>
      <c r="J4104" s="11" t="n">
        <v>44705</v>
      </c>
      <c r="K4104" s="6" t="n">
        <v>7</v>
      </c>
      <c r="L4104" s="6" t="n">
        <v>528.241</v>
      </c>
      <c r="M4104" s="7">
        <f>IF(N4104=0,+L4104+H4104,0)</f>
        <v/>
      </c>
      <c r="N4104" s="7">
        <f>IF((+G4104-K4104)=0,0,+G4104-K4104)</f>
        <v/>
      </c>
      <c r="O4104" s="7">
        <f>IF(N4104=0,0,(L4104+H4104)/-N4104)</f>
        <v/>
      </c>
      <c r="P4104" s="7">
        <f>VLOOKUP(OPERAC[[#This Row],[especie]],[1]!ESPECIES[#All],6,0)</f>
        <v/>
      </c>
      <c r="Q4104" s="7">
        <f>IF(N4104&lt;&gt;0,P4104*N4104,0)</f>
        <v/>
      </c>
      <c r="R4104" s="8">
        <f>IF(Q4104&lt;&gt;0,Q4104+H4104+L4104,0)</f>
        <v/>
      </c>
      <c r="S4104" s="9">
        <f>VLOOKUP(OPERAC[[#This Row],[especie]],[1]!ESPECIES[#Data],9,FALSE)</f>
        <v/>
      </c>
    </row>
    <row r="4105">
      <c r="A4105" s="4" t="n">
        <v>13253</v>
      </c>
      <c r="B4105" s="5" t="n">
        <v>44628</v>
      </c>
      <c r="C4105" s="13" t="inlineStr">
        <is>
          <t>CPR</t>
        </is>
      </c>
      <c r="D4105" s="13" t="n">
        <v>41</v>
      </c>
      <c r="E4105" s="10">
        <f>IF(D4105&gt;0,VLOOKUP(OPERAC[[#This Row],[COD CART]],[1]!MatrizCortoLargoCyl[#All],3,0),"")</f>
        <v/>
      </c>
      <c r="F4105" s="13" t="inlineStr">
        <is>
          <t>FB</t>
        </is>
      </c>
      <c r="G4105" s="6" t="n">
        <v>5</v>
      </c>
      <c r="H4105" s="6" t="n">
        <v>-946.706</v>
      </c>
      <c r="I4105" s="7">
        <f>-H4105/G4105</f>
        <v/>
      </c>
      <c r="J4105" s="11" t="n"/>
      <c r="K4105" s="6" t="n"/>
      <c r="L4105" s="6" t="n"/>
      <c r="M4105" s="7">
        <f>IF(N4105=0,+L4105+H4105,0)</f>
        <v/>
      </c>
      <c r="N4105" s="7">
        <f>IF((+G4105-K4105)=0,0,+G4105-K4105)</f>
        <v/>
      </c>
      <c r="O4105" s="7">
        <f>IF(N4105=0,0,(L4105+H4105)/-N4105)</f>
        <v/>
      </c>
      <c r="P4105" s="7">
        <f>VLOOKUP(OPERAC[[#This Row],[especie]],[1]!ESPECIES[#All],6,0)</f>
        <v/>
      </c>
      <c r="Q4105" s="7">
        <f>IF(N4105&lt;&gt;0,P4105*N4105,0)</f>
        <v/>
      </c>
      <c r="R4105" s="8">
        <f>IF(Q4105&lt;&gt;0,Q4105+H4105+L4105,0)</f>
        <v/>
      </c>
      <c r="S4105" s="9">
        <f>VLOOKUP(OPERAC[[#This Row],[especie]],[1]!ESPECIES[#Data],9,FALSE)</f>
        <v/>
      </c>
    </row>
    <row r="4106">
      <c r="A4106" s="4" t="n">
        <v>16783</v>
      </c>
      <c r="B4106" s="5" t="n">
        <v>44662</v>
      </c>
      <c r="C4106" s="13" t="inlineStr">
        <is>
          <t>CPR</t>
        </is>
      </c>
      <c r="D4106" s="13" t="n">
        <v>32</v>
      </c>
      <c r="E4106" s="10">
        <f>IF(D4106&gt;0,VLOOKUP(OPERAC[[#This Row],[COD CART]],[1]!MatrizCortoLargoCyl[#All],3,0),"")</f>
        <v/>
      </c>
      <c r="F4106" s="13" t="inlineStr">
        <is>
          <t>BLDP</t>
        </is>
      </c>
      <c r="G4106" s="6" t="n">
        <v>100</v>
      </c>
      <c r="H4106" s="6" t="n">
        <v>-947.236</v>
      </c>
      <c r="I4106" s="7">
        <f>-H4106/G4106</f>
        <v/>
      </c>
      <c r="J4106" s="11" t="n">
        <v>44707</v>
      </c>
      <c r="K4106" s="6" t="n">
        <v>100</v>
      </c>
      <c r="L4106" s="6" t="n">
        <v>722.235</v>
      </c>
      <c r="M4106" s="7">
        <f>IF(N4106=0,+L4106+H4106,0)</f>
        <v/>
      </c>
      <c r="N4106" s="7">
        <f>IF((+G4106-K4106)=0,0,+G4106-K4106)</f>
        <v/>
      </c>
      <c r="O4106" s="7">
        <f>IF(N4106=0,0,(L4106+H4106)/-N4106)</f>
        <v/>
      </c>
      <c r="P4106" s="7">
        <f>VLOOKUP(OPERAC[[#This Row],[especie]],[1]!ESPECIES[#All],6,0)</f>
        <v/>
      </c>
      <c r="Q4106" s="7">
        <f>IF(N4106&lt;&gt;0,P4106*N4106,0)</f>
        <v/>
      </c>
      <c r="R4106" s="8">
        <f>IF(Q4106&lt;&gt;0,Q4106+H4106+L4106,0)</f>
        <v/>
      </c>
      <c r="S4106" s="9">
        <f>VLOOKUP(OPERAC[[#This Row],[especie]],[1]!ESPECIES[#Data],9,FALSE)</f>
        <v/>
      </c>
    </row>
    <row r="4107">
      <c r="A4107" s="4" t="n">
        <v>15194</v>
      </c>
      <c r="B4107" s="5" t="n">
        <v>44662</v>
      </c>
      <c r="C4107" s="13" t="inlineStr">
        <is>
          <t>CPR</t>
        </is>
      </c>
      <c r="D4107" s="13" t="n">
        <v>32</v>
      </c>
      <c r="E4107" s="10">
        <f>IF(D4107&gt;0,VLOOKUP(OPERAC[[#This Row],[COD CART]],[1]!MatrizCortoLargoCyl[#All],3,0),"")</f>
        <v/>
      </c>
      <c r="F4107" s="13" t="inlineStr">
        <is>
          <t>BLDP</t>
        </is>
      </c>
      <c r="G4107" s="6" t="n">
        <v>100</v>
      </c>
      <c r="H4107" s="6" t="n">
        <v>-947.236</v>
      </c>
      <c r="I4107" s="7">
        <f>-H4107/G4107</f>
        <v/>
      </c>
      <c r="J4107" s="11" t="n">
        <v>44707</v>
      </c>
      <c r="K4107" s="6" t="n">
        <v>100</v>
      </c>
      <c r="L4107" s="6" t="n">
        <v>719.33</v>
      </c>
      <c r="M4107" s="7">
        <f>IF(N4107=0,+L4107+H4107,0)</f>
        <v/>
      </c>
      <c r="N4107" s="7">
        <f>IF((+G4107-K4107)=0,0,+G4107-K4107)</f>
        <v/>
      </c>
      <c r="O4107" s="7">
        <f>IF(N4107=0,0,(L4107+H4107)/-N4107)</f>
        <v/>
      </c>
      <c r="P4107" s="7">
        <f>VLOOKUP(OPERAC[[#This Row],[especie]],[1]!ESPECIES[#All],6,0)</f>
        <v/>
      </c>
      <c r="Q4107" s="7">
        <f>IF(N4107&lt;&gt;0,P4107*N4107,0)</f>
        <v/>
      </c>
      <c r="R4107" s="8">
        <f>IF(Q4107&lt;&gt;0,Q4107+H4107+L4107,0)</f>
        <v/>
      </c>
      <c r="S4107" s="9">
        <f>VLOOKUP(OPERAC[[#This Row],[especie]],[1]!ESPECIES[#Data],9,FALSE)</f>
        <v/>
      </c>
    </row>
    <row r="4108">
      <c r="A4108" s="4" t="n">
        <v>9195</v>
      </c>
      <c r="B4108" s="5" t="n">
        <v>44641</v>
      </c>
      <c r="C4108" s="13" t="inlineStr">
        <is>
          <t>CPR</t>
        </is>
      </c>
      <c r="D4108" s="13" t="n">
        <v>32</v>
      </c>
      <c r="E4108" s="10">
        <f>IF(D4108&gt;0,VLOOKUP(OPERAC[[#This Row],[COD CART]],[1]!MatrizCortoLargoCyl[#All],3,0),"")</f>
        <v/>
      </c>
      <c r="F4108" s="13" t="inlineStr">
        <is>
          <t>HMY</t>
        </is>
      </c>
      <c r="G4108" s="6" t="n">
        <v>200</v>
      </c>
      <c r="H4108" s="6" t="n">
        <v>-947.4053999999999</v>
      </c>
      <c r="I4108" s="7">
        <f>-H4108/G4108</f>
        <v/>
      </c>
      <c r="J4108" s="11" t="n">
        <v>44669</v>
      </c>
      <c r="K4108" s="6">
        <f>+OPERAC[[#This Row],[cantidad]]</f>
        <v/>
      </c>
      <c r="L4108" s="6">
        <f>4.925*OPERAC[[#This Row],[cantidad venta]]</f>
        <v/>
      </c>
      <c r="M4108" s="7">
        <f>IF(N4108=0,+L4108+H4108,0)</f>
        <v/>
      </c>
      <c r="N4108" s="7">
        <f>IF((+G4108-K4108)=0,0,+G4108-K4108)</f>
        <v/>
      </c>
      <c r="O4108" s="7">
        <f>IF(N4108=0,0,(L4108+H4108)/-N4108)</f>
        <v/>
      </c>
      <c r="P4108" s="7">
        <f>VLOOKUP(OPERAC[[#This Row],[especie]],[1]!ESPECIES[#All],6,0)</f>
        <v/>
      </c>
      <c r="Q4108" s="7">
        <f>IF(N4108&lt;&gt;0,P4108*N4108,0)</f>
        <v/>
      </c>
      <c r="R4108" s="8">
        <f>IF(Q4108&lt;&gt;0,Q4108+H4108+L4108,0)</f>
        <v/>
      </c>
      <c r="S4108" s="9">
        <f>VLOOKUP(OPERAC[[#This Row],[especie]],[1]!ESPECIES[#Data],9,FALSE)</f>
        <v/>
      </c>
    </row>
    <row r="4109">
      <c r="A4109" s="4" t="n">
        <v>13253</v>
      </c>
      <c r="B4109" s="5" t="n">
        <v>44672</v>
      </c>
      <c r="C4109" s="13" t="inlineStr">
        <is>
          <t>CPR</t>
        </is>
      </c>
      <c r="D4109" s="13" t="n">
        <v>41</v>
      </c>
      <c r="E4109" s="10">
        <f>IF(D4109&gt;0,VLOOKUP(OPERAC[[#This Row],[COD CART]],[1]!MatrizCortoLargoCyl[#All],3,0),"")</f>
        <v/>
      </c>
      <c r="F4109" s="13" t="inlineStr">
        <is>
          <t>FB</t>
        </is>
      </c>
      <c r="G4109" s="6" t="n">
        <v>5</v>
      </c>
      <c r="H4109" s="6" t="n">
        <v>-948.64</v>
      </c>
      <c r="I4109" s="7">
        <f>-H4109/G4109</f>
        <v/>
      </c>
      <c r="J4109" s="11" t="n"/>
      <c r="K4109" s="6" t="n"/>
      <c r="L4109" s="6" t="n"/>
      <c r="M4109" s="7">
        <f>IF(N4109=0,+L4109+H4109,0)</f>
        <v/>
      </c>
      <c r="N4109" s="7">
        <f>IF((+G4109-K4109)=0,0,+G4109-K4109)</f>
        <v/>
      </c>
      <c r="O4109" s="7">
        <f>IF(N4109=0,0,(L4109+H4109)/-N4109)</f>
        <v/>
      </c>
      <c r="P4109" s="7">
        <f>VLOOKUP(OPERAC[[#This Row],[especie]],[1]!ESPECIES[#All],6,0)</f>
        <v/>
      </c>
      <c r="Q4109" s="7">
        <f>IF(N4109&lt;&gt;0,P4109*N4109,0)</f>
        <v/>
      </c>
      <c r="R4109" s="8">
        <f>IF(Q4109&lt;&gt;0,Q4109+H4109+L4109,0)</f>
        <v/>
      </c>
      <c r="S4109" s="9">
        <f>VLOOKUP(OPERAC[[#This Row],[especie]],[1]!ESPECIES[#Data],9,FALSE)</f>
        <v/>
      </c>
    </row>
    <row r="4110">
      <c r="A4110" s="4" t="n">
        <v>7914</v>
      </c>
      <c r="B4110" s="5" t="n">
        <v>44543</v>
      </c>
      <c r="C4110" s="13" t="inlineStr">
        <is>
          <t>CPR</t>
        </is>
      </c>
      <c r="D4110" s="13" t="n">
        <v>32</v>
      </c>
      <c r="E4110" s="10">
        <f>IF(D4110&gt;0,VLOOKUP(OPERAC[[#This Row],[COD CART]],[1]!MatrizCortoLargoCyl[#All],3,0),"")</f>
        <v/>
      </c>
      <c r="F4110" s="13" t="inlineStr">
        <is>
          <t>EDU/CYL/2,50/21-01-22</t>
        </is>
      </c>
      <c r="G4110" s="6" t="n">
        <v>400</v>
      </c>
      <c r="H4110" s="6">
        <f>-2.53*OPERAC[[#This Row],[cantidad]]+60.798</f>
        <v/>
      </c>
      <c r="I4110" s="7">
        <f>-H4110/G4110</f>
        <v/>
      </c>
      <c r="J4110" s="11" t="n">
        <v>44573</v>
      </c>
      <c r="K4110" s="6" t="n">
        <v>400</v>
      </c>
      <c r="L4110" s="6" t="n">
        <v>756.514</v>
      </c>
      <c r="M4110" s="7">
        <f>IF(N4110=0,+L4110+H4110,0)</f>
        <v/>
      </c>
      <c r="N4110" s="7">
        <f>IF((+G4110-K4110)=0,0,+G4110-K4110)</f>
        <v/>
      </c>
      <c r="O4110" s="7">
        <f>IF(N4110=0,0,(L4110+H4110)/-N4110)</f>
        <v/>
      </c>
      <c r="P4110" s="7">
        <f>VLOOKUP(OPERAC[[#This Row],[especie]],[1]!ESPECIES[#All],6,0)</f>
        <v/>
      </c>
      <c r="Q4110" s="7">
        <f>IF(N4110&lt;&gt;0,P4110*N4110,0)</f>
        <v/>
      </c>
      <c r="R4110" s="8">
        <f>IF(Q4110&lt;&gt;0,Q4110+H4110+L4110,0)</f>
        <v/>
      </c>
      <c r="S4110" s="9">
        <f>VLOOKUP(OPERAC[[#This Row],[especie]],[1]!ESPECIES[#Data],9,FALSE)</f>
        <v/>
      </c>
    </row>
    <row r="4111">
      <c r="A4111" s="4" t="n">
        <v>3867</v>
      </c>
      <c r="B4111" s="5" t="n">
        <v>44641</v>
      </c>
      <c r="C4111" s="13" t="inlineStr">
        <is>
          <t>CPR</t>
        </is>
      </c>
      <c r="D4111" s="13" t="n">
        <v>32</v>
      </c>
      <c r="E4111" s="10">
        <f>IF(D4111&gt;0,VLOOKUP(OPERAC[[#This Row],[COD CART]],[1]!MatrizCortoLargoCyl[#All],3,0),"")</f>
        <v/>
      </c>
      <c r="F4111" s="13" t="inlineStr">
        <is>
          <t>HMY</t>
        </is>
      </c>
      <c r="G4111" s="6" t="n">
        <v>200</v>
      </c>
      <c r="H4111" s="6" t="n">
        <v>-951.8077999999999</v>
      </c>
      <c r="I4111" s="7">
        <f>-H4111/G4111</f>
        <v/>
      </c>
      <c r="J4111" s="11" t="n">
        <v>44669</v>
      </c>
      <c r="K4111" s="6">
        <f>+OPERAC[[#This Row],[cantidad]]</f>
        <v/>
      </c>
      <c r="L4111" s="6">
        <f>4.925*OPERAC[[#This Row],[cantidad venta]]</f>
        <v/>
      </c>
      <c r="M4111" s="7">
        <f>IF(N4111=0,+L4111+H4111,0)</f>
        <v/>
      </c>
      <c r="N4111" s="7">
        <f>IF((+G4111-K4111)=0,0,+G4111-K4111)</f>
        <v/>
      </c>
      <c r="O4111" s="7">
        <f>IF(N4111=0,0,(L4111+H4111)/-N4111)</f>
        <v/>
      </c>
      <c r="P4111" s="7">
        <f>VLOOKUP(OPERAC[[#This Row],[especie]],[1]!ESPECIES[#All],6,0)</f>
        <v/>
      </c>
      <c r="Q4111" s="7">
        <f>IF(N4111&lt;&gt;0,P4111*N4111,0)</f>
        <v/>
      </c>
      <c r="R4111" s="8">
        <f>IF(Q4111&lt;&gt;0,Q4111+H4111+L4111,0)</f>
        <v/>
      </c>
      <c r="S4111" s="9">
        <f>VLOOKUP(OPERAC[[#This Row],[especie]],[1]!ESPECIES[#Data],9,FALSE)</f>
        <v/>
      </c>
    </row>
    <row r="4112">
      <c r="A4112" s="4" t="n">
        <v>22433</v>
      </c>
      <c r="B4112" s="5" t="n">
        <v>44641</v>
      </c>
      <c r="C4112" s="13" t="inlineStr">
        <is>
          <t>CPR</t>
        </is>
      </c>
      <c r="D4112" s="13" t="n">
        <v>32</v>
      </c>
      <c r="E4112" s="10">
        <f>IF(D4112&gt;0,VLOOKUP(OPERAC[[#This Row],[COD CART]],[1]!MatrizCortoLargoCyl[#All],3,0),"")</f>
        <v/>
      </c>
      <c r="F4112" s="13" t="inlineStr">
        <is>
          <t>HMY</t>
        </is>
      </c>
      <c r="G4112" s="6" t="n">
        <v>200</v>
      </c>
      <c r="H4112" s="6" t="n">
        <v>-951.8077999999999</v>
      </c>
      <c r="I4112" s="7">
        <f>-H4112/G4112</f>
        <v/>
      </c>
      <c r="J4112" s="11" t="n">
        <v>44669</v>
      </c>
      <c r="K4112" s="6">
        <f>+OPERAC[[#This Row],[cantidad]]</f>
        <v/>
      </c>
      <c r="L4112" s="6">
        <f>4.925*OPERAC[[#This Row],[cantidad venta]]</f>
        <v/>
      </c>
      <c r="M4112" s="7">
        <f>IF(N4112=0,+L4112+H4112,0)</f>
        <v/>
      </c>
      <c r="N4112" s="7">
        <f>IF((+G4112-K4112)=0,0,+G4112-K4112)</f>
        <v/>
      </c>
      <c r="O4112" s="7">
        <f>IF(N4112=0,0,(L4112+H4112)/-N4112)</f>
        <v/>
      </c>
      <c r="P4112" s="7">
        <f>VLOOKUP(OPERAC[[#This Row],[especie]],[1]!ESPECIES[#All],6,0)</f>
        <v/>
      </c>
      <c r="Q4112" s="7">
        <f>IF(N4112&lt;&gt;0,P4112*N4112,0)</f>
        <v/>
      </c>
      <c r="R4112" s="8">
        <f>IF(Q4112&lt;&gt;0,Q4112+H4112+L4112,0)</f>
        <v/>
      </c>
      <c r="S4112" s="9">
        <f>VLOOKUP(OPERAC[[#This Row],[especie]],[1]!ESPECIES[#Data],9,FALSE)</f>
        <v/>
      </c>
    </row>
    <row r="4113">
      <c r="A4113" s="4" t="n">
        <v>12627</v>
      </c>
      <c r="B4113" s="5" t="n">
        <v>44691</v>
      </c>
      <c r="C4113" s="13" t="inlineStr">
        <is>
          <t>CPR</t>
        </is>
      </c>
      <c r="D4113" s="13" t="n">
        <v>32</v>
      </c>
      <c r="E4113" s="10">
        <f>IF(D4113&gt;0,VLOOKUP(OPERAC[[#This Row],[COD CART]],[1]!MatrizCortoLargoCyl[#All],3,0),"")</f>
        <v/>
      </c>
      <c r="F4113" s="13" t="inlineStr">
        <is>
          <t>DDD/CYL/13,00/17-06-22</t>
        </is>
      </c>
      <c r="G4113" s="6" t="n">
        <v>100</v>
      </c>
      <c r="H4113" s="6" t="n">
        <v>-952.3200000000001</v>
      </c>
      <c r="I4113" s="7">
        <f>-H4113/G4113</f>
        <v/>
      </c>
      <c r="J4113" s="11" t="n"/>
      <c r="K4113" s="6" t="n"/>
      <c r="L4113" s="6" t="n"/>
      <c r="M4113" s="7">
        <f>IF(N4113=0,+L4113+H4113,0)</f>
        <v/>
      </c>
      <c r="N4113" s="7">
        <f>IF((+G4113-K4113)=0,0,+G4113-K4113)</f>
        <v/>
      </c>
      <c r="O4113" s="7">
        <f>IF(N4113=0,0,(L4113+H4113)/-N4113)</f>
        <v/>
      </c>
      <c r="P4113" s="7">
        <f>VLOOKUP(OPERAC[[#This Row],[especie]],[1]!ESPECIES[#All],6,0)</f>
        <v/>
      </c>
      <c r="Q4113" s="7">
        <f>IF(N4113&lt;&gt;0,P4113*N4113,0)</f>
        <v/>
      </c>
      <c r="R4113" s="8">
        <f>IF(Q4113&lt;&gt;0,Q4113+H4113+L4113,0)</f>
        <v/>
      </c>
      <c r="S4113" s="9">
        <f>VLOOKUP(OPERAC[[#This Row],[especie]],[1]!ESPECIES[#Data],9,FALSE)</f>
        <v/>
      </c>
    </row>
    <row r="4114">
      <c r="A4114" s="4" t="n">
        <v>19878</v>
      </c>
      <c r="B4114" s="5" t="n">
        <v>44650</v>
      </c>
      <c r="C4114" s="13" t="inlineStr">
        <is>
          <t>CPR</t>
        </is>
      </c>
      <c r="D4114" s="13" t="n">
        <v>42</v>
      </c>
      <c r="E4114" s="10">
        <f>IF(D4114&gt;0,VLOOKUP(OPERAC[[#This Row],[COD CART]],[1]!MatrizCortoLargoCyl[#All],3,0),"")</f>
        <v/>
      </c>
      <c r="F4114" s="13" t="inlineStr">
        <is>
          <t>MSFT</t>
        </is>
      </c>
      <c r="G4114" s="6" t="n">
        <v>3</v>
      </c>
      <c r="H4114" s="6" t="n">
        <v>-952.3553999999999</v>
      </c>
      <c r="I4114" s="7">
        <f>-H4114/G4114</f>
        <v/>
      </c>
      <c r="J4114" s="11" t="n">
        <v>44662</v>
      </c>
      <c r="K4114" s="6">
        <f>+OPERAC[[#This Row],[cantidad]]</f>
        <v/>
      </c>
      <c r="L4114" s="6">
        <f>287.546*OPERAC[[#This Row],[cantidad venta]]</f>
        <v/>
      </c>
      <c r="M4114" s="7">
        <f>IF(N4114=0,+L4114+H4114,0)</f>
        <v/>
      </c>
      <c r="N4114" s="7">
        <f>IF((+G4114-K4114)=0,0,+G4114-K4114)</f>
        <v/>
      </c>
      <c r="O4114" s="7">
        <f>IF(N4114=0,0,(L4114+H4114)/-N4114)</f>
        <v/>
      </c>
      <c r="P4114" s="7">
        <f>VLOOKUP(OPERAC[[#This Row],[especie]],[1]!ESPECIES[#All],6,0)</f>
        <v/>
      </c>
      <c r="Q4114" s="7">
        <f>IF(N4114&lt;&gt;0,P4114*N4114,0)</f>
        <v/>
      </c>
      <c r="R4114" s="8">
        <f>IF(Q4114&lt;&gt;0,Q4114+H4114+L4114,0)</f>
        <v/>
      </c>
      <c r="S4114" s="9">
        <f>VLOOKUP(OPERAC[[#This Row],[especie]],[1]!ESPECIES[#Data],9,FALSE)</f>
        <v/>
      </c>
    </row>
    <row r="4115">
      <c r="A4115" s="4" t="n">
        <v>19932</v>
      </c>
      <c r="B4115" s="5" t="n">
        <v>44629</v>
      </c>
      <c r="C4115" s="13" t="inlineStr">
        <is>
          <t>CPR</t>
        </is>
      </c>
      <c r="D4115" s="13" t="n">
        <v>42</v>
      </c>
      <c r="E4115" s="10">
        <f>IF(D4115&gt;0,VLOOKUP(OPERAC[[#This Row],[COD CART]],[1]!MatrizCortoLargoCyl[#All],3,0),"")</f>
        <v/>
      </c>
      <c r="F4115" s="13" t="inlineStr">
        <is>
          <t>QCOM</t>
        </is>
      </c>
      <c r="G4115" s="6" t="n">
        <v>6</v>
      </c>
      <c r="H4115" s="6" t="n">
        <v>-953.8624000000001</v>
      </c>
      <c r="I4115" s="7">
        <f>-H4115/G4115</f>
        <v/>
      </c>
      <c r="J4115" s="11" t="n">
        <v>44693</v>
      </c>
      <c r="K4115" s="6" t="n">
        <v>6</v>
      </c>
      <c r="L4115" s="6" t="n">
        <v>774.962</v>
      </c>
      <c r="M4115" s="7">
        <f>IF(N4115=0,+L4115+H4115,0)</f>
        <v/>
      </c>
      <c r="N4115" s="7">
        <f>IF((+G4115-K4115)=0,0,+G4115-K4115)</f>
        <v/>
      </c>
      <c r="O4115" s="7">
        <f>IF(N4115=0,0,(L4115+H4115)/-N4115)</f>
        <v/>
      </c>
      <c r="P4115" s="7">
        <f>VLOOKUP(OPERAC[[#This Row],[especie]],[1]!ESPECIES[#All],6,0)</f>
        <v/>
      </c>
      <c r="Q4115" s="7">
        <f>IF(N4115&lt;&gt;0,P4115*N4115,0)</f>
        <v/>
      </c>
      <c r="R4115" s="8">
        <f>IF(Q4115&lt;&gt;0,Q4115+H4115+L4115,0)</f>
        <v/>
      </c>
      <c r="S4115" s="9">
        <f>VLOOKUP(OPERAC[[#This Row],[especie]],[1]!ESPECIES[#Data],9,FALSE)</f>
        <v/>
      </c>
    </row>
    <row r="4116">
      <c r="A4116" s="4" t="n">
        <v>12674</v>
      </c>
      <c r="B4116" s="5" t="n">
        <v>44650</v>
      </c>
      <c r="C4116" s="13" t="inlineStr">
        <is>
          <t>CPR</t>
        </is>
      </c>
      <c r="D4116" s="13" t="n">
        <v>42</v>
      </c>
      <c r="E4116" s="10">
        <f>IF(D4116&gt;0,VLOOKUP(OPERAC[[#This Row],[COD CART]],[1]!MatrizCortoLargoCyl[#All],3,0),"")</f>
        <v/>
      </c>
      <c r="F4116" s="13" t="inlineStr">
        <is>
          <t>MSFT</t>
        </is>
      </c>
      <c r="G4116" s="6" t="n">
        <v>3</v>
      </c>
      <c r="H4116" s="6" t="n">
        <v>-954.2483999999999</v>
      </c>
      <c r="I4116" s="7">
        <f>-H4116/G4116</f>
        <v/>
      </c>
      <c r="J4116" s="11" t="n">
        <v>44662</v>
      </c>
      <c r="K4116" s="6">
        <f>+OPERAC[[#This Row],[cantidad]]</f>
        <v/>
      </c>
      <c r="L4116" s="6">
        <f>287.546*OPERAC[[#This Row],[cantidad venta]]</f>
        <v/>
      </c>
      <c r="M4116" s="7">
        <f>IF(N4116=0,+L4116+H4116,0)</f>
        <v/>
      </c>
      <c r="N4116" s="7">
        <f>IF((+G4116-K4116)=0,0,+G4116-K4116)</f>
        <v/>
      </c>
      <c r="O4116" s="7">
        <f>IF(N4116=0,0,(L4116+H4116)/-N4116)</f>
        <v/>
      </c>
      <c r="P4116" s="7">
        <f>VLOOKUP(OPERAC[[#This Row],[especie]],[1]!ESPECIES[#All],6,0)</f>
        <v/>
      </c>
      <c r="Q4116" s="7">
        <f>IF(N4116&lt;&gt;0,P4116*N4116,0)</f>
        <v/>
      </c>
      <c r="R4116" s="8">
        <f>IF(Q4116&lt;&gt;0,Q4116+H4116+L4116,0)</f>
        <v/>
      </c>
      <c r="S4116" s="9">
        <f>VLOOKUP(OPERAC[[#This Row],[especie]],[1]!ESPECIES[#Data],9,FALSE)</f>
        <v/>
      </c>
    </row>
    <row r="4117">
      <c r="A4117" s="4" t="n">
        <v>13185</v>
      </c>
      <c r="B4117" s="5" t="n">
        <v>44650</v>
      </c>
      <c r="C4117" s="13" t="inlineStr">
        <is>
          <t>CPR</t>
        </is>
      </c>
      <c r="D4117" s="13" t="n">
        <v>42</v>
      </c>
      <c r="E4117" s="10">
        <f>IF(D4117&gt;0,VLOOKUP(OPERAC[[#This Row],[COD CART]],[1]!MatrizCortoLargoCyl[#All],3,0),"")</f>
        <v/>
      </c>
      <c r="F4117" s="13" t="inlineStr">
        <is>
          <t>MSFT</t>
        </is>
      </c>
      <c r="G4117" s="6" t="n">
        <v>3</v>
      </c>
      <c r="H4117" s="6" t="n">
        <v>-954.2483999999999</v>
      </c>
      <c r="I4117" s="7">
        <f>-H4117/G4117</f>
        <v/>
      </c>
      <c r="J4117" s="11" t="n">
        <v>44662</v>
      </c>
      <c r="K4117" s="6">
        <f>+OPERAC[[#This Row],[cantidad]]</f>
        <v/>
      </c>
      <c r="L4117" s="6">
        <f>287.546*OPERAC[[#This Row],[cantidad venta]]</f>
        <v/>
      </c>
      <c r="M4117" s="7">
        <f>IF(N4117=0,+L4117+H4117,0)</f>
        <v/>
      </c>
      <c r="N4117" s="7">
        <f>IF((+G4117-K4117)=0,0,+G4117-K4117)</f>
        <v/>
      </c>
      <c r="O4117" s="7">
        <f>IF(N4117=0,0,(L4117+H4117)/-N4117)</f>
        <v/>
      </c>
      <c r="P4117" s="7">
        <f>VLOOKUP(OPERAC[[#This Row],[especie]],[1]!ESPECIES[#All],6,0)</f>
        <v/>
      </c>
      <c r="Q4117" s="7">
        <f>IF(N4117&lt;&gt;0,P4117*N4117,0)</f>
        <v/>
      </c>
      <c r="R4117" s="8">
        <f>IF(Q4117&lt;&gt;0,Q4117+H4117+L4117,0)</f>
        <v/>
      </c>
      <c r="S4117" s="9">
        <f>VLOOKUP(OPERAC[[#This Row],[especie]],[1]!ESPECIES[#Data],9,FALSE)</f>
        <v/>
      </c>
    </row>
    <row r="4118">
      <c r="A4118" s="4" t="n">
        <v>3728</v>
      </c>
      <c r="B4118" s="5" t="n">
        <v>44553</v>
      </c>
      <c r="C4118" s="13" t="inlineStr">
        <is>
          <t>CPR</t>
        </is>
      </c>
      <c r="D4118" s="13" t="n">
        <v>32</v>
      </c>
      <c r="E4118" s="10">
        <f>IF(D4118&gt;0,VLOOKUP(OPERAC[[#This Row],[COD CART]],[1]!MatrizCortoLargoCyl[#All],3,0),"")</f>
        <v/>
      </c>
      <c r="F4118" s="13" t="inlineStr">
        <is>
          <t>TNK/CYL/10,00/18-02-22</t>
        </is>
      </c>
      <c r="G4118" s="6" t="n">
        <v>100</v>
      </c>
      <c r="H4118" s="6" t="n">
        <v>-954.342</v>
      </c>
      <c r="I4118" s="7">
        <f>-H4118/G4118</f>
        <v/>
      </c>
      <c r="J4118" s="11" t="n">
        <v>44610</v>
      </c>
      <c r="K4118" s="6" t="n">
        <v>100</v>
      </c>
      <c r="L4118" s="6" t="n">
        <v>999</v>
      </c>
      <c r="M4118" s="7">
        <f>IF(N4118=0,+L4118+H4118,0)</f>
        <v/>
      </c>
      <c r="N4118" s="7">
        <f>IF((+G4118-K4118)=0,0,+G4118-K4118)</f>
        <v/>
      </c>
      <c r="O4118" s="7">
        <f>IF(N4118=0,0,(L4118+H4118)/-N4118)</f>
        <v/>
      </c>
      <c r="P4118" s="7">
        <f>VLOOKUP(OPERAC[[#This Row],[especie]],[1]!ESPECIES[#All],6,0)</f>
        <v/>
      </c>
      <c r="Q4118" s="7">
        <f>IF(N4118&lt;&gt;0,P4118*N4118,0)</f>
        <v/>
      </c>
      <c r="R4118" s="8">
        <f>IF(Q4118&lt;&gt;0,Q4118+H4118+L4118,0)</f>
        <v/>
      </c>
      <c r="S4118" s="9">
        <f>VLOOKUP(OPERAC[[#This Row],[especie]],[1]!ESPECIES[#Data],9,FALSE)</f>
        <v/>
      </c>
    </row>
    <row r="4119">
      <c r="A4119" s="4" t="n">
        <v>12690</v>
      </c>
      <c r="B4119" s="5" t="n">
        <v>44501</v>
      </c>
      <c r="C4119" s="13" t="inlineStr">
        <is>
          <t>CPR</t>
        </is>
      </c>
      <c r="D4119" s="13" t="n">
        <v>32</v>
      </c>
      <c r="E4119" s="10">
        <f>IF(D4119&gt;0,VLOOKUP(OPERAC[[#This Row],[COD CART]],[1]!MatrizCortoLargoCyl[#All],3,0),"")</f>
        <v/>
      </c>
      <c r="F4119" s="13" t="inlineStr">
        <is>
          <t>SKLZ/CYL/10,00/21-01-22</t>
        </is>
      </c>
      <c r="G4119" s="6" t="n">
        <v>100</v>
      </c>
      <c r="H4119" s="6">
        <f>-1014.807+38.66+21.329</f>
        <v/>
      </c>
      <c r="I4119" s="7">
        <f>-H4119/G4119</f>
        <v/>
      </c>
      <c r="J4119" s="11" t="n">
        <v>44579</v>
      </c>
      <c r="K4119" s="6">
        <f>+OPERAC[[#This Row],[cantidad]]</f>
        <v/>
      </c>
      <c r="L4119" s="6">
        <f>+OPERAC[[#This Row],[cantidad venta]]*5.679</f>
        <v/>
      </c>
      <c r="M4119" s="7">
        <f>IF(N4119=0,+L4119+H4119,0)</f>
        <v/>
      </c>
      <c r="N4119" s="7">
        <f>IF((+G4119-K4119)=0,0,+G4119-K4119)</f>
        <v/>
      </c>
      <c r="O4119" s="7">
        <f>IF(N4119=0,0,(L4119+H4119)/-N4119)</f>
        <v/>
      </c>
      <c r="P4119" s="7">
        <f>VLOOKUP(OPERAC[[#This Row],[especie]],[1]!ESPECIES[#All],6,0)</f>
        <v/>
      </c>
      <c r="Q4119" s="7">
        <f>IF(N4119&lt;&gt;0,P4119*N4119,0)</f>
        <v/>
      </c>
      <c r="R4119" s="8">
        <f>IF(Q4119&lt;&gt;0,Q4119+H4119+L4119,0)</f>
        <v/>
      </c>
      <c r="S4119" s="9">
        <f>VLOOKUP(OPERAC[[#This Row],[especie]],[1]!ESPECIES[#Data],9,FALSE)</f>
        <v/>
      </c>
    </row>
    <row r="4120">
      <c r="A4120" s="4" t="n">
        <v>2203</v>
      </c>
      <c r="B4120" s="5" t="n">
        <v>44656</v>
      </c>
      <c r="C4120" s="13" t="inlineStr">
        <is>
          <t>CPR</t>
        </is>
      </c>
      <c r="D4120" s="13" t="n">
        <v>32</v>
      </c>
      <c r="E4120" s="10">
        <f>IF(D4120&gt;0,VLOOKUP(OPERAC[[#This Row],[COD CART]],[1]!MatrizCortoLargoCyl[#All],3,0),"")</f>
        <v/>
      </c>
      <c r="F4120" s="13" t="inlineStr">
        <is>
          <t>HIMX/CYL/10,00/20-05-22</t>
        </is>
      </c>
      <c r="G4120" s="6" t="n">
        <v>100</v>
      </c>
      <c r="H4120" s="6" t="n">
        <v>-955.798</v>
      </c>
      <c r="I4120" s="7">
        <f>-H4120/G4120</f>
        <v/>
      </c>
      <c r="J4120" s="11" t="n">
        <v>44693</v>
      </c>
      <c r="K4120" s="6" t="n">
        <v>100</v>
      </c>
      <c r="L4120" s="6" t="n">
        <v>777.308</v>
      </c>
      <c r="M4120" s="7">
        <f>IF(N4120=0,+L4120+H4120,0)</f>
        <v/>
      </c>
      <c r="N4120" s="7">
        <f>IF((+G4120-K4120)=0,0,+G4120-K4120)</f>
        <v/>
      </c>
      <c r="O4120" s="7">
        <f>IF(N4120=0,0,(L4120+H4120)/-N4120)</f>
        <v/>
      </c>
      <c r="P4120" s="7">
        <f>VLOOKUP(OPERAC[[#This Row],[especie]],[1]!ESPECIES[#All],6,0)</f>
        <v/>
      </c>
      <c r="Q4120" s="7">
        <f>IF(N4120&lt;&gt;0,P4120*N4120,0)</f>
        <v/>
      </c>
      <c r="R4120" s="8">
        <f>IF(Q4120&lt;&gt;0,Q4120+H4120+L4120,0)</f>
        <v/>
      </c>
      <c r="S4120" s="9">
        <f>VLOOKUP(OPERAC[[#This Row],[especie]],[1]!ESPECIES[#Data],9,FALSE)</f>
        <v/>
      </c>
    </row>
    <row r="4121">
      <c r="A4121" s="4" t="n">
        <v>13253</v>
      </c>
      <c r="B4121" s="5" t="n">
        <v>44657</v>
      </c>
      <c r="C4121" s="13" t="inlineStr">
        <is>
          <t>CPR</t>
        </is>
      </c>
      <c r="D4121" s="13" t="n">
        <v>41</v>
      </c>
      <c r="E4121" s="10">
        <f>IF(D4121&gt;0,VLOOKUP(OPERAC[[#This Row],[COD CART]],[1]!MatrizCortoLargoCyl[#All],3,0),"")</f>
        <v/>
      </c>
      <c r="F4121" s="13" t="inlineStr">
        <is>
          <t>INTC</t>
        </is>
      </c>
      <c r="G4121" s="6" t="n">
        <v>20</v>
      </c>
      <c r="H4121" s="6" t="n">
        <v>-956.4832000000001</v>
      </c>
      <c r="I4121" s="7">
        <f>-H4121/G4121</f>
        <v/>
      </c>
      <c r="J4121" s="11" t="n"/>
      <c r="K4121" s="6" t="n"/>
      <c r="L4121" s="6" t="n"/>
      <c r="M4121" s="7">
        <f>IF(N4121=0,+L4121+H4121,0)</f>
        <v/>
      </c>
      <c r="N4121" s="7">
        <f>IF((+G4121-K4121)=0,0,+G4121-K4121)</f>
        <v/>
      </c>
      <c r="O4121" s="7">
        <f>IF(N4121=0,0,(L4121+H4121)/-N4121)</f>
        <v/>
      </c>
      <c r="P4121" s="7">
        <f>VLOOKUP(OPERAC[[#This Row],[especie]],[1]!ESPECIES[#All],6,0)</f>
        <v/>
      </c>
      <c r="Q4121" s="7">
        <f>IF(N4121&lt;&gt;0,P4121*N4121,0)</f>
        <v/>
      </c>
      <c r="R4121" s="8">
        <f>IF(Q4121&lt;&gt;0,Q4121+H4121+L4121,0)</f>
        <v/>
      </c>
      <c r="S4121" s="9">
        <f>VLOOKUP(OPERAC[[#This Row],[especie]],[1]!ESPECIES[#Data],9,FALSE)</f>
        <v/>
      </c>
    </row>
    <row r="4122">
      <c r="A4122" s="4" t="n">
        <v>13240</v>
      </c>
      <c r="B4122" s="5" t="n">
        <v>44515</v>
      </c>
      <c r="C4122" s="13" t="inlineStr">
        <is>
          <t>CPR</t>
        </is>
      </c>
      <c r="D4122" s="13" t="n">
        <v>31</v>
      </c>
      <c r="E4122" s="10">
        <f>IF(D4122&gt;0,VLOOKUP(OPERAC[[#This Row],[COD CART]],[1]!MatrizCortoLargoCyl[#All],3,0),"")</f>
        <v/>
      </c>
      <c r="F4122" s="13" t="inlineStr">
        <is>
          <t>DRIV</t>
        </is>
      </c>
      <c r="G4122" s="6" t="n">
        <v>30</v>
      </c>
      <c r="H4122" s="6" t="n">
        <v>-958.5495999999999</v>
      </c>
      <c r="I4122" s="7">
        <f>-H4122/G4122</f>
        <v/>
      </c>
      <c r="J4122" s="11" t="n"/>
      <c r="K4122" s="6" t="n"/>
      <c r="L4122" s="6" t="n"/>
      <c r="M4122" s="7">
        <f>IF(N4122=0,+L4122+H4122,0)</f>
        <v/>
      </c>
      <c r="N4122" s="7">
        <f>IF((+G4122-K4122)=0,0,+G4122-K4122)</f>
        <v/>
      </c>
      <c r="O4122" s="7">
        <f>IF(N4122=0,0,(L4122+H4122)/-N4122)</f>
        <v/>
      </c>
      <c r="P4122" s="7">
        <f>VLOOKUP(OPERAC[[#This Row],[especie]],[1]!ESPECIES[#All],6,0)</f>
        <v/>
      </c>
      <c r="Q4122" s="7">
        <f>IF(N4122&lt;&gt;0,P4122*N4122,0)</f>
        <v/>
      </c>
      <c r="R4122" s="8">
        <f>IF(Q4122&lt;&gt;0,Q4122+H4122+L4122,0)</f>
        <v/>
      </c>
      <c r="S4122" s="9">
        <f>VLOOKUP(OPERAC[[#This Row],[especie]],[1]!ESPECIES[#Data],9,FALSE)</f>
        <v/>
      </c>
    </row>
    <row r="4123">
      <c r="A4123" s="4" t="n">
        <v>15195</v>
      </c>
      <c r="B4123" s="5" t="n">
        <v>44630</v>
      </c>
      <c r="C4123" s="13" t="inlineStr">
        <is>
          <t>CPR</t>
        </is>
      </c>
      <c r="D4123" s="13" t="n">
        <v>31</v>
      </c>
      <c r="E4123" s="10">
        <f>IF(D4123&gt;0,VLOOKUP(OPERAC[[#This Row],[COD CART]],[1]!MatrizCortoLargoCyl[#All],3,0),"")</f>
        <v/>
      </c>
      <c r="F4123" s="13" t="inlineStr">
        <is>
          <t>MELI</t>
        </is>
      </c>
      <c r="G4123" s="6" t="n">
        <v>1</v>
      </c>
      <c r="H4123" s="6" t="n">
        <v>-958.6</v>
      </c>
      <c r="I4123" s="7">
        <f>-H4123/G4123</f>
        <v/>
      </c>
      <c r="J4123" s="11" t="n"/>
      <c r="K4123" s="6" t="n"/>
      <c r="L4123" s="6" t="n"/>
      <c r="M4123" s="7">
        <f>IF(N4123=0,+L4123+H4123,0)</f>
        <v/>
      </c>
      <c r="N4123" s="7">
        <f>IF((+G4123-K4123)=0,0,+G4123-K4123)</f>
        <v/>
      </c>
      <c r="O4123" s="7">
        <f>IF(N4123=0,0,(L4123+H4123)/-N4123)</f>
        <v/>
      </c>
      <c r="P4123" s="7">
        <f>VLOOKUP(OPERAC[[#This Row],[especie]],[1]!ESPECIES[#All],6,0)</f>
        <v/>
      </c>
      <c r="Q4123" s="7">
        <f>IF(N4123&lt;&gt;0,P4123*N4123,0)</f>
        <v/>
      </c>
      <c r="R4123" s="8">
        <f>IF(Q4123&lt;&gt;0,Q4123+H4123+L4123,0)</f>
        <v/>
      </c>
      <c r="S4123" s="9">
        <f>VLOOKUP(OPERAC[[#This Row],[especie]],[1]!ESPECIES[#Data],9,FALSE)</f>
        <v/>
      </c>
    </row>
    <row r="4124">
      <c r="A4124" s="4" t="n">
        <v>7914</v>
      </c>
      <c r="B4124" s="5" t="n">
        <v>44552</v>
      </c>
      <c r="C4124" s="13" t="inlineStr">
        <is>
          <t>CPR</t>
        </is>
      </c>
      <c r="D4124" s="13" t="n">
        <v>32</v>
      </c>
      <c r="E4124" s="10">
        <f>IF(D4124&gt;0,VLOOKUP(OPERAC[[#This Row],[COD CART]],[1]!MatrizCortoLargoCyl[#All],3,0),"")</f>
        <v/>
      </c>
      <c r="F4124" s="13" t="inlineStr">
        <is>
          <t>TNK/CYL/10,00/18-02-22</t>
        </is>
      </c>
      <c r="G4124" s="6" t="n">
        <v>100</v>
      </c>
      <c r="H4124" s="6" t="n">
        <v>-960.434</v>
      </c>
      <c r="I4124" s="7">
        <f>-H4124/G4124</f>
        <v/>
      </c>
      <c r="J4124" s="11" t="n">
        <v>44573</v>
      </c>
      <c r="K4124" s="6" t="n">
        <v>100</v>
      </c>
      <c r="L4124" s="6" t="n">
        <v>960.35</v>
      </c>
      <c r="M4124" s="7">
        <f>IF(N4124=0,+L4124+H4124,0)</f>
        <v/>
      </c>
      <c r="N4124" s="7">
        <f>IF((+G4124-K4124)=0,0,+G4124-K4124)</f>
        <v/>
      </c>
      <c r="O4124" s="7">
        <f>IF(N4124=0,0,(L4124+H4124)/-N4124)</f>
        <v/>
      </c>
      <c r="P4124" s="7">
        <f>VLOOKUP(OPERAC[[#This Row],[especie]],[1]!ESPECIES[#All],6,0)</f>
        <v/>
      </c>
      <c r="Q4124" s="7">
        <f>IF(N4124&lt;&gt;0,P4124*N4124,0)</f>
        <v/>
      </c>
      <c r="R4124" s="8">
        <f>IF(Q4124&lt;&gt;0,Q4124+H4124+L4124,0)</f>
        <v/>
      </c>
      <c r="S4124" s="9">
        <f>VLOOKUP(OPERAC[[#This Row],[especie]],[1]!ESPECIES[#Data],9,FALSE)</f>
        <v/>
      </c>
    </row>
    <row r="4125">
      <c r="A4125" s="4" t="n">
        <v>12690</v>
      </c>
      <c r="B4125" s="5" t="n">
        <v>44501</v>
      </c>
      <c r="C4125" s="13" t="inlineStr">
        <is>
          <t>CPR</t>
        </is>
      </c>
      <c r="D4125" s="13" t="n">
        <v>40</v>
      </c>
      <c r="E4125" s="10">
        <f>IF(D4125&gt;0,VLOOKUP(OPERAC[[#This Row],[COD CART]],[1]!MatrizCortoLargoCyl[#All],3,0),"")</f>
        <v/>
      </c>
      <c r="F4125" s="13" t="inlineStr">
        <is>
          <t>SOLO</t>
        </is>
      </c>
      <c r="G4125" s="6" t="n">
        <v>300</v>
      </c>
      <c r="H4125" s="6">
        <f>-1005.3744+31.616+13.31</f>
        <v/>
      </c>
      <c r="I4125" s="7">
        <f>-H4125/G4125</f>
        <v/>
      </c>
      <c r="J4125" s="11" t="n">
        <v>44606</v>
      </c>
      <c r="K4125" s="6" t="n">
        <v>300</v>
      </c>
      <c r="L4125" s="6" t="n">
        <v>604.933</v>
      </c>
      <c r="M4125" s="7">
        <f>IF(N4125=0,+L4125+H4125,0)</f>
        <v/>
      </c>
      <c r="N4125" s="7">
        <f>IF((+G4125-K4125)=0,0,+G4125-K4125)</f>
        <v/>
      </c>
      <c r="O4125" s="7">
        <f>IF(N4125=0,0,(L4125+H4125)/-N4125)</f>
        <v/>
      </c>
      <c r="P4125" s="7">
        <f>VLOOKUP(OPERAC[[#This Row],[especie]],[1]!ESPECIES[#All],6,0)</f>
        <v/>
      </c>
      <c r="Q4125" s="7">
        <f>IF(N4125&lt;&gt;0,P4125*N4125,0)</f>
        <v/>
      </c>
      <c r="R4125" s="8">
        <f>IF(Q4125&lt;&gt;0,Q4125+H4125+L4125,0)</f>
        <v/>
      </c>
      <c r="S4125" s="9">
        <f>VLOOKUP(OPERAC[[#This Row],[especie]],[1]!ESPECIES[#Data],9,FALSE)</f>
        <v/>
      </c>
    </row>
    <row r="4126">
      <c r="A4126" s="4" t="n">
        <v>12655</v>
      </c>
      <c r="B4126" s="5" t="n">
        <v>44663</v>
      </c>
      <c r="C4126" s="13" t="inlineStr">
        <is>
          <t>CPR</t>
        </is>
      </c>
      <c r="D4126" s="13" t="n">
        <v>31</v>
      </c>
      <c r="E4126" s="10">
        <f>IF(D4126&gt;0,VLOOKUP(OPERAC[[#This Row],[COD CART]],[1]!MatrizCortoLargoCyl[#All],3,0),"")</f>
        <v/>
      </c>
      <c r="F4126" s="13" t="inlineStr">
        <is>
          <t>HYDR</t>
        </is>
      </c>
      <c r="G4126" s="6" t="n">
        <v>51</v>
      </c>
      <c r="H4126" s="6" t="n">
        <v>-961.8295999999999</v>
      </c>
      <c r="I4126" s="7">
        <f>-H4126/G4126</f>
        <v/>
      </c>
      <c r="J4126" s="11" t="n">
        <v>44693</v>
      </c>
      <c r="K4126" s="6">
        <f>+OPERAC[[#This Row],[cantidad]]</f>
        <v/>
      </c>
      <c r="L4126" s="6">
        <f>+OPERAC[[#This Row],[cantidad venta]]*12.027</f>
        <v/>
      </c>
      <c r="M4126" s="7">
        <f>IF(N4126=0,+L4126+H4126,0)</f>
        <v/>
      </c>
      <c r="N4126" s="7">
        <f>IF((+G4126-K4126)=0,0,+G4126-K4126)</f>
        <v/>
      </c>
      <c r="O4126" s="7">
        <f>IF(N4126=0,0,(L4126+H4126)/-N4126)</f>
        <v/>
      </c>
      <c r="P4126" s="7">
        <f>VLOOKUP(OPERAC[[#This Row],[especie]],[1]!ESPECIES[#All],6,0)</f>
        <v/>
      </c>
      <c r="Q4126" s="7">
        <f>IF(N4126&lt;&gt;0,P4126*N4126,0)</f>
        <v/>
      </c>
      <c r="R4126" s="8">
        <f>IF(Q4126&lt;&gt;0,Q4126+H4126+L4126,0)</f>
        <v/>
      </c>
      <c r="S4126" s="9">
        <f>VLOOKUP(OPERAC[[#This Row],[especie]],[1]!ESPECIES[#Data],9,FALSE)</f>
        <v/>
      </c>
    </row>
    <row r="4127">
      <c r="A4127" s="4" t="n">
        <v>4561</v>
      </c>
      <c r="B4127" s="5" t="n">
        <v>44698</v>
      </c>
      <c r="C4127" s="13" t="inlineStr">
        <is>
          <t>CPR</t>
        </is>
      </c>
      <c r="D4127" s="13" t="n">
        <v>32</v>
      </c>
      <c r="E4127" s="10">
        <f>IF(D4127&gt;0,VLOOKUP(OPERAC[[#This Row],[COD CART]],[1]!MatrizCortoLargoCyl[#All],3,0),"")</f>
        <v/>
      </c>
      <c r="F4127" s="13" t="inlineStr">
        <is>
          <t>TLRY/CYL/6,50/24-06-22</t>
        </is>
      </c>
      <c r="G4127" s="6" t="n">
        <v>200</v>
      </c>
      <c r="H4127" s="6" t="n">
        <v>-961.851</v>
      </c>
      <c r="I4127" s="7">
        <f>-H4127/G4127</f>
        <v/>
      </c>
      <c r="J4127" s="11" t="n"/>
      <c r="K4127" s="6" t="n"/>
      <c r="L4127" s="6" t="n"/>
      <c r="M4127" s="7">
        <f>IF(N4127=0,+L4127+H4127,0)</f>
        <v/>
      </c>
      <c r="N4127" s="7">
        <f>IF((+G4127-K4127)=0,0,+G4127-K4127)</f>
        <v/>
      </c>
      <c r="O4127" s="7">
        <f>IF(N4127=0,0,(L4127+H4127)/-N4127)</f>
        <v/>
      </c>
      <c r="P4127" s="7">
        <f>VLOOKUP(OPERAC[[#This Row],[especie]],[1]!ESPECIES[#All],6,0)</f>
        <v/>
      </c>
      <c r="Q4127" s="7">
        <f>IF(N4127&lt;&gt;0,P4127*N4127,0)</f>
        <v/>
      </c>
      <c r="R4127" s="8">
        <f>IF(Q4127&lt;&gt;0,Q4127+H4127+L4127,0)</f>
        <v/>
      </c>
      <c r="S4127" s="9">
        <f>VLOOKUP(OPERAC[[#This Row],[especie]],[1]!ESPECIES[#Data],9,FALSE)</f>
        <v/>
      </c>
    </row>
    <row r="4128">
      <c r="A4128" s="4" t="n">
        <v>18711</v>
      </c>
      <c r="B4128" s="5" t="n">
        <v>44698</v>
      </c>
      <c r="C4128" s="13" t="inlineStr">
        <is>
          <t>CPR</t>
        </is>
      </c>
      <c r="D4128" s="13" t="n">
        <v>32</v>
      </c>
      <c r="E4128" s="10">
        <f>IF(D4128&gt;0,VLOOKUP(OPERAC[[#This Row],[COD CART]],[1]!MatrizCortoLargoCyl[#All],3,0),"")</f>
        <v/>
      </c>
      <c r="F4128" s="13" t="inlineStr">
        <is>
          <t>TLRY/CYL/6,50/24-06-22</t>
        </is>
      </c>
      <c r="G4128" s="6" t="n">
        <v>200</v>
      </c>
      <c r="H4128" s="6" t="n">
        <v>-961.851</v>
      </c>
      <c r="I4128" s="7">
        <f>-H4128/G4128</f>
        <v/>
      </c>
      <c r="J4128" s="11" t="n"/>
      <c r="K4128" s="6" t="n"/>
      <c r="L4128" s="6" t="n"/>
      <c r="M4128" s="7">
        <f>IF(N4128=0,+L4128+H4128,0)</f>
        <v/>
      </c>
      <c r="N4128" s="7">
        <f>IF((+G4128-K4128)=0,0,+G4128-K4128)</f>
        <v/>
      </c>
      <c r="O4128" s="7">
        <f>IF(N4128=0,0,(L4128+H4128)/-N4128)</f>
        <v/>
      </c>
      <c r="P4128" s="7">
        <f>VLOOKUP(OPERAC[[#This Row],[especie]],[1]!ESPECIES[#All],6,0)</f>
        <v/>
      </c>
      <c r="Q4128" s="7">
        <f>IF(N4128&lt;&gt;0,P4128*N4128,0)</f>
        <v/>
      </c>
      <c r="R4128" s="8">
        <f>IF(Q4128&lt;&gt;0,Q4128+H4128+L4128,0)</f>
        <v/>
      </c>
      <c r="S4128" s="9">
        <f>VLOOKUP(OPERAC[[#This Row],[especie]],[1]!ESPECIES[#Data],9,FALSE)</f>
        <v/>
      </c>
    </row>
    <row r="4129">
      <c r="A4129" s="4" t="n">
        <v>19867</v>
      </c>
      <c r="B4129" s="5" t="n">
        <v>44643</v>
      </c>
      <c r="C4129" s="13" t="inlineStr">
        <is>
          <t>CPR</t>
        </is>
      </c>
      <c r="D4129" s="13" t="n">
        <v>31</v>
      </c>
      <c r="E4129" s="10">
        <f>IF(D4129&gt;0,VLOOKUP(OPERAC[[#This Row],[COD CART]],[1]!MatrizCortoLargoCyl[#All],3,0),"")</f>
        <v/>
      </c>
      <c r="F4129" s="13" t="inlineStr">
        <is>
          <t>HYDR</t>
        </is>
      </c>
      <c r="G4129" s="6" t="n">
        <v>50</v>
      </c>
      <c r="H4129" s="6" t="n">
        <v>-962.6319999999998</v>
      </c>
      <c r="I4129" s="7">
        <f>-H4129/G4129</f>
        <v/>
      </c>
      <c r="J4129" s="11" t="n">
        <v>44693</v>
      </c>
      <c r="K4129" s="6">
        <f>+OPERAC[[#This Row],[cantidad]]</f>
        <v/>
      </c>
      <c r="L4129" s="6">
        <f>+OPERAC[[#This Row],[cantidad venta]]*11.986</f>
        <v/>
      </c>
      <c r="M4129" s="7">
        <f>IF(N4129=0,+L4129+H4129,0)</f>
        <v/>
      </c>
      <c r="N4129" s="7">
        <f>IF((+G4129-K4129)=0,0,+G4129-K4129)</f>
        <v/>
      </c>
      <c r="O4129" s="7">
        <f>IF(N4129=0,0,(L4129+H4129)/-N4129)</f>
        <v/>
      </c>
      <c r="P4129" s="7">
        <f>VLOOKUP(OPERAC[[#This Row],[especie]],[1]!ESPECIES[#All],6,0)</f>
        <v/>
      </c>
      <c r="Q4129" s="7">
        <f>IF(N4129&lt;&gt;0,P4129*N4129,0)</f>
        <v/>
      </c>
      <c r="R4129" s="8">
        <f>IF(Q4129&lt;&gt;0,Q4129+H4129+L4129,0)</f>
        <v/>
      </c>
      <c r="S4129" s="9">
        <f>VLOOKUP(OPERAC[[#This Row],[especie]],[1]!ESPECIES[#Data],9,FALSE)</f>
        <v/>
      </c>
    </row>
    <row r="4130">
      <c r="A4130" s="4" t="n">
        <v>2253</v>
      </c>
      <c r="B4130" s="5" t="n">
        <v>44713</v>
      </c>
      <c r="C4130" s="13" t="inlineStr">
        <is>
          <t>CPR</t>
        </is>
      </c>
      <c r="D4130" s="13" t="n">
        <v>42</v>
      </c>
      <c r="E4130" s="10">
        <f>IF(D4130&gt;0,VLOOKUP(OPERAC[[#This Row],[COD CART]],[1]!MatrizCortoLargoCyl[#All],3,0),"")</f>
        <v/>
      </c>
      <c r="F4130" s="13" t="inlineStr">
        <is>
          <t>UPST</t>
        </is>
      </c>
      <c r="G4130" s="6" t="n">
        <v>20</v>
      </c>
      <c r="H4130" s="6" t="n">
        <v>-962.9363999999999</v>
      </c>
      <c r="I4130" s="7">
        <f>-H4130/G4130</f>
        <v/>
      </c>
      <c r="J4130" s="5" t="n">
        <v>44714</v>
      </c>
      <c r="K4130" s="6">
        <f>+OPERAC[[#This Row],[cantidad]]</f>
        <v/>
      </c>
      <c r="L4130" s="6">
        <f>+OPERAC[[#This Row],[cantidad venta]]*49.312</f>
        <v/>
      </c>
      <c r="M4130" s="7">
        <f>IF(N4130=0,+L4130+H4130,0)</f>
        <v/>
      </c>
      <c r="N4130" s="7">
        <f>IF((+G4130-K4130)=0,0,+G4130-K4130)</f>
        <v/>
      </c>
      <c r="O4130" s="7">
        <f>IF(N4130=0,0,(L4130+H4130)/-N4130)</f>
        <v/>
      </c>
      <c r="P4130" s="7">
        <f>VLOOKUP(OPERAC[[#This Row],[especie]],[1]!ESPECIES[#All],6,0)</f>
        <v/>
      </c>
      <c r="Q4130" s="7">
        <f>IF(N4130&lt;&gt;0,P4130*N4130,0)</f>
        <v/>
      </c>
      <c r="R4130" s="8">
        <f>IF(Q4130&lt;&gt;0,Q4130+H4130+L4130,0)</f>
        <v/>
      </c>
      <c r="S4130" s="9">
        <f>VLOOKUP(OPERAC[[#This Row],[especie]],[1]!ESPECIES[#Data],9,FALSE)</f>
        <v/>
      </c>
    </row>
    <row r="4131">
      <c r="A4131" s="4" t="n">
        <v>7867</v>
      </c>
      <c r="B4131" s="5" t="n">
        <v>44713</v>
      </c>
      <c r="C4131" s="13" t="inlineStr">
        <is>
          <t>CPR</t>
        </is>
      </c>
      <c r="D4131" s="13" t="n">
        <v>42</v>
      </c>
      <c r="E4131" s="10">
        <f>IF(D4131&gt;0,VLOOKUP(OPERAC[[#This Row],[COD CART]],[1]!MatrizCortoLargoCyl[#All],3,0),"")</f>
        <v/>
      </c>
      <c r="F4131" s="13" t="inlineStr">
        <is>
          <t>UPST</t>
        </is>
      </c>
      <c r="G4131" s="6" t="n">
        <v>20</v>
      </c>
      <c r="H4131" s="6" t="n">
        <v>-962.9363999999999</v>
      </c>
      <c r="I4131" s="7">
        <f>-H4131/G4131</f>
        <v/>
      </c>
      <c r="J4131" s="5" t="n">
        <v>44714</v>
      </c>
      <c r="K4131" s="6">
        <f>+OPERAC[[#This Row],[cantidad]]</f>
        <v/>
      </c>
      <c r="L4131" s="6">
        <f>+OPERAC[[#This Row],[cantidad venta]]*49.312</f>
        <v/>
      </c>
      <c r="M4131" s="7">
        <f>IF(N4131=0,+L4131+H4131,0)</f>
        <v/>
      </c>
      <c r="N4131" s="7">
        <f>IF((+G4131-K4131)=0,0,+G4131-K4131)</f>
        <v/>
      </c>
      <c r="O4131" s="7">
        <f>IF(N4131=0,0,(L4131+H4131)/-N4131)</f>
        <v/>
      </c>
      <c r="P4131" s="7">
        <f>VLOOKUP(OPERAC[[#This Row],[especie]],[1]!ESPECIES[#All],6,0)</f>
        <v/>
      </c>
      <c r="Q4131" s="7">
        <f>IF(N4131&lt;&gt;0,P4131*N4131,0)</f>
        <v/>
      </c>
      <c r="R4131" s="8">
        <f>IF(Q4131&lt;&gt;0,Q4131+H4131+L4131,0)</f>
        <v/>
      </c>
      <c r="S4131" s="9">
        <f>VLOOKUP(OPERAC[[#This Row],[especie]],[1]!ESPECIES[#Data],9,FALSE)</f>
        <v/>
      </c>
    </row>
    <row r="4132">
      <c r="A4132" s="4" t="n">
        <v>12022</v>
      </c>
      <c r="B4132" s="5" t="n">
        <v>44713</v>
      </c>
      <c r="C4132" s="13" t="inlineStr">
        <is>
          <t>CPR</t>
        </is>
      </c>
      <c r="D4132" s="13" t="n">
        <v>42</v>
      </c>
      <c r="E4132" s="10">
        <f>IF(D4132&gt;0,VLOOKUP(OPERAC[[#This Row],[COD CART]],[1]!MatrizCortoLargoCyl[#All],3,0),"")</f>
        <v/>
      </c>
      <c r="F4132" s="13" t="inlineStr">
        <is>
          <t>UPST</t>
        </is>
      </c>
      <c r="G4132" s="6" t="n">
        <v>20</v>
      </c>
      <c r="H4132" s="6" t="n">
        <v>-962.9363999999999</v>
      </c>
      <c r="I4132" s="7">
        <f>-H4132/G4132</f>
        <v/>
      </c>
      <c r="J4132" s="5" t="n">
        <v>44714</v>
      </c>
      <c r="K4132" s="6">
        <f>+OPERAC[[#This Row],[cantidad]]</f>
        <v/>
      </c>
      <c r="L4132" s="6">
        <f>+OPERAC[[#This Row],[cantidad venta]]*49.312</f>
        <v/>
      </c>
      <c r="M4132" s="7">
        <f>IF(N4132=0,+L4132+H4132,0)</f>
        <v/>
      </c>
      <c r="N4132" s="7">
        <f>IF((+G4132-K4132)=0,0,+G4132-K4132)</f>
        <v/>
      </c>
      <c r="O4132" s="7">
        <f>IF(N4132=0,0,(L4132+H4132)/-N4132)</f>
        <v/>
      </c>
      <c r="P4132" s="7">
        <f>VLOOKUP(OPERAC[[#This Row],[especie]],[1]!ESPECIES[#All],6,0)</f>
        <v/>
      </c>
      <c r="Q4132" s="7">
        <f>IF(N4132&lt;&gt;0,P4132*N4132,0)</f>
        <v/>
      </c>
      <c r="R4132" s="8">
        <f>IF(Q4132&lt;&gt;0,Q4132+H4132+L4132,0)</f>
        <v/>
      </c>
      <c r="S4132" s="9">
        <f>VLOOKUP(OPERAC[[#This Row],[especie]],[1]!ESPECIES[#Data],9,FALSE)</f>
        <v/>
      </c>
    </row>
    <row r="4133">
      <c r="A4133" s="4" t="n">
        <v>13240</v>
      </c>
      <c r="B4133" s="5" t="n">
        <v>44515</v>
      </c>
      <c r="C4133" s="13" t="inlineStr">
        <is>
          <t>CPR</t>
        </is>
      </c>
      <c r="D4133" s="13" t="n">
        <v>38</v>
      </c>
      <c r="E4133" s="10">
        <f>IF(D4133&gt;0,VLOOKUP(OPERAC[[#This Row],[COD CART]],[1]!MatrizCortoLargoCyl[#All],3,0),"")</f>
        <v/>
      </c>
      <c r="F4133" s="13" t="inlineStr">
        <is>
          <t>DIS</t>
        </is>
      </c>
      <c r="G4133" s="6" t="n">
        <v>6</v>
      </c>
      <c r="H4133" s="6" t="n">
        <v>-963.1763199999999</v>
      </c>
      <c r="I4133" s="7">
        <f>-H4133/G4133</f>
        <v/>
      </c>
      <c r="J4133" s="11" t="n"/>
      <c r="K4133" s="6" t="n"/>
      <c r="L4133" s="6" t="n"/>
      <c r="M4133" s="7">
        <f>IF(N4133=0,+L4133+H4133,0)</f>
        <v/>
      </c>
      <c r="N4133" s="7">
        <f>IF((+G4133-K4133)=0,0,+G4133-K4133)</f>
        <v/>
      </c>
      <c r="O4133" s="7">
        <f>IF(N4133=0,0,(L4133+H4133)/-N4133)</f>
        <v/>
      </c>
      <c r="P4133" s="7">
        <f>VLOOKUP(OPERAC[[#This Row],[especie]],[1]!ESPECIES[#All],6,0)</f>
        <v/>
      </c>
      <c r="Q4133" s="7">
        <f>IF(N4133&lt;&gt;0,P4133*N4133,0)</f>
        <v/>
      </c>
      <c r="R4133" s="8">
        <f>IF(Q4133&lt;&gt;0,Q4133+H4133+L4133,0)</f>
        <v/>
      </c>
      <c r="S4133" s="9">
        <f>VLOOKUP(OPERAC[[#This Row],[especie]],[1]!ESPECIES[#Data],9,FALSE)</f>
        <v/>
      </c>
    </row>
    <row r="4134">
      <c r="A4134" s="4" t="n">
        <v>1800</v>
      </c>
      <c r="B4134" s="5" t="n">
        <v>44459</v>
      </c>
      <c r="C4134" s="13" t="inlineStr">
        <is>
          <t>CPR</t>
        </is>
      </c>
      <c r="D4134" s="13" t="n">
        <v>43</v>
      </c>
      <c r="E4134" s="10">
        <f>IF(D4134&gt;0,VLOOKUP(OPERAC[[#This Row],[COD CART]],[1]!MatrizCortoLargoCyl[#All],3,0),"")</f>
        <v/>
      </c>
      <c r="F4134" s="13" t="inlineStr">
        <is>
          <t>SOLO/CYL-PUT/3,00/17-06-22</t>
        </is>
      </c>
      <c r="G4134" s="6" t="n">
        <v>500</v>
      </c>
      <c r="H4134" s="6">
        <f>-1153.28+0.137*OPERAC[[#This Row],[cantidad]]-521.116+72.4+568.39</f>
        <v/>
      </c>
      <c r="I4134" s="7">
        <f>-H4134/G4134</f>
        <v/>
      </c>
      <c r="J4134" s="11" t="n">
        <v>44719</v>
      </c>
      <c r="K4134" s="6" t="n">
        <v>1000</v>
      </c>
      <c r="L4134" s="6" t="n">
        <v>15.69</v>
      </c>
      <c r="M4134" s="7">
        <f>IF(N4134=0,+L4134+H4134,0)</f>
        <v/>
      </c>
      <c r="N4134" s="7">
        <f>IF((+G4134-K4134)=0,0,+G4134-K4134)</f>
        <v/>
      </c>
      <c r="O4134" s="7">
        <f>IF(N4134=0,0,(L4134+H4134)/-N4134)</f>
        <v/>
      </c>
      <c r="P4134" s="7">
        <f>VLOOKUP(OPERAC[[#This Row],[especie]],[1]!ESPECIES[#All],6,0)</f>
        <v/>
      </c>
      <c r="Q4134" s="7">
        <f>IF(N4134&lt;&gt;0,P4134*N4134,0)</f>
        <v/>
      </c>
      <c r="R4134" s="8">
        <f>IF(Q4134&lt;&gt;0,Q4134+H4134+L4134,0)</f>
        <v/>
      </c>
      <c r="S4134" s="9">
        <f>VLOOKUP(OPERAC[[#This Row],[especie]],[1]!ESPECIES[#Data],9,FALSE)</f>
        <v/>
      </c>
    </row>
    <row r="4135">
      <c r="A4135" s="4" t="n">
        <v>1760</v>
      </c>
      <c r="B4135" s="5" t="n">
        <v>44574</v>
      </c>
      <c r="C4135" s="13" t="inlineStr">
        <is>
          <t>CPR</t>
        </is>
      </c>
      <c r="D4135" s="13" t="n">
        <v>39</v>
      </c>
      <c r="E4135" s="10">
        <f>IF(D4135&gt;0,VLOOKUP(OPERAC[[#This Row],[COD CART]],[1]!MatrizCortoLargoCyl[#All],3,0),"")</f>
        <v/>
      </c>
      <c r="F4135" s="13" t="inlineStr">
        <is>
          <t>BABA/BULL/120,0-135,0/20-05-22</t>
        </is>
      </c>
      <c r="G4135" s="6" t="n">
        <v>100</v>
      </c>
      <c r="H4135" s="6" t="n">
        <v>-965.8</v>
      </c>
      <c r="I4135" s="7">
        <f>-H4135/G4135</f>
        <v/>
      </c>
      <c r="J4135" s="11" t="n">
        <v>44701</v>
      </c>
      <c r="K4135" s="6">
        <f>+OPERAC[[#This Row],[cantidad]]</f>
        <v/>
      </c>
      <c r="L4135" s="6" t="n">
        <v>0</v>
      </c>
      <c r="M4135" s="7">
        <f>IF(N4135=0,+L4135+H4135,0)</f>
        <v/>
      </c>
      <c r="N4135" s="7">
        <f>IF((+G4135-K4135)=0,0,+G4135-K4135)</f>
        <v/>
      </c>
      <c r="O4135" s="7">
        <f>IF(N4135=0,0,(L4135+H4135)/-N4135)</f>
        <v/>
      </c>
      <c r="P4135" s="7">
        <f>VLOOKUP(OPERAC[[#This Row],[especie]],[1]!ESPECIES[#All],6,0)</f>
        <v/>
      </c>
      <c r="Q4135" s="7">
        <f>IF(N4135&lt;&gt;0,P4135*N4135,0)</f>
        <v/>
      </c>
      <c r="R4135" s="8">
        <f>IF(Q4135&lt;&gt;0,Q4135+H4135+L4135,0)</f>
        <v/>
      </c>
      <c r="S4135" s="9">
        <f>VLOOKUP(OPERAC[[#This Row],[especie]],[1]!ESPECIES[#Data],9,FALSE)</f>
        <v/>
      </c>
    </row>
    <row r="4136">
      <c r="A4136" s="4" t="n">
        <v>13246</v>
      </c>
      <c r="B4136" s="5" t="n">
        <v>44574</v>
      </c>
      <c r="C4136" s="13" t="inlineStr">
        <is>
          <t>CPR</t>
        </is>
      </c>
      <c r="D4136" s="13" t="n">
        <v>39</v>
      </c>
      <c r="E4136" s="10">
        <f>IF(D4136&gt;0,VLOOKUP(OPERAC[[#This Row],[COD CART]],[1]!MatrizCortoLargoCyl[#All],3,0),"")</f>
        <v/>
      </c>
      <c r="F4136" s="13" t="inlineStr">
        <is>
          <t>BABA/BULL/120,0-135,0/20-05-22</t>
        </is>
      </c>
      <c r="G4136" s="6" t="n">
        <v>100</v>
      </c>
      <c r="H4136" s="6" t="n">
        <v>-965.8</v>
      </c>
      <c r="I4136" s="7">
        <f>-H4136/G4136</f>
        <v/>
      </c>
      <c r="J4136" s="11" t="n">
        <v>44701</v>
      </c>
      <c r="K4136" s="6">
        <f>+OPERAC[[#This Row],[cantidad]]</f>
        <v/>
      </c>
      <c r="L4136" s="6" t="n">
        <v>0</v>
      </c>
      <c r="M4136" s="7">
        <f>IF(N4136=0,+L4136+H4136,0)</f>
        <v/>
      </c>
      <c r="N4136" s="7">
        <f>IF((+G4136-K4136)=0,0,+G4136-K4136)</f>
        <v/>
      </c>
      <c r="O4136" s="7">
        <f>IF(N4136=0,0,(L4136+H4136)/-N4136)</f>
        <v/>
      </c>
      <c r="P4136" s="7">
        <f>VLOOKUP(OPERAC[[#This Row],[especie]],[1]!ESPECIES[#All],6,0)</f>
        <v/>
      </c>
      <c r="Q4136" s="7">
        <f>IF(N4136&lt;&gt;0,P4136*N4136,0)</f>
        <v/>
      </c>
      <c r="R4136" s="8">
        <f>IF(Q4136&lt;&gt;0,Q4136+H4136+L4136,0)</f>
        <v/>
      </c>
      <c r="S4136" s="9">
        <f>VLOOKUP(OPERAC[[#This Row],[especie]],[1]!ESPECIES[#Data],9,FALSE)</f>
        <v/>
      </c>
    </row>
    <row r="4137">
      <c r="A4137" s="4" t="n">
        <v>19867</v>
      </c>
      <c r="B4137" s="5" t="n">
        <v>44574</v>
      </c>
      <c r="C4137" s="13" t="inlineStr">
        <is>
          <t>CPR</t>
        </is>
      </c>
      <c r="D4137" s="13" t="n">
        <v>39</v>
      </c>
      <c r="E4137" s="10">
        <f>IF(D4137&gt;0,VLOOKUP(OPERAC[[#This Row],[COD CART]],[1]!MatrizCortoLargoCyl[#All],3,0),"")</f>
        <v/>
      </c>
      <c r="F4137" s="13" t="inlineStr">
        <is>
          <t>BABA/BULL/120,0-135,0/20-05-22</t>
        </is>
      </c>
      <c r="G4137" s="6" t="n">
        <v>100</v>
      </c>
      <c r="H4137" s="6" t="n">
        <v>-965.8</v>
      </c>
      <c r="I4137" s="7">
        <f>-H4137/G4137</f>
        <v/>
      </c>
      <c r="J4137" s="11" t="n">
        <v>44701</v>
      </c>
      <c r="K4137" s="6">
        <f>+OPERAC[[#This Row],[cantidad]]</f>
        <v/>
      </c>
      <c r="L4137" s="6" t="n">
        <v>0</v>
      </c>
      <c r="M4137" s="7">
        <f>IF(N4137=0,+L4137+H4137,0)</f>
        <v/>
      </c>
      <c r="N4137" s="7">
        <f>IF((+G4137-K4137)=0,0,+G4137-K4137)</f>
        <v/>
      </c>
      <c r="O4137" s="7">
        <f>IF(N4137=0,0,(L4137+H4137)/-N4137)</f>
        <v/>
      </c>
      <c r="P4137" s="7">
        <f>VLOOKUP(OPERAC[[#This Row],[especie]],[1]!ESPECIES[#All],6,0)</f>
        <v/>
      </c>
      <c r="Q4137" s="7">
        <f>IF(N4137&lt;&gt;0,P4137*N4137,0)</f>
        <v/>
      </c>
      <c r="R4137" s="8">
        <f>IF(Q4137&lt;&gt;0,Q4137+H4137+L4137,0)</f>
        <v/>
      </c>
      <c r="S4137" s="9">
        <f>VLOOKUP(OPERAC[[#This Row],[especie]],[1]!ESPECIES[#Data],9,FALSE)</f>
        <v/>
      </c>
    </row>
    <row r="4138">
      <c r="A4138" s="4" t="n">
        <v>13180</v>
      </c>
      <c r="B4138" s="5" t="n">
        <v>44574</v>
      </c>
      <c r="C4138" s="13" t="inlineStr">
        <is>
          <t>CPR</t>
        </is>
      </c>
      <c r="D4138" s="13" t="n">
        <v>39</v>
      </c>
      <c r="E4138" s="10">
        <f>IF(D4138&gt;0,VLOOKUP(OPERAC[[#This Row],[COD CART]],[1]!MatrizCortoLargoCyl[#All],3,0),"")</f>
        <v/>
      </c>
      <c r="F4138" s="13" t="inlineStr">
        <is>
          <t>BABA/BULL/120,0-135,0/20-05-22</t>
        </is>
      </c>
      <c r="G4138" s="6" t="n">
        <v>100</v>
      </c>
      <c r="H4138" s="6" t="n">
        <v>-965.8</v>
      </c>
      <c r="I4138" s="7">
        <f>-H4138/G4138</f>
        <v/>
      </c>
      <c r="J4138" s="11" t="n">
        <v>44701</v>
      </c>
      <c r="K4138" s="6">
        <f>+OPERAC[[#This Row],[cantidad]]</f>
        <v/>
      </c>
      <c r="L4138" s="6" t="n">
        <v>0</v>
      </c>
      <c r="M4138" s="7">
        <f>IF(N4138=0,+L4138+H4138,0)</f>
        <v/>
      </c>
      <c r="N4138" s="7">
        <f>IF((+G4138-K4138)=0,0,+G4138-K4138)</f>
        <v/>
      </c>
      <c r="O4138" s="7">
        <f>IF(N4138=0,0,(L4138+H4138)/-N4138)</f>
        <v/>
      </c>
      <c r="P4138" s="7">
        <f>VLOOKUP(OPERAC[[#This Row],[especie]],[1]!ESPECIES[#All],6,0)</f>
        <v/>
      </c>
      <c r="Q4138" s="7">
        <f>IF(N4138&lt;&gt;0,P4138*N4138,0)</f>
        <v/>
      </c>
      <c r="R4138" s="8">
        <f>IF(Q4138&lt;&gt;0,Q4138+H4138+L4138,0)</f>
        <v/>
      </c>
      <c r="S4138" s="9">
        <f>VLOOKUP(OPERAC[[#This Row],[especie]],[1]!ESPECIES[#Data],9,FALSE)</f>
        <v/>
      </c>
    </row>
    <row r="4139">
      <c r="A4139" s="4" t="n">
        <v>19878</v>
      </c>
      <c r="B4139" s="5" t="n">
        <v>44574</v>
      </c>
      <c r="C4139" s="13" t="inlineStr">
        <is>
          <t>CPR</t>
        </is>
      </c>
      <c r="D4139" s="13" t="n">
        <v>39</v>
      </c>
      <c r="E4139" s="10">
        <f>IF(D4139&gt;0,VLOOKUP(OPERAC[[#This Row],[COD CART]],[1]!MatrizCortoLargoCyl[#All],3,0),"")</f>
        <v/>
      </c>
      <c r="F4139" s="13" t="inlineStr">
        <is>
          <t>BABA/BULL/120,0-135,0/20-05-22</t>
        </is>
      </c>
      <c r="G4139" s="6" t="n">
        <v>100</v>
      </c>
      <c r="H4139" s="6" t="n">
        <v>-965.8</v>
      </c>
      <c r="I4139" s="7">
        <f>-H4139/G4139</f>
        <v/>
      </c>
      <c r="J4139" s="11" t="n">
        <v>44701</v>
      </c>
      <c r="K4139" s="6">
        <f>+OPERAC[[#This Row],[cantidad]]</f>
        <v/>
      </c>
      <c r="L4139" s="6" t="n">
        <v>0</v>
      </c>
      <c r="M4139" s="7">
        <f>IF(N4139=0,+L4139+H4139,0)</f>
        <v/>
      </c>
      <c r="N4139" s="7">
        <f>IF((+G4139-K4139)=0,0,+G4139-K4139)</f>
        <v/>
      </c>
      <c r="O4139" s="7">
        <f>IF(N4139=0,0,(L4139+H4139)/-N4139)</f>
        <v/>
      </c>
      <c r="P4139" s="7">
        <f>VLOOKUP(OPERAC[[#This Row],[especie]],[1]!ESPECIES[#All],6,0)</f>
        <v/>
      </c>
      <c r="Q4139" s="7">
        <f>IF(N4139&lt;&gt;0,P4139*N4139,0)</f>
        <v/>
      </c>
      <c r="R4139" s="8">
        <f>IF(Q4139&lt;&gt;0,Q4139+H4139+L4139,0)</f>
        <v/>
      </c>
      <c r="S4139" s="9">
        <f>VLOOKUP(OPERAC[[#This Row],[especie]],[1]!ESPECIES[#Data],9,FALSE)</f>
        <v/>
      </c>
    </row>
    <row r="4140">
      <c r="A4140" s="4" t="n">
        <v>19888</v>
      </c>
      <c r="B4140" s="5" t="n">
        <v>44574</v>
      </c>
      <c r="C4140" s="13" t="inlineStr">
        <is>
          <t>CPR</t>
        </is>
      </c>
      <c r="D4140" s="13" t="n">
        <v>39</v>
      </c>
      <c r="E4140" s="10">
        <f>IF(D4140&gt;0,VLOOKUP(OPERAC[[#This Row],[COD CART]],[1]!MatrizCortoLargoCyl[#All],3,0),"")</f>
        <v/>
      </c>
      <c r="F4140" s="13" t="inlineStr">
        <is>
          <t>BABA/BULL/120,0-135,0/20-05-22</t>
        </is>
      </c>
      <c r="G4140" s="6" t="n">
        <v>100</v>
      </c>
      <c r="H4140" s="6" t="n">
        <v>-965.8</v>
      </c>
      <c r="I4140" s="7">
        <f>-H4140/G4140</f>
        <v/>
      </c>
      <c r="J4140" s="11" t="n">
        <v>44701</v>
      </c>
      <c r="K4140" s="6">
        <f>+OPERAC[[#This Row],[cantidad]]</f>
        <v/>
      </c>
      <c r="L4140" s="6" t="n">
        <v>0</v>
      </c>
      <c r="M4140" s="7">
        <f>IF(N4140=0,+L4140+H4140,0)</f>
        <v/>
      </c>
      <c r="N4140" s="7">
        <f>IF((+G4140-K4140)=0,0,+G4140-K4140)</f>
        <v/>
      </c>
      <c r="O4140" s="7">
        <f>IF(N4140=0,0,(L4140+H4140)/-N4140)</f>
        <v/>
      </c>
      <c r="P4140" s="7">
        <f>VLOOKUP(OPERAC[[#This Row],[especie]],[1]!ESPECIES[#All],6,0)</f>
        <v/>
      </c>
      <c r="Q4140" s="7">
        <f>IF(N4140&lt;&gt;0,P4140*N4140,0)</f>
        <v/>
      </c>
      <c r="R4140" s="8">
        <f>IF(Q4140&lt;&gt;0,Q4140+H4140+L4140,0)</f>
        <v/>
      </c>
      <c r="S4140" s="9">
        <f>VLOOKUP(OPERAC[[#This Row],[especie]],[1]!ESPECIES[#Data],9,FALSE)</f>
        <v/>
      </c>
    </row>
    <row r="4141">
      <c r="A4141" s="4" t="n">
        <v>22407</v>
      </c>
      <c r="B4141" s="5" t="n">
        <v>44574</v>
      </c>
      <c r="C4141" s="13" t="inlineStr">
        <is>
          <t>CPR</t>
        </is>
      </c>
      <c r="D4141" s="13" t="n">
        <v>39</v>
      </c>
      <c r="E4141" s="10">
        <f>IF(D4141&gt;0,VLOOKUP(OPERAC[[#This Row],[COD CART]],[1]!MatrizCortoLargoCyl[#All],3,0),"")</f>
        <v/>
      </c>
      <c r="F4141" s="13" t="inlineStr">
        <is>
          <t>BABA/BULL/120,0-135,0/20-05-22</t>
        </is>
      </c>
      <c r="G4141" s="6" t="n">
        <v>100</v>
      </c>
      <c r="H4141" s="6" t="n">
        <v>-965.8</v>
      </c>
      <c r="I4141" s="7">
        <f>-H4141/G4141</f>
        <v/>
      </c>
      <c r="J4141" s="11" t="n">
        <v>44701</v>
      </c>
      <c r="K4141" s="6">
        <f>+OPERAC[[#This Row],[cantidad]]</f>
        <v/>
      </c>
      <c r="L4141" s="6" t="n">
        <v>0</v>
      </c>
      <c r="M4141" s="7">
        <f>IF(N4141=0,+L4141+H4141,0)</f>
        <v/>
      </c>
      <c r="N4141" s="7">
        <f>IF((+G4141-K4141)=0,0,+G4141-K4141)</f>
        <v/>
      </c>
      <c r="O4141" s="7">
        <f>IF(N4141=0,0,(L4141+H4141)/-N4141)</f>
        <v/>
      </c>
      <c r="P4141" s="7">
        <f>VLOOKUP(OPERAC[[#This Row],[especie]],[1]!ESPECIES[#All],6,0)</f>
        <v/>
      </c>
      <c r="Q4141" s="7">
        <f>IF(N4141&lt;&gt;0,P4141*N4141,0)</f>
        <v/>
      </c>
      <c r="R4141" s="8">
        <f>IF(Q4141&lt;&gt;0,Q4141+H4141+L4141,0)</f>
        <v/>
      </c>
      <c r="S4141" s="9">
        <f>VLOOKUP(OPERAC[[#This Row],[especie]],[1]!ESPECIES[#Data],9,FALSE)</f>
        <v/>
      </c>
    </row>
    <row r="4142">
      <c r="A4142" s="4" t="n">
        <v>13185</v>
      </c>
      <c r="B4142" s="5" t="n">
        <v>44574</v>
      </c>
      <c r="C4142" s="13" t="inlineStr">
        <is>
          <t>CPR</t>
        </is>
      </c>
      <c r="D4142" s="13" t="n">
        <v>39</v>
      </c>
      <c r="E4142" s="10">
        <f>IF(D4142&gt;0,VLOOKUP(OPERAC[[#This Row],[COD CART]],[1]!MatrizCortoLargoCyl[#All],3,0),"")</f>
        <v/>
      </c>
      <c r="F4142" s="13" t="inlineStr">
        <is>
          <t>BABA/BULL/120,0-135,0/20-05-22</t>
        </is>
      </c>
      <c r="G4142" s="6" t="n">
        <v>100</v>
      </c>
      <c r="H4142" s="6" t="n">
        <v>-965.8</v>
      </c>
      <c r="I4142" s="7">
        <f>-H4142/G4142</f>
        <v/>
      </c>
      <c r="J4142" s="11" t="n">
        <v>44701</v>
      </c>
      <c r="K4142" s="6">
        <f>+OPERAC[[#This Row],[cantidad]]</f>
        <v/>
      </c>
      <c r="L4142" s="6" t="n">
        <v>0</v>
      </c>
      <c r="M4142" s="7">
        <f>IF(N4142=0,+L4142+H4142,0)</f>
        <v/>
      </c>
      <c r="N4142" s="7">
        <f>IF((+G4142-K4142)=0,0,+G4142-K4142)</f>
        <v/>
      </c>
      <c r="O4142" s="7">
        <f>IF(N4142=0,0,(L4142+H4142)/-N4142)</f>
        <v/>
      </c>
      <c r="P4142" s="7">
        <f>VLOOKUP(OPERAC[[#This Row],[especie]],[1]!ESPECIES[#All],6,0)</f>
        <v/>
      </c>
      <c r="Q4142" s="7">
        <f>IF(N4142&lt;&gt;0,P4142*N4142,0)</f>
        <v/>
      </c>
      <c r="R4142" s="8">
        <f>IF(Q4142&lt;&gt;0,Q4142+H4142+L4142,0)</f>
        <v/>
      </c>
      <c r="S4142" s="9">
        <f>VLOOKUP(OPERAC[[#This Row],[especie]],[1]!ESPECIES[#Data],9,FALSE)</f>
        <v/>
      </c>
    </row>
    <row r="4143">
      <c r="A4143" s="4" t="n">
        <v>12627</v>
      </c>
      <c r="B4143" s="5" t="n">
        <v>44574</v>
      </c>
      <c r="C4143" s="13" t="inlineStr">
        <is>
          <t>CPR</t>
        </is>
      </c>
      <c r="D4143" s="13" t="n">
        <v>39</v>
      </c>
      <c r="E4143" s="10">
        <f>IF(D4143&gt;0,VLOOKUP(OPERAC[[#This Row],[COD CART]],[1]!MatrizCortoLargoCyl[#All],3,0),"")</f>
        <v/>
      </c>
      <c r="F4143" s="13" t="inlineStr">
        <is>
          <t>BABA/BULL/120,0-135,0/20-05-22</t>
        </is>
      </c>
      <c r="G4143" s="6" t="n">
        <v>100</v>
      </c>
      <c r="H4143" s="6" t="n">
        <v>-965.8</v>
      </c>
      <c r="I4143" s="7">
        <f>-H4143/G4143</f>
        <v/>
      </c>
      <c r="J4143" s="11" t="n">
        <v>44701</v>
      </c>
      <c r="K4143" s="6">
        <f>+OPERAC[[#This Row],[cantidad]]</f>
        <v/>
      </c>
      <c r="L4143" s="6" t="n">
        <v>0</v>
      </c>
      <c r="M4143" s="7">
        <f>IF(N4143=0,+L4143+H4143,0)</f>
        <v/>
      </c>
      <c r="N4143" s="7">
        <f>IF((+G4143-K4143)=0,0,+G4143-K4143)</f>
        <v/>
      </c>
      <c r="O4143" s="7">
        <f>IF(N4143=0,0,(L4143+H4143)/-N4143)</f>
        <v/>
      </c>
      <c r="P4143" s="7">
        <f>VLOOKUP(OPERAC[[#This Row],[especie]],[1]!ESPECIES[#All],6,0)</f>
        <v/>
      </c>
      <c r="Q4143" s="7">
        <f>IF(N4143&lt;&gt;0,P4143*N4143,0)</f>
        <v/>
      </c>
      <c r="R4143" s="8">
        <f>IF(Q4143&lt;&gt;0,Q4143+H4143+L4143,0)</f>
        <v/>
      </c>
      <c r="S4143" s="9">
        <f>VLOOKUP(OPERAC[[#This Row],[especie]],[1]!ESPECIES[#Data],9,FALSE)</f>
        <v/>
      </c>
    </row>
    <row r="4144">
      <c r="A4144" s="4" t="n">
        <v>7916</v>
      </c>
      <c r="B4144" s="5" t="n">
        <v>44574</v>
      </c>
      <c r="C4144" s="13" t="inlineStr">
        <is>
          <t>CPR</t>
        </is>
      </c>
      <c r="D4144" s="13" t="n">
        <v>39</v>
      </c>
      <c r="E4144" s="10">
        <f>IF(D4144&gt;0,VLOOKUP(OPERAC[[#This Row],[COD CART]],[1]!MatrizCortoLargoCyl[#All],3,0),"")</f>
        <v/>
      </c>
      <c r="F4144" s="13" t="inlineStr">
        <is>
          <t>BABA/BULL/120,0-135,0/20-05-22</t>
        </is>
      </c>
      <c r="G4144" s="6" t="n">
        <v>100</v>
      </c>
      <c r="H4144" s="6" t="n">
        <v>-965.8</v>
      </c>
      <c r="I4144" s="7">
        <f>-H4144/G4144</f>
        <v/>
      </c>
      <c r="J4144" s="11" t="n">
        <v>44701</v>
      </c>
      <c r="K4144" s="6">
        <f>+OPERAC[[#This Row],[cantidad]]</f>
        <v/>
      </c>
      <c r="L4144" s="6" t="n">
        <v>0</v>
      </c>
      <c r="M4144" s="7">
        <f>IF(N4144=0,+L4144+H4144,0)</f>
        <v/>
      </c>
      <c r="N4144" s="7">
        <f>IF((+G4144-K4144)=0,0,+G4144-K4144)</f>
        <v/>
      </c>
      <c r="O4144" s="7">
        <f>IF(N4144=0,0,(L4144+H4144)/-N4144)</f>
        <v/>
      </c>
      <c r="P4144" s="7">
        <f>VLOOKUP(OPERAC[[#This Row],[especie]],[1]!ESPECIES[#All],6,0)</f>
        <v/>
      </c>
      <c r="Q4144" s="7">
        <f>IF(N4144&lt;&gt;0,P4144*N4144,0)</f>
        <v/>
      </c>
      <c r="R4144" s="8">
        <f>IF(Q4144&lt;&gt;0,Q4144+H4144+L4144,0)</f>
        <v/>
      </c>
      <c r="S4144" s="9">
        <f>VLOOKUP(OPERAC[[#This Row],[especie]],[1]!ESPECIES[#Data],9,FALSE)</f>
        <v/>
      </c>
    </row>
    <row r="4145">
      <c r="A4145" s="4" t="n">
        <v>4543</v>
      </c>
      <c r="B4145" s="5" t="n">
        <v>44574</v>
      </c>
      <c r="C4145" s="13" t="inlineStr">
        <is>
          <t>CPR</t>
        </is>
      </c>
      <c r="D4145" s="13" t="n">
        <v>39</v>
      </c>
      <c r="E4145" s="10">
        <f>IF(D4145&gt;0,VLOOKUP(OPERAC[[#This Row],[COD CART]],[1]!MatrizCortoLargoCyl[#All],3,0),"")</f>
        <v/>
      </c>
      <c r="F4145" s="13" t="inlineStr">
        <is>
          <t>BABA/BULL/120,0-135,0/20-05-22</t>
        </is>
      </c>
      <c r="G4145" s="6" t="n">
        <v>100</v>
      </c>
      <c r="H4145" s="6" t="n">
        <v>-965.8</v>
      </c>
      <c r="I4145" s="7">
        <f>-H4145/G4145</f>
        <v/>
      </c>
      <c r="J4145" s="11" t="n">
        <v>44701</v>
      </c>
      <c r="K4145" s="6">
        <f>+OPERAC[[#This Row],[cantidad]]</f>
        <v/>
      </c>
      <c r="L4145" s="6" t="n">
        <v>0</v>
      </c>
      <c r="M4145" s="7">
        <f>IF(N4145=0,+L4145+H4145,0)</f>
        <v/>
      </c>
      <c r="N4145" s="7">
        <f>IF((+G4145-K4145)=0,0,+G4145-K4145)</f>
        <v/>
      </c>
      <c r="O4145" s="7">
        <f>IF(N4145=0,0,(L4145+H4145)/-N4145)</f>
        <v/>
      </c>
      <c r="P4145" s="7">
        <f>VLOOKUP(OPERAC[[#This Row],[especie]],[1]!ESPECIES[#All],6,0)</f>
        <v/>
      </c>
      <c r="Q4145" s="7">
        <f>IF(N4145&lt;&gt;0,P4145*N4145,0)</f>
        <v/>
      </c>
      <c r="R4145" s="8">
        <f>IF(Q4145&lt;&gt;0,Q4145+H4145+L4145,0)</f>
        <v/>
      </c>
      <c r="S4145" s="9">
        <f>VLOOKUP(OPERAC[[#This Row],[especie]],[1]!ESPECIES[#Data],9,FALSE)</f>
        <v/>
      </c>
    </row>
    <row r="4146">
      <c r="A4146" s="4" t="n">
        <v>2218</v>
      </c>
      <c r="B4146" s="5" t="n">
        <v>44707</v>
      </c>
      <c r="C4146" s="13" t="inlineStr">
        <is>
          <t>CPR</t>
        </is>
      </c>
      <c r="D4146" s="13" t="n">
        <v>42</v>
      </c>
      <c r="E4146" s="10">
        <f>IF(D4146&gt;0,VLOOKUP(OPERAC[[#This Row],[COD CART]],[1]!MatrizCortoLargoCyl[#All],3,0),"")</f>
        <v/>
      </c>
      <c r="F4146" s="13" t="inlineStr">
        <is>
          <t>PCT</t>
        </is>
      </c>
      <c r="G4146" s="6" t="n">
        <v>100</v>
      </c>
      <c r="H4146" s="6" t="n">
        <v>-965.826862</v>
      </c>
      <c r="I4146" s="7">
        <f>-H4146/G4146</f>
        <v/>
      </c>
      <c r="J4146" s="5" t="n"/>
      <c r="K4146" s="6" t="n"/>
      <c r="L4146" s="6" t="n"/>
      <c r="M4146" s="7">
        <f>IF(N4146=0,+L4146+H4146,0)</f>
        <v/>
      </c>
      <c r="N4146" s="7">
        <f>IF((+G4146-K4146)=0,0,+G4146-K4146)</f>
        <v/>
      </c>
      <c r="O4146" s="7">
        <f>IF(N4146=0,0,(L4146+H4146)/-N4146)</f>
        <v/>
      </c>
      <c r="P4146" s="7">
        <f>VLOOKUP(OPERAC[[#This Row],[especie]],[1]!ESPECIES[#All],6,0)</f>
        <v/>
      </c>
      <c r="Q4146" s="7">
        <f>IF(N4146&lt;&gt;0,P4146*N4146,0)</f>
        <v/>
      </c>
      <c r="R4146" s="8">
        <f>IF(Q4146&lt;&gt;0,Q4146+H4146+L4146,0)</f>
        <v/>
      </c>
      <c r="S4146" s="9">
        <f>VLOOKUP(OPERAC[[#This Row],[especie]],[1]!ESPECIES[#Data],9,FALSE)</f>
        <v/>
      </c>
    </row>
    <row r="4147">
      <c r="A4147" s="4" t="n">
        <v>19888</v>
      </c>
      <c r="B4147" s="5" t="n">
        <v>44655</v>
      </c>
      <c r="C4147" s="13" t="inlineStr">
        <is>
          <t>CPR</t>
        </is>
      </c>
      <c r="D4147" s="13" t="n">
        <v>31</v>
      </c>
      <c r="E4147" s="10">
        <f>IF(D4147&gt;0,VLOOKUP(OPERAC[[#This Row],[COD CART]],[1]!MatrizCortoLargoCyl[#All],3,0),"")</f>
        <v/>
      </c>
      <c r="F4147" s="13" t="inlineStr">
        <is>
          <t>TEO</t>
        </is>
      </c>
      <c r="G4147" s="6" t="n">
        <v>150</v>
      </c>
      <c r="H4147" s="6" t="n">
        <v>-966.1645500000001</v>
      </c>
      <c r="I4147" s="7">
        <f>-H4147/G4147</f>
        <v/>
      </c>
      <c r="J4147" s="11" t="n"/>
      <c r="K4147" s="6" t="n"/>
      <c r="L4147" s="6" t="n"/>
      <c r="M4147" s="7">
        <f>IF(N4147=0,+L4147+H4147,0)</f>
        <v/>
      </c>
      <c r="N4147" s="7">
        <f>IF((+G4147-K4147)=0,0,+G4147-K4147)</f>
        <v/>
      </c>
      <c r="O4147" s="7">
        <f>IF(N4147=0,0,(L4147+H4147)/-N4147)</f>
        <v/>
      </c>
      <c r="P4147" s="7">
        <f>VLOOKUP(OPERAC[[#This Row],[especie]],[1]!ESPECIES[#All],6,0)</f>
        <v/>
      </c>
      <c r="Q4147" s="7">
        <f>IF(N4147&lt;&gt;0,P4147*N4147,0)</f>
        <v/>
      </c>
      <c r="R4147" s="8">
        <f>IF(Q4147&lt;&gt;0,Q4147+H4147+L4147,0)</f>
        <v/>
      </c>
      <c r="S4147" s="9">
        <f>VLOOKUP(OPERAC[[#This Row],[especie]],[1]!ESPECIES[#Data],9,FALSE)</f>
        <v/>
      </c>
    </row>
    <row r="4148">
      <c r="A4148" s="4" t="n">
        <v>2289</v>
      </c>
      <c r="B4148" s="5" t="n">
        <v>44501</v>
      </c>
      <c r="C4148" s="13" t="inlineStr">
        <is>
          <t>CPR</t>
        </is>
      </c>
      <c r="D4148" s="13" t="n">
        <v>32</v>
      </c>
      <c r="E4148" s="10">
        <f>IF(D4148&gt;0,VLOOKUP(OPERAC[[#This Row],[COD CART]],[1]!MatrizCortoLargoCyl[#All],3,0),"")</f>
        <v/>
      </c>
      <c r="F4148" s="13" t="inlineStr">
        <is>
          <t>SKLZ/CYL/10,00/21-01-22</t>
        </is>
      </c>
      <c r="G4148" s="6" t="n">
        <v>100</v>
      </c>
      <c r="H4148" s="6">
        <f>-1014.807+26.756+21.329</f>
        <v/>
      </c>
      <c r="I4148" s="7">
        <f>-H4148/G4148</f>
        <v/>
      </c>
      <c r="J4148" s="11" t="n">
        <v>44579</v>
      </c>
      <c r="K4148" s="6">
        <f>+OPERAC[[#This Row],[cantidad]]</f>
        <v/>
      </c>
      <c r="L4148" s="6">
        <f>+OPERAC[[#This Row],[cantidad venta]]*5.679</f>
        <v/>
      </c>
      <c r="M4148" s="7">
        <f>IF(N4148=0,+L4148+H4148,0)</f>
        <v/>
      </c>
      <c r="N4148" s="7">
        <f>IF((+G4148-K4148)=0,0,+G4148-K4148)</f>
        <v/>
      </c>
      <c r="O4148" s="7">
        <f>IF(N4148=0,0,(L4148+H4148)/-N4148)</f>
        <v/>
      </c>
      <c r="P4148" s="7">
        <f>VLOOKUP(OPERAC[[#This Row],[especie]],[1]!ESPECIES[#All],6,0)</f>
        <v/>
      </c>
      <c r="Q4148" s="7">
        <f>IF(N4148&lt;&gt;0,P4148*N4148,0)</f>
        <v/>
      </c>
      <c r="R4148" s="8">
        <f>IF(Q4148&lt;&gt;0,Q4148+H4148+L4148,0)</f>
        <v/>
      </c>
      <c r="S4148" s="9">
        <f>VLOOKUP(OPERAC[[#This Row],[especie]],[1]!ESPECIES[#Data],9,FALSE)</f>
        <v/>
      </c>
    </row>
    <row r="4149">
      <c r="A4149" s="4" t="n">
        <v>19888</v>
      </c>
      <c r="B4149" s="5" t="n">
        <v>44655</v>
      </c>
      <c r="C4149" s="13" t="inlineStr">
        <is>
          <t>CPR</t>
        </is>
      </c>
      <c r="D4149" s="13" t="n">
        <v>31</v>
      </c>
      <c r="E4149" s="10">
        <f>IF(D4149&gt;0,VLOOKUP(OPERAC[[#This Row],[COD CART]],[1]!MatrizCortoLargoCyl[#All],3,0),"")</f>
        <v/>
      </c>
      <c r="F4149" s="13" t="inlineStr">
        <is>
          <t>PAM</t>
        </is>
      </c>
      <c r="G4149" s="6" t="n">
        <v>40</v>
      </c>
      <c r="H4149" s="6" t="n">
        <v>-967.38976</v>
      </c>
      <c r="I4149" s="7">
        <f>-H4149/G4149</f>
        <v/>
      </c>
      <c r="J4149" s="11" t="n"/>
      <c r="K4149" s="6" t="n"/>
      <c r="L4149" s="6" t="n"/>
      <c r="M4149" s="7">
        <f>IF(N4149=0,+L4149+H4149,0)</f>
        <v/>
      </c>
      <c r="N4149" s="7">
        <f>IF((+G4149-K4149)=0,0,+G4149-K4149)</f>
        <v/>
      </c>
      <c r="O4149" s="7">
        <f>IF(N4149=0,0,(L4149+H4149)/-N4149)</f>
        <v/>
      </c>
      <c r="P4149" s="7">
        <f>VLOOKUP(OPERAC[[#This Row],[especie]],[1]!ESPECIES[#All],6,0)</f>
        <v/>
      </c>
      <c r="Q4149" s="7">
        <f>IF(N4149&lt;&gt;0,P4149*N4149,0)</f>
        <v/>
      </c>
      <c r="R4149" s="8">
        <f>IF(Q4149&lt;&gt;0,Q4149+H4149+L4149,0)</f>
        <v/>
      </c>
      <c r="S4149" s="9">
        <f>VLOOKUP(OPERAC[[#This Row],[especie]],[1]!ESPECIES[#Data],9,FALSE)</f>
        <v/>
      </c>
    </row>
    <row r="4150">
      <c r="A4150" s="4" t="n">
        <v>2255</v>
      </c>
      <c r="B4150" s="5" t="n">
        <v>44707</v>
      </c>
      <c r="C4150" s="13" t="inlineStr">
        <is>
          <t>CPR</t>
        </is>
      </c>
      <c r="D4150" s="13" t="n">
        <v>42</v>
      </c>
      <c r="E4150" s="10">
        <f>IF(D4150&gt;0,VLOOKUP(OPERAC[[#This Row],[COD CART]],[1]!MatrizCortoLargoCyl[#All],3,0),"")</f>
        <v/>
      </c>
      <c r="F4150" s="13" t="inlineStr">
        <is>
          <t>PCT</t>
        </is>
      </c>
      <c r="G4150" s="6" t="n">
        <v>100</v>
      </c>
      <c r="H4150" s="6" t="n">
        <v>-969.2038789999999</v>
      </c>
      <c r="I4150" s="7">
        <f>-H4150/G4150</f>
        <v/>
      </c>
      <c r="J4150" s="5" t="n"/>
      <c r="K4150" s="6" t="n"/>
      <c r="L4150" s="6" t="n"/>
      <c r="M4150" s="7">
        <f>IF(N4150=0,+L4150+H4150,0)</f>
        <v/>
      </c>
      <c r="N4150" s="7">
        <f>IF((+G4150-K4150)=0,0,+G4150-K4150)</f>
        <v/>
      </c>
      <c r="O4150" s="7">
        <f>IF(N4150=0,0,(L4150+H4150)/-N4150)</f>
        <v/>
      </c>
      <c r="P4150" s="7">
        <f>VLOOKUP(OPERAC[[#This Row],[especie]],[1]!ESPECIES[#All],6,0)</f>
        <v/>
      </c>
      <c r="Q4150" s="7">
        <f>IF(N4150&lt;&gt;0,P4150*N4150,0)</f>
        <v/>
      </c>
      <c r="R4150" s="8">
        <f>IF(Q4150&lt;&gt;0,Q4150+H4150+L4150,0)</f>
        <v/>
      </c>
      <c r="S4150" s="9">
        <f>VLOOKUP(OPERAC[[#This Row],[especie]],[1]!ESPECIES[#Data],9,FALSE)</f>
        <v/>
      </c>
    </row>
    <row r="4151">
      <c r="A4151" s="4" t="n">
        <v>2255</v>
      </c>
      <c r="B4151" s="5" t="n">
        <v>44642</v>
      </c>
      <c r="C4151" s="13" t="inlineStr">
        <is>
          <t>CPR</t>
        </is>
      </c>
      <c r="D4151" s="13" t="n">
        <v>42</v>
      </c>
      <c r="E4151" s="10">
        <f>IF(D4151&gt;0,VLOOKUP(OPERAC[[#This Row],[COD CART]],[1]!MatrizCortoLargoCyl[#All],3,0),"")</f>
        <v/>
      </c>
      <c r="F4151" s="13" t="inlineStr">
        <is>
          <t>HYDR</t>
        </is>
      </c>
      <c r="G4151" s="6" t="n">
        <v>50</v>
      </c>
      <c r="H4151" s="6">
        <f>-19.39*OPERAC[[#This Row],[cantidad]]</f>
        <v/>
      </c>
      <c r="I4151" s="7">
        <f>-H4151/G4151</f>
        <v/>
      </c>
      <c r="J4151" s="11" t="n"/>
      <c r="K4151" s="6" t="n"/>
      <c r="L4151" s="6" t="n"/>
      <c r="M4151" s="7">
        <f>IF(N4151=0,+L4151+H4151,0)</f>
        <v/>
      </c>
      <c r="N4151" s="7">
        <f>IF((+G4151-K4151)=0,0,+G4151-K4151)</f>
        <v/>
      </c>
      <c r="O4151" s="7">
        <f>IF(N4151=0,0,(L4151+H4151)/-N4151)</f>
        <v/>
      </c>
      <c r="P4151" s="7">
        <f>VLOOKUP(OPERAC[[#This Row],[especie]],[1]!ESPECIES[#All],6,0)</f>
        <v/>
      </c>
      <c r="Q4151" s="7">
        <f>IF(N4151&lt;&gt;0,P4151*N4151,0)</f>
        <v/>
      </c>
      <c r="R4151" s="8">
        <f>IF(Q4151&lt;&gt;0,Q4151+H4151+L4151,0)</f>
        <v/>
      </c>
      <c r="S4151" s="9">
        <f>VLOOKUP(OPERAC[[#This Row],[especie]],[1]!ESPECIES[#Data],9,FALSE)</f>
        <v/>
      </c>
    </row>
    <row r="4152">
      <c r="A4152" s="4" t="n">
        <v>16780</v>
      </c>
      <c r="B4152" s="5" t="n">
        <v>44642</v>
      </c>
      <c r="C4152" s="13" t="inlineStr">
        <is>
          <t>CPR</t>
        </is>
      </c>
      <c r="D4152" s="13" t="n">
        <v>42</v>
      </c>
      <c r="E4152" s="10">
        <f>IF(D4152&gt;0,VLOOKUP(OPERAC[[#This Row],[COD CART]],[1]!MatrizCortoLargoCyl[#All],3,0),"")</f>
        <v/>
      </c>
      <c r="F4152" s="13" t="inlineStr">
        <is>
          <t>HYDR</t>
        </is>
      </c>
      <c r="G4152" s="6" t="n">
        <v>50</v>
      </c>
      <c r="H4152" s="6">
        <f>-19.39*OPERAC[[#This Row],[cantidad]]</f>
        <v/>
      </c>
      <c r="I4152" s="7">
        <f>-H4152/G4152</f>
        <v/>
      </c>
      <c r="J4152" s="11" t="n">
        <v>44693</v>
      </c>
      <c r="K4152" s="6">
        <f>+OPERAC[[#This Row],[cantidad]]</f>
        <v/>
      </c>
      <c r="L4152" s="6">
        <f>+OPERAC[[#This Row],[cantidad venta]]*12.027</f>
        <v/>
      </c>
      <c r="M4152" s="7">
        <f>IF(N4152=0,+L4152+H4152,0)</f>
        <v/>
      </c>
      <c r="N4152" s="7">
        <f>IF((+G4152-K4152)=0,0,+G4152-K4152)</f>
        <v/>
      </c>
      <c r="O4152" s="7">
        <f>IF(N4152=0,0,(L4152+H4152)/-N4152)</f>
        <v/>
      </c>
      <c r="P4152" s="7">
        <f>VLOOKUP(OPERAC[[#This Row],[especie]],[1]!ESPECIES[#All],6,0)</f>
        <v/>
      </c>
      <c r="Q4152" s="7">
        <f>IF(N4152&lt;&gt;0,P4152*N4152,0)</f>
        <v/>
      </c>
      <c r="R4152" s="8">
        <f>IF(Q4152&lt;&gt;0,Q4152+H4152+L4152,0)</f>
        <v/>
      </c>
      <c r="S4152" s="9">
        <f>VLOOKUP(OPERAC[[#This Row],[especie]],[1]!ESPECIES[#Data],9,FALSE)</f>
        <v/>
      </c>
    </row>
    <row r="4153">
      <c r="A4153" s="4" t="n">
        <v>13253</v>
      </c>
      <c r="B4153" s="5" t="n">
        <v>44607</v>
      </c>
      <c r="C4153" s="13" t="inlineStr">
        <is>
          <t>CPR</t>
        </is>
      </c>
      <c r="D4153" s="13" t="n">
        <v>41</v>
      </c>
      <c r="E4153" s="10">
        <f>IF(D4153&gt;0,VLOOKUP(OPERAC[[#This Row],[COD CART]],[1]!MatrizCortoLargoCyl[#All],3,0),"")</f>
        <v/>
      </c>
      <c r="F4153" s="13" t="inlineStr">
        <is>
          <t>INTC</t>
        </is>
      </c>
      <c r="G4153" s="6" t="n">
        <v>20</v>
      </c>
      <c r="H4153" s="6" t="n">
        <v>-970.696</v>
      </c>
      <c r="I4153" s="7">
        <f>-H4153/G4153</f>
        <v/>
      </c>
      <c r="J4153" s="11" t="n"/>
      <c r="K4153" s="6" t="n"/>
      <c r="L4153" s="6" t="n"/>
      <c r="M4153" s="7">
        <f>IF(N4153=0,+L4153+H4153,0)</f>
        <v/>
      </c>
      <c r="N4153" s="7">
        <f>IF((+G4153-K4153)=0,0,+G4153-K4153)</f>
        <v/>
      </c>
      <c r="O4153" s="7">
        <f>IF(N4153=0,0,(L4153+H4153)/-N4153)</f>
        <v/>
      </c>
      <c r="P4153" s="7">
        <f>VLOOKUP(OPERAC[[#This Row],[especie]],[1]!ESPECIES[#All],6,0)</f>
        <v/>
      </c>
      <c r="Q4153" s="7">
        <f>IF(N4153&lt;&gt;0,P4153*N4153,0)</f>
        <v/>
      </c>
      <c r="R4153" s="8">
        <f>IF(Q4153&lt;&gt;0,Q4153+H4153+L4153,0)</f>
        <v/>
      </c>
      <c r="S4153" s="9">
        <f>VLOOKUP(OPERAC[[#This Row],[especie]],[1]!ESPECIES[#Data],9,FALSE)</f>
        <v/>
      </c>
    </row>
    <row r="4154">
      <c r="A4154" s="4" t="n">
        <v>19932</v>
      </c>
      <c r="B4154" s="5" t="n">
        <v>44629</v>
      </c>
      <c r="C4154" s="13" t="inlineStr">
        <is>
          <t>CPR</t>
        </is>
      </c>
      <c r="D4154" s="13" t="n">
        <v>31</v>
      </c>
      <c r="E4154" s="10">
        <f>IF(D4154&gt;0,VLOOKUP(OPERAC[[#This Row],[COD CART]],[1]!MatrizCortoLargoCyl[#All],3,0),"")</f>
        <v/>
      </c>
      <c r="F4154" s="13" t="inlineStr">
        <is>
          <t>MELI</t>
        </is>
      </c>
      <c r="G4154" s="6" t="n">
        <v>1</v>
      </c>
      <c r="H4154" s="6" t="n">
        <v>-972.9640000000001</v>
      </c>
      <c r="I4154" s="7">
        <f>-H4154/G4154</f>
        <v/>
      </c>
      <c r="J4154" s="11" t="n">
        <v>44658</v>
      </c>
      <c r="K4154" s="6" t="n">
        <v>1</v>
      </c>
      <c r="L4154" s="6" t="n">
        <v>1151.694</v>
      </c>
      <c r="M4154" s="7">
        <f>IF(N4154=0,+L4154+H4154,0)</f>
        <v/>
      </c>
      <c r="N4154" s="7">
        <f>IF((+G4154-K4154)=0,0,+G4154-K4154)</f>
        <v/>
      </c>
      <c r="O4154" s="7">
        <f>IF(N4154=0,0,(L4154+H4154)/-N4154)</f>
        <v/>
      </c>
      <c r="P4154" s="7">
        <f>VLOOKUP(OPERAC[[#This Row],[especie]],[1]!ESPECIES[#All],6,0)</f>
        <v/>
      </c>
      <c r="Q4154" s="7">
        <f>IF(N4154&lt;&gt;0,P4154*N4154,0)</f>
        <v/>
      </c>
      <c r="R4154" s="8">
        <f>IF(Q4154&lt;&gt;0,Q4154+H4154+L4154,0)</f>
        <v/>
      </c>
      <c r="S4154" s="9">
        <f>VLOOKUP(OPERAC[[#This Row],[especie]],[1]!ESPECIES[#Data],9,FALSE)</f>
        <v/>
      </c>
    </row>
    <row r="4155">
      <c r="A4155" s="4" t="n">
        <v>1807</v>
      </c>
      <c r="B4155" s="5" t="n">
        <v>44707</v>
      </c>
      <c r="C4155" s="13" t="inlineStr">
        <is>
          <t>CPR</t>
        </is>
      </c>
      <c r="D4155" s="13" t="n">
        <v>42</v>
      </c>
      <c r="E4155" s="10">
        <f>IF(D4155&gt;0,VLOOKUP(OPERAC[[#This Row],[COD CART]],[1]!MatrizCortoLargoCyl[#All],3,0),"")</f>
        <v/>
      </c>
      <c r="F4155" s="13" t="inlineStr">
        <is>
          <t>PCT</t>
        </is>
      </c>
      <c r="G4155" s="6" t="n">
        <v>100</v>
      </c>
      <c r="H4155" s="6" t="n">
        <v>-973.063327</v>
      </c>
      <c r="I4155" s="7">
        <f>-H4155/G4155</f>
        <v/>
      </c>
      <c r="J4155" s="5" t="n"/>
      <c r="K4155" s="6" t="n"/>
      <c r="L4155" s="6" t="n"/>
      <c r="M4155" s="7">
        <f>IF(N4155=0,+L4155+H4155,0)</f>
        <v/>
      </c>
      <c r="N4155" s="7">
        <f>IF((+G4155-K4155)=0,0,+G4155-K4155)</f>
        <v/>
      </c>
      <c r="O4155" s="7">
        <f>IF(N4155=0,0,(L4155+H4155)/-N4155)</f>
        <v/>
      </c>
      <c r="P4155" s="7">
        <f>VLOOKUP(OPERAC[[#This Row],[especie]],[1]!ESPECIES[#All],6,0)</f>
        <v/>
      </c>
      <c r="Q4155" s="7">
        <f>IF(N4155&lt;&gt;0,P4155*N4155,0)</f>
        <v/>
      </c>
      <c r="R4155" s="8">
        <f>IF(Q4155&lt;&gt;0,Q4155+H4155+L4155,0)</f>
        <v/>
      </c>
      <c r="S4155" s="9">
        <f>VLOOKUP(OPERAC[[#This Row],[especie]],[1]!ESPECIES[#Data],9,FALSE)</f>
        <v/>
      </c>
    </row>
    <row r="4156">
      <c r="A4156" s="4" t="n">
        <v>2194</v>
      </c>
      <c r="B4156" s="5" t="n">
        <v>44707</v>
      </c>
      <c r="C4156" s="13" t="inlineStr">
        <is>
          <t>CPR</t>
        </is>
      </c>
      <c r="D4156" s="13" t="n">
        <v>42</v>
      </c>
      <c r="E4156" s="10">
        <f>IF(D4156&gt;0,VLOOKUP(OPERAC[[#This Row],[COD CART]],[1]!MatrizCortoLargoCyl[#All],3,0),"")</f>
        <v/>
      </c>
      <c r="F4156" s="13" t="inlineStr">
        <is>
          <t>PCT</t>
        </is>
      </c>
      <c r="G4156" s="6" t="n">
        <v>100</v>
      </c>
      <c r="H4156" s="6" t="n">
        <v>-973.063327</v>
      </c>
      <c r="I4156" s="7">
        <f>-H4156/G4156</f>
        <v/>
      </c>
      <c r="J4156" s="5" t="n"/>
      <c r="K4156" s="6" t="n"/>
      <c r="L4156" s="6" t="n"/>
      <c r="M4156" s="7">
        <f>IF(N4156=0,+L4156+H4156,0)</f>
        <v/>
      </c>
      <c r="N4156" s="7">
        <f>IF((+G4156-K4156)=0,0,+G4156-K4156)</f>
        <v/>
      </c>
      <c r="O4156" s="7">
        <f>IF(N4156=0,0,(L4156+H4156)/-N4156)</f>
        <v/>
      </c>
      <c r="P4156" s="7">
        <f>VLOOKUP(OPERAC[[#This Row],[especie]],[1]!ESPECIES[#All],6,0)</f>
        <v/>
      </c>
      <c r="Q4156" s="7">
        <f>IF(N4156&lt;&gt;0,P4156*N4156,0)</f>
        <v/>
      </c>
      <c r="R4156" s="8">
        <f>IF(Q4156&lt;&gt;0,Q4156+H4156+L4156,0)</f>
        <v/>
      </c>
      <c r="S4156" s="9">
        <f>VLOOKUP(OPERAC[[#This Row],[especie]],[1]!ESPECIES[#Data],9,FALSE)</f>
        <v/>
      </c>
    </row>
    <row r="4157">
      <c r="A4157" s="4" t="n">
        <v>2217</v>
      </c>
      <c r="B4157" s="5" t="n">
        <v>44707</v>
      </c>
      <c r="C4157" s="13" t="inlineStr">
        <is>
          <t>CPR</t>
        </is>
      </c>
      <c r="D4157" s="13" t="n">
        <v>42</v>
      </c>
      <c r="E4157" s="10">
        <f>IF(D4157&gt;0,VLOOKUP(OPERAC[[#This Row],[COD CART]],[1]!MatrizCortoLargoCyl[#All],3,0),"")</f>
        <v/>
      </c>
      <c r="F4157" s="13" t="inlineStr">
        <is>
          <t>PCT</t>
        </is>
      </c>
      <c r="G4157" s="6" t="n">
        <v>100</v>
      </c>
      <c r="H4157" s="6" t="n">
        <v>-973.063327</v>
      </c>
      <c r="I4157" s="7">
        <f>-H4157/G4157</f>
        <v/>
      </c>
      <c r="J4157" s="5" t="n"/>
      <c r="K4157" s="6" t="n"/>
      <c r="L4157" s="6" t="n"/>
      <c r="M4157" s="7">
        <f>IF(N4157=0,+L4157+H4157,0)</f>
        <v/>
      </c>
      <c r="N4157" s="7">
        <f>IF((+G4157-K4157)=0,0,+G4157-K4157)</f>
        <v/>
      </c>
      <c r="O4157" s="7">
        <f>IF(N4157=0,0,(L4157+H4157)/-N4157)</f>
        <v/>
      </c>
      <c r="P4157" s="7">
        <f>VLOOKUP(OPERAC[[#This Row],[especie]],[1]!ESPECIES[#All],6,0)</f>
        <v/>
      </c>
      <c r="Q4157" s="7">
        <f>IF(N4157&lt;&gt;0,P4157*N4157,0)</f>
        <v/>
      </c>
      <c r="R4157" s="8">
        <f>IF(Q4157&lt;&gt;0,Q4157+H4157+L4157,0)</f>
        <v/>
      </c>
      <c r="S4157" s="9">
        <f>VLOOKUP(OPERAC[[#This Row],[especie]],[1]!ESPECIES[#Data],9,FALSE)</f>
        <v/>
      </c>
    </row>
    <row r="4158">
      <c r="A4158" s="4" t="n">
        <v>2253</v>
      </c>
      <c r="B4158" s="5" t="n">
        <v>44707</v>
      </c>
      <c r="C4158" s="13" t="inlineStr">
        <is>
          <t>CPR</t>
        </is>
      </c>
      <c r="D4158" s="13" t="n">
        <v>42</v>
      </c>
      <c r="E4158" s="10">
        <f>IF(D4158&gt;0,VLOOKUP(OPERAC[[#This Row],[COD CART]],[1]!MatrizCortoLargoCyl[#All],3,0),"")</f>
        <v/>
      </c>
      <c r="F4158" s="13" t="inlineStr">
        <is>
          <t>PCT</t>
        </is>
      </c>
      <c r="G4158" s="6" t="n">
        <v>100</v>
      </c>
      <c r="H4158" s="6" t="n">
        <v>-973.063327</v>
      </c>
      <c r="I4158" s="7">
        <f>-H4158/G4158</f>
        <v/>
      </c>
      <c r="J4158" s="5" t="n"/>
      <c r="K4158" s="6" t="n"/>
      <c r="L4158" s="6" t="n"/>
      <c r="M4158" s="7">
        <f>IF(N4158=0,+L4158+H4158,0)</f>
        <v/>
      </c>
      <c r="N4158" s="7">
        <f>IF((+G4158-K4158)=0,0,+G4158-K4158)</f>
        <v/>
      </c>
      <c r="O4158" s="7">
        <f>IF(N4158=0,0,(L4158+H4158)/-N4158)</f>
        <v/>
      </c>
      <c r="P4158" s="7">
        <f>VLOOKUP(OPERAC[[#This Row],[especie]],[1]!ESPECIES[#All],6,0)</f>
        <v/>
      </c>
      <c r="Q4158" s="7">
        <f>IF(N4158&lt;&gt;0,P4158*N4158,0)</f>
        <v/>
      </c>
      <c r="R4158" s="8">
        <f>IF(Q4158&lt;&gt;0,Q4158+H4158+L4158,0)</f>
        <v/>
      </c>
      <c r="S4158" s="9">
        <f>VLOOKUP(OPERAC[[#This Row],[especie]],[1]!ESPECIES[#Data],9,FALSE)</f>
        <v/>
      </c>
    </row>
    <row r="4159">
      <c r="A4159" s="4" t="n">
        <v>2257</v>
      </c>
      <c r="B4159" s="5" t="n">
        <v>44707</v>
      </c>
      <c r="C4159" s="13" t="inlineStr">
        <is>
          <t>CPR</t>
        </is>
      </c>
      <c r="D4159" s="13" t="n">
        <v>42</v>
      </c>
      <c r="E4159" s="10">
        <f>IF(D4159&gt;0,VLOOKUP(OPERAC[[#This Row],[COD CART]],[1]!MatrizCortoLargoCyl[#All],3,0),"")</f>
        <v/>
      </c>
      <c r="F4159" s="13" t="inlineStr">
        <is>
          <t>PCT</t>
        </is>
      </c>
      <c r="G4159" s="6" t="n">
        <v>100</v>
      </c>
      <c r="H4159" s="6" t="n">
        <v>-973.063327</v>
      </c>
      <c r="I4159" s="7">
        <f>-H4159/G4159</f>
        <v/>
      </c>
      <c r="J4159" s="5" t="n"/>
      <c r="K4159" s="6" t="n"/>
      <c r="L4159" s="6" t="n"/>
      <c r="M4159" s="7">
        <f>IF(N4159=0,+L4159+H4159,0)</f>
        <v/>
      </c>
      <c r="N4159" s="7">
        <f>IF((+G4159-K4159)=0,0,+G4159-K4159)</f>
        <v/>
      </c>
      <c r="O4159" s="7">
        <f>IF(N4159=0,0,(L4159+H4159)/-N4159)</f>
        <v/>
      </c>
      <c r="P4159" s="7">
        <f>VLOOKUP(OPERAC[[#This Row],[especie]],[1]!ESPECIES[#All],6,0)</f>
        <v/>
      </c>
      <c r="Q4159" s="7">
        <f>IF(N4159&lt;&gt;0,P4159*N4159,0)</f>
        <v/>
      </c>
      <c r="R4159" s="8">
        <f>IF(Q4159&lt;&gt;0,Q4159+H4159+L4159,0)</f>
        <v/>
      </c>
      <c r="S4159" s="9">
        <f>VLOOKUP(OPERAC[[#This Row],[especie]],[1]!ESPECIES[#Data],9,FALSE)</f>
        <v/>
      </c>
    </row>
    <row r="4160">
      <c r="A4160" s="4" t="n">
        <v>3787</v>
      </c>
      <c r="B4160" s="5" t="n">
        <v>44707</v>
      </c>
      <c r="C4160" s="13" t="inlineStr">
        <is>
          <t>CPR</t>
        </is>
      </c>
      <c r="D4160" s="13" t="n">
        <v>42</v>
      </c>
      <c r="E4160" s="10">
        <f>IF(D4160&gt;0,VLOOKUP(OPERAC[[#This Row],[COD CART]],[1]!MatrizCortoLargoCyl[#All],3,0),"")</f>
        <v/>
      </c>
      <c r="F4160" s="13" t="inlineStr">
        <is>
          <t>PCT</t>
        </is>
      </c>
      <c r="G4160" s="6" t="n">
        <v>100</v>
      </c>
      <c r="H4160" s="6" t="n">
        <v>-973.063327</v>
      </c>
      <c r="I4160" s="7">
        <f>-H4160/G4160</f>
        <v/>
      </c>
      <c r="J4160" s="5" t="n"/>
      <c r="K4160" s="6" t="n"/>
      <c r="L4160" s="6" t="n"/>
      <c r="M4160" s="7">
        <f>IF(N4160=0,+L4160+H4160,0)</f>
        <v/>
      </c>
      <c r="N4160" s="7">
        <f>IF((+G4160-K4160)=0,0,+G4160-K4160)</f>
        <v/>
      </c>
      <c r="O4160" s="7">
        <f>IF(N4160=0,0,(L4160+H4160)/-N4160)</f>
        <v/>
      </c>
      <c r="P4160" s="7">
        <f>VLOOKUP(OPERAC[[#This Row],[especie]],[1]!ESPECIES[#All],6,0)</f>
        <v/>
      </c>
      <c r="Q4160" s="7">
        <f>IF(N4160&lt;&gt;0,P4160*N4160,0)</f>
        <v/>
      </c>
      <c r="R4160" s="8">
        <f>IF(Q4160&lt;&gt;0,Q4160+H4160+L4160,0)</f>
        <v/>
      </c>
      <c r="S4160" s="9">
        <f>VLOOKUP(OPERAC[[#This Row],[especie]],[1]!ESPECIES[#Data],9,FALSE)</f>
        <v/>
      </c>
    </row>
    <row r="4161">
      <c r="A4161" s="4" t="n">
        <v>12652</v>
      </c>
      <c r="B4161" s="5" t="n">
        <v>44641</v>
      </c>
      <c r="C4161" s="13" t="inlineStr">
        <is>
          <t>CPR</t>
        </is>
      </c>
      <c r="D4161" s="13" t="n">
        <v>42</v>
      </c>
      <c r="E4161" s="10">
        <f>IF(D4161&gt;0,VLOOKUP(OPERAC[[#This Row],[COD CART]],[1]!MatrizCortoLargoCyl[#All],3,0),"")</f>
        <v/>
      </c>
      <c r="F4161" s="13" t="inlineStr">
        <is>
          <t>DIS</t>
        </is>
      </c>
      <c r="G4161" s="6" t="n">
        <v>7</v>
      </c>
      <c r="H4161" s="6" t="n">
        <v>-974.8984</v>
      </c>
      <c r="I4161" s="7">
        <f>-H4161/G4161</f>
        <v/>
      </c>
      <c r="J4161" s="11" t="n">
        <v>44648</v>
      </c>
      <c r="K4161" s="6" t="n">
        <v>7</v>
      </c>
      <c r="L4161" s="6" t="n">
        <v>956.889</v>
      </c>
      <c r="M4161" s="7">
        <f>IF(N4161=0,+L4161+H4161,0)</f>
        <v/>
      </c>
      <c r="N4161" s="7">
        <f>IF((+G4161-K4161)=0,0,+G4161-K4161)</f>
        <v/>
      </c>
      <c r="O4161" s="7">
        <f>IF(N4161=0,0,(L4161+H4161)/-N4161)</f>
        <v/>
      </c>
      <c r="P4161" s="7">
        <f>VLOOKUP(OPERAC[[#This Row],[especie]],[1]!ESPECIES[#All],6,0)</f>
        <v/>
      </c>
      <c r="Q4161" s="7">
        <f>IF(N4161&lt;&gt;0,P4161*N4161,0)</f>
        <v/>
      </c>
      <c r="R4161" s="8">
        <f>IF(Q4161&lt;&gt;0,Q4161+H4161+L4161,0)</f>
        <v/>
      </c>
      <c r="S4161" s="9">
        <f>VLOOKUP(OPERAC[[#This Row],[especie]],[1]!ESPECIES[#Data],9,FALSE)</f>
        <v/>
      </c>
    </row>
    <row r="4162">
      <c r="A4162" s="4" t="n">
        <v>12674</v>
      </c>
      <c r="B4162" s="5" t="n">
        <v>44641</v>
      </c>
      <c r="C4162" s="13" t="inlineStr">
        <is>
          <t>CPR</t>
        </is>
      </c>
      <c r="D4162" s="13" t="n">
        <v>42</v>
      </c>
      <c r="E4162" s="10">
        <f>IF(D4162&gt;0,VLOOKUP(OPERAC[[#This Row],[COD CART]],[1]!MatrizCortoLargoCyl[#All],3,0),"")</f>
        <v/>
      </c>
      <c r="F4162" s="13" t="inlineStr">
        <is>
          <t>DIS</t>
        </is>
      </c>
      <c r="G4162" s="6" t="n">
        <v>7</v>
      </c>
      <c r="H4162" s="6" t="n">
        <v>-974.8984</v>
      </c>
      <c r="I4162" s="7">
        <f>-H4162/G4162</f>
        <v/>
      </c>
      <c r="J4162" s="11" t="n">
        <v>44671</v>
      </c>
      <c r="K4162" s="6">
        <f>+OPERAC[[#This Row],[cantidad]]</f>
        <v/>
      </c>
      <c r="L4162" s="6">
        <f>+OPERAC[[#This Row],[cantidad venta]]*123.621</f>
        <v/>
      </c>
      <c r="M4162" s="7">
        <f>IF(N4162=0,+L4162+H4162,0)</f>
        <v/>
      </c>
      <c r="N4162" s="7">
        <f>IF((+G4162-K4162)=0,0,+G4162-K4162)</f>
        <v/>
      </c>
      <c r="O4162" s="7">
        <f>IF(N4162=0,0,(L4162+H4162)/-N4162)</f>
        <v/>
      </c>
      <c r="P4162" s="7">
        <f>VLOOKUP(OPERAC[[#This Row],[especie]],[1]!ESPECIES[#All],6,0)</f>
        <v/>
      </c>
      <c r="Q4162" s="7">
        <f>IF(N4162&lt;&gt;0,P4162*N4162,0)</f>
        <v/>
      </c>
      <c r="R4162" s="8">
        <f>IF(Q4162&lt;&gt;0,Q4162+H4162+L4162,0)</f>
        <v/>
      </c>
      <c r="S4162" s="9">
        <f>VLOOKUP(OPERAC[[#This Row],[especie]],[1]!ESPECIES[#Data],9,FALSE)</f>
        <v/>
      </c>
    </row>
    <row r="4163">
      <c r="A4163" s="4" t="n">
        <v>13269</v>
      </c>
      <c r="B4163" s="5" t="n">
        <v>44641</v>
      </c>
      <c r="C4163" s="13" t="inlineStr">
        <is>
          <t>CPR</t>
        </is>
      </c>
      <c r="D4163" s="13" t="n">
        <v>42</v>
      </c>
      <c r="E4163" s="10">
        <f>IF(D4163&gt;0,VLOOKUP(OPERAC[[#This Row],[COD CART]],[1]!MatrizCortoLargoCyl[#All],3,0),"")</f>
        <v/>
      </c>
      <c r="F4163" s="13" t="inlineStr">
        <is>
          <t>DIS</t>
        </is>
      </c>
      <c r="G4163" s="6" t="n">
        <v>7</v>
      </c>
      <c r="H4163" s="6" t="n">
        <v>-974.8984</v>
      </c>
      <c r="I4163" s="7">
        <f>-H4163/G4163</f>
        <v/>
      </c>
      <c r="J4163" s="11" t="n">
        <v>44671</v>
      </c>
      <c r="K4163" s="6">
        <f>+OPERAC[[#This Row],[cantidad]]</f>
        <v/>
      </c>
      <c r="L4163" s="6">
        <f>+OPERAC[[#This Row],[cantidad venta]]*123.621</f>
        <v/>
      </c>
      <c r="M4163" s="7">
        <f>IF(N4163=0,+L4163+H4163,0)</f>
        <v/>
      </c>
      <c r="N4163" s="7">
        <f>IF((+G4163-K4163)=0,0,+G4163-K4163)</f>
        <v/>
      </c>
      <c r="O4163" s="7">
        <f>IF(N4163=0,0,(L4163+H4163)/-N4163)</f>
        <v/>
      </c>
      <c r="P4163" s="7">
        <f>VLOOKUP(OPERAC[[#This Row],[especie]],[1]!ESPECIES[#All],6,0)</f>
        <v/>
      </c>
      <c r="Q4163" s="7">
        <f>IF(N4163&lt;&gt;0,P4163*N4163,0)</f>
        <v/>
      </c>
      <c r="R4163" s="8">
        <f>IF(Q4163&lt;&gt;0,Q4163+H4163+L4163,0)</f>
        <v/>
      </c>
      <c r="S4163" s="9">
        <f>VLOOKUP(OPERAC[[#This Row],[especie]],[1]!ESPECIES[#Data],9,FALSE)</f>
        <v/>
      </c>
    </row>
    <row r="4164">
      <c r="A4164" s="4" t="n">
        <v>19932</v>
      </c>
      <c r="B4164" s="5" t="n">
        <v>44641</v>
      </c>
      <c r="C4164" s="13" t="inlineStr">
        <is>
          <t>CPR</t>
        </is>
      </c>
      <c r="D4164" s="13" t="n">
        <v>42</v>
      </c>
      <c r="E4164" s="10">
        <f>IF(D4164&gt;0,VLOOKUP(OPERAC[[#This Row],[COD CART]],[1]!MatrizCortoLargoCyl[#All],3,0),"")</f>
        <v/>
      </c>
      <c r="F4164" s="13" t="inlineStr">
        <is>
          <t>DIS</t>
        </is>
      </c>
      <c r="G4164" s="6" t="n">
        <v>7</v>
      </c>
      <c r="H4164" s="6" t="n">
        <v>-974.8984</v>
      </c>
      <c r="I4164" s="7">
        <f>-H4164/G4164</f>
        <v/>
      </c>
      <c r="J4164" s="11" t="n">
        <v>44671</v>
      </c>
      <c r="K4164" s="6">
        <f>+OPERAC[[#This Row],[cantidad]]</f>
        <v/>
      </c>
      <c r="L4164" s="6">
        <f>+OPERAC[[#This Row],[cantidad venta]]*123.621</f>
        <v/>
      </c>
      <c r="M4164" s="7">
        <f>IF(N4164=0,+L4164+H4164,0)</f>
        <v/>
      </c>
      <c r="N4164" s="7">
        <f>IF((+G4164-K4164)=0,0,+G4164-K4164)</f>
        <v/>
      </c>
      <c r="O4164" s="7">
        <f>IF(N4164=0,0,(L4164+H4164)/-N4164)</f>
        <v/>
      </c>
      <c r="P4164" s="7">
        <f>VLOOKUP(OPERAC[[#This Row],[especie]],[1]!ESPECIES[#All],6,0)</f>
        <v/>
      </c>
      <c r="Q4164" s="7">
        <f>IF(N4164&lt;&gt;0,P4164*N4164,0)</f>
        <v/>
      </c>
      <c r="R4164" s="8">
        <f>IF(Q4164&lt;&gt;0,Q4164+H4164+L4164,0)</f>
        <v/>
      </c>
      <c r="S4164" s="9">
        <f>VLOOKUP(OPERAC[[#This Row],[especie]],[1]!ESPECIES[#Data],9,FALSE)</f>
        <v/>
      </c>
    </row>
    <row r="4165">
      <c r="A4165" s="4" t="n">
        <v>15195</v>
      </c>
      <c r="B4165" s="5" t="n">
        <v>44630</v>
      </c>
      <c r="C4165" s="13" t="inlineStr">
        <is>
          <t>CPR</t>
        </is>
      </c>
      <c r="D4165" s="13" t="n">
        <v>31</v>
      </c>
      <c r="E4165" s="10">
        <f>IF(D4165&gt;0,VLOOKUP(OPERAC[[#This Row],[COD CART]],[1]!MatrizCortoLargoCyl[#All],3,0),"")</f>
        <v/>
      </c>
      <c r="F4165" s="13" t="inlineStr">
        <is>
          <t>FB</t>
        </is>
      </c>
      <c r="G4165" s="6" t="n">
        <v>5</v>
      </c>
      <c r="H4165" s="6" t="n">
        <v>-975.5344000000001</v>
      </c>
      <c r="I4165" s="7">
        <f>-H4165/G4165</f>
        <v/>
      </c>
      <c r="J4165" s="11" t="n">
        <v>44669</v>
      </c>
      <c r="K4165" s="6" t="n">
        <v>5</v>
      </c>
      <c r="L4165" s="6" t="n">
        <v>1038.051</v>
      </c>
      <c r="M4165" s="7">
        <f>IF(N4165=0,+L4165+H4165,0)</f>
        <v/>
      </c>
      <c r="N4165" s="7">
        <f>IF((+G4165-K4165)=0,0,+G4165-K4165)</f>
        <v/>
      </c>
      <c r="O4165" s="7">
        <f>IF(N4165=0,0,(L4165+H4165)/-N4165)</f>
        <v/>
      </c>
      <c r="P4165" s="7">
        <f>VLOOKUP(OPERAC[[#This Row],[especie]],[1]!ESPECIES[#All],6,0)</f>
        <v/>
      </c>
      <c r="Q4165" s="7">
        <f>IF(N4165&lt;&gt;0,P4165*N4165,0)</f>
        <v/>
      </c>
      <c r="R4165" s="8">
        <f>IF(Q4165&lt;&gt;0,Q4165+H4165+L4165,0)</f>
        <v/>
      </c>
      <c r="S4165" s="9">
        <f>VLOOKUP(OPERAC[[#This Row],[especie]],[1]!ESPECIES[#Data],9,FALSE)</f>
        <v/>
      </c>
    </row>
    <row r="4166">
      <c r="A4166" s="4" t="n">
        <v>2255</v>
      </c>
      <c r="B4166" s="5" t="n">
        <v>44671</v>
      </c>
      <c r="C4166" s="13" t="inlineStr">
        <is>
          <t>CPR</t>
        </is>
      </c>
      <c r="D4166" s="13" t="n">
        <v>42</v>
      </c>
      <c r="E4166" s="10">
        <f>IF(D4166&gt;0,VLOOKUP(OPERAC[[#This Row],[COD CART]],[1]!MatrizCortoLargoCyl[#All],3,0),"")</f>
        <v/>
      </c>
      <c r="F4166" s="13" t="inlineStr">
        <is>
          <t>TLT</t>
        </is>
      </c>
      <c r="G4166" s="6" t="n">
        <v>8</v>
      </c>
      <c r="H4166" s="6" t="n">
        <v>-976.61508</v>
      </c>
      <c r="I4166" s="7">
        <f>-H4166/G4166</f>
        <v/>
      </c>
      <c r="J4166" s="11" t="n"/>
      <c r="K4166" s="6" t="n"/>
      <c r="L4166" s="6" t="n"/>
      <c r="M4166" s="7">
        <f>IF(N4166=0,+L4166+H4166,0)</f>
        <v/>
      </c>
      <c r="N4166" s="7">
        <f>IF((+G4166-K4166)=0,0,+G4166-K4166)</f>
        <v/>
      </c>
      <c r="O4166" s="7">
        <f>IF(N4166=0,0,(L4166+H4166)/-N4166)</f>
        <v/>
      </c>
      <c r="P4166" s="7">
        <f>VLOOKUP(OPERAC[[#This Row],[especie]],[1]!ESPECIES[#All],6,0)</f>
        <v/>
      </c>
      <c r="Q4166" s="7">
        <f>IF(N4166&lt;&gt;0,P4166*N4166,0)</f>
        <v/>
      </c>
      <c r="R4166" s="8">
        <f>IF(Q4166&lt;&gt;0,Q4166+H4166+L4166,0)</f>
        <v/>
      </c>
      <c r="S4166" s="9">
        <f>VLOOKUP(OPERAC[[#This Row],[especie]],[1]!ESPECIES[#Data],9,FALSE)</f>
        <v/>
      </c>
    </row>
    <row r="4167">
      <c r="A4167" s="4" t="n">
        <v>1760</v>
      </c>
      <c r="B4167" s="5" t="n">
        <v>44643</v>
      </c>
      <c r="C4167" s="13" t="inlineStr">
        <is>
          <t>CPR</t>
        </is>
      </c>
      <c r="D4167" s="13" t="n">
        <v>42</v>
      </c>
      <c r="E4167" s="10">
        <f>IF(D4167&gt;0,VLOOKUP(OPERAC[[#This Row],[COD CART]],[1]!MatrizCortoLargoCyl[#All],3,0),"")</f>
        <v/>
      </c>
      <c r="F4167" s="13" t="inlineStr">
        <is>
          <t>DIS</t>
        </is>
      </c>
      <c r="G4167" s="6" t="n">
        <v>7</v>
      </c>
      <c r="H4167" s="6" t="n">
        <v>-977.9150500000001</v>
      </c>
      <c r="I4167" s="7">
        <f>-H4167/G4167</f>
        <v/>
      </c>
      <c r="J4167" s="11" t="n">
        <v>44671</v>
      </c>
      <c r="K4167" s="6">
        <f>+OPERAC[[#This Row],[cantidad]]</f>
        <v/>
      </c>
      <c r="L4167" s="6">
        <f>+OPERAC[[#This Row],[cantidad venta]]*123.621</f>
        <v/>
      </c>
      <c r="M4167" s="7">
        <f>IF(N4167=0,+L4167+H4167,0)</f>
        <v/>
      </c>
      <c r="N4167" s="7">
        <f>IF((+G4167-K4167)=0,0,+G4167-K4167)</f>
        <v/>
      </c>
      <c r="O4167" s="7">
        <f>IF(N4167=0,0,(L4167+H4167)/-N4167)</f>
        <v/>
      </c>
      <c r="P4167" s="7">
        <f>VLOOKUP(OPERAC[[#This Row],[especie]],[1]!ESPECIES[#All],6,0)</f>
        <v/>
      </c>
      <c r="Q4167" s="7">
        <f>IF(N4167&lt;&gt;0,P4167*N4167,0)</f>
        <v/>
      </c>
      <c r="R4167" s="8">
        <f>IF(Q4167&lt;&gt;0,Q4167+H4167+L4167,0)</f>
        <v/>
      </c>
      <c r="S4167" s="9">
        <f>VLOOKUP(OPERAC[[#This Row],[especie]],[1]!ESPECIES[#Data],9,FALSE)</f>
        <v/>
      </c>
    </row>
    <row r="4168">
      <c r="A4168" s="4" t="n">
        <v>19932</v>
      </c>
      <c r="B4168" s="5" t="n">
        <v>44643</v>
      </c>
      <c r="C4168" s="13" t="inlineStr">
        <is>
          <t>CPR</t>
        </is>
      </c>
      <c r="D4168" s="13" t="n">
        <v>42</v>
      </c>
      <c r="E4168" s="10">
        <f>IF(D4168&gt;0,VLOOKUP(OPERAC[[#This Row],[COD CART]],[1]!MatrizCortoLargoCyl[#All],3,0),"")</f>
        <v/>
      </c>
      <c r="F4168" s="13" t="inlineStr">
        <is>
          <t>DIS</t>
        </is>
      </c>
      <c r="G4168" s="6" t="n">
        <v>7</v>
      </c>
      <c r="H4168" s="6" t="n">
        <v>-977.9150500000001</v>
      </c>
      <c r="I4168" s="7">
        <f>-H4168/G4168</f>
        <v/>
      </c>
      <c r="J4168" s="11" t="n">
        <v>44671</v>
      </c>
      <c r="K4168" s="6">
        <f>+OPERAC[[#This Row],[cantidad]]</f>
        <v/>
      </c>
      <c r="L4168" s="6">
        <f>+OPERAC[[#This Row],[cantidad venta]]*123.621</f>
        <v/>
      </c>
      <c r="M4168" s="7">
        <f>IF(N4168=0,+L4168+H4168,0)</f>
        <v/>
      </c>
      <c r="N4168" s="7">
        <f>IF((+G4168-K4168)=0,0,+G4168-K4168)</f>
        <v/>
      </c>
      <c r="O4168" s="7">
        <f>IF(N4168=0,0,(L4168+H4168)/-N4168)</f>
        <v/>
      </c>
      <c r="P4168" s="7">
        <f>VLOOKUP(OPERAC[[#This Row],[especie]],[1]!ESPECIES[#All],6,0)</f>
        <v/>
      </c>
      <c r="Q4168" s="7">
        <f>IF(N4168&lt;&gt;0,P4168*N4168,0)</f>
        <v/>
      </c>
      <c r="R4168" s="8">
        <f>IF(Q4168&lt;&gt;0,Q4168+H4168+L4168,0)</f>
        <v/>
      </c>
      <c r="S4168" s="9">
        <f>VLOOKUP(OPERAC[[#This Row],[especie]],[1]!ESPECIES[#Data],9,FALSE)</f>
        <v/>
      </c>
    </row>
    <row r="4169">
      <c r="A4169" s="4" t="n">
        <v>18668</v>
      </c>
      <c r="B4169" s="5" t="n">
        <v>43831</v>
      </c>
      <c r="C4169" s="13" t="inlineStr">
        <is>
          <t>CPR</t>
        </is>
      </c>
      <c r="D4169" s="13" t="n">
        <v>41</v>
      </c>
      <c r="E4169" s="10">
        <f>IF(D4169&gt;0,VLOOKUP(OPERAC[[#This Row],[COD CART]],[1]!MatrizCortoLargoCyl[#All],3,0),"")</f>
        <v/>
      </c>
      <c r="F4169" s="13" t="inlineStr">
        <is>
          <t>YPF</t>
        </is>
      </c>
      <c r="G4169" s="6" t="n">
        <v>100</v>
      </c>
      <c r="H4169" s="6" t="n">
        <v>-980.0000000000001</v>
      </c>
      <c r="I4169" s="7" t="n">
        <v>9.800000000000001</v>
      </c>
      <c r="J4169" s="5" t="n"/>
      <c r="K4169" s="6" t="n"/>
      <c r="L4169" s="6" t="n"/>
      <c r="M4169" s="7">
        <f>IF(N4169=0,+L4169+H4169,0)</f>
        <v/>
      </c>
      <c r="N4169" s="7">
        <f>IF((+G4169-K4169)=0,0,+G4169-K4169)</f>
        <v/>
      </c>
      <c r="O4169" s="7">
        <f>IF(N4169=0,0,(L4169+H4169)/-N4169)</f>
        <v/>
      </c>
      <c r="P4169" s="7">
        <f>VLOOKUP(OPERAC[[#This Row],[especie]],[1]!ESPECIES[#All],6,0)</f>
        <v/>
      </c>
      <c r="Q4169" s="7">
        <f>IF(N4169&lt;&gt;0,P4169*N4169,0)</f>
        <v/>
      </c>
      <c r="R4169" s="8">
        <f>IF(Q4169&lt;&gt;0,Q4169+H4169+L4169,0)</f>
        <v/>
      </c>
      <c r="S4169" s="9">
        <f>VLOOKUP(OPERAC[[#This Row],[especie]],[1]!ESPECIES[#Data],9,FALSE)</f>
        <v/>
      </c>
    </row>
    <row r="4170">
      <c r="A4170" s="4" t="n">
        <v>13240</v>
      </c>
      <c r="B4170" s="5" t="n">
        <v>44636</v>
      </c>
      <c r="C4170" s="13" t="inlineStr">
        <is>
          <t>CPR</t>
        </is>
      </c>
      <c r="D4170" s="13" t="n">
        <v>43</v>
      </c>
      <c r="E4170" s="10">
        <f>IF(D4170&gt;0,VLOOKUP(OPERAC[[#This Row],[COD CART]],[1]!MatrizCortoLargoCyl[#All],3,0),"")</f>
        <v/>
      </c>
      <c r="F4170" s="13" t="inlineStr">
        <is>
          <t>GMBL/CYL-PUT/1,00/20-01-23</t>
        </is>
      </c>
      <c r="G4170" s="6" t="n">
        <v>6000</v>
      </c>
      <c r="H4170" s="6" t="n">
        <v>-980.3318999999992</v>
      </c>
      <c r="I4170" s="7">
        <f>-H4170/G4170</f>
        <v/>
      </c>
      <c r="J4170" s="11" t="n"/>
      <c r="K4170" s="6" t="n"/>
      <c r="L4170" s="6" t="n"/>
      <c r="M4170" s="7">
        <f>IF(N4170=0,+L4170+H4170,0)</f>
        <v/>
      </c>
      <c r="N4170" s="7">
        <f>IF((+G4170-K4170)=0,0,+G4170-K4170)</f>
        <v/>
      </c>
      <c r="O4170" s="7">
        <f>IF(N4170=0,0,(L4170+H4170)/-N4170)</f>
        <v/>
      </c>
      <c r="P4170" s="7">
        <f>VLOOKUP(OPERAC[[#This Row],[especie]],[1]!ESPECIES[#All],6,0)</f>
        <v/>
      </c>
      <c r="Q4170" s="7">
        <f>IF(N4170&lt;&gt;0,P4170*N4170,0)</f>
        <v/>
      </c>
      <c r="R4170" s="8">
        <f>IF(Q4170&lt;&gt;0,Q4170+H4170+L4170,0)</f>
        <v/>
      </c>
      <c r="S4170" s="9">
        <f>VLOOKUP(OPERAC[[#This Row],[especie]],[1]!ESPECIES[#Data],9,FALSE)</f>
        <v/>
      </c>
    </row>
    <row r="4171">
      <c r="A4171" s="4" t="n">
        <v>19867</v>
      </c>
      <c r="B4171" s="5" t="n">
        <v>44671</v>
      </c>
      <c r="C4171" s="13" t="inlineStr">
        <is>
          <t>CPR</t>
        </is>
      </c>
      <c r="D4171" s="13" t="n">
        <v>42</v>
      </c>
      <c r="E4171" s="10">
        <f>IF(D4171&gt;0,VLOOKUP(OPERAC[[#This Row],[COD CART]],[1]!MatrizCortoLargoCyl[#All],3,0),"")</f>
        <v/>
      </c>
      <c r="F4171" s="13" t="inlineStr">
        <is>
          <t>TLT</t>
        </is>
      </c>
      <c r="G4171" s="6" t="n">
        <v>8</v>
      </c>
      <c r="H4171" s="6" t="n">
        <v>-980.50404</v>
      </c>
      <c r="I4171" s="7">
        <f>-H4171/G4171</f>
        <v/>
      </c>
      <c r="J4171" s="11" t="n"/>
      <c r="K4171" s="6" t="n"/>
      <c r="L4171" s="6" t="n"/>
      <c r="M4171" s="7">
        <f>IF(N4171=0,+L4171+H4171,0)</f>
        <v/>
      </c>
      <c r="N4171" s="7">
        <f>IF((+G4171-K4171)=0,0,+G4171-K4171)</f>
        <v/>
      </c>
      <c r="O4171" s="7">
        <f>IF(N4171=0,0,(L4171+H4171)/-N4171)</f>
        <v/>
      </c>
      <c r="P4171" s="7">
        <f>VLOOKUP(OPERAC[[#This Row],[especie]],[1]!ESPECIES[#All],6,0)</f>
        <v/>
      </c>
      <c r="Q4171" s="7">
        <f>IF(N4171&lt;&gt;0,P4171*N4171,0)</f>
        <v/>
      </c>
      <c r="R4171" s="8">
        <f>IF(Q4171&lt;&gt;0,Q4171+H4171+L4171,0)</f>
        <v/>
      </c>
      <c r="S4171" s="9">
        <f>VLOOKUP(OPERAC[[#This Row],[especie]],[1]!ESPECIES[#Data],9,FALSE)</f>
        <v/>
      </c>
    </row>
    <row r="4172">
      <c r="A4172" s="4" t="n">
        <v>10079</v>
      </c>
      <c r="B4172" s="5" t="n">
        <v>44671</v>
      </c>
      <c r="C4172" s="13" t="inlineStr">
        <is>
          <t>CPR</t>
        </is>
      </c>
      <c r="D4172" s="13" t="n">
        <v>42</v>
      </c>
      <c r="E4172" s="10">
        <f>IF(D4172&gt;0,VLOOKUP(OPERAC[[#This Row],[COD CART]],[1]!MatrizCortoLargoCyl[#All],3,0),"")</f>
        <v/>
      </c>
      <c r="F4172" s="13" t="inlineStr">
        <is>
          <t>TLT</t>
        </is>
      </c>
      <c r="G4172" s="6" t="n">
        <v>8</v>
      </c>
      <c r="H4172" s="6" t="n">
        <v>-980.50404</v>
      </c>
      <c r="I4172" s="7">
        <f>-H4172/G4172</f>
        <v/>
      </c>
      <c r="J4172" s="11" t="n">
        <v>44704</v>
      </c>
      <c r="K4172" s="6" t="n">
        <v>8</v>
      </c>
      <c r="L4172" s="6" t="n">
        <v>932.645</v>
      </c>
      <c r="M4172" s="7">
        <f>IF(N4172=0,+L4172+H4172,0)</f>
        <v/>
      </c>
      <c r="N4172" s="7">
        <f>IF((+G4172-K4172)=0,0,+G4172-K4172)</f>
        <v/>
      </c>
      <c r="O4172" s="7">
        <f>IF(N4172=0,0,(L4172+H4172)/-N4172)</f>
        <v/>
      </c>
      <c r="P4172" s="7">
        <f>VLOOKUP(OPERAC[[#This Row],[especie]],[1]!ESPECIES[#All],6,0)</f>
        <v/>
      </c>
      <c r="Q4172" s="7">
        <f>IF(N4172&lt;&gt;0,P4172*N4172,0)</f>
        <v/>
      </c>
      <c r="R4172" s="8">
        <f>IF(Q4172&lt;&gt;0,Q4172+H4172+L4172,0)</f>
        <v/>
      </c>
      <c r="S4172" s="9">
        <f>VLOOKUP(OPERAC[[#This Row],[especie]],[1]!ESPECIES[#Data],9,FALSE)</f>
        <v/>
      </c>
    </row>
    <row r="4173">
      <c r="A4173" s="4" t="n">
        <v>22407</v>
      </c>
      <c r="B4173" s="5" t="n">
        <v>44671</v>
      </c>
      <c r="C4173" s="13" t="inlineStr">
        <is>
          <t>CPR</t>
        </is>
      </c>
      <c r="D4173" s="13" t="n">
        <v>42</v>
      </c>
      <c r="E4173" s="10">
        <f>IF(D4173&gt;0,VLOOKUP(OPERAC[[#This Row],[COD CART]],[1]!MatrizCortoLargoCyl[#All],3,0),"")</f>
        <v/>
      </c>
      <c r="F4173" s="13" t="inlineStr">
        <is>
          <t>TLT</t>
        </is>
      </c>
      <c r="G4173" s="6" t="n">
        <v>8</v>
      </c>
      <c r="H4173" s="6" t="n">
        <v>-980.50404</v>
      </c>
      <c r="I4173" s="7">
        <f>-H4173/G4173</f>
        <v/>
      </c>
      <c r="J4173" s="11" t="n"/>
      <c r="K4173" s="6" t="n"/>
      <c r="L4173" s="6" t="n"/>
      <c r="M4173" s="7">
        <f>IF(N4173=0,+L4173+H4173,0)</f>
        <v/>
      </c>
      <c r="N4173" s="7">
        <f>IF((+G4173-K4173)=0,0,+G4173-K4173)</f>
        <v/>
      </c>
      <c r="O4173" s="7">
        <f>IF(N4173=0,0,(L4173+H4173)/-N4173)</f>
        <v/>
      </c>
      <c r="P4173" s="7">
        <f>VLOOKUP(OPERAC[[#This Row],[especie]],[1]!ESPECIES[#All],6,0)</f>
        <v/>
      </c>
      <c r="Q4173" s="7">
        <f>IF(N4173&lt;&gt;0,P4173*N4173,0)</f>
        <v/>
      </c>
      <c r="R4173" s="8">
        <f>IF(Q4173&lt;&gt;0,Q4173+H4173+L4173,0)</f>
        <v/>
      </c>
      <c r="S4173" s="9">
        <f>VLOOKUP(OPERAC[[#This Row],[especie]],[1]!ESPECIES[#Data],9,FALSE)</f>
        <v/>
      </c>
    </row>
    <row r="4174">
      <c r="A4174" s="4" t="n">
        <v>25070</v>
      </c>
      <c r="B4174" s="5" t="n">
        <v>44671</v>
      </c>
      <c r="C4174" s="13" t="inlineStr">
        <is>
          <t>CPR</t>
        </is>
      </c>
      <c r="D4174" s="13" t="n">
        <v>42</v>
      </c>
      <c r="E4174" s="10">
        <f>IF(D4174&gt;0,VLOOKUP(OPERAC[[#This Row],[COD CART]],[1]!MatrizCortoLargoCyl[#All],3,0),"")</f>
        <v/>
      </c>
      <c r="F4174" s="13" t="inlineStr">
        <is>
          <t>TLT</t>
        </is>
      </c>
      <c r="G4174" s="6" t="n">
        <v>8</v>
      </c>
      <c r="H4174" s="6" t="n">
        <v>-980.50404</v>
      </c>
      <c r="I4174" s="7">
        <f>-H4174/G4174</f>
        <v/>
      </c>
      <c r="J4174" s="11" t="n">
        <v>44677</v>
      </c>
      <c r="K4174" s="6" t="n">
        <v>8</v>
      </c>
      <c r="L4174" s="6" t="n">
        <v>970.264</v>
      </c>
      <c r="M4174" s="7">
        <f>IF(N4174=0,+L4174+H4174,0)</f>
        <v/>
      </c>
      <c r="N4174" s="7">
        <f>IF((+G4174-K4174)=0,0,+G4174-K4174)</f>
        <v/>
      </c>
      <c r="O4174" s="7">
        <f>IF(N4174=0,0,(L4174+H4174)/-N4174)</f>
        <v/>
      </c>
      <c r="P4174" s="7">
        <f>VLOOKUP(OPERAC[[#This Row],[especie]],[1]!ESPECIES[#All],6,0)</f>
        <v/>
      </c>
      <c r="Q4174" s="7">
        <f>IF(N4174&lt;&gt;0,P4174*N4174,0)</f>
        <v/>
      </c>
      <c r="R4174" s="8">
        <f>IF(Q4174&lt;&gt;0,Q4174+H4174+L4174,0)</f>
        <v/>
      </c>
      <c r="S4174" s="9">
        <f>VLOOKUP(OPERAC[[#This Row],[especie]],[1]!ESPECIES[#Data],9,FALSE)</f>
        <v/>
      </c>
    </row>
    <row r="4175">
      <c r="A4175" s="4" t="n">
        <v>16780</v>
      </c>
      <c r="B4175" s="5" t="n">
        <v>44655</v>
      </c>
      <c r="C4175" s="13" t="inlineStr">
        <is>
          <t>CPR</t>
        </is>
      </c>
      <c r="D4175" s="13" t="n">
        <v>42</v>
      </c>
      <c r="E4175" s="10">
        <f>IF(D4175&gt;0,VLOOKUP(OPERAC[[#This Row],[COD CART]],[1]!MatrizCortoLargoCyl[#All],3,0),"")</f>
        <v/>
      </c>
      <c r="F4175" s="13" t="inlineStr">
        <is>
          <t>DIS</t>
        </is>
      </c>
      <c r="G4175" s="6" t="n">
        <v>7</v>
      </c>
      <c r="H4175" s="6" t="n">
        <v>-980.63728</v>
      </c>
      <c r="I4175" s="7">
        <f>-H4175/G4175</f>
        <v/>
      </c>
      <c r="J4175" s="11" t="n">
        <v>44671</v>
      </c>
      <c r="K4175" s="6">
        <f>+OPERAC[[#This Row],[cantidad]]</f>
        <v/>
      </c>
      <c r="L4175" s="6">
        <f>+OPERAC[[#This Row],[cantidad venta]]*123.621</f>
        <v/>
      </c>
      <c r="M4175" s="7">
        <f>IF(N4175=0,+L4175+H4175,0)</f>
        <v/>
      </c>
      <c r="N4175" s="7">
        <f>IF((+G4175-K4175)=0,0,+G4175-K4175)</f>
        <v/>
      </c>
      <c r="O4175" s="7">
        <f>IF(N4175=0,0,(L4175+H4175)/-N4175)</f>
        <v/>
      </c>
      <c r="P4175" s="7">
        <f>VLOOKUP(OPERAC[[#This Row],[especie]],[1]!ESPECIES[#All],6,0)</f>
        <v/>
      </c>
      <c r="Q4175" s="7">
        <f>IF(N4175&lt;&gt;0,P4175*N4175,0)</f>
        <v/>
      </c>
      <c r="R4175" s="8">
        <f>IF(Q4175&lt;&gt;0,Q4175+H4175+L4175,0)</f>
        <v/>
      </c>
      <c r="S4175" s="9">
        <f>VLOOKUP(OPERAC[[#This Row],[especie]],[1]!ESPECIES[#Data],9,FALSE)</f>
        <v/>
      </c>
    </row>
    <row r="4176">
      <c r="A4176" s="4" t="n">
        <v>3021</v>
      </c>
      <c r="B4176" s="5" t="n">
        <v>44643</v>
      </c>
      <c r="C4176" s="13" t="inlineStr">
        <is>
          <t>CPR</t>
        </is>
      </c>
      <c r="D4176" s="13" t="n">
        <v>42</v>
      </c>
      <c r="E4176" s="10">
        <f>IF(D4176&gt;0,VLOOKUP(OPERAC[[#This Row],[COD CART]],[1]!MatrizCortoLargoCyl[#All],3,0),"")</f>
        <v/>
      </c>
      <c r="F4176" s="13" t="inlineStr">
        <is>
          <t>JPM</t>
        </is>
      </c>
      <c r="G4176" s="6" t="n">
        <v>7</v>
      </c>
      <c r="H4176" s="6" t="n">
        <v>-981.8606</v>
      </c>
      <c r="I4176" s="7">
        <f>-H4176/G4176</f>
        <v/>
      </c>
      <c r="J4176" s="11" t="n">
        <v>44664</v>
      </c>
      <c r="K4176" s="6">
        <f>+OPERAC[[#This Row],[cantidad]]</f>
        <v/>
      </c>
      <c r="L4176" s="6">
        <f>+OPERAC[[#This Row],[cantidad venta]]*125.943</f>
        <v/>
      </c>
      <c r="M4176" s="7">
        <f>IF(N4176=0,+L4176+H4176,0)</f>
        <v/>
      </c>
      <c r="N4176" s="7">
        <f>IF((+G4176-K4176)=0,0,+G4176-K4176)</f>
        <v/>
      </c>
      <c r="O4176" s="7">
        <f>IF(N4176=0,0,(L4176+H4176)/-N4176)</f>
        <v/>
      </c>
      <c r="P4176" s="7">
        <f>VLOOKUP(OPERAC[[#This Row],[especie]],[1]!ESPECIES[#All],6,0)</f>
        <v/>
      </c>
      <c r="Q4176" s="7">
        <f>IF(N4176&lt;&gt;0,P4176*N4176,0)</f>
        <v/>
      </c>
      <c r="R4176" s="8">
        <f>IF(Q4176&lt;&gt;0,Q4176+H4176+L4176,0)</f>
        <v/>
      </c>
      <c r="S4176" s="9">
        <f>VLOOKUP(OPERAC[[#This Row],[especie]],[1]!ESPECIES[#Data],9,FALSE)</f>
        <v/>
      </c>
    </row>
    <row r="4177">
      <c r="A4177" s="4" t="n">
        <v>2255</v>
      </c>
      <c r="B4177" s="5" t="n">
        <v>44704</v>
      </c>
      <c r="C4177" s="13" t="inlineStr">
        <is>
          <t>CPR</t>
        </is>
      </c>
      <c r="D4177" s="13" t="n">
        <v>43</v>
      </c>
      <c r="E4177" s="10">
        <f>IF(D4177&gt;0,VLOOKUP(OPERAC[[#This Row],[COD CART]],[1]!MatrizCortoLargoCyl[#All],3,0),"")</f>
        <v/>
      </c>
      <c r="F4177" s="13" t="inlineStr">
        <is>
          <t>PCT/CYP/7,50-6,00/20-01-23</t>
        </is>
      </c>
      <c r="G4177" s="6" t="n">
        <v>200</v>
      </c>
      <c r="H4177" s="6" t="n">
        <v>-982.46</v>
      </c>
      <c r="I4177" s="7">
        <f>-H4177/G4177</f>
        <v/>
      </c>
      <c r="J4177" s="5" t="n"/>
      <c r="K4177" s="6" t="n"/>
      <c r="L4177" s="6" t="n"/>
      <c r="M4177" s="7">
        <f>IF(N4177=0,+L4177+H4177,0)</f>
        <v/>
      </c>
      <c r="N4177" s="7">
        <f>IF((+G4177-K4177)=0,0,+G4177-K4177)</f>
        <v/>
      </c>
      <c r="O4177" s="7">
        <f>IF(N4177=0,0,(L4177+H4177)/-N4177)</f>
        <v/>
      </c>
      <c r="P4177" s="7">
        <f>VLOOKUP(OPERAC[[#This Row],[especie]],[1]!ESPECIES[#All],6,0)</f>
        <v/>
      </c>
      <c r="Q4177" s="7">
        <f>IF(N4177&lt;&gt;0,P4177*N4177,0)</f>
        <v/>
      </c>
      <c r="R4177" s="8">
        <f>IF(Q4177&lt;&gt;0,Q4177+H4177+L4177,0)</f>
        <v/>
      </c>
      <c r="S4177" s="9">
        <f>VLOOKUP(OPERAC[[#This Row],[especie]],[1]!ESPECIES[#Data],9,FALSE)</f>
        <v/>
      </c>
    </row>
    <row r="4178">
      <c r="A4178" s="4" t="n">
        <v>2306</v>
      </c>
      <c r="B4178" s="5" t="n">
        <v>44704</v>
      </c>
      <c r="C4178" s="13" t="inlineStr">
        <is>
          <t>CPR</t>
        </is>
      </c>
      <c r="D4178" s="13" t="n">
        <v>43</v>
      </c>
      <c r="E4178" s="10">
        <f>IF(D4178&gt;0,VLOOKUP(OPERAC[[#This Row],[COD CART]],[1]!MatrizCortoLargoCyl[#All],3,0),"")</f>
        <v/>
      </c>
      <c r="F4178" s="13" t="inlineStr">
        <is>
          <t>PCT/CYP/7,50-6,00/20-01-23</t>
        </is>
      </c>
      <c r="G4178" s="6" t="n">
        <v>200</v>
      </c>
      <c r="H4178" s="6" t="n">
        <v>-982.46</v>
      </c>
      <c r="I4178" s="7">
        <f>-H4178/G4178</f>
        <v/>
      </c>
      <c r="J4178" s="5" t="n"/>
      <c r="K4178" s="6" t="n"/>
      <c r="L4178" s="6" t="n"/>
      <c r="M4178" s="7">
        <f>IF(N4178=0,+L4178+H4178,0)</f>
        <v/>
      </c>
      <c r="N4178" s="7">
        <f>IF((+G4178-K4178)=0,0,+G4178-K4178)</f>
        <v/>
      </c>
      <c r="O4178" s="7">
        <f>IF(N4178=0,0,(L4178+H4178)/-N4178)</f>
        <v/>
      </c>
      <c r="P4178" s="7">
        <f>VLOOKUP(OPERAC[[#This Row],[especie]],[1]!ESPECIES[#All],6,0)</f>
        <v/>
      </c>
      <c r="Q4178" s="7">
        <f>IF(N4178&lt;&gt;0,P4178*N4178,0)</f>
        <v/>
      </c>
      <c r="R4178" s="8">
        <f>IF(Q4178&lt;&gt;0,Q4178+H4178+L4178,0)</f>
        <v/>
      </c>
      <c r="S4178" s="9">
        <f>VLOOKUP(OPERAC[[#This Row],[especie]],[1]!ESPECIES[#Data],9,FALSE)</f>
        <v/>
      </c>
    </row>
    <row r="4179">
      <c r="A4179" s="4" t="n">
        <v>7895</v>
      </c>
      <c r="B4179" s="5" t="n">
        <v>44704</v>
      </c>
      <c r="C4179" s="13" t="inlineStr">
        <is>
          <t>CPR</t>
        </is>
      </c>
      <c r="D4179" s="13" t="n">
        <v>43</v>
      </c>
      <c r="E4179" s="10">
        <f>IF(D4179&gt;0,VLOOKUP(OPERAC[[#This Row],[COD CART]],[1]!MatrizCortoLargoCyl[#All],3,0),"")</f>
        <v/>
      </c>
      <c r="F4179" s="13" t="inlineStr">
        <is>
          <t>PCT/CYP/7,50-6,00/20-01-23</t>
        </is>
      </c>
      <c r="G4179" s="6" t="n">
        <v>200</v>
      </c>
      <c r="H4179" s="6" t="n">
        <v>-982.46</v>
      </c>
      <c r="I4179" s="7">
        <f>-H4179/G4179</f>
        <v/>
      </c>
      <c r="J4179" s="5" t="n"/>
      <c r="K4179" s="6" t="n"/>
      <c r="L4179" s="6" t="n"/>
      <c r="M4179" s="7">
        <f>IF(N4179=0,+L4179+H4179,0)</f>
        <v/>
      </c>
      <c r="N4179" s="7">
        <f>IF((+G4179-K4179)=0,0,+G4179-K4179)</f>
        <v/>
      </c>
      <c r="O4179" s="7">
        <f>IF(N4179=0,0,(L4179+H4179)/-N4179)</f>
        <v/>
      </c>
      <c r="P4179" s="7">
        <f>VLOOKUP(OPERAC[[#This Row],[especie]],[1]!ESPECIES[#All],6,0)</f>
        <v/>
      </c>
      <c r="Q4179" s="7">
        <f>IF(N4179&lt;&gt;0,P4179*N4179,0)</f>
        <v/>
      </c>
      <c r="R4179" s="8">
        <f>IF(Q4179&lt;&gt;0,Q4179+H4179+L4179,0)</f>
        <v/>
      </c>
      <c r="S4179" s="9">
        <f>VLOOKUP(OPERAC[[#This Row],[especie]],[1]!ESPECIES[#Data],9,FALSE)</f>
        <v/>
      </c>
    </row>
    <row r="4180">
      <c r="A4180" s="4" t="n">
        <v>7916</v>
      </c>
      <c r="B4180" s="5" t="n">
        <v>44704</v>
      </c>
      <c r="C4180" s="13" t="inlineStr">
        <is>
          <t>CPR</t>
        </is>
      </c>
      <c r="D4180" s="13" t="n">
        <v>43</v>
      </c>
      <c r="E4180" s="10">
        <f>IF(D4180&gt;0,VLOOKUP(OPERAC[[#This Row],[COD CART]],[1]!MatrizCortoLargoCyl[#All],3,0),"")</f>
        <v/>
      </c>
      <c r="F4180" s="13" t="inlineStr">
        <is>
          <t>PCT/CYP/7,50-6,00/20-01-23</t>
        </is>
      </c>
      <c r="G4180" s="6" t="n">
        <v>200</v>
      </c>
      <c r="H4180" s="6" t="n">
        <v>-982.46</v>
      </c>
      <c r="I4180" s="7">
        <f>-H4180/G4180</f>
        <v/>
      </c>
      <c r="J4180" s="5" t="n"/>
      <c r="K4180" s="6" t="n"/>
      <c r="L4180" s="6" t="n"/>
      <c r="M4180" s="7">
        <f>IF(N4180=0,+L4180+H4180,0)</f>
        <v/>
      </c>
      <c r="N4180" s="7">
        <f>IF((+G4180-K4180)=0,0,+G4180-K4180)</f>
        <v/>
      </c>
      <c r="O4180" s="7">
        <f>IF(N4180=0,0,(L4180+H4180)/-N4180)</f>
        <v/>
      </c>
      <c r="P4180" s="7">
        <f>VLOOKUP(OPERAC[[#This Row],[especie]],[1]!ESPECIES[#All],6,0)</f>
        <v/>
      </c>
      <c r="Q4180" s="7">
        <f>IF(N4180&lt;&gt;0,P4180*N4180,0)</f>
        <v/>
      </c>
      <c r="R4180" s="8">
        <f>IF(Q4180&lt;&gt;0,Q4180+H4180+L4180,0)</f>
        <v/>
      </c>
      <c r="S4180" s="9">
        <f>VLOOKUP(OPERAC[[#This Row],[especie]],[1]!ESPECIES[#Data],9,FALSE)</f>
        <v/>
      </c>
    </row>
    <row r="4181">
      <c r="A4181" s="4" t="n">
        <v>2203</v>
      </c>
      <c r="B4181" s="5" t="n">
        <v>44641</v>
      </c>
      <c r="C4181" s="13" t="inlineStr">
        <is>
          <t>CPR</t>
        </is>
      </c>
      <c r="D4181" s="13" t="n">
        <v>42</v>
      </c>
      <c r="E4181" s="10">
        <f>IF(D4181&gt;0,VLOOKUP(OPERAC[[#This Row],[COD CART]],[1]!MatrizCortoLargoCyl[#All],3,0),"")</f>
        <v/>
      </c>
      <c r="F4181" s="13" t="inlineStr">
        <is>
          <t>JPM</t>
        </is>
      </c>
      <c r="G4181" s="6" t="n">
        <v>7</v>
      </c>
      <c r="H4181" s="6" t="n">
        <v>-983.18038</v>
      </c>
      <c r="I4181" s="7">
        <f>-H4181/G4181</f>
        <v/>
      </c>
      <c r="J4181" s="11" t="n">
        <v>44664</v>
      </c>
      <c r="K4181" s="6">
        <f>+OPERAC[[#This Row],[cantidad]]</f>
        <v/>
      </c>
      <c r="L4181" s="6">
        <f>+OPERAC[[#This Row],[cantidad venta]]*125.943</f>
        <v/>
      </c>
      <c r="M4181" s="7">
        <f>IF(N4181=0,+L4181+H4181,0)</f>
        <v/>
      </c>
      <c r="N4181" s="7">
        <f>IF((+G4181-K4181)=0,0,+G4181-K4181)</f>
        <v/>
      </c>
      <c r="O4181" s="7">
        <f>IF(N4181=0,0,(L4181+H4181)/-N4181)</f>
        <v/>
      </c>
      <c r="P4181" s="7">
        <f>VLOOKUP(OPERAC[[#This Row],[especie]],[1]!ESPECIES[#All],6,0)</f>
        <v/>
      </c>
      <c r="Q4181" s="7">
        <f>IF(N4181&lt;&gt;0,P4181*N4181,0)</f>
        <v/>
      </c>
      <c r="R4181" s="8">
        <f>IF(Q4181&lt;&gt;0,Q4181+H4181+L4181,0)</f>
        <v/>
      </c>
      <c r="S4181" s="9">
        <f>VLOOKUP(OPERAC[[#This Row],[especie]],[1]!ESPECIES[#Data],9,FALSE)</f>
        <v/>
      </c>
    </row>
    <row r="4182">
      <c r="A4182" s="4" t="n">
        <v>12652</v>
      </c>
      <c r="B4182" s="5" t="n">
        <v>44641</v>
      </c>
      <c r="C4182" s="13" t="inlineStr">
        <is>
          <t>CPR</t>
        </is>
      </c>
      <c r="D4182" s="13" t="n">
        <v>42</v>
      </c>
      <c r="E4182" s="10">
        <f>IF(D4182&gt;0,VLOOKUP(OPERAC[[#This Row],[COD CART]],[1]!MatrizCortoLargoCyl[#All],3,0),"")</f>
        <v/>
      </c>
      <c r="F4182" s="13" t="inlineStr">
        <is>
          <t>JPM</t>
        </is>
      </c>
      <c r="G4182" s="6" t="n">
        <v>7</v>
      </c>
      <c r="H4182" s="6" t="n">
        <v>-983.18038</v>
      </c>
      <c r="I4182" s="7">
        <f>-H4182/G4182</f>
        <v/>
      </c>
      <c r="J4182" s="11" t="n">
        <v>44648</v>
      </c>
      <c r="K4182" s="6" t="n">
        <v>7</v>
      </c>
      <c r="L4182" s="6" t="n">
        <v>959.627</v>
      </c>
      <c r="M4182" s="7">
        <f>IF(N4182=0,+L4182+H4182,0)</f>
        <v/>
      </c>
      <c r="N4182" s="7">
        <f>IF((+G4182-K4182)=0,0,+G4182-K4182)</f>
        <v/>
      </c>
      <c r="O4182" s="7">
        <f>IF(N4182=0,0,(L4182+H4182)/-N4182)</f>
        <v/>
      </c>
      <c r="P4182" s="7">
        <f>VLOOKUP(OPERAC[[#This Row],[especie]],[1]!ESPECIES[#All],6,0)</f>
        <v/>
      </c>
      <c r="Q4182" s="7">
        <f>IF(N4182&lt;&gt;0,P4182*N4182,0)</f>
        <v/>
      </c>
      <c r="R4182" s="8">
        <f>IF(Q4182&lt;&gt;0,Q4182+H4182+L4182,0)</f>
        <v/>
      </c>
      <c r="S4182" s="9">
        <f>VLOOKUP(OPERAC[[#This Row],[especie]],[1]!ESPECIES[#Data],9,FALSE)</f>
        <v/>
      </c>
    </row>
    <row r="4183">
      <c r="A4183" s="4" t="n">
        <v>12674</v>
      </c>
      <c r="B4183" s="5" t="n">
        <v>44641</v>
      </c>
      <c r="C4183" s="13" t="inlineStr">
        <is>
          <t>CPR</t>
        </is>
      </c>
      <c r="D4183" s="13" t="n">
        <v>42</v>
      </c>
      <c r="E4183" s="10">
        <f>IF(D4183&gt;0,VLOOKUP(OPERAC[[#This Row],[COD CART]],[1]!MatrizCortoLargoCyl[#All],3,0),"")</f>
        <v/>
      </c>
      <c r="F4183" s="13" t="inlineStr">
        <is>
          <t>JPM</t>
        </is>
      </c>
      <c r="G4183" s="6" t="n">
        <v>7</v>
      </c>
      <c r="H4183" s="6" t="n">
        <v>-983.18038</v>
      </c>
      <c r="I4183" s="7">
        <f>-H4183/G4183</f>
        <v/>
      </c>
      <c r="J4183" s="11" t="n">
        <v>44664</v>
      </c>
      <c r="K4183" s="6">
        <f>+OPERAC[[#This Row],[cantidad]]</f>
        <v/>
      </c>
      <c r="L4183" s="6">
        <f>+OPERAC[[#This Row],[cantidad venta]]*125.943</f>
        <v/>
      </c>
      <c r="M4183" s="7">
        <f>IF(N4183=0,+L4183+H4183,0)</f>
        <v/>
      </c>
      <c r="N4183" s="7">
        <f>IF((+G4183-K4183)=0,0,+G4183-K4183)</f>
        <v/>
      </c>
      <c r="O4183" s="7">
        <f>IF(N4183=0,0,(L4183+H4183)/-N4183)</f>
        <v/>
      </c>
      <c r="P4183" s="7">
        <f>VLOOKUP(OPERAC[[#This Row],[especie]],[1]!ESPECIES[#All],6,0)</f>
        <v/>
      </c>
      <c r="Q4183" s="7">
        <f>IF(N4183&lt;&gt;0,P4183*N4183,0)</f>
        <v/>
      </c>
      <c r="R4183" s="8">
        <f>IF(Q4183&lt;&gt;0,Q4183+H4183+L4183,0)</f>
        <v/>
      </c>
      <c r="S4183" s="9">
        <f>VLOOKUP(OPERAC[[#This Row],[especie]],[1]!ESPECIES[#Data],9,FALSE)</f>
        <v/>
      </c>
    </row>
    <row r="4184">
      <c r="A4184" s="4" t="n">
        <v>13269</v>
      </c>
      <c r="B4184" s="5" t="n">
        <v>44641</v>
      </c>
      <c r="C4184" s="13" t="inlineStr">
        <is>
          <t>CPR</t>
        </is>
      </c>
      <c r="D4184" s="13" t="n">
        <v>42</v>
      </c>
      <c r="E4184" s="10">
        <f>IF(D4184&gt;0,VLOOKUP(OPERAC[[#This Row],[COD CART]],[1]!MatrizCortoLargoCyl[#All],3,0),"")</f>
        <v/>
      </c>
      <c r="F4184" s="13" t="inlineStr">
        <is>
          <t>JPM</t>
        </is>
      </c>
      <c r="G4184" s="6" t="n">
        <v>7</v>
      </c>
      <c r="H4184" s="6" t="n">
        <v>-983.18038</v>
      </c>
      <c r="I4184" s="7">
        <f>-H4184/G4184</f>
        <v/>
      </c>
      <c r="J4184" s="11" t="n">
        <v>44664</v>
      </c>
      <c r="K4184" s="6">
        <f>+OPERAC[[#This Row],[cantidad]]</f>
        <v/>
      </c>
      <c r="L4184" s="6">
        <f>+OPERAC[[#This Row],[cantidad venta]]*125.943</f>
        <v/>
      </c>
      <c r="M4184" s="7">
        <f>IF(N4184=0,+L4184+H4184,0)</f>
        <v/>
      </c>
      <c r="N4184" s="7">
        <f>IF((+G4184-K4184)=0,0,+G4184-K4184)</f>
        <v/>
      </c>
      <c r="O4184" s="7">
        <f>IF(N4184=0,0,(L4184+H4184)/-N4184)</f>
        <v/>
      </c>
      <c r="P4184" s="7">
        <f>VLOOKUP(OPERAC[[#This Row],[especie]],[1]!ESPECIES[#All],6,0)</f>
        <v/>
      </c>
      <c r="Q4184" s="7">
        <f>IF(N4184&lt;&gt;0,P4184*N4184,0)</f>
        <v/>
      </c>
      <c r="R4184" s="8">
        <f>IF(Q4184&lt;&gt;0,Q4184+H4184+L4184,0)</f>
        <v/>
      </c>
      <c r="S4184" s="9">
        <f>VLOOKUP(OPERAC[[#This Row],[especie]],[1]!ESPECIES[#Data],9,FALSE)</f>
        <v/>
      </c>
    </row>
    <row r="4185">
      <c r="A4185" s="4" t="n">
        <v>2255</v>
      </c>
      <c r="B4185" s="5" t="n">
        <v>44664</v>
      </c>
      <c r="C4185" s="13" t="inlineStr">
        <is>
          <t>CPR</t>
        </is>
      </c>
      <c r="D4185" s="13" t="n">
        <v>42</v>
      </c>
      <c r="E4185" s="10">
        <f>IF(D4185&gt;0,VLOOKUP(OPERAC[[#This Row],[COD CART]],[1]!MatrizCortoLargoCyl[#All],3,0),"")</f>
        <v/>
      </c>
      <c r="F4185" s="13" t="inlineStr">
        <is>
          <t>AMD</t>
        </is>
      </c>
      <c r="G4185" s="6" t="n">
        <v>10</v>
      </c>
      <c r="H4185" s="6" t="n">
        <v>-983.7890181</v>
      </c>
      <c r="I4185" s="7">
        <f>-H4185/G4185</f>
        <v/>
      </c>
      <c r="J4185" s="11" t="n">
        <v>44693</v>
      </c>
      <c r="K4185" s="6" t="n">
        <v>10</v>
      </c>
      <c r="L4185" s="6" t="n">
        <v>832.736</v>
      </c>
      <c r="M4185" s="7">
        <f>IF(N4185=0,+L4185+H4185,0)</f>
        <v/>
      </c>
      <c r="N4185" s="7">
        <f>IF((+G4185-K4185)=0,0,+G4185-K4185)</f>
        <v/>
      </c>
      <c r="O4185" s="7">
        <f>IF(N4185=0,0,(L4185+H4185)/-N4185)</f>
        <v/>
      </c>
      <c r="P4185" s="7">
        <f>VLOOKUP(OPERAC[[#This Row],[especie]],[1]!ESPECIES[#All],6,0)</f>
        <v/>
      </c>
      <c r="Q4185" s="7">
        <f>IF(N4185&lt;&gt;0,P4185*N4185,0)</f>
        <v/>
      </c>
      <c r="R4185" s="8">
        <f>IF(Q4185&lt;&gt;0,Q4185+H4185+L4185,0)</f>
        <v/>
      </c>
      <c r="S4185" s="9">
        <f>VLOOKUP(OPERAC[[#This Row],[especie]],[1]!ESPECIES[#Data],9,FALSE)</f>
        <v/>
      </c>
    </row>
    <row r="4186">
      <c r="A4186" s="4" t="n">
        <v>19878</v>
      </c>
      <c r="B4186" s="5" t="n">
        <v>44664</v>
      </c>
      <c r="C4186" s="13" t="inlineStr">
        <is>
          <t>CPR</t>
        </is>
      </c>
      <c r="D4186" s="13" t="n">
        <v>42</v>
      </c>
      <c r="E4186" s="10">
        <f>IF(D4186&gt;0,VLOOKUP(OPERAC[[#This Row],[COD CART]],[1]!MatrizCortoLargoCyl[#All],3,0),"")</f>
        <v/>
      </c>
      <c r="F4186" s="13" t="inlineStr">
        <is>
          <t>AMD</t>
        </is>
      </c>
      <c r="G4186" s="6" t="n">
        <v>10</v>
      </c>
      <c r="H4186" s="6" t="n">
        <v>-985.7477817</v>
      </c>
      <c r="I4186" s="7">
        <f>-H4186/G4186</f>
        <v/>
      </c>
      <c r="J4186" s="11" t="n">
        <v>44693</v>
      </c>
      <c r="K4186" s="6">
        <f>+OPERAC[[#This Row],[cantidad]]</f>
        <v/>
      </c>
      <c r="L4186" s="6">
        <f>+OPERAC[[#This Row],[cantidad venta]]*85.26</f>
        <v/>
      </c>
      <c r="M4186" s="7">
        <f>IF(N4186=0,+L4186+H4186,0)</f>
        <v/>
      </c>
      <c r="N4186" s="7">
        <f>IF((+G4186-K4186)=0,0,+G4186-K4186)</f>
        <v/>
      </c>
      <c r="O4186" s="7">
        <f>IF(N4186=0,0,(L4186+H4186)/-N4186)</f>
        <v/>
      </c>
      <c r="P4186" s="7">
        <f>VLOOKUP(OPERAC[[#This Row],[especie]],[1]!ESPECIES[#All],6,0)</f>
        <v/>
      </c>
      <c r="Q4186" s="7">
        <f>IF(N4186&lt;&gt;0,P4186*N4186,0)</f>
        <v/>
      </c>
      <c r="R4186" s="8">
        <f>IF(Q4186&lt;&gt;0,Q4186+H4186+L4186,0)</f>
        <v/>
      </c>
      <c r="S4186" s="9">
        <f>VLOOKUP(OPERAC[[#This Row],[especie]],[1]!ESPECIES[#Data],9,FALSE)</f>
        <v/>
      </c>
    </row>
    <row r="4187">
      <c r="A4187" s="4" t="n">
        <v>3728</v>
      </c>
      <c r="B4187" s="5" t="n">
        <v>44725</v>
      </c>
      <c r="C4187" s="13" t="inlineStr">
        <is>
          <t>CPR</t>
        </is>
      </c>
      <c r="D4187" s="13" t="n">
        <v>40</v>
      </c>
      <c r="E4187" s="10">
        <f>IF(D4187&gt;0,VLOOKUP(OPERAC[[#This Row],[COD CART]],[1]!MatrizCortoLargoCyl[#All],3,0),"")</f>
        <v/>
      </c>
      <c r="F4187" s="13" t="inlineStr">
        <is>
          <t>EDIT</t>
        </is>
      </c>
      <c r="G4187" s="6" t="n">
        <v>100</v>
      </c>
      <c r="H4187" s="6" t="n">
        <v>-986.4454599999999</v>
      </c>
      <c r="I4187" s="7">
        <f>-H4187/G4187</f>
        <v/>
      </c>
      <c r="J4187" s="5" t="n"/>
      <c r="K4187" s="6" t="n"/>
      <c r="L4187" s="6" t="n"/>
      <c r="M4187" s="7">
        <f>IF(N4187=0,+L4187+H4187,0)</f>
        <v/>
      </c>
      <c r="N4187" s="7">
        <f>IF((+G4187-K4187)=0,0,+G4187-K4187)</f>
        <v/>
      </c>
      <c r="O4187" s="7">
        <f>IF(N4187=0,0,(L4187+H4187)/-N4187)</f>
        <v/>
      </c>
      <c r="P4187" s="7">
        <f>VLOOKUP(OPERAC[[#This Row],[especie]],[1]!ESPECIES[#All],6,0)</f>
        <v/>
      </c>
      <c r="Q4187" s="7">
        <f>IF(N4187&lt;&gt;0,P4187*N4187,0)</f>
        <v/>
      </c>
      <c r="R4187" s="8">
        <f>IF(Q4187&lt;&gt;0,Q4187+H4187+L4187,0)</f>
        <v/>
      </c>
      <c r="S4187" s="9">
        <f>VLOOKUP(OPERAC[[#This Row],[especie]],[1]!ESPECIES[#Data],9,FALSE)</f>
        <v/>
      </c>
    </row>
    <row r="4188">
      <c r="A4188" s="4" t="n">
        <v>3835</v>
      </c>
      <c r="B4188" s="5" t="n">
        <v>44725</v>
      </c>
      <c r="C4188" s="13" t="inlineStr">
        <is>
          <t>CPR</t>
        </is>
      </c>
      <c r="D4188" s="13" t="n">
        <v>40</v>
      </c>
      <c r="E4188" s="10">
        <f>IF(D4188&gt;0,VLOOKUP(OPERAC[[#This Row],[COD CART]],[1]!MatrizCortoLargoCyl[#All],3,0),"")</f>
        <v/>
      </c>
      <c r="F4188" s="13" t="inlineStr">
        <is>
          <t>EDIT</t>
        </is>
      </c>
      <c r="G4188" s="6" t="n">
        <v>100</v>
      </c>
      <c r="H4188" s="6" t="n">
        <v>-986.4454599999999</v>
      </c>
      <c r="I4188" s="7">
        <f>-H4188/G4188</f>
        <v/>
      </c>
      <c r="J4188" s="5" t="n"/>
      <c r="K4188" s="6" t="n"/>
      <c r="L4188" s="6" t="n"/>
      <c r="M4188" s="7">
        <f>IF(N4188=0,+L4188+H4188,0)</f>
        <v/>
      </c>
      <c r="N4188" s="7">
        <f>IF((+G4188-K4188)=0,0,+G4188-K4188)</f>
        <v/>
      </c>
      <c r="O4188" s="7">
        <f>IF(N4188=0,0,(L4188+H4188)/-N4188)</f>
        <v/>
      </c>
      <c r="P4188" s="7">
        <f>VLOOKUP(OPERAC[[#This Row],[especie]],[1]!ESPECIES[#All],6,0)</f>
        <v/>
      </c>
      <c r="Q4188" s="7">
        <f>IF(N4188&lt;&gt;0,P4188*N4188,0)</f>
        <v/>
      </c>
      <c r="R4188" s="8">
        <f>IF(Q4188&lt;&gt;0,Q4188+H4188+L4188,0)</f>
        <v/>
      </c>
      <c r="S4188" s="9">
        <f>VLOOKUP(OPERAC[[#This Row],[especie]],[1]!ESPECIES[#Data],9,FALSE)</f>
        <v/>
      </c>
    </row>
    <row r="4189">
      <c r="A4189" s="4" t="n">
        <v>1760</v>
      </c>
      <c r="B4189" s="5" t="n">
        <v>44664</v>
      </c>
      <c r="C4189" s="13" t="inlineStr">
        <is>
          <t>CPR</t>
        </is>
      </c>
      <c r="D4189" s="13" t="n">
        <v>42</v>
      </c>
      <c r="E4189" s="10">
        <f>IF(D4189&gt;0,VLOOKUP(OPERAC[[#This Row],[COD CART]],[1]!MatrizCortoLargoCyl[#All],3,0),"")</f>
        <v/>
      </c>
      <c r="F4189" s="13" t="inlineStr">
        <is>
          <t>AMD</t>
        </is>
      </c>
      <c r="G4189" s="6" t="n">
        <v>10</v>
      </c>
      <c r="H4189" s="6" t="n">
        <v>-987.7065453</v>
      </c>
      <c r="I4189" s="7">
        <f>-H4189/G4189</f>
        <v/>
      </c>
      <c r="J4189" s="11" t="n">
        <v>44693</v>
      </c>
      <c r="K4189" s="6" t="n">
        <v>10</v>
      </c>
      <c r="L4189" s="6" t="n">
        <v>831.481</v>
      </c>
      <c r="M4189" s="7">
        <f>IF(N4189=0,+L4189+H4189,0)</f>
        <v/>
      </c>
      <c r="N4189" s="7">
        <f>IF((+G4189-K4189)=0,0,+G4189-K4189)</f>
        <v/>
      </c>
      <c r="O4189" s="7">
        <f>IF(N4189=0,0,(L4189+H4189)/-N4189)</f>
        <v/>
      </c>
      <c r="P4189" s="7">
        <f>VLOOKUP(OPERAC[[#This Row],[especie]],[1]!ESPECIES[#All],6,0)</f>
        <v/>
      </c>
      <c r="Q4189" s="7">
        <f>IF(N4189&lt;&gt;0,P4189*N4189,0)</f>
        <v/>
      </c>
      <c r="R4189" s="8">
        <f>IF(Q4189&lt;&gt;0,Q4189+H4189+L4189,0)</f>
        <v/>
      </c>
      <c r="S4189" s="9">
        <f>VLOOKUP(OPERAC[[#This Row],[especie]],[1]!ESPECIES[#Data],9,FALSE)</f>
        <v/>
      </c>
    </row>
    <row r="4190">
      <c r="A4190" s="4" t="n">
        <v>12627</v>
      </c>
      <c r="B4190" s="5" t="n">
        <v>44664</v>
      </c>
      <c r="C4190" s="13" t="inlineStr">
        <is>
          <t>CPR</t>
        </is>
      </c>
      <c r="D4190" s="13" t="n">
        <v>42</v>
      </c>
      <c r="E4190" s="10">
        <f>IF(D4190&gt;0,VLOOKUP(OPERAC[[#This Row],[COD CART]],[1]!MatrizCortoLargoCyl[#All],3,0),"")</f>
        <v/>
      </c>
      <c r="F4190" s="13" t="inlineStr">
        <is>
          <t>AMD</t>
        </is>
      </c>
      <c r="G4190" s="6" t="n">
        <v>10</v>
      </c>
      <c r="H4190" s="6" t="n">
        <v>-987.7065453</v>
      </c>
      <c r="I4190" s="7">
        <f>-H4190/G4190</f>
        <v/>
      </c>
      <c r="J4190" s="11" t="n">
        <v>44693</v>
      </c>
      <c r="K4190" s="6">
        <f>+OPERAC[[#This Row],[cantidad]]</f>
        <v/>
      </c>
      <c r="L4190" s="6">
        <f>+OPERAC[[#This Row],[cantidad venta]]*85.26</f>
        <v/>
      </c>
      <c r="M4190" s="7">
        <f>IF(N4190=0,+L4190+H4190,0)</f>
        <v/>
      </c>
      <c r="N4190" s="7">
        <f>IF((+G4190-K4190)=0,0,+G4190-K4190)</f>
        <v/>
      </c>
      <c r="O4190" s="7">
        <f>IF(N4190=0,0,(L4190+H4190)/-N4190)</f>
        <v/>
      </c>
      <c r="P4190" s="7">
        <f>VLOOKUP(OPERAC[[#This Row],[especie]],[1]!ESPECIES[#All],6,0)</f>
        <v/>
      </c>
      <c r="Q4190" s="7">
        <f>IF(N4190&lt;&gt;0,P4190*N4190,0)</f>
        <v/>
      </c>
      <c r="R4190" s="8">
        <f>IF(Q4190&lt;&gt;0,Q4190+H4190+L4190,0)</f>
        <v/>
      </c>
      <c r="S4190" s="9">
        <f>VLOOKUP(OPERAC[[#This Row],[especie]],[1]!ESPECIES[#Data],9,FALSE)</f>
        <v/>
      </c>
    </row>
    <row r="4191">
      <c r="A4191" s="4" t="n">
        <v>12674</v>
      </c>
      <c r="B4191" s="5" t="n">
        <v>44664</v>
      </c>
      <c r="C4191" s="13" t="inlineStr">
        <is>
          <t>CPR</t>
        </is>
      </c>
      <c r="D4191" s="13" t="n">
        <v>42</v>
      </c>
      <c r="E4191" s="10">
        <f>IF(D4191&gt;0,VLOOKUP(OPERAC[[#This Row],[COD CART]],[1]!MatrizCortoLargoCyl[#All],3,0),"")</f>
        <v/>
      </c>
      <c r="F4191" s="13" t="inlineStr">
        <is>
          <t>AMD</t>
        </is>
      </c>
      <c r="G4191" s="6" t="n">
        <v>10</v>
      </c>
      <c r="H4191" s="6" t="n">
        <v>-987.7065453</v>
      </c>
      <c r="I4191" s="7">
        <f>-H4191/G4191</f>
        <v/>
      </c>
      <c r="J4191" s="11" t="n">
        <v>44693</v>
      </c>
      <c r="K4191" s="6">
        <f>+OPERAC[[#This Row],[cantidad]]</f>
        <v/>
      </c>
      <c r="L4191" s="6">
        <f>+OPERAC[[#This Row],[cantidad venta]]*85.26</f>
        <v/>
      </c>
      <c r="M4191" s="7">
        <f>IF(N4191=0,+L4191+H4191,0)</f>
        <v/>
      </c>
      <c r="N4191" s="7">
        <f>IF((+G4191-K4191)=0,0,+G4191-K4191)</f>
        <v/>
      </c>
      <c r="O4191" s="7">
        <f>IF(N4191=0,0,(L4191+H4191)/-N4191)</f>
        <v/>
      </c>
      <c r="P4191" s="7">
        <f>VLOOKUP(OPERAC[[#This Row],[especie]],[1]!ESPECIES[#All],6,0)</f>
        <v/>
      </c>
      <c r="Q4191" s="7">
        <f>IF(N4191&lt;&gt;0,P4191*N4191,0)</f>
        <v/>
      </c>
      <c r="R4191" s="8">
        <f>IF(Q4191&lt;&gt;0,Q4191+H4191+L4191,0)</f>
        <v/>
      </c>
      <c r="S4191" s="9">
        <f>VLOOKUP(OPERAC[[#This Row],[especie]],[1]!ESPECIES[#Data],9,FALSE)</f>
        <v/>
      </c>
    </row>
    <row r="4192">
      <c r="A4192" s="4" t="n">
        <v>13246</v>
      </c>
      <c r="B4192" s="5" t="n">
        <v>44664</v>
      </c>
      <c r="C4192" s="13" t="inlineStr">
        <is>
          <t>CPR</t>
        </is>
      </c>
      <c r="D4192" s="13" t="n">
        <v>42</v>
      </c>
      <c r="E4192" s="10">
        <f>IF(D4192&gt;0,VLOOKUP(OPERAC[[#This Row],[COD CART]],[1]!MatrizCortoLargoCyl[#All],3,0),"")</f>
        <v/>
      </c>
      <c r="F4192" s="13" t="inlineStr">
        <is>
          <t>AMD</t>
        </is>
      </c>
      <c r="G4192" s="6" t="n">
        <v>10</v>
      </c>
      <c r="H4192" s="6" t="n">
        <v>-987.7065453</v>
      </c>
      <c r="I4192" s="7">
        <f>-H4192/G4192</f>
        <v/>
      </c>
      <c r="J4192" s="11" t="n">
        <v>44693</v>
      </c>
      <c r="K4192" s="6">
        <f>+OPERAC[[#This Row],[cantidad]]</f>
        <v/>
      </c>
      <c r="L4192" s="6">
        <f>+OPERAC[[#This Row],[cantidad venta]]*85.26</f>
        <v/>
      </c>
      <c r="M4192" s="7">
        <f>IF(N4192=0,+L4192+H4192,0)</f>
        <v/>
      </c>
      <c r="N4192" s="7">
        <f>IF((+G4192-K4192)=0,0,+G4192-K4192)</f>
        <v/>
      </c>
      <c r="O4192" s="7">
        <f>IF(N4192=0,0,(L4192+H4192)/-N4192)</f>
        <v/>
      </c>
      <c r="P4192" s="7">
        <f>VLOOKUP(OPERAC[[#This Row],[especie]],[1]!ESPECIES[#All],6,0)</f>
        <v/>
      </c>
      <c r="Q4192" s="7">
        <f>IF(N4192&lt;&gt;0,P4192*N4192,0)</f>
        <v/>
      </c>
      <c r="R4192" s="8">
        <f>IF(Q4192&lt;&gt;0,Q4192+H4192+L4192,0)</f>
        <v/>
      </c>
      <c r="S4192" s="9">
        <f>VLOOKUP(OPERAC[[#This Row],[especie]],[1]!ESPECIES[#Data],9,FALSE)</f>
        <v/>
      </c>
    </row>
    <row r="4193">
      <c r="A4193" s="4" t="n">
        <v>16780</v>
      </c>
      <c r="B4193" s="5" t="n">
        <v>44664</v>
      </c>
      <c r="C4193" s="13" t="inlineStr">
        <is>
          <t>CPR</t>
        </is>
      </c>
      <c r="D4193" s="13" t="n">
        <v>42</v>
      </c>
      <c r="E4193" s="10">
        <f>IF(D4193&gt;0,VLOOKUP(OPERAC[[#This Row],[COD CART]],[1]!MatrizCortoLargoCyl[#All],3,0),"")</f>
        <v/>
      </c>
      <c r="F4193" s="13" t="inlineStr">
        <is>
          <t>AMD</t>
        </is>
      </c>
      <c r="G4193" s="6" t="n">
        <v>10</v>
      </c>
      <c r="H4193" s="6" t="n">
        <v>-987.7065453</v>
      </c>
      <c r="I4193" s="7">
        <f>-H4193/G4193</f>
        <v/>
      </c>
      <c r="J4193" s="11" t="n">
        <v>44693</v>
      </c>
      <c r="K4193" s="6">
        <f>+OPERAC[[#This Row],[cantidad]]</f>
        <v/>
      </c>
      <c r="L4193" s="6">
        <f>+OPERAC[[#This Row],[cantidad venta]]*85.26</f>
        <v/>
      </c>
      <c r="M4193" s="7">
        <f>IF(N4193=0,+L4193+H4193,0)</f>
        <v/>
      </c>
      <c r="N4193" s="7">
        <f>IF((+G4193-K4193)=0,0,+G4193-K4193)</f>
        <v/>
      </c>
      <c r="O4193" s="7">
        <f>IF(N4193=0,0,(L4193+H4193)/-N4193)</f>
        <v/>
      </c>
      <c r="P4193" s="7">
        <f>VLOOKUP(OPERAC[[#This Row],[especie]],[1]!ESPECIES[#All],6,0)</f>
        <v/>
      </c>
      <c r="Q4193" s="7">
        <f>IF(N4193&lt;&gt;0,P4193*N4193,0)</f>
        <v/>
      </c>
      <c r="R4193" s="8">
        <f>IF(Q4193&lt;&gt;0,Q4193+H4193+L4193,0)</f>
        <v/>
      </c>
      <c r="S4193" s="9">
        <f>VLOOKUP(OPERAC[[#This Row],[especie]],[1]!ESPECIES[#Data],9,FALSE)</f>
        <v/>
      </c>
    </row>
    <row r="4194">
      <c r="A4194" s="4" t="n">
        <v>18651</v>
      </c>
      <c r="B4194" s="5" t="n">
        <v>44664</v>
      </c>
      <c r="C4194" s="13" t="inlineStr">
        <is>
          <t>CPR</t>
        </is>
      </c>
      <c r="D4194" s="13" t="n">
        <v>42</v>
      </c>
      <c r="E4194" s="10">
        <f>IF(D4194&gt;0,VLOOKUP(OPERAC[[#This Row],[COD CART]],[1]!MatrizCortoLargoCyl[#All],3,0),"")</f>
        <v/>
      </c>
      <c r="F4194" s="13" t="inlineStr">
        <is>
          <t>AMD</t>
        </is>
      </c>
      <c r="G4194" s="6" t="n">
        <v>10</v>
      </c>
      <c r="H4194" s="6" t="n">
        <v>-987.7065453</v>
      </c>
      <c r="I4194" s="7">
        <f>-H4194/G4194</f>
        <v/>
      </c>
      <c r="J4194" s="11" t="n">
        <v>44693</v>
      </c>
      <c r="K4194" s="6">
        <f>+OPERAC[[#This Row],[cantidad]]</f>
        <v/>
      </c>
      <c r="L4194" s="6">
        <f>+OPERAC[[#This Row],[cantidad venta]]*85.26</f>
        <v/>
      </c>
      <c r="M4194" s="7">
        <f>IF(N4194=0,+L4194+H4194,0)</f>
        <v/>
      </c>
      <c r="N4194" s="7">
        <f>IF((+G4194-K4194)=0,0,+G4194-K4194)</f>
        <v/>
      </c>
      <c r="O4194" s="7">
        <f>IF(N4194=0,0,(L4194+H4194)/-N4194)</f>
        <v/>
      </c>
      <c r="P4194" s="7">
        <f>VLOOKUP(OPERAC[[#This Row],[especie]],[1]!ESPECIES[#All],6,0)</f>
        <v/>
      </c>
      <c r="Q4194" s="7">
        <f>IF(N4194&lt;&gt;0,P4194*N4194,0)</f>
        <v/>
      </c>
      <c r="R4194" s="8">
        <f>IF(Q4194&lt;&gt;0,Q4194+H4194+L4194,0)</f>
        <v/>
      </c>
      <c r="S4194" s="9">
        <f>VLOOKUP(OPERAC[[#This Row],[especie]],[1]!ESPECIES[#Data],9,FALSE)</f>
        <v/>
      </c>
    </row>
    <row r="4195">
      <c r="A4195" s="4" t="n">
        <v>18690</v>
      </c>
      <c r="B4195" s="5" t="n">
        <v>44664</v>
      </c>
      <c r="C4195" s="13" t="inlineStr">
        <is>
          <t>CPR</t>
        </is>
      </c>
      <c r="D4195" s="13" t="n">
        <v>42</v>
      </c>
      <c r="E4195" s="10">
        <f>IF(D4195&gt;0,VLOOKUP(OPERAC[[#This Row],[COD CART]],[1]!MatrizCortoLargoCyl[#All],3,0),"")</f>
        <v/>
      </c>
      <c r="F4195" s="13" t="inlineStr">
        <is>
          <t>AMD</t>
        </is>
      </c>
      <c r="G4195" s="6" t="n">
        <v>10</v>
      </c>
      <c r="H4195" s="6" t="n">
        <v>-987.7065453</v>
      </c>
      <c r="I4195" s="7">
        <f>-H4195/G4195</f>
        <v/>
      </c>
      <c r="J4195" s="11" t="n"/>
      <c r="K4195" s="6" t="n"/>
      <c r="L4195" s="6" t="n"/>
      <c r="M4195" s="7">
        <f>IF(N4195=0,+L4195+H4195,0)</f>
        <v/>
      </c>
      <c r="N4195" s="7">
        <f>IF((+G4195-K4195)=0,0,+G4195-K4195)</f>
        <v/>
      </c>
      <c r="O4195" s="7">
        <f>IF(N4195=0,0,(L4195+H4195)/-N4195)</f>
        <v/>
      </c>
      <c r="P4195" s="7">
        <f>VLOOKUP(OPERAC[[#This Row],[especie]],[1]!ESPECIES[#All],6,0)</f>
        <v/>
      </c>
      <c r="Q4195" s="7">
        <f>IF(N4195&lt;&gt;0,P4195*N4195,0)</f>
        <v/>
      </c>
      <c r="R4195" s="8">
        <f>IF(Q4195&lt;&gt;0,Q4195+H4195+L4195,0)</f>
        <v/>
      </c>
      <c r="S4195" s="9">
        <f>VLOOKUP(OPERAC[[#This Row],[especie]],[1]!ESPECIES[#Data],9,FALSE)</f>
        <v/>
      </c>
    </row>
    <row r="4196">
      <c r="A4196" s="4" t="n">
        <v>19867</v>
      </c>
      <c r="B4196" s="5" t="n">
        <v>44664</v>
      </c>
      <c r="C4196" s="13" t="inlineStr">
        <is>
          <t>CPR</t>
        </is>
      </c>
      <c r="D4196" s="13" t="n">
        <v>42</v>
      </c>
      <c r="E4196" s="10">
        <f>IF(D4196&gt;0,VLOOKUP(OPERAC[[#This Row],[COD CART]],[1]!MatrizCortoLargoCyl[#All],3,0),"")</f>
        <v/>
      </c>
      <c r="F4196" s="13" t="inlineStr">
        <is>
          <t>AMD</t>
        </is>
      </c>
      <c r="G4196" s="6" t="n">
        <v>10</v>
      </c>
      <c r="H4196" s="6" t="n">
        <v>-987.7065453</v>
      </c>
      <c r="I4196" s="7">
        <f>-H4196/G4196</f>
        <v/>
      </c>
      <c r="J4196" s="11" t="n">
        <v>44693</v>
      </c>
      <c r="K4196" s="6">
        <f>+OPERAC[[#This Row],[cantidad]]</f>
        <v/>
      </c>
      <c r="L4196" s="6">
        <f>+OPERAC[[#This Row],[cantidad venta]]*85.26</f>
        <v/>
      </c>
      <c r="M4196" s="7">
        <f>IF(N4196=0,+L4196+H4196,0)</f>
        <v/>
      </c>
      <c r="N4196" s="7">
        <f>IF((+G4196-K4196)=0,0,+G4196-K4196)</f>
        <v/>
      </c>
      <c r="O4196" s="7">
        <f>IF(N4196=0,0,(L4196+H4196)/-N4196)</f>
        <v/>
      </c>
      <c r="P4196" s="7">
        <f>VLOOKUP(OPERAC[[#This Row],[especie]],[1]!ESPECIES[#All],6,0)</f>
        <v/>
      </c>
      <c r="Q4196" s="7">
        <f>IF(N4196&lt;&gt;0,P4196*N4196,0)</f>
        <v/>
      </c>
      <c r="R4196" s="8">
        <f>IF(Q4196&lt;&gt;0,Q4196+H4196+L4196,0)</f>
        <v/>
      </c>
      <c r="S4196" s="9">
        <f>VLOOKUP(OPERAC[[#This Row],[especie]],[1]!ESPECIES[#Data],9,FALSE)</f>
        <v/>
      </c>
    </row>
    <row r="4197">
      <c r="A4197" s="4" t="n">
        <v>19867</v>
      </c>
      <c r="B4197" s="5" t="n">
        <v>44664</v>
      </c>
      <c r="C4197" s="13" t="inlineStr">
        <is>
          <t>CPR</t>
        </is>
      </c>
      <c r="D4197" s="13" t="n">
        <v>42</v>
      </c>
      <c r="E4197" s="10">
        <f>IF(D4197&gt;0,VLOOKUP(OPERAC[[#This Row],[COD CART]],[1]!MatrizCortoLargoCyl[#All],3,0),"")</f>
        <v/>
      </c>
      <c r="F4197" s="13" t="inlineStr">
        <is>
          <t>AMD</t>
        </is>
      </c>
      <c r="G4197" s="6" t="n">
        <v>10</v>
      </c>
      <c r="H4197" s="6" t="n">
        <v>-987.7065453</v>
      </c>
      <c r="I4197" s="7">
        <f>-H4197/G4197</f>
        <v/>
      </c>
      <c r="J4197" s="11" t="n">
        <v>44693</v>
      </c>
      <c r="K4197" s="6">
        <f>+OPERAC[[#This Row],[cantidad]]</f>
        <v/>
      </c>
      <c r="L4197" s="6">
        <f>+OPERAC[[#This Row],[cantidad venta]]*85.26</f>
        <v/>
      </c>
      <c r="M4197" s="7">
        <f>IF(N4197=0,+L4197+H4197,0)</f>
        <v/>
      </c>
      <c r="N4197" s="7">
        <f>IF((+G4197-K4197)=0,0,+G4197-K4197)</f>
        <v/>
      </c>
      <c r="O4197" s="7">
        <f>IF(N4197=0,0,(L4197+H4197)/-N4197)</f>
        <v/>
      </c>
      <c r="P4197" s="7">
        <f>VLOOKUP(OPERAC[[#This Row],[especie]],[1]!ESPECIES[#All],6,0)</f>
        <v/>
      </c>
      <c r="Q4197" s="7">
        <f>IF(N4197&lt;&gt;0,P4197*N4197,0)</f>
        <v/>
      </c>
      <c r="R4197" s="8">
        <f>IF(Q4197&lt;&gt;0,Q4197+H4197+L4197,0)</f>
        <v/>
      </c>
      <c r="S4197" s="9">
        <f>VLOOKUP(OPERAC[[#This Row],[especie]],[1]!ESPECIES[#Data],9,FALSE)</f>
        <v/>
      </c>
    </row>
    <row r="4198">
      <c r="A4198" s="4" t="n">
        <v>19888</v>
      </c>
      <c r="B4198" s="5" t="n">
        <v>44664</v>
      </c>
      <c r="C4198" s="13" t="inlineStr">
        <is>
          <t>CPR</t>
        </is>
      </c>
      <c r="D4198" s="13" t="n">
        <v>42</v>
      </c>
      <c r="E4198" s="10">
        <f>IF(D4198&gt;0,VLOOKUP(OPERAC[[#This Row],[COD CART]],[1]!MatrizCortoLargoCyl[#All],3,0),"")</f>
        <v/>
      </c>
      <c r="F4198" s="13" t="inlineStr">
        <is>
          <t>AMD</t>
        </is>
      </c>
      <c r="G4198" s="6" t="n">
        <v>10</v>
      </c>
      <c r="H4198" s="6" t="n">
        <v>-987.7065453</v>
      </c>
      <c r="I4198" s="7">
        <f>-H4198/G4198</f>
        <v/>
      </c>
      <c r="J4198" s="11" t="n">
        <v>44693</v>
      </c>
      <c r="K4198" s="6">
        <f>+OPERAC[[#This Row],[cantidad]]</f>
        <v/>
      </c>
      <c r="L4198" s="6">
        <f>+OPERAC[[#This Row],[cantidad venta]]*85.26</f>
        <v/>
      </c>
      <c r="M4198" s="7">
        <f>IF(N4198=0,+L4198+H4198,0)</f>
        <v/>
      </c>
      <c r="N4198" s="7">
        <f>IF((+G4198-K4198)=0,0,+G4198-K4198)</f>
        <v/>
      </c>
      <c r="O4198" s="7">
        <f>IF(N4198=0,0,(L4198+H4198)/-N4198)</f>
        <v/>
      </c>
      <c r="P4198" s="7">
        <f>VLOOKUP(OPERAC[[#This Row],[especie]],[1]!ESPECIES[#All],6,0)</f>
        <v/>
      </c>
      <c r="Q4198" s="7">
        <f>IF(N4198&lt;&gt;0,P4198*N4198,0)</f>
        <v/>
      </c>
      <c r="R4198" s="8">
        <f>IF(Q4198&lt;&gt;0,Q4198+H4198+L4198,0)</f>
        <v/>
      </c>
      <c r="S4198" s="9">
        <f>VLOOKUP(OPERAC[[#This Row],[especie]],[1]!ESPECIES[#Data],9,FALSE)</f>
        <v/>
      </c>
    </row>
    <row r="4199">
      <c r="A4199" s="4" t="n">
        <v>19932</v>
      </c>
      <c r="B4199" s="5" t="n">
        <v>44664</v>
      </c>
      <c r="C4199" s="13" t="inlineStr">
        <is>
          <t>CPR</t>
        </is>
      </c>
      <c r="D4199" s="13" t="n">
        <v>42</v>
      </c>
      <c r="E4199" s="10">
        <f>IF(D4199&gt;0,VLOOKUP(OPERAC[[#This Row],[COD CART]],[1]!MatrizCortoLargoCyl[#All],3,0),"")</f>
        <v/>
      </c>
      <c r="F4199" s="13" t="inlineStr">
        <is>
          <t>AMD</t>
        </is>
      </c>
      <c r="G4199" s="6" t="n">
        <v>10</v>
      </c>
      <c r="H4199" s="6" t="n">
        <v>-987.7065453</v>
      </c>
      <c r="I4199" s="7">
        <f>-H4199/G4199</f>
        <v/>
      </c>
      <c r="J4199" s="11" t="n">
        <v>44693</v>
      </c>
      <c r="K4199" s="6">
        <f>+OPERAC[[#This Row],[cantidad]]</f>
        <v/>
      </c>
      <c r="L4199" s="6">
        <f>+OPERAC[[#This Row],[cantidad venta]]*85.26</f>
        <v/>
      </c>
      <c r="M4199" s="7">
        <f>IF(N4199=0,+L4199+H4199,0)</f>
        <v/>
      </c>
      <c r="N4199" s="7">
        <f>IF((+G4199-K4199)=0,0,+G4199-K4199)</f>
        <v/>
      </c>
      <c r="O4199" s="7">
        <f>IF(N4199=0,0,(L4199+H4199)/-N4199)</f>
        <v/>
      </c>
      <c r="P4199" s="7">
        <f>VLOOKUP(OPERAC[[#This Row],[especie]],[1]!ESPECIES[#All],6,0)</f>
        <v/>
      </c>
      <c r="Q4199" s="7">
        <f>IF(N4199&lt;&gt;0,P4199*N4199,0)</f>
        <v/>
      </c>
      <c r="R4199" s="8">
        <f>IF(Q4199&lt;&gt;0,Q4199+H4199+L4199,0)</f>
        <v/>
      </c>
      <c r="S4199" s="9">
        <f>VLOOKUP(OPERAC[[#This Row],[especie]],[1]!ESPECIES[#Data],9,FALSE)</f>
        <v/>
      </c>
    </row>
    <row r="4200">
      <c r="A4200" s="4" t="n">
        <v>19920</v>
      </c>
      <c r="B4200" s="5" t="n">
        <v>44637</v>
      </c>
      <c r="C4200" s="13" t="inlineStr">
        <is>
          <t>CPR</t>
        </is>
      </c>
      <c r="D4200" s="13" t="n">
        <v>31</v>
      </c>
      <c r="E4200" s="10">
        <f>IF(D4200&gt;0,VLOOKUP(OPERAC[[#This Row],[COD CART]],[1]!MatrizCortoLargoCyl[#All],3,0),"")</f>
        <v/>
      </c>
      <c r="F4200" s="13" t="inlineStr">
        <is>
          <t>NVDA</t>
        </is>
      </c>
      <c r="G4200" s="6" t="n">
        <v>4</v>
      </c>
      <c r="H4200" s="6" t="n">
        <v>-987.7352</v>
      </c>
      <c r="I4200" s="7">
        <f>-H4200/G4200</f>
        <v/>
      </c>
      <c r="J4200" s="11" t="n"/>
      <c r="K4200" s="6" t="n"/>
      <c r="L4200" s="6" t="n"/>
      <c r="M4200" s="7">
        <f>IF(N4200=0,+L4200+H4200,0)</f>
        <v/>
      </c>
      <c r="N4200" s="7">
        <f>IF((+G4200-K4200)=0,0,+G4200-K4200)</f>
        <v/>
      </c>
      <c r="O4200" s="7">
        <f>IF(N4200=0,0,(L4200+H4200)/-N4200)</f>
        <v/>
      </c>
      <c r="P4200" s="7">
        <f>VLOOKUP(OPERAC[[#This Row],[especie]],[1]!ESPECIES[#All],6,0)</f>
        <v/>
      </c>
      <c r="Q4200" s="7">
        <f>IF(N4200&lt;&gt;0,P4200*N4200,0)</f>
        <v/>
      </c>
      <c r="R4200" s="8">
        <f>IF(Q4200&lt;&gt;0,Q4200+H4200+L4200,0)</f>
        <v/>
      </c>
      <c r="S4200" s="9">
        <f>VLOOKUP(OPERAC[[#This Row],[especie]],[1]!ESPECIES[#Data],9,FALSE)</f>
        <v/>
      </c>
    </row>
    <row r="4201">
      <c r="A4201" s="4" t="n">
        <v>18690</v>
      </c>
      <c r="B4201" s="5" t="n">
        <v>44637</v>
      </c>
      <c r="C4201" s="13" t="inlineStr">
        <is>
          <t>CPR</t>
        </is>
      </c>
      <c r="D4201" s="13" t="n">
        <v>31</v>
      </c>
      <c r="E4201" s="10">
        <f>IF(D4201&gt;0,VLOOKUP(OPERAC[[#This Row],[COD CART]],[1]!MatrizCortoLargoCyl[#All],3,0),"")</f>
        <v/>
      </c>
      <c r="F4201" s="13" t="inlineStr">
        <is>
          <t>NVDA</t>
        </is>
      </c>
      <c r="G4201" s="6" t="n">
        <v>4</v>
      </c>
      <c r="H4201" s="6" t="n">
        <v>-987.7352</v>
      </c>
      <c r="I4201" s="7">
        <f>-H4201/G4201</f>
        <v/>
      </c>
      <c r="J4201" s="11" t="n"/>
      <c r="K4201" s="6" t="n"/>
      <c r="L4201" s="6" t="n"/>
      <c r="M4201" s="7">
        <f>IF(N4201=0,+L4201+H4201,0)</f>
        <v/>
      </c>
      <c r="N4201" s="7">
        <f>IF((+G4201-K4201)=0,0,+G4201-K4201)</f>
        <v/>
      </c>
      <c r="O4201" s="7">
        <f>IF(N4201=0,0,(L4201+H4201)/-N4201)</f>
        <v/>
      </c>
      <c r="P4201" s="7">
        <f>VLOOKUP(OPERAC[[#This Row],[especie]],[1]!ESPECIES[#All],6,0)</f>
        <v/>
      </c>
      <c r="Q4201" s="7">
        <f>IF(N4201&lt;&gt;0,P4201*N4201,0)</f>
        <v/>
      </c>
      <c r="R4201" s="8">
        <f>IF(Q4201&lt;&gt;0,Q4201+H4201+L4201,0)</f>
        <v/>
      </c>
      <c r="S4201" s="9">
        <f>VLOOKUP(OPERAC[[#This Row],[especie]],[1]!ESPECIES[#Data],9,FALSE)</f>
        <v/>
      </c>
    </row>
    <row r="4202">
      <c r="A4202" s="4" t="n">
        <v>16795</v>
      </c>
      <c r="B4202" s="5" t="n">
        <v>44643</v>
      </c>
      <c r="C4202" s="13" t="inlineStr">
        <is>
          <t>CPR</t>
        </is>
      </c>
      <c r="D4202" s="13" t="n">
        <v>42</v>
      </c>
      <c r="E4202" s="10">
        <f>IF(D4202&gt;0,VLOOKUP(OPERAC[[#This Row],[COD CART]],[1]!MatrizCortoLargoCyl[#All],3,0),"")</f>
        <v/>
      </c>
      <c r="F4202" s="13" t="inlineStr">
        <is>
          <t>JPM</t>
        </is>
      </c>
      <c r="G4202" s="6" t="n">
        <v>7</v>
      </c>
      <c r="H4202" s="6" t="n">
        <v>-988.72648</v>
      </c>
      <c r="I4202" s="7">
        <f>-H4202/G4202</f>
        <v/>
      </c>
      <c r="J4202" s="11" t="n">
        <v>44664</v>
      </c>
      <c r="K4202" s="6">
        <f>+OPERAC[[#This Row],[cantidad]]</f>
        <v/>
      </c>
      <c r="L4202" s="6">
        <f>+OPERAC[[#This Row],[cantidad venta]]*125.943</f>
        <v/>
      </c>
      <c r="M4202" s="7">
        <f>IF(N4202=0,+L4202+H4202,0)</f>
        <v/>
      </c>
      <c r="N4202" s="7">
        <f>IF((+G4202-K4202)=0,0,+G4202-K4202)</f>
        <v/>
      </c>
      <c r="O4202" s="7">
        <f>IF(N4202=0,0,(L4202+H4202)/-N4202)</f>
        <v/>
      </c>
      <c r="P4202" s="7">
        <f>VLOOKUP(OPERAC[[#This Row],[especie]],[1]!ESPECIES[#All],6,0)</f>
        <v/>
      </c>
      <c r="Q4202" s="7">
        <f>IF(N4202&lt;&gt;0,P4202*N4202,0)</f>
        <v/>
      </c>
      <c r="R4202" s="8">
        <f>IF(Q4202&lt;&gt;0,Q4202+H4202+L4202,0)</f>
        <v/>
      </c>
      <c r="S4202" s="9">
        <f>VLOOKUP(OPERAC[[#This Row],[especie]],[1]!ESPECIES[#Data],9,FALSE)</f>
        <v/>
      </c>
    </row>
    <row r="4203">
      <c r="A4203" s="4" t="n">
        <v>2253</v>
      </c>
      <c r="B4203" s="5" t="n">
        <v>44557</v>
      </c>
      <c r="C4203" s="13" t="inlineStr">
        <is>
          <t>CPR</t>
        </is>
      </c>
      <c r="D4203" s="13" t="n">
        <v>32</v>
      </c>
      <c r="E4203" s="10">
        <f>IF(D4203&gt;0,VLOOKUP(OPERAC[[#This Row],[COD CART]],[1]!MatrizCortoLargoCyl[#All],3,0),"")</f>
        <v/>
      </c>
      <c r="F4203" s="13" t="inlineStr">
        <is>
          <t>HIMX/CYL/12,00/21-01-22</t>
        </is>
      </c>
      <c r="G4203" s="6" t="n">
        <v>100</v>
      </c>
      <c r="H4203" s="6">
        <f>-9.9*OPERAC[[#This Row],[cantidad]]</f>
        <v/>
      </c>
      <c r="I4203" s="7">
        <f>-H4203/G4203</f>
        <v/>
      </c>
      <c r="J4203" s="11" t="n">
        <v>44575</v>
      </c>
      <c r="K4203" s="6" t="n">
        <v>100</v>
      </c>
      <c r="L4203" s="6" t="n">
        <v>1171.965</v>
      </c>
      <c r="M4203" s="7">
        <f>IF(N4203=0,+L4203+H4203,0)</f>
        <v/>
      </c>
      <c r="N4203" s="7">
        <f>IF((+G4203-K4203)=0,0,+G4203-K4203)</f>
        <v/>
      </c>
      <c r="O4203" s="7">
        <f>IF(N4203=0,0,(L4203+H4203)/-N4203)</f>
        <v/>
      </c>
      <c r="P4203" s="7">
        <f>VLOOKUP(OPERAC[[#This Row],[especie]],[1]!ESPECIES[#All],6,0)</f>
        <v/>
      </c>
      <c r="Q4203" s="7">
        <f>IF(N4203&lt;&gt;0,P4203*N4203,0)</f>
        <v/>
      </c>
      <c r="R4203" s="8">
        <f>IF(Q4203&lt;&gt;0,Q4203+H4203+L4203,0)</f>
        <v/>
      </c>
      <c r="S4203" s="9">
        <f>VLOOKUP(OPERAC[[#This Row],[especie]],[1]!ESPECIES[#Data],9,FALSE)</f>
        <v/>
      </c>
    </row>
    <row r="4204">
      <c r="A4204" s="4" t="n">
        <v>16783</v>
      </c>
      <c r="B4204" s="5" t="n">
        <v>44634</v>
      </c>
      <c r="C4204" s="13" t="inlineStr">
        <is>
          <t>CPR</t>
        </is>
      </c>
      <c r="D4204" s="13" t="n">
        <v>42</v>
      </c>
      <c r="E4204" s="10">
        <f>IF(D4204&gt;0,VLOOKUP(OPERAC[[#This Row],[COD CART]],[1]!MatrizCortoLargoCyl[#All],3,0),"")</f>
        <v/>
      </c>
      <c r="F4204" s="13" t="inlineStr">
        <is>
          <t>INO</t>
        </is>
      </c>
      <c r="G4204" s="6" t="n">
        <v>300</v>
      </c>
      <c r="H4204" s="6" t="n">
        <v>-992.2973999999999</v>
      </c>
      <c r="I4204" s="7">
        <f>-H4204/G4204</f>
        <v/>
      </c>
      <c r="J4204" s="11" t="n">
        <v>44634</v>
      </c>
      <c r="K4204" s="6" t="n">
        <v>300</v>
      </c>
      <c r="L4204" s="6" t="n">
        <v>896.6565000000001</v>
      </c>
      <c r="M4204" s="7">
        <f>IF(N4204=0,+L4204+H4204,0)</f>
        <v/>
      </c>
      <c r="N4204" s="7">
        <f>IF((+G4204-K4204)=0,0,+G4204-K4204)</f>
        <v/>
      </c>
      <c r="O4204" s="7">
        <f>IF(N4204=0,0,(L4204+H4204)/-N4204)</f>
        <v/>
      </c>
      <c r="P4204" s="7">
        <f>VLOOKUP(OPERAC[[#This Row],[especie]],[1]!ESPECIES[#All],6,0)</f>
        <v/>
      </c>
      <c r="Q4204" s="7">
        <f>IF(N4204&lt;&gt;0,P4204*N4204,0)</f>
        <v/>
      </c>
      <c r="R4204" s="8">
        <f>IF(Q4204&lt;&gt;0,Q4204+H4204+L4204,0)</f>
        <v/>
      </c>
      <c r="S4204" s="9">
        <f>VLOOKUP(OPERAC[[#This Row],[especie]],[1]!ESPECIES[#Data],9,FALSE)</f>
        <v/>
      </c>
    </row>
    <row r="4205">
      <c r="A4205" s="4" t="n">
        <v>13253</v>
      </c>
      <c r="B4205" s="5" t="n">
        <v>44616</v>
      </c>
      <c r="C4205" s="13" t="inlineStr">
        <is>
          <t>CPR</t>
        </is>
      </c>
      <c r="D4205" s="13" t="n">
        <v>41</v>
      </c>
      <c r="E4205" s="10">
        <f>IF(D4205&gt;0,VLOOKUP(OPERAC[[#This Row],[COD CART]],[1]!MatrizCortoLargoCyl[#All],3,0),"")</f>
        <v/>
      </c>
      <c r="F4205" s="13" t="inlineStr">
        <is>
          <t>LTC</t>
        </is>
      </c>
      <c r="G4205" s="6" t="n">
        <v>30</v>
      </c>
      <c r="H4205" s="6" t="n">
        <v>-993.7791999999999</v>
      </c>
      <c r="I4205" s="7">
        <f>-H4205/G4205</f>
        <v/>
      </c>
      <c r="J4205" s="11" t="n"/>
      <c r="K4205" s="6" t="n"/>
      <c r="L4205" s="6" t="n"/>
      <c r="M4205" s="7">
        <f>IF(N4205=0,+L4205+H4205,0)</f>
        <v/>
      </c>
      <c r="N4205" s="7">
        <f>IF((+G4205-K4205)=0,0,+G4205-K4205)</f>
        <v/>
      </c>
      <c r="O4205" s="7">
        <f>IF(N4205=0,0,(L4205+H4205)/-N4205)</f>
        <v/>
      </c>
      <c r="P4205" s="7">
        <f>VLOOKUP(OPERAC[[#This Row],[especie]],[1]!ESPECIES[#All],6,0)</f>
        <v/>
      </c>
      <c r="Q4205" s="7">
        <f>IF(N4205&lt;&gt;0,P4205*N4205,0)</f>
        <v/>
      </c>
      <c r="R4205" s="8">
        <f>IF(Q4205&lt;&gt;0,Q4205+H4205+L4205,0)</f>
        <v/>
      </c>
      <c r="S4205" s="9">
        <f>VLOOKUP(OPERAC[[#This Row],[especie]],[1]!ESPECIES[#Data],9,FALSE)</f>
        <v/>
      </c>
    </row>
    <row r="4206">
      <c r="A4206" s="4" t="n">
        <v>1760</v>
      </c>
      <c r="B4206" s="5" t="n">
        <v>44725</v>
      </c>
      <c r="C4206" s="13" t="inlineStr">
        <is>
          <t>CPR</t>
        </is>
      </c>
      <c r="D4206" s="13" t="n">
        <v>40</v>
      </c>
      <c r="E4206" s="10">
        <f>IF(D4206&gt;0,VLOOKUP(OPERAC[[#This Row],[COD CART]],[1]!MatrizCortoLargoCyl[#All],3,0),"")</f>
        <v/>
      </c>
      <c r="F4206" s="13" t="inlineStr">
        <is>
          <t>EDIT</t>
        </is>
      </c>
      <c r="G4206" s="6" t="n">
        <v>100</v>
      </c>
      <c r="H4206" s="6" t="n">
        <v>-993.8364099999999</v>
      </c>
      <c r="I4206" s="7">
        <f>-H4206/G4206</f>
        <v/>
      </c>
      <c r="J4206" s="5" t="n"/>
      <c r="K4206" s="6" t="n"/>
      <c r="L4206" s="6" t="n"/>
      <c r="M4206" s="7">
        <f>IF(N4206=0,+L4206+H4206,0)</f>
        <v/>
      </c>
      <c r="N4206" s="7">
        <f>IF((+G4206-K4206)=0,0,+G4206-K4206)</f>
        <v/>
      </c>
      <c r="O4206" s="7">
        <f>IF(N4206=0,0,(L4206+H4206)/-N4206)</f>
        <v/>
      </c>
      <c r="P4206" s="7">
        <f>VLOOKUP(OPERAC[[#This Row],[especie]],[1]!ESPECIES[#All],6,0)</f>
        <v/>
      </c>
      <c r="Q4206" s="7">
        <f>IF(N4206&lt;&gt;0,P4206*N4206,0)</f>
        <v/>
      </c>
      <c r="R4206" s="8">
        <f>IF(Q4206&lt;&gt;0,Q4206+H4206+L4206,0)</f>
        <v/>
      </c>
      <c r="S4206" s="9">
        <f>VLOOKUP(OPERAC[[#This Row],[especie]],[1]!ESPECIES[#Data],9,FALSE)</f>
        <v/>
      </c>
    </row>
    <row r="4207">
      <c r="A4207" s="4" t="n">
        <v>12022</v>
      </c>
      <c r="B4207" s="5" t="n">
        <v>44725</v>
      </c>
      <c r="C4207" s="13" t="inlineStr">
        <is>
          <t>CPR</t>
        </is>
      </c>
      <c r="D4207" s="13" t="n">
        <v>40</v>
      </c>
      <c r="E4207" s="10">
        <f>IF(D4207&gt;0,VLOOKUP(OPERAC[[#This Row],[COD CART]],[1]!MatrizCortoLargoCyl[#All],3,0),"")</f>
        <v/>
      </c>
      <c r="F4207" s="13" t="inlineStr">
        <is>
          <t>EDIT</t>
        </is>
      </c>
      <c r="G4207" s="6" t="n">
        <v>100</v>
      </c>
      <c r="H4207" s="6" t="n">
        <v>-993.8364099999999</v>
      </c>
      <c r="I4207" s="7">
        <f>-H4207/G4207</f>
        <v/>
      </c>
      <c r="J4207" s="5" t="n"/>
      <c r="K4207" s="6" t="n"/>
      <c r="L4207" s="6" t="n"/>
      <c r="M4207" s="7">
        <f>IF(N4207=0,+L4207+H4207,0)</f>
        <v/>
      </c>
      <c r="N4207" s="7">
        <f>IF((+G4207-K4207)=0,0,+G4207-K4207)</f>
        <v/>
      </c>
      <c r="O4207" s="7">
        <f>IF(N4207=0,0,(L4207+H4207)/-N4207)</f>
        <v/>
      </c>
      <c r="P4207" s="7">
        <f>VLOOKUP(OPERAC[[#This Row],[especie]],[1]!ESPECIES[#All],6,0)</f>
        <v/>
      </c>
      <c r="Q4207" s="7">
        <f>IF(N4207&lt;&gt;0,P4207*N4207,0)</f>
        <v/>
      </c>
      <c r="R4207" s="8">
        <f>IF(Q4207&lt;&gt;0,Q4207+H4207+L4207,0)</f>
        <v/>
      </c>
      <c r="S4207" s="9">
        <f>VLOOKUP(OPERAC[[#This Row],[especie]],[1]!ESPECIES[#Data],9,FALSE)</f>
        <v/>
      </c>
    </row>
    <row r="4208">
      <c r="A4208" s="4" t="n">
        <v>18651</v>
      </c>
      <c r="B4208" s="5" t="n">
        <v>44725</v>
      </c>
      <c r="C4208" s="13" t="inlineStr">
        <is>
          <t>CPR</t>
        </is>
      </c>
      <c r="D4208" s="13" t="n">
        <v>40</v>
      </c>
      <c r="E4208" s="10">
        <f>IF(D4208&gt;0,VLOOKUP(OPERAC[[#This Row],[COD CART]],[1]!MatrizCortoLargoCyl[#All],3,0),"")</f>
        <v/>
      </c>
      <c r="F4208" s="13" t="inlineStr">
        <is>
          <t>EDIT</t>
        </is>
      </c>
      <c r="G4208" s="6" t="n">
        <v>100</v>
      </c>
      <c r="H4208" s="6" t="n">
        <v>-993.8364099999999</v>
      </c>
      <c r="I4208" s="7">
        <f>-H4208/G4208</f>
        <v/>
      </c>
      <c r="J4208" s="5" t="n"/>
      <c r="K4208" s="6" t="n"/>
      <c r="L4208" s="6" t="n"/>
      <c r="M4208" s="7">
        <f>IF(N4208=0,+L4208+H4208,0)</f>
        <v/>
      </c>
      <c r="N4208" s="7">
        <f>IF((+G4208-K4208)=0,0,+G4208-K4208)</f>
        <v/>
      </c>
      <c r="O4208" s="7">
        <f>IF(N4208=0,0,(L4208+H4208)/-N4208)</f>
        <v/>
      </c>
      <c r="P4208" s="7">
        <f>VLOOKUP(OPERAC[[#This Row],[especie]],[1]!ESPECIES[#All],6,0)</f>
        <v/>
      </c>
      <c r="Q4208" s="7">
        <f>IF(N4208&lt;&gt;0,P4208*N4208,0)</f>
        <v/>
      </c>
      <c r="R4208" s="8">
        <f>IF(Q4208&lt;&gt;0,Q4208+H4208+L4208,0)</f>
        <v/>
      </c>
      <c r="S4208" s="9">
        <f>VLOOKUP(OPERAC[[#This Row],[especie]],[1]!ESPECIES[#Data],9,FALSE)</f>
        <v/>
      </c>
    </row>
    <row r="4209">
      <c r="A4209" s="4" t="n">
        <v>16783</v>
      </c>
      <c r="B4209" s="5" t="n">
        <v>44642</v>
      </c>
      <c r="C4209" s="13" t="inlineStr">
        <is>
          <t>CPR</t>
        </is>
      </c>
      <c r="D4209" s="13" t="n">
        <v>42</v>
      </c>
      <c r="E4209" s="10">
        <f>IF(D4209&gt;0,VLOOKUP(OPERAC[[#This Row],[COD CART]],[1]!MatrizCortoLargoCyl[#All],3,0),"")</f>
        <v/>
      </c>
      <c r="F4209" s="13" t="inlineStr">
        <is>
          <t>DIS</t>
        </is>
      </c>
      <c r="G4209" s="6" t="n">
        <v>7</v>
      </c>
      <c r="H4209" s="6" t="n">
        <v>-996.65676</v>
      </c>
      <c r="I4209" s="7">
        <f>-H4209/G4209</f>
        <v/>
      </c>
      <c r="J4209" s="11" t="n">
        <v>44671</v>
      </c>
      <c r="K4209" s="6">
        <f>+OPERAC[[#This Row],[cantidad]]</f>
        <v/>
      </c>
      <c r="L4209" s="6">
        <f>+OPERAC[[#This Row],[cantidad venta]]*123.621</f>
        <v/>
      </c>
      <c r="M4209" s="7">
        <f>IF(N4209=0,+L4209+H4209,0)</f>
        <v/>
      </c>
      <c r="N4209" s="7">
        <f>IF((+G4209-K4209)=0,0,+G4209-K4209)</f>
        <v/>
      </c>
      <c r="O4209" s="7">
        <f>IF(N4209=0,0,(L4209+H4209)/-N4209)</f>
        <v/>
      </c>
      <c r="P4209" s="7">
        <f>VLOOKUP(OPERAC[[#This Row],[especie]],[1]!ESPECIES[#All],6,0)</f>
        <v/>
      </c>
      <c r="Q4209" s="7">
        <f>IF(N4209&lt;&gt;0,P4209*N4209,0)</f>
        <v/>
      </c>
      <c r="R4209" s="8">
        <f>IF(Q4209&lt;&gt;0,Q4209+H4209+L4209,0)</f>
        <v/>
      </c>
      <c r="S4209" s="9">
        <f>VLOOKUP(OPERAC[[#This Row],[especie]],[1]!ESPECIES[#Data],9,FALSE)</f>
        <v/>
      </c>
    </row>
    <row r="4210">
      <c r="A4210" s="4" t="n">
        <v>22407</v>
      </c>
      <c r="B4210" s="5" t="n">
        <v>43831</v>
      </c>
      <c r="C4210" s="13" t="inlineStr">
        <is>
          <t>CPR</t>
        </is>
      </c>
      <c r="D4210" s="13" t="n">
        <v>31</v>
      </c>
      <c r="E4210" s="10">
        <f>IF(D4210&gt;0,VLOOKUP(OPERAC[[#This Row],[COD CART]],[1]!MatrizCortoLargoCyl[#All],3,0),"")</f>
        <v/>
      </c>
      <c r="F4210" s="13" t="inlineStr">
        <is>
          <t>GGAL</t>
        </is>
      </c>
      <c r="G4210" s="6" t="n">
        <v>100</v>
      </c>
      <c r="H4210" s="6" t="n">
        <v>-1000</v>
      </c>
      <c r="I4210" s="7">
        <f>-H4210/G4210</f>
        <v/>
      </c>
      <c r="J4210" s="5" t="n"/>
      <c r="K4210" s="6" t="n"/>
      <c r="L4210" s="6" t="n"/>
      <c r="M4210" s="7">
        <f>IF(N4210=0,+L4210+H4210,0)</f>
        <v/>
      </c>
      <c r="N4210" s="7">
        <f>IF((+G4210-K4210)=0,0,+G4210-K4210)</f>
        <v/>
      </c>
      <c r="O4210" s="7">
        <f>IF(N4210=0,0,(L4210+H4210)/-N4210)</f>
        <v/>
      </c>
      <c r="P4210" s="7">
        <f>VLOOKUP(OPERAC[[#This Row],[especie]],[1]!ESPECIES[#All],6,0)</f>
        <v/>
      </c>
      <c r="Q4210" s="7">
        <f>IF(N4210&lt;&gt;0,P4210*N4210,0)</f>
        <v/>
      </c>
      <c r="R4210" s="8">
        <f>IF(Q4210&lt;&gt;0,Q4210+H4210+L4210,0)</f>
        <v/>
      </c>
      <c r="S4210" s="9">
        <f>VLOOKUP(OPERAC[[#This Row],[especie]],[1]!ESPECIES[#Data],9,FALSE)</f>
        <v/>
      </c>
    </row>
    <row r="4211">
      <c r="A4211" s="4" t="n">
        <v>13253</v>
      </c>
      <c r="B4211" s="5" t="n">
        <v>44616</v>
      </c>
      <c r="C4211" s="13" t="inlineStr">
        <is>
          <t>CPR</t>
        </is>
      </c>
      <c r="D4211" s="13" t="n">
        <v>41</v>
      </c>
      <c r="E4211" s="10">
        <f>IF(D4211&gt;0,VLOOKUP(OPERAC[[#This Row],[COD CART]],[1]!MatrizCortoLargoCyl[#All],3,0),"")</f>
        <v/>
      </c>
      <c r="F4211" s="13" t="inlineStr">
        <is>
          <t>BEP</t>
        </is>
      </c>
      <c r="G4211" s="6" t="n">
        <v>30</v>
      </c>
      <c r="H4211" s="6" t="n">
        <v>-1000.7344</v>
      </c>
      <c r="I4211" s="7">
        <f>-H4211/G4211</f>
        <v/>
      </c>
      <c r="J4211" s="11" t="n"/>
      <c r="K4211" s="6" t="n"/>
      <c r="L4211" s="6" t="n"/>
      <c r="M4211" s="7">
        <f>IF(N4211=0,+L4211+H4211,0)</f>
        <v/>
      </c>
      <c r="N4211" s="7">
        <f>IF((+G4211-K4211)=0,0,+G4211-K4211)</f>
        <v/>
      </c>
      <c r="O4211" s="7">
        <f>IF(N4211=0,0,(L4211+H4211)/-N4211)</f>
        <v/>
      </c>
      <c r="P4211" s="7">
        <f>VLOOKUP(OPERAC[[#This Row],[especie]],[1]!ESPECIES[#All],6,0)</f>
        <v/>
      </c>
      <c r="Q4211" s="7">
        <f>IF(N4211&lt;&gt;0,P4211*N4211,0)</f>
        <v/>
      </c>
      <c r="R4211" s="8">
        <f>IF(Q4211&lt;&gt;0,Q4211+H4211+L4211,0)</f>
        <v/>
      </c>
      <c r="S4211" s="9">
        <f>VLOOKUP(OPERAC[[#This Row],[especie]],[1]!ESPECIES[#Data],9,FALSE)</f>
        <v/>
      </c>
    </row>
    <row r="4212">
      <c r="A4212" s="4" t="n">
        <v>13253</v>
      </c>
      <c r="B4212" s="5" t="n">
        <v>44616</v>
      </c>
      <c r="C4212" s="13" t="inlineStr">
        <is>
          <t>CPR</t>
        </is>
      </c>
      <c r="D4212" s="13" t="n">
        <v>41</v>
      </c>
      <c r="E4212" s="10">
        <f>IF(D4212&gt;0,VLOOKUP(OPERAC[[#This Row],[COD CART]],[1]!MatrizCortoLargoCyl[#All],3,0),"")</f>
        <v/>
      </c>
      <c r="F4212" s="13" t="inlineStr">
        <is>
          <t>MPW</t>
        </is>
      </c>
      <c r="G4212" s="6" t="n">
        <v>50</v>
      </c>
      <c r="H4212" s="6" t="n">
        <v>-1001.944</v>
      </c>
      <c r="I4212" s="7">
        <f>-H4212/G4212</f>
        <v/>
      </c>
      <c r="J4212" s="11" t="n"/>
      <c r="K4212" s="6" t="n"/>
      <c r="L4212" s="6" t="n"/>
      <c r="M4212" s="7">
        <f>IF(N4212=0,+L4212+H4212,0)</f>
        <v/>
      </c>
      <c r="N4212" s="7">
        <f>IF((+G4212-K4212)=0,0,+G4212-K4212)</f>
        <v/>
      </c>
      <c r="O4212" s="7">
        <f>IF(N4212=0,0,(L4212+H4212)/-N4212)</f>
        <v/>
      </c>
      <c r="P4212" s="7">
        <f>VLOOKUP(OPERAC[[#This Row],[especie]],[1]!ESPECIES[#All],6,0)</f>
        <v/>
      </c>
      <c r="Q4212" s="7">
        <f>IF(N4212&lt;&gt;0,P4212*N4212,0)</f>
        <v/>
      </c>
      <c r="R4212" s="8">
        <f>IF(Q4212&lt;&gt;0,Q4212+H4212+L4212,0)</f>
        <v/>
      </c>
      <c r="S4212" s="9">
        <f>VLOOKUP(OPERAC[[#This Row],[especie]],[1]!ESPECIES[#Data],9,FALSE)</f>
        <v/>
      </c>
    </row>
    <row r="4213">
      <c r="A4213" s="4" t="n">
        <v>13240</v>
      </c>
      <c r="B4213" s="5" t="n">
        <v>44515</v>
      </c>
      <c r="C4213" s="13" t="inlineStr">
        <is>
          <t>CPR</t>
        </is>
      </c>
      <c r="D4213" s="13" t="n">
        <v>31</v>
      </c>
      <c r="E4213" s="10">
        <f>IF(D4213&gt;0,VLOOKUP(OPERAC[[#This Row],[COD CART]],[1]!MatrizCortoLargoCyl[#All],3,0),"")</f>
        <v/>
      </c>
      <c r="F4213" s="13" t="inlineStr">
        <is>
          <t>ICLN</t>
        </is>
      </c>
      <c r="G4213" s="6" t="n">
        <v>40</v>
      </c>
      <c r="H4213" s="6" t="n">
        <v>-1002.3472</v>
      </c>
      <c r="I4213" s="7">
        <f>-H4213/G4213</f>
        <v/>
      </c>
      <c r="J4213" s="11" t="n"/>
      <c r="K4213" s="6" t="n"/>
      <c r="L4213" s="6" t="n"/>
      <c r="M4213" s="7">
        <f>IF(N4213=0,+L4213+H4213,0)</f>
        <v/>
      </c>
      <c r="N4213" s="7">
        <f>IF((+G4213-K4213)=0,0,+G4213-K4213)</f>
        <v/>
      </c>
      <c r="O4213" s="7">
        <f>IF(N4213=0,0,(L4213+H4213)/-N4213)</f>
        <v/>
      </c>
      <c r="P4213" s="7">
        <f>VLOOKUP(OPERAC[[#This Row],[especie]],[1]!ESPECIES[#All],6,0)</f>
        <v/>
      </c>
      <c r="Q4213" s="7">
        <f>IF(N4213&lt;&gt;0,P4213*N4213,0)</f>
        <v/>
      </c>
      <c r="R4213" s="8">
        <f>IF(Q4213&lt;&gt;0,Q4213+H4213+L4213,0)</f>
        <v/>
      </c>
      <c r="S4213" s="9">
        <f>VLOOKUP(OPERAC[[#This Row],[especie]],[1]!ESPECIES[#Data],9,FALSE)</f>
        <v/>
      </c>
    </row>
    <row r="4214">
      <c r="A4214" s="4" t="n">
        <v>22393</v>
      </c>
      <c r="B4214" s="5" t="n">
        <v>44713</v>
      </c>
      <c r="C4214" s="13" t="inlineStr">
        <is>
          <t>CPR</t>
        </is>
      </c>
      <c r="D4214" s="13" t="n">
        <v>41</v>
      </c>
      <c r="E4214" s="10">
        <f>IF(D4214&gt;0,VLOOKUP(OPERAC[[#This Row],[COD CART]],[1]!MatrizCortoLargoCyl[#All],3,0),"")</f>
        <v/>
      </c>
      <c r="F4214" s="13" t="inlineStr">
        <is>
          <t>CRESY</t>
        </is>
      </c>
      <c r="G4214" s="6" t="n">
        <v>140</v>
      </c>
      <c r="H4214" s="6" t="n">
        <v>-1003.2792</v>
      </c>
      <c r="I4214" s="7">
        <f>-H4214/G4214</f>
        <v/>
      </c>
      <c r="J4214" s="5" t="n"/>
      <c r="K4214" s="6" t="n"/>
      <c r="L4214" s="6" t="n"/>
      <c r="M4214" s="7">
        <f>IF(N4214=0,+L4214+H4214,0)</f>
        <v/>
      </c>
      <c r="N4214" s="7">
        <f>IF((+G4214-K4214)=0,0,+G4214-K4214)</f>
        <v/>
      </c>
      <c r="O4214" s="7">
        <f>IF(N4214=0,0,(L4214+H4214)/-N4214)</f>
        <v/>
      </c>
      <c r="P4214" s="7">
        <f>VLOOKUP(OPERAC[[#This Row],[especie]],[1]!ESPECIES[#All],6,0)</f>
        <v/>
      </c>
      <c r="Q4214" s="7">
        <f>IF(N4214&lt;&gt;0,P4214*N4214,0)</f>
        <v/>
      </c>
      <c r="R4214" s="8">
        <f>IF(Q4214&lt;&gt;0,Q4214+H4214+L4214,0)</f>
        <v/>
      </c>
      <c r="S4214" s="9">
        <f>VLOOKUP(OPERAC[[#This Row],[especie]],[1]!ESPECIES[#Data],9,FALSE)</f>
        <v/>
      </c>
    </row>
    <row r="4215">
      <c r="A4215" s="4" t="n">
        <v>16783</v>
      </c>
      <c r="B4215" s="5" t="n">
        <v>44511</v>
      </c>
      <c r="C4215" s="13" t="inlineStr">
        <is>
          <t>CPR</t>
        </is>
      </c>
      <c r="D4215" s="13" t="n">
        <v>31</v>
      </c>
      <c r="E4215" s="10">
        <f>IF(D4215&gt;0,VLOOKUP(OPERAC[[#This Row],[COD CART]],[1]!MatrizCortoLargoCyl[#All],3,0),"")</f>
        <v/>
      </c>
      <c r="F4215" s="13" t="inlineStr">
        <is>
          <t>IPIX</t>
        </is>
      </c>
      <c r="G4215" s="6" t="n">
        <v>10000</v>
      </c>
      <c r="H4215" s="6" t="n">
        <v>-1003.536</v>
      </c>
      <c r="I4215" s="7">
        <f>-H4215/G4215</f>
        <v/>
      </c>
      <c r="J4215" s="11" t="n"/>
      <c r="K4215" s="6" t="n"/>
      <c r="L4215" s="6" t="n"/>
      <c r="M4215" s="7">
        <f>IF(N4215=0,+L4215+H4215,0)</f>
        <v/>
      </c>
      <c r="N4215" s="7">
        <f>IF((+G4215-K4215)=0,0,+G4215-K4215)</f>
        <v/>
      </c>
      <c r="O4215" s="7">
        <f>IF(N4215=0,0,(L4215+H4215)/-N4215)</f>
        <v/>
      </c>
      <c r="P4215" s="7">
        <f>VLOOKUP(OPERAC[[#This Row],[especie]],[1]!ESPECIES[#All],6,0)</f>
        <v/>
      </c>
      <c r="Q4215" s="7">
        <f>IF(N4215&lt;&gt;0,P4215*N4215,0)</f>
        <v/>
      </c>
      <c r="R4215" s="8">
        <f>IF(Q4215&lt;&gt;0,Q4215+H4215+L4215,0)</f>
        <v/>
      </c>
      <c r="S4215" s="9">
        <f>VLOOKUP(OPERAC[[#This Row],[especie]],[1]!ESPECIES[#Data],9,FALSE)</f>
        <v/>
      </c>
    </row>
    <row r="4216">
      <c r="A4216" s="4" t="n">
        <v>18651</v>
      </c>
      <c r="B4216" s="5" t="n">
        <v>44722</v>
      </c>
      <c r="C4216" s="13" t="inlineStr">
        <is>
          <t>CPR</t>
        </is>
      </c>
      <c r="D4216" s="13" t="n">
        <v>32</v>
      </c>
      <c r="E4216" s="10">
        <f>IF(D4216&gt;0,VLOOKUP(OPERAC[[#This Row],[COD CART]],[1]!MatrizCortoLargoCyl[#All],3,0),"")</f>
        <v/>
      </c>
      <c r="F4216" s="13" t="inlineStr">
        <is>
          <t>CCL/CYL/10,50/24-06-22</t>
        </is>
      </c>
      <c r="G4216" s="6" t="n">
        <v>100</v>
      </c>
      <c r="H4216" s="6" t="n">
        <v>-1005.33</v>
      </c>
      <c r="I4216" s="7">
        <f>-H4216/G4216</f>
        <v/>
      </c>
      <c r="J4216" s="5" t="n"/>
      <c r="K4216" s="6" t="n"/>
      <c r="L4216" s="6" t="n"/>
      <c r="M4216" s="7">
        <f>IF(N4216=0,+L4216+H4216,0)</f>
        <v/>
      </c>
      <c r="N4216" s="7">
        <f>IF((+G4216-K4216)=0,0,+G4216-K4216)</f>
        <v/>
      </c>
      <c r="O4216" s="7">
        <f>IF(N4216=0,0,(L4216+H4216)/-N4216)</f>
        <v/>
      </c>
      <c r="P4216" s="7">
        <f>VLOOKUP(OPERAC[[#This Row],[especie]],[1]!ESPECIES[#All],6,0)</f>
        <v/>
      </c>
      <c r="Q4216" s="7">
        <f>IF(N4216&lt;&gt;0,P4216*N4216,0)</f>
        <v/>
      </c>
      <c r="R4216" s="8">
        <f>IF(Q4216&lt;&gt;0,Q4216+H4216+L4216,0)</f>
        <v/>
      </c>
      <c r="S4216" s="9">
        <f>VLOOKUP(OPERAC[[#This Row],[especie]],[1]!ESPECIES[#Data],9,FALSE)</f>
        <v/>
      </c>
    </row>
    <row r="4217">
      <c r="A4217" s="4" t="n">
        <v>19867</v>
      </c>
      <c r="B4217" s="5" t="n">
        <v>44722</v>
      </c>
      <c r="C4217" s="13" t="inlineStr">
        <is>
          <t>CPR</t>
        </is>
      </c>
      <c r="D4217" s="13" t="n">
        <v>32</v>
      </c>
      <c r="E4217" s="10">
        <f>IF(D4217&gt;0,VLOOKUP(OPERAC[[#This Row],[COD CART]],[1]!MatrizCortoLargoCyl[#All],3,0),"")</f>
        <v/>
      </c>
      <c r="F4217" s="13" t="inlineStr">
        <is>
          <t>CCL/CYL/10,50/24-06-22</t>
        </is>
      </c>
      <c r="G4217" s="6" t="n">
        <v>100</v>
      </c>
      <c r="H4217" s="6" t="n">
        <v>-1005.33</v>
      </c>
      <c r="I4217" s="7">
        <f>-H4217/G4217</f>
        <v/>
      </c>
      <c r="J4217" s="5" t="n"/>
      <c r="K4217" s="6" t="n"/>
      <c r="L4217" s="6" t="n"/>
      <c r="M4217" s="7">
        <f>IF(N4217=0,+L4217+H4217,0)</f>
        <v/>
      </c>
      <c r="N4217" s="7">
        <f>IF((+G4217-K4217)=0,0,+G4217-K4217)</f>
        <v/>
      </c>
      <c r="O4217" s="7">
        <f>IF(N4217=0,0,(L4217+H4217)/-N4217)</f>
        <v/>
      </c>
      <c r="P4217" s="7">
        <f>VLOOKUP(OPERAC[[#This Row],[especie]],[1]!ESPECIES[#All],6,0)</f>
        <v/>
      </c>
      <c r="Q4217" s="7">
        <f>IF(N4217&lt;&gt;0,P4217*N4217,0)</f>
        <v/>
      </c>
      <c r="R4217" s="8">
        <f>IF(Q4217&lt;&gt;0,Q4217+H4217+L4217,0)</f>
        <v/>
      </c>
      <c r="S4217" s="9">
        <f>VLOOKUP(OPERAC[[#This Row],[especie]],[1]!ESPECIES[#Data],9,FALSE)</f>
        <v/>
      </c>
    </row>
    <row r="4218">
      <c r="A4218" s="4" t="n">
        <v>2194</v>
      </c>
      <c r="B4218" s="5" t="n">
        <v>44722</v>
      </c>
      <c r="C4218" s="13" t="inlineStr">
        <is>
          <t>CPR</t>
        </is>
      </c>
      <c r="D4218" s="13" t="n">
        <v>32</v>
      </c>
      <c r="E4218" s="10">
        <f>IF(D4218&gt;0,VLOOKUP(OPERAC[[#This Row],[COD CART]],[1]!MatrizCortoLargoCyl[#All],3,0),"")</f>
        <v/>
      </c>
      <c r="F4218" s="13" t="inlineStr">
        <is>
          <t>CCL/CYL/10,50/24-06-22</t>
        </is>
      </c>
      <c r="G4218" s="6" t="n">
        <v>100</v>
      </c>
      <c r="H4218" s="6" t="n">
        <v>-1005.33</v>
      </c>
      <c r="I4218" s="7">
        <f>-H4218/G4218</f>
        <v/>
      </c>
      <c r="J4218" s="5" t="n"/>
      <c r="K4218" s="6" t="n"/>
      <c r="L4218" s="6" t="n"/>
      <c r="M4218" s="7">
        <f>IF(N4218=0,+L4218+H4218,0)</f>
        <v/>
      </c>
      <c r="N4218" s="7">
        <f>IF((+G4218-K4218)=0,0,+G4218-K4218)</f>
        <v/>
      </c>
      <c r="O4218" s="7">
        <f>IF(N4218=0,0,(L4218+H4218)/-N4218)</f>
        <v/>
      </c>
      <c r="P4218" s="7">
        <f>VLOOKUP(OPERAC[[#This Row],[especie]],[1]!ESPECIES[#All],6,0)</f>
        <v/>
      </c>
      <c r="Q4218" s="7">
        <f>IF(N4218&lt;&gt;0,P4218*N4218,0)</f>
        <v/>
      </c>
      <c r="R4218" s="8">
        <f>IF(Q4218&lt;&gt;0,Q4218+H4218+L4218,0)</f>
        <v/>
      </c>
      <c r="S4218" s="9">
        <f>VLOOKUP(OPERAC[[#This Row],[especie]],[1]!ESPECIES[#Data],9,FALSE)</f>
        <v/>
      </c>
    </row>
    <row r="4219">
      <c r="A4219" s="4" t="n">
        <v>3853</v>
      </c>
      <c r="B4219" s="5" t="n">
        <v>44722</v>
      </c>
      <c r="C4219" s="13" t="inlineStr">
        <is>
          <t>CPR</t>
        </is>
      </c>
      <c r="D4219" s="13" t="n">
        <v>32</v>
      </c>
      <c r="E4219" s="10">
        <f>IF(D4219&gt;0,VLOOKUP(OPERAC[[#This Row],[COD CART]],[1]!MatrizCortoLargoCyl[#All],3,0),"")</f>
        <v/>
      </c>
      <c r="F4219" s="13" t="inlineStr">
        <is>
          <t>CCL/CYL/10,50/24-06-22</t>
        </is>
      </c>
      <c r="G4219" s="6" t="n">
        <v>100</v>
      </c>
      <c r="H4219" s="6" t="n">
        <v>-1005.33</v>
      </c>
      <c r="I4219" s="7">
        <f>-H4219/G4219</f>
        <v/>
      </c>
      <c r="J4219" s="5" t="n"/>
      <c r="K4219" s="6" t="n"/>
      <c r="L4219" s="6" t="n"/>
      <c r="M4219" s="7">
        <f>IF(N4219=0,+L4219+H4219,0)</f>
        <v/>
      </c>
      <c r="N4219" s="7">
        <f>IF((+G4219-K4219)=0,0,+G4219-K4219)</f>
        <v/>
      </c>
      <c r="O4219" s="7">
        <f>IF(N4219=0,0,(L4219+H4219)/-N4219)</f>
        <v/>
      </c>
      <c r="P4219" s="7">
        <f>VLOOKUP(OPERAC[[#This Row],[especie]],[1]!ESPECIES[#All],6,0)</f>
        <v/>
      </c>
      <c r="Q4219" s="7">
        <f>IF(N4219&lt;&gt;0,P4219*N4219,0)</f>
        <v/>
      </c>
      <c r="R4219" s="8">
        <f>IF(Q4219&lt;&gt;0,Q4219+H4219+L4219,0)</f>
        <v/>
      </c>
      <c r="S4219" s="9">
        <f>VLOOKUP(OPERAC[[#This Row],[especie]],[1]!ESPECIES[#Data],9,FALSE)</f>
        <v/>
      </c>
    </row>
    <row r="4220">
      <c r="A4220" s="4" t="n">
        <v>7895</v>
      </c>
      <c r="B4220" s="5" t="n">
        <v>44722</v>
      </c>
      <c r="C4220" s="13" t="inlineStr">
        <is>
          <t>CPR</t>
        </is>
      </c>
      <c r="D4220" s="13" t="n">
        <v>32</v>
      </c>
      <c r="E4220" s="10">
        <f>IF(D4220&gt;0,VLOOKUP(OPERAC[[#This Row],[COD CART]],[1]!MatrizCortoLargoCyl[#All],3,0),"")</f>
        <v/>
      </c>
      <c r="F4220" s="13" t="inlineStr">
        <is>
          <t>CCL/CYL/10,50/24-06-22</t>
        </is>
      </c>
      <c r="G4220" s="6" t="n">
        <v>100</v>
      </c>
      <c r="H4220" s="6" t="n">
        <v>-1005.33</v>
      </c>
      <c r="I4220" s="7">
        <f>-H4220/G4220</f>
        <v/>
      </c>
      <c r="J4220" s="5" t="n"/>
      <c r="K4220" s="6" t="n"/>
      <c r="L4220" s="6" t="n"/>
      <c r="M4220" s="7">
        <f>IF(N4220=0,+L4220+H4220,0)</f>
        <v/>
      </c>
      <c r="N4220" s="7">
        <f>IF((+G4220-K4220)=0,0,+G4220-K4220)</f>
        <v/>
      </c>
      <c r="O4220" s="7">
        <f>IF(N4220=0,0,(L4220+H4220)/-N4220)</f>
        <v/>
      </c>
      <c r="P4220" s="7">
        <f>VLOOKUP(OPERAC[[#This Row],[especie]],[1]!ESPECIES[#All],6,0)</f>
        <v/>
      </c>
      <c r="Q4220" s="7">
        <f>IF(N4220&lt;&gt;0,P4220*N4220,0)</f>
        <v/>
      </c>
      <c r="R4220" s="8">
        <f>IF(Q4220&lt;&gt;0,Q4220+H4220+L4220,0)</f>
        <v/>
      </c>
      <c r="S4220" s="9">
        <f>VLOOKUP(OPERAC[[#This Row],[especie]],[1]!ESPECIES[#Data],9,FALSE)</f>
        <v/>
      </c>
    </row>
    <row r="4221">
      <c r="A4221" s="4" t="n">
        <v>1760</v>
      </c>
      <c r="B4221" s="5" t="n">
        <v>44722</v>
      </c>
      <c r="C4221" s="13" t="inlineStr">
        <is>
          <t>CPR</t>
        </is>
      </c>
      <c r="D4221" s="13" t="n">
        <v>32</v>
      </c>
      <c r="E4221" s="10">
        <f>IF(D4221&gt;0,VLOOKUP(OPERAC[[#This Row],[COD CART]],[1]!MatrizCortoLargoCyl[#All],3,0),"")</f>
        <v/>
      </c>
      <c r="F4221" s="13" t="inlineStr">
        <is>
          <t>CCL/CYL/10,50/24-06-22</t>
        </is>
      </c>
      <c r="G4221" s="6" t="n">
        <v>100</v>
      </c>
      <c r="H4221" s="6" t="n">
        <v>-1005.33</v>
      </c>
      <c r="I4221" s="7">
        <f>-H4221/G4221</f>
        <v/>
      </c>
      <c r="J4221" s="5" t="n"/>
      <c r="K4221" s="6" t="n"/>
      <c r="L4221" s="6" t="n"/>
      <c r="M4221" s="7">
        <f>IF(N4221=0,+L4221+H4221,0)</f>
        <v/>
      </c>
      <c r="N4221" s="7">
        <f>IF((+G4221-K4221)=0,0,+G4221-K4221)</f>
        <v/>
      </c>
      <c r="O4221" s="7">
        <f>IF(N4221=0,0,(L4221+H4221)/-N4221)</f>
        <v/>
      </c>
      <c r="P4221" s="7">
        <f>VLOOKUP(OPERAC[[#This Row],[especie]],[1]!ESPECIES[#All],6,0)</f>
        <v/>
      </c>
      <c r="Q4221" s="7">
        <f>IF(N4221&lt;&gt;0,P4221*N4221,0)</f>
        <v/>
      </c>
      <c r="R4221" s="8">
        <f>IF(Q4221&lt;&gt;0,Q4221+H4221+L4221,0)</f>
        <v/>
      </c>
      <c r="S4221" s="9">
        <f>VLOOKUP(OPERAC[[#This Row],[especie]],[1]!ESPECIES[#Data],9,FALSE)</f>
        <v/>
      </c>
    </row>
    <row r="4222">
      <c r="A4222" s="4" t="n">
        <v>6578</v>
      </c>
      <c r="B4222" s="5" t="n">
        <v>44722</v>
      </c>
      <c r="C4222" s="13" t="inlineStr">
        <is>
          <t>CPR</t>
        </is>
      </c>
      <c r="D4222" s="13" t="n">
        <v>32</v>
      </c>
      <c r="E4222" s="10">
        <f>IF(D4222&gt;0,VLOOKUP(OPERAC[[#This Row],[COD CART]],[1]!MatrizCortoLargoCyl[#All],3,0),"")</f>
        <v/>
      </c>
      <c r="F4222" s="13" t="inlineStr">
        <is>
          <t>CCL/CYL/10,50/24-06-22</t>
        </is>
      </c>
      <c r="G4222" s="6" t="n">
        <v>100</v>
      </c>
      <c r="H4222" s="6" t="n">
        <v>-1005.33</v>
      </c>
      <c r="I4222" s="7">
        <f>-H4222/G4222</f>
        <v/>
      </c>
      <c r="J4222" s="5" t="n"/>
      <c r="K4222" s="6" t="n"/>
      <c r="L4222" s="6" t="n"/>
      <c r="M4222" s="7">
        <f>IF(N4222=0,+L4222+H4222,0)</f>
        <v/>
      </c>
      <c r="N4222" s="7">
        <f>IF((+G4222-K4222)=0,0,+G4222-K4222)</f>
        <v/>
      </c>
      <c r="O4222" s="7">
        <f>IF(N4222=0,0,(L4222+H4222)/-N4222)</f>
        <v/>
      </c>
      <c r="P4222" s="7">
        <f>VLOOKUP(OPERAC[[#This Row],[especie]],[1]!ESPECIES[#All],6,0)</f>
        <v/>
      </c>
      <c r="Q4222" s="7">
        <f>IF(N4222&lt;&gt;0,P4222*N4222,0)</f>
        <v/>
      </c>
      <c r="R4222" s="8">
        <f>IF(Q4222&lt;&gt;0,Q4222+H4222+L4222,0)</f>
        <v/>
      </c>
      <c r="S4222" s="9">
        <f>VLOOKUP(OPERAC[[#This Row],[especie]],[1]!ESPECIES[#Data],9,FALSE)</f>
        <v/>
      </c>
    </row>
    <row r="4223">
      <c r="A4223" s="4" t="n">
        <v>3728</v>
      </c>
      <c r="B4223" s="5" t="n">
        <v>44722</v>
      </c>
      <c r="C4223" s="13" t="inlineStr">
        <is>
          <t>CPR</t>
        </is>
      </c>
      <c r="D4223" s="13" t="n">
        <v>32</v>
      </c>
      <c r="E4223" s="10">
        <f>IF(D4223&gt;0,VLOOKUP(OPERAC[[#This Row],[COD CART]],[1]!MatrizCortoLargoCyl[#All],3,0),"")</f>
        <v/>
      </c>
      <c r="F4223" s="13" t="inlineStr">
        <is>
          <t>CCL/CYL/10,50/24-06-22</t>
        </is>
      </c>
      <c r="G4223" s="6" t="n">
        <v>100</v>
      </c>
      <c r="H4223" s="6" t="n">
        <v>-1005.33</v>
      </c>
      <c r="I4223" s="7">
        <f>-H4223/G4223</f>
        <v/>
      </c>
      <c r="J4223" s="5" t="n"/>
      <c r="K4223" s="6" t="n"/>
      <c r="L4223" s="6" t="n"/>
      <c r="M4223" s="7">
        <f>IF(N4223=0,+L4223+H4223,0)</f>
        <v/>
      </c>
      <c r="N4223" s="7">
        <f>IF((+G4223-K4223)=0,0,+G4223-K4223)</f>
        <v/>
      </c>
      <c r="O4223" s="7">
        <f>IF(N4223=0,0,(L4223+H4223)/-N4223)</f>
        <v/>
      </c>
      <c r="P4223" s="7">
        <f>VLOOKUP(OPERAC[[#This Row],[especie]],[1]!ESPECIES[#All],6,0)</f>
        <v/>
      </c>
      <c r="Q4223" s="7">
        <f>IF(N4223&lt;&gt;0,P4223*N4223,0)</f>
        <v/>
      </c>
      <c r="R4223" s="8">
        <f>IF(Q4223&lt;&gt;0,Q4223+H4223+L4223,0)</f>
        <v/>
      </c>
      <c r="S4223" s="9">
        <f>VLOOKUP(OPERAC[[#This Row],[especie]],[1]!ESPECIES[#Data],9,FALSE)</f>
        <v/>
      </c>
    </row>
    <row r="4224">
      <c r="A4224" s="4" t="n">
        <v>13180</v>
      </c>
      <c r="B4224" s="5" t="n">
        <v>44643</v>
      </c>
      <c r="C4224" s="13" t="inlineStr">
        <is>
          <t>CPR</t>
        </is>
      </c>
      <c r="D4224" s="13" t="n">
        <v>31</v>
      </c>
      <c r="E4224" s="10">
        <f>IF(D4224&gt;0,VLOOKUP(OPERAC[[#This Row],[COD CART]],[1]!MatrizCortoLargoCyl[#All],3,0),"")</f>
        <v/>
      </c>
      <c r="F4224" s="13" t="inlineStr">
        <is>
          <t>LAC</t>
        </is>
      </c>
      <c r="G4224" s="6" t="n">
        <v>30</v>
      </c>
      <c r="H4224" s="6" t="n">
        <v>-1005.395952</v>
      </c>
      <c r="I4224" s="7">
        <f>-H4224/G4224</f>
        <v/>
      </c>
      <c r="J4224" s="11" t="n">
        <v>44677</v>
      </c>
      <c r="K4224" s="6" t="n">
        <v>30</v>
      </c>
      <c r="L4224" s="6" t="n">
        <v>766.826</v>
      </c>
      <c r="M4224" s="7">
        <f>IF(N4224=0,+L4224+H4224,0)</f>
        <v/>
      </c>
      <c r="N4224" s="7">
        <f>IF((+G4224-K4224)=0,0,+G4224-K4224)</f>
        <v/>
      </c>
      <c r="O4224" s="7">
        <f>IF(N4224=0,0,(L4224+H4224)/-N4224)</f>
        <v/>
      </c>
      <c r="P4224" s="7">
        <f>VLOOKUP(OPERAC[[#This Row],[especie]],[1]!ESPECIES[#All],6,0)</f>
        <v/>
      </c>
      <c r="Q4224" s="7">
        <f>IF(N4224&lt;&gt;0,P4224*N4224,0)</f>
        <v/>
      </c>
      <c r="R4224" s="8">
        <f>IF(Q4224&lt;&gt;0,Q4224+H4224+L4224,0)</f>
        <v/>
      </c>
      <c r="S4224" s="9">
        <f>VLOOKUP(OPERAC[[#This Row],[especie]],[1]!ESPECIES[#Data],9,FALSE)</f>
        <v/>
      </c>
    </row>
    <row r="4225">
      <c r="A4225" s="4" t="n">
        <v>13240</v>
      </c>
      <c r="B4225" s="5" t="n">
        <v>44515</v>
      </c>
      <c r="C4225" s="13" t="inlineStr">
        <is>
          <t>CPR</t>
        </is>
      </c>
      <c r="D4225" s="13" t="n">
        <v>31</v>
      </c>
      <c r="E4225" s="10">
        <f>IF(D4225&gt;0,VLOOKUP(OPERAC[[#This Row],[COD CART]],[1]!MatrizCortoLargoCyl[#All],3,0),"")</f>
        <v/>
      </c>
      <c r="F4225" s="13" t="inlineStr">
        <is>
          <t>PFE</t>
        </is>
      </c>
      <c r="G4225" s="6" t="n">
        <v>20</v>
      </c>
      <c r="H4225" s="6" t="n">
        <v>-1006.33888</v>
      </c>
      <c r="I4225" s="7">
        <f>-H4225/G4225</f>
        <v/>
      </c>
      <c r="J4225" s="11" t="n"/>
      <c r="K4225" s="6" t="n"/>
      <c r="L4225" s="6" t="n"/>
      <c r="M4225" s="7">
        <f>IF(N4225=0,+L4225+H4225,0)</f>
        <v/>
      </c>
      <c r="N4225" s="7">
        <f>IF((+G4225-K4225)=0,0,+G4225-K4225)</f>
        <v/>
      </c>
      <c r="O4225" s="7">
        <f>IF(N4225=0,0,(L4225+H4225)/-N4225)</f>
        <v/>
      </c>
      <c r="P4225" s="7">
        <f>VLOOKUP(OPERAC[[#This Row],[especie]],[1]!ESPECIES[#All],6,0)</f>
        <v/>
      </c>
      <c r="Q4225" s="7">
        <f>IF(N4225&lt;&gt;0,P4225*N4225,0)</f>
        <v/>
      </c>
      <c r="R4225" s="8">
        <f>IF(Q4225&lt;&gt;0,Q4225+H4225+L4225,0)</f>
        <v/>
      </c>
      <c r="S4225" s="9">
        <f>VLOOKUP(OPERAC[[#This Row],[especie]],[1]!ESPECIES[#Data],9,FALSE)</f>
        <v/>
      </c>
    </row>
    <row r="4226">
      <c r="A4226" s="4" t="n">
        <v>13230</v>
      </c>
      <c r="B4226" s="5" t="n">
        <v>44594</v>
      </c>
      <c r="C4226" s="13" t="inlineStr">
        <is>
          <t>CPR</t>
        </is>
      </c>
      <c r="D4226" s="13" t="n">
        <v>40</v>
      </c>
      <c r="E4226" s="10">
        <f>IF(D4226&gt;0,VLOOKUP(OPERAC[[#This Row],[COD CART]],[1]!MatrizCortoLargoCyl[#All],3,0),"")</f>
        <v/>
      </c>
      <c r="F4226" s="13" t="inlineStr">
        <is>
          <t>EDU</t>
        </is>
      </c>
      <c r="G4226" s="6" t="n">
        <v>500</v>
      </c>
      <c r="H4226" s="6" t="n">
        <v>-1008</v>
      </c>
      <c r="I4226" s="7">
        <f>-H4226/G4226</f>
        <v/>
      </c>
      <c r="J4226" s="11" t="n">
        <v>44601</v>
      </c>
      <c r="K4226" s="6" t="n">
        <v>500</v>
      </c>
      <c r="L4226" s="6">
        <f>1.642*500</f>
        <v/>
      </c>
      <c r="M4226" s="7">
        <f>IF(N4226=0,+L4226+H4226,0)</f>
        <v/>
      </c>
      <c r="N4226" s="7">
        <f>IF((+G4226-K4226)=0,0,+G4226-K4226)</f>
        <v/>
      </c>
      <c r="O4226" s="7">
        <f>IF(N4226=0,0,(L4226+H4226)/-N4226)</f>
        <v/>
      </c>
      <c r="P4226" s="7">
        <f>VLOOKUP(OPERAC[[#This Row],[especie]],[1]!ESPECIES[#All],6,0)</f>
        <v/>
      </c>
      <c r="Q4226" s="7">
        <f>IF(N4226&lt;&gt;0,P4226*N4226,0)</f>
        <v/>
      </c>
      <c r="R4226" s="8">
        <f>IF(Q4226&lt;&gt;0,Q4226+H4226+L4226,0)</f>
        <v/>
      </c>
      <c r="S4226" s="9">
        <f>VLOOKUP(OPERAC[[#This Row],[especie]],[1]!ESPECIES[#Data],9,FALSE)</f>
        <v/>
      </c>
    </row>
    <row r="4227">
      <c r="A4227" s="4" t="n">
        <v>16786</v>
      </c>
      <c r="B4227" s="5" t="n">
        <v>44594</v>
      </c>
      <c r="C4227" s="13" t="inlineStr">
        <is>
          <t>CPR</t>
        </is>
      </c>
      <c r="D4227" s="13" t="n">
        <v>40</v>
      </c>
      <c r="E4227" s="10">
        <f>IF(D4227&gt;0,VLOOKUP(OPERAC[[#This Row],[COD CART]],[1]!MatrizCortoLargoCyl[#All],3,0),"")</f>
        <v/>
      </c>
      <c r="F4227" s="13" t="inlineStr">
        <is>
          <t>EDU</t>
        </is>
      </c>
      <c r="G4227" s="6" t="n">
        <v>500</v>
      </c>
      <c r="H4227" s="6" t="n">
        <v>-1008</v>
      </c>
      <c r="I4227" s="7">
        <f>-H4227/G4227</f>
        <v/>
      </c>
      <c r="J4227" s="11" t="n">
        <v>44599</v>
      </c>
      <c r="K4227" s="6" t="n">
        <v>500</v>
      </c>
      <c r="L4227" s="6" t="n">
        <v>770</v>
      </c>
      <c r="M4227" s="7">
        <f>IF(N4227=0,+L4227+H4227,0)</f>
        <v/>
      </c>
      <c r="N4227" s="7">
        <f>IF((+G4227-K4227)=0,0,+G4227-K4227)</f>
        <v/>
      </c>
      <c r="O4227" s="7">
        <f>IF(N4227=0,0,(L4227+H4227)/-N4227)</f>
        <v/>
      </c>
      <c r="P4227" s="7">
        <f>VLOOKUP(OPERAC[[#This Row],[especie]],[1]!ESPECIES[#All],6,0)</f>
        <v/>
      </c>
      <c r="Q4227" s="7">
        <f>IF(N4227&lt;&gt;0,P4227*N4227,0)</f>
        <v/>
      </c>
      <c r="R4227" s="8">
        <f>IF(Q4227&lt;&gt;0,Q4227+H4227+L4227,0)</f>
        <v/>
      </c>
      <c r="S4227" s="9">
        <f>VLOOKUP(OPERAC[[#This Row],[especie]],[1]!ESPECIES[#Data],9,FALSE)</f>
        <v/>
      </c>
    </row>
    <row r="4228">
      <c r="A4228" s="4" t="n">
        <v>18661</v>
      </c>
      <c r="B4228" s="5" t="n">
        <v>44594</v>
      </c>
      <c r="C4228" s="13" t="inlineStr">
        <is>
          <t>CPR</t>
        </is>
      </c>
      <c r="D4228" s="13" t="n">
        <v>40</v>
      </c>
      <c r="E4228" s="10">
        <f>IF(D4228&gt;0,VLOOKUP(OPERAC[[#This Row],[COD CART]],[1]!MatrizCortoLargoCyl[#All],3,0),"")</f>
        <v/>
      </c>
      <c r="F4228" s="13" t="inlineStr">
        <is>
          <t>EDU</t>
        </is>
      </c>
      <c r="G4228" s="6" t="n">
        <v>500</v>
      </c>
      <c r="H4228" s="6" t="n">
        <v>-1008</v>
      </c>
      <c r="I4228" s="7">
        <f>-H4228/G4228</f>
        <v/>
      </c>
      <c r="J4228" s="11" t="n">
        <v>44601</v>
      </c>
      <c r="K4228" s="6" t="n">
        <v>500</v>
      </c>
      <c r="L4228" s="6">
        <f>500*1.642</f>
        <v/>
      </c>
      <c r="M4228" s="7">
        <f>IF(N4228=0,+L4228+H4228,0)</f>
        <v/>
      </c>
      <c r="N4228" s="7">
        <f>IF((+G4228-K4228)=0,0,+G4228-K4228)</f>
        <v/>
      </c>
      <c r="O4228" s="7">
        <f>IF(N4228=0,0,(L4228+H4228)/-N4228)</f>
        <v/>
      </c>
      <c r="P4228" s="7">
        <f>VLOOKUP(OPERAC[[#This Row],[especie]],[1]!ESPECIES[#All],6,0)</f>
        <v/>
      </c>
      <c r="Q4228" s="7">
        <f>IF(N4228&lt;&gt;0,P4228*N4228,0)</f>
        <v/>
      </c>
      <c r="R4228" s="8">
        <f>IF(Q4228&lt;&gt;0,Q4228+H4228+L4228,0)</f>
        <v/>
      </c>
      <c r="S4228" s="9">
        <f>VLOOKUP(OPERAC[[#This Row],[especie]],[1]!ESPECIES[#Data],9,FALSE)</f>
        <v/>
      </c>
    </row>
    <row r="4229">
      <c r="A4229" s="4" t="n">
        <v>18677</v>
      </c>
      <c r="B4229" s="5" t="n">
        <v>44594</v>
      </c>
      <c r="C4229" s="13" t="inlineStr">
        <is>
          <t>CPR</t>
        </is>
      </c>
      <c r="D4229" s="13" t="n">
        <v>40</v>
      </c>
      <c r="E4229" s="10">
        <f>IF(D4229&gt;0,VLOOKUP(OPERAC[[#This Row],[COD CART]],[1]!MatrizCortoLargoCyl[#All],3,0),"")</f>
        <v/>
      </c>
      <c r="F4229" s="13" t="inlineStr">
        <is>
          <t>EDU</t>
        </is>
      </c>
      <c r="G4229" s="6" t="n">
        <v>500</v>
      </c>
      <c r="H4229" s="6" t="n">
        <v>-1008</v>
      </c>
      <c r="I4229" s="7">
        <f>-H4229/G4229</f>
        <v/>
      </c>
      <c r="J4229" s="11" t="n">
        <v>44599</v>
      </c>
      <c r="K4229" s="6" t="n">
        <v>500</v>
      </c>
      <c r="L4229" s="6" t="n">
        <v>770</v>
      </c>
      <c r="M4229" s="7">
        <f>IF(N4229=0,+L4229+H4229,0)</f>
        <v/>
      </c>
      <c r="N4229" s="7">
        <f>IF((+G4229-K4229)=0,0,+G4229-K4229)</f>
        <v/>
      </c>
      <c r="O4229" s="7">
        <f>IF(N4229=0,0,(L4229+H4229)/-N4229)</f>
        <v/>
      </c>
      <c r="P4229" s="7">
        <f>VLOOKUP(OPERAC[[#This Row],[especie]],[1]!ESPECIES[#All],6,0)</f>
        <v/>
      </c>
      <c r="Q4229" s="7">
        <f>IF(N4229&lt;&gt;0,P4229*N4229,0)</f>
        <v/>
      </c>
      <c r="R4229" s="8">
        <f>IF(Q4229&lt;&gt;0,Q4229+H4229+L4229,0)</f>
        <v/>
      </c>
      <c r="S4229" s="9">
        <f>VLOOKUP(OPERAC[[#This Row],[especie]],[1]!ESPECIES[#Data],9,FALSE)</f>
        <v/>
      </c>
    </row>
    <row r="4230">
      <c r="A4230" s="4" t="n">
        <v>16795</v>
      </c>
      <c r="B4230" s="5" t="n">
        <v>44594</v>
      </c>
      <c r="C4230" s="13" t="inlineStr">
        <is>
          <t>CPR</t>
        </is>
      </c>
      <c r="D4230" s="13" t="n">
        <v>40</v>
      </c>
      <c r="E4230" s="10">
        <f>IF(D4230&gt;0,VLOOKUP(OPERAC[[#This Row],[COD CART]],[1]!MatrizCortoLargoCyl[#All],3,0),"")</f>
        <v/>
      </c>
      <c r="F4230" s="13" t="inlineStr">
        <is>
          <t>EDU</t>
        </is>
      </c>
      <c r="G4230" s="6" t="n">
        <v>500</v>
      </c>
      <c r="H4230" s="6" t="n">
        <v>-1008</v>
      </c>
      <c r="I4230" s="7">
        <f>-H4230/G4230</f>
        <v/>
      </c>
      <c r="J4230" s="11" t="n">
        <v>44601</v>
      </c>
      <c r="K4230" s="6" t="n">
        <v>500</v>
      </c>
      <c r="L4230" s="6" t="n">
        <v>820</v>
      </c>
      <c r="M4230" s="7">
        <f>IF(N4230=0,+L4230+H4230,0)</f>
        <v/>
      </c>
      <c r="N4230" s="7">
        <f>IF((+G4230-K4230)=0,0,+G4230-K4230)</f>
        <v/>
      </c>
      <c r="O4230" s="7">
        <f>IF(N4230=0,0,(L4230+H4230)/-N4230)</f>
        <v/>
      </c>
      <c r="P4230" s="7">
        <f>VLOOKUP(OPERAC[[#This Row],[especie]],[1]!ESPECIES[#All],6,0)</f>
        <v/>
      </c>
      <c r="Q4230" s="7">
        <f>IF(N4230&lt;&gt;0,P4230*N4230,0)</f>
        <v/>
      </c>
      <c r="R4230" s="8">
        <f>IF(Q4230&lt;&gt;0,Q4230+H4230+L4230,0)</f>
        <v/>
      </c>
      <c r="S4230" s="9">
        <f>VLOOKUP(OPERAC[[#This Row],[especie]],[1]!ESPECIES[#Data],9,FALSE)</f>
        <v/>
      </c>
    </row>
    <row r="4231">
      <c r="A4231" s="4" t="n">
        <v>18711</v>
      </c>
      <c r="B4231" s="5" t="n">
        <v>44594</v>
      </c>
      <c r="C4231" s="13" t="inlineStr">
        <is>
          <t>CPR</t>
        </is>
      </c>
      <c r="D4231" s="13" t="n">
        <v>40</v>
      </c>
      <c r="E4231" s="10">
        <f>IF(D4231&gt;0,VLOOKUP(OPERAC[[#This Row],[COD CART]],[1]!MatrizCortoLargoCyl[#All],3,0),"")</f>
        <v/>
      </c>
      <c r="F4231" s="13" t="inlineStr">
        <is>
          <t>EDU</t>
        </is>
      </c>
      <c r="G4231" s="6" t="n">
        <v>500</v>
      </c>
      <c r="H4231" s="6" t="n">
        <v>-1008</v>
      </c>
      <c r="I4231" s="7">
        <f>-H4231/G4231</f>
        <v/>
      </c>
      <c r="J4231" s="11" t="n">
        <v>44599</v>
      </c>
      <c r="K4231" s="6" t="n">
        <v>500</v>
      </c>
      <c r="L4231" s="6" t="n">
        <v>770</v>
      </c>
      <c r="M4231" s="7">
        <f>IF(N4231=0,+L4231+H4231,0)</f>
        <v/>
      </c>
      <c r="N4231" s="7">
        <f>IF((+G4231-K4231)=0,0,+G4231-K4231)</f>
        <v/>
      </c>
      <c r="O4231" s="7">
        <f>IF(N4231=0,0,(L4231+H4231)/-N4231)</f>
        <v/>
      </c>
      <c r="P4231" s="7">
        <f>VLOOKUP(OPERAC[[#This Row],[especie]],[1]!ESPECIES[#All],6,0)</f>
        <v/>
      </c>
      <c r="Q4231" s="7">
        <f>IF(N4231&lt;&gt;0,P4231*N4231,0)</f>
        <v/>
      </c>
      <c r="R4231" s="8">
        <f>IF(Q4231&lt;&gt;0,Q4231+H4231+L4231,0)</f>
        <v/>
      </c>
      <c r="S4231" s="9">
        <f>VLOOKUP(OPERAC[[#This Row],[especie]],[1]!ESPECIES[#Data],9,FALSE)</f>
        <v/>
      </c>
    </row>
    <row r="4232">
      <c r="A4232" s="4" t="n">
        <v>18713</v>
      </c>
      <c r="B4232" s="5" t="n">
        <v>44594</v>
      </c>
      <c r="C4232" s="13" t="inlineStr">
        <is>
          <t>CPR</t>
        </is>
      </c>
      <c r="D4232" s="13" t="n">
        <v>40</v>
      </c>
      <c r="E4232" s="10">
        <f>IF(D4232&gt;0,VLOOKUP(OPERAC[[#This Row],[COD CART]],[1]!MatrizCortoLargoCyl[#All],3,0),"")</f>
        <v/>
      </c>
      <c r="F4232" s="13" t="inlineStr">
        <is>
          <t>EDU</t>
        </is>
      </c>
      <c r="G4232" s="6" t="n">
        <v>500</v>
      </c>
      <c r="H4232" s="6" t="n">
        <v>-1008</v>
      </c>
      <c r="I4232" s="7">
        <f>-H4232/G4232</f>
        <v/>
      </c>
      <c r="J4232" s="11" t="n">
        <v>44599</v>
      </c>
      <c r="K4232" s="6" t="n">
        <v>500</v>
      </c>
      <c r="L4232" s="6" t="n">
        <v>770</v>
      </c>
      <c r="M4232" s="7">
        <f>IF(N4232=0,+L4232+H4232,0)</f>
        <v/>
      </c>
      <c r="N4232" s="7">
        <f>IF((+G4232-K4232)=0,0,+G4232-K4232)</f>
        <v/>
      </c>
      <c r="O4232" s="7">
        <f>IF(N4232=0,0,(L4232+H4232)/-N4232)</f>
        <v/>
      </c>
      <c r="P4232" s="7">
        <f>VLOOKUP(OPERAC[[#This Row],[especie]],[1]!ESPECIES[#All],6,0)</f>
        <v/>
      </c>
      <c r="Q4232" s="7">
        <f>IF(N4232&lt;&gt;0,P4232*N4232,0)</f>
        <v/>
      </c>
      <c r="R4232" s="8">
        <f>IF(Q4232&lt;&gt;0,Q4232+H4232+L4232,0)</f>
        <v/>
      </c>
      <c r="S4232" s="9">
        <f>VLOOKUP(OPERAC[[#This Row],[especie]],[1]!ESPECIES[#Data],9,FALSE)</f>
        <v/>
      </c>
    </row>
    <row r="4233">
      <c r="A4233" s="4" t="n">
        <v>18716</v>
      </c>
      <c r="B4233" s="5" t="n">
        <v>44594</v>
      </c>
      <c r="C4233" s="13" t="inlineStr">
        <is>
          <t>CPR</t>
        </is>
      </c>
      <c r="D4233" s="13" t="n">
        <v>40</v>
      </c>
      <c r="E4233" s="10">
        <f>IF(D4233&gt;0,VLOOKUP(OPERAC[[#This Row],[COD CART]],[1]!MatrizCortoLargoCyl[#All],3,0),"")</f>
        <v/>
      </c>
      <c r="F4233" s="13" t="inlineStr">
        <is>
          <t>EDU</t>
        </is>
      </c>
      <c r="G4233" s="6" t="n">
        <v>500</v>
      </c>
      <c r="H4233" s="6" t="n">
        <v>-1008</v>
      </c>
      <c r="I4233" s="7">
        <f>-H4233/G4233</f>
        <v/>
      </c>
      <c r="J4233" s="11" t="n">
        <v>44599</v>
      </c>
      <c r="K4233" s="6" t="n">
        <v>500</v>
      </c>
      <c r="L4233" s="6" t="n">
        <v>770</v>
      </c>
      <c r="M4233" s="7">
        <f>IF(N4233=0,+L4233+H4233,0)</f>
        <v/>
      </c>
      <c r="N4233" s="7">
        <f>IF((+G4233-K4233)=0,0,+G4233-K4233)</f>
        <v/>
      </c>
      <c r="O4233" s="7">
        <f>IF(N4233=0,0,(L4233+H4233)/-N4233)</f>
        <v/>
      </c>
      <c r="P4233" s="7">
        <f>VLOOKUP(OPERAC[[#This Row],[especie]],[1]!ESPECIES[#All],6,0)</f>
        <v/>
      </c>
      <c r="Q4233" s="7">
        <f>IF(N4233&lt;&gt;0,P4233*N4233,0)</f>
        <v/>
      </c>
      <c r="R4233" s="8">
        <f>IF(Q4233&lt;&gt;0,Q4233+H4233+L4233,0)</f>
        <v/>
      </c>
      <c r="S4233" s="9">
        <f>VLOOKUP(OPERAC[[#This Row],[especie]],[1]!ESPECIES[#Data],9,FALSE)</f>
        <v/>
      </c>
    </row>
    <row r="4234">
      <c r="A4234" s="4" t="n">
        <v>19897</v>
      </c>
      <c r="B4234" s="5" t="n">
        <v>44594</v>
      </c>
      <c r="C4234" s="13" t="inlineStr">
        <is>
          <t>CPR</t>
        </is>
      </c>
      <c r="D4234" s="13" t="n">
        <v>40</v>
      </c>
      <c r="E4234" s="10">
        <f>IF(D4234&gt;0,VLOOKUP(OPERAC[[#This Row],[COD CART]],[1]!MatrizCortoLargoCyl[#All],3,0),"")</f>
        <v/>
      </c>
      <c r="F4234" s="13" t="inlineStr">
        <is>
          <t>EDU</t>
        </is>
      </c>
      <c r="G4234" s="6" t="n">
        <v>500</v>
      </c>
      <c r="H4234" s="6" t="n">
        <v>-1008</v>
      </c>
      <c r="I4234" s="7">
        <f>-H4234/G4234</f>
        <v/>
      </c>
      <c r="J4234" s="11" t="n">
        <v>44599</v>
      </c>
      <c r="K4234" s="6" t="n">
        <v>500</v>
      </c>
      <c r="L4234" s="6" t="n">
        <v>770</v>
      </c>
      <c r="M4234" s="7">
        <f>IF(N4234=0,+L4234+H4234,0)</f>
        <v/>
      </c>
      <c r="N4234" s="7">
        <f>IF((+G4234-K4234)=0,0,+G4234-K4234)</f>
        <v/>
      </c>
      <c r="O4234" s="7">
        <f>IF(N4234=0,0,(L4234+H4234)/-N4234)</f>
        <v/>
      </c>
      <c r="P4234" s="7">
        <f>VLOOKUP(OPERAC[[#This Row],[especie]],[1]!ESPECIES[#All],6,0)</f>
        <v/>
      </c>
      <c r="Q4234" s="7">
        <f>IF(N4234&lt;&gt;0,P4234*N4234,0)</f>
        <v/>
      </c>
      <c r="R4234" s="8">
        <f>IF(Q4234&lt;&gt;0,Q4234+H4234+L4234,0)</f>
        <v/>
      </c>
      <c r="S4234" s="9">
        <f>VLOOKUP(OPERAC[[#This Row],[especie]],[1]!ESPECIES[#Data],9,FALSE)</f>
        <v/>
      </c>
    </row>
    <row r="4235">
      <c r="A4235" s="4" t="n">
        <v>19934</v>
      </c>
      <c r="B4235" s="5" t="n">
        <v>44594</v>
      </c>
      <c r="C4235" s="13" t="inlineStr">
        <is>
          <t>CPR</t>
        </is>
      </c>
      <c r="D4235" s="13" t="n">
        <v>40</v>
      </c>
      <c r="E4235" s="10">
        <f>IF(D4235&gt;0,VLOOKUP(OPERAC[[#This Row],[COD CART]],[1]!MatrizCortoLargoCyl[#All],3,0),"")</f>
        <v/>
      </c>
      <c r="F4235" s="13" t="inlineStr">
        <is>
          <t>EDU</t>
        </is>
      </c>
      <c r="G4235" s="6" t="n">
        <v>500</v>
      </c>
      <c r="H4235" s="6" t="n">
        <v>-1008</v>
      </c>
      <c r="I4235" s="7">
        <f>-H4235/G4235</f>
        <v/>
      </c>
      <c r="J4235" s="11" t="n">
        <v>44599</v>
      </c>
      <c r="K4235" s="6" t="n">
        <v>500</v>
      </c>
      <c r="L4235" s="6" t="n">
        <v>770</v>
      </c>
      <c r="M4235" s="7">
        <f>IF(N4235=0,+L4235+H4235,0)</f>
        <v/>
      </c>
      <c r="N4235" s="7">
        <f>IF((+G4235-K4235)=0,0,+G4235-K4235)</f>
        <v/>
      </c>
      <c r="O4235" s="7">
        <f>IF(N4235=0,0,(L4235+H4235)/-N4235)</f>
        <v/>
      </c>
      <c r="P4235" s="7">
        <f>VLOOKUP(OPERAC[[#This Row],[especie]],[1]!ESPECIES[#All],6,0)</f>
        <v/>
      </c>
      <c r="Q4235" s="7">
        <f>IF(N4235&lt;&gt;0,P4235*N4235,0)</f>
        <v/>
      </c>
      <c r="R4235" s="8">
        <f>IF(Q4235&lt;&gt;0,Q4235+H4235+L4235,0)</f>
        <v/>
      </c>
      <c r="S4235" s="9">
        <f>VLOOKUP(OPERAC[[#This Row],[especie]],[1]!ESPECIES[#Data],9,FALSE)</f>
        <v/>
      </c>
    </row>
    <row r="4236">
      <c r="A4236" s="4" t="n">
        <v>20234</v>
      </c>
      <c r="B4236" s="5" t="n">
        <v>44594</v>
      </c>
      <c r="C4236" s="13" t="inlineStr">
        <is>
          <t>CPR</t>
        </is>
      </c>
      <c r="D4236" s="13" t="n">
        <v>40</v>
      </c>
      <c r="E4236" s="10">
        <f>IF(D4236&gt;0,VLOOKUP(OPERAC[[#This Row],[COD CART]],[1]!MatrizCortoLargoCyl[#All],3,0),"")</f>
        <v/>
      </c>
      <c r="F4236" s="13" t="inlineStr">
        <is>
          <t>EDU</t>
        </is>
      </c>
      <c r="G4236" s="6" t="n">
        <v>500</v>
      </c>
      <c r="H4236" s="6" t="n">
        <v>-1008</v>
      </c>
      <c r="I4236" s="7">
        <f>-H4236/G4236</f>
        <v/>
      </c>
      <c r="J4236" s="11" t="n">
        <v>44599</v>
      </c>
      <c r="K4236" s="6" t="n">
        <v>500</v>
      </c>
      <c r="L4236" s="6" t="n">
        <v>770</v>
      </c>
      <c r="M4236" s="7">
        <f>IF(N4236=0,+L4236+H4236,0)</f>
        <v/>
      </c>
      <c r="N4236" s="7">
        <f>IF((+G4236-K4236)=0,0,+G4236-K4236)</f>
        <v/>
      </c>
      <c r="O4236" s="7">
        <f>IF(N4236=0,0,(L4236+H4236)/-N4236)</f>
        <v/>
      </c>
      <c r="P4236" s="7">
        <f>VLOOKUP(OPERAC[[#This Row],[especie]],[1]!ESPECIES[#All],6,0)</f>
        <v/>
      </c>
      <c r="Q4236" s="7">
        <f>IF(N4236&lt;&gt;0,P4236*N4236,0)</f>
        <v/>
      </c>
      <c r="R4236" s="8">
        <f>IF(Q4236&lt;&gt;0,Q4236+H4236+L4236,0)</f>
        <v/>
      </c>
      <c r="S4236" s="9">
        <f>VLOOKUP(OPERAC[[#This Row],[especie]],[1]!ESPECIES[#Data],9,FALSE)</f>
        <v/>
      </c>
    </row>
    <row r="4237">
      <c r="A4237" s="4" t="n">
        <v>22421</v>
      </c>
      <c r="B4237" s="5" t="n">
        <v>44594</v>
      </c>
      <c r="C4237" s="13" t="inlineStr">
        <is>
          <t>CPR</t>
        </is>
      </c>
      <c r="D4237" s="13" t="n">
        <v>40</v>
      </c>
      <c r="E4237" s="10">
        <f>IF(D4237&gt;0,VLOOKUP(OPERAC[[#This Row],[COD CART]],[1]!MatrizCortoLargoCyl[#All],3,0),"")</f>
        <v/>
      </c>
      <c r="F4237" s="13" t="inlineStr">
        <is>
          <t>EDU</t>
        </is>
      </c>
      <c r="G4237" s="6" t="n">
        <v>500</v>
      </c>
      <c r="H4237" s="6" t="n">
        <v>-1008</v>
      </c>
      <c r="I4237" s="7">
        <f>-H4237/G4237</f>
        <v/>
      </c>
      <c r="J4237" s="11" t="n">
        <v>44601</v>
      </c>
      <c r="K4237" s="6" t="n">
        <v>500</v>
      </c>
      <c r="L4237" s="6">
        <f>500*1.64</f>
        <v/>
      </c>
      <c r="M4237" s="7">
        <f>IF(N4237=0,+L4237+H4237,0)</f>
        <v/>
      </c>
      <c r="N4237" s="7">
        <f>IF((+G4237-K4237)=0,0,+G4237-K4237)</f>
        <v/>
      </c>
      <c r="O4237" s="7">
        <f>IF(N4237=0,0,(L4237+H4237)/-N4237)</f>
        <v/>
      </c>
      <c r="P4237" s="7">
        <f>VLOOKUP(OPERAC[[#This Row],[especie]],[1]!ESPECIES[#All],6,0)</f>
        <v/>
      </c>
      <c r="Q4237" s="7">
        <f>IF(N4237&lt;&gt;0,P4237*N4237,0)</f>
        <v/>
      </c>
      <c r="R4237" s="8">
        <f>IF(Q4237&lt;&gt;0,Q4237+H4237+L4237,0)</f>
        <v/>
      </c>
      <c r="S4237" s="9">
        <f>VLOOKUP(OPERAC[[#This Row],[especie]],[1]!ESPECIES[#Data],9,FALSE)</f>
        <v/>
      </c>
    </row>
    <row r="4238">
      <c r="A4238" s="4" t="n">
        <v>22431</v>
      </c>
      <c r="B4238" s="5" t="n">
        <v>44594</v>
      </c>
      <c r="C4238" s="13" t="inlineStr">
        <is>
          <t>CPR</t>
        </is>
      </c>
      <c r="D4238" s="13" t="n">
        <v>40</v>
      </c>
      <c r="E4238" s="10">
        <f>IF(D4238&gt;0,VLOOKUP(OPERAC[[#This Row],[COD CART]],[1]!MatrizCortoLargoCyl[#All],3,0),"")</f>
        <v/>
      </c>
      <c r="F4238" s="13" t="inlineStr">
        <is>
          <t>EDU</t>
        </is>
      </c>
      <c r="G4238" s="6" t="n">
        <v>500</v>
      </c>
      <c r="H4238" s="6" t="n">
        <v>-1008</v>
      </c>
      <c r="I4238" s="7">
        <f>-H4238/G4238</f>
        <v/>
      </c>
      <c r="J4238" s="11" t="n">
        <v>44599</v>
      </c>
      <c r="K4238" s="6" t="n">
        <v>500</v>
      </c>
      <c r="L4238" s="6" t="n">
        <v>770</v>
      </c>
      <c r="M4238" s="7">
        <f>IF(N4238=0,+L4238+H4238,0)</f>
        <v/>
      </c>
      <c r="N4238" s="7">
        <f>IF((+G4238-K4238)=0,0,+G4238-K4238)</f>
        <v/>
      </c>
      <c r="O4238" s="7">
        <f>IF(N4238=0,0,(L4238+H4238)/-N4238)</f>
        <v/>
      </c>
      <c r="P4238" s="7">
        <f>VLOOKUP(OPERAC[[#This Row],[especie]],[1]!ESPECIES[#All],6,0)</f>
        <v/>
      </c>
      <c r="Q4238" s="7">
        <f>IF(N4238&lt;&gt;0,P4238*N4238,0)</f>
        <v/>
      </c>
      <c r="R4238" s="8">
        <f>IF(Q4238&lt;&gt;0,Q4238+H4238+L4238,0)</f>
        <v/>
      </c>
      <c r="S4238" s="9">
        <f>VLOOKUP(OPERAC[[#This Row],[especie]],[1]!ESPECIES[#Data],9,FALSE)</f>
        <v/>
      </c>
    </row>
    <row r="4239">
      <c r="A4239" s="4" t="n">
        <v>22433</v>
      </c>
      <c r="B4239" s="5" t="n">
        <v>44594</v>
      </c>
      <c r="C4239" s="13" t="inlineStr">
        <is>
          <t>CPR</t>
        </is>
      </c>
      <c r="D4239" s="13" t="n">
        <v>40</v>
      </c>
      <c r="E4239" s="10">
        <f>IF(D4239&gt;0,VLOOKUP(OPERAC[[#This Row],[COD CART]],[1]!MatrizCortoLargoCyl[#All],3,0),"")</f>
        <v/>
      </c>
      <c r="F4239" s="13" t="inlineStr">
        <is>
          <t>EDU</t>
        </is>
      </c>
      <c r="G4239" s="6" t="n">
        <v>500</v>
      </c>
      <c r="H4239" s="6" t="n">
        <v>-1008</v>
      </c>
      <c r="I4239" s="7">
        <f>-H4239/G4239</f>
        <v/>
      </c>
      <c r="J4239" s="11" t="n">
        <v>44599</v>
      </c>
      <c r="K4239" s="6" t="n">
        <v>500</v>
      </c>
      <c r="L4239" s="6" t="n">
        <v>770</v>
      </c>
      <c r="M4239" s="7">
        <f>IF(N4239=0,+L4239+H4239,0)</f>
        <v/>
      </c>
      <c r="N4239" s="7">
        <f>IF((+G4239-K4239)=0,0,+G4239-K4239)</f>
        <v/>
      </c>
      <c r="O4239" s="7">
        <f>IF(N4239=0,0,(L4239+H4239)/-N4239)</f>
        <v/>
      </c>
      <c r="P4239" s="7">
        <f>VLOOKUP(OPERAC[[#This Row],[especie]],[1]!ESPECIES[#All],6,0)</f>
        <v/>
      </c>
      <c r="Q4239" s="7">
        <f>IF(N4239&lt;&gt;0,P4239*N4239,0)</f>
        <v/>
      </c>
      <c r="R4239" s="8">
        <f>IF(Q4239&lt;&gt;0,Q4239+H4239+L4239,0)</f>
        <v/>
      </c>
      <c r="S4239" s="9">
        <f>VLOOKUP(OPERAC[[#This Row],[especie]],[1]!ESPECIES[#Data],9,FALSE)</f>
        <v/>
      </c>
    </row>
    <row r="4240">
      <c r="A4240" s="4" t="n">
        <v>22439</v>
      </c>
      <c r="B4240" s="5" t="n">
        <v>44594</v>
      </c>
      <c r="C4240" s="13" t="inlineStr">
        <is>
          <t>CPR</t>
        </is>
      </c>
      <c r="D4240" s="13" t="n">
        <v>40</v>
      </c>
      <c r="E4240" s="10">
        <f>IF(D4240&gt;0,VLOOKUP(OPERAC[[#This Row],[COD CART]],[1]!MatrizCortoLargoCyl[#All],3,0),"")</f>
        <v/>
      </c>
      <c r="F4240" s="13" t="inlineStr">
        <is>
          <t>EDU</t>
        </is>
      </c>
      <c r="G4240" s="6" t="n">
        <v>500</v>
      </c>
      <c r="H4240" s="6" t="n">
        <v>-1008</v>
      </c>
      <c r="I4240" s="7">
        <f>-H4240/G4240</f>
        <v/>
      </c>
      <c r="J4240" s="11" t="n">
        <v>44601</v>
      </c>
      <c r="K4240" s="6" t="n">
        <v>500</v>
      </c>
      <c r="L4240" s="6" t="n">
        <v>820</v>
      </c>
      <c r="M4240" s="7">
        <f>IF(N4240=0,+L4240+H4240,0)</f>
        <v/>
      </c>
      <c r="N4240" s="7">
        <f>IF((+G4240-K4240)=0,0,+G4240-K4240)</f>
        <v/>
      </c>
      <c r="O4240" s="7">
        <f>IF(N4240=0,0,(L4240+H4240)/-N4240)</f>
        <v/>
      </c>
      <c r="P4240" s="7">
        <f>VLOOKUP(OPERAC[[#This Row],[especie]],[1]!ESPECIES[#All],6,0)</f>
        <v/>
      </c>
      <c r="Q4240" s="7">
        <f>IF(N4240&lt;&gt;0,P4240*N4240,0)</f>
        <v/>
      </c>
      <c r="R4240" s="8">
        <f>IF(Q4240&lt;&gt;0,Q4240+H4240+L4240,0)</f>
        <v/>
      </c>
      <c r="S4240" s="9">
        <f>VLOOKUP(OPERAC[[#This Row],[especie]],[1]!ESPECIES[#Data],9,FALSE)</f>
        <v/>
      </c>
    </row>
    <row r="4241">
      <c r="A4241" s="4" t="n">
        <v>15195</v>
      </c>
      <c r="B4241" s="5" t="n">
        <v>44698</v>
      </c>
      <c r="C4241" s="13" t="inlineStr">
        <is>
          <t>CPR</t>
        </is>
      </c>
      <c r="D4241" s="13" t="n">
        <v>39</v>
      </c>
      <c r="E4241" s="10">
        <f>IF(D4241&gt;0,VLOOKUP(OPERAC[[#This Row],[COD CART]],[1]!MatrizCortoLargoCyl[#All],3,0),"")</f>
        <v/>
      </c>
      <c r="F4241" s="13" t="inlineStr">
        <is>
          <t>NTLA/C/65,00/15-07-22</t>
        </is>
      </c>
      <c r="G4241" s="6" t="n">
        <v>400</v>
      </c>
      <c r="H4241" s="6" t="n">
        <v>-1008.5</v>
      </c>
      <c r="I4241" s="7">
        <f>-H4241/G4241</f>
        <v/>
      </c>
      <c r="J4241" s="11" t="n"/>
      <c r="K4241" s="6" t="n"/>
      <c r="L4241" s="6" t="n"/>
      <c r="M4241" s="7">
        <f>IF(N4241=0,+L4241+H4241,0)</f>
        <v/>
      </c>
      <c r="N4241" s="7">
        <f>IF((+G4241-K4241)=0,0,+G4241-K4241)</f>
        <v/>
      </c>
      <c r="O4241" s="7">
        <f>IF(N4241=0,0,(L4241+H4241)/-N4241)</f>
        <v/>
      </c>
      <c r="P4241" s="7">
        <f>VLOOKUP(OPERAC[[#This Row],[especie]],[1]!ESPECIES[#All],6,0)</f>
        <v/>
      </c>
      <c r="Q4241" s="7">
        <f>IF(N4241&lt;&gt;0,P4241*N4241,0)</f>
        <v/>
      </c>
      <c r="R4241" s="8">
        <f>IF(Q4241&lt;&gt;0,Q4241+H4241+L4241,0)</f>
        <v/>
      </c>
      <c r="S4241" s="9">
        <f>VLOOKUP(OPERAC[[#This Row],[especie]],[1]!ESPECIES[#Data],9,FALSE)</f>
        <v/>
      </c>
    </row>
    <row r="4242">
      <c r="A4242" s="4" t="n">
        <v>13180</v>
      </c>
      <c r="B4242" s="5" t="n">
        <v>44698</v>
      </c>
      <c r="C4242" s="13" t="inlineStr">
        <is>
          <t>CPR</t>
        </is>
      </c>
      <c r="D4242" s="13" t="n">
        <v>39</v>
      </c>
      <c r="E4242" s="10">
        <f>IF(D4242&gt;0,VLOOKUP(OPERAC[[#This Row],[COD CART]],[1]!MatrizCortoLargoCyl[#All],3,0),"")</f>
        <v/>
      </c>
      <c r="F4242" s="13" t="inlineStr">
        <is>
          <t>NTLA/C/65,00/15-07-22</t>
        </is>
      </c>
      <c r="G4242" s="6" t="n">
        <v>400</v>
      </c>
      <c r="H4242" s="6" t="n">
        <v>-1008.5</v>
      </c>
      <c r="I4242" s="7">
        <f>-H4242/G4242</f>
        <v/>
      </c>
      <c r="J4242" s="11" t="n"/>
      <c r="K4242" s="6" t="n"/>
      <c r="L4242" s="6" t="n"/>
      <c r="M4242" s="7">
        <f>IF(N4242=0,+L4242+H4242,0)</f>
        <v/>
      </c>
      <c r="N4242" s="7">
        <f>IF((+G4242-K4242)=0,0,+G4242-K4242)</f>
        <v/>
      </c>
      <c r="O4242" s="7">
        <f>IF(N4242=0,0,(L4242+H4242)/-N4242)</f>
        <v/>
      </c>
      <c r="P4242" s="7">
        <f>VLOOKUP(OPERAC[[#This Row],[especie]],[1]!ESPECIES[#All],6,0)</f>
        <v/>
      </c>
      <c r="Q4242" s="7">
        <f>IF(N4242&lt;&gt;0,P4242*N4242,0)</f>
        <v/>
      </c>
      <c r="R4242" s="8">
        <f>IF(Q4242&lt;&gt;0,Q4242+H4242+L4242,0)</f>
        <v/>
      </c>
      <c r="S4242" s="9">
        <f>VLOOKUP(OPERAC[[#This Row],[especie]],[1]!ESPECIES[#Data],9,FALSE)</f>
        <v/>
      </c>
    </row>
    <row r="4243">
      <c r="A4243" s="4" t="n">
        <v>18713</v>
      </c>
      <c r="B4243" s="5" t="n">
        <v>44697</v>
      </c>
      <c r="C4243" s="13" t="inlineStr">
        <is>
          <t>CPR</t>
        </is>
      </c>
      <c r="D4243" s="13" t="n">
        <v>32</v>
      </c>
      <c r="E4243" s="10">
        <f>IF(D4243&gt;0,VLOOKUP(OPERAC[[#This Row],[COD CART]],[1]!MatrizCortoLargoCyl[#All],3,0),"")</f>
        <v/>
      </c>
      <c r="F4243" s="13" t="inlineStr">
        <is>
          <t>DDD/CYL/14,00/24-06-22</t>
        </is>
      </c>
      <c r="G4243" s="6" t="n">
        <v>100</v>
      </c>
      <c r="H4243" s="6" t="n">
        <v>-1009.344</v>
      </c>
      <c r="I4243" s="7">
        <f>-H4243/G4243</f>
        <v/>
      </c>
      <c r="J4243" s="11" t="n"/>
      <c r="K4243" s="6" t="n"/>
      <c r="L4243" s="6" t="n"/>
      <c r="M4243" s="7">
        <f>IF(N4243=0,+L4243+H4243,0)</f>
        <v/>
      </c>
      <c r="N4243" s="7">
        <f>IF((+G4243-K4243)=0,0,+G4243-K4243)</f>
        <v/>
      </c>
      <c r="O4243" s="7">
        <f>IF(N4243=0,0,(L4243+H4243)/-N4243)</f>
        <v/>
      </c>
      <c r="P4243" s="7">
        <f>VLOOKUP(OPERAC[[#This Row],[especie]],[1]!ESPECIES[#All],6,0)</f>
        <v/>
      </c>
      <c r="Q4243" s="7">
        <f>IF(N4243&lt;&gt;0,P4243*N4243,0)</f>
        <v/>
      </c>
      <c r="R4243" s="8">
        <f>IF(Q4243&lt;&gt;0,Q4243+H4243+L4243,0)</f>
        <v/>
      </c>
      <c r="S4243" s="9">
        <f>VLOOKUP(OPERAC[[#This Row],[especie]],[1]!ESPECIES[#Data],9,FALSE)</f>
        <v/>
      </c>
    </row>
    <row r="4244">
      <c r="A4244" s="4" t="n">
        <v>13204</v>
      </c>
      <c r="B4244" s="5" t="n">
        <v>44694</v>
      </c>
      <c r="C4244" s="13" t="inlineStr">
        <is>
          <t>CPR</t>
        </is>
      </c>
      <c r="D4244" s="13" t="n">
        <v>32</v>
      </c>
      <c r="E4244" s="10">
        <f>IF(D4244&gt;0,VLOOKUP(OPERAC[[#This Row],[COD CART]],[1]!MatrizCortoLargoCyl[#All],3,0),"")</f>
        <v/>
      </c>
      <c r="F4244" s="13" t="inlineStr">
        <is>
          <t>DDD/CYL/13,00/17-06-22</t>
        </is>
      </c>
      <c r="G4244" s="6" t="n">
        <v>100</v>
      </c>
      <c r="H4244" s="6" t="n">
        <v>-1010.053</v>
      </c>
      <c r="I4244" s="7">
        <f>-H4244/G4244</f>
        <v/>
      </c>
      <c r="J4244" s="11" t="n"/>
      <c r="K4244" s="6" t="n"/>
      <c r="L4244" s="6" t="n"/>
      <c r="M4244" s="7">
        <f>IF(N4244=0,+L4244+H4244,0)</f>
        <v/>
      </c>
      <c r="N4244" s="7">
        <f>IF((+G4244-K4244)=0,0,+G4244-K4244)</f>
        <v/>
      </c>
      <c r="O4244" s="7">
        <f>IF(N4244=0,0,(L4244+H4244)/-N4244)</f>
        <v/>
      </c>
      <c r="P4244" s="7">
        <f>VLOOKUP(OPERAC[[#This Row],[especie]],[1]!ESPECIES[#All],6,0)</f>
        <v/>
      </c>
      <c r="Q4244" s="7">
        <f>IF(N4244&lt;&gt;0,P4244*N4244,0)</f>
        <v/>
      </c>
      <c r="R4244" s="8">
        <f>IF(Q4244&lt;&gt;0,Q4244+H4244+L4244,0)</f>
        <v/>
      </c>
      <c r="S4244" s="9">
        <f>VLOOKUP(OPERAC[[#This Row],[especie]],[1]!ESPECIES[#Data],9,FALSE)</f>
        <v/>
      </c>
    </row>
    <row r="4245">
      <c r="A4245" s="4" t="n">
        <v>12022</v>
      </c>
      <c r="B4245" s="5" t="n">
        <v>44466</v>
      </c>
      <c r="C4245" s="13" t="inlineStr">
        <is>
          <t>CPR</t>
        </is>
      </c>
      <c r="D4245" s="13" t="n">
        <v>43</v>
      </c>
      <c r="E4245" s="10">
        <f>IF(D4245&gt;0,VLOOKUP(OPERAC[[#This Row],[COD CART]],[1]!MatrizCortoLargoCyl[#All],3,0),"")</f>
        <v/>
      </c>
      <c r="F4245" s="13" t="inlineStr">
        <is>
          <t>SOLO/CYL-PUT/4,00/16-09-22</t>
        </is>
      </c>
      <c r="G4245" s="6" t="n">
        <v>500</v>
      </c>
      <c r="H4245" s="6">
        <f>-1473.67085+0.32*OPERAC[[#This Row],[cantidad]]+0.387*OPERAC[[#This Row],[cantidad]]+0.22*OPERAC[[#This Row],[cantidad]]</f>
        <v/>
      </c>
      <c r="I4245" s="7">
        <f>-H4245/G4245</f>
        <v/>
      </c>
      <c r="J4245" s="11" t="n"/>
      <c r="K4245" s="6" t="n"/>
      <c r="L4245" s="6" t="n"/>
      <c r="M4245" s="7">
        <f>IF(N4245=0,+L4245+H4245,0)</f>
        <v/>
      </c>
      <c r="N4245" s="7">
        <f>IF((+G4245-K4245)=0,0,+G4245-K4245)</f>
        <v/>
      </c>
      <c r="O4245" s="7">
        <f>IF(N4245=0,0,(L4245+H4245)/-N4245)</f>
        <v/>
      </c>
      <c r="P4245" s="7">
        <f>VLOOKUP(OPERAC[[#This Row],[especie]],[1]!ESPECIES[#All],6,0)</f>
        <v/>
      </c>
      <c r="Q4245" s="7">
        <f>IF(N4245&lt;&gt;0,P4245*N4245,0)</f>
        <v/>
      </c>
      <c r="R4245" s="8">
        <f>IF(Q4245&lt;&gt;0,Q4245+H4245+L4245,0)</f>
        <v/>
      </c>
      <c r="S4245" s="9">
        <f>VLOOKUP(OPERAC[[#This Row],[especie]],[1]!ESPECIES[#Data],9,FALSE)</f>
        <v/>
      </c>
    </row>
    <row r="4246">
      <c r="A4246" s="4" t="n">
        <v>15195</v>
      </c>
      <c r="B4246" s="5" t="n">
        <v>44630</v>
      </c>
      <c r="C4246" s="13" t="inlineStr">
        <is>
          <t>CPR</t>
        </is>
      </c>
      <c r="D4246" s="13" t="n">
        <v>31</v>
      </c>
      <c r="E4246" s="10">
        <f>IF(D4246&gt;0,VLOOKUP(OPERAC[[#This Row],[COD CART]],[1]!MatrizCortoLargoCyl[#All],3,0),"")</f>
        <v/>
      </c>
      <c r="F4246" s="13" t="inlineStr">
        <is>
          <t>SMH</t>
        </is>
      </c>
      <c r="G4246" s="6" t="n">
        <v>4</v>
      </c>
      <c r="H4246" s="6" t="n">
        <v>-1010.37088</v>
      </c>
      <c r="I4246" s="7">
        <f>-H4246/G4246</f>
        <v/>
      </c>
      <c r="J4246" s="11" t="n"/>
      <c r="K4246" s="6" t="n"/>
      <c r="L4246" s="6" t="n"/>
      <c r="M4246" s="7">
        <f>IF(N4246=0,+L4246+H4246,0)</f>
        <v/>
      </c>
      <c r="N4246" s="7">
        <f>IF((+G4246-K4246)=0,0,+G4246-K4246)</f>
        <v/>
      </c>
      <c r="O4246" s="7">
        <f>IF(N4246=0,0,(L4246+H4246)/-N4246)</f>
        <v/>
      </c>
      <c r="P4246" s="7">
        <f>VLOOKUP(OPERAC[[#This Row],[especie]],[1]!ESPECIES[#All],6,0)</f>
        <v/>
      </c>
      <c r="Q4246" s="7">
        <f>IF(N4246&lt;&gt;0,P4246*N4246,0)</f>
        <v/>
      </c>
      <c r="R4246" s="8">
        <f>IF(Q4246&lt;&gt;0,Q4246+H4246+L4246,0)</f>
        <v/>
      </c>
      <c r="S4246" s="9">
        <f>VLOOKUP(OPERAC[[#This Row],[especie]],[1]!ESPECIES[#Data],9,FALSE)</f>
        <v/>
      </c>
    </row>
    <row r="4247">
      <c r="A4247" s="4" t="n">
        <v>3835</v>
      </c>
      <c r="B4247" s="5" t="n">
        <v>44671</v>
      </c>
      <c r="C4247" s="13" t="inlineStr">
        <is>
          <t>CPR</t>
        </is>
      </c>
      <c r="D4247" s="13" t="n">
        <v>42</v>
      </c>
      <c r="E4247" s="10">
        <f>IF(D4247&gt;0,VLOOKUP(OPERAC[[#This Row],[COD CART]],[1]!MatrizCortoLargoCyl[#All],3,0),"")</f>
        <v/>
      </c>
      <c r="F4247" s="13" t="inlineStr">
        <is>
          <t>NFLX</t>
        </is>
      </c>
      <c r="G4247" s="6" t="n">
        <v>4</v>
      </c>
      <c r="H4247" s="6" t="n">
        <v>-1010.44944</v>
      </c>
      <c r="I4247" s="7">
        <f>-H4247/G4247</f>
        <v/>
      </c>
      <c r="J4247" s="11" t="n">
        <v>44707</v>
      </c>
      <c r="K4247" s="6" t="n">
        <v>4</v>
      </c>
      <c r="L4247" s="6" t="n">
        <v>765.114</v>
      </c>
      <c r="M4247" s="7">
        <f>IF(N4247=0,+L4247+H4247,0)</f>
        <v/>
      </c>
      <c r="N4247" s="7">
        <f>IF((+G4247-K4247)=0,0,+G4247-K4247)</f>
        <v/>
      </c>
      <c r="O4247" s="7">
        <f>IF(N4247=0,0,(L4247+H4247)/-N4247)</f>
        <v/>
      </c>
      <c r="P4247" s="7">
        <f>VLOOKUP(OPERAC[[#This Row],[especie]],[1]!ESPECIES[#All],6,0)</f>
        <v/>
      </c>
      <c r="Q4247" s="7">
        <f>IF(N4247&lt;&gt;0,P4247*N4247,0)</f>
        <v/>
      </c>
      <c r="R4247" s="8">
        <f>IF(Q4247&lt;&gt;0,Q4247+H4247+L4247,0)</f>
        <v/>
      </c>
      <c r="S4247" s="9">
        <f>VLOOKUP(OPERAC[[#This Row],[especie]],[1]!ESPECIES[#Data],9,FALSE)</f>
        <v/>
      </c>
    </row>
    <row r="4248">
      <c r="A4248" s="4" t="n">
        <v>25070</v>
      </c>
      <c r="B4248" s="5" t="n">
        <v>44722</v>
      </c>
      <c r="C4248" s="13" t="inlineStr">
        <is>
          <t>CPR</t>
        </is>
      </c>
      <c r="D4248" s="13" t="n">
        <v>40</v>
      </c>
      <c r="E4248" s="10">
        <f>IF(D4248&gt;0,VLOOKUP(OPERAC[[#This Row],[COD CART]],[1]!MatrizCortoLargoCyl[#All],3,0),"")</f>
        <v/>
      </c>
      <c r="F4248" s="13" t="inlineStr">
        <is>
          <t>PFE</t>
        </is>
      </c>
      <c r="G4248" s="6" t="n">
        <v>20</v>
      </c>
      <c r="H4248" s="6" t="n">
        <v>-1011.08176</v>
      </c>
      <c r="I4248" s="7">
        <f>-H4248/G4248</f>
        <v/>
      </c>
      <c r="J4248" s="5" t="n"/>
      <c r="K4248" s="6" t="n"/>
      <c r="L4248" s="6" t="n"/>
      <c r="M4248" s="7">
        <f>IF(N4248=0,+L4248+H4248,0)</f>
        <v/>
      </c>
      <c r="N4248" s="7">
        <f>IF((+G4248-K4248)=0,0,+G4248-K4248)</f>
        <v/>
      </c>
      <c r="O4248" s="7">
        <f>IF(N4248=0,0,(L4248+H4248)/-N4248)</f>
        <v/>
      </c>
      <c r="P4248" s="7">
        <f>VLOOKUP(OPERAC[[#This Row],[especie]],[1]!ESPECIES[#All],6,0)</f>
        <v/>
      </c>
      <c r="Q4248" s="7">
        <f>IF(N4248&lt;&gt;0,P4248*N4248,0)</f>
        <v/>
      </c>
      <c r="R4248" s="8">
        <f>IF(Q4248&lt;&gt;0,Q4248+H4248+L4248,0)</f>
        <v/>
      </c>
      <c r="S4248" s="9">
        <f>VLOOKUP(OPERAC[[#This Row],[especie]],[1]!ESPECIES[#Data],9,FALSE)</f>
        <v/>
      </c>
    </row>
    <row r="4249">
      <c r="A4249" s="4" t="n">
        <v>13253</v>
      </c>
      <c r="B4249" s="5" t="n">
        <v>44552</v>
      </c>
      <c r="C4249" s="13" t="inlineStr">
        <is>
          <t>CPR</t>
        </is>
      </c>
      <c r="D4249" s="13" t="n">
        <v>41</v>
      </c>
      <c r="E4249" s="10">
        <f>IF(D4249&gt;0,VLOOKUP(OPERAC[[#This Row],[COD CART]],[1]!MatrizCortoLargoCyl[#All],3,0),"")</f>
        <v/>
      </c>
      <c r="F4249" s="13" t="inlineStr">
        <is>
          <t>LTC</t>
        </is>
      </c>
      <c r="G4249" s="6" t="n">
        <v>30</v>
      </c>
      <c r="H4249" s="6" t="n">
        <v>-1012.2256</v>
      </c>
      <c r="I4249" s="7">
        <f>-H4249/G4249</f>
        <v/>
      </c>
      <c r="J4249" s="11" t="n"/>
      <c r="K4249" s="6" t="n"/>
      <c r="L4249" s="6" t="n"/>
      <c r="M4249" s="7">
        <f>IF(N4249=0,+L4249+H4249,0)</f>
        <v/>
      </c>
      <c r="N4249" s="7">
        <f>IF((+G4249-K4249)=0,0,+G4249-K4249)</f>
        <v/>
      </c>
      <c r="O4249" s="7">
        <f>IF(N4249=0,0,(L4249+H4249)/-N4249)</f>
        <v/>
      </c>
      <c r="P4249" s="7">
        <f>VLOOKUP(OPERAC[[#This Row],[especie]],[1]!ESPECIES[#All],6,0)</f>
        <v/>
      </c>
      <c r="Q4249" s="7">
        <f>IF(N4249&lt;&gt;0,P4249*N4249,0)</f>
        <v/>
      </c>
      <c r="R4249" s="8">
        <f>IF(Q4249&lt;&gt;0,Q4249+H4249+L4249,0)</f>
        <v/>
      </c>
      <c r="S4249" s="9">
        <f>VLOOKUP(OPERAC[[#This Row],[especie]],[1]!ESPECIES[#Data],9,FALSE)</f>
        <v/>
      </c>
    </row>
    <row r="4250">
      <c r="A4250" s="4" t="n">
        <v>2257</v>
      </c>
      <c r="B4250" s="5" t="n">
        <v>44586</v>
      </c>
      <c r="C4250" s="13" t="inlineStr">
        <is>
          <t>CPR</t>
        </is>
      </c>
      <c r="D4250" s="13" t="n">
        <v>43</v>
      </c>
      <c r="E4250" s="10">
        <f>IF(D4250&gt;0,VLOOKUP(OPERAC[[#This Row],[COD CART]],[1]!MatrizCortoLargoCyl[#All],3,0),"")</f>
        <v/>
      </c>
      <c r="F4250" s="13" t="inlineStr">
        <is>
          <t>GMBL/CYL-PUT/2,50/20-01-23</t>
        </is>
      </c>
      <c r="G4250" s="6" t="n">
        <v>1000</v>
      </c>
      <c r="H4250" s="6" t="n">
        <v>-1016.0423</v>
      </c>
      <c r="I4250" s="7">
        <f>-H4250/G4250</f>
        <v/>
      </c>
      <c r="J4250" s="11" t="n">
        <v>44636</v>
      </c>
      <c r="K4250" s="6" t="n">
        <v>1000</v>
      </c>
      <c r="L4250" s="6">
        <f>-1.36*OPERAC[[#This Row],[cantidad venta]]</f>
        <v/>
      </c>
      <c r="M4250" s="7">
        <f>IF(N4250=0,+L4250+H4250,0)</f>
        <v/>
      </c>
      <c r="N4250" s="7">
        <f>IF((+G4250-K4250)=0,0,+G4250-K4250)</f>
        <v/>
      </c>
      <c r="O4250" s="7">
        <f>IF(N4250=0,0,(L4250+H4250)/-N4250)</f>
        <v/>
      </c>
      <c r="P4250" s="7">
        <f>VLOOKUP(OPERAC[[#This Row],[especie]],[1]!ESPECIES[#All],6,0)</f>
        <v/>
      </c>
      <c r="Q4250" s="7">
        <f>IF(N4250&lt;&gt;0,P4250*N4250,0)</f>
        <v/>
      </c>
      <c r="R4250" s="8">
        <f>IF(Q4250&lt;&gt;0,Q4250+H4250+L4250,0)</f>
        <v/>
      </c>
      <c r="S4250" s="9">
        <f>VLOOKUP(OPERAC[[#This Row],[especie]],[1]!ESPECIES[#Data],9,FALSE)</f>
        <v/>
      </c>
    </row>
    <row r="4251">
      <c r="A4251" s="4" t="n">
        <v>6628</v>
      </c>
      <c r="B4251" s="5" t="n">
        <v>44586</v>
      </c>
      <c r="C4251" s="13" t="inlineStr">
        <is>
          <t>CPR</t>
        </is>
      </c>
      <c r="D4251" s="13" t="n">
        <v>43</v>
      </c>
      <c r="E4251" s="10">
        <f>IF(D4251&gt;0,VLOOKUP(OPERAC[[#This Row],[COD CART]],[1]!MatrizCortoLargoCyl[#All],3,0),"")</f>
        <v/>
      </c>
      <c r="F4251" s="13" t="inlineStr">
        <is>
          <t>GMBL/CYL-PUT/2,50/20-01-23</t>
        </is>
      </c>
      <c r="G4251" s="6" t="n">
        <v>1000</v>
      </c>
      <c r="H4251" s="6" t="n">
        <v>-1016.0423</v>
      </c>
      <c r="I4251" s="7">
        <f>-H4251/G4251</f>
        <v/>
      </c>
      <c r="J4251" s="11" t="n">
        <v>44697</v>
      </c>
      <c r="K4251" s="6" t="n">
        <v>1000</v>
      </c>
      <c r="L4251" s="6" t="n">
        <v>-1719.026</v>
      </c>
      <c r="M4251" s="7">
        <f>IF(N4251=0,+L4251+H4251,0)</f>
        <v/>
      </c>
      <c r="N4251" s="7">
        <f>IF((+G4251-K4251)=0,0,+G4251-K4251)</f>
        <v/>
      </c>
      <c r="O4251" s="7">
        <f>IF(N4251=0,0,(L4251+H4251)/-N4251)</f>
        <v/>
      </c>
      <c r="P4251" s="7">
        <f>VLOOKUP(OPERAC[[#This Row],[especie]],[1]!ESPECIES[#All],6,0)</f>
        <v/>
      </c>
      <c r="Q4251" s="7">
        <f>IF(N4251&lt;&gt;0,P4251*N4251,0)</f>
        <v/>
      </c>
      <c r="R4251" s="8">
        <f>IF(Q4251&lt;&gt;0,Q4251+H4251+L4251,0)</f>
        <v/>
      </c>
      <c r="S4251" s="9">
        <f>VLOOKUP(OPERAC[[#This Row],[especie]],[1]!ESPECIES[#Data],9,FALSE)</f>
        <v/>
      </c>
    </row>
    <row r="4252">
      <c r="A4252" s="4" t="n">
        <v>7895</v>
      </c>
      <c r="B4252" s="5" t="n">
        <v>44586</v>
      </c>
      <c r="C4252" s="13" t="inlineStr">
        <is>
          <t>CPR</t>
        </is>
      </c>
      <c r="D4252" s="13" t="n">
        <v>43</v>
      </c>
      <c r="E4252" s="10">
        <f>IF(D4252&gt;0,VLOOKUP(OPERAC[[#This Row],[COD CART]],[1]!MatrizCortoLargoCyl[#All],3,0),"")</f>
        <v/>
      </c>
      <c r="F4252" s="13" t="inlineStr">
        <is>
          <t>GMBL/CYL-PUT/2,50/20-01-23</t>
        </is>
      </c>
      <c r="G4252" s="6" t="n">
        <v>1000</v>
      </c>
      <c r="H4252" s="6" t="n">
        <v>-1016.0423</v>
      </c>
      <c r="I4252" s="7">
        <f>-H4252/G4252</f>
        <v/>
      </c>
      <c r="J4252" s="11" t="n">
        <v>44706</v>
      </c>
      <c r="K4252" s="6" t="n">
        <v>1000</v>
      </c>
      <c r="L4252" s="6">
        <f>-1869.59-50.43</f>
        <v/>
      </c>
      <c r="M4252" s="7">
        <f>IF(N4252=0,+L4252+H4252,0)</f>
        <v/>
      </c>
      <c r="N4252" s="7">
        <f>IF((+G4252-K4252)=0,0,+G4252-K4252)</f>
        <v/>
      </c>
      <c r="O4252" s="7">
        <f>IF(N4252=0,0,(L4252+H4252)/-N4252)</f>
        <v/>
      </c>
      <c r="P4252" s="7">
        <f>VLOOKUP(OPERAC[[#This Row],[especie]],[1]!ESPECIES[#All],6,0)</f>
        <v/>
      </c>
      <c r="Q4252" s="7">
        <f>IF(N4252&lt;&gt;0,P4252*N4252,0)</f>
        <v/>
      </c>
      <c r="R4252" s="8">
        <f>IF(Q4252&lt;&gt;0,Q4252+H4252+L4252,0)</f>
        <v/>
      </c>
      <c r="S4252" s="9">
        <f>VLOOKUP(OPERAC[[#This Row],[especie]],[1]!ESPECIES[#Data],9,FALSE)</f>
        <v/>
      </c>
    </row>
    <row r="4253">
      <c r="A4253" s="4" t="n">
        <v>12690</v>
      </c>
      <c r="B4253" s="5" t="n">
        <v>44586</v>
      </c>
      <c r="C4253" s="13" t="inlineStr">
        <is>
          <t>CPR</t>
        </is>
      </c>
      <c r="D4253" s="13" t="n">
        <v>43</v>
      </c>
      <c r="E4253" s="10">
        <f>IF(D4253&gt;0,VLOOKUP(OPERAC[[#This Row],[COD CART]],[1]!MatrizCortoLargoCyl[#All],3,0),"")</f>
        <v/>
      </c>
      <c r="F4253" s="13" t="inlineStr">
        <is>
          <t>GMBL/CYL-PUT/2,50/20-01-23</t>
        </is>
      </c>
      <c r="G4253" s="6" t="n">
        <v>1000</v>
      </c>
      <c r="H4253" s="6" t="n">
        <v>-1016.0423</v>
      </c>
      <c r="I4253" s="7">
        <f>-H4253/G4253</f>
        <v/>
      </c>
      <c r="J4253" s="11" t="n"/>
      <c r="K4253" s="6" t="n"/>
      <c r="L4253" s="6" t="n"/>
      <c r="M4253" s="7">
        <f>IF(N4253=0,+L4253+H4253,0)</f>
        <v/>
      </c>
      <c r="N4253" s="7">
        <f>IF((+G4253-K4253)=0,0,+G4253-K4253)</f>
        <v/>
      </c>
      <c r="O4253" s="7">
        <f>IF(N4253=0,0,(L4253+H4253)/-N4253)</f>
        <v/>
      </c>
      <c r="P4253" s="7">
        <f>VLOOKUP(OPERAC[[#This Row],[especie]],[1]!ESPECIES[#All],6,0)</f>
        <v/>
      </c>
      <c r="Q4253" s="7">
        <f>IF(N4253&lt;&gt;0,P4253*N4253,0)</f>
        <v/>
      </c>
      <c r="R4253" s="8">
        <f>IF(Q4253&lt;&gt;0,Q4253+H4253+L4253,0)</f>
        <v/>
      </c>
      <c r="S4253" s="9">
        <f>VLOOKUP(OPERAC[[#This Row],[especie]],[1]!ESPECIES[#Data],9,FALSE)</f>
        <v/>
      </c>
    </row>
    <row r="4254">
      <c r="A4254" s="4" t="n">
        <v>13185</v>
      </c>
      <c r="B4254" s="5" t="n">
        <v>44586</v>
      </c>
      <c r="C4254" s="13" t="inlineStr">
        <is>
          <t>CPR</t>
        </is>
      </c>
      <c r="D4254" s="13" t="n">
        <v>43</v>
      </c>
      <c r="E4254" s="10">
        <f>IF(D4254&gt;0,VLOOKUP(OPERAC[[#This Row],[COD CART]],[1]!MatrizCortoLargoCyl[#All],3,0),"")</f>
        <v/>
      </c>
      <c r="F4254" s="13" t="inlineStr">
        <is>
          <t>GMBL/CYL-PUT/2,50/20-01-23</t>
        </is>
      </c>
      <c r="G4254" s="6" t="n">
        <v>1000</v>
      </c>
      <c r="H4254" s="6" t="n">
        <v>-1016.0423</v>
      </c>
      <c r="I4254" s="7">
        <f>-H4254/G4254</f>
        <v/>
      </c>
      <c r="J4254" s="11" t="n">
        <v>44636</v>
      </c>
      <c r="K4254" s="6" t="n">
        <v>1000</v>
      </c>
      <c r="L4254" s="6">
        <f>-1.36*OPERAC[[#This Row],[cantidad venta]]</f>
        <v/>
      </c>
      <c r="M4254" s="7">
        <f>IF(N4254=0,+L4254+H4254,0)</f>
        <v/>
      </c>
      <c r="N4254" s="7">
        <f>IF((+G4254-K4254)=0,0,+G4254-K4254)</f>
        <v/>
      </c>
      <c r="O4254" s="7">
        <f>IF(N4254=0,0,(L4254+H4254)/-N4254)</f>
        <v/>
      </c>
      <c r="P4254" s="7">
        <f>VLOOKUP(OPERAC[[#This Row],[especie]],[1]!ESPECIES[#All],6,0)</f>
        <v/>
      </c>
      <c r="Q4254" s="7">
        <f>IF(N4254&lt;&gt;0,P4254*N4254,0)</f>
        <v/>
      </c>
      <c r="R4254" s="8">
        <f>IF(Q4254&lt;&gt;0,Q4254+H4254+L4254,0)</f>
        <v/>
      </c>
      <c r="S4254" s="9">
        <f>VLOOKUP(OPERAC[[#This Row],[especie]],[1]!ESPECIES[#Data],9,FALSE)</f>
        <v/>
      </c>
    </row>
    <row r="4255">
      <c r="A4255" s="4" t="n">
        <v>13188</v>
      </c>
      <c r="B4255" s="5" t="n">
        <v>44586</v>
      </c>
      <c r="C4255" s="13" t="inlineStr">
        <is>
          <t>CPR</t>
        </is>
      </c>
      <c r="D4255" s="13" t="n">
        <v>43</v>
      </c>
      <c r="E4255" s="10">
        <f>IF(D4255&gt;0,VLOOKUP(OPERAC[[#This Row],[COD CART]],[1]!MatrizCortoLargoCyl[#All],3,0),"")</f>
        <v/>
      </c>
      <c r="F4255" s="13" t="inlineStr">
        <is>
          <t>GMBL/CYL-PUT/2,50/20-01-23</t>
        </is>
      </c>
      <c r="G4255" s="6" t="n">
        <v>1000</v>
      </c>
      <c r="H4255" s="6" t="n">
        <v>-1016.0423</v>
      </c>
      <c r="I4255" s="7">
        <f>-H4255/G4255</f>
        <v/>
      </c>
      <c r="J4255" s="11" t="n">
        <v>44636</v>
      </c>
      <c r="K4255" s="6" t="n">
        <v>1000</v>
      </c>
      <c r="L4255" s="6">
        <f>-1.36*OPERAC[[#This Row],[cantidad venta]]</f>
        <v/>
      </c>
      <c r="M4255" s="7">
        <f>IF(N4255=0,+L4255+H4255,0)</f>
        <v/>
      </c>
      <c r="N4255" s="7">
        <f>IF((+G4255-K4255)=0,0,+G4255-K4255)</f>
        <v/>
      </c>
      <c r="O4255" s="7">
        <f>IF(N4255=0,0,(L4255+H4255)/-N4255)</f>
        <v/>
      </c>
      <c r="P4255" s="7">
        <f>VLOOKUP(OPERAC[[#This Row],[especie]],[1]!ESPECIES[#All],6,0)</f>
        <v/>
      </c>
      <c r="Q4255" s="7">
        <f>IF(N4255&lt;&gt;0,P4255*N4255,0)</f>
        <v/>
      </c>
      <c r="R4255" s="8">
        <f>IF(Q4255&lt;&gt;0,Q4255+H4255+L4255,0)</f>
        <v/>
      </c>
      <c r="S4255" s="9">
        <f>VLOOKUP(OPERAC[[#This Row],[especie]],[1]!ESPECIES[#Data],9,FALSE)</f>
        <v/>
      </c>
    </row>
    <row r="4256">
      <c r="A4256" s="4" t="n">
        <v>16786</v>
      </c>
      <c r="B4256" s="5" t="n">
        <v>44586</v>
      </c>
      <c r="C4256" s="13" t="inlineStr">
        <is>
          <t>CPR</t>
        </is>
      </c>
      <c r="D4256" s="13" t="n">
        <v>43</v>
      </c>
      <c r="E4256" s="10">
        <f>IF(D4256&gt;0,VLOOKUP(OPERAC[[#This Row],[COD CART]],[1]!MatrizCortoLargoCyl[#All],3,0),"")</f>
        <v/>
      </c>
      <c r="F4256" s="13" t="inlineStr">
        <is>
          <t>GMBL/CYL-PUT/2,50/20-01-23</t>
        </is>
      </c>
      <c r="G4256" s="6" t="n">
        <v>1000</v>
      </c>
      <c r="H4256" s="6" t="n">
        <v>-1016.0423</v>
      </c>
      <c r="I4256" s="7">
        <f>-H4256/G4256</f>
        <v/>
      </c>
      <c r="J4256" s="11" t="n">
        <v>44636</v>
      </c>
      <c r="K4256" s="6" t="n">
        <v>1000</v>
      </c>
      <c r="L4256" s="6">
        <f>-1.36*OPERAC[[#This Row],[cantidad venta]]</f>
        <v/>
      </c>
      <c r="M4256" s="7">
        <f>IF(N4256=0,+L4256+H4256,0)</f>
        <v/>
      </c>
      <c r="N4256" s="7">
        <f>IF((+G4256-K4256)=0,0,+G4256-K4256)</f>
        <v/>
      </c>
      <c r="O4256" s="7">
        <f>IF(N4256=0,0,(L4256+H4256)/-N4256)</f>
        <v/>
      </c>
      <c r="P4256" s="7">
        <f>VLOOKUP(OPERAC[[#This Row],[especie]],[1]!ESPECIES[#All],6,0)</f>
        <v/>
      </c>
      <c r="Q4256" s="7">
        <f>IF(N4256&lt;&gt;0,P4256*N4256,0)</f>
        <v/>
      </c>
      <c r="R4256" s="8">
        <f>IF(Q4256&lt;&gt;0,Q4256+H4256+L4256,0)</f>
        <v/>
      </c>
      <c r="S4256" s="9">
        <f>VLOOKUP(OPERAC[[#This Row],[especie]],[1]!ESPECIES[#Data],9,FALSE)</f>
        <v/>
      </c>
    </row>
    <row r="4257">
      <c r="A4257" s="4" t="n">
        <v>16795</v>
      </c>
      <c r="B4257" s="5" t="n">
        <v>44586</v>
      </c>
      <c r="C4257" s="13" t="inlineStr">
        <is>
          <t>CPR</t>
        </is>
      </c>
      <c r="D4257" s="13" t="n">
        <v>43</v>
      </c>
      <c r="E4257" s="10">
        <f>IF(D4257&gt;0,VLOOKUP(OPERAC[[#This Row],[COD CART]],[1]!MatrizCortoLargoCyl[#All],3,0),"")</f>
        <v/>
      </c>
      <c r="F4257" s="13" t="inlineStr">
        <is>
          <t>GMBL/CYL-PUT/2,50/20-01-23</t>
        </is>
      </c>
      <c r="G4257" s="6" t="n">
        <v>1000</v>
      </c>
      <c r="H4257" s="6" t="n">
        <v>-1016.0423</v>
      </c>
      <c r="I4257" s="7">
        <f>-H4257/G4257</f>
        <v/>
      </c>
      <c r="J4257" s="11" t="n"/>
      <c r="K4257" s="6" t="n"/>
      <c r="L4257" s="6" t="n"/>
      <c r="M4257" s="7">
        <f>IF(N4257=0,+L4257+H4257,0)</f>
        <v/>
      </c>
      <c r="N4257" s="7">
        <f>IF((+G4257-K4257)=0,0,+G4257-K4257)</f>
        <v/>
      </c>
      <c r="O4257" s="7">
        <f>IF(N4257=0,0,(L4257+H4257)/-N4257)</f>
        <v/>
      </c>
      <c r="P4257" s="7">
        <f>VLOOKUP(OPERAC[[#This Row],[especie]],[1]!ESPECIES[#All],6,0)</f>
        <v/>
      </c>
      <c r="Q4257" s="7">
        <f>IF(N4257&lt;&gt;0,P4257*N4257,0)</f>
        <v/>
      </c>
      <c r="R4257" s="8">
        <f>IF(Q4257&lt;&gt;0,Q4257+H4257+L4257,0)</f>
        <v/>
      </c>
      <c r="S4257" s="9">
        <f>VLOOKUP(OPERAC[[#This Row],[especie]],[1]!ESPECIES[#Data],9,FALSE)</f>
        <v/>
      </c>
    </row>
    <row r="4258">
      <c r="A4258" s="4" t="n">
        <v>25070</v>
      </c>
      <c r="B4258" s="5" t="n">
        <v>44586</v>
      </c>
      <c r="C4258" s="13" t="inlineStr">
        <is>
          <t>CPR</t>
        </is>
      </c>
      <c r="D4258" s="13" t="n">
        <v>43</v>
      </c>
      <c r="E4258" s="10">
        <f>IF(D4258&gt;0,VLOOKUP(OPERAC[[#This Row],[COD CART]],[1]!MatrizCortoLargoCyl[#All],3,0),"")</f>
        <v/>
      </c>
      <c r="F4258" s="13" t="inlineStr">
        <is>
          <t>GMBL/CYL-PUT/2,50/20-01-23</t>
        </is>
      </c>
      <c r="G4258" s="6" t="n">
        <v>1000</v>
      </c>
      <c r="H4258" s="6" t="n">
        <v>-1016.0423</v>
      </c>
      <c r="I4258" s="7">
        <f>-H4258/G4258</f>
        <v/>
      </c>
      <c r="J4258" s="11" t="n">
        <v>44636</v>
      </c>
      <c r="K4258" s="6" t="n">
        <v>1000</v>
      </c>
      <c r="L4258" s="6">
        <f>-1.36*OPERAC[[#This Row],[cantidad venta]]</f>
        <v/>
      </c>
      <c r="M4258" s="7">
        <f>IF(N4258=0,+L4258+H4258,0)</f>
        <v/>
      </c>
      <c r="N4258" s="7">
        <f>IF((+G4258-K4258)=0,0,+G4258-K4258)</f>
        <v/>
      </c>
      <c r="O4258" s="7">
        <f>IF(N4258=0,0,(L4258+H4258)/-N4258)</f>
        <v/>
      </c>
      <c r="P4258" s="7">
        <f>VLOOKUP(OPERAC[[#This Row],[especie]],[1]!ESPECIES[#All],6,0)</f>
        <v/>
      </c>
      <c r="Q4258" s="7">
        <f>IF(N4258&lt;&gt;0,P4258*N4258,0)</f>
        <v/>
      </c>
      <c r="R4258" s="8">
        <f>IF(Q4258&lt;&gt;0,Q4258+H4258+L4258,0)</f>
        <v/>
      </c>
      <c r="S4258" s="9">
        <f>VLOOKUP(OPERAC[[#This Row],[especie]],[1]!ESPECIES[#Data],9,FALSE)</f>
        <v/>
      </c>
    </row>
    <row r="4259">
      <c r="A4259" s="4" t="n">
        <v>3787</v>
      </c>
      <c r="B4259" s="5" t="n">
        <v>44671</v>
      </c>
      <c r="C4259" s="13" t="inlineStr">
        <is>
          <t>CPR</t>
        </is>
      </c>
      <c r="D4259" s="13" t="n">
        <v>42</v>
      </c>
      <c r="E4259" s="10">
        <f>IF(D4259&gt;0,VLOOKUP(OPERAC[[#This Row],[COD CART]],[1]!MatrizCortoLargoCyl[#All],3,0),"")</f>
        <v/>
      </c>
      <c r="F4259" s="13" t="inlineStr">
        <is>
          <t>NFLX</t>
        </is>
      </c>
      <c r="G4259" s="6" t="n">
        <v>4</v>
      </c>
      <c r="H4259" s="6" t="n">
        <v>-1018.02024</v>
      </c>
      <c r="I4259" s="7">
        <f>-H4259/G4259</f>
        <v/>
      </c>
      <c r="J4259" s="11" t="n">
        <v>44691</v>
      </c>
      <c r="K4259" s="6" t="n">
        <v>4</v>
      </c>
      <c r="L4259" s="6" t="n">
        <v>686.455</v>
      </c>
      <c r="M4259" s="7">
        <f>IF(N4259=0,+L4259+H4259,0)</f>
        <v/>
      </c>
      <c r="N4259" s="7">
        <f>IF((+G4259-K4259)=0,0,+G4259-K4259)</f>
        <v/>
      </c>
      <c r="O4259" s="7">
        <f>IF(N4259=0,0,(L4259+H4259)/-N4259)</f>
        <v/>
      </c>
      <c r="P4259" s="7">
        <f>VLOOKUP(OPERAC[[#This Row],[especie]],[1]!ESPECIES[#All],6,0)</f>
        <v/>
      </c>
      <c r="Q4259" s="7">
        <f>IF(N4259&lt;&gt;0,P4259*N4259,0)</f>
        <v/>
      </c>
      <c r="R4259" s="8">
        <f>IF(Q4259&lt;&gt;0,Q4259+H4259+L4259,0)</f>
        <v/>
      </c>
      <c r="S4259" s="9">
        <f>VLOOKUP(OPERAC[[#This Row],[especie]],[1]!ESPECIES[#Data],9,FALSE)</f>
        <v/>
      </c>
    </row>
    <row r="4260">
      <c r="A4260" s="4" t="n">
        <v>12627</v>
      </c>
      <c r="B4260" s="5" t="n">
        <v>44671</v>
      </c>
      <c r="C4260" s="13" t="inlineStr">
        <is>
          <t>CPR</t>
        </is>
      </c>
      <c r="D4260" s="13" t="n">
        <v>42</v>
      </c>
      <c r="E4260" s="10">
        <f>IF(D4260&gt;0,VLOOKUP(OPERAC[[#This Row],[COD CART]],[1]!MatrizCortoLargoCyl[#All],3,0),"")</f>
        <v/>
      </c>
      <c r="F4260" s="13" t="inlineStr">
        <is>
          <t>NFLX</t>
        </is>
      </c>
      <c r="G4260" s="6" t="n">
        <v>4</v>
      </c>
      <c r="H4260" s="6" t="n">
        <v>-1018.02024</v>
      </c>
      <c r="I4260" s="7">
        <f>-H4260/G4260</f>
        <v/>
      </c>
      <c r="J4260" s="11" t="n">
        <v>44693</v>
      </c>
      <c r="K4260" s="6">
        <f>+OPERAC[[#This Row],[cantidad]]</f>
        <v/>
      </c>
      <c r="L4260" s="6">
        <f>+OPERAC[[#This Row],[cantidad venta]]*169.079</f>
        <v/>
      </c>
      <c r="M4260" s="7">
        <f>IF(N4260=0,+L4260+H4260,0)</f>
        <v/>
      </c>
      <c r="N4260" s="7">
        <f>IF((+G4260-K4260)=0,0,+G4260-K4260)</f>
        <v/>
      </c>
      <c r="O4260" s="7">
        <f>IF(N4260=0,0,(L4260+H4260)/-N4260)</f>
        <v/>
      </c>
      <c r="P4260" s="7">
        <f>VLOOKUP(OPERAC[[#This Row],[especie]],[1]!ESPECIES[#All],6,0)</f>
        <v/>
      </c>
      <c r="Q4260" s="7">
        <f>IF(N4260&lt;&gt;0,P4260*N4260,0)</f>
        <v/>
      </c>
      <c r="R4260" s="8">
        <f>IF(Q4260&lt;&gt;0,Q4260+H4260+L4260,0)</f>
        <v/>
      </c>
      <c r="S4260" s="9">
        <f>VLOOKUP(OPERAC[[#This Row],[especie]],[1]!ESPECIES[#Data],9,FALSE)</f>
        <v/>
      </c>
    </row>
    <row r="4261">
      <c r="A4261" s="4" t="n">
        <v>15189</v>
      </c>
      <c r="B4261" s="5" t="n">
        <v>44671</v>
      </c>
      <c r="C4261" s="13" t="inlineStr">
        <is>
          <t>CPR</t>
        </is>
      </c>
      <c r="D4261" s="13" t="n">
        <v>42</v>
      </c>
      <c r="E4261" s="10">
        <f>IF(D4261&gt;0,VLOOKUP(OPERAC[[#This Row],[COD CART]],[1]!MatrizCortoLargoCyl[#All],3,0),"")</f>
        <v/>
      </c>
      <c r="F4261" s="13" t="inlineStr">
        <is>
          <t>NFLX</t>
        </is>
      </c>
      <c r="G4261" s="6" t="n">
        <v>4</v>
      </c>
      <c r="H4261" s="6" t="n">
        <v>-1018.02024</v>
      </c>
      <c r="I4261" s="7">
        <f>-H4261/G4261</f>
        <v/>
      </c>
      <c r="J4261" s="11" t="n">
        <v>44693</v>
      </c>
      <c r="K4261" s="6">
        <f>+OPERAC[[#This Row],[cantidad]]</f>
        <v/>
      </c>
      <c r="L4261" s="6">
        <f>+OPERAC[[#This Row],[cantidad venta]]*169.079</f>
        <v/>
      </c>
      <c r="M4261" s="7">
        <f>IF(N4261=0,+L4261+H4261,0)</f>
        <v/>
      </c>
      <c r="N4261" s="7">
        <f>IF((+G4261-K4261)=0,0,+G4261-K4261)</f>
        <v/>
      </c>
      <c r="O4261" s="7">
        <f>IF(N4261=0,0,(L4261+H4261)/-N4261)</f>
        <v/>
      </c>
      <c r="P4261" s="7">
        <f>VLOOKUP(OPERAC[[#This Row],[especie]],[1]!ESPECIES[#All],6,0)</f>
        <v/>
      </c>
      <c r="Q4261" s="7">
        <f>IF(N4261&lt;&gt;0,P4261*N4261,0)</f>
        <v/>
      </c>
      <c r="R4261" s="8">
        <f>IF(Q4261&lt;&gt;0,Q4261+H4261+L4261,0)</f>
        <v/>
      </c>
      <c r="S4261" s="9">
        <f>VLOOKUP(OPERAC[[#This Row],[especie]],[1]!ESPECIES[#Data],9,FALSE)</f>
        <v/>
      </c>
    </row>
    <row r="4262">
      <c r="A4262" s="4" t="n">
        <v>16780</v>
      </c>
      <c r="B4262" s="5" t="n">
        <v>44671</v>
      </c>
      <c r="C4262" s="13" t="inlineStr">
        <is>
          <t>CPR</t>
        </is>
      </c>
      <c r="D4262" s="13" t="n">
        <v>42</v>
      </c>
      <c r="E4262" s="10">
        <f>IF(D4262&gt;0,VLOOKUP(OPERAC[[#This Row],[COD CART]],[1]!MatrizCortoLargoCyl[#All],3,0),"")</f>
        <v/>
      </c>
      <c r="F4262" s="13" t="inlineStr">
        <is>
          <t>NFLX</t>
        </is>
      </c>
      <c r="G4262" s="6" t="n">
        <v>4</v>
      </c>
      <c r="H4262" s="6" t="n">
        <v>-1018.02024</v>
      </c>
      <c r="I4262" s="7">
        <f>-H4262/G4262</f>
        <v/>
      </c>
      <c r="J4262" s="11" t="n">
        <v>44676</v>
      </c>
      <c r="K4262" s="6" t="n">
        <v>4</v>
      </c>
      <c r="L4262" s="6" t="n">
        <v>814.894</v>
      </c>
      <c r="M4262" s="7">
        <f>IF(N4262=0,+L4262+H4262,0)</f>
        <v/>
      </c>
      <c r="N4262" s="7">
        <f>IF((+G4262-K4262)=0,0,+G4262-K4262)</f>
        <v/>
      </c>
      <c r="O4262" s="7">
        <f>IF(N4262=0,0,(L4262+H4262)/-N4262)</f>
        <v/>
      </c>
      <c r="P4262" s="7">
        <f>VLOOKUP(OPERAC[[#This Row],[especie]],[1]!ESPECIES[#All],6,0)</f>
        <v/>
      </c>
      <c r="Q4262" s="7">
        <f>IF(N4262&lt;&gt;0,P4262*N4262,0)</f>
        <v/>
      </c>
      <c r="R4262" s="8">
        <f>IF(Q4262&lt;&gt;0,Q4262+H4262+L4262,0)</f>
        <v/>
      </c>
      <c r="S4262" s="9">
        <f>VLOOKUP(OPERAC[[#This Row],[especie]],[1]!ESPECIES[#Data],9,FALSE)</f>
        <v/>
      </c>
    </row>
    <row r="4263">
      <c r="A4263" s="4" t="n">
        <v>15195</v>
      </c>
      <c r="B4263" s="5" t="n">
        <v>44671</v>
      </c>
      <c r="C4263" s="13" t="inlineStr">
        <is>
          <t>CPR</t>
        </is>
      </c>
      <c r="D4263" s="13" t="n">
        <v>42</v>
      </c>
      <c r="E4263" s="10">
        <f>IF(D4263&gt;0,VLOOKUP(OPERAC[[#This Row],[COD CART]],[1]!MatrizCortoLargoCyl[#All],3,0),"")</f>
        <v/>
      </c>
      <c r="F4263" s="13" t="inlineStr">
        <is>
          <t>NFLX</t>
        </is>
      </c>
      <c r="G4263" s="6" t="n">
        <v>4</v>
      </c>
      <c r="H4263" s="6" t="n">
        <v>-1018.02024</v>
      </c>
      <c r="I4263" s="7">
        <f>-H4263/G4263</f>
        <v/>
      </c>
      <c r="J4263" s="11" t="n">
        <v>44693</v>
      </c>
      <c r="K4263" s="6">
        <f>+OPERAC[[#This Row],[cantidad]]</f>
        <v/>
      </c>
      <c r="L4263" s="6">
        <f>+OPERAC[[#This Row],[cantidad venta]]*169.079</f>
        <v/>
      </c>
      <c r="M4263" s="7">
        <f>IF(N4263=0,+L4263+H4263,0)</f>
        <v/>
      </c>
      <c r="N4263" s="7">
        <f>IF((+G4263-K4263)=0,0,+G4263-K4263)</f>
        <v/>
      </c>
      <c r="O4263" s="7">
        <f>IF(N4263=0,0,(L4263+H4263)/-N4263)</f>
        <v/>
      </c>
      <c r="P4263" s="7">
        <f>VLOOKUP(OPERAC[[#This Row],[especie]],[1]!ESPECIES[#All],6,0)</f>
        <v/>
      </c>
      <c r="Q4263" s="7">
        <f>IF(N4263&lt;&gt;0,P4263*N4263,0)</f>
        <v/>
      </c>
      <c r="R4263" s="8">
        <f>IF(Q4263&lt;&gt;0,Q4263+H4263+L4263,0)</f>
        <v/>
      </c>
      <c r="S4263" s="9">
        <f>VLOOKUP(OPERAC[[#This Row],[especie]],[1]!ESPECIES[#Data],9,FALSE)</f>
        <v/>
      </c>
    </row>
    <row r="4264">
      <c r="A4264" s="4" t="n">
        <v>18677</v>
      </c>
      <c r="B4264" s="5" t="n">
        <v>44671</v>
      </c>
      <c r="C4264" s="13" t="inlineStr">
        <is>
          <t>CPR</t>
        </is>
      </c>
      <c r="D4264" s="13" t="n">
        <v>42</v>
      </c>
      <c r="E4264" s="10">
        <f>IF(D4264&gt;0,VLOOKUP(OPERAC[[#This Row],[COD CART]],[1]!MatrizCortoLargoCyl[#All],3,0),"")</f>
        <v/>
      </c>
      <c r="F4264" s="13" t="inlineStr">
        <is>
          <t>NFLX</t>
        </is>
      </c>
      <c r="G4264" s="6" t="n">
        <v>4</v>
      </c>
      <c r="H4264" s="6" t="n">
        <v>-1018.02024</v>
      </c>
      <c r="I4264" s="7">
        <f>-H4264/G4264</f>
        <v/>
      </c>
      <c r="J4264" s="11" t="n">
        <v>44693</v>
      </c>
      <c r="K4264" s="6">
        <f>+OPERAC[[#This Row],[cantidad]]</f>
        <v/>
      </c>
      <c r="L4264" s="6">
        <f>+OPERAC[[#This Row],[cantidad venta]]*169.089</f>
        <v/>
      </c>
      <c r="M4264" s="7">
        <f>IF(N4264=0,+L4264+H4264,0)</f>
        <v/>
      </c>
      <c r="N4264" s="7">
        <f>IF((+G4264-K4264)=0,0,+G4264-K4264)</f>
        <v/>
      </c>
      <c r="O4264" s="7">
        <f>IF(N4264=0,0,(L4264+H4264)/-N4264)</f>
        <v/>
      </c>
      <c r="P4264" s="7">
        <f>VLOOKUP(OPERAC[[#This Row],[especie]],[1]!ESPECIES[#All],6,0)</f>
        <v/>
      </c>
      <c r="Q4264" s="7">
        <f>IF(N4264&lt;&gt;0,P4264*N4264,0)</f>
        <v/>
      </c>
      <c r="R4264" s="8">
        <f>IF(Q4264&lt;&gt;0,Q4264+H4264+L4264,0)</f>
        <v/>
      </c>
      <c r="S4264" s="9">
        <f>VLOOKUP(OPERAC[[#This Row],[especie]],[1]!ESPECIES[#Data],9,FALSE)</f>
        <v/>
      </c>
    </row>
    <row r="4265">
      <c r="A4265" s="4" t="n">
        <v>19867</v>
      </c>
      <c r="B4265" s="5" t="n">
        <v>44671</v>
      </c>
      <c r="C4265" s="13" t="inlineStr">
        <is>
          <t>CPR</t>
        </is>
      </c>
      <c r="D4265" s="13" t="n">
        <v>42</v>
      </c>
      <c r="E4265" s="10">
        <f>IF(D4265&gt;0,VLOOKUP(OPERAC[[#This Row],[COD CART]],[1]!MatrizCortoLargoCyl[#All],3,0),"")</f>
        <v/>
      </c>
      <c r="F4265" s="13" t="inlineStr">
        <is>
          <t>NFLX</t>
        </is>
      </c>
      <c r="G4265" s="6" t="n">
        <v>4</v>
      </c>
      <c r="H4265" s="6" t="n">
        <v>-1018.02024</v>
      </c>
      <c r="I4265" s="7">
        <f>-H4265/G4265</f>
        <v/>
      </c>
      <c r="J4265" s="11" t="n">
        <v>44693</v>
      </c>
      <c r="K4265" s="6">
        <f>+OPERAC[[#This Row],[cantidad]]</f>
        <v/>
      </c>
      <c r="L4265" s="6">
        <f>+OPERAC[[#This Row],[cantidad venta]]*169.089</f>
        <v/>
      </c>
      <c r="M4265" s="7">
        <f>IF(N4265=0,+L4265+H4265,0)</f>
        <v/>
      </c>
      <c r="N4265" s="7">
        <f>IF((+G4265-K4265)=0,0,+G4265-K4265)</f>
        <v/>
      </c>
      <c r="O4265" s="7">
        <f>IF(N4265=0,0,(L4265+H4265)/-N4265)</f>
        <v/>
      </c>
      <c r="P4265" s="7">
        <f>VLOOKUP(OPERAC[[#This Row],[especie]],[1]!ESPECIES[#All],6,0)</f>
        <v/>
      </c>
      <c r="Q4265" s="7">
        <f>IF(N4265&lt;&gt;0,P4265*N4265,0)</f>
        <v/>
      </c>
      <c r="R4265" s="8">
        <f>IF(Q4265&lt;&gt;0,Q4265+H4265+L4265,0)</f>
        <v/>
      </c>
      <c r="S4265" s="9">
        <f>VLOOKUP(OPERAC[[#This Row],[especie]],[1]!ESPECIES[#Data],9,FALSE)</f>
        <v/>
      </c>
    </row>
    <row r="4266">
      <c r="A4266" s="4" t="n">
        <v>21070</v>
      </c>
      <c r="B4266" s="5" t="n">
        <v>44671</v>
      </c>
      <c r="C4266" s="13" t="inlineStr">
        <is>
          <t>CPR</t>
        </is>
      </c>
      <c r="D4266" s="13" t="n">
        <v>42</v>
      </c>
      <c r="E4266" s="10">
        <f>IF(D4266&gt;0,VLOOKUP(OPERAC[[#This Row],[COD CART]],[1]!MatrizCortoLargoCyl[#All],3,0),"")</f>
        <v/>
      </c>
      <c r="F4266" s="13" t="inlineStr">
        <is>
          <t>NFLX</t>
        </is>
      </c>
      <c r="G4266" s="6" t="n">
        <v>4</v>
      </c>
      <c r="H4266" s="6" t="n">
        <v>-1018.02024</v>
      </c>
      <c r="I4266" s="7">
        <f>-H4266/G4266</f>
        <v/>
      </c>
      <c r="J4266" s="11" t="n">
        <v>44693</v>
      </c>
      <c r="K4266" s="6">
        <f>+OPERAC[[#This Row],[cantidad]]</f>
        <v/>
      </c>
      <c r="L4266" s="6">
        <f>+OPERAC[[#This Row],[cantidad venta]]*169.089</f>
        <v/>
      </c>
      <c r="M4266" s="7">
        <f>IF(N4266=0,+L4266+H4266,0)</f>
        <v/>
      </c>
      <c r="N4266" s="7">
        <f>IF((+G4266-K4266)=0,0,+G4266-K4266)</f>
        <v/>
      </c>
      <c r="O4266" s="7">
        <f>IF(N4266=0,0,(L4266+H4266)/-N4266)</f>
        <v/>
      </c>
      <c r="P4266" s="7">
        <f>VLOOKUP(OPERAC[[#This Row],[especie]],[1]!ESPECIES[#All],6,0)</f>
        <v/>
      </c>
      <c r="Q4266" s="7">
        <f>IF(N4266&lt;&gt;0,P4266*N4266,0)</f>
        <v/>
      </c>
      <c r="R4266" s="8">
        <f>IF(Q4266&lt;&gt;0,Q4266+H4266+L4266,0)</f>
        <v/>
      </c>
      <c r="S4266" s="9">
        <f>VLOOKUP(OPERAC[[#This Row],[especie]],[1]!ESPECIES[#Data],9,FALSE)</f>
        <v/>
      </c>
    </row>
    <row r="4267">
      <c r="A4267" s="4" t="n">
        <v>26138</v>
      </c>
      <c r="B4267" s="5" t="n">
        <v>44671</v>
      </c>
      <c r="C4267" s="13" t="inlineStr">
        <is>
          <t>CPR</t>
        </is>
      </c>
      <c r="D4267" s="13" t="n">
        <v>42</v>
      </c>
      <c r="E4267" s="10">
        <f>IF(D4267&gt;0,VLOOKUP(OPERAC[[#This Row],[COD CART]],[1]!MatrizCortoLargoCyl[#All],3,0),"")</f>
        <v/>
      </c>
      <c r="F4267" s="13" t="inlineStr">
        <is>
          <t>NFLX</t>
        </is>
      </c>
      <c r="G4267" s="6" t="n">
        <v>4</v>
      </c>
      <c r="H4267" s="6" t="n">
        <v>-1018.02024</v>
      </c>
      <c r="I4267" s="7">
        <f>-H4267/G4267</f>
        <v/>
      </c>
      <c r="J4267" s="11" t="n">
        <v>44693</v>
      </c>
      <c r="K4267" s="6">
        <f>+OPERAC[[#This Row],[cantidad]]</f>
        <v/>
      </c>
      <c r="L4267" s="6">
        <f>+OPERAC[[#This Row],[cantidad venta]]*169.089</f>
        <v/>
      </c>
      <c r="M4267" s="7">
        <f>IF(N4267=0,+L4267+H4267,0)</f>
        <v/>
      </c>
      <c r="N4267" s="7">
        <f>IF((+G4267-K4267)=0,0,+G4267-K4267)</f>
        <v/>
      </c>
      <c r="O4267" s="7">
        <f>IF(N4267=0,0,(L4267+H4267)/-N4267)</f>
        <v/>
      </c>
      <c r="P4267" s="7">
        <f>VLOOKUP(OPERAC[[#This Row],[especie]],[1]!ESPECIES[#All],6,0)</f>
        <v/>
      </c>
      <c r="Q4267" s="7">
        <f>IF(N4267&lt;&gt;0,P4267*N4267,0)</f>
        <v/>
      </c>
      <c r="R4267" s="8">
        <f>IF(Q4267&lt;&gt;0,Q4267+H4267+L4267,0)</f>
        <v/>
      </c>
      <c r="S4267" s="9">
        <f>VLOOKUP(OPERAC[[#This Row],[especie]],[1]!ESPECIES[#Data],9,FALSE)</f>
        <v/>
      </c>
    </row>
    <row r="4268">
      <c r="A4268" s="4" t="n">
        <v>16783</v>
      </c>
      <c r="B4268" s="5" t="n">
        <v>44642</v>
      </c>
      <c r="C4268" s="13" t="inlineStr">
        <is>
          <t>CPR</t>
        </is>
      </c>
      <c r="D4268" s="13" t="n">
        <v>42</v>
      </c>
      <c r="E4268" s="10">
        <f>IF(D4268&gt;0,VLOOKUP(OPERAC[[#This Row],[COD CART]],[1]!MatrizCortoLargoCyl[#All],3,0),"")</f>
        <v/>
      </c>
      <c r="F4268" s="13" t="inlineStr">
        <is>
          <t>AAPL</t>
        </is>
      </c>
      <c r="G4268" s="6" t="n">
        <v>6</v>
      </c>
      <c r="H4268" s="6" t="n">
        <v>-1018.56672</v>
      </c>
      <c r="I4268" s="7">
        <f>-H4268/G4268</f>
        <v/>
      </c>
      <c r="J4268" s="11" t="n">
        <v>44651</v>
      </c>
      <c r="K4268" s="6" t="n">
        <v>6</v>
      </c>
      <c r="L4268" s="6" t="n">
        <v>1058.104</v>
      </c>
      <c r="M4268" s="7">
        <f>IF(N4268=0,+L4268+H4268,0)</f>
        <v/>
      </c>
      <c r="N4268" s="7">
        <f>IF((+G4268-K4268)=0,0,+G4268-K4268)</f>
        <v/>
      </c>
      <c r="O4268" s="7">
        <f>IF(N4268=0,0,(L4268+H4268)/-N4268)</f>
        <v/>
      </c>
      <c r="P4268" s="7">
        <f>VLOOKUP(OPERAC[[#This Row],[especie]],[1]!ESPECIES[#All],6,0)</f>
        <v/>
      </c>
      <c r="Q4268" s="7">
        <f>IF(N4268&lt;&gt;0,P4268*N4268,0)</f>
        <v/>
      </c>
      <c r="R4268" s="8">
        <f>IF(Q4268&lt;&gt;0,Q4268+H4268+L4268,0)</f>
        <v/>
      </c>
      <c r="S4268" s="9">
        <f>VLOOKUP(OPERAC[[#This Row],[especie]],[1]!ESPECIES[#Data],9,FALSE)</f>
        <v/>
      </c>
    </row>
    <row r="4269">
      <c r="A4269" s="4" t="n">
        <v>15195</v>
      </c>
      <c r="B4269" s="5" t="n">
        <v>44630</v>
      </c>
      <c r="C4269" s="13" t="inlineStr">
        <is>
          <t>CPR</t>
        </is>
      </c>
      <c r="D4269" s="13" t="n">
        <v>31</v>
      </c>
      <c r="E4269" s="10">
        <f>IF(D4269&gt;0,VLOOKUP(OPERAC[[#This Row],[COD CART]],[1]!MatrizCortoLargoCyl[#All],3,0),"")</f>
        <v/>
      </c>
      <c r="F4269" s="13" t="inlineStr">
        <is>
          <t>DRIV</t>
        </is>
      </c>
      <c r="G4269" s="6" t="n">
        <v>40</v>
      </c>
      <c r="H4269" s="6" t="n">
        <v>-1019.08</v>
      </c>
      <c r="I4269" s="7">
        <f>-H4269/G4269</f>
        <v/>
      </c>
      <c r="J4269" s="11" t="n"/>
      <c r="K4269" s="6" t="n"/>
      <c r="L4269" s="6" t="n"/>
      <c r="M4269" s="7">
        <f>IF(N4269=0,+L4269+H4269,0)</f>
        <v/>
      </c>
      <c r="N4269" s="7">
        <f>IF((+G4269-K4269)=0,0,+G4269-K4269)</f>
        <v/>
      </c>
      <c r="O4269" s="7">
        <f>IF(N4269=0,0,(L4269+H4269)/-N4269)</f>
        <v/>
      </c>
      <c r="P4269" s="7">
        <f>VLOOKUP(OPERAC[[#This Row],[especie]],[1]!ESPECIES[#All],6,0)</f>
        <v/>
      </c>
      <c r="Q4269" s="7">
        <f>IF(N4269&lt;&gt;0,P4269*N4269,0)</f>
        <v/>
      </c>
      <c r="R4269" s="8">
        <f>IF(Q4269&lt;&gt;0,Q4269+H4269+L4269,0)</f>
        <v/>
      </c>
      <c r="S4269" s="9">
        <f>VLOOKUP(OPERAC[[#This Row],[especie]],[1]!ESPECIES[#Data],9,FALSE)</f>
        <v/>
      </c>
    </row>
    <row r="4270">
      <c r="A4270" s="4" t="n">
        <v>16818</v>
      </c>
      <c r="B4270" s="5" t="n">
        <v>44462</v>
      </c>
      <c r="C4270" s="13" t="inlineStr">
        <is>
          <t>CPR</t>
        </is>
      </c>
      <c r="D4270" s="13" t="n">
        <v>32</v>
      </c>
      <c r="E4270" s="10">
        <f>IF(D4270&gt;0,VLOOKUP(OPERAC[[#This Row],[COD CART]],[1]!MatrizCortoLargoCyl[#All],3,0),"")</f>
        <v/>
      </c>
      <c r="F4270" s="13" t="inlineStr">
        <is>
          <t>ATOS/CYL/3,00/21-01-22</t>
        </is>
      </c>
      <c r="G4270" s="6">
        <f>200+200</f>
        <v/>
      </c>
      <c r="H4270" s="6">
        <f>-488-602.4+69.302</f>
        <v/>
      </c>
      <c r="I4270" s="7">
        <f>-H4270/G4270</f>
        <v/>
      </c>
      <c r="J4270" s="11" t="n">
        <v>44573</v>
      </c>
      <c r="K4270" s="6" t="n">
        <v>400</v>
      </c>
      <c r="L4270" s="6" t="n">
        <v>592.289</v>
      </c>
      <c r="M4270" s="7">
        <f>IF(N4270=0,+L4270+H4270,0)</f>
        <v/>
      </c>
      <c r="N4270" s="7">
        <f>IF((+G4270-K4270)=0,0,+G4270-K4270)</f>
        <v/>
      </c>
      <c r="O4270" s="7">
        <f>IF(N4270=0,0,(L4270+H4270)/-N4270)</f>
        <v/>
      </c>
      <c r="P4270" s="7">
        <f>VLOOKUP(OPERAC[[#This Row],[especie]],[1]!ESPECIES[#All],6,0)</f>
        <v/>
      </c>
      <c r="Q4270" s="7">
        <f>IF(N4270&lt;&gt;0,P4270*N4270,0)</f>
        <v/>
      </c>
      <c r="R4270" s="8">
        <f>IF(Q4270&lt;&gt;0,Q4270+H4270+L4270,0)</f>
        <v/>
      </c>
      <c r="S4270" s="9">
        <f>VLOOKUP(OPERAC[[#This Row],[especie]],[1]!ESPECIES[#Data],9,FALSE)</f>
        <v/>
      </c>
    </row>
    <row r="4271">
      <c r="A4271" s="4" t="n">
        <v>12627</v>
      </c>
      <c r="B4271" s="5" t="n">
        <v>44662</v>
      </c>
      <c r="C4271" s="13" t="inlineStr">
        <is>
          <t>CPR</t>
        </is>
      </c>
      <c r="D4271" s="13" t="n">
        <v>42</v>
      </c>
      <c r="E4271" s="10">
        <f>IF(D4271&gt;0,VLOOKUP(OPERAC[[#This Row],[COD CART]],[1]!MatrizCortoLargoCyl[#All],3,0),"")</f>
        <v/>
      </c>
      <c r="F4271" s="13" t="inlineStr">
        <is>
          <t>HYDR</t>
        </is>
      </c>
      <c r="G4271" s="6" t="n">
        <v>55</v>
      </c>
      <c r="H4271" s="6" t="n">
        <v>-1021.36892</v>
      </c>
      <c r="I4271" s="7">
        <f>-H4271/G4271</f>
        <v/>
      </c>
      <c r="J4271" s="11" t="n">
        <v>44693</v>
      </c>
      <c r="K4271" s="6">
        <f>+OPERAC[[#This Row],[cantidad]]</f>
        <v/>
      </c>
      <c r="L4271" s="6">
        <f>+OPERAC[[#This Row],[cantidad venta]]*12.027</f>
        <v/>
      </c>
      <c r="M4271" s="7">
        <f>IF(N4271=0,+L4271+H4271,0)</f>
        <v/>
      </c>
      <c r="N4271" s="7">
        <f>IF((+G4271-K4271)=0,0,+G4271-K4271)</f>
        <v/>
      </c>
      <c r="O4271" s="7">
        <f>IF(N4271=0,0,(L4271+H4271)/-N4271)</f>
        <v/>
      </c>
      <c r="P4271" s="7">
        <f>VLOOKUP(OPERAC[[#This Row],[especie]],[1]!ESPECIES[#All],6,0)</f>
        <v/>
      </c>
      <c r="Q4271" s="7">
        <f>IF(N4271&lt;&gt;0,P4271*N4271,0)</f>
        <v/>
      </c>
      <c r="R4271" s="8">
        <f>IF(Q4271&lt;&gt;0,Q4271+H4271+L4271,0)</f>
        <v/>
      </c>
      <c r="S4271" s="9">
        <f>VLOOKUP(OPERAC[[#This Row],[especie]],[1]!ESPECIES[#Data],9,FALSE)</f>
        <v/>
      </c>
    </row>
    <row r="4272">
      <c r="A4272" s="4" t="n">
        <v>18724</v>
      </c>
      <c r="B4272" s="5" t="n">
        <v>44662</v>
      </c>
      <c r="C4272" s="13" t="inlineStr">
        <is>
          <t>CPR</t>
        </is>
      </c>
      <c r="D4272" s="13" t="n">
        <v>42</v>
      </c>
      <c r="E4272" s="10">
        <f>IF(D4272&gt;0,VLOOKUP(OPERAC[[#This Row],[COD CART]],[1]!MatrizCortoLargoCyl[#All],3,0),"")</f>
        <v/>
      </c>
      <c r="F4272" s="13" t="inlineStr">
        <is>
          <t>HYDR</t>
        </is>
      </c>
      <c r="G4272" s="6" t="n">
        <v>55</v>
      </c>
      <c r="H4272" s="6" t="n">
        <v>-1021.36892</v>
      </c>
      <c r="I4272" s="7">
        <f>-H4272/G4272</f>
        <v/>
      </c>
      <c r="J4272" s="11" t="n">
        <v>44693</v>
      </c>
      <c r="K4272" s="6">
        <f>+OPERAC[[#This Row],[cantidad]]</f>
        <v/>
      </c>
      <c r="L4272" s="6">
        <f>+OPERAC[[#This Row],[cantidad venta]]*11.986</f>
        <v/>
      </c>
      <c r="M4272" s="7">
        <f>IF(N4272=0,+L4272+H4272,0)</f>
        <v/>
      </c>
      <c r="N4272" s="7">
        <f>IF((+G4272-K4272)=0,0,+G4272-K4272)</f>
        <v/>
      </c>
      <c r="O4272" s="7">
        <f>IF(N4272=0,0,(L4272+H4272)/-N4272)</f>
        <v/>
      </c>
      <c r="P4272" s="7">
        <f>VLOOKUP(OPERAC[[#This Row],[especie]],[1]!ESPECIES[#All],6,0)</f>
        <v/>
      </c>
      <c r="Q4272" s="7">
        <f>IF(N4272&lt;&gt;0,P4272*N4272,0)</f>
        <v/>
      </c>
      <c r="R4272" s="8">
        <f>IF(Q4272&lt;&gt;0,Q4272+H4272+L4272,0)</f>
        <v/>
      </c>
      <c r="S4272" s="9">
        <f>VLOOKUP(OPERAC[[#This Row],[especie]],[1]!ESPECIES[#Data],9,FALSE)</f>
        <v/>
      </c>
    </row>
    <row r="4273">
      <c r="A4273" s="4" t="n">
        <v>13240</v>
      </c>
      <c r="B4273" s="5" t="n">
        <v>44642</v>
      </c>
      <c r="C4273" s="13" t="inlineStr">
        <is>
          <t>CPR</t>
        </is>
      </c>
      <c r="D4273" s="13" t="n">
        <v>42</v>
      </c>
      <c r="E4273" s="10">
        <f>IF(D4273&gt;0,VLOOKUP(OPERAC[[#This Row],[COD CART]],[1]!MatrizCortoLargoCyl[#All],3,0),"")</f>
        <v/>
      </c>
      <c r="F4273" s="13" t="inlineStr">
        <is>
          <t>AAPL</t>
        </is>
      </c>
      <c r="G4273" s="6" t="n">
        <v>6</v>
      </c>
      <c r="H4273" s="6" t="n">
        <v>-1022.62344</v>
      </c>
      <c r="I4273" s="7">
        <f>-H4273/G4273</f>
        <v/>
      </c>
      <c r="J4273" s="11" t="n">
        <v>44651</v>
      </c>
      <c r="K4273" s="6" t="n">
        <v>6</v>
      </c>
      <c r="L4273" s="6" t="n">
        <v>1058.104</v>
      </c>
      <c r="M4273" s="7">
        <f>IF(N4273=0,+L4273+H4273,0)</f>
        <v/>
      </c>
      <c r="N4273" s="7">
        <f>IF((+G4273-K4273)=0,0,+G4273-K4273)</f>
        <v/>
      </c>
      <c r="O4273" s="7">
        <f>IF(N4273=0,0,(L4273+H4273)/-N4273)</f>
        <v/>
      </c>
      <c r="P4273" s="7">
        <f>VLOOKUP(OPERAC[[#This Row],[especie]],[1]!ESPECIES[#All],6,0)</f>
        <v/>
      </c>
      <c r="Q4273" s="7">
        <f>IF(N4273&lt;&gt;0,P4273*N4273,0)</f>
        <v/>
      </c>
      <c r="R4273" s="8">
        <f>IF(Q4273&lt;&gt;0,Q4273+H4273+L4273,0)</f>
        <v/>
      </c>
      <c r="S4273" s="9">
        <f>VLOOKUP(OPERAC[[#This Row],[especie]],[1]!ESPECIES[#Data],9,FALSE)</f>
        <v/>
      </c>
    </row>
    <row r="4274">
      <c r="A4274" s="4" t="n">
        <v>13240</v>
      </c>
      <c r="B4274" s="5" t="n">
        <v>44515</v>
      </c>
      <c r="C4274" s="13" t="inlineStr">
        <is>
          <t>CPR</t>
        </is>
      </c>
      <c r="D4274" s="13" t="n">
        <v>31</v>
      </c>
      <c r="E4274" s="10">
        <f>IF(D4274&gt;0,VLOOKUP(OPERAC[[#This Row],[COD CART]],[1]!MatrizCortoLargoCyl[#All],3,0),"")</f>
        <v/>
      </c>
      <c r="F4274" s="13" t="inlineStr">
        <is>
          <t>BMA</t>
        </is>
      </c>
      <c r="G4274" s="6" t="n">
        <v>60</v>
      </c>
      <c r="H4274" s="6" t="n">
        <v>-1023.112</v>
      </c>
      <c r="I4274" s="7">
        <f>-H4274/G4274</f>
        <v/>
      </c>
      <c r="J4274" s="11" t="n"/>
      <c r="K4274" s="6" t="n"/>
      <c r="L4274" s="6" t="n"/>
      <c r="M4274" s="7">
        <f>IF(N4274=0,+L4274+H4274,0)</f>
        <v/>
      </c>
      <c r="N4274" s="7">
        <f>IF((+G4274-K4274)=0,0,+G4274-K4274)</f>
        <v/>
      </c>
      <c r="O4274" s="7">
        <f>IF(N4274=0,0,(L4274+H4274)/-N4274)</f>
        <v/>
      </c>
      <c r="P4274" s="7">
        <f>VLOOKUP(OPERAC[[#This Row],[especie]],[1]!ESPECIES[#All],6,0)</f>
        <v/>
      </c>
      <c r="Q4274" s="7">
        <f>IF(N4274&lt;&gt;0,P4274*N4274,0)</f>
        <v/>
      </c>
      <c r="R4274" s="8">
        <f>IF(Q4274&lt;&gt;0,Q4274+H4274+L4274,0)</f>
        <v/>
      </c>
      <c r="S4274" s="9">
        <f>VLOOKUP(OPERAC[[#This Row],[especie]],[1]!ESPECIES[#Data],9,FALSE)</f>
        <v/>
      </c>
    </row>
    <row r="4275">
      <c r="A4275" s="4" t="n">
        <v>7916</v>
      </c>
      <c r="B4275" s="5" t="n">
        <v>44466</v>
      </c>
      <c r="C4275" s="13" t="inlineStr">
        <is>
          <t>CPR</t>
        </is>
      </c>
      <c r="D4275" s="13" t="n">
        <v>43</v>
      </c>
      <c r="E4275" s="10">
        <f>IF(D4275&gt;0,VLOOKUP(OPERAC[[#This Row],[COD CART]],[1]!MatrizCortoLargoCyl[#All],3,0),"")</f>
        <v/>
      </c>
      <c r="F4275" s="13" t="inlineStr">
        <is>
          <t>SOLO/CYL-PUT/4,00/16-09-22</t>
        </is>
      </c>
      <c r="G4275" s="6" t="n">
        <v>500</v>
      </c>
      <c r="H4275" s="6">
        <f>-1487.08635+0.32*OPERAC[[#This Row],[cantidad]]+0.387*OPERAC[[#This Row],[cantidad]]+0.22*OPERAC[[#This Row],[cantidad]]</f>
        <v/>
      </c>
      <c r="I4275" s="7">
        <f>-H4275/G4275</f>
        <v/>
      </c>
      <c r="J4275" s="11" t="n"/>
      <c r="K4275" s="6" t="n"/>
      <c r="L4275" s="6" t="n"/>
      <c r="M4275" s="7">
        <f>IF(N4275=0,+L4275+H4275,0)</f>
        <v/>
      </c>
      <c r="N4275" s="7">
        <f>IF((+G4275-K4275)=0,0,+G4275-K4275)</f>
        <v/>
      </c>
      <c r="O4275" s="7">
        <f>IF(N4275=0,0,(L4275+H4275)/-N4275)</f>
        <v/>
      </c>
      <c r="P4275" s="7">
        <f>VLOOKUP(OPERAC[[#This Row],[especie]],[1]!ESPECIES[#All],6,0)</f>
        <v/>
      </c>
      <c r="Q4275" s="7">
        <f>IF(N4275&lt;&gt;0,P4275*N4275,0)</f>
        <v/>
      </c>
      <c r="R4275" s="8">
        <f>IF(Q4275&lt;&gt;0,Q4275+H4275+L4275,0)</f>
        <v/>
      </c>
      <c r="S4275" s="9">
        <f>VLOOKUP(OPERAC[[#This Row],[especie]],[1]!ESPECIES[#Data],9,FALSE)</f>
        <v/>
      </c>
    </row>
    <row r="4276">
      <c r="A4276" s="4" t="n">
        <v>12627</v>
      </c>
      <c r="B4276" s="5" t="n">
        <v>44466</v>
      </c>
      <c r="C4276" s="13" t="inlineStr">
        <is>
          <t>CPR</t>
        </is>
      </c>
      <c r="D4276" s="13" t="n">
        <v>43</v>
      </c>
      <c r="E4276" s="10">
        <f>IF(D4276&gt;0,VLOOKUP(OPERAC[[#This Row],[COD CART]],[1]!MatrizCortoLargoCyl[#All],3,0),"")</f>
        <v/>
      </c>
      <c r="F4276" s="13" t="inlineStr">
        <is>
          <t>SOLO/CYL-PUT/4,00/16-09-22</t>
        </is>
      </c>
      <c r="G4276" s="6" t="n">
        <v>500</v>
      </c>
      <c r="H4276" s="6">
        <f>-1487.08635+0.32*OPERAC[[#This Row],[cantidad]]+0.387*OPERAC[[#This Row],[cantidad]]+0.22*OPERAC[[#This Row],[cantidad]]</f>
        <v/>
      </c>
      <c r="I4276" s="7">
        <f>-H4276/G4276</f>
        <v/>
      </c>
      <c r="J4276" s="11" t="n">
        <v>44566</v>
      </c>
      <c r="K4276" s="6" t="n">
        <v>100</v>
      </c>
      <c r="L4276" s="6" t="n">
        <v>28.782</v>
      </c>
      <c r="M4276" s="7">
        <f>IF(N4276=0,+L4276+H4276,0)</f>
        <v/>
      </c>
      <c r="N4276" s="7">
        <f>IF((+G4276-K4276)=0,0,+G4276-K4276)</f>
        <v/>
      </c>
      <c r="O4276" s="7">
        <f>IF(N4276=0,0,(L4276+H4276)/-N4276)</f>
        <v/>
      </c>
      <c r="P4276" s="7">
        <f>VLOOKUP(OPERAC[[#This Row],[especie]],[1]!ESPECIES[#All],6,0)</f>
        <v/>
      </c>
      <c r="Q4276" s="7">
        <f>IF(N4276&lt;&gt;0,P4276*N4276,0)</f>
        <v/>
      </c>
      <c r="R4276" s="8">
        <f>IF(Q4276&lt;&gt;0,Q4276+H4276+L4276,0)</f>
        <v/>
      </c>
      <c r="S4276" s="9">
        <f>VLOOKUP(OPERAC[[#This Row],[especie]],[1]!ESPECIES[#Data],9,FALSE)</f>
        <v/>
      </c>
    </row>
    <row r="4277">
      <c r="A4277" s="4" t="n">
        <v>20317</v>
      </c>
      <c r="B4277" s="5" t="n">
        <v>44466</v>
      </c>
      <c r="C4277" s="13" t="inlineStr">
        <is>
          <t>CPR</t>
        </is>
      </c>
      <c r="D4277" s="13" t="n">
        <v>43</v>
      </c>
      <c r="E4277" s="10">
        <f>IF(D4277&gt;0,VLOOKUP(OPERAC[[#This Row],[COD CART]],[1]!MatrizCortoLargoCyl[#All],3,0),"")</f>
        <v/>
      </c>
      <c r="F4277" s="13" t="inlineStr">
        <is>
          <t>SOLO/CYL-PUT/4,00/16-09-22</t>
        </is>
      </c>
      <c r="G4277" s="6" t="n">
        <v>500</v>
      </c>
      <c r="H4277" s="6">
        <f>-1487.08635+0.32*OPERAC[[#This Row],[cantidad]]+0.387*OPERAC[[#This Row],[cantidad]]+0.22*OPERAC[[#This Row],[cantidad]]</f>
        <v/>
      </c>
      <c r="I4277" s="7">
        <f>-H4277/G4277</f>
        <v/>
      </c>
      <c r="J4277" s="11" t="n"/>
      <c r="K4277" s="6" t="n"/>
      <c r="L4277" s="6" t="n"/>
      <c r="M4277" s="7">
        <f>IF(N4277=0,+L4277+H4277,0)</f>
        <v/>
      </c>
      <c r="N4277" s="7">
        <f>IF((+G4277-K4277)=0,0,+G4277-K4277)</f>
        <v/>
      </c>
      <c r="O4277" s="7">
        <f>IF(N4277=0,0,(L4277+H4277)/-N4277)</f>
        <v/>
      </c>
      <c r="P4277" s="7">
        <f>VLOOKUP(OPERAC[[#This Row],[especie]],[1]!ESPECIES[#All],6,0)</f>
        <v/>
      </c>
      <c r="Q4277" s="7">
        <f>IF(N4277&lt;&gt;0,P4277*N4277,0)</f>
        <v/>
      </c>
      <c r="R4277" s="8">
        <f>IF(Q4277&lt;&gt;0,Q4277+H4277+L4277,0)</f>
        <v/>
      </c>
      <c r="S4277" s="9">
        <f>VLOOKUP(OPERAC[[#This Row],[especie]],[1]!ESPECIES[#Data],9,FALSE)</f>
        <v/>
      </c>
    </row>
    <row r="4278">
      <c r="A4278" s="4" t="n">
        <v>26140</v>
      </c>
      <c r="B4278" s="5" t="n">
        <v>44466</v>
      </c>
      <c r="C4278" s="13" t="inlineStr">
        <is>
          <t>CPR</t>
        </is>
      </c>
      <c r="D4278" s="13" t="n">
        <v>43</v>
      </c>
      <c r="E4278" s="10">
        <f>IF(D4278&gt;0,VLOOKUP(OPERAC[[#This Row],[COD CART]],[1]!MatrizCortoLargoCyl[#All],3,0),"")</f>
        <v/>
      </c>
      <c r="F4278" s="13" t="inlineStr">
        <is>
          <t>SOLO/CYL-PUT/4,00/16-09-22</t>
        </is>
      </c>
      <c r="G4278" s="6" t="n">
        <v>500</v>
      </c>
      <c r="H4278" s="6">
        <f>-1487.08635+0.32*OPERAC[[#This Row],[cantidad]]+0.387*OPERAC[[#This Row],[cantidad]]+0.22*OPERAC[[#This Row],[cantidad]]</f>
        <v/>
      </c>
      <c r="I4278" s="7">
        <f>-H4278/G4278</f>
        <v/>
      </c>
      <c r="J4278" s="11" t="n"/>
      <c r="K4278" s="6" t="n"/>
      <c r="L4278" s="6" t="n"/>
      <c r="M4278" s="7">
        <f>IF(N4278=0,+L4278+H4278,0)</f>
        <v/>
      </c>
      <c r="N4278" s="7">
        <f>IF((+G4278-K4278)=0,0,+G4278-K4278)</f>
        <v/>
      </c>
      <c r="O4278" s="7">
        <f>IF(N4278=0,0,(L4278+H4278)/-N4278)</f>
        <v/>
      </c>
      <c r="P4278" s="7">
        <f>VLOOKUP(OPERAC[[#This Row],[especie]],[1]!ESPECIES[#All],6,0)</f>
        <v/>
      </c>
      <c r="Q4278" s="7">
        <f>IF(N4278&lt;&gt;0,P4278*N4278,0)</f>
        <v/>
      </c>
      <c r="R4278" s="8">
        <f>IF(Q4278&lt;&gt;0,Q4278+H4278+L4278,0)</f>
        <v/>
      </c>
      <c r="S4278" s="9">
        <f>VLOOKUP(OPERAC[[#This Row],[especie]],[1]!ESPECIES[#Data],9,FALSE)</f>
        <v/>
      </c>
    </row>
    <row r="4279">
      <c r="A4279" s="4" t="n">
        <v>19934</v>
      </c>
      <c r="B4279" s="5" t="n">
        <v>44494</v>
      </c>
      <c r="C4279" s="13" t="inlineStr">
        <is>
          <t>CPR</t>
        </is>
      </c>
      <c r="D4279" s="13" t="n">
        <v>40</v>
      </c>
      <c r="E4279" s="10">
        <f>IF(D4279&gt;0,VLOOKUP(OPERAC[[#This Row],[COD CART]],[1]!MatrizCortoLargoCyl[#All],3,0),"")</f>
        <v/>
      </c>
      <c r="F4279" s="13" t="inlineStr">
        <is>
          <t>YPF</t>
        </is>
      </c>
      <c r="G4279" s="6" t="n">
        <v>220</v>
      </c>
      <c r="H4279" s="6" t="n">
        <v>-1023.5984</v>
      </c>
      <c r="I4279" s="7">
        <f>-H4279/G4279</f>
        <v/>
      </c>
      <c r="J4279" s="11" t="n">
        <v>44606</v>
      </c>
      <c r="K4279" s="6">
        <f>+OPERAC[[#This Row],[cantidad]]</f>
        <v/>
      </c>
      <c r="L4279" s="6">
        <f>+OPERAC[[#This Row],[cantidad venta]]*4.161</f>
        <v/>
      </c>
      <c r="M4279" s="7">
        <f>IF(N4279=0,+L4279+H4279,0)</f>
        <v/>
      </c>
      <c r="N4279" s="7">
        <f>IF((+G4279-K4279)=0,0,+G4279-K4279)</f>
        <v/>
      </c>
      <c r="O4279" s="7">
        <f>IF(N4279=0,0,(L4279+H4279)/-N4279)</f>
        <v/>
      </c>
      <c r="P4279" s="7">
        <f>VLOOKUP(OPERAC[[#This Row],[especie]],[1]!ESPECIES[#All],6,0)</f>
        <v/>
      </c>
      <c r="Q4279" s="7">
        <f>IF(N4279&lt;&gt;0,P4279*N4279,0)</f>
        <v/>
      </c>
      <c r="R4279" s="8">
        <f>IF(Q4279&lt;&gt;0,Q4279+H4279+L4279,0)</f>
        <v/>
      </c>
      <c r="S4279" s="9">
        <f>VLOOKUP(OPERAC[[#This Row],[especie]],[1]!ESPECIES[#Data],9,FALSE)</f>
        <v/>
      </c>
    </row>
    <row r="4280">
      <c r="A4280" s="4" t="n">
        <v>19932</v>
      </c>
      <c r="B4280" s="5" t="n">
        <v>44629</v>
      </c>
      <c r="C4280" s="13" t="inlineStr">
        <is>
          <t>CPR</t>
        </is>
      </c>
      <c r="D4280" s="13" t="n">
        <v>42</v>
      </c>
      <c r="E4280" s="10">
        <f>IF(D4280&gt;0,VLOOKUP(OPERAC[[#This Row],[COD CART]],[1]!MatrizCortoLargoCyl[#All],3,0),"")</f>
        <v/>
      </c>
      <c r="F4280" s="13" t="inlineStr">
        <is>
          <t>AAL</t>
        </is>
      </c>
      <c r="G4280" s="6" t="n">
        <v>70</v>
      </c>
      <c r="H4280" s="6" t="n">
        <v>-1025.1784</v>
      </c>
      <c r="I4280" s="7">
        <f>-H4280/G4280</f>
        <v/>
      </c>
      <c r="J4280" s="11" t="n">
        <v>44636</v>
      </c>
      <c r="K4280" s="6" t="n">
        <v>70</v>
      </c>
      <c r="L4280" s="6" t="n">
        <v>1117.321</v>
      </c>
      <c r="M4280" s="7">
        <f>IF(N4280=0,+L4280+H4280,0)</f>
        <v/>
      </c>
      <c r="N4280" s="7">
        <f>IF((+G4280-K4280)=0,0,+G4280-K4280)</f>
        <v/>
      </c>
      <c r="O4280" s="7">
        <f>IF(N4280=0,0,(L4280+H4280)/-N4280)</f>
        <v/>
      </c>
      <c r="P4280" s="7">
        <f>VLOOKUP(OPERAC[[#This Row],[especie]],[1]!ESPECIES[#All],6,0)</f>
        <v/>
      </c>
      <c r="Q4280" s="7">
        <f>IF(N4280&lt;&gt;0,P4280*N4280,0)</f>
        <v/>
      </c>
      <c r="R4280" s="8">
        <f>IF(Q4280&lt;&gt;0,Q4280+H4280+L4280,0)</f>
        <v/>
      </c>
      <c r="S4280" s="9">
        <f>VLOOKUP(OPERAC[[#This Row],[especie]],[1]!ESPECIES[#Data],9,FALSE)</f>
        <v/>
      </c>
    </row>
    <row r="4281">
      <c r="A4281" s="4" t="n">
        <v>26138</v>
      </c>
      <c r="B4281" s="5" t="n">
        <v>44536</v>
      </c>
      <c r="C4281" s="13" t="inlineStr">
        <is>
          <t>CPR</t>
        </is>
      </c>
      <c r="D4281" s="13" t="n">
        <v>43</v>
      </c>
      <c r="E4281" s="10">
        <f>IF(D4281&gt;0,VLOOKUP(OPERAC[[#This Row],[COD CART]],[1]!MatrizCortoLargoCyl[#All],3,0),"")</f>
        <v/>
      </c>
      <c r="F4281" s="13" t="inlineStr">
        <is>
          <t>XSPA/CYL-PUT/1,50/20-01-23</t>
        </is>
      </c>
      <c r="G4281" s="6" t="n">
        <v>2300</v>
      </c>
      <c r="H4281" s="6">
        <f>-0.4462*OPERAC[[#This Row],[cantidad]]</f>
        <v/>
      </c>
      <c r="I4281" s="7">
        <f>-H4281/G4281</f>
        <v/>
      </c>
      <c r="J4281" s="11" t="n"/>
      <c r="K4281" s="6" t="n"/>
      <c r="L4281" s="6" t="n"/>
      <c r="M4281" s="7">
        <f>IF(N4281=0,+L4281+H4281,0)</f>
        <v/>
      </c>
      <c r="N4281" s="7">
        <f>IF((+G4281-K4281)=0,0,+G4281-K4281)</f>
        <v/>
      </c>
      <c r="O4281" s="7">
        <f>IF(N4281=0,0,(L4281+H4281)/-N4281)</f>
        <v/>
      </c>
      <c r="P4281" s="7">
        <f>VLOOKUP(OPERAC[[#This Row],[especie]],[1]!ESPECIES[#All],6,0)</f>
        <v/>
      </c>
      <c r="Q4281" s="7">
        <f>IF(N4281&lt;&gt;0,P4281*N4281,0)</f>
        <v/>
      </c>
      <c r="R4281" s="8">
        <f>IF(Q4281&lt;&gt;0,Q4281+H4281+L4281,0)</f>
        <v/>
      </c>
      <c r="S4281" s="9">
        <f>VLOOKUP(OPERAC[[#This Row],[especie]],[1]!ESPECIES[#Data],9,FALSE)</f>
        <v/>
      </c>
    </row>
    <row r="4282">
      <c r="A4282" s="4" t="n">
        <v>19888</v>
      </c>
      <c r="B4282" s="5" t="n">
        <v>44641</v>
      </c>
      <c r="C4282" s="13" t="inlineStr">
        <is>
          <t>CPR</t>
        </is>
      </c>
      <c r="D4282" s="13" t="n">
        <v>31</v>
      </c>
      <c r="E4282" s="10">
        <f>IF(D4282&gt;0,VLOOKUP(OPERAC[[#This Row],[COD CART]],[1]!MatrizCortoLargoCyl[#All],3,0),"")</f>
        <v/>
      </c>
      <c r="F4282" s="13" t="inlineStr">
        <is>
          <t>BABA</t>
        </is>
      </c>
      <c r="G4282" s="6" t="n">
        <v>10</v>
      </c>
      <c r="H4282" s="6" t="n">
        <v>-1030.374</v>
      </c>
      <c r="I4282" s="7">
        <f>-H4282/G4282</f>
        <v/>
      </c>
      <c r="J4282" s="11" t="n">
        <v>44693</v>
      </c>
      <c r="K4282" s="6" t="n">
        <v>10</v>
      </c>
      <c r="L4282" s="6" t="n">
        <v>800.359</v>
      </c>
      <c r="M4282" s="7">
        <f>IF(N4282=0,+L4282+H4282,0)</f>
        <v/>
      </c>
      <c r="N4282" s="7">
        <f>IF((+G4282-K4282)=0,0,+G4282-K4282)</f>
        <v/>
      </c>
      <c r="O4282" s="7">
        <f>IF(N4282=0,0,(L4282+H4282)/-N4282)</f>
        <v/>
      </c>
      <c r="P4282" s="7">
        <f>VLOOKUP(OPERAC[[#This Row],[especie]],[1]!ESPECIES[#All],6,0)</f>
        <v/>
      </c>
      <c r="Q4282" s="7">
        <f>IF(N4282&lt;&gt;0,P4282*N4282,0)</f>
        <v/>
      </c>
      <c r="R4282" s="8">
        <f>IF(Q4282&lt;&gt;0,Q4282+H4282+L4282,0)</f>
        <v/>
      </c>
      <c r="S4282" s="9">
        <f>VLOOKUP(OPERAC[[#This Row],[especie]],[1]!ESPECIES[#Data],9,FALSE)</f>
        <v/>
      </c>
    </row>
    <row r="4283">
      <c r="A4283" s="4" t="n">
        <v>19932</v>
      </c>
      <c r="B4283" s="5" t="n">
        <v>44641</v>
      </c>
      <c r="C4283" s="13" t="inlineStr">
        <is>
          <t>CPR</t>
        </is>
      </c>
      <c r="D4283" s="13" t="n">
        <v>31</v>
      </c>
      <c r="E4283" s="10">
        <f>IF(D4283&gt;0,VLOOKUP(OPERAC[[#This Row],[COD CART]],[1]!MatrizCortoLargoCyl[#All],3,0),"")</f>
        <v/>
      </c>
      <c r="F4283" s="13" t="inlineStr">
        <is>
          <t>BABA</t>
        </is>
      </c>
      <c r="G4283" s="6" t="n">
        <v>10</v>
      </c>
      <c r="H4283" s="6" t="n">
        <v>-1030.374</v>
      </c>
      <c r="I4283" s="7">
        <f>-H4283/G4283</f>
        <v/>
      </c>
      <c r="J4283" s="11" t="n"/>
      <c r="K4283" s="6" t="n"/>
      <c r="L4283" s="6" t="n"/>
      <c r="M4283" s="7">
        <f>IF(N4283=0,+L4283+H4283,0)</f>
        <v/>
      </c>
      <c r="N4283" s="7">
        <f>IF((+G4283-K4283)=0,0,+G4283-K4283)</f>
        <v/>
      </c>
      <c r="O4283" s="7">
        <f>IF(N4283=0,0,(L4283+H4283)/-N4283)</f>
        <v/>
      </c>
      <c r="P4283" s="7">
        <f>VLOOKUP(OPERAC[[#This Row],[especie]],[1]!ESPECIES[#All],6,0)</f>
        <v/>
      </c>
      <c r="Q4283" s="7">
        <f>IF(N4283&lt;&gt;0,P4283*N4283,0)</f>
        <v/>
      </c>
      <c r="R4283" s="8">
        <f>IF(Q4283&lt;&gt;0,Q4283+H4283+L4283,0)</f>
        <v/>
      </c>
      <c r="S4283" s="9">
        <f>VLOOKUP(OPERAC[[#This Row],[especie]],[1]!ESPECIES[#Data],9,FALSE)</f>
        <v/>
      </c>
    </row>
    <row r="4284">
      <c r="A4284" s="4" t="n">
        <v>1800</v>
      </c>
      <c r="B4284" s="5" t="n">
        <v>44459</v>
      </c>
      <c r="C4284" s="13" t="inlineStr">
        <is>
          <t>CPR</t>
        </is>
      </c>
      <c r="D4284" s="13" t="n">
        <v>43</v>
      </c>
      <c r="E4284" s="10">
        <f>IF(D4284&gt;0,VLOOKUP(OPERAC[[#This Row],[COD CART]],[1]!MatrizCortoLargoCyl[#All],3,0),"")</f>
        <v/>
      </c>
      <c r="F4284" s="13" t="inlineStr">
        <is>
          <t>INO/CYL-PUT/7,00/21-01-22</t>
        </is>
      </c>
      <c r="G4284" s="6" t="n">
        <v>200</v>
      </c>
      <c r="H4284" s="6" t="n">
        <v>-1030.91</v>
      </c>
      <c r="I4284" s="7">
        <f>-H4284/G4284</f>
        <v/>
      </c>
      <c r="J4284" s="11" t="n">
        <v>44581</v>
      </c>
      <c r="K4284" s="6" t="n">
        <v>200</v>
      </c>
      <c r="L4284" s="6" t="n">
        <v>251.59</v>
      </c>
      <c r="M4284" s="7">
        <f>IF(N4284=0,+L4284+H4284,0)</f>
        <v/>
      </c>
      <c r="N4284" s="7">
        <f>IF((+G4284-K4284)=0,0,+G4284-K4284)</f>
        <v/>
      </c>
      <c r="O4284" s="7">
        <f>IF(N4284=0,0,(L4284+H4284)/-N4284)</f>
        <v/>
      </c>
      <c r="P4284" s="7">
        <f>VLOOKUP(OPERAC[[#This Row],[especie]],[1]!ESPECIES[#All],6,0)</f>
        <v/>
      </c>
      <c r="Q4284" s="7">
        <f>IF(N4284&lt;&gt;0,P4284*N4284,0)</f>
        <v/>
      </c>
      <c r="R4284" s="8">
        <f>IF(Q4284&lt;&gt;0,Q4284+H4284+L4284,0)</f>
        <v/>
      </c>
      <c r="S4284" s="9">
        <f>VLOOKUP(OPERAC[[#This Row],[especie]],[1]!ESPECIES[#Data],9,FALSE)</f>
        <v/>
      </c>
    </row>
    <row r="4285">
      <c r="A4285" s="4" t="n">
        <v>3728</v>
      </c>
      <c r="B4285" s="5" t="n">
        <v>44459</v>
      </c>
      <c r="C4285" s="13" t="inlineStr">
        <is>
          <t>CPR</t>
        </is>
      </c>
      <c r="D4285" s="13" t="n">
        <v>43</v>
      </c>
      <c r="E4285" s="10">
        <f>IF(D4285&gt;0,VLOOKUP(OPERAC[[#This Row],[COD CART]],[1]!MatrizCortoLargoCyl[#All],3,0),"")</f>
        <v/>
      </c>
      <c r="F4285" s="13" t="inlineStr">
        <is>
          <t>INO/CYL-PUT/7,00/21-01-22</t>
        </is>
      </c>
      <c r="G4285" s="6" t="n">
        <v>200</v>
      </c>
      <c r="H4285" s="6" t="n">
        <v>-1030.91</v>
      </c>
      <c r="I4285" s="7">
        <f>-H4285/G4285</f>
        <v/>
      </c>
      <c r="J4285" s="11" t="n">
        <v>44581</v>
      </c>
      <c r="K4285" s="6" t="n">
        <v>200</v>
      </c>
      <c r="L4285" s="6" t="n">
        <v>251.59</v>
      </c>
      <c r="M4285" s="7">
        <f>IF(N4285=0,+L4285+H4285,0)</f>
        <v/>
      </c>
      <c r="N4285" s="7">
        <f>IF((+G4285-K4285)=0,0,+G4285-K4285)</f>
        <v/>
      </c>
      <c r="O4285" s="7">
        <f>IF(N4285=0,0,(L4285+H4285)/-N4285)</f>
        <v/>
      </c>
      <c r="P4285" s="7">
        <f>VLOOKUP(OPERAC[[#This Row],[especie]],[1]!ESPECIES[#All],6,0)</f>
        <v/>
      </c>
      <c r="Q4285" s="7">
        <f>IF(N4285&lt;&gt;0,P4285*N4285,0)</f>
        <v/>
      </c>
      <c r="R4285" s="8">
        <f>IF(Q4285&lt;&gt;0,Q4285+H4285+L4285,0)</f>
        <v/>
      </c>
      <c r="S4285" s="9">
        <f>VLOOKUP(OPERAC[[#This Row],[especie]],[1]!ESPECIES[#Data],9,FALSE)</f>
        <v/>
      </c>
    </row>
    <row r="4286">
      <c r="A4286" s="4" t="n">
        <v>15194</v>
      </c>
      <c r="B4286" s="5" t="n">
        <v>44459</v>
      </c>
      <c r="C4286" s="13" t="inlineStr">
        <is>
          <t>CPR</t>
        </is>
      </c>
      <c r="D4286" s="13" t="n">
        <v>43</v>
      </c>
      <c r="E4286" s="10">
        <f>IF(D4286&gt;0,VLOOKUP(OPERAC[[#This Row],[COD CART]],[1]!MatrizCortoLargoCyl[#All],3,0),"")</f>
        <v/>
      </c>
      <c r="F4286" s="13" t="inlineStr">
        <is>
          <t>INO/CYL-PUT/7,00/21-01-22</t>
        </is>
      </c>
      <c r="G4286" s="6" t="n">
        <v>200</v>
      </c>
      <c r="H4286" s="6" t="n">
        <v>-1030.91</v>
      </c>
      <c r="I4286" s="7">
        <f>-H4286/G4286</f>
        <v/>
      </c>
      <c r="J4286" s="11" t="n">
        <v>44581</v>
      </c>
      <c r="K4286" s="6" t="n">
        <v>200</v>
      </c>
      <c r="L4286" s="6" t="n">
        <v>251.59</v>
      </c>
      <c r="M4286" s="7">
        <f>IF(N4286=0,+L4286+H4286,0)</f>
        <v/>
      </c>
      <c r="N4286" s="7">
        <f>IF((+G4286-K4286)=0,0,+G4286-K4286)</f>
        <v/>
      </c>
      <c r="O4286" s="7">
        <f>IF(N4286=0,0,(L4286+H4286)/-N4286)</f>
        <v/>
      </c>
      <c r="P4286" s="7">
        <f>VLOOKUP(OPERAC[[#This Row],[especie]],[1]!ESPECIES[#All],6,0)</f>
        <v/>
      </c>
      <c r="Q4286" s="7">
        <f>IF(N4286&lt;&gt;0,P4286*N4286,0)</f>
        <v/>
      </c>
      <c r="R4286" s="8">
        <f>IF(Q4286&lt;&gt;0,Q4286+H4286+L4286,0)</f>
        <v/>
      </c>
      <c r="S4286" s="9">
        <f>VLOOKUP(OPERAC[[#This Row],[especie]],[1]!ESPECIES[#Data],9,FALSE)</f>
        <v/>
      </c>
    </row>
    <row r="4287">
      <c r="A4287" s="4" t="n">
        <v>18711</v>
      </c>
      <c r="B4287" s="5" t="n">
        <v>44698</v>
      </c>
      <c r="C4287" s="13" t="inlineStr">
        <is>
          <t>CPR</t>
        </is>
      </c>
      <c r="D4287" s="13" t="n">
        <v>32</v>
      </c>
      <c r="E4287" s="10">
        <f>IF(D4287&gt;0,VLOOKUP(OPERAC[[#This Row],[COD CART]],[1]!MatrizCortoLargoCyl[#All],3,0),"")</f>
        <v/>
      </c>
      <c r="F4287" s="13" t="inlineStr">
        <is>
          <t>DDD/CYL/13,00/24-06-22</t>
        </is>
      </c>
      <c r="G4287" s="6" t="n">
        <v>100</v>
      </c>
      <c r="H4287" s="6" t="n">
        <v>-1031.82</v>
      </c>
      <c r="I4287" s="7">
        <f>-H4287/G4287</f>
        <v/>
      </c>
      <c r="J4287" s="11" t="n"/>
      <c r="K4287" s="6" t="n"/>
      <c r="L4287" s="6" t="n"/>
      <c r="M4287" s="7">
        <f>IF(N4287=0,+L4287+H4287,0)</f>
        <v/>
      </c>
      <c r="N4287" s="7">
        <f>IF((+G4287-K4287)=0,0,+G4287-K4287)</f>
        <v/>
      </c>
      <c r="O4287" s="7">
        <f>IF(N4287=0,0,(L4287+H4287)/-N4287)</f>
        <v/>
      </c>
      <c r="P4287" s="7">
        <f>VLOOKUP(OPERAC[[#This Row],[especie]],[1]!ESPECIES[#All],6,0)</f>
        <v/>
      </c>
      <c r="Q4287" s="7">
        <f>IF(N4287&lt;&gt;0,P4287*N4287,0)</f>
        <v/>
      </c>
      <c r="R4287" s="8">
        <f>IF(Q4287&lt;&gt;0,Q4287+H4287+L4287,0)</f>
        <v/>
      </c>
      <c r="S4287" s="9">
        <f>VLOOKUP(OPERAC[[#This Row],[especie]],[1]!ESPECIES[#Data],9,FALSE)</f>
        <v/>
      </c>
    </row>
    <row r="4288">
      <c r="A4288" s="4" t="n">
        <v>19932</v>
      </c>
      <c r="B4288" s="5" t="n">
        <v>44629</v>
      </c>
      <c r="C4288" s="13" t="inlineStr">
        <is>
          <t>CPR</t>
        </is>
      </c>
      <c r="D4288" s="13" t="n">
        <v>31</v>
      </c>
      <c r="E4288" s="10">
        <f>IF(D4288&gt;0,VLOOKUP(OPERAC[[#This Row],[COD CART]],[1]!MatrizCortoLargoCyl[#All],3,0),"")</f>
        <v/>
      </c>
      <c r="F4288" s="13" t="inlineStr">
        <is>
          <t>DRIV</t>
        </is>
      </c>
      <c r="G4288" s="6" t="n">
        <v>40</v>
      </c>
      <c r="H4288" s="6" t="n">
        <v>-1035.905536</v>
      </c>
      <c r="I4288" s="7">
        <f>-H4288/G4288</f>
        <v/>
      </c>
      <c r="J4288" s="11" t="n"/>
      <c r="K4288" s="6" t="n"/>
      <c r="L4288" s="6" t="n"/>
      <c r="M4288" s="7">
        <f>IF(N4288=0,+L4288+H4288,0)</f>
        <v/>
      </c>
      <c r="N4288" s="7">
        <f>IF((+G4288-K4288)=0,0,+G4288-K4288)</f>
        <v/>
      </c>
      <c r="O4288" s="7">
        <f>IF(N4288=0,0,(L4288+H4288)/-N4288)</f>
        <v/>
      </c>
      <c r="P4288" s="7">
        <f>VLOOKUP(OPERAC[[#This Row],[especie]],[1]!ESPECIES[#All],6,0)</f>
        <v/>
      </c>
      <c r="Q4288" s="7">
        <f>IF(N4288&lt;&gt;0,P4288*N4288,0)</f>
        <v/>
      </c>
      <c r="R4288" s="8">
        <f>IF(Q4288&lt;&gt;0,Q4288+H4288+L4288,0)</f>
        <v/>
      </c>
      <c r="S4288" s="9">
        <f>VLOOKUP(OPERAC[[#This Row],[especie]],[1]!ESPECIES[#Data],9,FALSE)</f>
        <v/>
      </c>
    </row>
    <row r="4289">
      <c r="A4289" s="4" t="n">
        <v>19932</v>
      </c>
      <c r="B4289" s="5" t="n">
        <v>44629</v>
      </c>
      <c r="C4289" s="13" t="inlineStr">
        <is>
          <t>CPR</t>
        </is>
      </c>
      <c r="D4289" s="13" t="n">
        <v>31</v>
      </c>
      <c r="E4289" s="10">
        <f>IF(D4289&gt;0,VLOOKUP(OPERAC[[#This Row],[COD CART]],[1]!MatrizCortoLargoCyl[#All],3,0),"")</f>
        <v/>
      </c>
      <c r="F4289" s="13" t="inlineStr">
        <is>
          <t>SMH</t>
        </is>
      </c>
      <c r="G4289" s="6" t="n">
        <v>4</v>
      </c>
      <c r="H4289" s="6" t="n">
        <v>-1039.4307136</v>
      </c>
      <c r="I4289" s="7">
        <f>-H4289/G4289</f>
        <v/>
      </c>
      <c r="J4289" s="11" t="n"/>
      <c r="K4289" s="6" t="n"/>
      <c r="L4289" s="6" t="n"/>
      <c r="M4289" s="7">
        <f>IF(N4289=0,+L4289+H4289,0)</f>
        <v/>
      </c>
      <c r="N4289" s="7">
        <f>IF((+G4289-K4289)=0,0,+G4289-K4289)</f>
        <v/>
      </c>
      <c r="O4289" s="7">
        <f>IF(N4289=0,0,(L4289+H4289)/-N4289)</f>
        <v/>
      </c>
      <c r="P4289" s="7">
        <f>VLOOKUP(OPERAC[[#This Row],[especie]],[1]!ESPECIES[#All],6,0)</f>
        <v/>
      </c>
      <c r="Q4289" s="7">
        <f>IF(N4289&lt;&gt;0,P4289*N4289,0)</f>
        <v/>
      </c>
      <c r="R4289" s="8">
        <f>IF(Q4289&lt;&gt;0,Q4289+H4289+L4289,0)</f>
        <v/>
      </c>
      <c r="S4289" s="9">
        <f>VLOOKUP(OPERAC[[#This Row],[especie]],[1]!ESPECIES[#Data],9,FALSE)</f>
        <v/>
      </c>
    </row>
    <row r="4290">
      <c r="A4290" s="4" t="n">
        <v>7916</v>
      </c>
      <c r="B4290" s="5" t="n">
        <v>44460</v>
      </c>
      <c r="C4290" s="13" t="inlineStr">
        <is>
          <t>CPR</t>
        </is>
      </c>
      <c r="D4290" s="13" t="n">
        <v>40</v>
      </c>
      <c r="E4290" s="10">
        <f>IF(D4290&gt;0,VLOOKUP(OPERAC[[#This Row],[COD CART]],[1]!MatrizCortoLargoCyl[#All],3,0),"")</f>
        <v/>
      </c>
      <c r="F4290" s="13" t="inlineStr">
        <is>
          <t>EDU</t>
        </is>
      </c>
      <c r="G4290" s="6" t="n">
        <v>1000</v>
      </c>
      <c r="H4290" s="6">
        <f>OPERAC[[#This Row],[cantidad]]*-1.084+0.04*OPERAC[[#This Row],[cantidad]]</f>
        <v/>
      </c>
      <c r="I4290" s="7">
        <f>-H4290/G4290</f>
        <v/>
      </c>
      <c r="J4290" s="11" t="n">
        <v>44615</v>
      </c>
      <c r="K4290" s="6" t="n">
        <v>1000</v>
      </c>
      <c r="L4290" s="6" t="n">
        <v>1494.767</v>
      </c>
      <c r="M4290" s="7">
        <f>IF(N4290=0,+L4290+H4290,0)</f>
        <v/>
      </c>
      <c r="N4290" s="7">
        <f>IF((+G4290-K4290)=0,0,+G4290-K4290)</f>
        <v/>
      </c>
      <c r="O4290" s="7">
        <f>IF(N4290=0,0,(L4290+H4290)/-N4290)</f>
        <v/>
      </c>
      <c r="P4290" s="7">
        <f>VLOOKUP(OPERAC[[#This Row],[especie]],[1]!ESPECIES[#All],6,0)</f>
        <v/>
      </c>
      <c r="Q4290" s="7">
        <f>IF(N4290&lt;&gt;0,P4290*N4290,0)</f>
        <v/>
      </c>
      <c r="R4290" s="8">
        <f>IF(Q4290&lt;&gt;0,Q4290+H4290+L4290,0)</f>
        <v/>
      </c>
      <c r="S4290" s="9">
        <f>VLOOKUP(OPERAC[[#This Row],[especie]],[1]!ESPECIES[#Data],9,FALSE)</f>
        <v/>
      </c>
    </row>
    <row r="4291">
      <c r="A4291" s="4" t="n">
        <v>22393</v>
      </c>
      <c r="B4291" s="5" t="n">
        <v>44460</v>
      </c>
      <c r="C4291" s="13" t="inlineStr">
        <is>
          <t>CPR</t>
        </is>
      </c>
      <c r="D4291" s="13" t="n">
        <v>40</v>
      </c>
      <c r="E4291" s="10">
        <f>IF(D4291&gt;0,VLOOKUP(OPERAC[[#This Row],[COD CART]],[1]!MatrizCortoLargoCyl[#All],3,0),"")</f>
        <v/>
      </c>
      <c r="F4291" s="13" t="inlineStr">
        <is>
          <t>EDU</t>
        </is>
      </c>
      <c r="G4291" s="6" t="n">
        <v>100</v>
      </c>
      <c r="H4291" s="6" t="n">
        <v>-1044</v>
      </c>
      <c r="I4291" s="7">
        <f>-H4291/G4291</f>
        <v/>
      </c>
      <c r="J4291" s="11" t="n">
        <v>44683</v>
      </c>
      <c r="K4291" s="6" t="n">
        <v>100</v>
      </c>
      <c r="L4291" s="6">
        <f>+OPERAC[[#This Row],[cantidad venta]]*12.86</f>
        <v/>
      </c>
      <c r="M4291" s="7">
        <f>IF(N4291=0,+L4291+H4291,0)</f>
        <v/>
      </c>
      <c r="N4291" s="7">
        <f>IF((+G4291-K4291)=0,0,+G4291-K4291)</f>
        <v/>
      </c>
      <c r="O4291" s="7">
        <f>IF(N4291=0,0,(L4291+H4291)/-N4291)</f>
        <v/>
      </c>
      <c r="P4291" s="7">
        <f>VLOOKUP(OPERAC[[#This Row],[especie]],[1]!ESPECIES[#All],6,0)</f>
        <v/>
      </c>
      <c r="Q4291" s="7">
        <f>IF(N4291&lt;&gt;0,P4291*N4291,0)</f>
        <v/>
      </c>
      <c r="R4291" s="8">
        <f>IF(Q4291&lt;&gt;0,Q4291+H4291+L4291,0)</f>
        <v/>
      </c>
      <c r="S4291" s="9">
        <f>VLOOKUP(OPERAC[[#This Row],[especie]],[1]!ESPECIES[#Data],9,FALSE)</f>
        <v/>
      </c>
    </row>
    <row r="4292">
      <c r="A4292" s="4" t="n">
        <v>16780</v>
      </c>
      <c r="B4292" s="5" t="n">
        <v>44712</v>
      </c>
      <c r="C4292" s="13" t="inlineStr">
        <is>
          <t>CPR</t>
        </is>
      </c>
      <c r="D4292" s="13" t="n">
        <v>32</v>
      </c>
      <c r="E4292" s="10">
        <f>IF(D4292&gt;0,VLOOKUP(OPERAC[[#This Row],[COD CART]],[1]!MatrizCortoLargoCyl[#All],3,0),"")</f>
        <v/>
      </c>
      <c r="F4292" s="13" t="inlineStr">
        <is>
          <t>EDIT/CYL/11,00/17-06-22</t>
        </is>
      </c>
      <c r="G4292" s="6" t="n">
        <v>100</v>
      </c>
      <c r="H4292" s="6" t="n">
        <v>-1045.38</v>
      </c>
      <c r="I4292" s="7">
        <f>-H4292/G4292</f>
        <v/>
      </c>
      <c r="J4292" s="5" t="n"/>
      <c r="K4292" s="6" t="n"/>
      <c r="L4292" s="6" t="n"/>
      <c r="M4292" s="7">
        <f>IF(N4292=0,+L4292+H4292,0)</f>
        <v/>
      </c>
      <c r="N4292" s="7">
        <f>IF((+G4292-K4292)=0,0,+G4292-K4292)</f>
        <v/>
      </c>
      <c r="O4292" s="7">
        <f>IF(N4292=0,0,(L4292+H4292)/-N4292)</f>
        <v/>
      </c>
      <c r="P4292" s="7">
        <f>VLOOKUP(OPERAC[[#This Row],[especie]],[1]!ESPECIES[#All],6,0)</f>
        <v/>
      </c>
      <c r="Q4292" s="7">
        <f>IF(N4292&lt;&gt;0,P4292*N4292,0)</f>
        <v/>
      </c>
      <c r="R4292" s="8">
        <f>IF(Q4292&lt;&gt;0,Q4292+H4292+L4292,0)</f>
        <v/>
      </c>
      <c r="S4292" s="9">
        <f>VLOOKUP(OPERAC[[#This Row],[especie]],[1]!ESPECIES[#Data],9,FALSE)</f>
        <v/>
      </c>
    </row>
    <row r="4293">
      <c r="A4293" s="4" t="n">
        <v>22431</v>
      </c>
      <c r="B4293" s="5" t="n">
        <v>44698</v>
      </c>
      <c r="C4293" s="13" t="inlineStr">
        <is>
          <t>CPR</t>
        </is>
      </c>
      <c r="D4293" s="13" t="n">
        <v>32</v>
      </c>
      <c r="E4293" s="10">
        <f>IF(D4293&gt;0,VLOOKUP(OPERAC[[#This Row],[COD CART]],[1]!MatrizCortoLargoCyl[#All],3,0),"")</f>
        <v/>
      </c>
      <c r="F4293" s="13" t="inlineStr">
        <is>
          <t>DDD/CYL/13,00/24-06-22</t>
        </is>
      </c>
      <c r="G4293" s="6" t="n">
        <v>100</v>
      </c>
      <c r="H4293" s="6" t="n">
        <v>-1046.107</v>
      </c>
      <c r="I4293" s="7">
        <f>-H4293/G4293</f>
        <v/>
      </c>
      <c r="J4293" s="11" t="n"/>
      <c r="K4293" s="6" t="n"/>
      <c r="L4293" s="6" t="n"/>
      <c r="M4293" s="7">
        <f>IF(N4293=0,+L4293+H4293,0)</f>
        <v/>
      </c>
      <c r="N4293" s="7">
        <f>IF((+G4293-K4293)=0,0,+G4293-K4293)</f>
        <v/>
      </c>
      <c r="O4293" s="7">
        <f>IF(N4293=0,0,(L4293+H4293)/-N4293)</f>
        <v/>
      </c>
      <c r="P4293" s="7">
        <f>VLOOKUP(OPERAC[[#This Row],[especie]],[1]!ESPECIES[#All],6,0)</f>
        <v/>
      </c>
      <c r="Q4293" s="7">
        <f>IF(N4293&lt;&gt;0,P4293*N4293,0)</f>
        <v/>
      </c>
      <c r="R4293" s="8">
        <f>IF(Q4293&lt;&gt;0,Q4293+H4293+L4293,0)</f>
        <v/>
      </c>
      <c r="S4293" s="9">
        <f>VLOOKUP(OPERAC[[#This Row],[especie]],[1]!ESPECIES[#Data],9,FALSE)</f>
        <v/>
      </c>
    </row>
    <row r="4294">
      <c r="A4294" s="4" t="n">
        <v>15195</v>
      </c>
      <c r="B4294" s="5" t="n">
        <v>44461</v>
      </c>
      <c r="C4294" s="13" t="inlineStr">
        <is>
          <t>CPR</t>
        </is>
      </c>
      <c r="D4294" s="13" t="n">
        <v>40</v>
      </c>
      <c r="E4294" s="10">
        <f>IF(D4294&gt;0,VLOOKUP(OPERAC[[#This Row],[COD CART]],[1]!MatrizCortoLargoCyl[#All],3,0),"")</f>
        <v/>
      </c>
      <c r="F4294" s="13" t="inlineStr">
        <is>
          <t>EDU</t>
        </is>
      </c>
      <c r="G4294" s="6" t="n">
        <v>1000</v>
      </c>
      <c r="H4294" s="6">
        <f>-1.0864*OPERAC[[#This Row],[cantidad]]+0.04*OPERAC[[#This Row],[cantidad]]</f>
        <v/>
      </c>
      <c r="I4294" s="7">
        <f>-H4294/G4294</f>
        <v/>
      </c>
      <c r="J4294" s="11" t="n">
        <v>44630</v>
      </c>
      <c r="K4294" s="6" t="n">
        <v>1000</v>
      </c>
      <c r="L4294" s="6" t="n">
        <v>1175.34</v>
      </c>
      <c r="M4294" s="7">
        <f>IF(N4294=0,+L4294+H4294,0)</f>
        <v/>
      </c>
      <c r="N4294" s="7">
        <f>IF((+G4294-K4294)=0,0,+G4294-K4294)</f>
        <v/>
      </c>
      <c r="O4294" s="7">
        <f>IF(N4294=0,0,(L4294+H4294)/-N4294)</f>
        <v/>
      </c>
      <c r="P4294" s="7">
        <f>VLOOKUP(OPERAC[[#This Row],[especie]],[1]!ESPECIES[#All],6,0)</f>
        <v/>
      </c>
      <c r="Q4294" s="7">
        <f>IF(N4294&lt;&gt;0,P4294*N4294,0)</f>
        <v/>
      </c>
      <c r="R4294" s="8">
        <f>IF(Q4294&lt;&gt;0,Q4294+H4294+L4294,0)</f>
        <v/>
      </c>
      <c r="S4294" s="9">
        <f>VLOOKUP(OPERAC[[#This Row],[especie]],[1]!ESPECIES[#Data],9,FALSE)</f>
        <v/>
      </c>
    </row>
    <row r="4295">
      <c r="A4295" s="4" t="n">
        <v>16780</v>
      </c>
      <c r="B4295" s="5" t="n">
        <v>44461</v>
      </c>
      <c r="C4295" s="13" t="inlineStr">
        <is>
          <t>CPR</t>
        </is>
      </c>
      <c r="D4295" s="13" t="n">
        <v>40</v>
      </c>
      <c r="E4295" s="10">
        <f>IF(D4295&gt;0,VLOOKUP(OPERAC[[#This Row],[COD CART]],[1]!MatrizCortoLargoCyl[#All],3,0),"")</f>
        <v/>
      </c>
      <c r="F4295" s="13" t="inlineStr">
        <is>
          <t>EDU</t>
        </is>
      </c>
      <c r="G4295" s="6" t="n">
        <v>1000</v>
      </c>
      <c r="H4295" s="6">
        <f>-1.0864*OPERAC[[#This Row],[cantidad]]+0.04*OPERAC[[#This Row],[cantidad]]</f>
        <v/>
      </c>
      <c r="I4295" s="7">
        <f>-H4295/G4295</f>
        <v/>
      </c>
      <c r="J4295" s="11" t="n">
        <v>44622</v>
      </c>
      <c r="K4295" s="6" t="n">
        <v>1000</v>
      </c>
      <c r="L4295" s="6">
        <f>+OPERAC[[#This Row],[cantidad venta]]*1.377</f>
        <v/>
      </c>
      <c r="M4295" s="7">
        <f>IF(N4295=0,+L4295+H4295,0)</f>
        <v/>
      </c>
      <c r="N4295" s="7">
        <f>IF((+G4295-K4295)=0,0,+G4295-K4295)</f>
        <v/>
      </c>
      <c r="O4295" s="7">
        <f>IF(N4295=0,0,(L4295+H4295)/-N4295)</f>
        <v/>
      </c>
      <c r="P4295" s="7">
        <f>VLOOKUP(OPERAC[[#This Row],[especie]],[1]!ESPECIES[#All],6,0)</f>
        <v/>
      </c>
      <c r="Q4295" s="7">
        <f>IF(N4295&lt;&gt;0,P4295*N4295,0)</f>
        <v/>
      </c>
      <c r="R4295" s="8">
        <f>IF(Q4295&lt;&gt;0,Q4295+H4295+L4295,0)</f>
        <v/>
      </c>
      <c r="S4295" s="9">
        <f>VLOOKUP(OPERAC[[#This Row],[especie]],[1]!ESPECIES[#Data],9,FALSE)</f>
        <v/>
      </c>
    </row>
    <row r="4296">
      <c r="A4296" s="4" t="n">
        <v>18690</v>
      </c>
      <c r="B4296" s="5" t="n">
        <v>44461</v>
      </c>
      <c r="C4296" s="13" t="inlineStr">
        <is>
          <t>CPR</t>
        </is>
      </c>
      <c r="D4296" s="13" t="n">
        <v>40</v>
      </c>
      <c r="E4296" s="10">
        <f>IF(D4296&gt;0,VLOOKUP(OPERAC[[#This Row],[COD CART]],[1]!MatrizCortoLargoCyl[#All],3,0),"")</f>
        <v/>
      </c>
      <c r="F4296" s="13" t="inlineStr">
        <is>
          <t>EDU</t>
        </is>
      </c>
      <c r="G4296" s="6" t="n">
        <v>1000</v>
      </c>
      <c r="H4296" s="6">
        <f>-1.0864*OPERAC[[#This Row],[cantidad]]+0.04*OPERAC[[#This Row],[cantidad]]</f>
        <v/>
      </c>
      <c r="I4296" s="7">
        <f>-H4296/G4296</f>
        <v/>
      </c>
      <c r="J4296" s="11" t="n">
        <v>44630</v>
      </c>
      <c r="K4296" s="6" t="n">
        <v>1000</v>
      </c>
      <c r="L4296" s="6">
        <f>+OPERAC[[#This Row],[cantidad venta]]*1.137</f>
        <v/>
      </c>
      <c r="M4296" s="7">
        <f>IF(N4296=0,+L4296+H4296,0)</f>
        <v/>
      </c>
      <c r="N4296" s="7">
        <f>IF((+G4296-K4296)=0,0,+G4296-K4296)</f>
        <v/>
      </c>
      <c r="O4296" s="7">
        <f>IF(N4296=0,0,(L4296+H4296)/-N4296)</f>
        <v/>
      </c>
      <c r="P4296" s="7">
        <f>VLOOKUP(OPERAC[[#This Row],[especie]],[1]!ESPECIES[#All],6,0)</f>
        <v/>
      </c>
      <c r="Q4296" s="7">
        <f>IF(N4296&lt;&gt;0,P4296*N4296,0)</f>
        <v/>
      </c>
      <c r="R4296" s="8">
        <f>IF(Q4296&lt;&gt;0,Q4296+H4296+L4296,0)</f>
        <v/>
      </c>
      <c r="S4296" s="9">
        <f>VLOOKUP(OPERAC[[#This Row],[especie]],[1]!ESPECIES[#Data],9,FALSE)</f>
        <v/>
      </c>
    </row>
    <row r="4297">
      <c r="A4297" s="4" t="n">
        <v>18705</v>
      </c>
      <c r="B4297" s="5" t="n">
        <v>44461</v>
      </c>
      <c r="C4297" s="13" t="inlineStr">
        <is>
          <t>CPR</t>
        </is>
      </c>
      <c r="D4297" s="13" t="n">
        <v>40</v>
      </c>
      <c r="E4297" s="10">
        <f>IF(D4297&gt;0,VLOOKUP(OPERAC[[#This Row],[COD CART]],[1]!MatrizCortoLargoCyl[#All],3,0),"")</f>
        <v/>
      </c>
      <c r="F4297" s="13" t="inlineStr">
        <is>
          <t>EDU</t>
        </is>
      </c>
      <c r="G4297" s="6" t="n">
        <v>1000</v>
      </c>
      <c r="H4297" s="6">
        <f>-1.0864*OPERAC[[#This Row],[cantidad]]+0.04*OPERAC[[#This Row],[cantidad]]</f>
        <v/>
      </c>
      <c r="I4297" s="7">
        <f>-H4297/G4297</f>
        <v/>
      </c>
      <c r="J4297" s="11" t="n">
        <v>44614</v>
      </c>
      <c r="K4297" s="6">
        <f>+OPERAC[[#This Row],[cantidad]]</f>
        <v/>
      </c>
      <c r="L4297" s="6">
        <f>1.483*OPERAC[[#This Row],[cantidad venta]]</f>
        <v/>
      </c>
      <c r="M4297" s="7">
        <f>IF(N4297=0,+L4297+H4297,0)</f>
        <v/>
      </c>
      <c r="N4297" s="7">
        <f>IF((+G4297-K4297)=0,0,+G4297-K4297)</f>
        <v/>
      </c>
      <c r="O4297" s="7">
        <f>IF(N4297=0,0,(L4297+H4297)/-N4297)</f>
        <v/>
      </c>
      <c r="P4297" s="7">
        <f>VLOOKUP(OPERAC[[#This Row],[especie]],[1]!ESPECIES[#All],6,0)</f>
        <v/>
      </c>
      <c r="Q4297" s="7">
        <f>IF(N4297&lt;&gt;0,P4297*N4297,0)</f>
        <v/>
      </c>
      <c r="R4297" s="8">
        <f>IF(Q4297&lt;&gt;0,Q4297+H4297+L4297,0)</f>
        <v/>
      </c>
      <c r="S4297" s="9">
        <f>VLOOKUP(OPERAC[[#This Row],[especie]],[1]!ESPECIES[#Data],9,FALSE)</f>
        <v/>
      </c>
    </row>
    <row r="4298">
      <c r="A4298" s="4" t="n">
        <v>19932</v>
      </c>
      <c r="B4298" s="5" t="n">
        <v>44461</v>
      </c>
      <c r="C4298" s="13" t="inlineStr">
        <is>
          <t>CPR</t>
        </is>
      </c>
      <c r="D4298" s="13" t="n">
        <v>40</v>
      </c>
      <c r="E4298" s="10">
        <f>IF(D4298&gt;0,VLOOKUP(OPERAC[[#This Row],[COD CART]],[1]!MatrizCortoLargoCyl[#All],3,0),"")</f>
        <v/>
      </c>
      <c r="F4298" s="13" t="inlineStr">
        <is>
          <t>EDU</t>
        </is>
      </c>
      <c r="G4298" s="6" t="n">
        <v>1000</v>
      </c>
      <c r="H4298" s="6">
        <f>-1.0864*OPERAC[[#This Row],[cantidad]]+0.04*OPERAC[[#This Row],[cantidad]]</f>
        <v/>
      </c>
      <c r="I4298" s="7">
        <f>-H4298/G4298</f>
        <v/>
      </c>
      <c r="J4298" s="11" t="n">
        <v>44629</v>
      </c>
      <c r="K4298" s="6" t="n">
        <v>1000</v>
      </c>
      <c r="L4298" s="6">
        <f>+OPERAC[[#This Row],[cantidad venta]]*1.259</f>
        <v/>
      </c>
      <c r="M4298" s="7">
        <f>IF(N4298=0,+L4298+H4298,0)</f>
        <v/>
      </c>
      <c r="N4298" s="7">
        <f>IF((+G4298-K4298)=0,0,+G4298-K4298)</f>
        <v/>
      </c>
      <c r="O4298" s="7">
        <f>IF(N4298=0,0,(L4298+H4298)/-N4298)</f>
        <v/>
      </c>
      <c r="P4298" s="7">
        <f>VLOOKUP(OPERAC[[#This Row],[especie]],[1]!ESPECIES[#All],6,0)</f>
        <v/>
      </c>
      <c r="Q4298" s="7">
        <f>IF(N4298&lt;&gt;0,P4298*N4298,0)</f>
        <v/>
      </c>
      <c r="R4298" s="8">
        <f>IF(Q4298&lt;&gt;0,Q4298+H4298+L4298,0)</f>
        <v/>
      </c>
      <c r="S4298" s="9">
        <f>VLOOKUP(OPERAC[[#This Row],[especie]],[1]!ESPECIES[#Data],9,FALSE)</f>
        <v/>
      </c>
    </row>
    <row r="4299">
      <c r="A4299" s="4" t="n">
        <v>20317</v>
      </c>
      <c r="B4299" s="5" t="n">
        <v>44461</v>
      </c>
      <c r="C4299" s="13" t="inlineStr">
        <is>
          <t>CPR</t>
        </is>
      </c>
      <c r="D4299" s="13" t="n">
        <v>40</v>
      </c>
      <c r="E4299" s="10">
        <f>IF(D4299&gt;0,VLOOKUP(OPERAC[[#This Row],[COD CART]],[1]!MatrizCortoLargoCyl[#All],3,0),"")</f>
        <v/>
      </c>
      <c r="F4299" s="13" t="inlineStr">
        <is>
          <t>EDU</t>
        </is>
      </c>
      <c r="G4299" s="6" t="n">
        <v>1000</v>
      </c>
      <c r="H4299" s="6">
        <f>-1.0864*OPERAC[[#This Row],[cantidad]]+0.04*OPERAC[[#This Row],[cantidad]]</f>
        <v/>
      </c>
      <c r="I4299" s="7">
        <f>-H4299/G4299</f>
        <v/>
      </c>
      <c r="J4299" s="11" t="n">
        <v>44614</v>
      </c>
      <c r="K4299" s="6">
        <f>+OPERAC[[#This Row],[cantidad]]</f>
        <v/>
      </c>
      <c r="L4299" s="6">
        <f>1.483*OPERAC[[#This Row],[cantidad venta]]</f>
        <v/>
      </c>
      <c r="M4299" s="7">
        <f>IF(N4299=0,+L4299+H4299,0)</f>
        <v/>
      </c>
      <c r="N4299" s="7">
        <f>IF((+G4299-K4299)=0,0,+G4299-K4299)</f>
        <v/>
      </c>
      <c r="O4299" s="7">
        <f>IF(N4299=0,0,(L4299+H4299)/-N4299)</f>
        <v/>
      </c>
      <c r="P4299" s="7">
        <f>VLOOKUP(OPERAC[[#This Row],[especie]],[1]!ESPECIES[#All],6,0)</f>
        <v/>
      </c>
      <c r="Q4299" s="7">
        <f>IF(N4299&lt;&gt;0,P4299*N4299,0)</f>
        <v/>
      </c>
      <c r="R4299" s="8">
        <f>IF(Q4299&lt;&gt;0,Q4299+H4299+L4299,0)</f>
        <v/>
      </c>
      <c r="S4299" s="9">
        <f>VLOOKUP(OPERAC[[#This Row],[especie]],[1]!ESPECIES[#Data],9,FALSE)</f>
        <v/>
      </c>
    </row>
    <row r="4300">
      <c r="A4300" s="4" t="n">
        <v>22407</v>
      </c>
      <c r="B4300" s="5" t="n">
        <v>44461</v>
      </c>
      <c r="C4300" s="13" t="inlineStr">
        <is>
          <t>CPR</t>
        </is>
      </c>
      <c r="D4300" s="13" t="n">
        <v>40</v>
      </c>
      <c r="E4300" s="10">
        <f>IF(D4300&gt;0,VLOOKUP(OPERAC[[#This Row],[COD CART]],[1]!MatrizCortoLargoCyl[#All],3,0),"")</f>
        <v/>
      </c>
      <c r="F4300" s="13" t="inlineStr">
        <is>
          <t>EDU</t>
        </is>
      </c>
      <c r="G4300" s="6" t="n">
        <v>1000</v>
      </c>
      <c r="H4300" s="6">
        <f>-1.0864*OPERAC[[#This Row],[cantidad]]+0.04*OPERAC[[#This Row],[cantidad]]</f>
        <v/>
      </c>
      <c r="I4300" s="7">
        <f>-H4300/G4300</f>
        <v/>
      </c>
      <c r="J4300" s="11" t="n">
        <v>44614</v>
      </c>
      <c r="K4300" s="6">
        <f>+OPERAC[[#This Row],[cantidad]]</f>
        <v/>
      </c>
      <c r="L4300" s="6">
        <f>1.483*OPERAC[[#This Row],[cantidad venta]]</f>
        <v/>
      </c>
      <c r="M4300" s="7">
        <f>IF(N4300=0,+L4300+H4300,0)</f>
        <v/>
      </c>
      <c r="N4300" s="7">
        <f>IF((+G4300-K4300)=0,0,+G4300-K4300)</f>
        <v/>
      </c>
      <c r="O4300" s="7">
        <f>IF(N4300=0,0,(L4300+H4300)/-N4300)</f>
        <v/>
      </c>
      <c r="P4300" s="7">
        <f>VLOOKUP(OPERAC[[#This Row],[especie]],[1]!ESPECIES[#All],6,0)</f>
        <v/>
      </c>
      <c r="Q4300" s="7">
        <f>IF(N4300&lt;&gt;0,P4300*N4300,0)</f>
        <v/>
      </c>
      <c r="R4300" s="8">
        <f>IF(Q4300&lt;&gt;0,Q4300+H4300+L4300,0)</f>
        <v/>
      </c>
      <c r="S4300" s="9">
        <f>VLOOKUP(OPERAC[[#This Row],[especie]],[1]!ESPECIES[#Data],9,FALSE)</f>
        <v/>
      </c>
    </row>
    <row r="4301">
      <c r="A4301" s="4" t="n">
        <v>25070</v>
      </c>
      <c r="B4301" s="5" t="n">
        <v>44461</v>
      </c>
      <c r="C4301" s="13" t="inlineStr">
        <is>
          <t>CPR</t>
        </is>
      </c>
      <c r="D4301" s="13" t="n">
        <v>40</v>
      </c>
      <c r="E4301" s="10">
        <f>IF(D4301&gt;0,VLOOKUP(OPERAC[[#This Row],[COD CART]],[1]!MatrizCortoLargoCyl[#All],3,0),"")</f>
        <v/>
      </c>
      <c r="F4301" s="13" t="inlineStr">
        <is>
          <t>EDU</t>
        </is>
      </c>
      <c r="G4301" s="6" t="n">
        <v>1000</v>
      </c>
      <c r="H4301" s="6">
        <f>-1.0864*OPERAC[[#This Row],[cantidad]]+0.04*OPERAC[[#This Row],[cantidad]]</f>
        <v/>
      </c>
      <c r="I4301" s="7">
        <f>-H4301/G4301</f>
        <v/>
      </c>
      <c r="J4301" s="11" t="n">
        <v>44622</v>
      </c>
      <c r="K4301" s="6" t="n">
        <v>1000</v>
      </c>
      <c r="L4301" s="6" t="n">
        <v>1375.726</v>
      </c>
      <c r="M4301" s="7">
        <f>IF(N4301=0,+L4301+H4301,0)</f>
        <v/>
      </c>
      <c r="N4301" s="7">
        <f>IF((+G4301-K4301)=0,0,+G4301-K4301)</f>
        <v/>
      </c>
      <c r="O4301" s="7">
        <f>IF(N4301=0,0,(L4301+H4301)/-N4301)</f>
        <v/>
      </c>
      <c r="P4301" s="7">
        <f>VLOOKUP(OPERAC[[#This Row],[especie]],[1]!ESPECIES[#All],6,0)</f>
        <v/>
      </c>
      <c r="Q4301" s="7">
        <f>IF(N4301&lt;&gt;0,P4301*N4301,0)</f>
        <v/>
      </c>
      <c r="R4301" s="8">
        <f>IF(Q4301&lt;&gt;0,Q4301+H4301+L4301,0)</f>
        <v/>
      </c>
      <c r="S4301" s="9">
        <f>VLOOKUP(OPERAC[[#This Row],[especie]],[1]!ESPECIES[#Data],9,FALSE)</f>
        <v/>
      </c>
    </row>
    <row r="4302">
      <c r="A4302" s="4" t="n">
        <v>16780</v>
      </c>
      <c r="B4302" s="5" t="n">
        <v>44712</v>
      </c>
      <c r="C4302" s="13" t="inlineStr">
        <is>
          <t>CPR</t>
        </is>
      </c>
      <c r="D4302" s="13" t="n">
        <v>32</v>
      </c>
      <c r="E4302" s="10">
        <f>IF(D4302&gt;0,VLOOKUP(OPERAC[[#This Row],[COD CART]],[1]!MatrizCortoLargoCyl[#All],3,0),"")</f>
        <v/>
      </c>
      <c r="F4302" s="13" t="inlineStr">
        <is>
          <t>DDD</t>
        </is>
      </c>
      <c r="G4302" s="6" t="n">
        <v>100</v>
      </c>
      <c r="H4302" s="6" t="n">
        <v>-1047.18</v>
      </c>
      <c r="I4302" s="7">
        <f>-H4302/G4302</f>
        <v/>
      </c>
      <c r="J4302" s="5" t="n"/>
      <c r="K4302" s="6" t="n"/>
      <c r="L4302" s="6" t="n"/>
      <c r="M4302" s="7">
        <f>IF(N4302=0,+L4302+H4302,0)</f>
        <v/>
      </c>
      <c r="N4302" s="7">
        <f>IF((+G4302-K4302)=0,0,+G4302-K4302)</f>
        <v/>
      </c>
      <c r="O4302" s="7">
        <f>IF(N4302=0,0,(L4302+H4302)/-N4302)</f>
        <v/>
      </c>
      <c r="P4302" s="7">
        <f>VLOOKUP(OPERAC[[#This Row],[especie]],[1]!ESPECIES[#All],6,0)</f>
        <v/>
      </c>
      <c r="Q4302" s="7">
        <f>IF(N4302&lt;&gt;0,P4302*N4302,0)</f>
        <v/>
      </c>
      <c r="R4302" s="8">
        <f>IF(Q4302&lt;&gt;0,Q4302+H4302+L4302,0)</f>
        <v/>
      </c>
      <c r="S4302" s="9">
        <f>VLOOKUP(OPERAC[[#This Row],[especie]],[1]!ESPECIES[#Data],9,FALSE)</f>
        <v/>
      </c>
    </row>
    <row r="4303">
      <c r="A4303" s="4" t="n">
        <v>3832</v>
      </c>
      <c r="B4303" s="5" t="n">
        <v>44616</v>
      </c>
      <c r="C4303" s="13" t="inlineStr">
        <is>
          <t>CPR</t>
        </is>
      </c>
      <c r="D4303" s="13" t="n">
        <v>32</v>
      </c>
      <c r="E4303" s="10">
        <f>IF(D4303&gt;0,VLOOKUP(OPERAC[[#This Row],[COD CART]],[1]!MatrizCortoLargoCyl[#All],3,0),"")</f>
        <v/>
      </c>
      <c r="F4303" s="13" t="inlineStr">
        <is>
          <t>PLTR/CYL/12,00/14-04-22</t>
        </is>
      </c>
      <c r="G4303" s="6" t="n">
        <v>100</v>
      </c>
      <c r="H4303" s="6" t="n">
        <v>-1047.6893</v>
      </c>
      <c r="I4303" s="7">
        <f>-H4303/G4303</f>
        <v/>
      </c>
      <c r="J4303" s="11" t="n">
        <v>44643</v>
      </c>
      <c r="K4303" s="6" t="n">
        <v>100</v>
      </c>
      <c r="L4303" s="6" t="n">
        <v>1146.72</v>
      </c>
      <c r="M4303" s="7">
        <f>IF(N4303=0,+L4303+H4303,0)</f>
        <v/>
      </c>
      <c r="N4303" s="7">
        <f>IF((+G4303-K4303)=0,0,+G4303-K4303)</f>
        <v/>
      </c>
      <c r="O4303" s="7">
        <f>IF(N4303=0,0,(L4303+H4303)/-N4303)</f>
        <v/>
      </c>
      <c r="P4303" s="7">
        <f>VLOOKUP(OPERAC[[#This Row],[especie]],[1]!ESPECIES[#All],6,0)</f>
        <v/>
      </c>
      <c r="Q4303" s="7">
        <f>IF(N4303&lt;&gt;0,P4303*N4303,0)</f>
        <v/>
      </c>
      <c r="R4303" s="8">
        <f>IF(Q4303&lt;&gt;0,Q4303+H4303+L4303,0)</f>
        <v/>
      </c>
      <c r="S4303" s="9">
        <f>VLOOKUP(OPERAC[[#This Row],[especie]],[1]!ESPECIES[#Data],9,FALSE)</f>
        <v/>
      </c>
    </row>
    <row r="4304">
      <c r="A4304" s="4" t="n">
        <v>13253</v>
      </c>
      <c r="B4304" s="5" t="n">
        <v>44610</v>
      </c>
      <c r="C4304" s="13" t="inlineStr">
        <is>
          <t>CPR</t>
        </is>
      </c>
      <c r="D4304" s="13" t="n">
        <v>41</v>
      </c>
      <c r="E4304" s="10">
        <f>IF(D4304&gt;0,VLOOKUP(OPERAC[[#This Row],[COD CART]],[1]!MatrizCortoLargoCyl[#All],3,0),"")</f>
        <v/>
      </c>
      <c r="F4304" s="13" t="inlineStr">
        <is>
          <t>FB</t>
        </is>
      </c>
      <c r="G4304" s="6" t="n">
        <v>5</v>
      </c>
      <c r="H4304" s="6" t="n">
        <v>-1048.8664</v>
      </c>
      <c r="I4304" s="7">
        <f>-H4304/G4304</f>
        <v/>
      </c>
      <c r="J4304" s="11" t="n">
        <v>44680</v>
      </c>
      <c r="K4304" s="6" t="n">
        <v>5</v>
      </c>
      <c r="L4304" s="6" t="n">
        <v>1046.677</v>
      </c>
      <c r="M4304" s="7">
        <f>IF(N4304=0,+L4304+H4304,0)</f>
        <v/>
      </c>
      <c r="N4304" s="7">
        <f>IF((+G4304-K4304)=0,0,+G4304-K4304)</f>
        <v/>
      </c>
      <c r="O4304" s="7">
        <f>IF(N4304=0,0,(L4304+H4304)/-N4304)</f>
        <v/>
      </c>
      <c r="P4304" s="7">
        <f>VLOOKUP(OPERAC[[#This Row],[especie]],[1]!ESPECIES[#All],6,0)</f>
        <v/>
      </c>
      <c r="Q4304" s="7">
        <f>IF(N4304&lt;&gt;0,P4304*N4304,0)</f>
        <v/>
      </c>
      <c r="R4304" s="8">
        <f>IF(Q4304&lt;&gt;0,Q4304+H4304+L4304,0)</f>
        <v/>
      </c>
      <c r="S4304" s="9">
        <f>VLOOKUP(OPERAC[[#This Row],[especie]],[1]!ESPECIES[#Data],9,FALSE)</f>
        <v/>
      </c>
    </row>
    <row r="4305">
      <c r="A4305" s="4" t="n">
        <v>9195</v>
      </c>
      <c r="B4305" s="5" t="n">
        <v>44616</v>
      </c>
      <c r="C4305" s="13" t="inlineStr">
        <is>
          <t>CPR</t>
        </is>
      </c>
      <c r="D4305" s="13" t="n">
        <v>32</v>
      </c>
      <c r="E4305" s="10">
        <f>IF(D4305&gt;0,VLOOKUP(OPERAC[[#This Row],[COD CART]],[1]!MatrizCortoLargoCyl[#All],3,0),"")</f>
        <v/>
      </c>
      <c r="F4305" s="13" t="inlineStr">
        <is>
          <t>PLTR/CYL/12,00/14-04-22</t>
        </is>
      </c>
      <c r="G4305" s="6" t="n">
        <v>100</v>
      </c>
      <c r="H4305" s="6" t="n">
        <v>-1051.4672</v>
      </c>
      <c r="I4305" s="7">
        <f>-H4305/G4305</f>
        <v/>
      </c>
      <c r="J4305" s="11" t="n">
        <v>44643</v>
      </c>
      <c r="K4305" s="6" t="n">
        <v>100</v>
      </c>
      <c r="L4305" s="6" t="n">
        <v>1146.72</v>
      </c>
      <c r="M4305" s="7">
        <f>IF(N4305=0,+L4305+H4305,0)</f>
        <v/>
      </c>
      <c r="N4305" s="7">
        <f>IF((+G4305-K4305)=0,0,+G4305-K4305)</f>
        <v/>
      </c>
      <c r="O4305" s="7">
        <f>IF(N4305=0,0,(L4305+H4305)/-N4305)</f>
        <v/>
      </c>
      <c r="P4305" s="7">
        <f>VLOOKUP(OPERAC[[#This Row],[especie]],[1]!ESPECIES[#All],6,0)</f>
        <v/>
      </c>
      <c r="Q4305" s="7">
        <f>IF(N4305&lt;&gt;0,P4305*N4305,0)</f>
        <v/>
      </c>
      <c r="R4305" s="8">
        <f>IF(Q4305&lt;&gt;0,Q4305+H4305+L4305,0)</f>
        <v/>
      </c>
      <c r="S4305" s="9">
        <f>VLOOKUP(OPERAC[[#This Row],[especie]],[1]!ESPECIES[#Data],9,FALSE)</f>
        <v/>
      </c>
    </row>
    <row r="4306">
      <c r="A4306" s="4" t="n">
        <v>1800</v>
      </c>
      <c r="B4306" s="5" t="n">
        <v>44616</v>
      </c>
      <c r="C4306" s="13" t="inlineStr">
        <is>
          <t>CPR</t>
        </is>
      </c>
      <c r="D4306" s="13" t="n">
        <v>32</v>
      </c>
      <c r="E4306" s="10">
        <f>IF(D4306&gt;0,VLOOKUP(OPERAC[[#This Row],[COD CART]],[1]!MatrizCortoLargoCyl[#All],3,0),"")</f>
        <v/>
      </c>
      <c r="F4306" s="13" t="inlineStr">
        <is>
          <t>PLTR/CYL/12,00/14-04-22</t>
        </is>
      </c>
      <c r="G4306" s="6" t="n">
        <v>100</v>
      </c>
      <c r="H4306" s="6" t="n">
        <v>-1052.7265</v>
      </c>
      <c r="I4306" s="7">
        <f>-H4306/G4306</f>
        <v/>
      </c>
      <c r="J4306" s="11" t="n">
        <v>44643</v>
      </c>
      <c r="K4306" s="6" t="n">
        <v>100</v>
      </c>
      <c r="L4306" s="6" t="n">
        <v>1146.72</v>
      </c>
      <c r="M4306" s="7">
        <f>IF(N4306=0,+L4306+H4306,0)</f>
        <v/>
      </c>
      <c r="N4306" s="7">
        <f>IF((+G4306-K4306)=0,0,+G4306-K4306)</f>
        <v/>
      </c>
      <c r="O4306" s="7">
        <f>IF(N4306=0,0,(L4306+H4306)/-N4306)</f>
        <v/>
      </c>
      <c r="P4306" s="7">
        <f>VLOOKUP(OPERAC[[#This Row],[especie]],[1]!ESPECIES[#All],6,0)</f>
        <v/>
      </c>
      <c r="Q4306" s="7">
        <f>IF(N4306&lt;&gt;0,P4306*N4306,0)</f>
        <v/>
      </c>
      <c r="R4306" s="8">
        <f>IF(Q4306&lt;&gt;0,Q4306+H4306+L4306,0)</f>
        <v/>
      </c>
      <c r="S4306" s="9">
        <f>VLOOKUP(OPERAC[[#This Row],[especie]],[1]!ESPECIES[#Data],9,FALSE)</f>
        <v/>
      </c>
    </row>
    <row r="4307">
      <c r="A4307" s="4" t="n">
        <v>2203</v>
      </c>
      <c r="B4307" s="5" t="n">
        <v>44616</v>
      </c>
      <c r="C4307" s="13" t="inlineStr">
        <is>
          <t>CPR</t>
        </is>
      </c>
      <c r="D4307" s="13" t="n">
        <v>32</v>
      </c>
      <c r="E4307" s="10">
        <f>IF(D4307&gt;0,VLOOKUP(OPERAC[[#This Row],[COD CART]],[1]!MatrizCortoLargoCyl[#All],3,0),"")</f>
        <v/>
      </c>
      <c r="F4307" s="13" t="inlineStr">
        <is>
          <t>PLTR/CYL/12,00/14-04-22</t>
        </is>
      </c>
      <c r="G4307" s="6" t="n">
        <v>100</v>
      </c>
      <c r="H4307" s="6" t="n">
        <v>-1052.7265</v>
      </c>
      <c r="I4307" s="7">
        <f>-H4307/G4307</f>
        <v/>
      </c>
      <c r="J4307" s="11" t="n">
        <v>44643</v>
      </c>
      <c r="K4307" s="6" t="n">
        <v>100</v>
      </c>
      <c r="L4307" s="6" t="n">
        <v>1146.72</v>
      </c>
      <c r="M4307" s="7">
        <f>IF(N4307=0,+L4307+H4307,0)</f>
        <v/>
      </c>
      <c r="N4307" s="7">
        <f>IF((+G4307-K4307)=0,0,+G4307-K4307)</f>
        <v/>
      </c>
      <c r="O4307" s="7">
        <f>IF(N4307=0,0,(L4307+H4307)/-N4307)</f>
        <v/>
      </c>
      <c r="P4307" s="7">
        <f>VLOOKUP(OPERAC[[#This Row],[especie]],[1]!ESPECIES[#All],6,0)</f>
        <v/>
      </c>
      <c r="Q4307" s="7">
        <f>IF(N4307&lt;&gt;0,P4307*N4307,0)</f>
        <v/>
      </c>
      <c r="R4307" s="8">
        <f>IF(Q4307&lt;&gt;0,Q4307+H4307+L4307,0)</f>
        <v/>
      </c>
      <c r="S4307" s="9">
        <f>VLOOKUP(OPERAC[[#This Row],[especie]],[1]!ESPECIES[#Data],9,FALSE)</f>
        <v/>
      </c>
    </row>
    <row r="4308">
      <c r="A4308" s="4" t="n">
        <v>2253</v>
      </c>
      <c r="B4308" s="5" t="n">
        <v>44616</v>
      </c>
      <c r="C4308" s="13" t="inlineStr">
        <is>
          <t>CPR</t>
        </is>
      </c>
      <c r="D4308" s="13" t="n">
        <v>32</v>
      </c>
      <c r="E4308" s="10">
        <f>IF(D4308&gt;0,VLOOKUP(OPERAC[[#This Row],[COD CART]],[1]!MatrizCortoLargoCyl[#All],3,0),"")</f>
        <v/>
      </c>
      <c r="F4308" s="13" t="inlineStr">
        <is>
          <t>PLTR/CYL/12,00/14-04-22</t>
        </is>
      </c>
      <c r="G4308" s="6" t="n">
        <v>100</v>
      </c>
      <c r="H4308" s="6" t="n">
        <v>-1052.7265</v>
      </c>
      <c r="I4308" s="7">
        <f>-H4308/G4308</f>
        <v/>
      </c>
      <c r="J4308" s="11" t="n">
        <v>44643</v>
      </c>
      <c r="K4308" s="6" t="n">
        <v>100</v>
      </c>
      <c r="L4308" s="6" t="n">
        <v>1146.72</v>
      </c>
      <c r="M4308" s="7">
        <f>IF(N4308=0,+L4308+H4308,0)</f>
        <v/>
      </c>
      <c r="N4308" s="7">
        <f>IF((+G4308-K4308)=0,0,+G4308-K4308)</f>
        <v/>
      </c>
      <c r="O4308" s="7">
        <f>IF(N4308=0,0,(L4308+H4308)/-N4308)</f>
        <v/>
      </c>
      <c r="P4308" s="7">
        <f>VLOOKUP(OPERAC[[#This Row],[especie]],[1]!ESPECIES[#All],6,0)</f>
        <v/>
      </c>
      <c r="Q4308" s="7">
        <f>IF(N4308&lt;&gt;0,P4308*N4308,0)</f>
        <v/>
      </c>
      <c r="R4308" s="8">
        <f>IF(Q4308&lt;&gt;0,Q4308+H4308+L4308,0)</f>
        <v/>
      </c>
      <c r="S4308" s="9">
        <f>VLOOKUP(OPERAC[[#This Row],[especie]],[1]!ESPECIES[#Data],9,FALSE)</f>
        <v/>
      </c>
    </row>
    <row r="4309">
      <c r="A4309" s="4" t="n">
        <v>2279</v>
      </c>
      <c r="B4309" s="5" t="n">
        <v>44616</v>
      </c>
      <c r="C4309" s="13" t="inlineStr">
        <is>
          <t>CPR</t>
        </is>
      </c>
      <c r="D4309" s="13" t="n">
        <v>32</v>
      </c>
      <c r="E4309" s="10">
        <f>IF(D4309&gt;0,VLOOKUP(OPERAC[[#This Row],[COD CART]],[1]!MatrizCortoLargoCyl[#All],3,0),"")</f>
        <v/>
      </c>
      <c r="F4309" s="13" t="inlineStr">
        <is>
          <t>PLTR/CYL/12,00/14-04-22</t>
        </is>
      </c>
      <c r="G4309" s="6" t="n">
        <v>100</v>
      </c>
      <c r="H4309" s="6" t="n">
        <v>-1052.7265</v>
      </c>
      <c r="I4309" s="7">
        <f>-H4309/G4309</f>
        <v/>
      </c>
      <c r="J4309" s="11" t="n">
        <v>44643</v>
      </c>
      <c r="K4309" s="6" t="n">
        <v>100</v>
      </c>
      <c r="L4309" s="6" t="n">
        <v>1146.72</v>
      </c>
      <c r="M4309" s="7">
        <f>IF(N4309=0,+L4309+H4309,0)</f>
        <v/>
      </c>
      <c r="N4309" s="7">
        <f>IF((+G4309-K4309)=0,0,+G4309-K4309)</f>
        <v/>
      </c>
      <c r="O4309" s="7">
        <f>IF(N4309=0,0,(L4309+H4309)/-N4309)</f>
        <v/>
      </c>
      <c r="P4309" s="7">
        <f>VLOOKUP(OPERAC[[#This Row],[especie]],[1]!ESPECIES[#All],6,0)</f>
        <v/>
      </c>
      <c r="Q4309" s="7">
        <f>IF(N4309&lt;&gt;0,P4309*N4309,0)</f>
        <v/>
      </c>
      <c r="R4309" s="8">
        <f>IF(Q4309&lt;&gt;0,Q4309+H4309+L4309,0)</f>
        <v/>
      </c>
      <c r="S4309" s="9">
        <f>VLOOKUP(OPERAC[[#This Row],[especie]],[1]!ESPECIES[#Data],9,FALSE)</f>
        <v/>
      </c>
    </row>
    <row r="4310">
      <c r="A4310" s="4" t="n">
        <v>2289</v>
      </c>
      <c r="B4310" s="5" t="n">
        <v>44616</v>
      </c>
      <c r="C4310" s="13" t="inlineStr">
        <is>
          <t>CPR</t>
        </is>
      </c>
      <c r="D4310" s="13" t="n">
        <v>32</v>
      </c>
      <c r="E4310" s="10">
        <f>IF(D4310&gt;0,VLOOKUP(OPERAC[[#This Row],[COD CART]],[1]!MatrizCortoLargoCyl[#All],3,0),"")</f>
        <v/>
      </c>
      <c r="F4310" s="13" t="inlineStr">
        <is>
          <t>PLTR/CYL/12,00/14-04-22</t>
        </is>
      </c>
      <c r="G4310" s="6" t="n">
        <v>100</v>
      </c>
      <c r="H4310" s="6" t="n">
        <v>-1052.7265</v>
      </c>
      <c r="I4310" s="7">
        <f>-H4310/G4310</f>
        <v/>
      </c>
      <c r="J4310" s="11" t="n">
        <v>44643</v>
      </c>
      <c r="K4310" s="6" t="n">
        <v>100</v>
      </c>
      <c r="L4310" s="6" t="n">
        <v>1146.72</v>
      </c>
      <c r="M4310" s="7">
        <f>IF(N4310=0,+L4310+H4310,0)</f>
        <v/>
      </c>
      <c r="N4310" s="7">
        <f>IF((+G4310-K4310)=0,0,+G4310-K4310)</f>
        <v/>
      </c>
      <c r="O4310" s="7">
        <f>IF(N4310=0,0,(L4310+H4310)/-N4310)</f>
        <v/>
      </c>
      <c r="P4310" s="7">
        <f>VLOOKUP(OPERAC[[#This Row],[especie]],[1]!ESPECIES[#All],6,0)</f>
        <v/>
      </c>
      <c r="Q4310" s="7">
        <f>IF(N4310&lt;&gt;0,P4310*N4310,0)</f>
        <v/>
      </c>
      <c r="R4310" s="8">
        <f>IF(Q4310&lt;&gt;0,Q4310+H4310+L4310,0)</f>
        <v/>
      </c>
      <c r="S4310" s="9">
        <f>VLOOKUP(OPERAC[[#This Row],[especie]],[1]!ESPECIES[#Data],9,FALSE)</f>
        <v/>
      </c>
    </row>
    <row r="4311">
      <c r="A4311" s="4" t="n">
        <v>3853</v>
      </c>
      <c r="B4311" s="5" t="n">
        <v>44616</v>
      </c>
      <c r="C4311" s="13" t="inlineStr">
        <is>
          <t>CPR</t>
        </is>
      </c>
      <c r="D4311" s="13" t="n">
        <v>32</v>
      </c>
      <c r="E4311" s="10">
        <f>IF(D4311&gt;0,VLOOKUP(OPERAC[[#This Row],[COD CART]],[1]!MatrizCortoLargoCyl[#All],3,0),"")</f>
        <v/>
      </c>
      <c r="F4311" s="13" t="inlineStr">
        <is>
          <t>PLTR/CYL/12,00/14-04-22</t>
        </is>
      </c>
      <c r="G4311" s="6" t="n">
        <v>100</v>
      </c>
      <c r="H4311" s="6" t="n">
        <v>-1052.7265</v>
      </c>
      <c r="I4311" s="7">
        <f>-H4311/G4311</f>
        <v/>
      </c>
      <c r="J4311" s="11" t="n">
        <v>44643</v>
      </c>
      <c r="K4311" s="6" t="n">
        <v>100</v>
      </c>
      <c r="L4311" s="6" t="n">
        <v>1146.72</v>
      </c>
      <c r="M4311" s="7">
        <f>IF(N4311=0,+L4311+H4311,0)</f>
        <v/>
      </c>
      <c r="N4311" s="7">
        <f>IF((+G4311-K4311)=0,0,+G4311-K4311)</f>
        <v/>
      </c>
      <c r="O4311" s="7">
        <f>IF(N4311=0,0,(L4311+H4311)/-N4311)</f>
        <v/>
      </c>
      <c r="P4311" s="7">
        <f>VLOOKUP(OPERAC[[#This Row],[especie]],[1]!ESPECIES[#All],6,0)</f>
        <v/>
      </c>
      <c r="Q4311" s="7">
        <f>IF(N4311&lt;&gt;0,P4311*N4311,0)</f>
        <v/>
      </c>
      <c r="R4311" s="8">
        <f>IF(Q4311&lt;&gt;0,Q4311+H4311+L4311,0)</f>
        <v/>
      </c>
      <c r="S4311" s="9">
        <f>VLOOKUP(OPERAC[[#This Row],[especie]],[1]!ESPECIES[#Data],9,FALSE)</f>
        <v/>
      </c>
    </row>
    <row r="4312">
      <c r="A4312" s="4" t="n">
        <v>6578</v>
      </c>
      <c r="B4312" s="5" t="n">
        <v>44616</v>
      </c>
      <c r="C4312" s="13" t="inlineStr">
        <is>
          <t>CPR</t>
        </is>
      </c>
      <c r="D4312" s="13" t="n">
        <v>32</v>
      </c>
      <c r="E4312" s="10">
        <f>IF(D4312&gt;0,VLOOKUP(OPERAC[[#This Row],[COD CART]],[1]!MatrizCortoLargoCyl[#All],3,0),"")</f>
        <v/>
      </c>
      <c r="F4312" s="13" t="inlineStr">
        <is>
          <t>PLTR/CYL/12,00/14-04-22</t>
        </is>
      </c>
      <c r="G4312" s="6" t="n">
        <v>100</v>
      </c>
      <c r="H4312" s="6" t="n">
        <v>-1052.7265</v>
      </c>
      <c r="I4312" s="7">
        <f>-H4312/G4312</f>
        <v/>
      </c>
      <c r="J4312" s="11" t="n">
        <v>44643</v>
      </c>
      <c r="K4312" s="6" t="n">
        <v>100</v>
      </c>
      <c r="L4312" s="6" t="n">
        <v>1146.72</v>
      </c>
      <c r="M4312" s="7">
        <f>IF(N4312=0,+L4312+H4312,0)</f>
        <v/>
      </c>
      <c r="N4312" s="7">
        <f>IF((+G4312-K4312)=0,0,+G4312-K4312)</f>
        <v/>
      </c>
      <c r="O4312" s="7">
        <f>IF(N4312=0,0,(L4312+H4312)/-N4312)</f>
        <v/>
      </c>
      <c r="P4312" s="7">
        <f>VLOOKUP(OPERAC[[#This Row],[especie]],[1]!ESPECIES[#All],6,0)</f>
        <v/>
      </c>
      <c r="Q4312" s="7">
        <f>IF(N4312&lt;&gt;0,P4312*N4312,0)</f>
        <v/>
      </c>
      <c r="R4312" s="8">
        <f>IF(Q4312&lt;&gt;0,Q4312+H4312+L4312,0)</f>
        <v/>
      </c>
      <c r="S4312" s="9">
        <f>VLOOKUP(OPERAC[[#This Row],[especie]],[1]!ESPECIES[#Data],9,FALSE)</f>
        <v/>
      </c>
    </row>
    <row r="4313">
      <c r="A4313" s="4" t="n">
        <v>7493</v>
      </c>
      <c r="B4313" s="5" t="n">
        <v>44616</v>
      </c>
      <c r="C4313" s="13" t="inlineStr">
        <is>
          <t>CPR</t>
        </is>
      </c>
      <c r="D4313" s="13" t="n">
        <v>32</v>
      </c>
      <c r="E4313" s="10">
        <f>IF(D4313&gt;0,VLOOKUP(OPERAC[[#This Row],[COD CART]],[1]!MatrizCortoLargoCyl[#All],3,0),"")</f>
        <v/>
      </c>
      <c r="F4313" s="13" t="inlineStr">
        <is>
          <t>PLTR/CYL/12,00/14-04-22</t>
        </is>
      </c>
      <c r="G4313" s="6" t="n">
        <v>100</v>
      </c>
      <c r="H4313" s="6" t="n">
        <v>-1052.7265</v>
      </c>
      <c r="I4313" s="7">
        <f>-H4313/G4313</f>
        <v/>
      </c>
      <c r="J4313" s="11" t="n">
        <v>44643</v>
      </c>
      <c r="K4313" s="6" t="n">
        <v>100</v>
      </c>
      <c r="L4313" s="6" t="n">
        <v>1146.72</v>
      </c>
      <c r="M4313" s="7">
        <f>IF(N4313=0,+L4313+H4313,0)</f>
        <v/>
      </c>
      <c r="N4313" s="7">
        <f>IF((+G4313-K4313)=0,0,+G4313-K4313)</f>
        <v/>
      </c>
      <c r="O4313" s="7">
        <f>IF(N4313=0,0,(L4313+H4313)/-N4313)</f>
        <v/>
      </c>
      <c r="P4313" s="7">
        <f>VLOOKUP(OPERAC[[#This Row],[especie]],[1]!ESPECIES[#All],6,0)</f>
        <v/>
      </c>
      <c r="Q4313" s="7">
        <f>IF(N4313&lt;&gt;0,P4313*N4313,0)</f>
        <v/>
      </c>
      <c r="R4313" s="8">
        <f>IF(Q4313&lt;&gt;0,Q4313+H4313+L4313,0)</f>
        <v/>
      </c>
      <c r="S4313" s="9">
        <f>VLOOKUP(OPERAC[[#This Row],[especie]],[1]!ESPECIES[#Data],9,FALSE)</f>
        <v/>
      </c>
    </row>
    <row r="4314">
      <c r="A4314" s="4" t="n">
        <v>7879</v>
      </c>
      <c r="B4314" s="5" t="n">
        <v>44616</v>
      </c>
      <c r="C4314" s="13" t="inlineStr">
        <is>
          <t>CPR</t>
        </is>
      </c>
      <c r="D4314" s="13" t="n">
        <v>32</v>
      </c>
      <c r="E4314" s="10">
        <f>IF(D4314&gt;0,VLOOKUP(OPERAC[[#This Row],[COD CART]],[1]!MatrizCortoLargoCyl[#All],3,0),"")</f>
        <v/>
      </c>
      <c r="F4314" s="13" t="inlineStr">
        <is>
          <t>PLTR/CYL/12,00/14-04-22</t>
        </is>
      </c>
      <c r="G4314" s="6" t="n">
        <v>100</v>
      </c>
      <c r="H4314" s="6" t="n">
        <v>-1052.7265</v>
      </c>
      <c r="I4314" s="7">
        <f>-H4314/G4314</f>
        <v/>
      </c>
      <c r="J4314" s="11" t="n">
        <v>44643</v>
      </c>
      <c r="K4314" s="6" t="n">
        <v>100</v>
      </c>
      <c r="L4314" s="6" t="n">
        <v>1146.72</v>
      </c>
      <c r="M4314" s="7">
        <f>IF(N4314=0,+L4314+H4314,0)</f>
        <v/>
      </c>
      <c r="N4314" s="7">
        <f>IF((+G4314-K4314)=0,0,+G4314-K4314)</f>
        <v/>
      </c>
      <c r="O4314" s="7">
        <f>IF(N4314=0,0,(L4314+H4314)/-N4314)</f>
        <v/>
      </c>
      <c r="P4314" s="7">
        <f>VLOOKUP(OPERAC[[#This Row],[especie]],[1]!ESPECIES[#All],6,0)</f>
        <v/>
      </c>
      <c r="Q4314" s="7">
        <f>IF(N4314&lt;&gt;0,P4314*N4314,0)</f>
        <v/>
      </c>
      <c r="R4314" s="8">
        <f>IF(Q4314&lt;&gt;0,Q4314+H4314+L4314,0)</f>
        <v/>
      </c>
      <c r="S4314" s="9">
        <f>VLOOKUP(OPERAC[[#This Row],[especie]],[1]!ESPECIES[#Data],9,FALSE)</f>
        <v/>
      </c>
    </row>
    <row r="4315">
      <c r="A4315" s="4" t="n">
        <v>12652</v>
      </c>
      <c r="B4315" s="5" t="n">
        <v>44616</v>
      </c>
      <c r="C4315" s="13" t="inlineStr">
        <is>
          <t>CPR</t>
        </is>
      </c>
      <c r="D4315" s="13" t="n">
        <v>32</v>
      </c>
      <c r="E4315" s="10">
        <f>IF(D4315&gt;0,VLOOKUP(OPERAC[[#This Row],[COD CART]],[1]!MatrizCortoLargoCyl[#All],3,0),"")</f>
        <v/>
      </c>
      <c r="F4315" s="13" t="inlineStr">
        <is>
          <t>PLTR/CYL/12,00/14-04-22</t>
        </is>
      </c>
      <c r="G4315" s="6" t="n">
        <v>100</v>
      </c>
      <c r="H4315" s="6" t="n">
        <v>-1052.7265</v>
      </c>
      <c r="I4315" s="7">
        <f>-H4315/G4315</f>
        <v/>
      </c>
      <c r="J4315" s="11" t="n">
        <v>44643</v>
      </c>
      <c r="K4315" s="6" t="n">
        <v>100</v>
      </c>
      <c r="L4315" s="6" t="n">
        <v>1146.72</v>
      </c>
      <c r="M4315" s="7">
        <f>IF(N4315=0,+L4315+H4315,0)</f>
        <v/>
      </c>
      <c r="N4315" s="7">
        <f>IF((+G4315-K4315)=0,0,+G4315-K4315)</f>
        <v/>
      </c>
      <c r="O4315" s="7">
        <f>IF(N4315=0,0,(L4315+H4315)/-N4315)</f>
        <v/>
      </c>
      <c r="P4315" s="7">
        <f>VLOOKUP(OPERAC[[#This Row],[especie]],[1]!ESPECIES[#All],6,0)</f>
        <v/>
      </c>
      <c r="Q4315" s="7">
        <f>IF(N4315&lt;&gt;0,P4315*N4315,0)</f>
        <v/>
      </c>
      <c r="R4315" s="8">
        <f>IF(Q4315&lt;&gt;0,Q4315+H4315+L4315,0)</f>
        <v/>
      </c>
      <c r="S4315" s="9">
        <f>VLOOKUP(OPERAC[[#This Row],[especie]],[1]!ESPECIES[#Data],9,FALSE)</f>
        <v/>
      </c>
    </row>
    <row r="4316">
      <c r="A4316" s="4" t="n">
        <v>12655</v>
      </c>
      <c r="B4316" s="5" t="n">
        <v>44616</v>
      </c>
      <c r="C4316" s="13" t="inlineStr">
        <is>
          <t>CPR</t>
        </is>
      </c>
      <c r="D4316" s="13" t="n">
        <v>32</v>
      </c>
      <c r="E4316" s="10">
        <f>IF(D4316&gt;0,VLOOKUP(OPERAC[[#This Row],[COD CART]],[1]!MatrizCortoLargoCyl[#All],3,0),"")</f>
        <v/>
      </c>
      <c r="F4316" s="13" t="inlineStr">
        <is>
          <t>PLTR/CYL/12,00/14-04-22</t>
        </is>
      </c>
      <c r="G4316" s="6" t="n">
        <v>100</v>
      </c>
      <c r="H4316" s="6" t="n">
        <v>-1052.7265</v>
      </c>
      <c r="I4316" s="7">
        <f>-H4316/G4316</f>
        <v/>
      </c>
      <c r="J4316" s="11" t="n">
        <v>44643</v>
      </c>
      <c r="K4316" s="6" t="n">
        <v>100</v>
      </c>
      <c r="L4316" s="6" t="n">
        <v>1146.72</v>
      </c>
      <c r="M4316" s="7">
        <f>IF(N4316=0,+L4316+H4316,0)</f>
        <v/>
      </c>
      <c r="N4316" s="7">
        <f>IF((+G4316-K4316)=0,0,+G4316-K4316)</f>
        <v/>
      </c>
      <c r="O4316" s="7">
        <f>IF(N4316=0,0,(L4316+H4316)/-N4316)</f>
        <v/>
      </c>
      <c r="P4316" s="7">
        <f>VLOOKUP(OPERAC[[#This Row],[especie]],[1]!ESPECIES[#All],6,0)</f>
        <v/>
      </c>
      <c r="Q4316" s="7">
        <f>IF(N4316&lt;&gt;0,P4316*N4316,0)</f>
        <v/>
      </c>
      <c r="R4316" s="8">
        <f>IF(Q4316&lt;&gt;0,Q4316+H4316+L4316,0)</f>
        <v/>
      </c>
      <c r="S4316" s="9">
        <f>VLOOKUP(OPERAC[[#This Row],[especie]],[1]!ESPECIES[#Data],9,FALSE)</f>
        <v/>
      </c>
    </row>
    <row r="4317">
      <c r="A4317" s="4" t="n">
        <v>12686</v>
      </c>
      <c r="B4317" s="5" t="n">
        <v>44616</v>
      </c>
      <c r="C4317" s="13" t="inlineStr">
        <is>
          <t>CPR</t>
        </is>
      </c>
      <c r="D4317" s="13" t="n">
        <v>32</v>
      </c>
      <c r="E4317" s="10">
        <f>IF(D4317&gt;0,VLOOKUP(OPERAC[[#This Row],[COD CART]],[1]!MatrizCortoLargoCyl[#All],3,0),"")</f>
        <v/>
      </c>
      <c r="F4317" s="13" t="inlineStr">
        <is>
          <t>PLTR/CYL/12,00/14-04-22</t>
        </is>
      </c>
      <c r="G4317" s="6" t="n">
        <v>100</v>
      </c>
      <c r="H4317" s="6" t="n">
        <v>-1052.7265</v>
      </c>
      <c r="I4317" s="7">
        <f>-H4317/G4317</f>
        <v/>
      </c>
      <c r="J4317" s="11" t="n">
        <v>44643</v>
      </c>
      <c r="K4317" s="6" t="n">
        <v>100</v>
      </c>
      <c r="L4317" s="6" t="n">
        <v>1146.72</v>
      </c>
      <c r="M4317" s="7">
        <f>IF(N4317=0,+L4317+H4317,0)</f>
        <v/>
      </c>
      <c r="N4317" s="7">
        <f>IF((+G4317-K4317)=0,0,+G4317-K4317)</f>
        <v/>
      </c>
      <c r="O4317" s="7">
        <f>IF(N4317=0,0,(L4317+H4317)/-N4317)</f>
        <v/>
      </c>
      <c r="P4317" s="7">
        <f>VLOOKUP(OPERAC[[#This Row],[especie]],[1]!ESPECIES[#All],6,0)</f>
        <v/>
      </c>
      <c r="Q4317" s="7">
        <f>IF(N4317&lt;&gt;0,P4317*N4317,0)</f>
        <v/>
      </c>
      <c r="R4317" s="8">
        <f>IF(Q4317&lt;&gt;0,Q4317+H4317+L4317,0)</f>
        <v/>
      </c>
      <c r="S4317" s="9">
        <f>VLOOKUP(OPERAC[[#This Row],[especie]],[1]!ESPECIES[#Data],9,FALSE)</f>
        <v/>
      </c>
    </row>
    <row r="4318">
      <c r="A4318" s="4" t="n">
        <v>13188</v>
      </c>
      <c r="B4318" s="5" t="n">
        <v>44616</v>
      </c>
      <c r="C4318" s="13" t="inlineStr">
        <is>
          <t>CPR</t>
        </is>
      </c>
      <c r="D4318" s="13" t="n">
        <v>32</v>
      </c>
      <c r="E4318" s="10">
        <f>IF(D4318&gt;0,VLOOKUP(OPERAC[[#This Row],[COD CART]],[1]!MatrizCortoLargoCyl[#All],3,0),"")</f>
        <v/>
      </c>
      <c r="F4318" s="13" t="inlineStr">
        <is>
          <t>PLTR/CYL/12,00/14-04-22</t>
        </is>
      </c>
      <c r="G4318" s="6" t="n">
        <v>100</v>
      </c>
      <c r="H4318" s="6" t="n">
        <v>-1052.7265</v>
      </c>
      <c r="I4318" s="7">
        <f>-H4318/G4318</f>
        <v/>
      </c>
      <c r="J4318" s="11" t="n">
        <v>44643</v>
      </c>
      <c r="K4318" s="6" t="n">
        <v>100</v>
      </c>
      <c r="L4318" s="6" t="n">
        <v>1146.72</v>
      </c>
      <c r="M4318" s="7">
        <f>IF(N4318=0,+L4318+H4318,0)</f>
        <v/>
      </c>
      <c r="N4318" s="7">
        <f>IF((+G4318-K4318)=0,0,+G4318-K4318)</f>
        <v/>
      </c>
      <c r="O4318" s="7">
        <f>IF(N4318=0,0,(L4318+H4318)/-N4318)</f>
        <v/>
      </c>
      <c r="P4318" s="7">
        <f>VLOOKUP(OPERAC[[#This Row],[especie]],[1]!ESPECIES[#All],6,0)</f>
        <v/>
      </c>
      <c r="Q4318" s="7">
        <f>IF(N4318&lt;&gt;0,P4318*N4318,0)</f>
        <v/>
      </c>
      <c r="R4318" s="8">
        <f>IF(Q4318&lt;&gt;0,Q4318+H4318+L4318,0)</f>
        <v/>
      </c>
      <c r="S4318" s="9">
        <f>VLOOKUP(OPERAC[[#This Row],[especie]],[1]!ESPECIES[#Data],9,FALSE)</f>
        <v/>
      </c>
    </row>
    <row r="4319">
      <c r="A4319" s="4" t="n">
        <v>13204</v>
      </c>
      <c r="B4319" s="5" t="n">
        <v>44616</v>
      </c>
      <c r="C4319" s="13" t="inlineStr">
        <is>
          <t>CPR</t>
        </is>
      </c>
      <c r="D4319" s="13" t="n">
        <v>32</v>
      </c>
      <c r="E4319" s="10">
        <f>IF(D4319&gt;0,VLOOKUP(OPERAC[[#This Row],[COD CART]],[1]!MatrizCortoLargoCyl[#All],3,0),"")</f>
        <v/>
      </c>
      <c r="F4319" s="13" t="inlineStr">
        <is>
          <t>PLTR/CYL/12,00/14-04-22</t>
        </is>
      </c>
      <c r="G4319" s="6" t="n">
        <v>100</v>
      </c>
      <c r="H4319" s="6" t="n">
        <v>-1052.7265</v>
      </c>
      <c r="I4319" s="7">
        <f>-H4319/G4319</f>
        <v/>
      </c>
      <c r="J4319" s="11" t="n">
        <v>44643</v>
      </c>
      <c r="K4319" s="6" t="n">
        <v>100</v>
      </c>
      <c r="L4319" s="6" t="n">
        <v>1146.72</v>
      </c>
      <c r="M4319" s="7">
        <f>IF(N4319=0,+L4319+H4319,0)</f>
        <v/>
      </c>
      <c r="N4319" s="7">
        <f>IF((+G4319-K4319)=0,0,+G4319-K4319)</f>
        <v/>
      </c>
      <c r="O4319" s="7">
        <f>IF(N4319=0,0,(L4319+H4319)/-N4319)</f>
        <v/>
      </c>
      <c r="P4319" s="7">
        <f>VLOOKUP(OPERAC[[#This Row],[especie]],[1]!ESPECIES[#All],6,0)</f>
        <v/>
      </c>
      <c r="Q4319" s="7">
        <f>IF(N4319&lt;&gt;0,P4319*N4319,0)</f>
        <v/>
      </c>
      <c r="R4319" s="8">
        <f>IF(Q4319&lt;&gt;0,Q4319+H4319+L4319,0)</f>
        <v/>
      </c>
      <c r="S4319" s="9">
        <f>VLOOKUP(OPERAC[[#This Row],[especie]],[1]!ESPECIES[#Data],9,FALSE)</f>
        <v/>
      </c>
    </row>
    <row r="4320">
      <c r="A4320" s="4" t="n">
        <v>13238</v>
      </c>
      <c r="B4320" s="5" t="n">
        <v>44616</v>
      </c>
      <c r="C4320" s="13" t="inlineStr">
        <is>
          <t>CPR</t>
        </is>
      </c>
      <c r="D4320" s="13" t="n">
        <v>32</v>
      </c>
      <c r="E4320" s="10">
        <f>IF(D4320&gt;0,VLOOKUP(OPERAC[[#This Row],[COD CART]],[1]!MatrizCortoLargoCyl[#All],3,0),"")</f>
        <v/>
      </c>
      <c r="F4320" s="13" t="inlineStr">
        <is>
          <t>PLTR/CYL/12,00/14-04-22</t>
        </is>
      </c>
      <c r="G4320" s="6" t="n">
        <v>100</v>
      </c>
      <c r="H4320" s="6" t="n">
        <v>-1052.7265</v>
      </c>
      <c r="I4320" s="7">
        <f>-H4320/G4320</f>
        <v/>
      </c>
      <c r="J4320" s="11" t="n">
        <v>44643</v>
      </c>
      <c r="K4320" s="6" t="n">
        <v>100</v>
      </c>
      <c r="L4320" s="6" t="n">
        <v>1146.72</v>
      </c>
      <c r="M4320" s="7">
        <f>IF(N4320=0,+L4320+H4320,0)</f>
        <v/>
      </c>
      <c r="N4320" s="7">
        <f>IF((+G4320-K4320)=0,0,+G4320-K4320)</f>
        <v/>
      </c>
      <c r="O4320" s="7">
        <f>IF(N4320=0,0,(L4320+H4320)/-N4320)</f>
        <v/>
      </c>
      <c r="P4320" s="7">
        <f>VLOOKUP(OPERAC[[#This Row],[especie]],[1]!ESPECIES[#All],6,0)</f>
        <v/>
      </c>
      <c r="Q4320" s="7">
        <f>IF(N4320&lt;&gt;0,P4320*N4320,0)</f>
        <v/>
      </c>
      <c r="R4320" s="8">
        <f>IF(Q4320&lt;&gt;0,Q4320+H4320+L4320,0)</f>
        <v/>
      </c>
      <c r="S4320" s="9">
        <f>VLOOKUP(OPERAC[[#This Row],[especie]],[1]!ESPECIES[#Data],9,FALSE)</f>
        <v/>
      </c>
    </row>
    <row r="4321">
      <c r="A4321" s="4" t="n">
        <v>15195</v>
      </c>
      <c r="B4321" s="5" t="n">
        <v>44616</v>
      </c>
      <c r="C4321" s="13" t="inlineStr">
        <is>
          <t>CPR</t>
        </is>
      </c>
      <c r="D4321" s="13" t="n">
        <v>32</v>
      </c>
      <c r="E4321" s="10">
        <f>IF(D4321&gt;0,VLOOKUP(OPERAC[[#This Row],[COD CART]],[1]!MatrizCortoLargoCyl[#All],3,0),"")</f>
        <v/>
      </c>
      <c r="F4321" s="13" t="inlineStr">
        <is>
          <t>PLTR/CYL/12,00/14-04-22</t>
        </is>
      </c>
      <c r="G4321" s="6" t="n">
        <v>100</v>
      </c>
      <c r="H4321" s="6" t="n">
        <v>-1052.7265</v>
      </c>
      <c r="I4321" s="7">
        <f>-H4321/G4321</f>
        <v/>
      </c>
      <c r="J4321" s="11" t="n">
        <v>44643</v>
      </c>
      <c r="K4321" s="6" t="n">
        <v>100</v>
      </c>
      <c r="L4321" s="6" t="n">
        <v>1146.72</v>
      </c>
      <c r="M4321" s="7">
        <f>IF(N4321=0,+L4321+H4321,0)</f>
        <v/>
      </c>
      <c r="N4321" s="7">
        <f>IF((+G4321-K4321)=0,0,+G4321-K4321)</f>
        <v/>
      </c>
      <c r="O4321" s="7">
        <f>IF(N4321=0,0,(L4321+H4321)/-N4321)</f>
        <v/>
      </c>
      <c r="P4321" s="7">
        <f>VLOOKUP(OPERAC[[#This Row],[especie]],[1]!ESPECIES[#All],6,0)</f>
        <v/>
      </c>
      <c r="Q4321" s="7">
        <f>IF(N4321&lt;&gt;0,P4321*N4321,0)</f>
        <v/>
      </c>
      <c r="R4321" s="8">
        <f>IF(Q4321&lt;&gt;0,Q4321+H4321+L4321,0)</f>
        <v/>
      </c>
      <c r="S4321" s="9">
        <f>VLOOKUP(OPERAC[[#This Row],[especie]],[1]!ESPECIES[#Data],9,FALSE)</f>
        <v/>
      </c>
    </row>
    <row r="4322">
      <c r="A4322" s="4" t="n">
        <v>16786</v>
      </c>
      <c r="B4322" s="5" t="n">
        <v>44616</v>
      </c>
      <c r="C4322" s="13" t="inlineStr">
        <is>
          <t>CPR</t>
        </is>
      </c>
      <c r="D4322" s="13" t="n">
        <v>32</v>
      </c>
      <c r="E4322" s="10">
        <f>IF(D4322&gt;0,VLOOKUP(OPERAC[[#This Row],[COD CART]],[1]!MatrizCortoLargoCyl[#All],3,0),"")</f>
        <v/>
      </c>
      <c r="F4322" s="13" t="inlineStr">
        <is>
          <t>PLTR/CYL/12,00/14-04-22</t>
        </is>
      </c>
      <c r="G4322" s="6" t="n">
        <v>100</v>
      </c>
      <c r="H4322" s="6" t="n">
        <v>-1052.7265</v>
      </c>
      <c r="I4322" s="7">
        <f>-H4322/G4322</f>
        <v/>
      </c>
      <c r="J4322" s="11" t="n">
        <v>44643</v>
      </c>
      <c r="K4322" s="6" t="n">
        <v>100</v>
      </c>
      <c r="L4322" s="6" t="n">
        <v>1146.72</v>
      </c>
      <c r="M4322" s="7">
        <f>IF(N4322=0,+L4322+H4322,0)</f>
        <v/>
      </c>
      <c r="N4322" s="7">
        <f>IF((+G4322-K4322)=0,0,+G4322-K4322)</f>
        <v/>
      </c>
      <c r="O4322" s="7">
        <f>IF(N4322=0,0,(L4322+H4322)/-N4322)</f>
        <v/>
      </c>
      <c r="P4322" s="7">
        <f>VLOOKUP(OPERAC[[#This Row],[especie]],[1]!ESPECIES[#All],6,0)</f>
        <v/>
      </c>
      <c r="Q4322" s="7">
        <f>IF(N4322&lt;&gt;0,P4322*N4322,0)</f>
        <v/>
      </c>
      <c r="R4322" s="8">
        <f>IF(Q4322&lt;&gt;0,Q4322+H4322+L4322,0)</f>
        <v/>
      </c>
      <c r="S4322" s="9">
        <f>VLOOKUP(OPERAC[[#This Row],[especie]],[1]!ESPECIES[#Data],9,FALSE)</f>
        <v/>
      </c>
    </row>
    <row r="4323">
      <c r="A4323" s="4" t="n">
        <v>18662</v>
      </c>
      <c r="B4323" s="5" t="n">
        <v>44616</v>
      </c>
      <c r="C4323" s="13" t="inlineStr">
        <is>
          <t>CPR</t>
        </is>
      </c>
      <c r="D4323" s="13" t="n">
        <v>32</v>
      </c>
      <c r="E4323" s="10">
        <f>IF(D4323&gt;0,VLOOKUP(OPERAC[[#This Row],[COD CART]],[1]!MatrizCortoLargoCyl[#All],3,0),"")</f>
        <v/>
      </c>
      <c r="F4323" s="13" t="inlineStr">
        <is>
          <t>PLTR/CYL/12,00/14-04-22</t>
        </is>
      </c>
      <c r="G4323" s="6" t="n">
        <v>100</v>
      </c>
      <c r="H4323" s="6" t="n">
        <v>-1052.7265</v>
      </c>
      <c r="I4323" s="7">
        <f>-H4323/G4323</f>
        <v/>
      </c>
      <c r="J4323" s="11" t="n">
        <v>44643</v>
      </c>
      <c r="K4323" s="6" t="n">
        <v>100</v>
      </c>
      <c r="L4323" s="6" t="n">
        <v>1146.72</v>
      </c>
      <c r="M4323" s="7">
        <f>IF(N4323=0,+L4323+H4323,0)</f>
        <v/>
      </c>
      <c r="N4323" s="7">
        <f>IF((+G4323-K4323)=0,0,+G4323-K4323)</f>
        <v/>
      </c>
      <c r="O4323" s="7">
        <f>IF(N4323=0,0,(L4323+H4323)/-N4323)</f>
        <v/>
      </c>
      <c r="P4323" s="7">
        <f>VLOOKUP(OPERAC[[#This Row],[especie]],[1]!ESPECIES[#All],6,0)</f>
        <v/>
      </c>
      <c r="Q4323" s="7">
        <f>IF(N4323&lt;&gt;0,P4323*N4323,0)</f>
        <v/>
      </c>
      <c r="R4323" s="8">
        <f>IF(Q4323&lt;&gt;0,Q4323+H4323+L4323,0)</f>
        <v/>
      </c>
      <c r="S4323" s="9">
        <f>VLOOKUP(OPERAC[[#This Row],[especie]],[1]!ESPECIES[#Data],9,FALSE)</f>
        <v/>
      </c>
    </row>
    <row r="4324">
      <c r="A4324" s="4" t="n">
        <v>18690</v>
      </c>
      <c r="B4324" s="5" t="n">
        <v>44616</v>
      </c>
      <c r="C4324" s="13" t="inlineStr">
        <is>
          <t>CPR</t>
        </is>
      </c>
      <c r="D4324" s="13" t="n">
        <v>32</v>
      </c>
      <c r="E4324" s="10">
        <f>IF(D4324&gt;0,VLOOKUP(OPERAC[[#This Row],[COD CART]],[1]!MatrizCortoLargoCyl[#All],3,0),"")</f>
        <v/>
      </c>
      <c r="F4324" s="13" t="inlineStr">
        <is>
          <t>PLTR/CYL/12,00/14-04-22</t>
        </is>
      </c>
      <c r="G4324" s="6" t="n">
        <v>100</v>
      </c>
      <c r="H4324" s="6" t="n">
        <v>-1052.7265</v>
      </c>
      <c r="I4324" s="7">
        <f>-H4324/G4324</f>
        <v/>
      </c>
      <c r="J4324" s="11" t="n">
        <v>44643</v>
      </c>
      <c r="K4324" s="6" t="n">
        <v>100</v>
      </c>
      <c r="L4324" s="6" t="n">
        <v>1146.72</v>
      </c>
      <c r="M4324" s="7">
        <f>IF(N4324=0,+L4324+H4324,0)</f>
        <v/>
      </c>
      <c r="N4324" s="7">
        <f>IF((+G4324-K4324)=0,0,+G4324-K4324)</f>
        <v/>
      </c>
      <c r="O4324" s="7">
        <f>IF(N4324=0,0,(L4324+H4324)/-N4324)</f>
        <v/>
      </c>
      <c r="P4324" s="7">
        <f>VLOOKUP(OPERAC[[#This Row],[especie]],[1]!ESPECIES[#All],6,0)</f>
        <v/>
      </c>
      <c r="Q4324" s="7">
        <f>IF(N4324&lt;&gt;0,P4324*N4324,0)</f>
        <v/>
      </c>
      <c r="R4324" s="8">
        <f>IF(Q4324&lt;&gt;0,Q4324+H4324+L4324,0)</f>
        <v/>
      </c>
      <c r="S4324" s="9">
        <f>VLOOKUP(OPERAC[[#This Row],[especie]],[1]!ESPECIES[#Data],9,FALSE)</f>
        <v/>
      </c>
    </row>
    <row r="4325">
      <c r="A4325" s="4" t="n">
        <v>18697</v>
      </c>
      <c r="B4325" s="5" t="n">
        <v>44616</v>
      </c>
      <c r="C4325" s="13" t="inlineStr">
        <is>
          <t>CPR</t>
        </is>
      </c>
      <c r="D4325" s="13" t="n">
        <v>32</v>
      </c>
      <c r="E4325" s="10">
        <f>IF(D4325&gt;0,VLOOKUP(OPERAC[[#This Row],[COD CART]],[1]!MatrizCortoLargoCyl[#All],3,0),"")</f>
        <v/>
      </c>
      <c r="F4325" s="13" t="inlineStr">
        <is>
          <t>PLTR/CYL/12,00/14-04-22</t>
        </is>
      </c>
      <c r="G4325" s="6" t="n">
        <v>100</v>
      </c>
      <c r="H4325" s="6" t="n">
        <v>-1052.7265</v>
      </c>
      <c r="I4325" s="7">
        <f>-H4325/G4325</f>
        <v/>
      </c>
      <c r="J4325" s="11" t="n">
        <v>44643</v>
      </c>
      <c r="K4325" s="6" t="n">
        <v>100</v>
      </c>
      <c r="L4325" s="6" t="n">
        <v>1146.72</v>
      </c>
      <c r="M4325" s="7">
        <f>IF(N4325=0,+L4325+H4325,0)</f>
        <v/>
      </c>
      <c r="N4325" s="7">
        <f>IF((+G4325-K4325)=0,0,+G4325-K4325)</f>
        <v/>
      </c>
      <c r="O4325" s="7">
        <f>IF(N4325=0,0,(L4325+H4325)/-N4325)</f>
        <v/>
      </c>
      <c r="P4325" s="7">
        <f>VLOOKUP(OPERAC[[#This Row],[especie]],[1]!ESPECIES[#All],6,0)</f>
        <v/>
      </c>
      <c r="Q4325" s="7">
        <f>IF(N4325&lt;&gt;0,P4325*N4325,0)</f>
        <v/>
      </c>
      <c r="R4325" s="8">
        <f>IF(Q4325&lt;&gt;0,Q4325+H4325+L4325,0)</f>
        <v/>
      </c>
      <c r="S4325" s="9">
        <f>VLOOKUP(OPERAC[[#This Row],[especie]],[1]!ESPECIES[#Data],9,FALSE)</f>
        <v/>
      </c>
    </row>
    <row r="4326">
      <c r="A4326" s="4" t="n">
        <v>18703</v>
      </c>
      <c r="B4326" s="5" t="n">
        <v>44616</v>
      </c>
      <c r="C4326" s="13" t="inlineStr">
        <is>
          <t>CPR</t>
        </is>
      </c>
      <c r="D4326" s="13" t="n">
        <v>32</v>
      </c>
      <c r="E4326" s="10">
        <f>IF(D4326&gt;0,VLOOKUP(OPERAC[[#This Row],[COD CART]],[1]!MatrizCortoLargoCyl[#All],3,0),"")</f>
        <v/>
      </c>
      <c r="F4326" s="13" t="inlineStr">
        <is>
          <t>PLTR/CYL/12,00/14-04-22</t>
        </is>
      </c>
      <c r="G4326" s="6" t="n">
        <v>100</v>
      </c>
      <c r="H4326" s="6" t="n">
        <v>-1052.7265</v>
      </c>
      <c r="I4326" s="7">
        <f>-H4326/G4326</f>
        <v/>
      </c>
      <c r="J4326" s="11" t="n">
        <v>44643</v>
      </c>
      <c r="K4326" s="6" t="n">
        <v>100</v>
      </c>
      <c r="L4326" s="6" t="n">
        <v>1146.72</v>
      </c>
      <c r="M4326" s="7">
        <f>IF(N4326=0,+L4326+H4326,0)</f>
        <v/>
      </c>
      <c r="N4326" s="7">
        <f>IF((+G4326-K4326)=0,0,+G4326-K4326)</f>
        <v/>
      </c>
      <c r="O4326" s="7">
        <f>IF(N4326=0,0,(L4326+H4326)/-N4326)</f>
        <v/>
      </c>
      <c r="P4326" s="7">
        <f>VLOOKUP(OPERAC[[#This Row],[especie]],[1]!ESPECIES[#All],6,0)</f>
        <v/>
      </c>
      <c r="Q4326" s="7">
        <f>IF(N4326&lt;&gt;0,P4326*N4326,0)</f>
        <v/>
      </c>
      <c r="R4326" s="8">
        <f>IF(Q4326&lt;&gt;0,Q4326+H4326+L4326,0)</f>
        <v/>
      </c>
      <c r="S4326" s="9">
        <f>VLOOKUP(OPERAC[[#This Row],[especie]],[1]!ESPECIES[#Data],9,FALSE)</f>
        <v/>
      </c>
    </row>
    <row r="4327">
      <c r="A4327" s="4" t="n">
        <v>18726</v>
      </c>
      <c r="B4327" s="5" t="n">
        <v>44616</v>
      </c>
      <c r="C4327" s="13" t="inlineStr">
        <is>
          <t>CPR</t>
        </is>
      </c>
      <c r="D4327" s="13" t="n">
        <v>32</v>
      </c>
      <c r="E4327" s="10">
        <f>IF(D4327&gt;0,VLOOKUP(OPERAC[[#This Row],[COD CART]],[1]!MatrizCortoLargoCyl[#All],3,0),"")</f>
        <v/>
      </c>
      <c r="F4327" s="13" t="inlineStr">
        <is>
          <t>PLTR/CYL/12,00/14-04-22</t>
        </is>
      </c>
      <c r="G4327" s="6" t="n">
        <v>100</v>
      </c>
      <c r="H4327" s="6" t="n">
        <v>-1052.7265</v>
      </c>
      <c r="I4327" s="7">
        <f>-H4327/G4327</f>
        <v/>
      </c>
      <c r="J4327" s="11" t="n">
        <v>44643</v>
      </c>
      <c r="K4327" s="6" t="n">
        <v>100</v>
      </c>
      <c r="L4327" s="6" t="n">
        <v>1146.72</v>
      </c>
      <c r="M4327" s="7">
        <f>IF(N4327=0,+L4327+H4327,0)</f>
        <v/>
      </c>
      <c r="N4327" s="7">
        <f>IF((+G4327-K4327)=0,0,+G4327-K4327)</f>
        <v/>
      </c>
      <c r="O4327" s="7">
        <f>IF(N4327=0,0,(L4327+H4327)/-N4327)</f>
        <v/>
      </c>
      <c r="P4327" s="7">
        <f>VLOOKUP(OPERAC[[#This Row],[especie]],[1]!ESPECIES[#All],6,0)</f>
        <v/>
      </c>
      <c r="Q4327" s="7">
        <f>IF(N4327&lt;&gt;0,P4327*N4327,0)</f>
        <v/>
      </c>
      <c r="R4327" s="8">
        <f>IF(Q4327&lt;&gt;0,Q4327+H4327+L4327,0)</f>
        <v/>
      </c>
      <c r="S4327" s="9">
        <f>VLOOKUP(OPERAC[[#This Row],[especie]],[1]!ESPECIES[#Data],9,FALSE)</f>
        <v/>
      </c>
    </row>
    <row r="4328">
      <c r="A4328" s="4" t="n">
        <v>19867</v>
      </c>
      <c r="B4328" s="5" t="n">
        <v>44616</v>
      </c>
      <c r="C4328" s="13" t="inlineStr">
        <is>
          <t>CPR</t>
        </is>
      </c>
      <c r="D4328" s="13" t="n">
        <v>32</v>
      </c>
      <c r="E4328" s="10">
        <f>IF(D4328&gt;0,VLOOKUP(OPERAC[[#This Row],[COD CART]],[1]!MatrizCortoLargoCyl[#All],3,0),"")</f>
        <v/>
      </c>
      <c r="F4328" s="13" t="inlineStr">
        <is>
          <t>PLTR/CYL/12,00/14-04-22</t>
        </is>
      </c>
      <c r="G4328" s="6" t="n">
        <v>100</v>
      </c>
      <c r="H4328" s="6" t="n">
        <v>-1052.7265</v>
      </c>
      <c r="I4328" s="7">
        <f>-H4328/G4328</f>
        <v/>
      </c>
      <c r="J4328" s="11" t="n">
        <v>44643</v>
      </c>
      <c r="K4328" s="6" t="n">
        <v>100</v>
      </c>
      <c r="L4328" s="6" t="n">
        <v>1146.72</v>
      </c>
      <c r="M4328" s="7">
        <f>IF(N4328=0,+L4328+H4328,0)</f>
        <v/>
      </c>
      <c r="N4328" s="7">
        <f>IF((+G4328-K4328)=0,0,+G4328-K4328)</f>
        <v/>
      </c>
      <c r="O4328" s="7">
        <f>IF(N4328=0,0,(L4328+H4328)/-N4328)</f>
        <v/>
      </c>
      <c r="P4328" s="7">
        <f>VLOOKUP(OPERAC[[#This Row],[especie]],[1]!ESPECIES[#All],6,0)</f>
        <v/>
      </c>
      <c r="Q4328" s="7">
        <f>IF(N4328&lt;&gt;0,P4328*N4328,0)</f>
        <v/>
      </c>
      <c r="R4328" s="8">
        <f>IF(Q4328&lt;&gt;0,Q4328+H4328+L4328,0)</f>
        <v/>
      </c>
      <c r="S4328" s="9">
        <f>VLOOKUP(OPERAC[[#This Row],[especie]],[1]!ESPECIES[#Data],9,FALSE)</f>
        <v/>
      </c>
    </row>
    <row r="4329">
      <c r="A4329" s="4" t="n">
        <v>19932</v>
      </c>
      <c r="B4329" s="5" t="n">
        <v>44616</v>
      </c>
      <c r="C4329" s="13" t="inlineStr">
        <is>
          <t>CPR</t>
        </is>
      </c>
      <c r="D4329" s="13" t="n">
        <v>32</v>
      </c>
      <c r="E4329" s="10">
        <f>IF(D4329&gt;0,VLOOKUP(OPERAC[[#This Row],[COD CART]],[1]!MatrizCortoLargoCyl[#All],3,0),"")</f>
        <v/>
      </c>
      <c r="F4329" s="13" t="inlineStr">
        <is>
          <t>PLTR/CYL/12,00/14-04-22</t>
        </is>
      </c>
      <c r="G4329" s="6" t="n">
        <v>100</v>
      </c>
      <c r="H4329" s="6" t="n">
        <v>-1052.7265</v>
      </c>
      <c r="I4329" s="7">
        <f>-H4329/G4329</f>
        <v/>
      </c>
      <c r="J4329" s="11" t="n">
        <v>44643</v>
      </c>
      <c r="K4329" s="6" t="n">
        <v>100</v>
      </c>
      <c r="L4329" s="6" t="n">
        <v>1146.72</v>
      </c>
      <c r="M4329" s="7">
        <f>IF(N4329=0,+L4329+H4329,0)</f>
        <v/>
      </c>
      <c r="N4329" s="7">
        <f>IF((+G4329-K4329)=0,0,+G4329-K4329)</f>
        <v/>
      </c>
      <c r="O4329" s="7">
        <f>IF(N4329=0,0,(L4329+H4329)/-N4329)</f>
        <v/>
      </c>
      <c r="P4329" s="7">
        <f>VLOOKUP(OPERAC[[#This Row],[especie]],[1]!ESPECIES[#All],6,0)</f>
        <v/>
      </c>
      <c r="Q4329" s="7">
        <f>IF(N4329&lt;&gt;0,P4329*N4329,0)</f>
        <v/>
      </c>
      <c r="R4329" s="8">
        <f>IF(Q4329&lt;&gt;0,Q4329+H4329+L4329,0)</f>
        <v/>
      </c>
      <c r="S4329" s="9">
        <f>VLOOKUP(OPERAC[[#This Row],[especie]],[1]!ESPECIES[#Data],9,FALSE)</f>
        <v/>
      </c>
    </row>
    <row r="4330">
      <c r="A4330" s="4" t="n">
        <v>22393</v>
      </c>
      <c r="B4330" s="5" t="n">
        <v>44616</v>
      </c>
      <c r="C4330" s="13" t="inlineStr">
        <is>
          <t>CPR</t>
        </is>
      </c>
      <c r="D4330" s="13" t="n">
        <v>32</v>
      </c>
      <c r="E4330" s="10">
        <f>IF(D4330&gt;0,VLOOKUP(OPERAC[[#This Row],[COD CART]],[1]!MatrizCortoLargoCyl[#All],3,0),"")</f>
        <v/>
      </c>
      <c r="F4330" s="13" t="inlineStr">
        <is>
          <t>PLTR/CYL/12,00/14-04-22</t>
        </is>
      </c>
      <c r="G4330" s="6" t="n">
        <v>100</v>
      </c>
      <c r="H4330" s="6" t="n">
        <v>-1052.7265</v>
      </c>
      <c r="I4330" s="7">
        <f>-H4330/G4330</f>
        <v/>
      </c>
      <c r="J4330" s="11" t="n">
        <v>44643</v>
      </c>
      <c r="K4330" s="6" t="n">
        <v>100</v>
      </c>
      <c r="L4330" s="6" t="n">
        <v>1146.72</v>
      </c>
      <c r="M4330" s="7">
        <f>IF(N4330=0,+L4330+H4330,0)</f>
        <v/>
      </c>
      <c r="N4330" s="7">
        <f>IF((+G4330-K4330)=0,0,+G4330-K4330)</f>
        <v/>
      </c>
      <c r="O4330" s="7">
        <f>IF(N4330=0,0,(L4330+H4330)/-N4330)</f>
        <v/>
      </c>
      <c r="P4330" s="7">
        <f>VLOOKUP(OPERAC[[#This Row],[especie]],[1]!ESPECIES[#All],6,0)</f>
        <v/>
      </c>
      <c r="Q4330" s="7">
        <f>IF(N4330&lt;&gt;0,P4330*N4330,0)</f>
        <v/>
      </c>
      <c r="R4330" s="8">
        <f>IF(Q4330&lt;&gt;0,Q4330+H4330+L4330,0)</f>
        <v/>
      </c>
      <c r="S4330" s="9">
        <f>VLOOKUP(OPERAC[[#This Row],[especie]],[1]!ESPECIES[#Data],9,FALSE)</f>
        <v/>
      </c>
    </row>
    <row r="4331">
      <c r="A4331" s="4" t="n">
        <v>22421</v>
      </c>
      <c r="B4331" s="5" t="n">
        <v>44616</v>
      </c>
      <c r="C4331" s="13" t="inlineStr">
        <is>
          <t>CPR</t>
        </is>
      </c>
      <c r="D4331" s="13" t="n">
        <v>32</v>
      </c>
      <c r="E4331" s="10">
        <f>IF(D4331&gt;0,VLOOKUP(OPERAC[[#This Row],[COD CART]],[1]!MatrizCortoLargoCyl[#All],3,0),"")</f>
        <v/>
      </c>
      <c r="F4331" s="13" t="inlineStr">
        <is>
          <t>PLTR/CYL/12,00/14-04-22</t>
        </is>
      </c>
      <c r="G4331" s="6" t="n">
        <v>100</v>
      </c>
      <c r="H4331" s="6" t="n">
        <v>-1052.7265</v>
      </c>
      <c r="I4331" s="7">
        <f>-H4331/G4331</f>
        <v/>
      </c>
      <c r="J4331" s="11" t="n">
        <v>44643</v>
      </c>
      <c r="K4331" s="6" t="n">
        <v>100</v>
      </c>
      <c r="L4331" s="6" t="n">
        <v>1146.72</v>
      </c>
      <c r="M4331" s="7">
        <f>IF(N4331=0,+L4331+H4331,0)</f>
        <v/>
      </c>
      <c r="N4331" s="7">
        <f>IF((+G4331-K4331)=0,0,+G4331-K4331)</f>
        <v/>
      </c>
      <c r="O4331" s="7">
        <f>IF(N4331=0,0,(L4331+H4331)/-N4331)</f>
        <v/>
      </c>
      <c r="P4331" s="7">
        <f>VLOOKUP(OPERAC[[#This Row],[especie]],[1]!ESPECIES[#All],6,0)</f>
        <v/>
      </c>
      <c r="Q4331" s="7">
        <f>IF(N4331&lt;&gt;0,P4331*N4331,0)</f>
        <v/>
      </c>
      <c r="R4331" s="8">
        <f>IF(Q4331&lt;&gt;0,Q4331+H4331+L4331,0)</f>
        <v/>
      </c>
      <c r="S4331" s="9">
        <f>VLOOKUP(OPERAC[[#This Row],[especie]],[1]!ESPECIES[#Data],9,FALSE)</f>
        <v/>
      </c>
    </row>
    <row r="4332">
      <c r="A4332" s="4" t="n">
        <v>22431</v>
      </c>
      <c r="B4332" s="5" t="n">
        <v>44616</v>
      </c>
      <c r="C4332" s="13" t="inlineStr">
        <is>
          <t>CPR</t>
        </is>
      </c>
      <c r="D4332" s="13" t="n">
        <v>32</v>
      </c>
      <c r="E4332" s="10">
        <f>IF(D4332&gt;0,VLOOKUP(OPERAC[[#This Row],[COD CART]],[1]!MatrizCortoLargoCyl[#All],3,0),"")</f>
        <v/>
      </c>
      <c r="F4332" s="13" t="inlineStr">
        <is>
          <t>PLTR/CYL/12,00/14-04-22</t>
        </is>
      </c>
      <c r="G4332" s="6" t="n">
        <v>100</v>
      </c>
      <c r="H4332" s="6" t="n">
        <v>-1052.7265</v>
      </c>
      <c r="I4332" s="7">
        <f>-H4332/G4332</f>
        <v/>
      </c>
      <c r="J4332" s="11" t="n">
        <v>44643</v>
      </c>
      <c r="K4332" s="6" t="n">
        <v>100</v>
      </c>
      <c r="L4332" s="6" t="n">
        <v>1146.72</v>
      </c>
      <c r="M4332" s="7">
        <f>IF(N4332=0,+L4332+H4332,0)</f>
        <v/>
      </c>
      <c r="N4332" s="7">
        <f>IF((+G4332-K4332)=0,0,+G4332-K4332)</f>
        <v/>
      </c>
      <c r="O4332" s="7">
        <f>IF(N4332=0,0,(L4332+H4332)/-N4332)</f>
        <v/>
      </c>
      <c r="P4332" s="7">
        <f>VLOOKUP(OPERAC[[#This Row],[especie]],[1]!ESPECIES[#All],6,0)</f>
        <v/>
      </c>
      <c r="Q4332" s="7">
        <f>IF(N4332&lt;&gt;0,P4332*N4332,0)</f>
        <v/>
      </c>
      <c r="R4332" s="8">
        <f>IF(Q4332&lt;&gt;0,Q4332+H4332+L4332,0)</f>
        <v/>
      </c>
      <c r="S4332" s="9">
        <f>VLOOKUP(OPERAC[[#This Row],[especie]],[1]!ESPECIES[#Data],9,FALSE)</f>
        <v/>
      </c>
    </row>
    <row r="4333">
      <c r="A4333" s="4" t="n">
        <v>2257</v>
      </c>
      <c r="B4333" s="5" t="n">
        <v>44608</v>
      </c>
      <c r="C4333" s="13" t="inlineStr">
        <is>
          <t>CPR</t>
        </is>
      </c>
      <c r="D4333" s="13" t="n">
        <v>40</v>
      </c>
      <c r="E4333" s="10">
        <f>IF(D4333&gt;0,VLOOKUP(OPERAC[[#This Row],[COD CART]],[1]!MatrizCortoLargoCyl[#All],3,0),"")</f>
        <v/>
      </c>
      <c r="F4333" s="13" t="inlineStr">
        <is>
          <t>NVDA</t>
        </is>
      </c>
      <c r="G4333" s="6" t="n">
        <v>4</v>
      </c>
      <c r="H4333" s="6" t="n">
        <v>-1054.056</v>
      </c>
      <c r="I4333" s="7">
        <f>-H4333/G4333</f>
        <v/>
      </c>
      <c r="J4333" s="11" t="n">
        <v>44616</v>
      </c>
      <c r="K4333" s="6">
        <f>+OPERAC[[#This Row],[cantidad]]</f>
        <v/>
      </c>
      <c r="L4333" s="6">
        <f>+OPERAC[[#This Row],[cantidad venta]]*224.117</f>
        <v/>
      </c>
      <c r="M4333" s="7">
        <f>IF(N4333=0,+L4333+H4333,0)</f>
        <v/>
      </c>
      <c r="N4333" s="7">
        <f>IF((+G4333-K4333)=0,0,+G4333-K4333)</f>
        <v/>
      </c>
      <c r="O4333" s="7">
        <f>IF(N4333=0,0,(L4333+H4333)/-N4333)</f>
        <v/>
      </c>
      <c r="P4333" s="7">
        <f>VLOOKUP(OPERAC[[#This Row],[especie]],[1]!ESPECIES[#All],6,0)</f>
        <v/>
      </c>
      <c r="Q4333" s="7">
        <f>IF(N4333&lt;&gt;0,P4333*N4333,0)</f>
        <v/>
      </c>
      <c r="R4333" s="8">
        <f>IF(Q4333&lt;&gt;0,Q4333+H4333+L4333,0)</f>
        <v/>
      </c>
      <c r="S4333" s="9">
        <f>VLOOKUP(OPERAC[[#This Row],[especie]],[1]!ESPECIES[#Data],9,FALSE)</f>
        <v/>
      </c>
    </row>
    <row r="4334">
      <c r="A4334" s="4" t="n">
        <v>21070</v>
      </c>
      <c r="B4334" s="5" t="n">
        <v>44720</v>
      </c>
      <c r="C4334" s="13" t="inlineStr">
        <is>
          <t>CPR</t>
        </is>
      </c>
      <c r="D4334" s="13" t="n">
        <v>42</v>
      </c>
      <c r="E4334" s="10">
        <f>IF(D4334&gt;0,VLOOKUP(OPERAC[[#This Row],[COD CART]],[1]!MatrizCortoLargoCyl[#All],3,0),"")</f>
        <v/>
      </c>
      <c r="F4334" s="13" t="inlineStr">
        <is>
          <t>HYDR</t>
        </is>
      </c>
      <c r="G4334" s="6" t="n">
        <v>70</v>
      </c>
      <c r="H4334" s="6" t="n">
        <v>-1058.925</v>
      </c>
      <c r="I4334" s="7">
        <f>-H4334/G4334</f>
        <v/>
      </c>
      <c r="J4334" s="5" t="n"/>
      <c r="K4334" s="6" t="n"/>
      <c r="L4334" s="6" t="n"/>
      <c r="M4334" s="7">
        <f>IF(N4334=0,+L4334+H4334,0)</f>
        <v/>
      </c>
      <c r="N4334" s="7">
        <f>IF((+G4334-K4334)=0,0,+G4334-K4334)</f>
        <v/>
      </c>
      <c r="O4334" s="7">
        <f>IF(N4334=0,0,(L4334+H4334)/-N4334)</f>
        <v/>
      </c>
      <c r="P4334" s="7">
        <f>VLOOKUP(OPERAC[[#This Row],[especie]],[1]!ESPECIES[#All],6,0)</f>
        <v/>
      </c>
      <c r="Q4334" s="7">
        <f>IF(N4334&lt;&gt;0,P4334*N4334,0)</f>
        <v/>
      </c>
      <c r="R4334" s="8">
        <f>IF(Q4334&lt;&gt;0,Q4334+H4334+L4334,0)</f>
        <v/>
      </c>
      <c r="S4334" s="9">
        <f>VLOOKUP(OPERAC[[#This Row],[especie]],[1]!ESPECIES[#Data],9,FALSE)</f>
        <v/>
      </c>
    </row>
    <row r="4335">
      <c r="A4335" s="4" t="n">
        <v>22407</v>
      </c>
      <c r="B4335" s="5" t="n">
        <v>44720</v>
      </c>
      <c r="C4335" s="13" t="inlineStr">
        <is>
          <t>CPR</t>
        </is>
      </c>
      <c r="D4335" s="13" t="n">
        <v>42</v>
      </c>
      <c r="E4335" s="10">
        <f>IF(D4335&gt;0,VLOOKUP(OPERAC[[#This Row],[COD CART]],[1]!MatrizCortoLargoCyl[#All],3,0),"")</f>
        <v/>
      </c>
      <c r="F4335" s="13" t="inlineStr">
        <is>
          <t>HYDR</t>
        </is>
      </c>
      <c r="G4335" s="6" t="n">
        <v>70</v>
      </c>
      <c r="H4335" s="6" t="n">
        <v>-1058.925</v>
      </c>
      <c r="I4335" s="7">
        <f>-H4335/G4335</f>
        <v/>
      </c>
      <c r="J4335" s="5" t="n"/>
      <c r="K4335" s="6" t="n"/>
      <c r="L4335" s="6" t="n"/>
      <c r="M4335" s="7">
        <f>IF(N4335=0,+L4335+H4335,0)</f>
        <v/>
      </c>
      <c r="N4335" s="7">
        <f>IF((+G4335-K4335)=0,0,+G4335-K4335)</f>
        <v/>
      </c>
      <c r="O4335" s="7">
        <f>IF(N4335=0,0,(L4335+H4335)/-N4335)</f>
        <v/>
      </c>
      <c r="P4335" s="7">
        <f>VLOOKUP(OPERAC[[#This Row],[especie]],[1]!ESPECIES[#All],6,0)</f>
        <v/>
      </c>
      <c r="Q4335" s="7">
        <f>IF(N4335&lt;&gt;0,P4335*N4335,0)</f>
        <v/>
      </c>
      <c r="R4335" s="8">
        <f>IF(Q4335&lt;&gt;0,Q4335+H4335+L4335,0)</f>
        <v/>
      </c>
      <c r="S4335" s="9">
        <f>VLOOKUP(OPERAC[[#This Row],[especie]],[1]!ESPECIES[#Data],9,FALSE)</f>
        <v/>
      </c>
    </row>
    <row r="4336">
      <c r="A4336" s="4" t="n">
        <v>22433</v>
      </c>
      <c r="B4336" s="5" t="n">
        <v>44720</v>
      </c>
      <c r="C4336" s="13" t="inlineStr">
        <is>
          <t>CPR</t>
        </is>
      </c>
      <c r="D4336" s="13" t="n">
        <v>42</v>
      </c>
      <c r="E4336" s="10">
        <f>IF(D4336&gt;0,VLOOKUP(OPERAC[[#This Row],[COD CART]],[1]!MatrizCortoLargoCyl[#All],3,0),"")</f>
        <v/>
      </c>
      <c r="F4336" s="13" t="inlineStr">
        <is>
          <t>HYDR</t>
        </is>
      </c>
      <c r="G4336" s="6" t="n">
        <v>70</v>
      </c>
      <c r="H4336" s="6" t="n">
        <v>-1058.925</v>
      </c>
      <c r="I4336" s="7">
        <f>-H4336/G4336</f>
        <v/>
      </c>
      <c r="J4336" s="5" t="n"/>
      <c r="K4336" s="6" t="n"/>
      <c r="L4336" s="6" t="n"/>
      <c r="M4336" s="7">
        <f>IF(N4336=0,+L4336+H4336,0)</f>
        <v/>
      </c>
      <c r="N4336" s="7">
        <f>IF((+G4336-K4336)=0,0,+G4336-K4336)</f>
        <v/>
      </c>
      <c r="O4336" s="7">
        <f>IF(N4336=0,0,(L4336+H4336)/-N4336)</f>
        <v/>
      </c>
      <c r="P4336" s="7">
        <f>VLOOKUP(OPERAC[[#This Row],[especie]],[1]!ESPECIES[#All],6,0)</f>
        <v/>
      </c>
      <c r="Q4336" s="7">
        <f>IF(N4336&lt;&gt;0,P4336*N4336,0)</f>
        <v/>
      </c>
      <c r="R4336" s="8">
        <f>IF(Q4336&lt;&gt;0,Q4336+H4336+L4336,0)</f>
        <v/>
      </c>
      <c r="S4336" s="9">
        <f>VLOOKUP(OPERAC[[#This Row],[especie]],[1]!ESPECIES[#Data],9,FALSE)</f>
        <v/>
      </c>
    </row>
    <row r="4337">
      <c r="A4337" s="4" t="n">
        <v>26140</v>
      </c>
      <c r="B4337" s="5" t="n">
        <v>44720</v>
      </c>
      <c r="C4337" s="13" t="inlineStr">
        <is>
          <t>CPR</t>
        </is>
      </c>
      <c r="D4337" s="13" t="n">
        <v>42</v>
      </c>
      <c r="E4337" s="10">
        <f>IF(D4337&gt;0,VLOOKUP(OPERAC[[#This Row],[COD CART]],[1]!MatrizCortoLargoCyl[#All],3,0),"")</f>
        <v/>
      </c>
      <c r="F4337" s="13" t="inlineStr">
        <is>
          <t>HYDR</t>
        </is>
      </c>
      <c r="G4337" s="6" t="n">
        <v>70</v>
      </c>
      <c r="H4337" s="6" t="n">
        <v>-1058.925</v>
      </c>
      <c r="I4337" s="7">
        <f>-H4337/G4337</f>
        <v/>
      </c>
      <c r="J4337" s="5" t="n"/>
      <c r="K4337" s="6" t="n"/>
      <c r="L4337" s="6" t="n"/>
      <c r="M4337" s="7">
        <f>IF(N4337=0,+L4337+H4337,0)</f>
        <v/>
      </c>
      <c r="N4337" s="7">
        <f>IF((+G4337-K4337)=0,0,+G4337-K4337)</f>
        <v/>
      </c>
      <c r="O4337" s="7">
        <f>IF(N4337=0,0,(L4337+H4337)/-N4337)</f>
        <v/>
      </c>
      <c r="P4337" s="7">
        <f>VLOOKUP(OPERAC[[#This Row],[especie]],[1]!ESPECIES[#All],6,0)</f>
        <v/>
      </c>
      <c r="Q4337" s="7">
        <f>IF(N4337&lt;&gt;0,P4337*N4337,0)</f>
        <v/>
      </c>
      <c r="R4337" s="8">
        <f>IF(Q4337&lt;&gt;0,Q4337+H4337+L4337,0)</f>
        <v/>
      </c>
      <c r="S4337" s="9">
        <f>VLOOKUP(OPERAC[[#This Row],[especie]],[1]!ESPECIES[#Data],9,FALSE)</f>
        <v/>
      </c>
    </row>
    <row r="4338">
      <c r="A4338" s="4" t="n">
        <v>12674</v>
      </c>
      <c r="B4338" s="5" t="n">
        <v>44641</v>
      </c>
      <c r="C4338" s="13" t="inlineStr">
        <is>
          <t>CPR</t>
        </is>
      </c>
      <c r="D4338" s="13" t="n">
        <v>42</v>
      </c>
      <c r="E4338" s="10">
        <f>IF(D4338&gt;0,VLOOKUP(OPERAC[[#This Row],[COD CART]],[1]!MatrizCortoLargoCyl[#All],3,0),"")</f>
        <v/>
      </c>
      <c r="F4338" s="13" t="inlineStr">
        <is>
          <t>FB</t>
        </is>
      </c>
      <c r="G4338" s="6" t="n">
        <v>5</v>
      </c>
      <c r="H4338" s="6" t="n">
        <v>-1060.7819</v>
      </c>
      <c r="I4338" s="7">
        <f>-H4338/G4338</f>
        <v/>
      </c>
      <c r="J4338" s="11" t="n">
        <v>44671</v>
      </c>
      <c r="K4338" s="6">
        <f>+OPERAC[[#This Row],[cantidad]]</f>
        <v/>
      </c>
      <c r="L4338" s="6">
        <f>+OPERAC[[#This Row],[cantidad venta]]*213.173</f>
        <v/>
      </c>
      <c r="M4338" s="7">
        <f>IF(N4338=0,+L4338+H4338,0)</f>
        <v/>
      </c>
      <c r="N4338" s="7">
        <f>IF((+G4338-K4338)=0,0,+G4338-K4338)</f>
        <v/>
      </c>
      <c r="O4338" s="7">
        <f>IF(N4338=0,0,(L4338+H4338)/-N4338)</f>
        <v/>
      </c>
      <c r="P4338" s="7">
        <f>VLOOKUP(OPERAC[[#This Row],[especie]],[1]!ESPECIES[#All],6,0)</f>
        <v/>
      </c>
      <c r="Q4338" s="7">
        <f>IF(N4338&lt;&gt;0,P4338*N4338,0)</f>
        <v/>
      </c>
      <c r="R4338" s="8">
        <f>IF(Q4338&lt;&gt;0,Q4338+H4338+L4338,0)</f>
        <v/>
      </c>
      <c r="S4338" s="9">
        <f>VLOOKUP(OPERAC[[#This Row],[especie]],[1]!ESPECIES[#Data],9,FALSE)</f>
        <v/>
      </c>
    </row>
    <row r="4339">
      <c r="A4339" s="4" t="n">
        <v>1760</v>
      </c>
      <c r="B4339" s="5" t="n">
        <v>44657</v>
      </c>
      <c r="C4339" s="13" t="inlineStr">
        <is>
          <t>CPR</t>
        </is>
      </c>
      <c r="D4339" s="13" t="n">
        <v>41</v>
      </c>
      <c r="E4339" s="10">
        <f>IF(D4339&gt;0,VLOOKUP(OPERAC[[#This Row],[COD CART]],[1]!MatrizCortoLargoCyl[#All],3,0),"")</f>
        <v/>
      </c>
      <c r="F4339" s="13" t="inlineStr">
        <is>
          <t>GGAL</t>
        </is>
      </c>
      <c r="G4339" s="6" t="n">
        <v>100</v>
      </c>
      <c r="H4339" s="6" t="n">
        <v>-1063.52</v>
      </c>
      <c r="I4339" s="7">
        <f>-H4339/G4339</f>
        <v/>
      </c>
      <c r="J4339" s="11" t="n"/>
      <c r="K4339" s="6" t="n"/>
      <c r="L4339" s="6" t="n"/>
      <c r="M4339" s="7">
        <f>IF(N4339=0,+L4339+H4339,0)</f>
        <v/>
      </c>
      <c r="N4339" s="7">
        <f>IF((+G4339-K4339)=0,0,+G4339-K4339)</f>
        <v/>
      </c>
      <c r="O4339" s="7">
        <f>IF(N4339=0,0,(L4339+H4339)/-N4339)</f>
        <v/>
      </c>
      <c r="P4339" s="7">
        <f>VLOOKUP(OPERAC[[#This Row],[especie]],[1]!ESPECIES[#All],6,0)</f>
        <v/>
      </c>
      <c r="Q4339" s="7">
        <f>IF(N4339&lt;&gt;0,P4339*N4339,0)</f>
        <v/>
      </c>
      <c r="R4339" s="8">
        <f>IF(Q4339&lt;&gt;0,Q4339+H4339+L4339,0)</f>
        <v/>
      </c>
      <c r="S4339" s="9">
        <f>VLOOKUP(OPERAC[[#This Row],[especie]],[1]!ESPECIES[#Data],9,FALSE)</f>
        <v/>
      </c>
    </row>
    <row r="4340">
      <c r="A4340" s="4" t="n">
        <v>12611</v>
      </c>
      <c r="B4340" s="5" t="n">
        <v>44669</v>
      </c>
      <c r="C4340" s="13" t="inlineStr">
        <is>
          <t>CPR</t>
        </is>
      </c>
      <c r="D4340" s="13" t="n">
        <v>42</v>
      </c>
      <c r="E4340" s="10">
        <f>IF(D4340&gt;0,VLOOKUP(OPERAC[[#This Row],[COD CART]],[1]!MatrizCortoLargoCyl[#All],3,0),"")</f>
        <v/>
      </c>
      <c r="F4340" s="13" t="inlineStr">
        <is>
          <t>FB</t>
        </is>
      </c>
      <c r="G4340" s="6" t="n">
        <v>5</v>
      </c>
      <c r="H4340" s="6" t="n">
        <v>-1064.623</v>
      </c>
      <c r="I4340" s="7">
        <f>-H4340/G4340</f>
        <v/>
      </c>
      <c r="J4340" s="11" t="n">
        <v>44672</v>
      </c>
      <c r="K4340" s="6" t="n">
        <v>5</v>
      </c>
      <c r="L4340" s="6" t="n">
        <v>974.496</v>
      </c>
      <c r="M4340" s="7">
        <f>IF(N4340=0,+L4340+H4340,0)</f>
        <v/>
      </c>
      <c r="N4340" s="7">
        <f>IF((+G4340-K4340)=0,0,+G4340-K4340)</f>
        <v/>
      </c>
      <c r="O4340" s="7">
        <f>IF(N4340=0,0,(L4340+H4340)/-N4340)</f>
        <v/>
      </c>
      <c r="P4340" s="7">
        <f>VLOOKUP(OPERAC[[#This Row],[especie]],[1]!ESPECIES[#All],6,0)</f>
        <v/>
      </c>
      <c r="Q4340" s="7">
        <f>IF(N4340&lt;&gt;0,P4340*N4340,0)</f>
        <v/>
      </c>
      <c r="R4340" s="8">
        <f>IF(Q4340&lt;&gt;0,Q4340+H4340+L4340,0)</f>
        <v/>
      </c>
      <c r="S4340" s="9">
        <f>VLOOKUP(OPERAC[[#This Row],[especie]],[1]!ESPECIES[#Data],9,FALSE)</f>
        <v/>
      </c>
    </row>
    <row r="4341">
      <c r="A4341" s="4" t="n">
        <v>19932</v>
      </c>
      <c r="B4341" s="5" t="n">
        <v>44544</v>
      </c>
      <c r="C4341" s="13" t="inlineStr">
        <is>
          <t>CPR</t>
        </is>
      </c>
      <c r="D4341" s="13" t="n">
        <v>32</v>
      </c>
      <c r="E4341" s="10">
        <f>IF(D4341&gt;0,VLOOKUP(OPERAC[[#This Row],[COD CART]],[1]!MatrizCortoLargoCyl[#All],3,0),"")</f>
        <v/>
      </c>
      <c r="F4341" s="13" t="inlineStr">
        <is>
          <t>HIMX/CYL/12,00/21-01-22</t>
        </is>
      </c>
      <c r="G4341" s="6" t="n">
        <v>100</v>
      </c>
      <c r="H4341" s="6" t="n">
        <v>-1064.662</v>
      </c>
      <c r="I4341" s="7">
        <f>-H4341/G4341</f>
        <v/>
      </c>
      <c r="J4341" s="11" t="n">
        <v>44575</v>
      </c>
      <c r="K4341" s="6" t="n">
        <v>100</v>
      </c>
      <c r="L4341" s="6" t="n">
        <v>1170.618</v>
      </c>
      <c r="M4341" s="7">
        <f>IF(N4341=0,+L4341+H4341,0)</f>
        <v/>
      </c>
      <c r="N4341" s="7">
        <f>IF((+G4341-K4341)=0,0,+G4341-K4341)</f>
        <v/>
      </c>
      <c r="O4341" s="7">
        <f>IF(N4341=0,0,(L4341+H4341)/-N4341)</f>
        <v/>
      </c>
      <c r="P4341" s="7">
        <f>VLOOKUP(OPERAC[[#This Row],[especie]],[1]!ESPECIES[#All],6,0)</f>
        <v/>
      </c>
      <c r="Q4341" s="7">
        <f>IF(N4341&lt;&gt;0,P4341*N4341,0)</f>
        <v/>
      </c>
      <c r="R4341" s="8">
        <f>IF(Q4341&lt;&gt;0,Q4341+H4341+L4341,0)</f>
        <v/>
      </c>
      <c r="S4341" s="9">
        <f>VLOOKUP(OPERAC[[#This Row],[especie]],[1]!ESPECIES[#Data],9,FALSE)</f>
        <v/>
      </c>
    </row>
    <row r="4342">
      <c r="A4342" s="4" t="n">
        <v>16783</v>
      </c>
      <c r="B4342" s="5" t="n">
        <v>44494</v>
      </c>
      <c r="C4342" s="13" t="inlineStr">
        <is>
          <t>CPR</t>
        </is>
      </c>
      <c r="D4342" s="13" t="n">
        <v>31</v>
      </c>
      <c r="E4342" s="10">
        <f>IF(D4342&gt;0,VLOOKUP(OPERAC[[#This Row],[COD CART]],[1]!MatrizCortoLargoCyl[#All],3,0),"")</f>
        <v/>
      </c>
      <c r="F4342" s="13" t="inlineStr">
        <is>
          <t>YPF</t>
        </is>
      </c>
      <c r="G4342" s="6" t="n">
        <v>230</v>
      </c>
      <c r="H4342" s="6" t="n">
        <v>-1068.0004</v>
      </c>
      <c r="I4342" s="7">
        <f>-H4342/G4342</f>
        <v/>
      </c>
      <c r="J4342" s="11" t="n"/>
      <c r="K4342" s="6" t="n"/>
      <c r="L4342" s="6" t="n"/>
      <c r="M4342" s="7">
        <f>IF(N4342=0,+L4342+H4342,0)</f>
        <v/>
      </c>
      <c r="N4342" s="7">
        <f>IF((+G4342-K4342)=0,0,+G4342-K4342)</f>
        <v/>
      </c>
      <c r="O4342" s="7">
        <f>IF(N4342=0,0,(L4342+H4342)/-N4342)</f>
        <v/>
      </c>
      <c r="P4342" s="7">
        <f>VLOOKUP(OPERAC[[#This Row],[especie]],[1]!ESPECIES[#All],6,0)</f>
        <v/>
      </c>
      <c r="Q4342" s="7">
        <f>IF(N4342&lt;&gt;0,P4342*N4342,0)</f>
        <v/>
      </c>
      <c r="R4342" s="8">
        <f>IF(Q4342&lt;&gt;0,Q4342+H4342+L4342,0)</f>
        <v/>
      </c>
      <c r="S4342" s="9">
        <f>VLOOKUP(OPERAC[[#This Row],[especie]],[1]!ESPECIES[#Data],9,FALSE)</f>
        <v/>
      </c>
    </row>
    <row r="4343">
      <c r="A4343" s="4" t="n">
        <v>12627</v>
      </c>
      <c r="B4343" s="5" t="n">
        <v>44643</v>
      </c>
      <c r="C4343" s="13" t="inlineStr">
        <is>
          <t>CPR</t>
        </is>
      </c>
      <c r="D4343" s="13" t="n">
        <v>42</v>
      </c>
      <c r="E4343" s="10">
        <f>IF(D4343&gt;0,VLOOKUP(OPERAC[[#This Row],[COD CART]],[1]!MatrizCortoLargoCyl[#All],3,0),"")</f>
        <v/>
      </c>
      <c r="F4343" s="13" t="inlineStr">
        <is>
          <t>SMH</t>
        </is>
      </c>
      <c r="G4343" s="6" t="n">
        <v>4</v>
      </c>
      <c r="H4343" s="6" t="n">
        <v>-1068.651592</v>
      </c>
      <c r="I4343" s="7">
        <f>-H4343/G4343</f>
        <v/>
      </c>
      <c r="J4343" s="11" t="n">
        <v>44663</v>
      </c>
      <c r="K4343" s="6">
        <f>+OPERAC[[#This Row],[cantidad]]</f>
        <v/>
      </c>
      <c r="L4343" s="6">
        <f>+OPERAC[[#This Row],[cantidad venta]]*238.066</f>
        <v/>
      </c>
      <c r="M4343" s="7">
        <f>IF(N4343=0,+L4343+H4343,0)</f>
        <v/>
      </c>
      <c r="N4343" s="7">
        <f>IF((+G4343-K4343)=0,0,+G4343-K4343)</f>
        <v/>
      </c>
      <c r="O4343" s="7">
        <f>IF(N4343=0,0,(L4343+H4343)/-N4343)</f>
        <v/>
      </c>
      <c r="P4343" s="7">
        <f>VLOOKUP(OPERAC[[#This Row],[especie]],[1]!ESPECIES[#All],6,0)</f>
        <v/>
      </c>
      <c r="Q4343" s="7">
        <f>IF(N4343&lt;&gt;0,P4343*N4343,0)</f>
        <v/>
      </c>
      <c r="R4343" s="8">
        <f>IF(Q4343&lt;&gt;0,Q4343+H4343+L4343,0)</f>
        <v/>
      </c>
      <c r="S4343" s="9">
        <f>VLOOKUP(OPERAC[[#This Row],[especie]],[1]!ESPECIES[#Data],9,FALSE)</f>
        <v/>
      </c>
    </row>
    <row r="4344">
      <c r="A4344" s="4" t="n">
        <v>15189</v>
      </c>
      <c r="B4344" s="5" t="n">
        <v>44643</v>
      </c>
      <c r="C4344" s="13" t="inlineStr">
        <is>
          <t>CPR</t>
        </is>
      </c>
      <c r="D4344" s="13" t="n">
        <v>42</v>
      </c>
      <c r="E4344" s="10">
        <f>IF(D4344&gt;0,VLOOKUP(OPERAC[[#This Row],[COD CART]],[1]!MatrizCortoLargoCyl[#All],3,0),"")</f>
        <v/>
      </c>
      <c r="F4344" s="13" t="inlineStr">
        <is>
          <t>SMH</t>
        </is>
      </c>
      <c r="G4344" s="6" t="n">
        <v>4</v>
      </c>
      <c r="H4344" s="6" t="n">
        <v>-1068.651592</v>
      </c>
      <c r="I4344" s="7">
        <f>-H4344/G4344</f>
        <v/>
      </c>
      <c r="J4344" s="11" t="n">
        <v>44663</v>
      </c>
      <c r="K4344" s="6">
        <f>+OPERAC[[#This Row],[cantidad]]</f>
        <v/>
      </c>
      <c r="L4344" s="6">
        <f>+OPERAC[[#This Row],[cantidad venta]]*238.066</f>
        <v/>
      </c>
      <c r="M4344" s="7">
        <f>IF(N4344=0,+L4344+H4344,0)</f>
        <v/>
      </c>
      <c r="N4344" s="7">
        <f>IF((+G4344-K4344)=0,0,+G4344-K4344)</f>
        <v/>
      </c>
      <c r="O4344" s="7">
        <f>IF(N4344=0,0,(L4344+H4344)/-N4344)</f>
        <v/>
      </c>
      <c r="P4344" s="7">
        <f>VLOOKUP(OPERAC[[#This Row],[especie]],[1]!ESPECIES[#All],6,0)</f>
        <v/>
      </c>
      <c r="Q4344" s="7">
        <f>IF(N4344&lt;&gt;0,P4344*N4344,0)</f>
        <v/>
      </c>
      <c r="R4344" s="8">
        <f>IF(Q4344&lt;&gt;0,Q4344+H4344+L4344,0)</f>
        <v/>
      </c>
      <c r="S4344" s="9">
        <f>VLOOKUP(OPERAC[[#This Row],[especie]],[1]!ESPECIES[#Data],9,FALSE)</f>
        <v/>
      </c>
    </row>
    <row r="4345">
      <c r="A4345" s="4" t="n">
        <v>25070</v>
      </c>
      <c r="B4345" s="5" t="n">
        <v>44643</v>
      </c>
      <c r="C4345" s="13" t="inlineStr">
        <is>
          <t>CPR</t>
        </is>
      </c>
      <c r="D4345" s="13" t="n">
        <v>42</v>
      </c>
      <c r="E4345" s="10">
        <f>IF(D4345&gt;0,VLOOKUP(OPERAC[[#This Row],[COD CART]],[1]!MatrizCortoLargoCyl[#All],3,0),"")</f>
        <v/>
      </c>
      <c r="F4345" s="13" t="inlineStr">
        <is>
          <t>SMH</t>
        </is>
      </c>
      <c r="G4345" s="6" t="n">
        <v>4</v>
      </c>
      <c r="H4345" s="6" t="n">
        <v>-1068.651592</v>
      </c>
      <c r="I4345" s="7">
        <f>-H4345/G4345</f>
        <v/>
      </c>
      <c r="J4345" s="11" t="n">
        <v>44663</v>
      </c>
      <c r="K4345" s="6">
        <f>+OPERAC[[#This Row],[cantidad]]</f>
        <v/>
      </c>
      <c r="L4345" s="6">
        <f>+OPERAC[[#This Row],[cantidad venta]]*238.066</f>
        <v/>
      </c>
      <c r="M4345" s="7">
        <f>IF(N4345=0,+L4345+H4345,0)</f>
        <v/>
      </c>
      <c r="N4345" s="7">
        <f>IF((+G4345-K4345)=0,0,+G4345-K4345)</f>
        <v/>
      </c>
      <c r="O4345" s="7">
        <f>IF(N4345=0,0,(L4345+H4345)/-N4345)</f>
        <v/>
      </c>
      <c r="P4345" s="7">
        <f>VLOOKUP(OPERAC[[#This Row],[especie]],[1]!ESPECIES[#All],6,0)</f>
        <v/>
      </c>
      <c r="Q4345" s="7">
        <f>IF(N4345&lt;&gt;0,P4345*N4345,0)</f>
        <v/>
      </c>
      <c r="R4345" s="8">
        <f>IF(Q4345&lt;&gt;0,Q4345+H4345+L4345,0)</f>
        <v/>
      </c>
      <c r="S4345" s="9">
        <f>VLOOKUP(OPERAC[[#This Row],[especie]],[1]!ESPECIES[#Data],9,FALSE)</f>
        <v/>
      </c>
    </row>
    <row r="4346">
      <c r="A4346" s="4" t="n">
        <v>12611</v>
      </c>
      <c r="B4346" s="5" t="n">
        <v>44672</v>
      </c>
      <c r="C4346" s="13" t="inlineStr">
        <is>
          <t>CPR</t>
        </is>
      </c>
      <c r="D4346" s="13" t="n">
        <v>42</v>
      </c>
      <c r="E4346" s="10">
        <f>IF(D4346&gt;0,VLOOKUP(OPERAC[[#This Row],[COD CART]],[1]!MatrizCortoLargoCyl[#All],3,0),"")</f>
        <v/>
      </c>
      <c r="F4346" s="13" t="inlineStr">
        <is>
          <t>NFLX</t>
        </is>
      </c>
      <c r="G4346" s="6" t="n">
        <v>5</v>
      </c>
      <c r="H4346" s="6" t="n">
        <v>-1071.48</v>
      </c>
      <c r="I4346" s="7">
        <f>-H4346/G4346</f>
        <v/>
      </c>
      <c r="J4346" s="11" t="n">
        <v>44693</v>
      </c>
      <c r="K4346" s="6">
        <f>+OPERAC[[#This Row],[cantidad]]</f>
        <v/>
      </c>
      <c r="L4346" s="6">
        <f>+OPERAC[[#This Row],[cantidad venta]]*169.079</f>
        <v/>
      </c>
      <c r="M4346" s="7">
        <f>IF(N4346=0,+L4346+H4346,0)</f>
        <v/>
      </c>
      <c r="N4346" s="7">
        <f>IF((+G4346-K4346)=0,0,+G4346-K4346)</f>
        <v/>
      </c>
      <c r="O4346" s="7">
        <f>IF(N4346=0,0,(L4346+H4346)/-N4346)</f>
        <v/>
      </c>
      <c r="P4346" s="7">
        <f>VLOOKUP(OPERAC[[#This Row],[especie]],[1]!ESPECIES[#All],6,0)</f>
        <v/>
      </c>
      <c r="Q4346" s="7">
        <f>IF(N4346&lt;&gt;0,P4346*N4346,0)</f>
        <v/>
      </c>
      <c r="R4346" s="8">
        <f>IF(Q4346&lt;&gt;0,Q4346+H4346+L4346,0)</f>
        <v/>
      </c>
      <c r="S4346" s="9">
        <f>VLOOKUP(OPERAC[[#This Row],[especie]],[1]!ESPECIES[#Data],9,FALSE)</f>
        <v/>
      </c>
    </row>
    <row r="4347">
      <c r="A4347" s="4" t="n">
        <v>26140</v>
      </c>
      <c r="B4347" s="5" t="n">
        <v>44708</v>
      </c>
      <c r="C4347" s="13" t="inlineStr">
        <is>
          <t>CPR</t>
        </is>
      </c>
      <c r="D4347" s="13" t="n">
        <v>32</v>
      </c>
      <c r="E4347" s="10">
        <f>IF(D4347&gt;0,VLOOKUP(OPERAC[[#This Row],[COD CART]],[1]!MatrizCortoLargoCyl[#All],3,0),"")</f>
        <v/>
      </c>
      <c r="F4347" s="13" t="inlineStr">
        <is>
          <t>AMC/CYL/11,00/03-06-22</t>
        </is>
      </c>
      <c r="G4347" s="6" t="n">
        <v>100</v>
      </c>
      <c r="H4347" s="6" t="n">
        <v>-1071.908</v>
      </c>
      <c r="I4347" s="7">
        <f>-H4347/G4347</f>
        <v/>
      </c>
      <c r="J4347" s="5" t="n">
        <v>44715</v>
      </c>
      <c r="K4347" s="6">
        <f>+OPERAC[[#This Row],[cantidad]]</f>
        <v/>
      </c>
      <c r="L4347" s="6">
        <f>+OPERAC[[#This Row],[cantidad venta]]*10.951</f>
        <v/>
      </c>
      <c r="M4347" s="7">
        <f>IF(N4347=0,+L4347+H4347,0)</f>
        <v/>
      </c>
      <c r="N4347" s="7">
        <f>IF((+G4347-K4347)=0,0,+G4347-K4347)</f>
        <v/>
      </c>
      <c r="O4347" s="7">
        <f>IF(N4347=0,0,(L4347+H4347)/-N4347)</f>
        <v/>
      </c>
      <c r="P4347" s="7">
        <f>VLOOKUP(OPERAC[[#This Row],[especie]],[1]!ESPECIES[#All],6,0)</f>
        <v/>
      </c>
      <c r="Q4347" s="7">
        <f>IF(N4347&lt;&gt;0,P4347*N4347,0)</f>
        <v/>
      </c>
      <c r="R4347" s="8">
        <f>IF(Q4347&lt;&gt;0,Q4347+H4347+L4347,0)</f>
        <v/>
      </c>
      <c r="S4347" s="9">
        <f>VLOOKUP(OPERAC[[#This Row],[especie]],[1]!ESPECIES[#Data],9,FALSE)</f>
        <v/>
      </c>
    </row>
    <row r="4348">
      <c r="A4348" s="4" t="n">
        <v>22407</v>
      </c>
      <c r="B4348" s="5" t="n">
        <v>44708</v>
      </c>
      <c r="C4348" s="13" t="inlineStr">
        <is>
          <t>CPR</t>
        </is>
      </c>
      <c r="D4348" s="13" t="n">
        <v>32</v>
      </c>
      <c r="E4348" s="10">
        <f>IF(D4348&gt;0,VLOOKUP(OPERAC[[#This Row],[COD CART]],[1]!MatrizCortoLargoCyl[#All],3,0),"")</f>
        <v/>
      </c>
      <c r="F4348" s="13" t="inlineStr">
        <is>
          <t>AMC/CYL/11,00/03-06-22</t>
        </is>
      </c>
      <c r="G4348" s="6" t="n">
        <v>100</v>
      </c>
      <c r="H4348" s="6" t="n">
        <v>-1071.908</v>
      </c>
      <c r="I4348" s="7">
        <f>-H4348/G4348</f>
        <v/>
      </c>
      <c r="J4348" s="5" t="n">
        <v>44715</v>
      </c>
      <c r="K4348" s="6">
        <f>+OPERAC[[#This Row],[cantidad]]</f>
        <v/>
      </c>
      <c r="L4348" s="6">
        <f>+OPERAC[[#This Row],[cantidad venta]]*10.951</f>
        <v/>
      </c>
      <c r="M4348" s="7">
        <f>IF(N4348=0,+L4348+H4348,0)</f>
        <v/>
      </c>
      <c r="N4348" s="7">
        <f>IF((+G4348-K4348)=0,0,+G4348-K4348)</f>
        <v/>
      </c>
      <c r="O4348" s="7">
        <f>IF(N4348=0,0,(L4348+H4348)/-N4348)</f>
        <v/>
      </c>
      <c r="P4348" s="7">
        <f>VLOOKUP(OPERAC[[#This Row],[especie]],[1]!ESPECIES[#All],6,0)</f>
        <v/>
      </c>
      <c r="Q4348" s="7">
        <f>IF(N4348&lt;&gt;0,P4348*N4348,0)</f>
        <v/>
      </c>
      <c r="R4348" s="8">
        <f>IF(Q4348&lt;&gt;0,Q4348+H4348+L4348,0)</f>
        <v/>
      </c>
      <c r="S4348" s="9">
        <f>VLOOKUP(OPERAC[[#This Row],[especie]],[1]!ESPECIES[#Data],9,FALSE)</f>
        <v/>
      </c>
    </row>
    <row r="4349">
      <c r="A4349" s="4" t="n">
        <v>21070</v>
      </c>
      <c r="B4349" s="5" t="n">
        <v>44708</v>
      </c>
      <c r="C4349" s="13" t="inlineStr">
        <is>
          <t>CPR</t>
        </is>
      </c>
      <c r="D4349" s="13" t="n">
        <v>32</v>
      </c>
      <c r="E4349" s="10">
        <f>IF(D4349&gt;0,VLOOKUP(OPERAC[[#This Row],[COD CART]],[1]!MatrizCortoLargoCyl[#All],3,0),"")</f>
        <v/>
      </c>
      <c r="F4349" s="13" t="inlineStr">
        <is>
          <t>AMC/CYL/11,00/03-06-22</t>
        </is>
      </c>
      <c r="G4349" s="6" t="n">
        <v>100</v>
      </c>
      <c r="H4349" s="6" t="n">
        <v>-1071.908</v>
      </c>
      <c r="I4349" s="7">
        <f>-H4349/G4349</f>
        <v/>
      </c>
      <c r="J4349" s="5" t="n">
        <v>44715</v>
      </c>
      <c r="K4349" s="6">
        <f>+OPERAC[[#This Row],[cantidad]]</f>
        <v/>
      </c>
      <c r="L4349" s="6">
        <f>+OPERAC[[#This Row],[cantidad venta]]*10.951</f>
        <v/>
      </c>
      <c r="M4349" s="7">
        <f>IF(N4349=0,+L4349+H4349,0)</f>
        <v/>
      </c>
      <c r="N4349" s="7">
        <f>IF((+G4349-K4349)=0,0,+G4349-K4349)</f>
        <v/>
      </c>
      <c r="O4349" s="7">
        <f>IF(N4349=0,0,(L4349+H4349)/-N4349)</f>
        <v/>
      </c>
      <c r="P4349" s="7">
        <f>VLOOKUP(OPERAC[[#This Row],[especie]],[1]!ESPECIES[#All],6,0)</f>
        <v/>
      </c>
      <c r="Q4349" s="7">
        <f>IF(N4349&lt;&gt;0,P4349*N4349,0)</f>
        <v/>
      </c>
      <c r="R4349" s="8">
        <f>IF(Q4349&lt;&gt;0,Q4349+H4349+L4349,0)</f>
        <v/>
      </c>
      <c r="S4349" s="9">
        <f>VLOOKUP(OPERAC[[#This Row],[especie]],[1]!ESPECIES[#Data],9,FALSE)</f>
        <v/>
      </c>
    </row>
    <row r="4350">
      <c r="A4350" s="4" t="n">
        <v>19934</v>
      </c>
      <c r="B4350" s="5" t="n">
        <v>44708</v>
      </c>
      <c r="C4350" s="13" t="inlineStr">
        <is>
          <t>CPR</t>
        </is>
      </c>
      <c r="D4350" s="13" t="n">
        <v>32</v>
      </c>
      <c r="E4350" s="10">
        <f>IF(D4350&gt;0,VLOOKUP(OPERAC[[#This Row],[COD CART]],[1]!MatrizCortoLargoCyl[#All],3,0),"")</f>
        <v/>
      </c>
      <c r="F4350" s="13" t="inlineStr">
        <is>
          <t>AMC/CYL/11,00/03-06-22</t>
        </is>
      </c>
      <c r="G4350" s="6" t="n">
        <v>100</v>
      </c>
      <c r="H4350" s="6" t="n">
        <v>-1071.908</v>
      </c>
      <c r="I4350" s="7">
        <f>-H4350/G4350</f>
        <v/>
      </c>
      <c r="J4350" s="5" t="n">
        <v>44715</v>
      </c>
      <c r="K4350" s="6">
        <f>+OPERAC[[#This Row],[cantidad]]</f>
        <v/>
      </c>
      <c r="L4350" s="6">
        <f>+OPERAC[[#This Row],[cantidad venta]]*10.951</f>
        <v/>
      </c>
      <c r="M4350" s="7">
        <f>IF(N4350=0,+L4350+H4350,0)</f>
        <v/>
      </c>
      <c r="N4350" s="7">
        <f>IF((+G4350-K4350)=0,0,+G4350-K4350)</f>
        <v/>
      </c>
      <c r="O4350" s="7">
        <f>IF(N4350=0,0,(L4350+H4350)/-N4350)</f>
        <v/>
      </c>
      <c r="P4350" s="7">
        <f>VLOOKUP(OPERAC[[#This Row],[especie]],[1]!ESPECIES[#All],6,0)</f>
        <v/>
      </c>
      <c r="Q4350" s="7">
        <f>IF(N4350&lt;&gt;0,P4350*N4350,0)</f>
        <v/>
      </c>
      <c r="R4350" s="8">
        <f>IF(Q4350&lt;&gt;0,Q4350+H4350+L4350,0)</f>
        <v/>
      </c>
      <c r="S4350" s="9">
        <f>VLOOKUP(OPERAC[[#This Row],[especie]],[1]!ESPECIES[#Data],9,FALSE)</f>
        <v/>
      </c>
    </row>
    <row r="4351">
      <c r="A4351" s="4" t="n">
        <v>19932</v>
      </c>
      <c r="B4351" s="5" t="n">
        <v>44708</v>
      </c>
      <c r="C4351" s="13" t="inlineStr">
        <is>
          <t>CPR</t>
        </is>
      </c>
      <c r="D4351" s="13" t="n">
        <v>32</v>
      </c>
      <c r="E4351" s="10">
        <f>IF(D4351&gt;0,VLOOKUP(OPERAC[[#This Row],[COD CART]],[1]!MatrizCortoLargoCyl[#All],3,0),"")</f>
        <v/>
      </c>
      <c r="F4351" s="13" t="inlineStr">
        <is>
          <t>AMC/CYL/11,00/03-06-22</t>
        </is>
      </c>
      <c r="G4351" s="6" t="n">
        <v>100</v>
      </c>
      <c r="H4351" s="6" t="n">
        <v>-1071.908</v>
      </c>
      <c r="I4351" s="7">
        <f>-H4351/G4351</f>
        <v/>
      </c>
      <c r="J4351" s="5" t="n">
        <v>44715</v>
      </c>
      <c r="K4351" s="6">
        <f>+OPERAC[[#This Row],[cantidad]]</f>
        <v/>
      </c>
      <c r="L4351" s="6">
        <f>+OPERAC[[#This Row],[cantidad venta]]*10.951</f>
        <v/>
      </c>
      <c r="M4351" s="7">
        <f>IF(N4351=0,+L4351+H4351,0)</f>
        <v/>
      </c>
      <c r="N4351" s="7">
        <f>IF((+G4351-K4351)=0,0,+G4351-K4351)</f>
        <v/>
      </c>
      <c r="O4351" s="7">
        <f>IF(N4351=0,0,(L4351+H4351)/-N4351)</f>
        <v/>
      </c>
      <c r="P4351" s="7">
        <f>VLOOKUP(OPERAC[[#This Row],[especie]],[1]!ESPECIES[#All],6,0)</f>
        <v/>
      </c>
      <c r="Q4351" s="7">
        <f>IF(N4351&lt;&gt;0,P4351*N4351,0)</f>
        <v/>
      </c>
      <c r="R4351" s="8">
        <f>IF(Q4351&lt;&gt;0,Q4351+H4351+L4351,0)</f>
        <v/>
      </c>
      <c r="S4351" s="9">
        <f>VLOOKUP(OPERAC[[#This Row],[especie]],[1]!ESPECIES[#Data],9,FALSE)</f>
        <v/>
      </c>
    </row>
    <row r="4352">
      <c r="A4352" s="4" t="n">
        <v>19920</v>
      </c>
      <c r="B4352" s="5" t="n">
        <v>44708</v>
      </c>
      <c r="C4352" s="13" t="inlineStr">
        <is>
          <t>CPR</t>
        </is>
      </c>
      <c r="D4352" s="13" t="n">
        <v>32</v>
      </c>
      <c r="E4352" s="10">
        <f>IF(D4352&gt;0,VLOOKUP(OPERAC[[#This Row],[COD CART]],[1]!MatrizCortoLargoCyl[#All],3,0),"")</f>
        <v/>
      </c>
      <c r="F4352" s="13" t="inlineStr">
        <is>
          <t>AMC/CYL/11,00/03-06-22</t>
        </is>
      </c>
      <c r="G4352" s="6" t="n">
        <v>100</v>
      </c>
      <c r="H4352" s="6" t="n">
        <v>-1071.908</v>
      </c>
      <c r="I4352" s="7">
        <f>-H4352/G4352</f>
        <v/>
      </c>
      <c r="J4352" s="5" t="n">
        <v>44715</v>
      </c>
      <c r="K4352" s="6">
        <f>+OPERAC[[#This Row],[cantidad]]</f>
        <v/>
      </c>
      <c r="L4352" s="6">
        <f>+OPERAC[[#This Row],[cantidad venta]]*10.951</f>
        <v/>
      </c>
      <c r="M4352" s="7">
        <f>IF(N4352=0,+L4352+H4352,0)</f>
        <v/>
      </c>
      <c r="N4352" s="7">
        <f>IF((+G4352-K4352)=0,0,+G4352-K4352)</f>
        <v/>
      </c>
      <c r="O4352" s="7">
        <f>IF(N4352=0,0,(L4352+H4352)/-N4352)</f>
        <v/>
      </c>
      <c r="P4352" s="7">
        <f>VLOOKUP(OPERAC[[#This Row],[especie]],[1]!ESPECIES[#All],6,0)</f>
        <v/>
      </c>
      <c r="Q4352" s="7">
        <f>IF(N4352&lt;&gt;0,P4352*N4352,0)</f>
        <v/>
      </c>
      <c r="R4352" s="8">
        <f>IF(Q4352&lt;&gt;0,Q4352+H4352+L4352,0)</f>
        <v/>
      </c>
      <c r="S4352" s="9">
        <f>VLOOKUP(OPERAC[[#This Row],[especie]],[1]!ESPECIES[#Data],9,FALSE)</f>
        <v/>
      </c>
    </row>
    <row r="4353">
      <c r="A4353" s="4" t="n">
        <v>19888</v>
      </c>
      <c r="B4353" s="5" t="n">
        <v>44708</v>
      </c>
      <c r="C4353" s="13" t="inlineStr">
        <is>
          <t>CPR</t>
        </is>
      </c>
      <c r="D4353" s="13" t="n">
        <v>32</v>
      </c>
      <c r="E4353" s="10">
        <f>IF(D4353&gt;0,VLOOKUP(OPERAC[[#This Row],[COD CART]],[1]!MatrizCortoLargoCyl[#All],3,0),"")</f>
        <v/>
      </c>
      <c r="F4353" s="13" t="inlineStr">
        <is>
          <t>AMC/CYL/11,00/03-06-22</t>
        </is>
      </c>
      <c r="G4353" s="6" t="n">
        <v>100</v>
      </c>
      <c r="H4353" s="6" t="n">
        <v>-1071.908</v>
      </c>
      <c r="I4353" s="7">
        <f>-H4353/G4353</f>
        <v/>
      </c>
      <c r="J4353" s="5" t="n">
        <v>44715</v>
      </c>
      <c r="K4353" s="6">
        <f>+OPERAC[[#This Row],[cantidad]]</f>
        <v/>
      </c>
      <c r="L4353" s="6">
        <f>+OPERAC[[#This Row],[cantidad venta]]*10.951</f>
        <v/>
      </c>
      <c r="M4353" s="7">
        <f>IF(N4353=0,+L4353+H4353,0)</f>
        <v/>
      </c>
      <c r="N4353" s="7">
        <f>IF((+G4353-K4353)=0,0,+G4353-K4353)</f>
        <v/>
      </c>
      <c r="O4353" s="7">
        <f>IF(N4353=0,0,(L4353+H4353)/-N4353)</f>
        <v/>
      </c>
      <c r="P4353" s="7">
        <f>VLOOKUP(OPERAC[[#This Row],[especie]],[1]!ESPECIES[#All],6,0)</f>
        <v/>
      </c>
      <c r="Q4353" s="7">
        <f>IF(N4353&lt;&gt;0,P4353*N4353,0)</f>
        <v/>
      </c>
      <c r="R4353" s="8">
        <f>IF(Q4353&lt;&gt;0,Q4353+H4353+L4353,0)</f>
        <v/>
      </c>
      <c r="S4353" s="9">
        <f>VLOOKUP(OPERAC[[#This Row],[especie]],[1]!ESPECIES[#Data],9,FALSE)</f>
        <v/>
      </c>
    </row>
    <row r="4354">
      <c r="A4354" s="4" t="n">
        <v>19878</v>
      </c>
      <c r="B4354" s="5" t="n">
        <v>44708</v>
      </c>
      <c r="C4354" s="13" t="inlineStr">
        <is>
          <t>CPR</t>
        </is>
      </c>
      <c r="D4354" s="13" t="n">
        <v>32</v>
      </c>
      <c r="E4354" s="10">
        <f>IF(D4354&gt;0,VLOOKUP(OPERAC[[#This Row],[COD CART]],[1]!MatrizCortoLargoCyl[#All],3,0),"")</f>
        <v/>
      </c>
      <c r="F4354" s="13" t="inlineStr">
        <is>
          <t>AMC/CYL/11,00/03-06-22</t>
        </is>
      </c>
      <c r="G4354" s="6" t="n">
        <v>100</v>
      </c>
      <c r="H4354" s="6" t="n">
        <v>-1071.908</v>
      </c>
      <c r="I4354" s="7">
        <f>-H4354/G4354</f>
        <v/>
      </c>
      <c r="J4354" s="5" t="n">
        <v>44715</v>
      </c>
      <c r="K4354" s="6">
        <f>+OPERAC[[#This Row],[cantidad]]</f>
        <v/>
      </c>
      <c r="L4354" s="6">
        <f>+OPERAC[[#This Row],[cantidad venta]]*10.951</f>
        <v/>
      </c>
      <c r="M4354" s="7">
        <f>IF(N4354=0,+L4354+H4354,0)</f>
        <v/>
      </c>
      <c r="N4354" s="7">
        <f>IF((+G4354-K4354)=0,0,+G4354-K4354)</f>
        <v/>
      </c>
      <c r="O4354" s="7">
        <f>IF(N4354=0,0,(L4354+H4354)/-N4354)</f>
        <v/>
      </c>
      <c r="P4354" s="7">
        <f>VLOOKUP(OPERAC[[#This Row],[especie]],[1]!ESPECIES[#All],6,0)</f>
        <v/>
      </c>
      <c r="Q4354" s="7">
        <f>IF(N4354&lt;&gt;0,P4354*N4354,0)</f>
        <v/>
      </c>
      <c r="R4354" s="8">
        <f>IF(Q4354&lt;&gt;0,Q4354+H4354+L4354,0)</f>
        <v/>
      </c>
      <c r="S4354" s="9">
        <f>VLOOKUP(OPERAC[[#This Row],[especie]],[1]!ESPECIES[#Data],9,FALSE)</f>
        <v/>
      </c>
    </row>
    <row r="4355">
      <c r="A4355" s="4" t="n">
        <v>19867</v>
      </c>
      <c r="B4355" s="5" t="n">
        <v>44708</v>
      </c>
      <c r="C4355" s="13" t="inlineStr">
        <is>
          <t>CPR</t>
        </is>
      </c>
      <c r="D4355" s="13" t="n">
        <v>32</v>
      </c>
      <c r="E4355" s="10">
        <f>IF(D4355&gt;0,VLOOKUP(OPERAC[[#This Row],[COD CART]],[1]!MatrizCortoLargoCyl[#All],3,0),"")</f>
        <v/>
      </c>
      <c r="F4355" s="13" t="inlineStr">
        <is>
          <t>AMC/CYL/11,00/03-06-22</t>
        </is>
      </c>
      <c r="G4355" s="6" t="n">
        <v>100</v>
      </c>
      <c r="H4355" s="6" t="n">
        <v>-1071.908</v>
      </c>
      <c r="I4355" s="7">
        <f>-H4355/G4355</f>
        <v/>
      </c>
      <c r="J4355" s="5" t="n">
        <v>44715</v>
      </c>
      <c r="K4355" s="6">
        <f>+OPERAC[[#This Row],[cantidad]]</f>
        <v/>
      </c>
      <c r="L4355" s="6">
        <f>+OPERAC[[#This Row],[cantidad venta]]*10.951</f>
        <v/>
      </c>
      <c r="M4355" s="7">
        <f>IF(N4355=0,+L4355+H4355,0)</f>
        <v/>
      </c>
      <c r="N4355" s="7">
        <f>IF((+G4355-K4355)=0,0,+G4355-K4355)</f>
        <v/>
      </c>
      <c r="O4355" s="7">
        <f>IF(N4355=0,0,(L4355+H4355)/-N4355)</f>
        <v/>
      </c>
      <c r="P4355" s="7">
        <f>VLOOKUP(OPERAC[[#This Row],[especie]],[1]!ESPECIES[#All],6,0)</f>
        <v/>
      </c>
      <c r="Q4355" s="7">
        <f>IF(N4355&lt;&gt;0,P4355*N4355,0)</f>
        <v/>
      </c>
      <c r="R4355" s="8">
        <f>IF(Q4355&lt;&gt;0,Q4355+H4355+L4355,0)</f>
        <v/>
      </c>
      <c r="S4355" s="9">
        <f>VLOOKUP(OPERAC[[#This Row],[especie]],[1]!ESPECIES[#Data],9,FALSE)</f>
        <v/>
      </c>
    </row>
    <row r="4356">
      <c r="A4356" s="4" t="n">
        <v>18690</v>
      </c>
      <c r="B4356" s="5" t="n">
        <v>44708</v>
      </c>
      <c r="C4356" s="13" t="inlineStr">
        <is>
          <t>CPR</t>
        </is>
      </c>
      <c r="D4356" s="13" t="n">
        <v>32</v>
      </c>
      <c r="E4356" s="10">
        <f>IF(D4356&gt;0,VLOOKUP(OPERAC[[#This Row],[COD CART]],[1]!MatrizCortoLargoCyl[#All],3,0),"")</f>
        <v/>
      </c>
      <c r="F4356" s="13" t="inlineStr">
        <is>
          <t>AMC/CYL/11,00/03-06-22</t>
        </is>
      </c>
      <c r="G4356" s="6" t="n">
        <v>100</v>
      </c>
      <c r="H4356" s="6" t="n">
        <v>-1071.908</v>
      </c>
      <c r="I4356" s="7">
        <f>-H4356/G4356</f>
        <v/>
      </c>
      <c r="J4356" s="5" t="n">
        <v>44715</v>
      </c>
      <c r="K4356" s="6">
        <f>+OPERAC[[#This Row],[cantidad]]</f>
        <v/>
      </c>
      <c r="L4356" s="6">
        <f>+OPERAC[[#This Row],[cantidad venta]]*10.951</f>
        <v/>
      </c>
      <c r="M4356" s="7">
        <f>IF(N4356=0,+L4356+H4356,0)</f>
        <v/>
      </c>
      <c r="N4356" s="7">
        <f>IF((+G4356-K4356)=0,0,+G4356-K4356)</f>
        <v/>
      </c>
      <c r="O4356" s="7">
        <f>IF(N4356=0,0,(L4356+H4356)/-N4356)</f>
        <v/>
      </c>
      <c r="P4356" s="7">
        <f>VLOOKUP(OPERAC[[#This Row],[especie]],[1]!ESPECIES[#All],6,0)</f>
        <v/>
      </c>
      <c r="Q4356" s="7">
        <f>IF(N4356&lt;&gt;0,P4356*N4356,0)</f>
        <v/>
      </c>
      <c r="R4356" s="8">
        <f>IF(Q4356&lt;&gt;0,Q4356+H4356+L4356,0)</f>
        <v/>
      </c>
      <c r="S4356" s="9">
        <f>VLOOKUP(OPERAC[[#This Row],[especie]],[1]!ESPECIES[#Data],9,FALSE)</f>
        <v/>
      </c>
    </row>
    <row r="4357">
      <c r="A4357" s="4" t="n">
        <v>18724</v>
      </c>
      <c r="B4357" s="5" t="n">
        <v>44650</v>
      </c>
      <c r="C4357" s="13" t="inlineStr">
        <is>
          <t>CPR</t>
        </is>
      </c>
      <c r="D4357" s="13" t="n">
        <v>42</v>
      </c>
      <c r="E4357" s="10">
        <f>IF(D4357&gt;0,VLOOKUP(OPERAC[[#This Row],[COD CART]],[1]!MatrizCortoLargoCyl[#All],3,0),"")</f>
        <v/>
      </c>
      <c r="F4357" s="13" t="inlineStr">
        <is>
          <t>BRK B</t>
        </is>
      </c>
      <c r="G4357" s="6" t="n">
        <v>3</v>
      </c>
      <c r="H4357" s="6" t="n">
        <v>-1073.63496</v>
      </c>
      <c r="I4357" s="7">
        <f>-H4357/G4357</f>
        <v/>
      </c>
      <c r="J4357" s="11" t="n">
        <v>44693</v>
      </c>
      <c r="K4357" s="6" t="n">
        <v>3</v>
      </c>
      <c r="L4357" s="6" t="n">
        <v>908.538</v>
      </c>
      <c r="M4357" s="7">
        <f>IF(N4357=0,+L4357+H4357,0)</f>
        <v/>
      </c>
      <c r="N4357" s="7">
        <f>IF((+G4357-K4357)=0,0,+G4357-K4357)</f>
        <v/>
      </c>
      <c r="O4357" s="7">
        <f>IF(N4357=0,0,(L4357+H4357)/-N4357)</f>
        <v/>
      </c>
      <c r="P4357" s="7">
        <f>VLOOKUP(OPERAC[[#This Row],[especie]],[1]!ESPECIES[#All],6,0)</f>
        <v/>
      </c>
      <c r="Q4357" s="7">
        <f>IF(N4357&lt;&gt;0,P4357*N4357,0)</f>
        <v/>
      </c>
      <c r="R4357" s="8">
        <f>IF(Q4357&lt;&gt;0,Q4357+H4357+L4357,0)</f>
        <v/>
      </c>
      <c r="S4357" s="9">
        <f>VLOOKUP(OPERAC[[#This Row],[especie]],[1]!ESPECIES[#Data],9,FALSE)</f>
        <v/>
      </c>
    </row>
    <row r="4358">
      <c r="A4358" s="4" t="n">
        <v>16783</v>
      </c>
      <c r="B4358" s="5" t="n">
        <v>44642</v>
      </c>
      <c r="C4358" s="13" t="inlineStr">
        <is>
          <t>CPR</t>
        </is>
      </c>
      <c r="D4358" s="13" t="n">
        <v>42</v>
      </c>
      <c r="E4358" s="10">
        <f>IF(D4358&gt;0,VLOOKUP(OPERAC[[#This Row],[COD CART]],[1]!MatrizCortoLargoCyl[#All],3,0),"")</f>
        <v/>
      </c>
      <c r="F4358" s="13" t="inlineStr">
        <is>
          <t>QQQ</t>
        </is>
      </c>
      <c r="G4358" s="6" t="n">
        <v>3</v>
      </c>
      <c r="H4358" s="6" t="n">
        <v>-1075.73448</v>
      </c>
      <c r="I4358" s="7">
        <f>-H4358/G4358</f>
        <v/>
      </c>
      <c r="J4358" s="11" t="n">
        <v>44690</v>
      </c>
      <c r="K4358" s="6" t="n">
        <v>3</v>
      </c>
      <c r="L4358" s="6" t="n">
        <v>886.931</v>
      </c>
      <c r="M4358" s="7">
        <f>IF(N4358=0,+L4358+H4358,0)</f>
        <v/>
      </c>
      <c r="N4358" s="7">
        <f>IF((+G4358-K4358)=0,0,+G4358-K4358)</f>
        <v/>
      </c>
      <c r="O4358" s="7">
        <f>IF(N4358=0,0,(L4358+H4358)/-N4358)</f>
        <v/>
      </c>
      <c r="P4358" s="7">
        <f>VLOOKUP(OPERAC[[#This Row],[especie]],[1]!ESPECIES[#All],6,0)</f>
        <v/>
      </c>
      <c r="Q4358" s="7">
        <f>IF(N4358&lt;&gt;0,P4358*N4358,0)</f>
        <v/>
      </c>
      <c r="R4358" s="8">
        <f>IF(Q4358&lt;&gt;0,Q4358+H4358+L4358,0)</f>
        <v/>
      </c>
      <c r="S4358" s="9">
        <f>VLOOKUP(OPERAC[[#This Row],[especie]],[1]!ESPECIES[#Data],9,FALSE)</f>
        <v/>
      </c>
    </row>
    <row r="4359">
      <c r="A4359" s="4" t="n">
        <v>12674</v>
      </c>
      <c r="B4359" s="5" t="n">
        <v>44641</v>
      </c>
      <c r="C4359" s="13" t="inlineStr">
        <is>
          <t>CPR</t>
        </is>
      </c>
      <c r="D4359" s="13" t="n">
        <v>42</v>
      </c>
      <c r="E4359" s="10">
        <f>IF(D4359&gt;0,VLOOKUP(OPERAC[[#This Row],[COD CART]],[1]!MatrizCortoLargoCyl[#All],3,0),"")</f>
        <v/>
      </c>
      <c r="F4359" s="13" t="inlineStr">
        <is>
          <t>SMH</t>
        </is>
      </c>
      <c r="G4359" s="6" t="n">
        <v>4</v>
      </c>
      <c r="H4359" s="6" t="n">
        <v>-1075.8306</v>
      </c>
      <c r="I4359" s="7">
        <f>-H4359/G4359</f>
        <v/>
      </c>
      <c r="J4359" s="11" t="n">
        <v>44652</v>
      </c>
      <c r="K4359" s="6">
        <f>2+2</f>
        <v/>
      </c>
      <c r="L4359" s="6">
        <f>523.697+476.131</f>
        <v/>
      </c>
      <c r="M4359" s="7">
        <f>IF(N4359=0,+L4359+H4359,0)</f>
        <v/>
      </c>
      <c r="N4359" s="7">
        <f>IF((+G4359-K4359)=0,0,+G4359-K4359)</f>
        <v/>
      </c>
      <c r="O4359" s="7">
        <f>IF(N4359=0,0,(L4359+H4359)/-N4359)</f>
        <v/>
      </c>
      <c r="P4359" s="7">
        <f>VLOOKUP(OPERAC[[#This Row],[especie]],[1]!ESPECIES[#All],6,0)</f>
        <v/>
      </c>
      <c r="Q4359" s="7">
        <f>IF(N4359&lt;&gt;0,P4359*N4359,0)</f>
        <v/>
      </c>
      <c r="R4359" s="8">
        <f>IF(Q4359&lt;&gt;0,Q4359+H4359+L4359,0)</f>
        <v/>
      </c>
      <c r="S4359" s="9">
        <f>VLOOKUP(OPERAC[[#This Row],[especie]],[1]!ESPECIES[#Data],9,FALSE)</f>
        <v/>
      </c>
    </row>
    <row r="4360">
      <c r="A4360" s="4" t="n">
        <v>19867</v>
      </c>
      <c r="B4360" s="5" t="n">
        <v>44641</v>
      </c>
      <c r="C4360" s="13" t="inlineStr">
        <is>
          <t>CPR</t>
        </is>
      </c>
      <c r="D4360" s="13" t="n">
        <v>42</v>
      </c>
      <c r="E4360" s="10">
        <f>IF(D4360&gt;0,VLOOKUP(OPERAC[[#This Row],[COD CART]],[1]!MatrizCortoLargoCyl[#All],3,0),"")</f>
        <v/>
      </c>
      <c r="F4360" s="13" t="inlineStr">
        <is>
          <t>SMH</t>
        </is>
      </c>
      <c r="G4360" s="6" t="n">
        <v>4</v>
      </c>
      <c r="H4360" s="6" t="n">
        <v>-1075.8306</v>
      </c>
      <c r="I4360" s="7">
        <f>-H4360/G4360</f>
        <v/>
      </c>
      <c r="J4360" s="11" t="n">
        <v>44663</v>
      </c>
      <c r="K4360" s="6">
        <f>+OPERAC[[#This Row],[cantidad]]</f>
        <v/>
      </c>
      <c r="L4360" s="6">
        <f>+OPERAC[[#This Row],[cantidad venta]]*238.066</f>
        <v/>
      </c>
      <c r="M4360" s="7">
        <f>IF(N4360=0,+L4360+H4360,0)</f>
        <v/>
      </c>
      <c r="N4360" s="7">
        <f>IF((+G4360-K4360)=0,0,+G4360-K4360)</f>
        <v/>
      </c>
      <c r="O4360" s="7">
        <f>IF(N4360=0,0,(L4360+H4360)/-N4360)</f>
        <v/>
      </c>
      <c r="P4360" s="7">
        <f>VLOOKUP(OPERAC[[#This Row],[especie]],[1]!ESPECIES[#All],6,0)</f>
        <v/>
      </c>
      <c r="Q4360" s="7">
        <f>IF(N4360&lt;&gt;0,P4360*N4360,0)</f>
        <v/>
      </c>
      <c r="R4360" s="8">
        <f>IF(Q4360&lt;&gt;0,Q4360+H4360+L4360,0)</f>
        <v/>
      </c>
      <c r="S4360" s="9">
        <f>VLOOKUP(OPERAC[[#This Row],[especie]],[1]!ESPECIES[#Data],9,FALSE)</f>
        <v/>
      </c>
    </row>
    <row r="4361">
      <c r="A4361" s="4" t="n">
        <v>22393</v>
      </c>
      <c r="B4361" s="5" t="n">
        <v>44665</v>
      </c>
      <c r="C4361" s="13" t="inlineStr">
        <is>
          <t>CPR</t>
        </is>
      </c>
      <c r="D4361" s="13" t="n">
        <v>41</v>
      </c>
      <c r="E4361" s="10">
        <f>IF(D4361&gt;0,VLOOKUP(OPERAC[[#This Row],[COD CART]],[1]!MatrizCortoLargoCyl[#All],3,0),"")</f>
        <v/>
      </c>
      <c r="F4361" s="13" t="inlineStr">
        <is>
          <t>CRESY</t>
        </is>
      </c>
      <c r="G4361" s="6" t="n">
        <v>120</v>
      </c>
      <c r="H4361" s="6" t="n">
        <v>-1078</v>
      </c>
      <c r="I4361" s="7">
        <f>-H4361/G4361</f>
        <v/>
      </c>
      <c r="J4361" s="11" t="n">
        <v>44673</v>
      </c>
      <c r="K4361" s="6" t="n">
        <v>120</v>
      </c>
      <c r="L4361" s="6">
        <f>+OPERAC[[#This Row],[cantidad venta]]*8.588</f>
        <v/>
      </c>
      <c r="M4361" s="7">
        <f>IF(N4361=0,+L4361+H4361,0)</f>
        <v/>
      </c>
      <c r="N4361" s="7">
        <f>IF((+G4361-K4361)=0,0,+G4361-K4361)</f>
        <v/>
      </c>
      <c r="O4361" s="7">
        <f>IF(N4361=0,0,(L4361+H4361)/-N4361)</f>
        <v/>
      </c>
      <c r="P4361" s="7">
        <f>VLOOKUP(OPERAC[[#This Row],[especie]],[1]!ESPECIES[#All],6,0)</f>
        <v/>
      </c>
      <c r="Q4361" s="7">
        <f>IF(N4361&lt;&gt;0,P4361*N4361,0)</f>
        <v/>
      </c>
      <c r="R4361" s="8">
        <f>IF(Q4361&lt;&gt;0,Q4361+H4361+L4361,0)</f>
        <v/>
      </c>
      <c r="S4361" s="9">
        <f>VLOOKUP(OPERAC[[#This Row],[especie]],[1]!ESPECIES[#Data],9,FALSE)</f>
        <v/>
      </c>
    </row>
    <row r="4362">
      <c r="A4362" s="4" t="n">
        <v>9195</v>
      </c>
      <c r="B4362" s="5" t="n">
        <v>44553</v>
      </c>
      <c r="C4362" s="13" t="inlineStr">
        <is>
          <t>CPR</t>
        </is>
      </c>
      <c r="D4362" s="13" t="n">
        <v>41</v>
      </c>
      <c r="E4362" s="10">
        <f>IF(D4362&gt;0,VLOOKUP(OPERAC[[#This Row],[COD CART]],[1]!MatrizCortoLargoCyl[#All],3,0),"")</f>
        <v/>
      </c>
      <c r="F4362" s="13" t="inlineStr">
        <is>
          <t>DIS</t>
        </is>
      </c>
      <c r="G4362" s="6" t="n">
        <v>7</v>
      </c>
      <c r="H4362" s="6" t="n">
        <v>-1078.59</v>
      </c>
      <c r="I4362" s="7">
        <f>-H4362/G4362</f>
        <v/>
      </c>
      <c r="J4362" s="11" t="n">
        <v>44636</v>
      </c>
      <c r="K4362" s="6" t="n">
        <v>7</v>
      </c>
      <c r="L4362" s="6" t="n">
        <v>958.895</v>
      </c>
      <c r="M4362" s="7">
        <f>IF(N4362=0,+L4362+H4362,0)</f>
        <v/>
      </c>
      <c r="N4362" s="7">
        <f>IF((+G4362-K4362)=0,0,+G4362-K4362)</f>
        <v/>
      </c>
      <c r="O4362" s="7">
        <f>IF(N4362=0,0,(L4362+H4362)/-N4362)</f>
        <v/>
      </c>
      <c r="P4362" s="7">
        <f>VLOOKUP(OPERAC[[#This Row],[especie]],[1]!ESPECIES[#All],6,0)</f>
        <v/>
      </c>
      <c r="Q4362" s="7">
        <f>IF(N4362&lt;&gt;0,P4362*N4362,0)</f>
        <v/>
      </c>
      <c r="R4362" s="8">
        <f>IF(Q4362&lt;&gt;0,Q4362+H4362+L4362,0)</f>
        <v/>
      </c>
      <c r="S4362" s="9">
        <f>VLOOKUP(OPERAC[[#This Row],[especie]],[1]!ESPECIES[#Data],9,FALSE)</f>
        <v/>
      </c>
    </row>
    <row r="4363">
      <c r="A4363" s="4" t="n">
        <v>1792</v>
      </c>
      <c r="B4363" s="5" t="n">
        <v>44536</v>
      </c>
      <c r="C4363" s="13" t="inlineStr">
        <is>
          <t>CPR</t>
        </is>
      </c>
      <c r="D4363" s="13" t="n">
        <v>43</v>
      </c>
      <c r="E4363" s="10">
        <f>IF(D4363&gt;0,VLOOKUP(OPERAC[[#This Row],[COD CART]],[1]!MatrizCortoLargoCyl[#All],3,0),"")</f>
        <v/>
      </c>
      <c r="F4363" s="13" t="inlineStr">
        <is>
          <t>NNDM/CYL-PUT/2,50/19-01-24</t>
        </is>
      </c>
      <c r="G4363" s="6" t="n">
        <v>1000</v>
      </c>
      <c r="H4363" s="6">
        <f>-1.08*OPERAC[[#This Row],[cantidad]]</f>
        <v/>
      </c>
      <c r="I4363" s="7">
        <f>-H4363/G4363</f>
        <v/>
      </c>
      <c r="J4363" s="11" t="n"/>
      <c r="K4363" s="6" t="n"/>
      <c r="L4363" s="6" t="n"/>
      <c r="M4363" s="7">
        <f>IF(N4363=0,+L4363+H4363,0)</f>
        <v/>
      </c>
      <c r="N4363" s="7">
        <f>IF((+G4363-K4363)=0,0,+G4363-K4363)</f>
        <v/>
      </c>
      <c r="O4363" s="7">
        <f>IF(N4363=0,0,(L4363+H4363)/-N4363)</f>
        <v/>
      </c>
      <c r="P4363" s="7">
        <f>VLOOKUP(OPERAC[[#This Row],[especie]],[1]!ESPECIES[#All],6,0)</f>
        <v/>
      </c>
      <c r="Q4363" s="7">
        <f>IF(N4363&lt;&gt;0,P4363*N4363,0)</f>
        <v/>
      </c>
      <c r="R4363" s="8">
        <f>IF(Q4363&lt;&gt;0,Q4363+H4363+L4363,0)</f>
        <v/>
      </c>
      <c r="S4363" s="9">
        <f>VLOOKUP(OPERAC[[#This Row],[especie]],[1]!ESPECIES[#Data],9,FALSE)</f>
        <v/>
      </c>
    </row>
    <row r="4364">
      <c r="A4364" s="4" t="n">
        <v>2217</v>
      </c>
      <c r="B4364" s="5" t="n">
        <v>44536</v>
      </c>
      <c r="C4364" s="13" t="inlineStr">
        <is>
          <t>CPR</t>
        </is>
      </c>
      <c r="D4364" s="13" t="n">
        <v>43</v>
      </c>
      <c r="E4364" s="10">
        <f>IF(D4364&gt;0,VLOOKUP(OPERAC[[#This Row],[COD CART]],[1]!MatrizCortoLargoCyl[#All],3,0),"")</f>
        <v/>
      </c>
      <c r="F4364" s="13" t="inlineStr">
        <is>
          <t>NNDM/CYL-PUT/2,50/19-01-24</t>
        </is>
      </c>
      <c r="G4364" s="6" t="n">
        <v>1000</v>
      </c>
      <c r="H4364" s="6">
        <f>-1.08*OPERAC[[#This Row],[cantidad]]</f>
        <v/>
      </c>
      <c r="I4364" s="7">
        <f>-H4364/G4364</f>
        <v/>
      </c>
      <c r="J4364" s="11" t="n"/>
      <c r="K4364" s="6" t="n"/>
      <c r="L4364" s="6" t="n"/>
      <c r="M4364" s="7">
        <f>IF(N4364=0,+L4364+H4364,0)</f>
        <v/>
      </c>
      <c r="N4364" s="7">
        <f>IF((+G4364-K4364)=0,0,+G4364-K4364)</f>
        <v/>
      </c>
      <c r="O4364" s="7">
        <f>IF(N4364=0,0,(L4364+H4364)/-N4364)</f>
        <v/>
      </c>
      <c r="P4364" s="7">
        <f>VLOOKUP(OPERAC[[#This Row],[especie]],[1]!ESPECIES[#All],6,0)</f>
        <v/>
      </c>
      <c r="Q4364" s="7">
        <f>IF(N4364&lt;&gt;0,P4364*N4364,0)</f>
        <v/>
      </c>
      <c r="R4364" s="8">
        <f>IF(Q4364&lt;&gt;0,Q4364+H4364+L4364,0)</f>
        <v/>
      </c>
      <c r="S4364" s="9">
        <f>VLOOKUP(OPERAC[[#This Row],[especie]],[1]!ESPECIES[#Data],9,FALSE)</f>
        <v/>
      </c>
    </row>
    <row r="4365">
      <c r="A4365" s="4" t="n">
        <v>2253</v>
      </c>
      <c r="B4365" s="5" t="n">
        <v>44536</v>
      </c>
      <c r="C4365" s="13" t="inlineStr">
        <is>
          <t>CPR</t>
        </is>
      </c>
      <c r="D4365" s="13" t="n">
        <v>43</v>
      </c>
      <c r="E4365" s="10">
        <f>IF(D4365&gt;0,VLOOKUP(OPERAC[[#This Row],[COD CART]],[1]!MatrizCortoLargoCyl[#All],3,0),"")</f>
        <v/>
      </c>
      <c r="F4365" s="13" t="inlineStr">
        <is>
          <t>NNDM/CYL-PUT/2,50/19-01-24</t>
        </is>
      </c>
      <c r="G4365" s="6" t="n">
        <v>1000</v>
      </c>
      <c r="H4365" s="6">
        <f>-1.08*OPERAC[[#This Row],[cantidad]]</f>
        <v/>
      </c>
      <c r="I4365" s="7">
        <f>-H4365/G4365</f>
        <v/>
      </c>
      <c r="J4365" s="11" t="n"/>
      <c r="K4365" s="6" t="n"/>
      <c r="L4365" s="6" t="n"/>
      <c r="M4365" s="7">
        <f>IF(N4365=0,+L4365+H4365,0)</f>
        <v/>
      </c>
      <c r="N4365" s="7">
        <f>IF((+G4365-K4365)=0,0,+G4365-K4365)</f>
        <v/>
      </c>
      <c r="O4365" s="7">
        <f>IF(N4365=0,0,(L4365+H4365)/-N4365)</f>
        <v/>
      </c>
      <c r="P4365" s="7">
        <f>VLOOKUP(OPERAC[[#This Row],[especie]],[1]!ESPECIES[#All],6,0)</f>
        <v/>
      </c>
      <c r="Q4365" s="7">
        <f>IF(N4365&lt;&gt;0,P4365*N4365,0)</f>
        <v/>
      </c>
      <c r="R4365" s="8">
        <f>IF(Q4365&lt;&gt;0,Q4365+H4365+L4365,0)</f>
        <v/>
      </c>
      <c r="S4365" s="9">
        <f>VLOOKUP(OPERAC[[#This Row],[especie]],[1]!ESPECIES[#Data],9,FALSE)</f>
        <v/>
      </c>
    </row>
    <row r="4366">
      <c r="A4366" s="4" t="n">
        <v>3787</v>
      </c>
      <c r="B4366" s="5" t="n">
        <v>44536</v>
      </c>
      <c r="C4366" s="13" t="inlineStr">
        <is>
          <t>CPR</t>
        </is>
      </c>
      <c r="D4366" s="13" t="n">
        <v>43</v>
      </c>
      <c r="E4366" s="10">
        <f>IF(D4366&gt;0,VLOOKUP(OPERAC[[#This Row],[COD CART]],[1]!MatrizCortoLargoCyl[#All],3,0),"")</f>
        <v/>
      </c>
      <c r="F4366" s="13" t="inlineStr">
        <is>
          <t>NNDM/CYL-PUT/2,50/19-01-24</t>
        </is>
      </c>
      <c r="G4366" s="6" t="n">
        <v>1000</v>
      </c>
      <c r="H4366" s="6">
        <f>-1.08*OPERAC[[#This Row],[cantidad]]</f>
        <v/>
      </c>
      <c r="I4366" s="7">
        <f>-H4366/G4366</f>
        <v/>
      </c>
      <c r="J4366" s="11" t="n"/>
      <c r="K4366" s="6" t="n"/>
      <c r="L4366" s="6" t="n"/>
      <c r="M4366" s="7">
        <f>IF(N4366=0,+L4366+H4366,0)</f>
        <v/>
      </c>
      <c r="N4366" s="7">
        <f>IF((+G4366-K4366)=0,0,+G4366-K4366)</f>
        <v/>
      </c>
      <c r="O4366" s="7">
        <f>IF(N4366=0,0,(L4366+H4366)/-N4366)</f>
        <v/>
      </c>
      <c r="P4366" s="7">
        <f>VLOOKUP(OPERAC[[#This Row],[especie]],[1]!ESPECIES[#All],6,0)</f>
        <v/>
      </c>
      <c r="Q4366" s="7">
        <f>IF(N4366&lt;&gt;0,P4366*N4366,0)</f>
        <v/>
      </c>
      <c r="R4366" s="8">
        <f>IF(Q4366&lt;&gt;0,Q4366+H4366+L4366,0)</f>
        <v/>
      </c>
      <c r="S4366" s="9">
        <f>VLOOKUP(OPERAC[[#This Row],[especie]],[1]!ESPECIES[#Data],9,FALSE)</f>
        <v/>
      </c>
    </row>
    <row r="4367">
      <c r="A4367" s="4" t="n">
        <v>6579</v>
      </c>
      <c r="B4367" s="5" t="n">
        <v>44536</v>
      </c>
      <c r="C4367" s="13" t="inlineStr">
        <is>
          <t>CPR</t>
        </is>
      </c>
      <c r="D4367" s="13" t="n">
        <v>43</v>
      </c>
      <c r="E4367" s="10">
        <f>IF(D4367&gt;0,VLOOKUP(OPERAC[[#This Row],[COD CART]],[1]!MatrizCortoLargoCyl[#All],3,0),"")</f>
        <v/>
      </c>
      <c r="F4367" s="13" t="inlineStr">
        <is>
          <t>NNDM/CYL-PUT/2,50/19-01-24</t>
        </is>
      </c>
      <c r="G4367" s="6" t="n">
        <v>1000</v>
      </c>
      <c r="H4367" s="6">
        <f>-1.08*OPERAC[[#This Row],[cantidad]]</f>
        <v/>
      </c>
      <c r="I4367" s="7">
        <f>-H4367/G4367</f>
        <v/>
      </c>
      <c r="J4367" s="11" t="n"/>
      <c r="K4367" s="6" t="n"/>
      <c r="L4367" s="6" t="n"/>
      <c r="M4367" s="7">
        <f>IF(N4367=0,+L4367+H4367,0)</f>
        <v/>
      </c>
      <c r="N4367" s="7">
        <f>IF((+G4367-K4367)=0,0,+G4367-K4367)</f>
        <v/>
      </c>
      <c r="O4367" s="7">
        <f>IF(N4367=0,0,(L4367+H4367)/-N4367)</f>
        <v/>
      </c>
      <c r="P4367" s="7">
        <f>VLOOKUP(OPERAC[[#This Row],[especie]],[1]!ESPECIES[#All],6,0)</f>
        <v/>
      </c>
      <c r="Q4367" s="7">
        <f>IF(N4367&lt;&gt;0,P4367*N4367,0)</f>
        <v/>
      </c>
      <c r="R4367" s="8">
        <f>IF(Q4367&lt;&gt;0,Q4367+H4367+L4367,0)</f>
        <v/>
      </c>
      <c r="S4367" s="9">
        <f>VLOOKUP(OPERAC[[#This Row],[especie]],[1]!ESPECIES[#Data],9,FALSE)</f>
        <v/>
      </c>
    </row>
    <row r="4368">
      <c r="A4368" s="4" t="n">
        <v>12655</v>
      </c>
      <c r="B4368" s="5" t="n">
        <v>44536</v>
      </c>
      <c r="C4368" s="13" t="inlineStr">
        <is>
          <t>CPR</t>
        </is>
      </c>
      <c r="D4368" s="13" t="n">
        <v>43</v>
      </c>
      <c r="E4368" s="10">
        <f>IF(D4368&gt;0,VLOOKUP(OPERAC[[#This Row],[COD CART]],[1]!MatrizCortoLargoCyl[#All],3,0),"")</f>
        <v/>
      </c>
      <c r="F4368" s="13" t="inlineStr">
        <is>
          <t>NNDM/CYL-PUT/2,50/19-01-24</t>
        </is>
      </c>
      <c r="G4368" s="6" t="n">
        <v>1000</v>
      </c>
      <c r="H4368" s="6">
        <f>-1.08*OPERAC[[#This Row],[cantidad]]</f>
        <v/>
      </c>
      <c r="I4368" s="7">
        <f>-H4368/G4368</f>
        <v/>
      </c>
      <c r="J4368" s="11" t="n"/>
      <c r="K4368" s="6" t="n"/>
      <c r="L4368" s="6" t="n"/>
      <c r="M4368" s="7">
        <f>IF(N4368=0,+L4368+H4368,0)</f>
        <v/>
      </c>
      <c r="N4368" s="7">
        <f>IF((+G4368-K4368)=0,0,+G4368-K4368)</f>
        <v/>
      </c>
      <c r="O4368" s="7">
        <f>IF(N4368=0,0,(L4368+H4368)/-N4368)</f>
        <v/>
      </c>
      <c r="P4368" s="7">
        <f>VLOOKUP(OPERAC[[#This Row],[especie]],[1]!ESPECIES[#All],6,0)</f>
        <v/>
      </c>
      <c r="Q4368" s="7">
        <f>IF(N4368&lt;&gt;0,P4368*N4368,0)</f>
        <v/>
      </c>
      <c r="R4368" s="8">
        <f>IF(Q4368&lt;&gt;0,Q4368+H4368+L4368,0)</f>
        <v/>
      </c>
      <c r="S4368" s="9">
        <f>VLOOKUP(OPERAC[[#This Row],[especie]],[1]!ESPECIES[#Data],9,FALSE)</f>
        <v/>
      </c>
    </row>
    <row r="4369">
      <c r="A4369" s="4" t="n">
        <v>13240</v>
      </c>
      <c r="B4369" s="5" t="n">
        <v>44642</v>
      </c>
      <c r="C4369" s="13" t="inlineStr">
        <is>
          <t>CPR</t>
        </is>
      </c>
      <c r="D4369" s="13" t="n">
        <v>42</v>
      </c>
      <c r="E4369" s="10">
        <f>IF(D4369&gt;0,VLOOKUP(OPERAC[[#This Row],[COD CART]],[1]!MatrizCortoLargoCyl[#All],3,0),"")</f>
        <v/>
      </c>
      <c r="F4369" s="13" t="inlineStr">
        <is>
          <t>QQQ</t>
        </is>
      </c>
      <c r="G4369" s="6" t="n">
        <v>3</v>
      </c>
      <c r="H4369" s="6" t="n">
        <v>-1080.01896</v>
      </c>
      <c r="I4369" s="7">
        <f>-H4369/G4369</f>
        <v/>
      </c>
      <c r="J4369" s="11" t="n">
        <v>44690</v>
      </c>
      <c r="K4369" s="6" t="n">
        <v>3</v>
      </c>
      <c r="L4369" s="6" t="n">
        <v>883.367</v>
      </c>
      <c r="M4369" s="7">
        <f>IF(N4369=0,+L4369+H4369,0)</f>
        <v/>
      </c>
      <c r="N4369" s="7">
        <f>IF((+G4369-K4369)=0,0,+G4369-K4369)</f>
        <v/>
      </c>
      <c r="O4369" s="7">
        <f>IF(N4369=0,0,(L4369+H4369)/-N4369)</f>
        <v/>
      </c>
      <c r="P4369" s="7">
        <f>VLOOKUP(OPERAC[[#This Row],[especie]],[1]!ESPECIES[#All],6,0)</f>
        <v/>
      </c>
      <c r="Q4369" s="7">
        <f>IF(N4369&lt;&gt;0,P4369*N4369,0)</f>
        <v/>
      </c>
      <c r="R4369" s="8">
        <f>IF(Q4369&lt;&gt;0,Q4369+H4369+L4369,0)</f>
        <v/>
      </c>
      <c r="S4369" s="9">
        <f>VLOOKUP(OPERAC[[#This Row],[especie]],[1]!ESPECIES[#Data],9,FALSE)</f>
        <v/>
      </c>
    </row>
    <row r="4370">
      <c r="A4370" s="4" t="n">
        <v>12627</v>
      </c>
      <c r="B4370" s="5" t="n">
        <v>44643</v>
      </c>
      <c r="C4370" s="13" t="inlineStr">
        <is>
          <t>CPR</t>
        </is>
      </c>
      <c r="D4370" s="13" t="n">
        <v>42</v>
      </c>
      <c r="E4370" s="10">
        <f>IF(D4370&gt;0,VLOOKUP(OPERAC[[#This Row],[COD CART]],[1]!MatrizCortoLargoCyl[#All],3,0),"")</f>
        <v/>
      </c>
      <c r="F4370" s="13" t="inlineStr">
        <is>
          <t>FB</t>
        </is>
      </c>
      <c r="G4370" s="6" t="n">
        <v>5</v>
      </c>
      <c r="H4370" s="6" t="n">
        <v>-1080.6163</v>
      </c>
      <c r="I4370" s="7">
        <f>-H4370/G4370</f>
        <v/>
      </c>
      <c r="J4370" s="11" t="n">
        <v>44671</v>
      </c>
      <c r="K4370" s="6">
        <f>+OPERAC[[#This Row],[cantidad]]</f>
        <v/>
      </c>
      <c r="L4370" s="6">
        <f>+OPERAC[[#This Row],[cantidad venta]]*213.173</f>
        <v/>
      </c>
      <c r="M4370" s="7">
        <f>IF(N4370=0,+L4370+H4370,0)</f>
        <v/>
      </c>
      <c r="N4370" s="7">
        <f>IF((+G4370-K4370)=0,0,+G4370-K4370)</f>
        <v/>
      </c>
      <c r="O4370" s="7">
        <f>IF(N4370=0,0,(L4370+H4370)/-N4370)</f>
        <v/>
      </c>
      <c r="P4370" s="7">
        <f>VLOOKUP(OPERAC[[#This Row],[especie]],[1]!ESPECIES[#All],6,0)</f>
        <v/>
      </c>
      <c r="Q4370" s="7">
        <f>IF(N4370&lt;&gt;0,P4370*N4370,0)</f>
        <v/>
      </c>
      <c r="R4370" s="8">
        <f>IF(Q4370&lt;&gt;0,Q4370+H4370+L4370,0)</f>
        <v/>
      </c>
      <c r="S4370" s="9">
        <f>VLOOKUP(OPERAC[[#This Row],[especie]],[1]!ESPECIES[#Data],9,FALSE)</f>
        <v/>
      </c>
    </row>
    <row r="4371">
      <c r="A4371" s="4" t="n">
        <v>13185</v>
      </c>
      <c r="B4371" s="5" t="n">
        <v>44643</v>
      </c>
      <c r="C4371" s="13" t="inlineStr">
        <is>
          <t>CPR</t>
        </is>
      </c>
      <c r="D4371" s="13" t="n">
        <v>42</v>
      </c>
      <c r="E4371" s="10">
        <f>IF(D4371&gt;0,VLOOKUP(OPERAC[[#This Row],[COD CART]],[1]!MatrizCortoLargoCyl[#All],3,0),"")</f>
        <v/>
      </c>
      <c r="F4371" s="13" t="inlineStr">
        <is>
          <t>FB</t>
        </is>
      </c>
      <c r="G4371" s="6" t="n">
        <v>5</v>
      </c>
      <c r="H4371" s="6" t="n">
        <v>-1080.6163</v>
      </c>
      <c r="I4371" s="7">
        <f>-H4371/G4371</f>
        <v/>
      </c>
      <c r="J4371" s="11" t="n">
        <v>44671</v>
      </c>
      <c r="K4371" s="6">
        <f>+OPERAC[[#This Row],[cantidad]]</f>
        <v/>
      </c>
      <c r="L4371" s="6">
        <f>+OPERAC[[#This Row],[cantidad venta]]*213.173</f>
        <v/>
      </c>
      <c r="M4371" s="7">
        <f>IF(N4371=0,+L4371+H4371,0)</f>
        <v/>
      </c>
      <c r="N4371" s="7">
        <f>IF((+G4371-K4371)=0,0,+G4371-K4371)</f>
        <v/>
      </c>
      <c r="O4371" s="7">
        <f>IF(N4371=0,0,(L4371+H4371)/-N4371)</f>
        <v/>
      </c>
      <c r="P4371" s="7">
        <f>VLOOKUP(OPERAC[[#This Row],[especie]],[1]!ESPECIES[#All],6,0)</f>
        <v/>
      </c>
      <c r="Q4371" s="7">
        <f>IF(N4371&lt;&gt;0,P4371*N4371,0)</f>
        <v/>
      </c>
      <c r="R4371" s="8">
        <f>IF(Q4371&lt;&gt;0,Q4371+H4371+L4371,0)</f>
        <v/>
      </c>
      <c r="S4371" s="9">
        <f>VLOOKUP(OPERAC[[#This Row],[especie]],[1]!ESPECIES[#Data],9,FALSE)</f>
        <v/>
      </c>
    </row>
    <row r="4372">
      <c r="A4372" s="4" t="n">
        <v>15189</v>
      </c>
      <c r="B4372" s="5" t="n">
        <v>44643</v>
      </c>
      <c r="C4372" s="13" t="inlineStr">
        <is>
          <t>CPR</t>
        </is>
      </c>
      <c r="D4372" s="13" t="n">
        <v>42</v>
      </c>
      <c r="E4372" s="10">
        <f>IF(D4372&gt;0,VLOOKUP(OPERAC[[#This Row],[COD CART]],[1]!MatrizCortoLargoCyl[#All],3,0),"")</f>
        <v/>
      </c>
      <c r="F4372" s="13" t="inlineStr">
        <is>
          <t>FB</t>
        </is>
      </c>
      <c r="G4372" s="6" t="n">
        <v>5</v>
      </c>
      <c r="H4372" s="6" t="n">
        <v>-1080.6163</v>
      </c>
      <c r="I4372" s="7">
        <f>-H4372/G4372</f>
        <v/>
      </c>
      <c r="J4372" s="11" t="n">
        <v>44671</v>
      </c>
      <c r="K4372" s="6">
        <f>+OPERAC[[#This Row],[cantidad]]</f>
        <v/>
      </c>
      <c r="L4372" s="6">
        <f>+OPERAC[[#This Row],[cantidad venta]]*213.173</f>
        <v/>
      </c>
      <c r="M4372" s="7">
        <f>IF(N4372=0,+L4372+H4372,0)</f>
        <v/>
      </c>
      <c r="N4372" s="7">
        <f>IF((+G4372-K4372)=0,0,+G4372-K4372)</f>
        <v/>
      </c>
      <c r="O4372" s="7">
        <f>IF(N4372=0,0,(L4372+H4372)/-N4372)</f>
        <v/>
      </c>
      <c r="P4372" s="7">
        <f>VLOOKUP(OPERAC[[#This Row],[especie]],[1]!ESPECIES[#All],6,0)</f>
        <v/>
      </c>
      <c r="Q4372" s="7">
        <f>IF(N4372&lt;&gt;0,P4372*N4372,0)</f>
        <v/>
      </c>
      <c r="R4372" s="8">
        <f>IF(Q4372&lt;&gt;0,Q4372+H4372+L4372,0)</f>
        <v/>
      </c>
      <c r="S4372" s="9">
        <f>VLOOKUP(OPERAC[[#This Row],[especie]],[1]!ESPECIES[#Data],9,FALSE)</f>
        <v/>
      </c>
    </row>
    <row r="4373">
      <c r="A4373" s="4" t="n">
        <v>26138</v>
      </c>
      <c r="B4373" s="5" t="n">
        <v>44643</v>
      </c>
      <c r="C4373" s="13" t="inlineStr">
        <is>
          <t>CPR</t>
        </is>
      </c>
      <c r="D4373" s="13" t="n">
        <v>42</v>
      </c>
      <c r="E4373" s="10">
        <f>IF(D4373&gt;0,VLOOKUP(OPERAC[[#This Row],[COD CART]],[1]!MatrizCortoLargoCyl[#All],3,0),"")</f>
        <v/>
      </c>
      <c r="F4373" s="13" t="inlineStr">
        <is>
          <t>FB</t>
        </is>
      </c>
      <c r="G4373" s="6" t="n">
        <v>5</v>
      </c>
      <c r="H4373" s="6" t="n">
        <v>-1080.6163</v>
      </c>
      <c r="I4373" s="7">
        <f>-H4373/G4373</f>
        <v/>
      </c>
      <c r="J4373" s="11" t="n">
        <v>44671</v>
      </c>
      <c r="K4373" s="6">
        <f>+OPERAC[[#This Row],[cantidad]]</f>
        <v/>
      </c>
      <c r="L4373" s="6">
        <f>+OPERAC[[#This Row],[cantidad venta]]*213.173</f>
        <v/>
      </c>
      <c r="M4373" s="7">
        <f>IF(N4373=0,+L4373+H4373,0)</f>
        <v/>
      </c>
      <c r="N4373" s="7">
        <f>IF((+G4373-K4373)=0,0,+G4373-K4373)</f>
        <v/>
      </c>
      <c r="O4373" s="7">
        <f>IF(N4373=0,0,(L4373+H4373)/-N4373)</f>
        <v/>
      </c>
      <c r="P4373" s="7">
        <f>VLOOKUP(OPERAC[[#This Row],[especie]],[1]!ESPECIES[#All],6,0)</f>
        <v/>
      </c>
      <c r="Q4373" s="7">
        <f>IF(N4373&lt;&gt;0,P4373*N4373,0)</f>
        <v/>
      </c>
      <c r="R4373" s="8">
        <f>IF(Q4373&lt;&gt;0,Q4373+H4373+L4373,0)</f>
        <v/>
      </c>
      <c r="S4373" s="9">
        <f>VLOOKUP(OPERAC[[#This Row],[especie]],[1]!ESPECIES[#Data],9,FALSE)</f>
        <v/>
      </c>
    </row>
    <row r="4374">
      <c r="A4374" s="4" t="n">
        <v>6579</v>
      </c>
      <c r="B4374" s="5" t="n">
        <v>44362</v>
      </c>
      <c r="C4374" s="13" t="inlineStr">
        <is>
          <t>CPR</t>
        </is>
      </c>
      <c r="D4374" s="13" t="n">
        <v>41</v>
      </c>
      <c r="E4374" s="10">
        <f>IF(D4374&gt;0,VLOOKUP(OPERAC[[#This Row],[COD CART]],[1]!MatrizCortoLargoCyl[#All],3,0),"")</f>
        <v/>
      </c>
      <c r="F4374" s="13" t="inlineStr">
        <is>
          <t>MPW</t>
        </is>
      </c>
      <c r="G4374" s="6" t="n">
        <v>50</v>
      </c>
      <c r="H4374" s="6" t="n">
        <v>-1082.199</v>
      </c>
      <c r="I4374" s="7">
        <f>-H4374/G4374</f>
        <v/>
      </c>
      <c r="J4374" s="11" t="n"/>
      <c r="K4374" s="6" t="n"/>
      <c r="L4374" s="6" t="n"/>
      <c r="M4374" s="7">
        <f>IF(N4374=0,+L4374+H4374,0)</f>
        <v/>
      </c>
      <c r="N4374" s="7">
        <f>IF((+G4374-K4374)=0,0,+G4374-K4374)</f>
        <v/>
      </c>
      <c r="O4374" s="7">
        <f>IF(N4374=0,0,(L4374+H4374)/-N4374)</f>
        <v/>
      </c>
      <c r="P4374" s="7">
        <f>VLOOKUP(OPERAC[[#This Row],[especie]],[1]!ESPECIES[#All],6,0)</f>
        <v/>
      </c>
      <c r="Q4374" s="7">
        <f>IF(N4374&lt;&gt;0,P4374*N4374,0)</f>
        <v/>
      </c>
      <c r="R4374" s="8">
        <f>IF(Q4374&lt;&gt;0,Q4374+H4374+L4374,0)</f>
        <v/>
      </c>
      <c r="S4374" s="9">
        <f>VLOOKUP(OPERAC[[#This Row],[especie]],[1]!ESPECIES[#Data],9,FALSE)</f>
        <v/>
      </c>
    </row>
    <row r="4375">
      <c r="A4375" s="4" t="n">
        <v>13185</v>
      </c>
      <c r="B4375" s="5" t="n">
        <v>44650</v>
      </c>
      <c r="C4375" s="13" t="inlineStr">
        <is>
          <t>CPR</t>
        </is>
      </c>
      <c r="D4375" s="13" t="n">
        <v>42</v>
      </c>
      <c r="E4375" s="10">
        <f>IF(D4375&gt;0,VLOOKUP(OPERAC[[#This Row],[COD CART]],[1]!MatrizCortoLargoCyl[#All],3,0),"")</f>
        <v/>
      </c>
      <c r="F4375" s="13" t="inlineStr">
        <is>
          <t>BBAR</t>
        </is>
      </c>
      <c r="G4375" s="6" t="n">
        <v>300</v>
      </c>
      <c r="H4375" s="6" t="n">
        <v>-1096.188</v>
      </c>
      <c r="I4375" s="7">
        <f>-H4375/G4375</f>
        <v/>
      </c>
      <c r="J4375" s="11" t="n">
        <v>44704</v>
      </c>
      <c r="K4375" s="6" t="n">
        <v>300</v>
      </c>
      <c r="L4375" s="6" t="n">
        <v>925.664</v>
      </c>
      <c r="M4375" s="7">
        <f>IF(N4375=0,+L4375+H4375,0)</f>
        <v/>
      </c>
      <c r="N4375" s="7">
        <f>IF((+G4375-K4375)=0,0,+G4375-K4375)</f>
        <v/>
      </c>
      <c r="O4375" s="7">
        <f>IF(N4375=0,0,(L4375+H4375)/-N4375)</f>
        <v/>
      </c>
      <c r="P4375" s="7">
        <f>VLOOKUP(OPERAC[[#This Row],[especie]],[1]!ESPECIES[#All],6,0)</f>
        <v/>
      </c>
      <c r="Q4375" s="7">
        <f>IF(N4375&lt;&gt;0,P4375*N4375,0)</f>
        <v/>
      </c>
      <c r="R4375" s="8">
        <f>IF(Q4375&lt;&gt;0,Q4375+H4375+L4375,0)</f>
        <v/>
      </c>
      <c r="S4375" s="9">
        <f>VLOOKUP(OPERAC[[#This Row],[especie]],[1]!ESPECIES[#Data],9,FALSE)</f>
        <v/>
      </c>
    </row>
    <row r="4376">
      <c r="A4376" s="4" t="n">
        <v>19920</v>
      </c>
      <c r="B4376" s="5" t="n">
        <v>44637</v>
      </c>
      <c r="C4376" s="13" t="inlineStr">
        <is>
          <t>CPR</t>
        </is>
      </c>
      <c r="D4376" s="13" t="n">
        <v>31</v>
      </c>
      <c r="E4376" s="10">
        <f>IF(D4376&gt;0,VLOOKUP(OPERAC[[#This Row],[COD CART]],[1]!MatrizCortoLargoCyl[#All],3,0),"")</f>
        <v/>
      </c>
      <c r="F4376" s="13" t="inlineStr">
        <is>
          <t>GLD</t>
        </is>
      </c>
      <c r="G4376" s="6" t="n">
        <v>6</v>
      </c>
      <c r="H4376" s="6" t="n">
        <v>-1096.687904</v>
      </c>
      <c r="I4376" s="7">
        <f>-H4376/G4376</f>
        <v/>
      </c>
      <c r="J4376" s="11" t="n"/>
      <c r="K4376" s="6" t="n"/>
      <c r="L4376" s="6" t="n"/>
      <c r="M4376" s="7">
        <f>IF(N4376=0,+L4376+H4376,0)</f>
        <v/>
      </c>
      <c r="N4376" s="7">
        <f>IF((+G4376-K4376)=0,0,+G4376-K4376)</f>
        <v/>
      </c>
      <c r="O4376" s="7">
        <f>IF(N4376=0,0,(L4376+H4376)/-N4376)</f>
        <v/>
      </c>
      <c r="P4376" s="7">
        <f>VLOOKUP(OPERAC[[#This Row],[especie]],[1]!ESPECIES[#All],6,0)</f>
        <v/>
      </c>
      <c r="Q4376" s="7">
        <f>IF(N4376&lt;&gt;0,P4376*N4376,0)</f>
        <v/>
      </c>
      <c r="R4376" s="8">
        <f>IF(Q4376&lt;&gt;0,Q4376+H4376+L4376,0)</f>
        <v/>
      </c>
      <c r="S4376" s="9">
        <f>VLOOKUP(OPERAC[[#This Row],[especie]],[1]!ESPECIES[#Data],9,FALSE)</f>
        <v/>
      </c>
    </row>
    <row r="4377">
      <c r="A4377" s="4" t="n">
        <v>18690</v>
      </c>
      <c r="B4377" s="5" t="n">
        <v>44637</v>
      </c>
      <c r="C4377" s="13" t="inlineStr">
        <is>
          <t>CPR</t>
        </is>
      </c>
      <c r="D4377" s="13" t="n">
        <v>31</v>
      </c>
      <c r="E4377" s="10">
        <f>IF(D4377&gt;0,VLOOKUP(OPERAC[[#This Row],[COD CART]],[1]!MatrizCortoLargoCyl[#All],3,0),"")</f>
        <v/>
      </c>
      <c r="F4377" s="13" t="inlineStr">
        <is>
          <t>GLD</t>
        </is>
      </c>
      <c r="G4377" s="6" t="n">
        <v>6</v>
      </c>
      <c r="H4377" s="6" t="n">
        <v>-1096.687904</v>
      </c>
      <c r="I4377" s="7">
        <f>-H4377/G4377</f>
        <v/>
      </c>
      <c r="J4377" s="11" t="n"/>
      <c r="K4377" s="6" t="n"/>
      <c r="L4377" s="6" t="n"/>
      <c r="M4377" s="7">
        <f>IF(N4377=0,+L4377+H4377,0)</f>
        <v/>
      </c>
      <c r="N4377" s="7">
        <f>IF((+G4377-K4377)=0,0,+G4377-K4377)</f>
        <v/>
      </c>
      <c r="O4377" s="7">
        <f>IF(N4377=0,0,(L4377+H4377)/-N4377)</f>
        <v/>
      </c>
      <c r="P4377" s="7">
        <f>VLOOKUP(OPERAC[[#This Row],[especie]],[1]!ESPECIES[#All],6,0)</f>
        <v/>
      </c>
      <c r="Q4377" s="7">
        <f>IF(N4377&lt;&gt;0,P4377*N4377,0)</f>
        <v/>
      </c>
      <c r="R4377" s="8">
        <f>IF(Q4377&lt;&gt;0,Q4377+H4377+L4377,0)</f>
        <v/>
      </c>
      <c r="S4377" s="9">
        <f>VLOOKUP(OPERAC[[#This Row],[especie]],[1]!ESPECIES[#Data],9,FALSE)</f>
        <v/>
      </c>
    </row>
    <row r="4378">
      <c r="A4378" s="4" t="n">
        <v>25070</v>
      </c>
      <c r="B4378" s="5" t="n">
        <v>44722</v>
      </c>
      <c r="C4378" s="13" t="inlineStr">
        <is>
          <t>CPR</t>
        </is>
      </c>
      <c r="D4378" s="13" t="n">
        <v>40</v>
      </c>
      <c r="E4378" s="10">
        <f>IF(D4378&gt;0,VLOOKUP(OPERAC[[#This Row],[COD CART]],[1]!MatrizCortoLargoCyl[#All],3,0),"")</f>
        <v/>
      </c>
      <c r="F4378" s="13" t="inlineStr">
        <is>
          <t>BABA</t>
        </is>
      </c>
      <c r="G4378" s="6" t="n">
        <v>10</v>
      </c>
      <c r="H4378" s="6" t="n">
        <v>-1099.6684</v>
      </c>
      <c r="I4378" s="7">
        <f>-H4378/G4378</f>
        <v/>
      </c>
      <c r="J4378" s="5" t="n"/>
      <c r="K4378" s="6" t="n"/>
      <c r="L4378" s="6" t="n"/>
      <c r="M4378" s="7">
        <f>IF(N4378=0,+L4378+H4378,0)</f>
        <v/>
      </c>
      <c r="N4378" s="7">
        <f>IF((+G4378-K4378)=0,0,+G4378-K4378)</f>
        <v/>
      </c>
      <c r="O4378" s="7">
        <f>IF(N4378=0,0,(L4378+H4378)/-N4378)</f>
        <v/>
      </c>
      <c r="P4378" s="7">
        <f>VLOOKUP(OPERAC[[#This Row],[especie]],[1]!ESPECIES[#All],6,0)</f>
        <v/>
      </c>
      <c r="Q4378" s="7">
        <f>IF(N4378&lt;&gt;0,P4378*N4378,0)</f>
        <v/>
      </c>
      <c r="R4378" s="8">
        <f>IF(Q4378&lt;&gt;0,Q4378+H4378+L4378,0)</f>
        <v/>
      </c>
      <c r="S4378" s="9">
        <f>VLOOKUP(OPERAC[[#This Row],[especie]],[1]!ESPECIES[#Data],9,FALSE)</f>
        <v/>
      </c>
    </row>
    <row r="4379">
      <c r="A4379" s="4" t="n">
        <v>1760</v>
      </c>
      <c r="B4379" s="5" t="n">
        <v>44511</v>
      </c>
      <c r="C4379" s="13" t="inlineStr">
        <is>
          <t>CPR</t>
        </is>
      </c>
      <c r="D4379" s="13" t="n">
        <v>31</v>
      </c>
      <c r="E4379" s="10">
        <f>IF(D4379&gt;0,VLOOKUP(OPERAC[[#This Row],[COD CART]],[1]!MatrizCortoLargoCyl[#All],3,0),"")</f>
        <v/>
      </c>
      <c r="F4379" s="13" t="inlineStr">
        <is>
          <t>IPIX</t>
        </is>
      </c>
      <c r="G4379" s="6" t="n">
        <v>10000</v>
      </c>
      <c r="H4379" s="6" t="n">
        <v>-1099.9</v>
      </c>
      <c r="I4379" s="7">
        <f>-H4379/G4379</f>
        <v/>
      </c>
      <c r="J4379" s="11" t="n"/>
      <c r="K4379" s="6" t="n"/>
      <c r="L4379" s="6" t="n"/>
      <c r="M4379" s="7">
        <f>IF(N4379=0,+L4379+H4379,0)</f>
        <v/>
      </c>
      <c r="N4379" s="7">
        <f>IF((+G4379-K4379)=0,0,+G4379-K4379)</f>
        <v/>
      </c>
      <c r="O4379" s="7">
        <f>IF(N4379=0,0,(L4379+H4379)/-N4379)</f>
        <v/>
      </c>
      <c r="P4379" s="7">
        <f>VLOOKUP(OPERAC[[#This Row],[especie]],[1]!ESPECIES[#All],6,0)</f>
        <v/>
      </c>
      <c r="Q4379" s="7">
        <f>IF(N4379&lt;&gt;0,P4379*N4379,0)</f>
        <v/>
      </c>
      <c r="R4379" s="8">
        <f>IF(Q4379&lt;&gt;0,Q4379+H4379+L4379,0)</f>
        <v/>
      </c>
      <c r="S4379" s="9">
        <f>VLOOKUP(OPERAC[[#This Row],[especie]],[1]!ESPECIES[#Data],9,FALSE)</f>
        <v/>
      </c>
    </row>
    <row r="4380">
      <c r="A4380" s="4" t="n">
        <v>3787</v>
      </c>
      <c r="B4380" s="5" t="n">
        <v>44511</v>
      </c>
      <c r="C4380" s="13" t="inlineStr">
        <is>
          <t>CPR</t>
        </is>
      </c>
      <c r="D4380" s="13" t="n">
        <v>31</v>
      </c>
      <c r="E4380" s="10">
        <f>IF(D4380&gt;0,VLOOKUP(OPERAC[[#This Row],[COD CART]],[1]!MatrizCortoLargoCyl[#All],3,0),"")</f>
        <v/>
      </c>
      <c r="F4380" s="13" t="inlineStr">
        <is>
          <t>IPIX</t>
        </is>
      </c>
      <c r="G4380" s="6" t="n">
        <v>10000</v>
      </c>
      <c r="H4380" s="6" t="n">
        <v>-1099.9</v>
      </c>
      <c r="I4380" s="7">
        <f>-H4380/G4380</f>
        <v/>
      </c>
      <c r="J4380" s="11" t="n"/>
      <c r="K4380" s="6" t="n"/>
      <c r="L4380" s="6" t="n"/>
      <c r="M4380" s="7">
        <f>IF(N4380=0,+L4380+H4380,0)</f>
        <v/>
      </c>
      <c r="N4380" s="7">
        <f>IF((+G4380-K4380)=0,0,+G4380-K4380)</f>
        <v/>
      </c>
      <c r="O4380" s="7">
        <f>IF(N4380=0,0,(L4380+H4380)/-N4380)</f>
        <v/>
      </c>
      <c r="P4380" s="7">
        <f>VLOOKUP(OPERAC[[#This Row],[especie]],[1]!ESPECIES[#All],6,0)</f>
        <v/>
      </c>
      <c r="Q4380" s="7">
        <f>IF(N4380&lt;&gt;0,P4380*N4380,0)</f>
        <v/>
      </c>
      <c r="R4380" s="8">
        <f>IF(Q4380&lt;&gt;0,Q4380+H4380+L4380,0)</f>
        <v/>
      </c>
      <c r="S4380" s="9">
        <f>VLOOKUP(OPERAC[[#This Row],[especie]],[1]!ESPECIES[#Data],9,FALSE)</f>
        <v/>
      </c>
    </row>
    <row r="4381">
      <c r="A4381" s="4" t="n">
        <v>12627</v>
      </c>
      <c r="B4381" s="5" t="n">
        <v>44511</v>
      </c>
      <c r="C4381" s="13" t="inlineStr">
        <is>
          <t>CPR</t>
        </is>
      </c>
      <c r="D4381" s="13" t="n">
        <v>31</v>
      </c>
      <c r="E4381" s="10">
        <f>IF(D4381&gt;0,VLOOKUP(OPERAC[[#This Row],[COD CART]],[1]!MatrizCortoLargoCyl[#All],3,0),"")</f>
        <v/>
      </c>
      <c r="F4381" s="13" t="inlineStr">
        <is>
          <t>IPIX</t>
        </is>
      </c>
      <c r="G4381" s="6" t="n">
        <v>10000</v>
      </c>
      <c r="H4381" s="6" t="n">
        <v>-1099.9</v>
      </c>
      <c r="I4381" s="7">
        <f>-H4381/G4381</f>
        <v/>
      </c>
      <c r="J4381" s="11" t="n"/>
      <c r="K4381" s="6" t="n"/>
      <c r="L4381" s="6" t="n"/>
      <c r="M4381" s="7">
        <f>IF(N4381=0,+L4381+H4381,0)</f>
        <v/>
      </c>
      <c r="N4381" s="7">
        <f>IF((+G4381-K4381)=0,0,+G4381-K4381)</f>
        <v/>
      </c>
      <c r="O4381" s="7">
        <f>IF(N4381=0,0,(L4381+H4381)/-N4381)</f>
        <v/>
      </c>
      <c r="P4381" s="7">
        <f>VLOOKUP(OPERAC[[#This Row],[especie]],[1]!ESPECIES[#All],6,0)</f>
        <v/>
      </c>
      <c r="Q4381" s="7">
        <f>IF(N4381&lt;&gt;0,P4381*N4381,0)</f>
        <v/>
      </c>
      <c r="R4381" s="8">
        <f>IF(Q4381&lt;&gt;0,Q4381+H4381+L4381,0)</f>
        <v/>
      </c>
      <c r="S4381" s="9">
        <f>VLOOKUP(OPERAC[[#This Row],[especie]],[1]!ESPECIES[#Data],9,FALSE)</f>
        <v/>
      </c>
    </row>
    <row r="4382">
      <c r="A4382" s="4" t="n">
        <v>12655</v>
      </c>
      <c r="B4382" s="5" t="n">
        <v>44511</v>
      </c>
      <c r="C4382" s="13" t="inlineStr">
        <is>
          <t>CPR</t>
        </is>
      </c>
      <c r="D4382" s="13" t="n">
        <v>31</v>
      </c>
      <c r="E4382" s="10">
        <f>IF(D4382&gt;0,VLOOKUP(OPERAC[[#This Row],[COD CART]],[1]!MatrizCortoLargoCyl[#All],3,0),"")</f>
        <v/>
      </c>
      <c r="F4382" s="13" t="inlineStr">
        <is>
          <t>IPIX</t>
        </is>
      </c>
      <c r="G4382" s="6" t="n">
        <v>10000</v>
      </c>
      <c r="H4382" s="6" t="n">
        <v>-1099.9</v>
      </c>
      <c r="I4382" s="7">
        <f>-H4382/G4382</f>
        <v/>
      </c>
      <c r="J4382" s="11" t="n"/>
      <c r="K4382" s="6" t="n"/>
      <c r="L4382" s="6" t="n"/>
      <c r="M4382" s="7">
        <f>IF(N4382=0,+L4382+H4382,0)</f>
        <v/>
      </c>
      <c r="N4382" s="7">
        <f>IF((+G4382-K4382)=0,0,+G4382-K4382)</f>
        <v/>
      </c>
      <c r="O4382" s="7">
        <f>IF(N4382=0,0,(L4382+H4382)/-N4382)</f>
        <v/>
      </c>
      <c r="P4382" s="7">
        <f>VLOOKUP(OPERAC[[#This Row],[especie]],[1]!ESPECIES[#All],6,0)</f>
        <v/>
      </c>
      <c r="Q4382" s="7">
        <f>IF(N4382&lt;&gt;0,P4382*N4382,0)</f>
        <v/>
      </c>
      <c r="R4382" s="8">
        <f>IF(Q4382&lt;&gt;0,Q4382+H4382+L4382,0)</f>
        <v/>
      </c>
      <c r="S4382" s="9">
        <f>VLOOKUP(OPERAC[[#This Row],[especie]],[1]!ESPECIES[#Data],9,FALSE)</f>
        <v/>
      </c>
    </row>
    <row r="4383">
      <c r="A4383" s="4" t="n">
        <v>12674</v>
      </c>
      <c r="B4383" s="5" t="n">
        <v>44511</v>
      </c>
      <c r="C4383" s="13" t="inlineStr">
        <is>
          <t>CPR</t>
        </is>
      </c>
      <c r="D4383" s="13" t="n">
        <v>31</v>
      </c>
      <c r="E4383" s="10">
        <f>IF(D4383&gt;0,VLOOKUP(OPERAC[[#This Row],[COD CART]],[1]!MatrizCortoLargoCyl[#All],3,0),"")</f>
        <v/>
      </c>
      <c r="F4383" s="13" t="inlineStr">
        <is>
          <t>IPIX</t>
        </is>
      </c>
      <c r="G4383" s="6" t="n">
        <v>10000</v>
      </c>
      <c r="H4383" s="6" t="n">
        <v>-1099.9</v>
      </c>
      <c r="I4383" s="7">
        <f>-H4383/G4383</f>
        <v/>
      </c>
      <c r="J4383" s="11" t="n"/>
      <c r="K4383" s="6" t="n"/>
      <c r="L4383" s="6" t="n"/>
      <c r="M4383" s="7">
        <f>IF(N4383=0,+L4383+H4383,0)</f>
        <v/>
      </c>
      <c r="N4383" s="7">
        <f>IF((+G4383-K4383)=0,0,+G4383-K4383)</f>
        <v/>
      </c>
      <c r="O4383" s="7">
        <f>IF(N4383=0,0,(L4383+H4383)/-N4383)</f>
        <v/>
      </c>
      <c r="P4383" s="7">
        <f>VLOOKUP(OPERAC[[#This Row],[especie]],[1]!ESPECIES[#All],6,0)</f>
        <v/>
      </c>
      <c r="Q4383" s="7">
        <f>IF(N4383&lt;&gt;0,P4383*N4383,0)</f>
        <v/>
      </c>
      <c r="R4383" s="8">
        <f>IF(Q4383&lt;&gt;0,Q4383+H4383+L4383,0)</f>
        <v/>
      </c>
      <c r="S4383" s="9">
        <f>VLOOKUP(OPERAC[[#This Row],[especie]],[1]!ESPECIES[#Data],9,FALSE)</f>
        <v/>
      </c>
    </row>
    <row r="4384">
      <c r="A4384" s="4" t="n">
        <v>13180</v>
      </c>
      <c r="B4384" s="5" t="n">
        <v>44511</v>
      </c>
      <c r="C4384" s="13" t="inlineStr">
        <is>
          <t>CPR</t>
        </is>
      </c>
      <c r="D4384" s="13" t="n">
        <v>31</v>
      </c>
      <c r="E4384" s="10">
        <f>IF(D4384&gt;0,VLOOKUP(OPERAC[[#This Row],[COD CART]],[1]!MatrizCortoLargoCyl[#All],3,0),"")</f>
        <v/>
      </c>
      <c r="F4384" s="13" t="inlineStr">
        <is>
          <t>IPIX</t>
        </is>
      </c>
      <c r="G4384" s="6" t="n">
        <v>10000</v>
      </c>
      <c r="H4384" s="6" t="n">
        <v>-1099.9</v>
      </c>
      <c r="I4384" s="7">
        <f>-H4384/G4384</f>
        <v/>
      </c>
      <c r="J4384" s="11" t="n"/>
      <c r="K4384" s="6" t="n"/>
      <c r="L4384" s="6" t="n"/>
      <c r="M4384" s="7">
        <f>IF(N4384=0,+L4384+H4384,0)</f>
        <v/>
      </c>
      <c r="N4384" s="7">
        <f>IF((+G4384-K4384)=0,0,+G4384-K4384)</f>
        <v/>
      </c>
      <c r="O4384" s="7">
        <f>IF(N4384=0,0,(L4384+H4384)/-N4384)</f>
        <v/>
      </c>
      <c r="P4384" s="7">
        <f>VLOOKUP(OPERAC[[#This Row],[especie]],[1]!ESPECIES[#All],6,0)</f>
        <v/>
      </c>
      <c r="Q4384" s="7">
        <f>IF(N4384&lt;&gt;0,P4384*N4384,0)</f>
        <v/>
      </c>
      <c r="R4384" s="8">
        <f>IF(Q4384&lt;&gt;0,Q4384+H4384+L4384,0)</f>
        <v/>
      </c>
      <c r="S4384" s="9">
        <f>VLOOKUP(OPERAC[[#This Row],[especie]],[1]!ESPECIES[#Data],9,FALSE)</f>
        <v/>
      </c>
    </row>
    <row r="4385">
      <c r="A4385" s="4" t="n">
        <v>13240</v>
      </c>
      <c r="B4385" s="5" t="n">
        <v>44511</v>
      </c>
      <c r="C4385" s="13" t="inlineStr">
        <is>
          <t>CPR</t>
        </is>
      </c>
      <c r="D4385" s="13" t="n">
        <v>31</v>
      </c>
      <c r="E4385" s="10">
        <f>IF(D4385&gt;0,VLOOKUP(OPERAC[[#This Row],[COD CART]],[1]!MatrizCortoLargoCyl[#All],3,0),"")</f>
        <v/>
      </c>
      <c r="F4385" s="13" t="inlineStr">
        <is>
          <t>IPIX</t>
        </is>
      </c>
      <c r="G4385" s="6" t="n">
        <v>10000</v>
      </c>
      <c r="H4385" s="6" t="n">
        <v>-1099.9</v>
      </c>
      <c r="I4385" s="7">
        <f>-H4385/G4385</f>
        <v/>
      </c>
      <c r="J4385" s="11" t="n"/>
      <c r="K4385" s="6" t="n"/>
      <c r="L4385" s="6" t="n"/>
      <c r="M4385" s="7">
        <f>IF(N4385=0,+L4385+H4385,0)</f>
        <v/>
      </c>
      <c r="N4385" s="7">
        <f>IF((+G4385-K4385)=0,0,+G4385-K4385)</f>
        <v/>
      </c>
      <c r="O4385" s="7">
        <f>IF(N4385=0,0,(L4385+H4385)/-N4385)</f>
        <v/>
      </c>
      <c r="P4385" s="7">
        <f>VLOOKUP(OPERAC[[#This Row],[especie]],[1]!ESPECIES[#All],6,0)</f>
        <v/>
      </c>
      <c r="Q4385" s="7">
        <f>IF(N4385&lt;&gt;0,P4385*N4385,0)</f>
        <v/>
      </c>
      <c r="R4385" s="8">
        <f>IF(Q4385&lt;&gt;0,Q4385+H4385+L4385,0)</f>
        <v/>
      </c>
      <c r="S4385" s="9">
        <f>VLOOKUP(OPERAC[[#This Row],[especie]],[1]!ESPECIES[#Data],9,FALSE)</f>
        <v/>
      </c>
    </row>
    <row r="4386">
      <c r="A4386" s="4" t="n">
        <v>13246</v>
      </c>
      <c r="B4386" s="5" t="n">
        <v>44511</v>
      </c>
      <c r="C4386" s="13" t="inlineStr">
        <is>
          <t>CPR</t>
        </is>
      </c>
      <c r="D4386" s="13" t="n">
        <v>31</v>
      </c>
      <c r="E4386" s="10">
        <f>IF(D4386&gt;0,VLOOKUP(OPERAC[[#This Row],[COD CART]],[1]!MatrizCortoLargoCyl[#All],3,0),"")</f>
        <v/>
      </c>
      <c r="F4386" s="13" t="inlineStr">
        <is>
          <t>IPIX</t>
        </is>
      </c>
      <c r="G4386" s="6" t="n">
        <v>10000</v>
      </c>
      <c r="H4386" s="6" t="n">
        <v>-1099.9</v>
      </c>
      <c r="I4386" s="7">
        <f>-H4386/G4386</f>
        <v/>
      </c>
      <c r="J4386" s="11" t="n"/>
      <c r="K4386" s="6" t="n"/>
      <c r="L4386" s="6" t="n"/>
      <c r="M4386" s="7">
        <f>IF(N4386=0,+L4386+H4386,0)</f>
        <v/>
      </c>
      <c r="N4386" s="7">
        <f>IF((+G4386-K4386)=0,0,+G4386-K4386)</f>
        <v/>
      </c>
      <c r="O4386" s="7">
        <f>IF(N4386=0,0,(L4386+H4386)/-N4386)</f>
        <v/>
      </c>
      <c r="P4386" s="7">
        <f>VLOOKUP(OPERAC[[#This Row],[especie]],[1]!ESPECIES[#All],6,0)</f>
        <v/>
      </c>
      <c r="Q4386" s="7">
        <f>IF(N4386&lt;&gt;0,P4386*N4386,0)</f>
        <v/>
      </c>
      <c r="R4386" s="8">
        <f>IF(Q4386&lt;&gt;0,Q4386+H4386+L4386,0)</f>
        <v/>
      </c>
      <c r="S4386" s="9">
        <f>VLOOKUP(OPERAC[[#This Row],[especie]],[1]!ESPECIES[#Data],9,FALSE)</f>
        <v/>
      </c>
    </row>
    <row r="4387">
      <c r="A4387" s="4" t="n">
        <v>15194</v>
      </c>
      <c r="B4387" s="5" t="n">
        <v>44511</v>
      </c>
      <c r="C4387" s="13" t="inlineStr">
        <is>
          <t>CPR</t>
        </is>
      </c>
      <c r="D4387" s="13" t="n">
        <v>31</v>
      </c>
      <c r="E4387" s="10">
        <f>IF(D4387&gt;0,VLOOKUP(OPERAC[[#This Row],[COD CART]],[1]!MatrizCortoLargoCyl[#All],3,0),"")</f>
        <v/>
      </c>
      <c r="F4387" s="13" t="inlineStr">
        <is>
          <t>IPIX</t>
        </is>
      </c>
      <c r="G4387" s="6" t="n">
        <v>10000</v>
      </c>
      <c r="H4387" s="6" t="n">
        <v>-1099.9</v>
      </c>
      <c r="I4387" s="7">
        <f>-H4387/G4387</f>
        <v/>
      </c>
      <c r="J4387" s="11" t="n"/>
      <c r="K4387" s="6" t="n"/>
      <c r="L4387" s="6" t="n"/>
      <c r="M4387" s="7">
        <f>IF(N4387=0,+L4387+H4387,0)</f>
        <v/>
      </c>
      <c r="N4387" s="7">
        <f>IF((+G4387-K4387)=0,0,+G4387-K4387)</f>
        <v/>
      </c>
      <c r="O4387" s="7">
        <f>IF(N4387=0,0,(L4387+H4387)/-N4387)</f>
        <v/>
      </c>
      <c r="P4387" s="7">
        <f>VLOOKUP(OPERAC[[#This Row],[especie]],[1]!ESPECIES[#All],6,0)</f>
        <v/>
      </c>
      <c r="Q4387" s="7">
        <f>IF(N4387&lt;&gt;0,P4387*N4387,0)</f>
        <v/>
      </c>
      <c r="R4387" s="8">
        <f>IF(Q4387&lt;&gt;0,Q4387+H4387+L4387,0)</f>
        <v/>
      </c>
      <c r="S4387" s="9">
        <f>VLOOKUP(OPERAC[[#This Row],[especie]],[1]!ESPECIES[#Data],9,FALSE)</f>
        <v/>
      </c>
    </row>
    <row r="4388">
      <c r="A4388" s="4" t="n">
        <v>16780</v>
      </c>
      <c r="B4388" s="5" t="n">
        <v>44511</v>
      </c>
      <c r="C4388" s="13" t="inlineStr">
        <is>
          <t>CPR</t>
        </is>
      </c>
      <c r="D4388" s="13" t="n">
        <v>31</v>
      </c>
      <c r="E4388" s="10">
        <f>IF(D4388&gt;0,VLOOKUP(OPERAC[[#This Row],[COD CART]],[1]!MatrizCortoLargoCyl[#All],3,0),"")</f>
        <v/>
      </c>
      <c r="F4388" s="13" t="inlineStr">
        <is>
          <t>IPIX</t>
        </is>
      </c>
      <c r="G4388" s="6" t="n">
        <v>10000</v>
      </c>
      <c r="H4388" s="6" t="n">
        <v>-1099.9</v>
      </c>
      <c r="I4388" s="7">
        <f>-H4388/G4388</f>
        <v/>
      </c>
      <c r="J4388" s="11" t="n"/>
      <c r="K4388" s="6" t="n"/>
      <c r="L4388" s="6" t="n"/>
      <c r="M4388" s="7">
        <f>IF(N4388=0,+L4388+H4388,0)</f>
        <v/>
      </c>
      <c r="N4388" s="7">
        <f>IF((+G4388-K4388)=0,0,+G4388-K4388)</f>
        <v/>
      </c>
      <c r="O4388" s="7">
        <f>IF(N4388=0,0,(L4388+H4388)/-N4388)</f>
        <v/>
      </c>
      <c r="P4388" s="7">
        <f>VLOOKUP(OPERAC[[#This Row],[especie]],[1]!ESPECIES[#All],6,0)</f>
        <v/>
      </c>
      <c r="Q4388" s="7">
        <f>IF(N4388&lt;&gt;0,P4388*N4388,0)</f>
        <v/>
      </c>
      <c r="R4388" s="8">
        <f>IF(Q4388&lt;&gt;0,Q4388+H4388+L4388,0)</f>
        <v/>
      </c>
      <c r="S4388" s="9">
        <f>VLOOKUP(OPERAC[[#This Row],[especie]],[1]!ESPECIES[#Data],9,FALSE)</f>
        <v/>
      </c>
    </row>
    <row r="4389">
      <c r="A4389" s="4" t="n">
        <v>18690</v>
      </c>
      <c r="B4389" s="5" t="n">
        <v>44511</v>
      </c>
      <c r="C4389" s="13" t="inlineStr">
        <is>
          <t>CPR</t>
        </is>
      </c>
      <c r="D4389" s="13" t="n">
        <v>31</v>
      </c>
      <c r="E4389" s="10">
        <f>IF(D4389&gt;0,VLOOKUP(OPERAC[[#This Row],[COD CART]],[1]!MatrizCortoLargoCyl[#All],3,0),"")</f>
        <v/>
      </c>
      <c r="F4389" s="13" t="inlineStr">
        <is>
          <t>IPIX</t>
        </is>
      </c>
      <c r="G4389" s="6" t="n">
        <v>10000</v>
      </c>
      <c r="H4389" s="6" t="n">
        <v>-1099.9</v>
      </c>
      <c r="I4389" s="7">
        <f>-H4389/G4389</f>
        <v/>
      </c>
      <c r="J4389" s="11" t="n"/>
      <c r="K4389" s="6" t="n"/>
      <c r="L4389" s="6" t="n"/>
      <c r="M4389" s="7">
        <f>IF(N4389=0,+L4389+H4389,0)</f>
        <v/>
      </c>
      <c r="N4389" s="7">
        <f>IF((+G4389-K4389)=0,0,+G4389-K4389)</f>
        <v/>
      </c>
      <c r="O4389" s="7">
        <f>IF(N4389=0,0,(L4389+H4389)/-N4389)</f>
        <v/>
      </c>
      <c r="P4389" s="7">
        <f>VLOOKUP(OPERAC[[#This Row],[especie]],[1]!ESPECIES[#All],6,0)</f>
        <v/>
      </c>
      <c r="Q4389" s="7">
        <f>IF(N4389&lt;&gt;0,P4389*N4389,0)</f>
        <v/>
      </c>
      <c r="R4389" s="8">
        <f>IF(Q4389&lt;&gt;0,Q4389+H4389+L4389,0)</f>
        <v/>
      </c>
      <c r="S4389" s="9">
        <f>VLOOKUP(OPERAC[[#This Row],[especie]],[1]!ESPECIES[#Data],9,FALSE)</f>
        <v/>
      </c>
    </row>
    <row r="4390">
      <c r="A4390" s="4" t="n">
        <v>19878</v>
      </c>
      <c r="B4390" s="5" t="n">
        <v>44511</v>
      </c>
      <c r="C4390" s="13" t="inlineStr">
        <is>
          <t>CPR</t>
        </is>
      </c>
      <c r="D4390" s="13" t="n">
        <v>31</v>
      </c>
      <c r="E4390" s="10">
        <f>IF(D4390&gt;0,VLOOKUP(OPERAC[[#This Row],[COD CART]],[1]!MatrizCortoLargoCyl[#All],3,0),"")</f>
        <v/>
      </c>
      <c r="F4390" s="13" t="inlineStr">
        <is>
          <t>IPIX</t>
        </is>
      </c>
      <c r="G4390" s="6" t="n">
        <v>10000</v>
      </c>
      <c r="H4390" s="6" t="n">
        <v>-1099.9</v>
      </c>
      <c r="I4390" s="7">
        <f>-H4390/G4390</f>
        <v/>
      </c>
      <c r="J4390" s="11" t="n"/>
      <c r="K4390" s="6" t="n"/>
      <c r="L4390" s="6" t="n"/>
      <c r="M4390" s="7">
        <f>IF(N4390=0,+L4390+H4390,0)</f>
        <v/>
      </c>
      <c r="N4390" s="7">
        <f>IF((+G4390-K4390)=0,0,+G4390-K4390)</f>
        <v/>
      </c>
      <c r="O4390" s="7">
        <f>IF(N4390=0,0,(L4390+H4390)/-N4390)</f>
        <v/>
      </c>
      <c r="P4390" s="7">
        <f>VLOOKUP(OPERAC[[#This Row],[especie]],[1]!ESPECIES[#All],6,0)</f>
        <v/>
      </c>
      <c r="Q4390" s="7">
        <f>IF(N4390&lt;&gt;0,P4390*N4390,0)</f>
        <v/>
      </c>
      <c r="R4390" s="8">
        <f>IF(Q4390&lt;&gt;0,Q4390+H4390+L4390,0)</f>
        <v/>
      </c>
      <c r="S4390" s="9">
        <f>VLOOKUP(OPERAC[[#This Row],[especie]],[1]!ESPECIES[#Data],9,FALSE)</f>
        <v/>
      </c>
    </row>
    <row r="4391">
      <c r="A4391" s="4" t="n">
        <v>19888</v>
      </c>
      <c r="B4391" s="5" t="n">
        <v>44511</v>
      </c>
      <c r="C4391" s="13" t="inlineStr">
        <is>
          <t>CPR</t>
        </is>
      </c>
      <c r="D4391" s="13" t="n">
        <v>31</v>
      </c>
      <c r="E4391" s="10">
        <f>IF(D4391&gt;0,VLOOKUP(OPERAC[[#This Row],[COD CART]],[1]!MatrizCortoLargoCyl[#All],3,0),"")</f>
        <v/>
      </c>
      <c r="F4391" s="13" t="inlineStr">
        <is>
          <t>IPIX</t>
        </is>
      </c>
      <c r="G4391" s="6" t="n">
        <v>10000</v>
      </c>
      <c r="H4391" s="6" t="n">
        <v>-1099.9</v>
      </c>
      <c r="I4391" s="7">
        <f>-H4391/G4391</f>
        <v/>
      </c>
      <c r="J4391" s="11" t="n"/>
      <c r="K4391" s="6" t="n"/>
      <c r="L4391" s="6" t="n"/>
      <c r="M4391" s="7">
        <f>IF(N4391=0,+L4391+H4391,0)</f>
        <v/>
      </c>
      <c r="N4391" s="7">
        <f>IF((+G4391-K4391)=0,0,+G4391-K4391)</f>
        <v/>
      </c>
      <c r="O4391" s="7">
        <f>IF(N4391=0,0,(L4391+H4391)/-N4391)</f>
        <v/>
      </c>
      <c r="P4391" s="7">
        <f>VLOOKUP(OPERAC[[#This Row],[especie]],[1]!ESPECIES[#All],6,0)</f>
        <v/>
      </c>
      <c r="Q4391" s="7">
        <f>IF(N4391&lt;&gt;0,P4391*N4391,0)</f>
        <v/>
      </c>
      <c r="R4391" s="8">
        <f>IF(Q4391&lt;&gt;0,Q4391+H4391+L4391,0)</f>
        <v/>
      </c>
      <c r="S4391" s="9">
        <f>VLOOKUP(OPERAC[[#This Row],[especie]],[1]!ESPECIES[#Data],9,FALSE)</f>
        <v/>
      </c>
    </row>
    <row r="4392">
      <c r="A4392" s="4" t="n">
        <v>19920</v>
      </c>
      <c r="B4392" s="5" t="n">
        <v>44511</v>
      </c>
      <c r="C4392" s="13" t="inlineStr">
        <is>
          <t>CPR</t>
        </is>
      </c>
      <c r="D4392" s="13" t="n">
        <v>31</v>
      </c>
      <c r="E4392" s="10">
        <f>IF(D4392&gt;0,VLOOKUP(OPERAC[[#This Row],[COD CART]],[1]!MatrizCortoLargoCyl[#All],3,0),"")</f>
        <v/>
      </c>
      <c r="F4392" s="13" t="inlineStr">
        <is>
          <t>IPIX</t>
        </is>
      </c>
      <c r="G4392" s="6" t="n">
        <v>10000</v>
      </c>
      <c r="H4392" s="6" t="n">
        <v>-1099.9</v>
      </c>
      <c r="I4392" s="7">
        <f>-H4392/G4392</f>
        <v/>
      </c>
      <c r="J4392" s="11" t="n"/>
      <c r="K4392" s="6" t="n"/>
      <c r="L4392" s="6" t="n"/>
      <c r="M4392" s="7">
        <f>IF(N4392=0,+L4392+H4392,0)</f>
        <v/>
      </c>
      <c r="N4392" s="7">
        <f>IF((+G4392-K4392)=0,0,+G4392-K4392)</f>
        <v/>
      </c>
      <c r="O4392" s="7">
        <f>IF(N4392=0,0,(L4392+H4392)/-N4392)</f>
        <v/>
      </c>
      <c r="P4392" s="7">
        <f>VLOOKUP(OPERAC[[#This Row],[especie]],[1]!ESPECIES[#All],6,0)</f>
        <v/>
      </c>
      <c r="Q4392" s="7">
        <f>IF(N4392&lt;&gt;0,P4392*N4392,0)</f>
        <v/>
      </c>
      <c r="R4392" s="8">
        <f>IF(Q4392&lt;&gt;0,Q4392+H4392+L4392,0)</f>
        <v/>
      </c>
      <c r="S4392" s="9">
        <f>VLOOKUP(OPERAC[[#This Row],[especie]],[1]!ESPECIES[#Data],9,FALSE)</f>
        <v/>
      </c>
    </row>
    <row r="4393">
      <c r="A4393" s="4" t="n">
        <v>13253</v>
      </c>
      <c r="B4393" s="5" t="n">
        <v>44725</v>
      </c>
      <c r="C4393" s="13" t="inlineStr">
        <is>
          <t>CPR</t>
        </is>
      </c>
      <c r="D4393" s="13" t="n">
        <v>41</v>
      </c>
      <c r="E4393" s="10">
        <f>IF(D4393&gt;0,VLOOKUP(OPERAC[[#This Row],[COD CART]],[1]!MatrizCortoLargoCyl[#All],3,0),"")</f>
        <v/>
      </c>
      <c r="F4393" s="13" t="inlineStr">
        <is>
          <t>JEPI</t>
        </is>
      </c>
      <c r="G4393" s="6" t="n">
        <v>20</v>
      </c>
      <c r="H4393" s="6" t="n">
        <v>-1100.017341</v>
      </c>
      <c r="I4393" s="7">
        <f>-H4393/G4393</f>
        <v/>
      </c>
      <c r="J4393" s="5" t="n"/>
      <c r="K4393" s="6" t="n"/>
      <c r="L4393" s="6" t="n"/>
      <c r="M4393" s="7">
        <f>IF(N4393=0,+L4393+H4393,0)</f>
        <v/>
      </c>
      <c r="N4393" s="7">
        <f>IF((+G4393-K4393)=0,0,+G4393-K4393)</f>
        <v/>
      </c>
      <c r="O4393" s="7">
        <f>IF(N4393=0,0,(L4393+H4393)/-N4393)</f>
        <v/>
      </c>
      <c r="P4393" s="7">
        <f>VLOOKUP(OPERAC[[#This Row],[especie]],[1]!ESPECIES[#All],6,0)</f>
        <v/>
      </c>
      <c r="Q4393" s="7">
        <f>IF(N4393&lt;&gt;0,P4393*N4393,0)</f>
        <v/>
      </c>
      <c r="R4393" s="8">
        <f>IF(Q4393&lt;&gt;0,Q4393+H4393+L4393,0)</f>
        <v/>
      </c>
      <c r="S4393" s="9">
        <f>VLOOKUP(OPERAC[[#This Row],[especie]],[1]!ESPECIES[#Data],9,FALSE)</f>
        <v/>
      </c>
    </row>
    <row r="4394">
      <c r="A4394" s="4" t="n">
        <v>2218</v>
      </c>
      <c r="B4394" s="5" t="n">
        <v>44547</v>
      </c>
      <c r="C4394" s="13" t="inlineStr">
        <is>
          <t>CPR</t>
        </is>
      </c>
      <c r="D4394" s="13" t="n">
        <v>32</v>
      </c>
      <c r="E4394" s="10">
        <f>IF(D4394&gt;0,VLOOKUP(OPERAC[[#This Row],[COD CART]],[1]!MatrizCortoLargoCyl[#All],3,0),"")</f>
        <v/>
      </c>
      <c r="F4394" s="13" t="inlineStr">
        <is>
          <t>HIMX/CYL/12,00/21-01-22</t>
        </is>
      </c>
      <c r="G4394" s="6" t="n">
        <v>100</v>
      </c>
      <c r="H4394" s="6" t="n">
        <v>-1100.5788</v>
      </c>
      <c r="I4394" s="7">
        <f>-H4394/G4394</f>
        <v/>
      </c>
      <c r="J4394" s="11" t="n">
        <v>44575</v>
      </c>
      <c r="K4394" s="6" t="n">
        <v>100</v>
      </c>
      <c r="L4394" s="6" t="n">
        <v>1170.618</v>
      </c>
      <c r="M4394" s="7">
        <f>IF(N4394=0,+L4394+H4394,0)</f>
        <v/>
      </c>
      <c r="N4394" s="7">
        <f>IF((+G4394-K4394)=0,0,+G4394-K4394)</f>
        <v/>
      </c>
      <c r="O4394" s="7">
        <f>IF(N4394=0,0,(L4394+H4394)/-N4394)</f>
        <v/>
      </c>
      <c r="P4394" s="7">
        <f>VLOOKUP(OPERAC[[#This Row],[especie]],[1]!ESPECIES[#All],6,0)</f>
        <v/>
      </c>
      <c r="Q4394" s="7">
        <f>IF(N4394&lt;&gt;0,P4394*N4394,0)</f>
        <v/>
      </c>
      <c r="R4394" s="8">
        <f>IF(Q4394&lt;&gt;0,Q4394+H4394+L4394,0)</f>
        <v/>
      </c>
      <c r="S4394" s="9">
        <f>VLOOKUP(OPERAC[[#This Row],[especie]],[1]!ESPECIES[#Data],9,FALSE)</f>
        <v/>
      </c>
    </row>
    <row r="4395">
      <c r="A4395" s="4" t="n">
        <v>3728</v>
      </c>
      <c r="B4395" s="5" t="n">
        <v>44547</v>
      </c>
      <c r="C4395" s="13" t="inlineStr">
        <is>
          <t>CPR</t>
        </is>
      </c>
      <c r="D4395" s="13" t="n">
        <v>32</v>
      </c>
      <c r="E4395" s="10">
        <f>IF(D4395&gt;0,VLOOKUP(OPERAC[[#This Row],[COD CART]],[1]!MatrizCortoLargoCyl[#All],3,0),"")</f>
        <v/>
      </c>
      <c r="F4395" s="13" t="inlineStr">
        <is>
          <t>HIMX/CYL/12,00/21-01-22</t>
        </is>
      </c>
      <c r="G4395" s="6" t="n">
        <v>100</v>
      </c>
      <c r="H4395" s="6" t="n">
        <v>-1100.5788</v>
      </c>
      <c r="I4395" s="7">
        <f>-H4395/G4395</f>
        <v/>
      </c>
      <c r="J4395" s="11" t="n">
        <v>44575</v>
      </c>
      <c r="K4395" s="6" t="n">
        <v>100</v>
      </c>
      <c r="L4395" s="6" t="n">
        <v>1170.618</v>
      </c>
      <c r="M4395" s="7">
        <f>IF(N4395=0,+L4395+H4395,0)</f>
        <v/>
      </c>
      <c r="N4395" s="7">
        <f>IF((+G4395-K4395)=0,0,+G4395-K4395)</f>
        <v/>
      </c>
      <c r="O4395" s="7">
        <f>IF(N4395=0,0,(L4395+H4395)/-N4395)</f>
        <v/>
      </c>
      <c r="P4395" s="7">
        <f>VLOOKUP(OPERAC[[#This Row],[especie]],[1]!ESPECIES[#All],6,0)</f>
        <v/>
      </c>
      <c r="Q4395" s="7">
        <f>IF(N4395&lt;&gt;0,P4395*N4395,0)</f>
        <v/>
      </c>
      <c r="R4395" s="8">
        <f>IF(Q4395&lt;&gt;0,Q4395+H4395+L4395,0)</f>
        <v/>
      </c>
      <c r="S4395" s="9">
        <f>VLOOKUP(OPERAC[[#This Row],[especie]],[1]!ESPECIES[#Data],9,FALSE)</f>
        <v/>
      </c>
    </row>
    <row r="4396">
      <c r="A4396" s="4" t="n">
        <v>22407</v>
      </c>
      <c r="B4396" s="5" t="n">
        <v>44648</v>
      </c>
      <c r="C4396" s="13" t="inlineStr">
        <is>
          <t>CPR</t>
        </is>
      </c>
      <c r="D4396" s="13" t="n">
        <v>42</v>
      </c>
      <c r="E4396" s="10">
        <f>IF(D4396&gt;0,VLOOKUP(OPERAC[[#This Row],[COD CART]],[1]!MatrizCortoLargoCyl[#All],3,0),"")</f>
        <v/>
      </c>
      <c r="F4396" s="13" t="inlineStr">
        <is>
          <t>DIS</t>
        </is>
      </c>
      <c r="G4396" s="6" t="n">
        <v>8</v>
      </c>
      <c r="H4396" s="6" t="n">
        <v>-1100.7328</v>
      </c>
      <c r="I4396" s="7">
        <f>-H4396/G4396</f>
        <v/>
      </c>
      <c r="J4396" s="11" t="n">
        <v>44671</v>
      </c>
      <c r="K4396" s="6">
        <f>+OPERAC[[#This Row],[cantidad]]</f>
        <v/>
      </c>
      <c r="L4396" s="6">
        <f>+OPERAC[[#This Row],[cantidad venta]]*123.621</f>
        <v/>
      </c>
      <c r="M4396" s="7">
        <f>IF(N4396=0,+L4396+H4396,0)</f>
        <v/>
      </c>
      <c r="N4396" s="7">
        <f>IF((+G4396-K4396)=0,0,+G4396-K4396)</f>
        <v/>
      </c>
      <c r="O4396" s="7">
        <f>IF(N4396=0,0,(L4396+H4396)/-N4396)</f>
        <v/>
      </c>
      <c r="P4396" s="7">
        <f>VLOOKUP(OPERAC[[#This Row],[especie]],[1]!ESPECIES[#All],6,0)</f>
        <v/>
      </c>
      <c r="Q4396" s="7">
        <f>IF(N4396&lt;&gt;0,P4396*N4396,0)</f>
        <v/>
      </c>
      <c r="R4396" s="8">
        <f>IF(Q4396&lt;&gt;0,Q4396+H4396+L4396,0)</f>
        <v/>
      </c>
      <c r="S4396" s="9">
        <f>VLOOKUP(OPERAC[[#This Row],[especie]],[1]!ESPECIES[#Data],9,FALSE)</f>
        <v/>
      </c>
    </row>
    <row r="4397">
      <c r="A4397" s="4" t="n">
        <v>25070</v>
      </c>
      <c r="B4397" s="5" t="n">
        <v>44648</v>
      </c>
      <c r="C4397" s="13" t="inlineStr">
        <is>
          <t>CPR</t>
        </is>
      </c>
      <c r="D4397" s="13" t="n">
        <v>42</v>
      </c>
      <c r="E4397" s="10">
        <f>IF(D4397&gt;0,VLOOKUP(OPERAC[[#This Row],[COD CART]],[1]!MatrizCortoLargoCyl[#All],3,0),"")</f>
        <v/>
      </c>
      <c r="F4397" s="13" t="inlineStr">
        <is>
          <t>DIS</t>
        </is>
      </c>
      <c r="G4397" s="6" t="n">
        <v>8</v>
      </c>
      <c r="H4397" s="6" t="n">
        <v>-1100.7328</v>
      </c>
      <c r="I4397" s="7">
        <f>-H4397/G4397</f>
        <v/>
      </c>
      <c r="J4397" s="11" t="n">
        <v>44671</v>
      </c>
      <c r="K4397" s="6">
        <f>+OPERAC[[#This Row],[cantidad]]</f>
        <v/>
      </c>
      <c r="L4397" s="6">
        <f>+OPERAC[[#This Row],[cantidad venta]]*123.621</f>
        <v/>
      </c>
      <c r="M4397" s="7">
        <f>IF(N4397=0,+L4397+H4397,0)</f>
        <v/>
      </c>
      <c r="N4397" s="7">
        <f>IF((+G4397-K4397)=0,0,+G4397-K4397)</f>
        <v/>
      </c>
      <c r="O4397" s="7">
        <f>IF(N4397=0,0,(L4397+H4397)/-N4397)</f>
        <v/>
      </c>
      <c r="P4397" s="7">
        <f>VLOOKUP(OPERAC[[#This Row],[especie]],[1]!ESPECIES[#All],6,0)</f>
        <v/>
      </c>
      <c r="Q4397" s="7">
        <f>IF(N4397&lt;&gt;0,P4397*N4397,0)</f>
        <v/>
      </c>
      <c r="R4397" s="8">
        <f>IF(Q4397&lt;&gt;0,Q4397+H4397+L4397,0)</f>
        <v/>
      </c>
      <c r="S4397" s="9">
        <f>VLOOKUP(OPERAC[[#This Row],[especie]],[1]!ESPECIES[#Data],9,FALSE)</f>
        <v/>
      </c>
    </row>
    <row r="4398">
      <c r="A4398" s="4" t="n">
        <v>3728</v>
      </c>
      <c r="B4398" s="5" t="n">
        <v>44628</v>
      </c>
      <c r="C4398" s="13" t="inlineStr">
        <is>
          <t>CPR</t>
        </is>
      </c>
      <c r="D4398" s="13" t="n">
        <v>40</v>
      </c>
      <c r="E4398" s="10">
        <f>IF(D4398&gt;0,VLOOKUP(OPERAC[[#This Row],[COD CART]],[1]!MatrizCortoLargoCyl[#All],3,0),"")</f>
        <v/>
      </c>
      <c r="F4398" s="13" t="inlineStr">
        <is>
          <t>NCPCF</t>
        </is>
      </c>
      <c r="G4398" s="6" t="n">
        <v>10000</v>
      </c>
      <c r="H4398" s="6" t="n">
        <v>-1101.99</v>
      </c>
      <c r="I4398" s="7">
        <f>-H4398/G4398</f>
        <v/>
      </c>
      <c r="J4398" s="11" t="n"/>
      <c r="K4398" s="6" t="n"/>
      <c r="L4398" s="6" t="n"/>
      <c r="M4398" s="7">
        <f>IF(N4398=0,+L4398+H4398,0)</f>
        <v/>
      </c>
      <c r="N4398" s="7">
        <f>IF((+G4398-K4398)=0,0,+G4398-K4398)</f>
        <v/>
      </c>
      <c r="O4398" s="7">
        <f>IF(N4398=0,0,(L4398+H4398)/-N4398)</f>
        <v/>
      </c>
      <c r="P4398" s="7">
        <f>VLOOKUP(OPERAC[[#This Row],[especie]],[1]!ESPECIES[#All],6,0)</f>
        <v/>
      </c>
      <c r="Q4398" s="7">
        <f>IF(N4398&lt;&gt;0,P4398*N4398,0)</f>
        <v/>
      </c>
      <c r="R4398" s="8">
        <f>IF(Q4398&lt;&gt;0,Q4398+H4398+L4398,0)</f>
        <v/>
      </c>
      <c r="S4398" s="9">
        <f>VLOOKUP(OPERAC[[#This Row],[especie]],[1]!ESPECIES[#Data],9,FALSE)</f>
        <v/>
      </c>
    </row>
    <row r="4399">
      <c r="A4399" s="4" t="n">
        <v>22393</v>
      </c>
      <c r="B4399" s="5" t="n">
        <v>44658</v>
      </c>
      <c r="C4399" s="13" t="inlineStr">
        <is>
          <t>CPR</t>
        </is>
      </c>
      <c r="D4399" s="13" t="n">
        <v>41</v>
      </c>
      <c r="E4399" s="10">
        <f>IF(D4399&gt;0,VLOOKUP(OPERAC[[#This Row],[COD CART]],[1]!MatrizCortoLargoCyl[#All],3,0),"")</f>
        <v/>
      </c>
      <c r="F4399" s="13" t="inlineStr">
        <is>
          <t>SQQQ</t>
        </is>
      </c>
      <c r="G4399" s="6" t="n">
        <v>30</v>
      </c>
      <c r="H4399" s="6" t="n">
        <v>-1102.038</v>
      </c>
      <c r="I4399" s="7">
        <f>-H4399/G4399</f>
        <v/>
      </c>
      <c r="J4399" s="11" t="n">
        <v>44663</v>
      </c>
      <c r="K4399" s="6" t="n">
        <v>30</v>
      </c>
      <c r="L4399" s="6" t="n">
        <v>1136.931</v>
      </c>
      <c r="M4399" s="7">
        <f>IF(N4399=0,+L4399+H4399,0)</f>
        <v/>
      </c>
      <c r="N4399" s="7">
        <f>IF((+G4399-K4399)=0,0,+G4399-K4399)</f>
        <v/>
      </c>
      <c r="O4399" s="7">
        <f>IF(N4399=0,0,(L4399+H4399)/-N4399)</f>
        <v/>
      </c>
      <c r="P4399" s="7">
        <f>VLOOKUP(OPERAC[[#This Row],[especie]],[1]!ESPECIES[#All],6,0)</f>
        <v/>
      </c>
      <c r="Q4399" s="7">
        <f>IF(N4399&lt;&gt;0,P4399*N4399,0)</f>
        <v/>
      </c>
      <c r="R4399" s="8">
        <f>IF(Q4399&lt;&gt;0,Q4399+H4399+L4399,0)</f>
        <v/>
      </c>
      <c r="S4399" s="9">
        <f>VLOOKUP(OPERAC[[#This Row],[especie]],[1]!ESPECIES[#Data],9,FALSE)</f>
        <v/>
      </c>
    </row>
    <row r="4400">
      <c r="A4400" s="4" t="n">
        <v>12674</v>
      </c>
      <c r="B4400" s="5" t="n">
        <v>44671</v>
      </c>
      <c r="C4400" s="13" t="inlineStr">
        <is>
          <t>CPR</t>
        </is>
      </c>
      <c r="D4400" s="13" t="n">
        <v>42</v>
      </c>
      <c r="E4400" s="10">
        <f>IF(D4400&gt;0,VLOOKUP(OPERAC[[#This Row],[COD CART]],[1]!MatrizCortoLargoCyl[#All],3,0),"")</f>
        <v/>
      </c>
      <c r="F4400" s="13" t="inlineStr">
        <is>
          <t>TLT</t>
        </is>
      </c>
      <c r="G4400" s="6" t="n">
        <v>9</v>
      </c>
      <c r="H4400" s="6" t="n">
        <v>-1103.067045</v>
      </c>
      <c r="I4400" s="7">
        <f>-H4400/G4400</f>
        <v/>
      </c>
      <c r="J4400" s="11" t="n"/>
      <c r="K4400" s="6" t="n"/>
      <c r="L4400" s="6" t="n"/>
      <c r="M4400" s="7">
        <f>IF(N4400=0,+L4400+H4400,0)</f>
        <v/>
      </c>
      <c r="N4400" s="7">
        <f>IF((+G4400-K4400)=0,0,+G4400-K4400)</f>
        <v/>
      </c>
      <c r="O4400" s="7">
        <f>IF(N4400=0,0,(L4400+H4400)/-N4400)</f>
        <v/>
      </c>
      <c r="P4400" s="7">
        <f>VLOOKUP(OPERAC[[#This Row],[especie]],[1]!ESPECIES[#All],6,0)</f>
        <v/>
      </c>
      <c r="Q4400" s="7">
        <f>IF(N4400&lt;&gt;0,P4400*N4400,0)</f>
        <v/>
      </c>
      <c r="R4400" s="8">
        <f>IF(Q4400&lt;&gt;0,Q4400+H4400+L4400,0)</f>
        <v/>
      </c>
      <c r="S4400" s="9">
        <f>VLOOKUP(OPERAC[[#This Row],[especie]],[1]!ESPECIES[#Data],9,FALSE)</f>
        <v/>
      </c>
    </row>
    <row r="4401">
      <c r="A4401" s="4" t="n">
        <v>18651</v>
      </c>
      <c r="B4401" s="5" t="n">
        <v>44671</v>
      </c>
      <c r="C4401" s="13" t="inlineStr">
        <is>
          <t>CPR</t>
        </is>
      </c>
      <c r="D4401" s="13" t="n">
        <v>42</v>
      </c>
      <c r="E4401" s="10">
        <f>IF(D4401&gt;0,VLOOKUP(OPERAC[[#This Row],[COD CART]],[1]!MatrizCortoLargoCyl[#All],3,0),"")</f>
        <v/>
      </c>
      <c r="F4401" s="13" t="inlineStr">
        <is>
          <t>TLT</t>
        </is>
      </c>
      <c r="G4401" s="6" t="n">
        <v>9</v>
      </c>
      <c r="H4401" s="6" t="n">
        <v>-1103.067045</v>
      </c>
      <c r="I4401" s="7">
        <f>-H4401/G4401</f>
        <v/>
      </c>
      <c r="J4401" s="11" t="n"/>
      <c r="K4401" s="6" t="n"/>
      <c r="L4401" s="6" t="n"/>
      <c r="M4401" s="7">
        <f>IF(N4401=0,+L4401+H4401,0)</f>
        <v/>
      </c>
      <c r="N4401" s="7">
        <f>IF((+G4401-K4401)=0,0,+G4401-K4401)</f>
        <v/>
      </c>
      <c r="O4401" s="7">
        <f>IF(N4401=0,0,(L4401+H4401)/-N4401)</f>
        <v/>
      </c>
      <c r="P4401" s="7">
        <f>VLOOKUP(OPERAC[[#This Row],[especie]],[1]!ESPECIES[#All],6,0)</f>
        <v/>
      </c>
      <c r="Q4401" s="7">
        <f>IF(N4401&lt;&gt;0,P4401*N4401,0)</f>
        <v/>
      </c>
      <c r="R4401" s="8">
        <f>IF(Q4401&lt;&gt;0,Q4401+H4401+L4401,0)</f>
        <v/>
      </c>
      <c r="S4401" s="9">
        <f>VLOOKUP(OPERAC[[#This Row],[especie]],[1]!ESPECIES[#Data],9,FALSE)</f>
        <v/>
      </c>
    </row>
    <row r="4402">
      <c r="A4402" s="4" t="n">
        <v>3835</v>
      </c>
      <c r="B4402" s="5" t="n">
        <v>44648</v>
      </c>
      <c r="C4402" s="13" t="inlineStr">
        <is>
          <t>CPR</t>
        </is>
      </c>
      <c r="D4402" s="13" t="n">
        <v>42</v>
      </c>
      <c r="E4402" s="10">
        <f>IF(D4402&gt;0,VLOOKUP(OPERAC[[#This Row],[COD CART]],[1]!MatrizCortoLargoCyl[#All],3,0),"")</f>
        <v/>
      </c>
      <c r="F4402" s="13" t="inlineStr">
        <is>
          <t>FB</t>
        </is>
      </c>
      <c r="G4402" s="6" t="n">
        <v>5</v>
      </c>
      <c r="H4402" s="6" t="n">
        <v>-1103.1149</v>
      </c>
      <c r="I4402" s="7">
        <f>-H4402/G4402</f>
        <v/>
      </c>
      <c r="J4402" s="11" t="n">
        <v>44671</v>
      </c>
      <c r="K4402" s="6">
        <f>+OPERAC[[#This Row],[cantidad]]</f>
        <v/>
      </c>
      <c r="L4402" s="6">
        <f>+OPERAC[[#This Row],[cantidad venta]]*213.173</f>
        <v/>
      </c>
      <c r="M4402" s="7">
        <f>IF(N4402=0,+L4402+H4402,0)</f>
        <v/>
      </c>
      <c r="N4402" s="7">
        <f>IF((+G4402-K4402)=0,0,+G4402-K4402)</f>
        <v/>
      </c>
      <c r="O4402" s="7">
        <f>IF(N4402=0,0,(L4402+H4402)/-N4402)</f>
        <v/>
      </c>
      <c r="P4402" s="7">
        <f>VLOOKUP(OPERAC[[#This Row],[especie]],[1]!ESPECIES[#All],6,0)</f>
        <v/>
      </c>
      <c r="Q4402" s="7">
        <f>IF(N4402&lt;&gt;0,P4402*N4402,0)</f>
        <v/>
      </c>
      <c r="R4402" s="8">
        <f>IF(Q4402&lt;&gt;0,Q4402+H4402+L4402,0)</f>
        <v/>
      </c>
      <c r="S4402" s="9">
        <f>VLOOKUP(OPERAC[[#This Row],[especie]],[1]!ESPECIES[#Data],9,FALSE)</f>
        <v/>
      </c>
    </row>
    <row r="4403">
      <c r="A4403" s="4" t="n">
        <v>3728</v>
      </c>
      <c r="B4403" s="5" t="n">
        <v>44573</v>
      </c>
      <c r="C4403" s="13" t="inlineStr">
        <is>
          <t>CPR</t>
        </is>
      </c>
      <c r="D4403" s="13" t="n">
        <v>39</v>
      </c>
      <c r="E4403" s="10">
        <f>IF(D4403&gt;0,VLOOKUP(OPERAC[[#This Row],[COD CART]],[1]!MatrizCortoLargoCyl[#All],3,0),"")</f>
        <v/>
      </c>
      <c r="F4403" s="13" t="inlineStr">
        <is>
          <t>CL/V/60,00/MAYO-2022</t>
        </is>
      </c>
      <c r="G4403" s="6" t="n">
        <v>1000</v>
      </c>
      <c r="H4403" s="6" t="n">
        <v>-1103.47</v>
      </c>
      <c r="I4403" s="7">
        <f>-H4403/G4403</f>
        <v/>
      </c>
      <c r="J4403" s="11" t="n">
        <v>44641</v>
      </c>
      <c r="K4403" s="6" t="n">
        <v>1000</v>
      </c>
      <c r="L4403" s="6" t="n">
        <v>97.53</v>
      </c>
      <c r="M4403" s="7">
        <f>IF(N4403=0,+L4403+H4403,0)</f>
        <v/>
      </c>
      <c r="N4403" s="7">
        <f>IF((+G4403-K4403)=0,0,+G4403-K4403)</f>
        <v/>
      </c>
      <c r="O4403" s="7">
        <f>IF(N4403=0,0,(L4403+H4403)/-N4403)</f>
        <v/>
      </c>
      <c r="P4403" s="7">
        <f>VLOOKUP(OPERAC[[#This Row],[especie]],[1]!ESPECIES[#All],6,0)</f>
        <v/>
      </c>
      <c r="Q4403" s="7">
        <f>IF(N4403&lt;&gt;0,P4403*N4403,0)</f>
        <v/>
      </c>
      <c r="R4403" s="8">
        <f>IF(Q4403&lt;&gt;0,Q4403+H4403+L4403,0)</f>
        <v/>
      </c>
      <c r="S4403" s="9">
        <f>VLOOKUP(OPERAC[[#This Row],[especie]],[1]!ESPECIES[#Data],9,FALSE)</f>
        <v/>
      </c>
    </row>
    <row r="4404">
      <c r="A4404" s="4" t="n">
        <v>2306</v>
      </c>
      <c r="B4404" s="5" t="n">
        <v>44721</v>
      </c>
      <c r="C4404" s="13" t="inlineStr">
        <is>
          <t>CPR</t>
        </is>
      </c>
      <c r="D4404" s="13" t="n">
        <v>32</v>
      </c>
      <c r="E4404" s="10">
        <f>IF(D4404&gt;0,VLOOKUP(OPERAC[[#This Row],[COD CART]],[1]!MatrizCortoLargoCyl[#All],3,0),"")</f>
        <v/>
      </c>
      <c r="F4404" s="13" t="inlineStr">
        <is>
          <t>CCL/CYL/11,5/17-06-22</t>
        </is>
      </c>
      <c r="G4404" s="6" t="n">
        <v>100</v>
      </c>
      <c r="H4404" s="6">
        <f>-11.066*100</f>
        <v/>
      </c>
      <c r="I4404" s="7">
        <f>-H4404/G4404</f>
        <v/>
      </c>
      <c r="J4404" s="5" t="n"/>
      <c r="K4404" s="6" t="n"/>
      <c r="L4404" s="6" t="n"/>
      <c r="M4404" s="7">
        <f>IF(N4404=0,+L4404+H4404,0)</f>
        <v/>
      </c>
      <c r="N4404" s="7">
        <f>IF((+G4404-K4404)=0,0,+G4404-K4404)</f>
        <v/>
      </c>
      <c r="O4404" s="7">
        <f>IF(N4404=0,0,(L4404+H4404)/-N4404)</f>
        <v/>
      </c>
      <c r="P4404" s="7">
        <f>VLOOKUP(OPERAC[[#This Row],[especie]],[1]!ESPECIES[#All],6,0)</f>
        <v/>
      </c>
      <c r="Q4404" s="7">
        <f>IF(N4404&lt;&gt;0,P4404*N4404,0)</f>
        <v/>
      </c>
      <c r="R4404" s="8">
        <f>IF(Q4404&lt;&gt;0,Q4404+H4404+L4404,0)</f>
        <v/>
      </c>
      <c r="S4404" s="9">
        <f>VLOOKUP(OPERAC[[#This Row],[especie]],[1]!ESPECIES[#Data],9,FALSE)</f>
        <v/>
      </c>
    </row>
    <row r="4405">
      <c r="A4405" s="4" t="n">
        <v>7493</v>
      </c>
      <c r="B4405" s="5" t="n">
        <v>44721</v>
      </c>
      <c r="C4405" s="13" t="inlineStr">
        <is>
          <t>CPR</t>
        </is>
      </c>
      <c r="D4405" s="13" t="n">
        <v>32</v>
      </c>
      <c r="E4405" s="10">
        <f>IF(D4405&gt;0,VLOOKUP(OPERAC[[#This Row],[COD CART]],[1]!MatrizCortoLargoCyl[#All],3,0),"")</f>
        <v/>
      </c>
      <c r="F4405" s="13" t="inlineStr">
        <is>
          <t>CCL/CYL/11,5/17-06-22</t>
        </is>
      </c>
      <c r="G4405" s="6" t="n">
        <v>100</v>
      </c>
      <c r="H4405" s="6">
        <f>-11.066*100</f>
        <v/>
      </c>
      <c r="I4405" s="7">
        <f>-H4405/G4405</f>
        <v/>
      </c>
      <c r="J4405" s="5" t="n"/>
      <c r="K4405" s="6" t="n"/>
      <c r="L4405" s="6" t="n"/>
      <c r="M4405" s="7">
        <f>IF(N4405=0,+L4405+H4405,0)</f>
        <v/>
      </c>
      <c r="N4405" s="7">
        <f>IF((+G4405-K4405)=0,0,+G4405-K4405)</f>
        <v/>
      </c>
      <c r="O4405" s="7">
        <f>IF(N4405=0,0,(L4405+H4405)/-N4405)</f>
        <v/>
      </c>
      <c r="P4405" s="7">
        <f>VLOOKUP(OPERAC[[#This Row],[especie]],[1]!ESPECIES[#All],6,0)</f>
        <v/>
      </c>
      <c r="Q4405" s="7">
        <f>IF(N4405&lt;&gt;0,P4405*N4405,0)</f>
        <v/>
      </c>
      <c r="R4405" s="8">
        <f>IF(Q4405&lt;&gt;0,Q4405+H4405+L4405,0)</f>
        <v/>
      </c>
      <c r="S4405" s="9">
        <f>VLOOKUP(OPERAC[[#This Row],[especie]],[1]!ESPECIES[#Data],9,FALSE)</f>
        <v/>
      </c>
    </row>
    <row r="4406">
      <c r="A4406" s="4" t="n">
        <v>2257</v>
      </c>
      <c r="B4406" s="5" t="n">
        <v>44721</v>
      </c>
      <c r="C4406" s="13" t="inlineStr">
        <is>
          <t>CPR</t>
        </is>
      </c>
      <c r="D4406" s="13" t="n">
        <v>32</v>
      </c>
      <c r="E4406" s="10">
        <f>IF(D4406&gt;0,VLOOKUP(OPERAC[[#This Row],[COD CART]],[1]!MatrizCortoLargoCyl[#All],3,0),"")</f>
        <v/>
      </c>
      <c r="F4406" s="13" t="inlineStr">
        <is>
          <t>CCL/CYL/11,5/17-06-22</t>
        </is>
      </c>
      <c r="G4406" s="6" t="n">
        <v>100</v>
      </c>
      <c r="H4406" s="6">
        <f>-11.066*100</f>
        <v/>
      </c>
      <c r="I4406" s="7">
        <f>-H4406/G4406</f>
        <v/>
      </c>
      <c r="J4406" s="5" t="n"/>
      <c r="K4406" s="6" t="n"/>
      <c r="L4406" s="6" t="n"/>
      <c r="M4406" s="7">
        <f>IF(N4406=0,+L4406+H4406,0)</f>
        <v/>
      </c>
      <c r="N4406" s="7">
        <f>IF((+G4406-K4406)=0,0,+G4406-K4406)</f>
        <v/>
      </c>
      <c r="O4406" s="7">
        <f>IF(N4406=0,0,(L4406+H4406)/-N4406)</f>
        <v/>
      </c>
      <c r="P4406" s="7">
        <f>VLOOKUP(OPERAC[[#This Row],[especie]],[1]!ESPECIES[#All],6,0)</f>
        <v/>
      </c>
      <c r="Q4406" s="7">
        <f>IF(N4406&lt;&gt;0,P4406*N4406,0)</f>
        <v/>
      </c>
      <c r="R4406" s="8">
        <f>IF(Q4406&lt;&gt;0,Q4406+H4406+L4406,0)</f>
        <v/>
      </c>
      <c r="S4406" s="9">
        <f>VLOOKUP(OPERAC[[#This Row],[especie]],[1]!ESPECIES[#Data],9,FALSE)</f>
        <v/>
      </c>
    </row>
    <row r="4407">
      <c r="A4407" s="4" t="n">
        <v>2255</v>
      </c>
      <c r="B4407" s="5" t="n">
        <v>44721</v>
      </c>
      <c r="C4407" s="13" t="inlineStr">
        <is>
          <t>CPR</t>
        </is>
      </c>
      <c r="D4407" s="13" t="n">
        <v>32</v>
      </c>
      <c r="E4407" s="10">
        <f>IF(D4407&gt;0,VLOOKUP(OPERAC[[#This Row],[COD CART]],[1]!MatrizCortoLargoCyl[#All],3,0),"")</f>
        <v/>
      </c>
      <c r="F4407" s="13" t="inlineStr">
        <is>
          <t>CCL/CYL/11,5/17-06-22</t>
        </is>
      </c>
      <c r="G4407" s="6" t="n">
        <v>100</v>
      </c>
      <c r="H4407" s="6">
        <f>-11.066*100</f>
        <v/>
      </c>
      <c r="I4407" s="7">
        <f>-H4407/G4407</f>
        <v/>
      </c>
      <c r="J4407" s="5" t="n"/>
      <c r="K4407" s="6" t="n"/>
      <c r="L4407" s="6" t="n"/>
      <c r="M4407" s="7">
        <f>IF(N4407=0,+L4407+H4407,0)</f>
        <v/>
      </c>
      <c r="N4407" s="7">
        <f>IF((+G4407-K4407)=0,0,+G4407-K4407)</f>
        <v/>
      </c>
      <c r="O4407" s="7">
        <f>IF(N4407=0,0,(L4407+H4407)/-N4407)</f>
        <v/>
      </c>
      <c r="P4407" s="7">
        <f>VLOOKUP(OPERAC[[#This Row],[especie]],[1]!ESPECIES[#All],6,0)</f>
        <v/>
      </c>
      <c r="Q4407" s="7">
        <f>IF(N4407&lt;&gt;0,P4407*N4407,0)</f>
        <v/>
      </c>
      <c r="R4407" s="8">
        <f>IF(Q4407&lt;&gt;0,Q4407+H4407+L4407,0)</f>
        <v/>
      </c>
      <c r="S4407" s="9">
        <f>VLOOKUP(OPERAC[[#This Row],[especie]],[1]!ESPECIES[#Data],9,FALSE)</f>
        <v/>
      </c>
    </row>
    <row r="4408">
      <c r="A4408" s="4" t="n">
        <v>12671</v>
      </c>
      <c r="B4408" s="5" t="n">
        <v>44721</v>
      </c>
      <c r="C4408" s="13" t="inlineStr">
        <is>
          <t>CPR</t>
        </is>
      </c>
      <c r="D4408" s="13" t="n">
        <v>32</v>
      </c>
      <c r="E4408" s="10">
        <f>IF(D4408&gt;0,VLOOKUP(OPERAC[[#This Row],[COD CART]],[1]!MatrizCortoLargoCyl[#All],3,0),"")</f>
        <v/>
      </c>
      <c r="F4408" s="13" t="inlineStr">
        <is>
          <t>CCL/CYL/11,5/17-06-22</t>
        </is>
      </c>
      <c r="G4408" s="6" t="n">
        <v>100</v>
      </c>
      <c r="H4408" s="6">
        <f>-11.066*100</f>
        <v/>
      </c>
      <c r="I4408" s="7">
        <f>-H4408/G4408</f>
        <v/>
      </c>
      <c r="J4408" s="5" t="n"/>
      <c r="K4408" s="6" t="n"/>
      <c r="L4408" s="6" t="n"/>
      <c r="M4408" s="7">
        <f>IF(N4408=0,+L4408+H4408,0)</f>
        <v/>
      </c>
      <c r="N4408" s="7">
        <f>IF((+G4408-K4408)=0,0,+G4408-K4408)</f>
        <v/>
      </c>
      <c r="O4408" s="7">
        <f>IF(N4408=0,0,(L4408+H4408)/-N4408)</f>
        <v/>
      </c>
      <c r="P4408" s="7">
        <f>VLOOKUP(OPERAC[[#This Row],[especie]],[1]!ESPECIES[#All],6,0)</f>
        <v/>
      </c>
      <c r="Q4408" s="7">
        <f>IF(N4408&lt;&gt;0,P4408*N4408,0)</f>
        <v/>
      </c>
      <c r="R4408" s="8">
        <f>IF(Q4408&lt;&gt;0,Q4408+H4408+L4408,0)</f>
        <v/>
      </c>
      <c r="S4408" s="9">
        <f>VLOOKUP(OPERAC[[#This Row],[especie]],[1]!ESPECIES[#Data],9,FALSE)</f>
        <v/>
      </c>
    </row>
    <row r="4409">
      <c r="A4409" s="4" t="n">
        <v>7895</v>
      </c>
      <c r="B4409" s="5" t="n">
        <v>44721</v>
      </c>
      <c r="C4409" s="13" t="inlineStr">
        <is>
          <t>CPR</t>
        </is>
      </c>
      <c r="D4409" s="13" t="n">
        <v>32</v>
      </c>
      <c r="E4409" s="10">
        <f>IF(D4409&gt;0,VLOOKUP(OPERAC[[#This Row],[COD CART]],[1]!MatrizCortoLargoCyl[#All],3,0),"")</f>
        <v/>
      </c>
      <c r="F4409" s="13" t="inlineStr">
        <is>
          <t>CCL/CYL/11,5/17-06-22</t>
        </is>
      </c>
      <c r="G4409" s="6" t="n">
        <v>100</v>
      </c>
      <c r="H4409" s="6">
        <f>-11.066*100</f>
        <v/>
      </c>
      <c r="I4409" s="7">
        <f>-H4409/G4409</f>
        <v/>
      </c>
      <c r="J4409" s="5" t="n"/>
      <c r="K4409" s="6" t="n"/>
      <c r="L4409" s="6" t="n"/>
      <c r="M4409" s="7">
        <f>IF(N4409=0,+L4409+H4409,0)</f>
        <v/>
      </c>
      <c r="N4409" s="7">
        <f>IF((+G4409-K4409)=0,0,+G4409-K4409)</f>
        <v/>
      </c>
      <c r="O4409" s="7">
        <f>IF(N4409=0,0,(L4409+H4409)/-N4409)</f>
        <v/>
      </c>
      <c r="P4409" s="7">
        <f>VLOOKUP(OPERAC[[#This Row],[especie]],[1]!ESPECIES[#All],6,0)</f>
        <v/>
      </c>
      <c r="Q4409" s="7">
        <f>IF(N4409&lt;&gt;0,P4409*N4409,0)</f>
        <v/>
      </c>
      <c r="R4409" s="8">
        <f>IF(Q4409&lt;&gt;0,Q4409+H4409+L4409,0)</f>
        <v/>
      </c>
      <c r="S4409" s="9">
        <f>VLOOKUP(OPERAC[[#This Row],[especie]],[1]!ESPECIES[#Data],9,FALSE)</f>
        <v/>
      </c>
    </row>
    <row r="4410">
      <c r="A4410" s="4" t="n">
        <v>3728</v>
      </c>
      <c r="B4410" s="5" t="n">
        <v>44721</v>
      </c>
      <c r="C4410" s="13" t="inlineStr">
        <is>
          <t>CPR</t>
        </is>
      </c>
      <c r="D4410" s="13" t="n">
        <v>32</v>
      </c>
      <c r="E4410" s="10">
        <f>IF(D4410&gt;0,VLOOKUP(OPERAC[[#This Row],[COD CART]],[1]!MatrizCortoLargoCyl[#All],3,0),"")</f>
        <v/>
      </c>
      <c r="F4410" s="13" t="inlineStr">
        <is>
          <t>CCL/CYL/11,5/17-06-22</t>
        </is>
      </c>
      <c r="G4410" s="6" t="n">
        <v>100</v>
      </c>
      <c r="H4410" s="6">
        <f>-11.066*100</f>
        <v/>
      </c>
      <c r="I4410" s="7">
        <f>-H4410/G4410</f>
        <v/>
      </c>
      <c r="J4410" s="5" t="n"/>
      <c r="K4410" s="6" t="n"/>
      <c r="L4410" s="6" t="n"/>
      <c r="M4410" s="7">
        <f>IF(N4410=0,+L4410+H4410,0)</f>
        <v/>
      </c>
      <c r="N4410" s="7">
        <f>IF((+G4410-K4410)=0,0,+G4410-K4410)</f>
        <v/>
      </c>
      <c r="O4410" s="7">
        <f>IF(N4410=0,0,(L4410+H4410)/-N4410)</f>
        <v/>
      </c>
      <c r="P4410" s="7">
        <f>VLOOKUP(OPERAC[[#This Row],[especie]],[1]!ESPECIES[#All],6,0)</f>
        <v/>
      </c>
      <c r="Q4410" s="7">
        <f>IF(N4410&lt;&gt;0,P4410*N4410,0)</f>
        <v/>
      </c>
      <c r="R4410" s="8">
        <f>IF(Q4410&lt;&gt;0,Q4410+H4410+L4410,0)</f>
        <v/>
      </c>
      <c r="S4410" s="9">
        <f>VLOOKUP(OPERAC[[#This Row],[especie]],[1]!ESPECIES[#Data],9,FALSE)</f>
        <v/>
      </c>
    </row>
    <row r="4411">
      <c r="A4411" s="4" t="n">
        <v>3787</v>
      </c>
      <c r="B4411" s="5" t="n">
        <v>44547</v>
      </c>
      <c r="C4411" s="13" t="inlineStr">
        <is>
          <t>CPR</t>
        </is>
      </c>
      <c r="D4411" s="13" t="n">
        <v>32</v>
      </c>
      <c r="E4411" s="10">
        <f>IF(D4411&gt;0,VLOOKUP(OPERAC[[#This Row],[COD CART]],[1]!MatrizCortoLargoCyl[#All],3,0),"")</f>
        <v/>
      </c>
      <c r="F4411" s="13" t="inlineStr">
        <is>
          <t>HIMX/CYL/12,00/21-01-22</t>
        </is>
      </c>
      <c r="G4411" s="6" t="n">
        <v>100</v>
      </c>
      <c r="H4411" s="6" t="n">
        <v>-1109.5304</v>
      </c>
      <c r="I4411" s="7">
        <f>-H4411/G4411</f>
        <v/>
      </c>
      <c r="J4411" s="11" t="n">
        <v>44575</v>
      </c>
      <c r="K4411" s="6" t="n">
        <v>100</v>
      </c>
      <c r="L4411" s="6" t="n">
        <v>1170.618</v>
      </c>
      <c r="M4411" s="7">
        <f>IF(N4411=0,+L4411+H4411,0)</f>
        <v/>
      </c>
      <c r="N4411" s="7">
        <f>IF((+G4411-K4411)=0,0,+G4411-K4411)</f>
        <v/>
      </c>
      <c r="O4411" s="7">
        <f>IF(N4411=0,0,(L4411+H4411)/-N4411)</f>
        <v/>
      </c>
      <c r="P4411" s="7">
        <f>VLOOKUP(OPERAC[[#This Row],[especie]],[1]!ESPECIES[#All],6,0)</f>
        <v/>
      </c>
      <c r="Q4411" s="7">
        <f>IF(N4411&lt;&gt;0,P4411*N4411,0)</f>
        <v/>
      </c>
      <c r="R4411" s="8">
        <f>IF(Q4411&lt;&gt;0,Q4411+H4411+L4411,0)</f>
        <v/>
      </c>
      <c r="S4411" s="9">
        <f>VLOOKUP(OPERAC[[#This Row],[especie]],[1]!ESPECIES[#Data],9,FALSE)</f>
        <v/>
      </c>
    </row>
    <row r="4412">
      <c r="A4412" s="4" t="n">
        <v>3853</v>
      </c>
      <c r="B4412" s="5" t="n">
        <v>44547</v>
      </c>
      <c r="C4412" s="13" t="inlineStr">
        <is>
          <t>CPR</t>
        </is>
      </c>
      <c r="D4412" s="13" t="n">
        <v>32</v>
      </c>
      <c r="E4412" s="10">
        <f>IF(D4412&gt;0,VLOOKUP(OPERAC[[#This Row],[COD CART]],[1]!MatrizCortoLargoCyl[#All],3,0),"")</f>
        <v/>
      </c>
      <c r="F4412" s="13" t="inlineStr">
        <is>
          <t>HIMX/CYL/12,00/21-01-22</t>
        </is>
      </c>
      <c r="G4412" s="6" t="n">
        <v>100</v>
      </c>
      <c r="H4412" s="6" t="n">
        <v>-1109.5304</v>
      </c>
      <c r="I4412" s="7">
        <f>-H4412/G4412</f>
        <v/>
      </c>
      <c r="J4412" s="11" t="n">
        <v>44575</v>
      </c>
      <c r="K4412" s="6" t="n">
        <v>100</v>
      </c>
      <c r="L4412" s="6" t="n">
        <v>1170.618</v>
      </c>
      <c r="M4412" s="7">
        <f>IF(N4412=0,+L4412+H4412,0)</f>
        <v/>
      </c>
      <c r="N4412" s="7">
        <f>IF((+G4412-K4412)=0,0,+G4412-K4412)</f>
        <v/>
      </c>
      <c r="O4412" s="7">
        <f>IF(N4412=0,0,(L4412+H4412)/-N4412)</f>
        <v/>
      </c>
      <c r="P4412" s="7">
        <f>VLOOKUP(OPERAC[[#This Row],[especie]],[1]!ESPECIES[#All],6,0)</f>
        <v/>
      </c>
      <c r="Q4412" s="7">
        <f>IF(N4412&lt;&gt;0,P4412*N4412,0)</f>
        <v/>
      </c>
      <c r="R4412" s="8">
        <f>IF(Q4412&lt;&gt;0,Q4412+H4412+L4412,0)</f>
        <v/>
      </c>
      <c r="S4412" s="9">
        <f>VLOOKUP(OPERAC[[#This Row],[especie]],[1]!ESPECIES[#Data],9,FALSE)</f>
        <v/>
      </c>
    </row>
    <row r="4413">
      <c r="A4413" s="4" t="n">
        <v>3867</v>
      </c>
      <c r="B4413" s="5" t="n">
        <v>44547</v>
      </c>
      <c r="C4413" s="13" t="inlineStr">
        <is>
          <t>CPR</t>
        </is>
      </c>
      <c r="D4413" s="13" t="n">
        <v>32</v>
      </c>
      <c r="E4413" s="10">
        <f>IF(D4413&gt;0,VLOOKUP(OPERAC[[#This Row],[COD CART]],[1]!MatrizCortoLargoCyl[#All],3,0),"")</f>
        <v/>
      </c>
      <c r="F4413" s="13" t="inlineStr">
        <is>
          <t>HIMX/CYL/12,00/21-01-22</t>
        </is>
      </c>
      <c r="G4413" s="6" t="n">
        <v>100</v>
      </c>
      <c r="H4413" s="6" t="n">
        <v>-1109.5304</v>
      </c>
      <c r="I4413" s="7">
        <f>-H4413/G4413</f>
        <v/>
      </c>
      <c r="J4413" s="11" t="n">
        <v>44575</v>
      </c>
      <c r="K4413" s="6" t="n">
        <v>100</v>
      </c>
      <c r="L4413" s="6" t="n">
        <v>1170.618</v>
      </c>
      <c r="M4413" s="7">
        <f>IF(N4413=0,+L4413+H4413,0)</f>
        <v/>
      </c>
      <c r="N4413" s="7">
        <f>IF((+G4413-K4413)=0,0,+G4413-K4413)</f>
        <v/>
      </c>
      <c r="O4413" s="7">
        <f>IF(N4413=0,0,(L4413+H4413)/-N4413)</f>
        <v/>
      </c>
      <c r="P4413" s="7">
        <f>VLOOKUP(OPERAC[[#This Row],[especie]],[1]!ESPECIES[#All],6,0)</f>
        <v/>
      </c>
      <c r="Q4413" s="7">
        <f>IF(N4413&lt;&gt;0,P4413*N4413,0)</f>
        <v/>
      </c>
      <c r="R4413" s="8">
        <f>IF(Q4413&lt;&gt;0,Q4413+H4413+L4413,0)</f>
        <v/>
      </c>
      <c r="S4413" s="9">
        <f>VLOOKUP(OPERAC[[#This Row],[especie]],[1]!ESPECIES[#Data],9,FALSE)</f>
        <v/>
      </c>
    </row>
    <row r="4414">
      <c r="A4414" s="4" t="n">
        <v>7493</v>
      </c>
      <c r="B4414" s="5" t="n">
        <v>44547</v>
      </c>
      <c r="C4414" s="13" t="inlineStr">
        <is>
          <t>CPR</t>
        </is>
      </c>
      <c r="D4414" s="13" t="n">
        <v>32</v>
      </c>
      <c r="E4414" s="10">
        <f>IF(D4414&gt;0,VLOOKUP(OPERAC[[#This Row],[COD CART]],[1]!MatrizCortoLargoCyl[#All],3,0),"")</f>
        <v/>
      </c>
      <c r="F4414" s="13" t="inlineStr">
        <is>
          <t>HIMX/CYL/12,00/21-01-22</t>
        </is>
      </c>
      <c r="G4414" s="6" t="n">
        <v>100</v>
      </c>
      <c r="H4414" s="6" t="n">
        <v>-1109.5304</v>
      </c>
      <c r="I4414" s="7">
        <f>-H4414/G4414</f>
        <v/>
      </c>
      <c r="J4414" s="11" t="n">
        <v>44575</v>
      </c>
      <c r="K4414" s="6" t="n">
        <v>100</v>
      </c>
      <c r="L4414" s="6" t="n">
        <v>1170.618</v>
      </c>
      <c r="M4414" s="7">
        <f>IF(N4414=0,+L4414+H4414,0)</f>
        <v/>
      </c>
      <c r="N4414" s="7">
        <f>IF((+G4414-K4414)=0,0,+G4414-K4414)</f>
        <v/>
      </c>
      <c r="O4414" s="7">
        <f>IF(N4414=0,0,(L4414+H4414)/-N4414)</f>
        <v/>
      </c>
      <c r="P4414" s="7">
        <f>VLOOKUP(OPERAC[[#This Row],[especie]],[1]!ESPECIES[#All],6,0)</f>
        <v/>
      </c>
      <c r="Q4414" s="7">
        <f>IF(N4414&lt;&gt;0,P4414*N4414,0)</f>
        <v/>
      </c>
      <c r="R4414" s="8">
        <f>IF(Q4414&lt;&gt;0,Q4414+H4414+L4414,0)</f>
        <v/>
      </c>
      <c r="S4414" s="9">
        <f>VLOOKUP(OPERAC[[#This Row],[especie]],[1]!ESPECIES[#Data],9,FALSE)</f>
        <v/>
      </c>
    </row>
    <row r="4415">
      <c r="A4415" s="4" t="n">
        <v>18697</v>
      </c>
      <c r="B4415" s="5" t="n">
        <v>44547</v>
      </c>
      <c r="C4415" s="13" t="inlineStr">
        <is>
          <t>CPR</t>
        </is>
      </c>
      <c r="D4415" s="13" t="n">
        <v>32</v>
      </c>
      <c r="E4415" s="10">
        <f>IF(D4415&gt;0,VLOOKUP(OPERAC[[#This Row],[COD CART]],[1]!MatrizCortoLargoCyl[#All],3,0),"")</f>
        <v/>
      </c>
      <c r="F4415" s="13" t="inlineStr">
        <is>
          <t>HIMX/CYL/12,00/21-01-22</t>
        </is>
      </c>
      <c r="G4415" s="6" t="n">
        <v>100</v>
      </c>
      <c r="H4415" s="6" t="n">
        <v>-1109.5304</v>
      </c>
      <c r="I4415" s="7">
        <f>-H4415/G4415</f>
        <v/>
      </c>
      <c r="J4415" s="11" t="n">
        <v>44575</v>
      </c>
      <c r="K4415" s="6" t="n">
        <v>100</v>
      </c>
      <c r="L4415" s="6" t="n">
        <v>1170.618</v>
      </c>
      <c r="M4415" s="7">
        <f>IF(N4415=0,+L4415+H4415,0)</f>
        <v/>
      </c>
      <c r="N4415" s="7">
        <f>IF((+G4415-K4415)=0,0,+G4415-K4415)</f>
        <v/>
      </c>
      <c r="O4415" s="7">
        <f>IF(N4415=0,0,(L4415+H4415)/-N4415)</f>
        <v/>
      </c>
      <c r="P4415" s="7">
        <f>VLOOKUP(OPERAC[[#This Row],[especie]],[1]!ESPECIES[#All],6,0)</f>
        <v/>
      </c>
      <c r="Q4415" s="7">
        <f>IF(N4415&lt;&gt;0,P4415*N4415,0)</f>
        <v/>
      </c>
      <c r="R4415" s="8">
        <f>IF(Q4415&lt;&gt;0,Q4415+H4415+L4415,0)</f>
        <v/>
      </c>
      <c r="S4415" s="9">
        <f>VLOOKUP(OPERAC[[#This Row],[especie]],[1]!ESPECIES[#Data],9,FALSE)</f>
        <v/>
      </c>
    </row>
    <row r="4416">
      <c r="A4416" s="4" t="n">
        <v>19888</v>
      </c>
      <c r="B4416" s="5" t="n">
        <v>44547</v>
      </c>
      <c r="C4416" s="13" t="inlineStr">
        <is>
          <t>CPR</t>
        </is>
      </c>
      <c r="D4416" s="13" t="n">
        <v>32</v>
      </c>
      <c r="E4416" s="10">
        <f>IF(D4416&gt;0,VLOOKUP(OPERAC[[#This Row],[COD CART]],[1]!MatrizCortoLargoCyl[#All],3,0),"")</f>
        <v/>
      </c>
      <c r="F4416" s="13" t="inlineStr">
        <is>
          <t>HIMX/CYL/12,00/21-01-22</t>
        </is>
      </c>
      <c r="G4416" s="6" t="n">
        <v>100</v>
      </c>
      <c r="H4416" s="6" t="n">
        <v>-1109.5304</v>
      </c>
      <c r="I4416" s="7">
        <f>-H4416/G4416</f>
        <v/>
      </c>
      <c r="J4416" s="11" t="n">
        <v>44575</v>
      </c>
      <c r="K4416" s="6" t="n">
        <v>100</v>
      </c>
      <c r="L4416" s="6" t="n">
        <v>1170.618</v>
      </c>
      <c r="M4416" s="7">
        <f>IF(N4416=0,+L4416+H4416,0)</f>
        <v/>
      </c>
      <c r="N4416" s="7">
        <f>IF((+G4416-K4416)=0,0,+G4416-K4416)</f>
        <v/>
      </c>
      <c r="O4416" s="7">
        <f>IF(N4416=0,0,(L4416+H4416)/-N4416)</f>
        <v/>
      </c>
      <c r="P4416" s="7">
        <f>VLOOKUP(OPERAC[[#This Row],[especie]],[1]!ESPECIES[#All],6,0)</f>
        <v/>
      </c>
      <c r="Q4416" s="7">
        <f>IF(N4416&lt;&gt;0,P4416*N4416,0)</f>
        <v/>
      </c>
      <c r="R4416" s="8">
        <f>IF(Q4416&lt;&gt;0,Q4416+H4416+L4416,0)</f>
        <v/>
      </c>
      <c r="S4416" s="9">
        <f>VLOOKUP(OPERAC[[#This Row],[especie]],[1]!ESPECIES[#Data],9,FALSE)</f>
        <v/>
      </c>
    </row>
    <row r="4417">
      <c r="A4417" s="4" t="n">
        <v>16783</v>
      </c>
      <c r="B4417" s="5" t="n">
        <v>44648</v>
      </c>
      <c r="C4417" s="13" t="inlineStr">
        <is>
          <t>CPR</t>
        </is>
      </c>
      <c r="D4417" s="13" t="n">
        <v>31</v>
      </c>
      <c r="E4417" s="10">
        <f>IF(D4417&gt;0,VLOOKUP(OPERAC[[#This Row],[COD CART]],[1]!MatrizCortoLargoCyl[#All],3,0),"")</f>
        <v/>
      </c>
      <c r="F4417" s="13" t="inlineStr">
        <is>
          <t>NVDA</t>
        </is>
      </c>
      <c r="G4417" s="6" t="n">
        <v>4</v>
      </c>
      <c r="H4417" s="6" t="n">
        <v>-1109.75936</v>
      </c>
      <c r="I4417" s="7">
        <f>-H4417/G4417</f>
        <v/>
      </c>
      <c r="J4417" s="11" t="n"/>
      <c r="K4417" s="6" t="n"/>
      <c r="L4417" s="6" t="n"/>
      <c r="M4417" s="7">
        <f>IF(N4417=0,+L4417+H4417,0)</f>
        <v/>
      </c>
      <c r="N4417" s="7">
        <f>IF((+G4417-K4417)=0,0,+G4417-K4417)</f>
        <v/>
      </c>
      <c r="O4417" s="7">
        <f>IF(N4417=0,0,(L4417+H4417)/-N4417)</f>
        <v/>
      </c>
      <c r="P4417" s="7">
        <f>VLOOKUP(OPERAC[[#This Row],[especie]],[1]!ESPECIES[#All],6,0)</f>
        <v/>
      </c>
      <c r="Q4417" s="7">
        <f>IF(N4417&lt;&gt;0,P4417*N4417,0)</f>
        <v/>
      </c>
      <c r="R4417" s="8">
        <f>IF(Q4417&lt;&gt;0,Q4417+H4417+L4417,0)</f>
        <v/>
      </c>
      <c r="S4417" s="9">
        <f>VLOOKUP(OPERAC[[#This Row],[especie]],[1]!ESPECIES[#Data],9,FALSE)</f>
        <v/>
      </c>
    </row>
    <row r="4418">
      <c r="A4418" s="4" t="n">
        <v>2194</v>
      </c>
      <c r="B4418" s="5" t="n">
        <v>44461</v>
      </c>
      <c r="C4418" s="13" t="inlineStr">
        <is>
          <t>CPR</t>
        </is>
      </c>
      <c r="D4418" s="13" t="n">
        <v>32</v>
      </c>
      <c r="E4418" s="10">
        <f>IF(D4418&gt;0,VLOOKUP(OPERAC[[#This Row],[COD CART]],[1]!MatrizCortoLargoCyl[#All],3,0),"")</f>
        <v/>
      </c>
      <c r="F4418" s="13" t="inlineStr">
        <is>
          <t>SKLZ/CYL/10,00/21-01-22</t>
        </is>
      </c>
      <c r="G4418" s="6" t="n">
        <v>100</v>
      </c>
      <c r="H4418" s="6">
        <f>-1142+276.7-244.956</f>
        <v/>
      </c>
      <c r="I4418" s="7">
        <f>-H4418/G4418</f>
        <v/>
      </c>
      <c r="J4418" s="11" t="n">
        <v>44579</v>
      </c>
      <c r="K4418" s="6">
        <f>+OPERAC[[#This Row],[cantidad]]</f>
        <v/>
      </c>
      <c r="L4418" s="6">
        <f>+OPERAC[[#This Row],[cantidad venta]]*5.679</f>
        <v/>
      </c>
      <c r="M4418" s="7">
        <f>IF(N4418=0,+L4418+H4418,0)</f>
        <v/>
      </c>
      <c r="N4418" s="7">
        <f>IF((+G4418-K4418)=0,0,+G4418-K4418)</f>
        <v/>
      </c>
      <c r="O4418" s="7">
        <f>IF(N4418=0,0,(L4418+H4418)/-N4418)</f>
        <v/>
      </c>
      <c r="P4418" s="7">
        <f>VLOOKUP(OPERAC[[#This Row],[especie]],[1]!ESPECIES[#All],6,0)</f>
        <v/>
      </c>
      <c r="Q4418" s="7">
        <f>IF(N4418&lt;&gt;0,P4418*N4418,0)</f>
        <v/>
      </c>
      <c r="R4418" s="8">
        <f>IF(Q4418&lt;&gt;0,Q4418+H4418+L4418,0)</f>
        <v/>
      </c>
      <c r="S4418" s="9">
        <f>VLOOKUP(OPERAC[[#This Row],[especie]],[1]!ESPECIES[#Data],9,FALSE)</f>
        <v/>
      </c>
    </row>
    <row r="4419">
      <c r="A4419" s="4" t="n">
        <v>2255</v>
      </c>
      <c r="B4419" s="5" t="n">
        <v>44643</v>
      </c>
      <c r="C4419" s="13" t="inlineStr">
        <is>
          <t>CPR</t>
        </is>
      </c>
      <c r="D4419" s="13" t="n">
        <v>42</v>
      </c>
      <c r="E4419" s="10">
        <f>IF(D4419&gt;0,VLOOKUP(OPERAC[[#This Row],[COD CART]],[1]!MatrizCortoLargoCyl[#All],3,0),"")</f>
        <v/>
      </c>
      <c r="F4419" s="13" t="inlineStr">
        <is>
          <t>DIS</t>
        </is>
      </c>
      <c r="G4419" s="6" t="n">
        <v>8</v>
      </c>
      <c r="H4419" s="6" t="n">
        <v>-1113.18264</v>
      </c>
      <c r="I4419" s="7">
        <f>-H4419/G4419</f>
        <v/>
      </c>
      <c r="J4419" s="11" t="n">
        <v>44671</v>
      </c>
      <c r="K4419" s="6">
        <f>+OPERAC[[#This Row],[cantidad]]</f>
        <v/>
      </c>
      <c r="L4419" s="6">
        <f>+OPERAC[[#This Row],[cantidad venta]]*123.621</f>
        <v/>
      </c>
      <c r="M4419" s="7">
        <f>IF(N4419=0,+L4419+H4419,0)</f>
        <v/>
      </c>
      <c r="N4419" s="7">
        <f>IF((+G4419-K4419)=0,0,+G4419-K4419)</f>
        <v/>
      </c>
      <c r="O4419" s="7">
        <f>IF(N4419=0,0,(L4419+H4419)/-N4419)</f>
        <v/>
      </c>
      <c r="P4419" s="7">
        <f>VLOOKUP(OPERAC[[#This Row],[especie]],[1]!ESPECIES[#All],6,0)</f>
        <v/>
      </c>
      <c r="Q4419" s="7">
        <f>IF(N4419&lt;&gt;0,P4419*N4419,0)</f>
        <v/>
      </c>
      <c r="R4419" s="8">
        <f>IF(Q4419&lt;&gt;0,Q4419+H4419+L4419,0)</f>
        <v/>
      </c>
      <c r="S4419" s="9">
        <f>VLOOKUP(OPERAC[[#This Row],[especie]],[1]!ESPECIES[#Data],9,FALSE)</f>
        <v/>
      </c>
    </row>
    <row r="4420">
      <c r="A4420" s="4" t="n">
        <v>3728</v>
      </c>
      <c r="B4420" s="5" t="n">
        <v>44648</v>
      </c>
      <c r="C4420" s="13" t="inlineStr">
        <is>
          <t>CPR</t>
        </is>
      </c>
      <c r="D4420" s="13" t="n">
        <v>42</v>
      </c>
      <c r="E4420" s="10">
        <f>IF(D4420&gt;0,VLOOKUP(OPERAC[[#This Row],[COD CART]],[1]!MatrizCortoLargoCyl[#All],3,0),"")</f>
        <v/>
      </c>
      <c r="F4420" s="13" t="inlineStr">
        <is>
          <t>JPM</t>
        </is>
      </c>
      <c r="G4420" s="6" t="n">
        <v>8</v>
      </c>
      <c r="H4420" s="6" t="n">
        <v>-1113.26208</v>
      </c>
      <c r="I4420" s="7">
        <f>-H4420/G4420</f>
        <v/>
      </c>
      <c r="J4420" s="11" t="n">
        <v>44664</v>
      </c>
      <c r="K4420" s="6">
        <f>+OPERAC[[#This Row],[cantidad]]</f>
        <v/>
      </c>
      <c r="L4420" s="6">
        <f>+OPERAC[[#This Row],[cantidad venta]]*125.943</f>
        <v/>
      </c>
      <c r="M4420" s="7">
        <f>IF(N4420=0,+L4420+H4420,0)</f>
        <v/>
      </c>
      <c r="N4420" s="7">
        <f>IF((+G4420-K4420)=0,0,+G4420-K4420)</f>
        <v/>
      </c>
      <c r="O4420" s="7">
        <f>IF(N4420=0,0,(L4420+H4420)/-N4420)</f>
        <v/>
      </c>
      <c r="P4420" s="7">
        <f>VLOOKUP(OPERAC[[#This Row],[especie]],[1]!ESPECIES[#All],6,0)</f>
        <v/>
      </c>
      <c r="Q4420" s="7">
        <f>IF(N4420&lt;&gt;0,P4420*N4420,0)</f>
        <v/>
      </c>
      <c r="R4420" s="8">
        <f>IF(Q4420&lt;&gt;0,Q4420+H4420+L4420,0)</f>
        <v/>
      </c>
      <c r="S4420" s="9">
        <f>VLOOKUP(OPERAC[[#This Row],[especie]],[1]!ESPECIES[#Data],9,FALSE)</f>
        <v/>
      </c>
    </row>
    <row r="4421">
      <c r="A4421" s="4" t="n">
        <v>19867</v>
      </c>
      <c r="B4421" s="5" t="n">
        <v>44641</v>
      </c>
      <c r="C4421" s="13" t="inlineStr">
        <is>
          <t>CPR</t>
        </is>
      </c>
      <c r="D4421" s="13" t="n">
        <v>42</v>
      </c>
      <c r="E4421" s="10">
        <f>IF(D4421&gt;0,VLOOKUP(OPERAC[[#This Row],[COD CART]],[1]!MatrizCortoLargoCyl[#All],3,0),"")</f>
        <v/>
      </c>
      <c r="F4421" s="13" t="inlineStr">
        <is>
          <t>DIS</t>
        </is>
      </c>
      <c r="G4421" s="6" t="n">
        <v>8</v>
      </c>
      <c r="H4421" s="6" t="n">
        <v>-1114.1696</v>
      </c>
      <c r="I4421" s="7">
        <f>-H4421/G4421</f>
        <v/>
      </c>
      <c r="J4421" s="11" t="n">
        <v>44671</v>
      </c>
      <c r="K4421" s="6">
        <f>+OPERAC[[#This Row],[cantidad]]</f>
        <v/>
      </c>
      <c r="L4421" s="6">
        <f>+OPERAC[[#This Row],[cantidad venta]]*123.621</f>
        <v/>
      </c>
      <c r="M4421" s="7">
        <f>IF(N4421=0,+L4421+H4421,0)</f>
        <v/>
      </c>
      <c r="N4421" s="7">
        <f>IF((+G4421-K4421)=0,0,+G4421-K4421)</f>
        <v/>
      </c>
      <c r="O4421" s="7">
        <f>IF(N4421=0,0,(L4421+H4421)/-N4421)</f>
        <v/>
      </c>
      <c r="P4421" s="7">
        <f>VLOOKUP(OPERAC[[#This Row],[especie]],[1]!ESPECIES[#All],6,0)</f>
        <v/>
      </c>
      <c r="Q4421" s="7">
        <f>IF(N4421&lt;&gt;0,P4421*N4421,0)</f>
        <v/>
      </c>
      <c r="R4421" s="8">
        <f>IF(Q4421&lt;&gt;0,Q4421+H4421+L4421,0)</f>
        <v/>
      </c>
      <c r="S4421" s="9">
        <f>VLOOKUP(OPERAC[[#This Row],[especie]],[1]!ESPECIES[#Data],9,FALSE)</f>
        <v/>
      </c>
    </row>
    <row r="4422">
      <c r="A4422" s="4" t="n">
        <v>6579</v>
      </c>
      <c r="B4422" s="5" t="n">
        <v>44662</v>
      </c>
      <c r="C4422" s="13" t="inlineStr">
        <is>
          <t>CPR</t>
        </is>
      </c>
      <c r="D4422" s="13" t="n">
        <v>42</v>
      </c>
      <c r="E4422" s="10">
        <f>IF(D4422&gt;0,VLOOKUP(OPERAC[[#This Row],[COD CART]],[1]!MatrizCortoLargoCyl[#All],3,0),"")</f>
        <v/>
      </c>
      <c r="F4422" s="13" t="inlineStr">
        <is>
          <t>HYDR</t>
        </is>
      </c>
      <c r="G4422" s="6" t="n">
        <v>60</v>
      </c>
      <c r="H4422" s="6" t="n">
        <v>-1114.22064</v>
      </c>
      <c r="I4422" s="7">
        <f>-H4422/G4422</f>
        <v/>
      </c>
      <c r="J4422" s="11" t="n">
        <v>44693</v>
      </c>
      <c r="K4422" s="6">
        <f>+OPERAC[[#This Row],[cantidad]]</f>
        <v/>
      </c>
      <c r="L4422" s="6">
        <f>+OPERAC[[#This Row],[cantidad venta]]*12.027</f>
        <v/>
      </c>
      <c r="M4422" s="7">
        <f>IF(N4422=0,+L4422+H4422,0)</f>
        <v/>
      </c>
      <c r="N4422" s="7">
        <f>IF((+G4422-K4422)=0,0,+G4422-K4422)</f>
        <v/>
      </c>
      <c r="O4422" s="7">
        <f>IF(N4422=0,0,(L4422+H4422)/-N4422)</f>
        <v/>
      </c>
      <c r="P4422" s="7">
        <f>VLOOKUP(OPERAC[[#This Row],[especie]],[1]!ESPECIES[#All],6,0)</f>
        <v/>
      </c>
      <c r="Q4422" s="7">
        <f>IF(N4422&lt;&gt;0,P4422*N4422,0)</f>
        <v/>
      </c>
      <c r="R4422" s="8">
        <f>IF(Q4422&lt;&gt;0,Q4422+H4422+L4422,0)</f>
        <v/>
      </c>
      <c r="S4422" s="9">
        <f>VLOOKUP(OPERAC[[#This Row],[especie]],[1]!ESPECIES[#Data],9,FALSE)</f>
        <v/>
      </c>
    </row>
    <row r="4423">
      <c r="A4423" s="4" t="n">
        <v>12674</v>
      </c>
      <c r="B4423" s="5" t="n">
        <v>44662</v>
      </c>
      <c r="C4423" s="13" t="inlineStr">
        <is>
          <t>CPR</t>
        </is>
      </c>
      <c r="D4423" s="13" t="n">
        <v>42</v>
      </c>
      <c r="E4423" s="10">
        <f>IF(D4423&gt;0,VLOOKUP(OPERAC[[#This Row],[COD CART]],[1]!MatrizCortoLargoCyl[#All],3,0),"")</f>
        <v/>
      </c>
      <c r="F4423" s="13" t="inlineStr">
        <is>
          <t>HYDR</t>
        </is>
      </c>
      <c r="G4423" s="6" t="n">
        <v>60</v>
      </c>
      <c r="H4423" s="6" t="n">
        <v>-1114.22064</v>
      </c>
      <c r="I4423" s="7">
        <f>-H4423/G4423</f>
        <v/>
      </c>
      <c r="J4423" s="11" t="n">
        <v>44693</v>
      </c>
      <c r="K4423" s="6">
        <f>+OPERAC[[#This Row],[cantidad]]</f>
        <v/>
      </c>
      <c r="L4423" s="6">
        <f>+OPERAC[[#This Row],[cantidad venta]]*12.027</f>
        <v/>
      </c>
      <c r="M4423" s="7">
        <f>IF(N4423=0,+L4423+H4423,0)</f>
        <v/>
      </c>
      <c r="N4423" s="7">
        <f>IF((+G4423-K4423)=0,0,+G4423-K4423)</f>
        <v/>
      </c>
      <c r="O4423" s="7">
        <f>IF(N4423=0,0,(L4423+H4423)/-N4423)</f>
        <v/>
      </c>
      <c r="P4423" s="7">
        <f>VLOOKUP(OPERAC[[#This Row],[especie]],[1]!ESPECIES[#All],6,0)</f>
        <v/>
      </c>
      <c r="Q4423" s="7">
        <f>IF(N4423&lt;&gt;0,P4423*N4423,0)</f>
        <v/>
      </c>
      <c r="R4423" s="8">
        <f>IF(Q4423&lt;&gt;0,Q4423+H4423+L4423,0)</f>
        <v/>
      </c>
      <c r="S4423" s="9">
        <f>VLOOKUP(OPERAC[[#This Row],[especie]],[1]!ESPECIES[#Data],9,FALSE)</f>
        <v/>
      </c>
    </row>
    <row r="4424">
      <c r="A4424" s="4" t="n">
        <v>16795</v>
      </c>
      <c r="B4424" s="5" t="n">
        <v>44662</v>
      </c>
      <c r="C4424" s="13" t="inlineStr">
        <is>
          <t>CPR</t>
        </is>
      </c>
      <c r="D4424" s="13" t="n">
        <v>42</v>
      </c>
      <c r="E4424" s="10">
        <f>IF(D4424&gt;0,VLOOKUP(OPERAC[[#This Row],[COD CART]],[1]!MatrizCortoLargoCyl[#All],3,0),"")</f>
        <v/>
      </c>
      <c r="F4424" s="13" t="inlineStr">
        <is>
          <t>HYDR</t>
        </is>
      </c>
      <c r="G4424" s="6" t="n">
        <v>60</v>
      </c>
      <c r="H4424" s="6" t="n">
        <v>-1114.22064</v>
      </c>
      <c r="I4424" s="7">
        <f>-H4424/G4424</f>
        <v/>
      </c>
      <c r="J4424" s="11" t="n">
        <v>44693</v>
      </c>
      <c r="K4424" s="6">
        <f>+OPERAC[[#This Row],[cantidad]]</f>
        <v/>
      </c>
      <c r="L4424" s="6">
        <f>+OPERAC[[#This Row],[cantidad venta]]*12.027</f>
        <v/>
      </c>
      <c r="M4424" s="7">
        <f>IF(N4424=0,+L4424+H4424,0)</f>
        <v/>
      </c>
      <c r="N4424" s="7">
        <f>IF((+G4424-K4424)=0,0,+G4424-K4424)</f>
        <v/>
      </c>
      <c r="O4424" s="7">
        <f>IF(N4424=0,0,(L4424+H4424)/-N4424)</f>
        <v/>
      </c>
      <c r="P4424" s="7">
        <f>VLOOKUP(OPERAC[[#This Row],[especie]],[1]!ESPECIES[#All],6,0)</f>
        <v/>
      </c>
      <c r="Q4424" s="7">
        <f>IF(N4424&lt;&gt;0,P4424*N4424,0)</f>
        <v/>
      </c>
      <c r="R4424" s="8">
        <f>IF(Q4424&lt;&gt;0,Q4424+H4424+L4424,0)</f>
        <v/>
      </c>
      <c r="S4424" s="9">
        <f>VLOOKUP(OPERAC[[#This Row],[especie]],[1]!ESPECIES[#Data],9,FALSE)</f>
        <v/>
      </c>
    </row>
    <row r="4425">
      <c r="A4425" s="4" t="n">
        <v>13190</v>
      </c>
      <c r="B4425" s="5" t="n">
        <v>44643</v>
      </c>
      <c r="C4425" s="13" t="inlineStr">
        <is>
          <t>CPR</t>
        </is>
      </c>
      <c r="D4425" s="13" t="n">
        <v>31</v>
      </c>
      <c r="E4425" s="10">
        <f>IF(D4425&gt;0,VLOOKUP(OPERAC[[#This Row],[COD CART]],[1]!MatrizCortoLargoCyl[#All],3,0),"")</f>
        <v/>
      </c>
      <c r="F4425" s="13" t="inlineStr">
        <is>
          <t>COST</t>
        </is>
      </c>
      <c r="G4425" s="6" t="n">
        <v>2</v>
      </c>
      <c r="H4425" s="6" t="n">
        <v>-1116.5096</v>
      </c>
      <c r="I4425" s="7">
        <f>-H4425/G4425</f>
        <v/>
      </c>
      <c r="J4425" s="11" t="n">
        <v>44693</v>
      </c>
      <c r="K4425" s="6" t="n">
        <v>2</v>
      </c>
      <c r="L4425" s="6" t="n">
        <v>969.11</v>
      </c>
      <c r="M4425" s="7">
        <f>IF(N4425=0,+L4425+H4425,0)</f>
        <v/>
      </c>
      <c r="N4425" s="7">
        <f>IF((+G4425-K4425)=0,0,+G4425-K4425)</f>
        <v/>
      </c>
      <c r="O4425" s="7">
        <f>IF(N4425=0,0,(L4425+H4425)/-N4425)</f>
        <v/>
      </c>
      <c r="P4425" s="7">
        <f>VLOOKUP(OPERAC[[#This Row],[especie]],[1]!ESPECIES[#All],6,0)</f>
        <v/>
      </c>
      <c r="Q4425" s="7">
        <f>IF(N4425&lt;&gt;0,P4425*N4425,0)</f>
        <v/>
      </c>
      <c r="R4425" s="8">
        <f>IF(Q4425&lt;&gt;0,Q4425+H4425+L4425,0)</f>
        <v/>
      </c>
      <c r="S4425" s="9">
        <f>VLOOKUP(OPERAC[[#This Row],[especie]],[1]!ESPECIES[#Data],9,FALSE)</f>
        <v/>
      </c>
    </row>
    <row r="4426">
      <c r="A4426" s="4" t="n">
        <v>13185</v>
      </c>
      <c r="B4426" s="5" t="n">
        <v>44643</v>
      </c>
      <c r="C4426" s="13" t="inlineStr">
        <is>
          <t>CPR</t>
        </is>
      </c>
      <c r="D4426" s="13" t="n">
        <v>31</v>
      </c>
      <c r="E4426" s="10">
        <f>IF(D4426&gt;0,VLOOKUP(OPERAC[[#This Row],[COD CART]],[1]!MatrizCortoLargoCyl[#All],3,0),"")</f>
        <v/>
      </c>
      <c r="F4426" s="13" t="inlineStr">
        <is>
          <t>COST</t>
        </is>
      </c>
      <c r="G4426" s="6" t="n">
        <v>2</v>
      </c>
      <c r="H4426" s="6" t="n">
        <v>-1116.5096</v>
      </c>
      <c r="I4426" s="7">
        <f>-H4426/G4426</f>
        <v/>
      </c>
      <c r="J4426" s="11" t="n">
        <v>44677</v>
      </c>
      <c r="K4426" s="6">
        <f>1+1</f>
        <v/>
      </c>
      <c r="L4426" s="6">
        <f>559.632+484.555</f>
        <v/>
      </c>
      <c r="M4426" s="7">
        <f>IF(N4426=0,+L4426+H4426,0)</f>
        <v/>
      </c>
      <c r="N4426" s="7">
        <f>IF((+G4426-K4426)=0,0,+G4426-K4426)</f>
        <v/>
      </c>
      <c r="O4426" s="7">
        <f>IF(N4426=0,0,(L4426+H4426)/-N4426)</f>
        <v/>
      </c>
      <c r="P4426" s="7">
        <f>VLOOKUP(OPERAC[[#This Row],[especie]],[1]!ESPECIES[#All],6,0)</f>
        <v/>
      </c>
      <c r="Q4426" s="7">
        <f>IF(N4426&lt;&gt;0,P4426*N4426,0)</f>
        <v/>
      </c>
      <c r="R4426" s="8">
        <f>IF(Q4426&lt;&gt;0,Q4426+H4426+L4426,0)</f>
        <v/>
      </c>
      <c r="S4426" s="9">
        <f>VLOOKUP(OPERAC[[#This Row],[especie]],[1]!ESPECIES[#Data],9,FALSE)</f>
        <v/>
      </c>
    </row>
    <row r="4427">
      <c r="A4427" s="4" t="n">
        <v>16783</v>
      </c>
      <c r="B4427" s="5" t="n">
        <v>44648</v>
      </c>
      <c r="C4427" s="13" t="inlineStr">
        <is>
          <t>CPR</t>
        </is>
      </c>
      <c r="D4427" s="13" t="n">
        <v>31</v>
      </c>
      <c r="E4427" s="10">
        <f>IF(D4427&gt;0,VLOOKUP(OPERAC[[#This Row],[COD CART]],[1]!MatrizCortoLargoCyl[#All],3,0),"")</f>
        <v/>
      </c>
      <c r="F4427" s="13" t="inlineStr">
        <is>
          <t>COST</t>
        </is>
      </c>
      <c r="G4427" s="6" t="n">
        <v>2</v>
      </c>
      <c r="H4427" s="6" t="n">
        <v>-1117.2496</v>
      </c>
      <c r="I4427" s="7">
        <f>-H4427/G4427</f>
        <v/>
      </c>
      <c r="J4427" s="11" t="n"/>
      <c r="K4427" s="6" t="n"/>
      <c r="L4427" s="6" t="n"/>
      <c r="M4427" s="7">
        <f>IF(N4427=0,+L4427+H4427,0)</f>
        <v/>
      </c>
      <c r="N4427" s="7">
        <f>IF((+G4427-K4427)=0,0,+G4427-K4427)</f>
        <v/>
      </c>
      <c r="O4427" s="7">
        <f>IF(N4427=0,0,(L4427+H4427)/-N4427)</f>
        <v/>
      </c>
      <c r="P4427" s="7">
        <f>VLOOKUP(OPERAC[[#This Row],[especie]],[1]!ESPECIES[#All],6,0)</f>
        <v/>
      </c>
      <c r="Q4427" s="7">
        <f>IF(N4427&lt;&gt;0,P4427*N4427,0)</f>
        <v/>
      </c>
      <c r="R4427" s="8">
        <f>IF(Q4427&lt;&gt;0,Q4427+H4427+L4427,0)</f>
        <v/>
      </c>
      <c r="S4427" s="9">
        <f>VLOOKUP(OPERAC[[#This Row],[especie]],[1]!ESPECIES[#Data],9,FALSE)</f>
        <v/>
      </c>
    </row>
    <row r="4428">
      <c r="A4428" s="4" t="n">
        <v>10079</v>
      </c>
      <c r="B4428" s="5" t="n">
        <v>44643</v>
      </c>
      <c r="C4428" s="13" t="inlineStr">
        <is>
          <t>CPR</t>
        </is>
      </c>
      <c r="D4428" s="13" t="n">
        <v>42</v>
      </c>
      <c r="E4428" s="10">
        <f>IF(D4428&gt;0,VLOOKUP(OPERAC[[#This Row],[COD CART]],[1]!MatrizCortoLargoCyl[#All],3,0),"")</f>
        <v/>
      </c>
      <c r="F4428" s="13" t="inlineStr">
        <is>
          <t>DIS</t>
        </is>
      </c>
      <c r="G4428" s="6" t="n">
        <v>8</v>
      </c>
      <c r="H4428" s="6" t="n">
        <v>-1117.6172</v>
      </c>
      <c r="I4428" s="7">
        <f>-H4428/G4428</f>
        <v/>
      </c>
      <c r="J4428" s="11" t="n">
        <v>44671</v>
      </c>
      <c r="K4428" s="6">
        <f>+OPERAC[[#This Row],[cantidad]]</f>
        <v/>
      </c>
      <c r="L4428" s="6">
        <f>+OPERAC[[#This Row],[cantidad venta]]*123.621</f>
        <v/>
      </c>
      <c r="M4428" s="7">
        <f>IF(N4428=0,+L4428+H4428,0)</f>
        <v/>
      </c>
      <c r="N4428" s="7">
        <f>IF((+G4428-K4428)=0,0,+G4428-K4428)</f>
        <v/>
      </c>
      <c r="O4428" s="7">
        <f>IF(N4428=0,0,(L4428+H4428)/-N4428)</f>
        <v/>
      </c>
      <c r="P4428" s="7">
        <f>VLOOKUP(OPERAC[[#This Row],[especie]],[1]!ESPECIES[#All],6,0)</f>
        <v/>
      </c>
      <c r="Q4428" s="7">
        <f>IF(N4428&lt;&gt;0,P4428*N4428,0)</f>
        <v/>
      </c>
      <c r="R4428" s="8">
        <f>IF(Q4428&lt;&gt;0,Q4428+H4428+L4428,0)</f>
        <v/>
      </c>
      <c r="S4428" s="9">
        <f>VLOOKUP(OPERAC[[#This Row],[especie]],[1]!ESPECIES[#Data],9,FALSE)</f>
        <v/>
      </c>
    </row>
    <row r="4429">
      <c r="A4429" s="4" t="n">
        <v>19867</v>
      </c>
      <c r="B4429" s="5" t="n">
        <v>44643</v>
      </c>
      <c r="C4429" s="13" t="inlineStr">
        <is>
          <t>CPR</t>
        </is>
      </c>
      <c r="D4429" s="13" t="n">
        <v>31</v>
      </c>
      <c r="E4429" s="10">
        <f>IF(D4429&gt;0,VLOOKUP(OPERAC[[#This Row],[COD CART]],[1]!MatrizCortoLargoCyl[#All],3,0),"")</f>
        <v/>
      </c>
      <c r="F4429" s="13" t="inlineStr">
        <is>
          <t>COST</t>
        </is>
      </c>
      <c r="G4429" s="6" t="n">
        <v>2</v>
      </c>
      <c r="H4429" s="6" t="n">
        <v>-1118.34784</v>
      </c>
      <c r="I4429" s="7">
        <f>-H4429/G4429</f>
        <v/>
      </c>
      <c r="J4429" s="11" t="n">
        <v>44693</v>
      </c>
      <c r="K4429" s="6" t="n">
        <v>2</v>
      </c>
      <c r="L4429" s="6" t="n">
        <v>967.639</v>
      </c>
      <c r="M4429" s="7">
        <f>IF(N4429=0,+L4429+H4429,0)</f>
        <v/>
      </c>
      <c r="N4429" s="7">
        <f>IF((+G4429-K4429)=0,0,+G4429-K4429)</f>
        <v/>
      </c>
      <c r="O4429" s="7">
        <f>IF(N4429=0,0,(L4429+H4429)/-N4429)</f>
        <v/>
      </c>
      <c r="P4429" s="7">
        <f>VLOOKUP(OPERAC[[#This Row],[especie]],[1]!ESPECIES[#All],6,0)</f>
        <v/>
      </c>
      <c r="Q4429" s="7">
        <f>IF(N4429&lt;&gt;0,P4429*N4429,0)</f>
        <v/>
      </c>
      <c r="R4429" s="8">
        <f>IF(Q4429&lt;&gt;0,Q4429+H4429+L4429,0)</f>
        <v/>
      </c>
      <c r="S4429" s="9">
        <f>VLOOKUP(OPERAC[[#This Row],[especie]],[1]!ESPECIES[#Data],9,FALSE)</f>
        <v/>
      </c>
    </row>
    <row r="4430">
      <c r="A4430" s="4" t="n">
        <v>13180</v>
      </c>
      <c r="B4430" s="5" t="n">
        <v>44643</v>
      </c>
      <c r="C4430" s="13" t="inlineStr">
        <is>
          <t>CPR</t>
        </is>
      </c>
      <c r="D4430" s="13" t="n">
        <v>31</v>
      </c>
      <c r="E4430" s="10">
        <f>IF(D4430&gt;0,VLOOKUP(OPERAC[[#This Row],[COD CART]],[1]!MatrizCortoLargoCyl[#All],3,0),"")</f>
        <v/>
      </c>
      <c r="F4430" s="13" t="inlineStr">
        <is>
          <t>COST</t>
        </is>
      </c>
      <c r="G4430" s="6" t="n">
        <v>2</v>
      </c>
      <c r="H4430" s="6" t="n">
        <v>-1118.43328</v>
      </c>
      <c r="I4430" s="7">
        <f>-H4430/G4430</f>
        <v/>
      </c>
      <c r="J4430" s="11" t="n"/>
      <c r="K4430" s="6" t="n"/>
      <c r="L4430" s="6" t="n"/>
      <c r="M4430" s="7">
        <f>IF(N4430=0,+L4430+H4430,0)</f>
        <v/>
      </c>
      <c r="N4430" s="7">
        <f>IF((+G4430-K4430)=0,0,+G4430-K4430)</f>
        <v/>
      </c>
      <c r="O4430" s="7">
        <f>IF(N4430=0,0,(L4430+H4430)/-N4430)</f>
        <v/>
      </c>
      <c r="P4430" s="7">
        <f>VLOOKUP(OPERAC[[#This Row],[especie]],[1]!ESPECIES[#All],6,0)</f>
        <v/>
      </c>
      <c r="Q4430" s="7">
        <f>IF(N4430&lt;&gt;0,P4430*N4430,0)</f>
        <v/>
      </c>
      <c r="R4430" s="8">
        <f>IF(Q4430&lt;&gt;0,Q4430+H4430+L4430,0)</f>
        <v/>
      </c>
      <c r="S4430" s="9">
        <f>VLOOKUP(OPERAC[[#This Row],[especie]],[1]!ESPECIES[#Data],9,FALSE)</f>
        <v/>
      </c>
    </row>
    <row r="4431">
      <c r="A4431" s="4" t="n">
        <v>16780</v>
      </c>
      <c r="B4431" s="5" t="n">
        <v>44543</v>
      </c>
      <c r="C4431" s="13" t="inlineStr">
        <is>
          <t>CPR</t>
        </is>
      </c>
      <c r="D4431" s="13" t="n">
        <v>40</v>
      </c>
      <c r="E4431" s="10">
        <f>IF(D4431&gt;0,VLOOKUP(OPERAC[[#This Row],[COD CART]],[1]!MatrizCortoLargoCyl[#All],3,0),"")</f>
        <v/>
      </c>
      <c r="F4431" s="13" t="inlineStr">
        <is>
          <t>VIST</t>
        </is>
      </c>
      <c r="G4431" s="6" t="n">
        <v>200</v>
      </c>
      <c r="H4431" s="6" t="n">
        <v>-1119.88</v>
      </c>
      <c r="I4431" s="7">
        <f>-H4431/G4431</f>
        <v/>
      </c>
      <c r="J4431" s="11" t="n">
        <v>44574</v>
      </c>
      <c r="K4431" s="6">
        <f>+OPERAC[[#This Row],[cantidad]]</f>
        <v/>
      </c>
      <c r="L4431" s="6">
        <f>+OPERAC[[#This Row],[cantidad venta]]*6.125</f>
        <v/>
      </c>
      <c r="M4431" s="7">
        <f>IF(N4431=0,+L4431+H4431,0)</f>
        <v/>
      </c>
      <c r="N4431" s="7">
        <f>IF((+G4431-K4431)=0,0,+G4431-K4431)</f>
        <v/>
      </c>
      <c r="O4431" s="7">
        <f>IF(N4431=0,0,(L4431+H4431)/-N4431)</f>
        <v/>
      </c>
      <c r="P4431" s="7">
        <f>VLOOKUP(OPERAC[[#This Row],[especie]],[1]!ESPECIES[#All],6,0)</f>
        <v/>
      </c>
      <c r="Q4431" s="7">
        <f>IF(N4431&lt;&gt;0,P4431*N4431,0)</f>
        <v/>
      </c>
      <c r="R4431" s="8">
        <f>IF(Q4431&lt;&gt;0,Q4431+H4431+L4431,0)</f>
        <v/>
      </c>
      <c r="S4431" s="9">
        <f>VLOOKUP(OPERAC[[#This Row],[especie]],[1]!ESPECIES[#Data],9,FALSE)</f>
        <v/>
      </c>
    </row>
    <row r="4432">
      <c r="A4432" s="4" t="n">
        <v>3728</v>
      </c>
      <c r="B4432" s="5" t="n">
        <v>44265</v>
      </c>
      <c r="C4432" s="13" t="inlineStr">
        <is>
          <t>CPR</t>
        </is>
      </c>
      <c r="D4432" s="13" t="n">
        <v>32</v>
      </c>
      <c r="E4432" s="10">
        <f>IF(D4432&gt;0,VLOOKUP(OPERAC[[#This Row],[COD CART]],[1]!MatrizCortoLargoCyl[#All],3,0),"")</f>
        <v/>
      </c>
      <c r="F4432" s="13" t="inlineStr">
        <is>
          <t>F/CYL/15,00/21-01-22</t>
        </is>
      </c>
      <c r="G4432" s="6" t="n">
        <v>100</v>
      </c>
      <c r="H4432" s="6" t="n">
        <v>-1120.948</v>
      </c>
      <c r="I4432" s="7">
        <f>-H4432/G4432</f>
        <v/>
      </c>
      <c r="J4432" s="11" t="n">
        <v>44571</v>
      </c>
      <c r="K4432" s="6" t="n">
        <v>100</v>
      </c>
      <c r="L4432" s="6" t="n">
        <v>1494.708</v>
      </c>
      <c r="M4432" s="7">
        <f>IF(N4432=0,+L4432+H4432,0)</f>
        <v/>
      </c>
      <c r="N4432" s="7">
        <f>IF((+G4432-K4432)=0,0,+G4432-K4432)</f>
        <v/>
      </c>
      <c r="O4432" s="7">
        <f>IF(N4432=0,0,(L4432+H4432)/-N4432)</f>
        <v/>
      </c>
      <c r="P4432" s="7">
        <f>VLOOKUP(OPERAC[[#This Row],[especie]],[1]!ESPECIES[#All],6,0)</f>
        <v/>
      </c>
      <c r="Q4432" s="7">
        <f>IF(N4432&lt;&gt;0,P4432*N4432,0)</f>
        <v/>
      </c>
      <c r="R4432" s="8">
        <f>IF(Q4432&lt;&gt;0,Q4432+H4432+L4432,0)</f>
        <v/>
      </c>
      <c r="S4432" s="9">
        <f>VLOOKUP(OPERAC[[#This Row],[especie]],[1]!ESPECIES[#Data],9,FALSE)</f>
        <v/>
      </c>
    </row>
    <row r="4433">
      <c r="A4433" s="4" t="n">
        <v>26146</v>
      </c>
      <c r="B4433" s="5" t="n">
        <v>44722</v>
      </c>
      <c r="C4433" s="13" t="inlineStr">
        <is>
          <t>CPR</t>
        </is>
      </c>
      <c r="D4433" s="13" t="n">
        <v>41</v>
      </c>
      <c r="E4433" s="10">
        <f>IF(D4433&gt;0,VLOOKUP(OPERAC[[#This Row],[COD CART]],[1]!MatrizCortoLargoCyl[#All],3,0),"")</f>
        <v/>
      </c>
      <c r="F4433" s="13" t="inlineStr">
        <is>
          <t>CCL</t>
        </is>
      </c>
      <c r="G4433" s="6" t="n">
        <v>100</v>
      </c>
      <c r="H4433" s="6" t="n">
        <v>-1123.469</v>
      </c>
      <c r="I4433" s="7">
        <f>-H4433/G4433</f>
        <v/>
      </c>
      <c r="J4433" s="5" t="n"/>
      <c r="K4433" s="6" t="n"/>
      <c r="L4433" s="6" t="n"/>
      <c r="M4433" s="7">
        <f>IF(N4433=0,+L4433+H4433,0)</f>
        <v/>
      </c>
      <c r="N4433" s="7">
        <f>IF((+G4433-K4433)=0,0,+G4433-K4433)</f>
        <v/>
      </c>
      <c r="O4433" s="7">
        <f>IF(N4433=0,0,(L4433+H4433)/-N4433)</f>
        <v/>
      </c>
      <c r="P4433" s="7">
        <f>VLOOKUP(OPERAC[[#This Row],[especie]],[1]!ESPECIES[#All],6,0)</f>
        <v/>
      </c>
      <c r="Q4433" s="7">
        <f>IF(N4433&lt;&gt;0,P4433*N4433,0)</f>
        <v/>
      </c>
      <c r="R4433" s="8">
        <f>IF(Q4433&lt;&gt;0,Q4433+H4433+L4433,0)</f>
        <v/>
      </c>
      <c r="S4433" s="9">
        <f>VLOOKUP(OPERAC[[#This Row],[especie]],[1]!ESPECIES[#Data],9,FALSE)</f>
        <v/>
      </c>
    </row>
    <row r="4434">
      <c r="A4434" s="4" t="n">
        <v>19867</v>
      </c>
      <c r="B4434" s="5" t="n">
        <v>44641</v>
      </c>
      <c r="C4434" s="13" t="inlineStr">
        <is>
          <t>CPR</t>
        </is>
      </c>
      <c r="D4434" s="13" t="n">
        <v>42</v>
      </c>
      <c r="E4434" s="10">
        <f>IF(D4434&gt;0,VLOOKUP(OPERAC[[#This Row],[COD CART]],[1]!MatrizCortoLargoCyl[#All],3,0),"")</f>
        <v/>
      </c>
      <c r="F4434" s="13" t="inlineStr">
        <is>
          <t>JPM</t>
        </is>
      </c>
      <c r="G4434" s="6" t="n">
        <v>8</v>
      </c>
      <c r="H4434" s="6" t="n">
        <v>-1123.63472</v>
      </c>
      <c r="I4434" s="7">
        <f>-H4434/G4434</f>
        <v/>
      </c>
      <c r="J4434" s="11" t="n">
        <v>44664</v>
      </c>
      <c r="K4434" s="6">
        <f>+OPERAC[[#This Row],[cantidad]]</f>
        <v/>
      </c>
      <c r="L4434" s="6">
        <f>+OPERAC[[#This Row],[cantidad venta]]*125.943</f>
        <v/>
      </c>
      <c r="M4434" s="7">
        <f>IF(N4434=0,+L4434+H4434,0)</f>
        <v/>
      </c>
      <c r="N4434" s="7">
        <f>IF((+G4434-K4434)=0,0,+G4434-K4434)</f>
        <v/>
      </c>
      <c r="O4434" s="7">
        <f>IF(N4434=0,0,(L4434+H4434)/-N4434)</f>
        <v/>
      </c>
      <c r="P4434" s="7">
        <f>VLOOKUP(OPERAC[[#This Row],[especie]],[1]!ESPECIES[#All],6,0)</f>
        <v/>
      </c>
      <c r="Q4434" s="7">
        <f>IF(N4434&lt;&gt;0,P4434*N4434,0)</f>
        <v/>
      </c>
      <c r="R4434" s="8">
        <f>IF(Q4434&lt;&gt;0,Q4434+H4434+L4434,0)</f>
        <v/>
      </c>
      <c r="S4434" s="9">
        <f>VLOOKUP(OPERAC[[#This Row],[especie]],[1]!ESPECIES[#Data],9,FALSE)</f>
        <v/>
      </c>
    </row>
    <row r="4435">
      <c r="A4435" s="4" t="n">
        <v>16783</v>
      </c>
      <c r="B4435" s="5" t="n">
        <v>44643</v>
      </c>
      <c r="C4435" s="13" t="inlineStr">
        <is>
          <t>CPR</t>
        </is>
      </c>
      <c r="D4435" s="13" t="n">
        <v>42</v>
      </c>
      <c r="E4435" s="10">
        <f>IF(D4435&gt;0,VLOOKUP(OPERAC[[#This Row],[COD CART]],[1]!MatrizCortoLargoCyl[#All],3,0),"")</f>
        <v/>
      </c>
      <c r="F4435" s="13" t="inlineStr">
        <is>
          <t>JPM</t>
        </is>
      </c>
      <c r="G4435" s="6" t="n">
        <v>8</v>
      </c>
      <c r="H4435" s="6" t="n">
        <v>-1125.48928</v>
      </c>
      <c r="I4435" s="7">
        <f>-H4435/G4435</f>
        <v/>
      </c>
      <c r="J4435" s="11" t="n">
        <v>44664</v>
      </c>
      <c r="K4435" s="6">
        <f>+OPERAC[[#This Row],[cantidad]]</f>
        <v/>
      </c>
      <c r="L4435" s="6">
        <f>+OPERAC[[#This Row],[cantidad venta]]*125.943</f>
        <v/>
      </c>
      <c r="M4435" s="7">
        <f>IF(N4435=0,+L4435+H4435,0)</f>
        <v/>
      </c>
      <c r="N4435" s="7">
        <f>IF((+G4435-K4435)=0,0,+G4435-K4435)</f>
        <v/>
      </c>
      <c r="O4435" s="7">
        <f>IF(N4435=0,0,(L4435+H4435)/-N4435)</f>
        <v/>
      </c>
      <c r="P4435" s="7">
        <f>VLOOKUP(OPERAC[[#This Row],[especie]],[1]!ESPECIES[#All],6,0)</f>
        <v/>
      </c>
      <c r="Q4435" s="7">
        <f>IF(N4435&lt;&gt;0,P4435*N4435,0)</f>
        <v/>
      </c>
      <c r="R4435" s="8">
        <f>IF(Q4435&lt;&gt;0,Q4435+H4435+L4435,0)</f>
        <v/>
      </c>
      <c r="S4435" s="9">
        <f>VLOOKUP(OPERAC[[#This Row],[especie]],[1]!ESPECIES[#Data],9,FALSE)</f>
        <v/>
      </c>
    </row>
    <row r="4436">
      <c r="A4436" s="4" t="n">
        <v>22393</v>
      </c>
      <c r="B4436" s="5" t="n">
        <v>44707</v>
      </c>
      <c r="C4436" s="13" t="inlineStr">
        <is>
          <t>CPR</t>
        </is>
      </c>
      <c r="D4436" s="13" t="n">
        <v>32</v>
      </c>
      <c r="E4436" s="10">
        <f>IF(D4436&gt;0,VLOOKUP(OPERAC[[#This Row],[COD CART]],[1]!MatrizCortoLargoCyl[#All],3,0),"")</f>
        <v/>
      </c>
      <c r="F4436" s="13" t="inlineStr">
        <is>
          <t>CLMT/CYL/13,00/17-06-22</t>
        </is>
      </c>
      <c r="G4436" s="6" t="n">
        <v>100</v>
      </c>
      <c r="H4436" s="6" t="n">
        <v>-1129.88</v>
      </c>
      <c r="I4436" s="7">
        <f>-H4436/G4436</f>
        <v/>
      </c>
      <c r="J4436" s="5" t="n"/>
      <c r="K4436" s="6" t="n"/>
      <c r="L4436" s="6" t="n"/>
      <c r="M4436" s="7">
        <f>IF(N4436=0,+L4436+H4436,0)</f>
        <v/>
      </c>
      <c r="N4436" s="7">
        <f>IF((+G4436-K4436)=0,0,+G4436-K4436)</f>
        <v/>
      </c>
      <c r="O4436" s="7">
        <f>IF(N4436=0,0,(L4436+H4436)/-N4436)</f>
        <v/>
      </c>
      <c r="P4436" s="7">
        <f>VLOOKUP(OPERAC[[#This Row],[especie]],[1]!ESPECIES[#All],6,0)</f>
        <v/>
      </c>
      <c r="Q4436" s="7">
        <f>IF(N4436&lt;&gt;0,P4436*N4436,0)</f>
        <v/>
      </c>
      <c r="R4436" s="8">
        <f>IF(Q4436&lt;&gt;0,Q4436+H4436+L4436,0)</f>
        <v/>
      </c>
      <c r="S4436" s="9">
        <f>VLOOKUP(OPERAC[[#This Row],[especie]],[1]!ESPECIES[#Data],9,FALSE)</f>
        <v/>
      </c>
    </row>
    <row r="4437">
      <c r="A4437" s="4" t="n">
        <v>13185</v>
      </c>
      <c r="B4437" s="5" t="n">
        <v>44643</v>
      </c>
      <c r="C4437" s="13" t="inlineStr">
        <is>
          <t>CPR</t>
        </is>
      </c>
      <c r="D4437" s="13" t="n">
        <v>42</v>
      </c>
      <c r="E4437" s="10">
        <f>IF(D4437&gt;0,VLOOKUP(OPERAC[[#This Row],[COD CART]],[1]!MatrizCortoLargoCyl[#All],3,0),"")</f>
        <v/>
      </c>
      <c r="F4437" s="13" t="inlineStr">
        <is>
          <t>JPM</t>
        </is>
      </c>
      <c r="G4437" s="6" t="n">
        <v>8</v>
      </c>
      <c r="H4437" s="6" t="n">
        <v>-1129.97312</v>
      </c>
      <c r="I4437" s="7">
        <f>-H4437/G4437</f>
        <v/>
      </c>
      <c r="J4437" s="11" t="n">
        <v>44664</v>
      </c>
      <c r="K4437" s="6">
        <f>+OPERAC[[#This Row],[cantidad]]</f>
        <v/>
      </c>
      <c r="L4437" s="6">
        <f>+OPERAC[[#This Row],[cantidad venta]]*125.943</f>
        <v/>
      </c>
      <c r="M4437" s="7">
        <f>IF(N4437=0,+L4437+H4437,0)</f>
        <v/>
      </c>
      <c r="N4437" s="7">
        <f>IF((+G4437-K4437)=0,0,+G4437-K4437)</f>
        <v/>
      </c>
      <c r="O4437" s="7">
        <f>IF(N4437=0,0,(L4437+H4437)/-N4437)</f>
        <v/>
      </c>
      <c r="P4437" s="7">
        <f>VLOOKUP(OPERAC[[#This Row],[especie]],[1]!ESPECIES[#All],6,0)</f>
        <v/>
      </c>
      <c r="Q4437" s="7">
        <f>IF(N4437&lt;&gt;0,P4437*N4437,0)</f>
        <v/>
      </c>
      <c r="R4437" s="8">
        <f>IF(Q4437&lt;&gt;0,Q4437+H4437+L4437,0)</f>
        <v/>
      </c>
      <c r="S4437" s="9">
        <f>VLOOKUP(OPERAC[[#This Row],[especie]],[1]!ESPECIES[#Data],9,FALSE)</f>
        <v/>
      </c>
    </row>
    <row r="4438">
      <c r="A4438" s="4" t="n">
        <v>18651</v>
      </c>
      <c r="B4438" s="5" t="n">
        <v>44643</v>
      </c>
      <c r="C4438" s="13" t="inlineStr">
        <is>
          <t>CPR</t>
        </is>
      </c>
      <c r="D4438" s="13" t="n">
        <v>42</v>
      </c>
      <c r="E4438" s="10">
        <f>IF(D4438&gt;0,VLOOKUP(OPERAC[[#This Row],[COD CART]],[1]!MatrizCortoLargoCyl[#All],3,0),"")</f>
        <v/>
      </c>
      <c r="F4438" s="13" t="inlineStr">
        <is>
          <t>JPM</t>
        </is>
      </c>
      <c r="G4438" s="6" t="n">
        <v>8</v>
      </c>
      <c r="H4438" s="6" t="n">
        <v>-1129.97312</v>
      </c>
      <c r="I4438" s="7">
        <f>-H4438/G4438</f>
        <v/>
      </c>
      <c r="J4438" s="11" t="n">
        <v>44664</v>
      </c>
      <c r="K4438" s="6">
        <f>+OPERAC[[#This Row],[cantidad]]</f>
        <v/>
      </c>
      <c r="L4438" s="6">
        <f>+OPERAC[[#This Row],[cantidad venta]]*125.943</f>
        <v/>
      </c>
      <c r="M4438" s="7">
        <f>IF(N4438=0,+L4438+H4438,0)</f>
        <v/>
      </c>
      <c r="N4438" s="7">
        <f>IF((+G4438-K4438)=0,0,+G4438-K4438)</f>
        <v/>
      </c>
      <c r="O4438" s="7">
        <f>IF(N4438=0,0,(L4438+H4438)/-N4438)</f>
        <v/>
      </c>
      <c r="P4438" s="7">
        <f>VLOOKUP(OPERAC[[#This Row],[especie]],[1]!ESPECIES[#All],6,0)</f>
        <v/>
      </c>
      <c r="Q4438" s="7">
        <f>IF(N4438&lt;&gt;0,P4438*N4438,0)</f>
        <v/>
      </c>
      <c r="R4438" s="8">
        <f>IF(Q4438&lt;&gt;0,Q4438+H4438+L4438,0)</f>
        <v/>
      </c>
      <c r="S4438" s="9">
        <f>VLOOKUP(OPERAC[[#This Row],[especie]],[1]!ESPECIES[#Data],9,FALSE)</f>
        <v/>
      </c>
    </row>
    <row r="4439">
      <c r="A4439" s="4" t="n">
        <v>20234</v>
      </c>
      <c r="B4439" s="5" t="n">
        <v>44539</v>
      </c>
      <c r="C4439" s="13" t="inlineStr">
        <is>
          <t>CPR</t>
        </is>
      </c>
      <c r="D4439" s="13" t="n">
        <v>43</v>
      </c>
      <c r="E4439" s="10">
        <f>IF(D4439&gt;0,VLOOKUP(OPERAC[[#This Row],[COD CART]],[1]!MatrizCortoLargoCyl[#All],3,0),"")</f>
        <v/>
      </c>
      <c r="F4439" s="13" t="inlineStr">
        <is>
          <t>NNDM/CYL-PUT/2,50/19-01-24</t>
        </is>
      </c>
      <c r="G4439" s="6" t="n">
        <v>1000</v>
      </c>
      <c r="H4439" s="6" t="n">
        <v>-1131.146</v>
      </c>
      <c r="I4439" s="7">
        <f>-H4439/G4439</f>
        <v/>
      </c>
      <c r="J4439" s="11" t="n"/>
      <c r="K4439" s="6" t="n"/>
      <c r="L4439" s="6" t="n"/>
      <c r="M4439" s="7">
        <f>IF(N4439=0,+L4439+H4439,0)</f>
        <v/>
      </c>
      <c r="N4439" s="7">
        <f>IF((+G4439-K4439)=0,0,+G4439-K4439)</f>
        <v/>
      </c>
      <c r="O4439" s="7">
        <f>IF(N4439=0,0,(L4439+H4439)/-N4439)</f>
        <v/>
      </c>
      <c r="P4439" s="7">
        <f>VLOOKUP(OPERAC[[#This Row],[especie]],[1]!ESPECIES[#All],6,0)</f>
        <v/>
      </c>
      <c r="Q4439" s="7">
        <f>IF(N4439&lt;&gt;0,P4439*N4439,0)</f>
        <v/>
      </c>
      <c r="R4439" s="8">
        <f>IF(Q4439&lt;&gt;0,Q4439+H4439+L4439,0)</f>
        <v/>
      </c>
      <c r="S4439" s="9">
        <f>VLOOKUP(OPERAC[[#This Row],[especie]],[1]!ESPECIES[#Data],9,FALSE)</f>
        <v/>
      </c>
    </row>
    <row r="4440">
      <c r="A4440" s="4" t="n">
        <v>2218</v>
      </c>
      <c r="B4440" s="5" t="n">
        <v>44676</v>
      </c>
      <c r="C4440" s="13" t="inlineStr">
        <is>
          <t>CPR</t>
        </is>
      </c>
      <c r="D4440" s="13" t="n">
        <v>40</v>
      </c>
      <c r="E4440" s="10">
        <f>IF(D4440&gt;0,VLOOKUP(OPERAC[[#This Row],[COD CART]],[1]!MatrizCortoLargoCyl[#All],3,0),"")</f>
        <v/>
      </c>
      <c r="F4440" s="13" t="inlineStr">
        <is>
          <t>YORKF</t>
        </is>
      </c>
      <c r="G4440" s="6" t="n">
        <v>1000</v>
      </c>
      <c r="H4440" s="6" t="n">
        <v>-1134.97</v>
      </c>
      <c r="I4440" s="7">
        <f>-H4440/G4440</f>
        <v/>
      </c>
      <c r="J4440" s="11" t="n"/>
      <c r="K4440" s="6" t="n"/>
      <c r="L4440" s="6" t="n"/>
      <c r="M4440" s="7">
        <f>IF(N4440=0,+L4440+H4440,0)</f>
        <v/>
      </c>
      <c r="N4440" s="7">
        <f>IF((+G4440-K4440)=0,0,+G4440-K4440)</f>
        <v/>
      </c>
      <c r="O4440" s="7">
        <f>IF(N4440=0,0,(L4440+H4440)/-N4440)</f>
        <v/>
      </c>
      <c r="P4440" s="7">
        <f>VLOOKUP(OPERAC[[#This Row],[especie]],[1]!ESPECIES[#All],6,0)</f>
        <v/>
      </c>
      <c r="Q4440" s="7">
        <f>IF(N4440&lt;&gt;0,P4440*N4440,0)</f>
        <v/>
      </c>
      <c r="R4440" s="8">
        <f>IF(Q4440&lt;&gt;0,Q4440+H4440+L4440,0)</f>
        <v/>
      </c>
      <c r="S4440" s="9">
        <f>VLOOKUP(OPERAC[[#This Row],[especie]],[1]!ESPECIES[#Data],9,FALSE)</f>
        <v/>
      </c>
    </row>
    <row r="4441">
      <c r="A4441" s="4" t="n">
        <v>3728</v>
      </c>
      <c r="B4441" s="5" t="n">
        <v>44676</v>
      </c>
      <c r="C4441" s="13" t="inlineStr">
        <is>
          <t>CPR</t>
        </is>
      </c>
      <c r="D4441" s="13" t="n">
        <v>40</v>
      </c>
      <c r="E4441" s="10">
        <f>IF(D4441&gt;0,VLOOKUP(OPERAC[[#This Row],[COD CART]],[1]!MatrizCortoLargoCyl[#All],3,0),"")</f>
        <v/>
      </c>
      <c r="F4441" s="13" t="inlineStr">
        <is>
          <t>YORKF</t>
        </is>
      </c>
      <c r="G4441" s="6" t="n">
        <v>1000</v>
      </c>
      <c r="H4441" s="6" t="n">
        <v>-1134.97</v>
      </c>
      <c r="I4441" s="7">
        <f>-H4441/G4441</f>
        <v/>
      </c>
      <c r="J4441" s="11" t="n"/>
      <c r="K4441" s="6" t="n"/>
      <c r="L4441" s="6" t="n"/>
      <c r="M4441" s="7">
        <f>IF(N4441=0,+L4441+H4441,0)</f>
        <v/>
      </c>
      <c r="N4441" s="7">
        <f>IF((+G4441-K4441)=0,0,+G4441-K4441)</f>
        <v/>
      </c>
      <c r="O4441" s="7">
        <f>IF(N4441=0,0,(L4441+H4441)/-N4441)</f>
        <v/>
      </c>
      <c r="P4441" s="7">
        <f>VLOOKUP(OPERAC[[#This Row],[especie]],[1]!ESPECIES[#All],6,0)</f>
        <v/>
      </c>
      <c r="Q4441" s="7">
        <f>IF(N4441&lt;&gt;0,P4441*N4441,0)</f>
        <v/>
      </c>
      <c r="R4441" s="8">
        <f>IF(Q4441&lt;&gt;0,Q4441+H4441+L4441,0)</f>
        <v/>
      </c>
      <c r="S4441" s="9">
        <f>VLOOKUP(OPERAC[[#This Row],[especie]],[1]!ESPECIES[#Data],9,FALSE)</f>
        <v/>
      </c>
    </row>
    <row r="4442">
      <c r="A4442" s="4" t="n">
        <v>13185</v>
      </c>
      <c r="B4442" s="5" t="n">
        <v>43831</v>
      </c>
      <c r="C4442" s="13" t="inlineStr">
        <is>
          <t>CPR</t>
        </is>
      </c>
      <c r="D4442" s="13" t="n">
        <v>41</v>
      </c>
      <c r="E4442" s="10">
        <f>IF(D4442&gt;0,VLOOKUP(OPERAC[[#This Row],[COD CART]],[1]!MatrizCortoLargoCyl[#All],3,0),"")</f>
        <v/>
      </c>
      <c r="F4442" s="13" t="inlineStr">
        <is>
          <t>IPIX</t>
        </is>
      </c>
      <c r="G4442" s="6" t="n">
        <v>7580</v>
      </c>
      <c r="H4442" s="6" t="n">
        <v>-1137</v>
      </c>
      <c r="I4442" s="7" t="n">
        <v>0.15</v>
      </c>
      <c r="J4442" s="5" t="n"/>
      <c r="K4442" s="6" t="n"/>
      <c r="L4442" s="6" t="n"/>
      <c r="M4442" s="7">
        <f>IF(N4442=0,+L4442+H4442,0)</f>
        <v/>
      </c>
      <c r="N4442" s="7">
        <f>IF((+G4442-K4442)=0,0,+G4442-K4442)</f>
        <v/>
      </c>
      <c r="O4442" s="7">
        <f>IF(N4442=0,0,(L4442+H4442)/-N4442)</f>
        <v/>
      </c>
      <c r="P4442" s="7">
        <f>VLOOKUP(OPERAC[[#This Row],[especie]],[1]!ESPECIES[#All],6,0)</f>
        <v/>
      </c>
      <c r="Q4442" s="7">
        <f>IF(N4442&lt;&gt;0,P4442*N4442,0)</f>
        <v/>
      </c>
      <c r="R4442" s="8">
        <f>IF(Q4442&lt;&gt;0,Q4442+H4442+L4442,0)</f>
        <v/>
      </c>
      <c r="S4442" s="9">
        <f>VLOOKUP(OPERAC[[#This Row],[especie]],[1]!ESPECIES[#Data],9,FALSE)</f>
        <v/>
      </c>
    </row>
    <row r="4443">
      <c r="A4443" s="4" t="n">
        <v>18663</v>
      </c>
      <c r="B4443" s="5" t="n">
        <v>44329</v>
      </c>
      <c r="C4443" s="13" t="inlineStr">
        <is>
          <t>CPR</t>
        </is>
      </c>
      <c r="D4443" s="13" t="n">
        <v>41</v>
      </c>
      <c r="E4443" s="10">
        <f>IF(D4443&gt;0,VLOOKUP(OPERAC[[#This Row],[COD CART]],[1]!MatrizCortoLargoCyl[#All],3,0),"")</f>
        <v/>
      </c>
      <c r="F4443" s="13" t="inlineStr">
        <is>
          <t>TLRY</t>
        </is>
      </c>
      <c r="G4443" s="6" t="n">
        <v>76</v>
      </c>
      <c r="H4443" s="6">
        <f>+OPERAC[[#This Row],[cantidad]]*-15</f>
        <v/>
      </c>
      <c r="I4443" s="7">
        <f>-H4443/G4443</f>
        <v/>
      </c>
      <c r="J4443" s="11" t="n">
        <v>44344</v>
      </c>
      <c r="K4443" s="6" t="n">
        <v>55</v>
      </c>
      <c r="L4443" s="6">
        <f>451.59+198.392+412.466</f>
        <v/>
      </c>
      <c r="M4443" s="7">
        <f>IF(N4443=0,+L4443+H4443,0)</f>
        <v/>
      </c>
      <c r="N4443" s="7">
        <f>IF((+G4443-K4443)=0,0,+G4443-K4443)</f>
        <v/>
      </c>
      <c r="O4443" s="7">
        <f>IF(N4443=0,0,(L4443+H4443)/-N4443)</f>
        <v/>
      </c>
      <c r="P4443" s="7">
        <f>VLOOKUP(OPERAC[[#This Row],[especie]],[1]!ESPECIES[#All],6,0)</f>
        <v/>
      </c>
      <c r="Q4443" s="7">
        <f>IF(N4443&lt;&gt;0,P4443*N4443,0)</f>
        <v/>
      </c>
      <c r="R4443" s="8">
        <f>IF(Q4443&lt;&gt;0,Q4443+H4443+L4443,0)</f>
        <v/>
      </c>
      <c r="S4443" s="9">
        <f>VLOOKUP(OPERAC[[#This Row],[especie]],[1]!ESPECIES[#Data],9,FALSE)</f>
        <v/>
      </c>
    </row>
    <row r="4444">
      <c r="A4444" s="4" t="n">
        <v>7914</v>
      </c>
      <c r="B4444" s="5" t="n">
        <v>44552</v>
      </c>
      <c r="C4444" s="13" t="inlineStr">
        <is>
          <t>CPR</t>
        </is>
      </c>
      <c r="D4444" s="13" t="n">
        <v>32</v>
      </c>
      <c r="E4444" s="10">
        <f>IF(D4444&gt;0,VLOOKUP(OPERAC[[#This Row],[COD CART]],[1]!MatrizCortoLargoCyl[#All],3,0),"")</f>
        <v/>
      </c>
      <c r="F4444" s="13" t="inlineStr">
        <is>
          <t>HMY/CYL/4,00/21-01-22</t>
        </is>
      </c>
      <c r="G4444" s="6" t="n">
        <v>300</v>
      </c>
      <c r="H4444" s="6">
        <f>-3.8*OPERAC[[#This Row],[cantidad]]</f>
        <v/>
      </c>
      <c r="I4444" s="7">
        <f>-H4444/G4444</f>
        <v/>
      </c>
      <c r="J4444" s="11" t="n">
        <v>44580</v>
      </c>
      <c r="K4444" s="6" t="n">
        <v>300</v>
      </c>
      <c r="L4444" s="6" t="n">
        <v>1181.78</v>
      </c>
      <c r="M4444" s="7">
        <f>IF(N4444=0,+L4444+H4444,0)</f>
        <v/>
      </c>
      <c r="N4444" s="7">
        <f>IF((+G4444-K4444)=0,0,+G4444-K4444)</f>
        <v/>
      </c>
      <c r="O4444" s="7">
        <f>IF(N4444=0,0,(L4444+H4444)/-N4444)</f>
        <v/>
      </c>
      <c r="P4444" s="7">
        <f>VLOOKUP(OPERAC[[#This Row],[especie]],[1]!ESPECIES[#All],6,0)</f>
        <v/>
      </c>
      <c r="Q4444" s="7">
        <f>IF(N4444&lt;&gt;0,P4444*N4444,0)</f>
        <v/>
      </c>
      <c r="R4444" s="8">
        <f>IF(Q4444&lt;&gt;0,Q4444+H4444+L4444,0)</f>
        <v/>
      </c>
      <c r="S4444" s="9">
        <f>VLOOKUP(OPERAC[[#This Row],[especie]],[1]!ESPECIES[#Data],9,FALSE)</f>
        <v/>
      </c>
    </row>
    <row r="4445">
      <c r="A4445" s="4" t="n">
        <v>12684</v>
      </c>
      <c r="B4445" s="5" t="n">
        <v>44552</v>
      </c>
      <c r="C4445" s="13" t="inlineStr">
        <is>
          <t>CPR</t>
        </is>
      </c>
      <c r="D4445" s="13" t="n">
        <v>32</v>
      </c>
      <c r="E4445" s="10">
        <f>IF(D4445&gt;0,VLOOKUP(OPERAC[[#This Row],[COD CART]],[1]!MatrizCortoLargoCyl[#All],3,0),"")</f>
        <v/>
      </c>
      <c r="F4445" s="13" t="inlineStr">
        <is>
          <t>HMY/CYL/4,00/21-01-22</t>
        </is>
      </c>
      <c r="G4445" s="6" t="n">
        <v>300</v>
      </c>
      <c r="H4445" s="6">
        <f>-3.8*OPERAC[[#This Row],[cantidad]]</f>
        <v/>
      </c>
      <c r="I4445" s="7">
        <f>-H4445/G4445</f>
        <v/>
      </c>
      <c r="J4445" s="11" t="n">
        <v>44580</v>
      </c>
      <c r="K4445" s="6" t="n">
        <v>300</v>
      </c>
      <c r="L4445" s="6" t="n">
        <v>1181.78</v>
      </c>
      <c r="M4445" s="7">
        <f>IF(N4445=0,+L4445+H4445,0)</f>
        <v/>
      </c>
      <c r="N4445" s="7">
        <f>IF((+G4445-K4445)=0,0,+G4445-K4445)</f>
        <v/>
      </c>
      <c r="O4445" s="7">
        <f>IF(N4445=0,0,(L4445+H4445)/-N4445)</f>
        <v/>
      </c>
      <c r="P4445" s="7">
        <f>VLOOKUP(OPERAC[[#This Row],[especie]],[1]!ESPECIES[#All],6,0)</f>
        <v/>
      </c>
      <c r="Q4445" s="7">
        <f>IF(N4445&lt;&gt;0,P4445*N4445,0)</f>
        <v/>
      </c>
      <c r="R4445" s="8">
        <f>IF(Q4445&lt;&gt;0,Q4445+H4445+L4445,0)</f>
        <v/>
      </c>
      <c r="S4445" s="9">
        <f>VLOOKUP(OPERAC[[#This Row],[especie]],[1]!ESPECIES[#Data],9,FALSE)</f>
        <v/>
      </c>
    </row>
    <row r="4446">
      <c r="A4446" s="4" t="n">
        <v>25070</v>
      </c>
      <c r="B4446" s="5" t="n">
        <v>44552</v>
      </c>
      <c r="C4446" s="13" t="inlineStr">
        <is>
          <t>CPR</t>
        </is>
      </c>
      <c r="D4446" s="13" t="n">
        <v>32</v>
      </c>
      <c r="E4446" s="10">
        <f>IF(D4446&gt;0,VLOOKUP(OPERAC[[#This Row],[COD CART]],[1]!MatrizCortoLargoCyl[#All],3,0),"")</f>
        <v/>
      </c>
      <c r="F4446" s="13" t="inlineStr">
        <is>
          <t>HMY/CYL/4,00/21-01-22</t>
        </is>
      </c>
      <c r="G4446" s="6" t="n">
        <v>300</v>
      </c>
      <c r="H4446" s="6">
        <f>-3.8*OPERAC[[#This Row],[cantidad]]</f>
        <v/>
      </c>
      <c r="I4446" s="7">
        <f>-H4446/G4446</f>
        <v/>
      </c>
      <c r="J4446" s="11" t="n">
        <v>44580</v>
      </c>
      <c r="K4446" s="6" t="n">
        <v>300</v>
      </c>
      <c r="L4446" s="6" t="n">
        <v>1181.78</v>
      </c>
      <c r="M4446" s="7">
        <f>IF(N4446=0,+L4446+H4446,0)</f>
        <v/>
      </c>
      <c r="N4446" s="7">
        <f>IF((+G4446-K4446)=0,0,+G4446-K4446)</f>
        <v/>
      </c>
      <c r="O4446" s="7">
        <f>IF(N4446=0,0,(L4446+H4446)/-N4446)</f>
        <v/>
      </c>
      <c r="P4446" s="7">
        <f>VLOOKUP(OPERAC[[#This Row],[especie]],[1]!ESPECIES[#All],6,0)</f>
        <v/>
      </c>
      <c r="Q4446" s="7">
        <f>IF(N4446&lt;&gt;0,P4446*N4446,0)</f>
        <v/>
      </c>
      <c r="R4446" s="8">
        <f>IF(Q4446&lt;&gt;0,Q4446+H4446+L4446,0)</f>
        <v/>
      </c>
      <c r="S4446" s="9">
        <f>VLOOKUP(OPERAC[[#This Row],[especie]],[1]!ESPECIES[#Data],9,FALSE)</f>
        <v/>
      </c>
    </row>
    <row r="4447">
      <c r="A4447" s="4" t="n">
        <v>16780</v>
      </c>
      <c r="B4447" s="5" t="n">
        <v>44676</v>
      </c>
      <c r="C4447" s="13" t="inlineStr">
        <is>
          <t>CPR</t>
        </is>
      </c>
      <c r="D4447" s="13" t="n">
        <v>40</v>
      </c>
      <c r="E4447" s="10">
        <f>IF(D4447&gt;0,VLOOKUP(OPERAC[[#This Row],[COD CART]],[1]!MatrizCortoLargoCyl[#All],3,0),"")</f>
        <v/>
      </c>
      <c r="F4447" s="13" t="inlineStr">
        <is>
          <t>YORKF</t>
        </is>
      </c>
      <c r="G4447" s="6" t="n">
        <v>1000</v>
      </c>
      <c r="H4447" s="6" t="n">
        <v>-1140.06</v>
      </c>
      <c r="I4447" s="7">
        <f>-H4447/G4447</f>
        <v/>
      </c>
      <c r="J4447" s="11" t="n"/>
      <c r="K4447" s="6" t="n"/>
      <c r="L4447" s="6" t="n"/>
      <c r="M4447" s="7">
        <f>IF(N4447=0,+L4447+H4447,0)</f>
        <v/>
      </c>
      <c r="N4447" s="7">
        <f>IF((+G4447-K4447)=0,0,+G4447-K4447)</f>
        <v/>
      </c>
      <c r="O4447" s="7">
        <f>IF(N4447=0,0,(L4447+H4447)/-N4447)</f>
        <v/>
      </c>
      <c r="P4447" s="7">
        <f>VLOOKUP(OPERAC[[#This Row],[especie]],[1]!ESPECIES[#All],6,0)</f>
        <v/>
      </c>
      <c r="Q4447" s="7">
        <f>IF(N4447&lt;&gt;0,P4447*N4447,0)</f>
        <v/>
      </c>
      <c r="R4447" s="8">
        <f>IF(Q4447&lt;&gt;0,Q4447+H4447+L4447,0)</f>
        <v/>
      </c>
      <c r="S4447" s="9">
        <f>VLOOKUP(OPERAC[[#This Row],[especie]],[1]!ESPECIES[#Data],9,FALSE)</f>
        <v/>
      </c>
    </row>
    <row r="4448">
      <c r="A4448" s="4" t="n">
        <v>16783</v>
      </c>
      <c r="B4448" s="5" t="n">
        <v>44648</v>
      </c>
      <c r="C4448" s="13" t="inlineStr">
        <is>
          <t>CPR</t>
        </is>
      </c>
      <c r="D4448" s="13" t="n">
        <v>31</v>
      </c>
      <c r="E4448" s="10">
        <f>IF(D4448&gt;0,VLOOKUP(OPERAC[[#This Row],[COD CART]],[1]!MatrizCortoLargoCyl[#All],3,0),"")</f>
        <v/>
      </c>
      <c r="F4448" s="13" t="inlineStr">
        <is>
          <t>BABA</t>
        </is>
      </c>
      <c r="G4448" s="6" t="n">
        <v>10</v>
      </c>
      <c r="H4448" s="6" t="n">
        <v>-1143.554</v>
      </c>
      <c r="I4448" s="7">
        <f>-H4448/G4448</f>
        <v/>
      </c>
      <c r="J4448" s="11" t="n"/>
      <c r="K4448" s="6" t="n"/>
      <c r="L4448" s="6" t="n"/>
      <c r="M4448" s="7">
        <f>IF(N4448=0,+L4448+H4448,0)</f>
        <v/>
      </c>
      <c r="N4448" s="7">
        <f>IF((+G4448-K4448)=0,0,+G4448-K4448)</f>
        <v/>
      </c>
      <c r="O4448" s="7">
        <f>IF(N4448=0,0,(L4448+H4448)/-N4448)</f>
        <v/>
      </c>
      <c r="P4448" s="7">
        <f>VLOOKUP(OPERAC[[#This Row],[especie]],[1]!ESPECIES[#All],6,0)</f>
        <v/>
      </c>
      <c r="Q4448" s="7">
        <f>IF(N4448&lt;&gt;0,P4448*N4448,0)</f>
        <v/>
      </c>
      <c r="R4448" s="8">
        <f>IF(Q4448&lt;&gt;0,Q4448+H4448+L4448,0)</f>
        <v/>
      </c>
      <c r="S4448" s="9">
        <f>VLOOKUP(OPERAC[[#This Row],[especie]],[1]!ESPECIES[#Data],9,FALSE)</f>
        <v/>
      </c>
    </row>
    <row r="4449">
      <c r="A4449" s="4" t="n">
        <v>10079</v>
      </c>
      <c r="B4449" s="5" t="n">
        <v>44636</v>
      </c>
      <c r="C4449" s="13" t="inlineStr">
        <is>
          <t>CPR</t>
        </is>
      </c>
      <c r="D4449" s="13" t="n">
        <v>43</v>
      </c>
      <c r="E4449" s="10">
        <f>IF(D4449&gt;0,VLOOKUP(OPERAC[[#This Row],[COD CART]],[1]!MatrizCortoLargoCyl[#All],3,0),"")</f>
        <v/>
      </c>
      <c r="F4449" s="13" t="inlineStr">
        <is>
          <t>GMBL/CYL-PUT/1,00/20-01-23</t>
        </is>
      </c>
      <c r="G4449" s="6" t="n">
        <v>7000</v>
      </c>
      <c r="H4449" s="6" t="n">
        <v>-1143.72055</v>
      </c>
      <c r="I4449" s="7">
        <f>-H4449/G4449</f>
        <v/>
      </c>
      <c r="J4449" s="11" t="n"/>
      <c r="K4449" s="6" t="n"/>
      <c r="L4449" s="6" t="n"/>
      <c r="M4449" s="7">
        <f>IF(N4449=0,+L4449+H4449,0)</f>
        <v/>
      </c>
      <c r="N4449" s="7">
        <f>IF((+G4449-K4449)=0,0,+G4449-K4449)</f>
        <v/>
      </c>
      <c r="O4449" s="7">
        <f>IF(N4449=0,0,(L4449+H4449)/-N4449)</f>
        <v/>
      </c>
      <c r="P4449" s="7">
        <f>VLOOKUP(OPERAC[[#This Row],[especie]],[1]!ESPECIES[#All],6,0)</f>
        <v/>
      </c>
      <c r="Q4449" s="7">
        <f>IF(N4449&lt;&gt;0,P4449*N4449,0)</f>
        <v/>
      </c>
      <c r="R4449" s="8">
        <f>IF(Q4449&lt;&gt;0,Q4449+H4449+L4449,0)</f>
        <v/>
      </c>
      <c r="S4449" s="9">
        <f>VLOOKUP(OPERAC[[#This Row],[especie]],[1]!ESPECIES[#Data],9,FALSE)</f>
        <v/>
      </c>
    </row>
    <row r="4450">
      <c r="A4450" s="4" t="n">
        <v>13253</v>
      </c>
      <c r="B4450" s="5" t="n">
        <v>44714</v>
      </c>
      <c r="C4450" s="13" t="inlineStr">
        <is>
          <t>CPR</t>
        </is>
      </c>
      <c r="D4450" s="13" t="n">
        <v>41</v>
      </c>
      <c r="E4450" s="10">
        <f>IF(D4450&gt;0,VLOOKUP(OPERAC[[#This Row],[COD CART]],[1]!MatrizCortoLargoCyl[#All],3,0),"")</f>
        <v/>
      </c>
      <c r="F4450" s="13" t="inlineStr">
        <is>
          <t>ET/CYL/12,00/17-06-22</t>
        </is>
      </c>
      <c r="G4450" s="6" t="n">
        <v>100</v>
      </c>
      <c r="H4450" s="6" t="n">
        <v>-1149.129</v>
      </c>
      <c r="I4450" s="7">
        <f>-H4450/G4450</f>
        <v/>
      </c>
      <c r="J4450" s="5" t="n"/>
      <c r="K4450" s="6" t="n"/>
      <c r="L4450" s="6" t="n"/>
      <c r="M4450" s="7">
        <f>IF(N4450=0,+L4450+H4450,0)</f>
        <v/>
      </c>
      <c r="N4450" s="7">
        <f>IF((+G4450-K4450)=0,0,+G4450-K4450)</f>
        <v/>
      </c>
      <c r="O4450" s="7">
        <f>IF(N4450=0,0,(L4450+H4450)/-N4450)</f>
        <v/>
      </c>
      <c r="P4450" s="7">
        <f>VLOOKUP(OPERAC[[#This Row],[especie]],[1]!ESPECIES[#All],6,0)</f>
        <v/>
      </c>
      <c r="Q4450" s="7">
        <f>IF(N4450&lt;&gt;0,P4450*N4450,0)</f>
        <v/>
      </c>
      <c r="R4450" s="8">
        <f>IF(Q4450&lt;&gt;0,Q4450+H4450+L4450,0)</f>
        <v/>
      </c>
      <c r="S4450" s="9">
        <f>VLOOKUP(OPERAC[[#This Row],[especie]],[1]!ESPECIES[#Data],9,FALSE)</f>
        <v/>
      </c>
    </row>
    <row r="4451">
      <c r="A4451" s="4" t="n">
        <v>18703</v>
      </c>
      <c r="B4451" s="5" t="n">
        <v>44616</v>
      </c>
      <c r="C4451" s="13" t="inlineStr">
        <is>
          <t>CPR</t>
        </is>
      </c>
      <c r="D4451" s="13" t="n">
        <v>32</v>
      </c>
      <c r="E4451" s="10">
        <f>IF(D4451&gt;0,VLOOKUP(OPERAC[[#This Row],[COD CART]],[1]!MatrizCortoLargoCyl[#All],3,0),"")</f>
        <v/>
      </c>
      <c r="F4451" s="13" t="inlineStr">
        <is>
          <t>HMY/CYL/4,00/18-03-22</t>
        </is>
      </c>
      <c r="G4451" s="6" t="n">
        <v>300</v>
      </c>
      <c r="H4451" s="6" t="n">
        <v>-1151.115</v>
      </c>
      <c r="I4451" s="7">
        <f>-H4451/G4451</f>
        <v/>
      </c>
      <c r="J4451" s="11" t="n">
        <v>44622</v>
      </c>
      <c r="K4451" s="6" t="n">
        <v>300</v>
      </c>
      <c r="L4451" s="6" t="n">
        <v>1181.85</v>
      </c>
      <c r="M4451" s="7">
        <f>IF(N4451=0,+L4451+H4451,0)</f>
        <v/>
      </c>
      <c r="N4451" s="7">
        <f>IF((+G4451-K4451)=0,0,+G4451-K4451)</f>
        <v/>
      </c>
      <c r="O4451" s="7">
        <f>IF(N4451=0,0,(L4451+H4451)/-N4451)</f>
        <v/>
      </c>
      <c r="P4451" s="7">
        <f>VLOOKUP(OPERAC[[#This Row],[especie]],[1]!ESPECIES[#All],6,0)</f>
        <v/>
      </c>
      <c r="Q4451" s="7">
        <f>IF(N4451&lt;&gt;0,P4451*N4451,0)</f>
        <v/>
      </c>
      <c r="R4451" s="8">
        <f>IF(Q4451&lt;&gt;0,Q4451+H4451+L4451,0)</f>
        <v/>
      </c>
      <c r="S4451" s="9">
        <f>VLOOKUP(OPERAC[[#This Row],[especie]],[1]!ESPECIES[#Data],9,FALSE)</f>
        <v/>
      </c>
    </row>
    <row r="4452">
      <c r="A4452" s="4" t="n">
        <v>12022</v>
      </c>
      <c r="B4452" s="5" t="n">
        <v>44677</v>
      </c>
      <c r="C4452" s="13" t="inlineStr">
        <is>
          <t>CPR</t>
        </is>
      </c>
      <c r="D4452" s="13" t="n">
        <v>32</v>
      </c>
      <c r="E4452" s="10">
        <f>IF(D4452&gt;0,VLOOKUP(OPERAC[[#This Row],[COD CART]],[1]!MatrizCortoLargoCyl[#All],3,0),"")</f>
        <v/>
      </c>
      <c r="F4452" s="13" t="inlineStr">
        <is>
          <t>HMY</t>
        </is>
      </c>
      <c r="G4452" s="6" t="n">
        <v>300</v>
      </c>
      <c r="H4452" s="6">
        <f>-3.849*OPERAC[[#This Row],[cantidad]]</f>
        <v/>
      </c>
      <c r="I4452" s="7">
        <f>-H4452/G4452</f>
        <v/>
      </c>
      <c r="J4452" s="11" t="n"/>
      <c r="K4452" s="6" t="n"/>
      <c r="L4452" s="6" t="n"/>
      <c r="M4452" s="7">
        <f>IF(N4452=0,+L4452+H4452,0)</f>
        <v/>
      </c>
      <c r="N4452" s="7">
        <f>IF((+G4452-K4452)=0,0,+G4452-K4452)</f>
        <v/>
      </c>
      <c r="O4452" s="7">
        <f>IF(N4452=0,0,(L4452+H4452)/-N4452)</f>
        <v/>
      </c>
      <c r="P4452" s="7">
        <f>VLOOKUP(OPERAC[[#This Row],[especie]],[1]!ESPECIES[#All],6,0)</f>
        <v/>
      </c>
      <c r="Q4452" s="7">
        <f>IF(N4452&lt;&gt;0,P4452*N4452,0)</f>
        <v/>
      </c>
      <c r="R4452" s="8">
        <f>IF(Q4452&lt;&gt;0,Q4452+H4452+L4452,0)</f>
        <v/>
      </c>
      <c r="S4452" s="9">
        <f>VLOOKUP(OPERAC[[#This Row],[especie]],[1]!ESPECIES[#Data],9,FALSE)</f>
        <v/>
      </c>
    </row>
    <row r="4453">
      <c r="A4453" s="4" t="n">
        <v>26146</v>
      </c>
      <c r="B4453" s="5" t="n">
        <v>44677</v>
      </c>
      <c r="C4453" s="13" t="inlineStr">
        <is>
          <t>CPR</t>
        </is>
      </c>
      <c r="D4453" s="13" t="n">
        <v>32</v>
      </c>
      <c r="E4453" s="10">
        <f>IF(D4453&gt;0,VLOOKUP(OPERAC[[#This Row],[COD CART]],[1]!MatrizCortoLargoCyl[#All],3,0),"")</f>
        <v/>
      </c>
      <c r="F4453" s="13" t="inlineStr">
        <is>
          <t>HMY</t>
        </is>
      </c>
      <c r="G4453" s="6" t="n">
        <v>300</v>
      </c>
      <c r="H4453" s="6">
        <f>-3.849*OPERAC[[#This Row],[cantidad]]</f>
        <v/>
      </c>
      <c r="I4453" s="7">
        <f>-H4453/G4453</f>
        <v/>
      </c>
      <c r="J4453" s="11" t="n">
        <v>44722</v>
      </c>
      <c r="K4453" s="6" t="n">
        <v>300</v>
      </c>
      <c r="L4453" s="6">
        <f>+OPERAC[[#This Row],[cantidad venta]]*3.317</f>
        <v/>
      </c>
      <c r="M4453" s="7">
        <f>IF(N4453=0,+L4453+H4453,0)</f>
        <v/>
      </c>
      <c r="N4453" s="7">
        <f>IF((+G4453-K4453)=0,0,+G4453-K4453)</f>
        <v/>
      </c>
      <c r="O4453" s="7">
        <f>IF(N4453=0,0,(L4453+H4453)/-N4453)</f>
        <v/>
      </c>
      <c r="P4453" s="7">
        <f>VLOOKUP(OPERAC[[#This Row],[especie]],[1]!ESPECIES[#All],6,0)</f>
        <v/>
      </c>
      <c r="Q4453" s="7">
        <f>IF(N4453&lt;&gt;0,P4453*N4453,0)</f>
        <v/>
      </c>
      <c r="R4453" s="8">
        <f>IF(Q4453&lt;&gt;0,Q4453+H4453+L4453,0)</f>
        <v/>
      </c>
      <c r="S4453" s="9">
        <f>VLOOKUP(OPERAC[[#This Row],[especie]],[1]!ESPECIES[#Data],9,FALSE)</f>
        <v/>
      </c>
    </row>
    <row r="4454">
      <c r="A4454" s="4" t="n">
        <v>16783</v>
      </c>
      <c r="B4454" s="5" t="n">
        <v>44651</v>
      </c>
      <c r="C4454" s="13" t="inlineStr">
        <is>
          <t>CPR</t>
        </is>
      </c>
      <c r="D4454" s="13" t="n">
        <v>42</v>
      </c>
      <c r="E4454" s="10">
        <f>IF(D4454&gt;0,VLOOKUP(OPERAC[[#This Row],[COD CART]],[1]!MatrizCortoLargoCyl[#All],3,0),"")</f>
        <v/>
      </c>
      <c r="F4454" s="13" t="inlineStr">
        <is>
          <t>NFLX</t>
        </is>
      </c>
      <c r="G4454" s="6" t="n">
        <v>3</v>
      </c>
      <c r="H4454" s="6" t="n">
        <v>-1156.0344</v>
      </c>
      <c r="I4454" s="7">
        <f>-H4454/G4454</f>
        <v/>
      </c>
      <c r="J4454" s="11" t="n">
        <v>44658</v>
      </c>
      <c r="K4454" s="6" t="n">
        <v>3</v>
      </c>
      <c r="L4454" s="6" t="n">
        <v>1074.205</v>
      </c>
      <c r="M4454" s="7">
        <f>IF(N4454=0,+L4454+H4454,0)</f>
        <v/>
      </c>
      <c r="N4454" s="7">
        <f>IF((+G4454-K4454)=0,0,+G4454-K4454)</f>
        <v/>
      </c>
      <c r="O4454" s="7">
        <f>IF(N4454=0,0,(L4454+H4454)/-N4454)</f>
        <v/>
      </c>
      <c r="P4454" s="7">
        <f>VLOOKUP(OPERAC[[#This Row],[especie]],[1]!ESPECIES[#All],6,0)</f>
        <v/>
      </c>
      <c r="Q4454" s="7">
        <f>IF(N4454&lt;&gt;0,P4454*N4454,0)</f>
        <v/>
      </c>
      <c r="R4454" s="8">
        <f>IF(Q4454&lt;&gt;0,Q4454+H4454+L4454,0)</f>
        <v/>
      </c>
      <c r="S4454" s="9">
        <f>VLOOKUP(OPERAC[[#This Row],[especie]],[1]!ESPECIES[#Data],9,FALSE)</f>
        <v/>
      </c>
    </row>
    <row r="4455">
      <c r="A4455" s="4" t="n">
        <v>22393</v>
      </c>
      <c r="B4455" s="5" t="n">
        <v>44705</v>
      </c>
      <c r="C4455" s="13" t="inlineStr">
        <is>
          <t>CPR</t>
        </is>
      </c>
      <c r="D4455" s="13" t="n">
        <v>41</v>
      </c>
      <c r="E4455" s="10">
        <f>IF(D4455&gt;0,VLOOKUP(OPERAC[[#This Row],[COD CART]],[1]!MatrizCortoLargoCyl[#All],3,0),"")</f>
        <v/>
      </c>
      <c r="F4455" s="13" t="inlineStr">
        <is>
          <t>LOMA</t>
        </is>
      </c>
      <c r="G4455" s="6" t="n">
        <v>200</v>
      </c>
      <c r="H4455" s="6" t="n">
        <v>-1157.475</v>
      </c>
      <c r="I4455" s="7">
        <f>-H4455/G4455</f>
        <v/>
      </c>
      <c r="J4455" s="5" t="n"/>
      <c r="K4455" s="6" t="n"/>
      <c r="L4455" s="6" t="n"/>
      <c r="M4455" s="7">
        <f>IF(N4455=0,+L4455+H4455,0)</f>
        <v/>
      </c>
      <c r="N4455" s="7">
        <f>IF((+G4455-K4455)=0,0,+G4455-K4455)</f>
        <v/>
      </c>
      <c r="O4455" s="7">
        <f>IF(N4455=0,0,(L4455+H4455)/-N4455)</f>
        <v/>
      </c>
      <c r="P4455" s="7">
        <f>VLOOKUP(OPERAC[[#This Row],[especie]],[1]!ESPECIES[#All],6,0)</f>
        <v/>
      </c>
      <c r="Q4455" s="7">
        <f>IF(N4455&lt;&gt;0,P4455*N4455,0)</f>
        <v/>
      </c>
      <c r="R4455" s="8">
        <f>IF(Q4455&lt;&gt;0,Q4455+H4455+L4455,0)</f>
        <v/>
      </c>
      <c r="S4455" s="9">
        <f>VLOOKUP(OPERAC[[#This Row],[especie]],[1]!ESPECIES[#Data],9,FALSE)</f>
        <v/>
      </c>
    </row>
    <row r="4456">
      <c r="A4456" s="4" t="n">
        <v>15195</v>
      </c>
      <c r="B4456" s="5" t="n">
        <v>44536</v>
      </c>
      <c r="C4456" s="13" t="inlineStr">
        <is>
          <t>CPR</t>
        </is>
      </c>
      <c r="D4456" s="13" t="n">
        <v>40</v>
      </c>
      <c r="E4456" s="10">
        <f>IF(D4456&gt;0,VLOOKUP(OPERAC[[#This Row],[COD CART]],[1]!MatrizCortoLargoCyl[#All],3,0),"")</f>
        <v/>
      </c>
      <c r="F4456" s="13" t="inlineStr">
        <is>
          <t>UVXY</t>
        </is>
      </c>
      <c r="G4456" s="6" t="n">
        <v>50</v>
      </c>
      <c r="H4456" s="6" t="n">
        <v>-1158.946</v>
      </c>
      <c r="I4456" s="7">
        <f>-H4456/G4456</f>
        <v/>
      </c>
      <c r="J4456" s="11" t="n">
        <v>44571</v>
      </c>
      <c r="K4456" s="6">
        <f>+OPERAC[[#This Row],[cantidad]]</f>
        <v/>
      </c>
      <c r="L4456" s="6">
        <f>+OPERAC[[#This Row],[cantidad venta]]*14.135</f>
        <v/>
      </c>
      <c r="M4456" s="7">
        <f>IF(N4456=0,+L4456+H4456,0)</f>
        <v/>
      </c>
      <c r="N4456" s="7">
        <f>IF((+G4456-K4456)=0,0,+G4456-K4456)</f>
        <v/>
      </c>
      <c r="O4456" s="7">
        <f>IF(N4456=0,0,(L4456+H4456)/-N4456)</f>
        <v/>
      </c>
      <c r="P4456" s="7">
        <f>VLOOKUP(OPERAC[[#This Row],[especie]],[1]!ESPECIES[#All],6,0)</f>
        <v/>
      </c>
      <c r="Q4456" s="7">
        <f>IF(N4456&lt;&gt;0,P4456*N4456,0)</f>
        <v/>
      </c>
      <c r="R4456" s="8">
        <f>IF(Q4456&lt;&gt;0,Q4456+H4456+L4456,0)</f>
        <v/>
      </c>
      <c r="S4456" s="9">
        <f>VLOOKUP(OPERAC[[#This Row],[especie]],[1]!ESPECIES[#Data],9,FALSE)</f>
        <v/>
      </c>
    </row>
    <row r="4457">
      <c r="A4457" s="12" t="n">
        <v>13253</v>
      </c>
      <c r="B4457" s="5" t="n">
        <v>44567</v>
      </c>
      <c r="C4457" s="13" t="inlineStr">
        <is>
          <t>CPR</t>
        </is>
      </c>
      <c r="D4457" s="13" t="n">
        <v>41</v>
      </c>
      <c r="E4457" s="10">
        <f>IF(D4457&gt;0,VLOOKUP(OPERAC[[#This Row],[COD CART]],[1]!MatrizCortoLargoCyl[#All],3,0),"")</f>
        <v/>
      </c>
      <c r="F4457" s="13" t="inlineStr">
        <is>
          <t>HIMX</t>
        </is>
      </c>
      <c r="G4457" s="6" t="n">
        <v>100</v>
      </c>
      <c r="H4457" s="6">
        <f>-1203.544+44.592</f>
        <v/>
      </c>
      <c r="I4457" s="7">
        <f>-H4457/G4457</f>
        <v/>
      </c>
      <c r="J4457" s="11" t="n"/>
      <c r="K4457" s="6" t="n"/>
      <c r="L4457" s="6" t="n"/>
      <c r="M4457" s="7">
        <f>IF(N4457=0,+L4457+H4457,0)</f>
        <v/>
      </c>
      <c r="N4457" s="7">
        <f>IF((+G4457-K4457)=0,0,+G4457-K4457)</f>
        <v/>
      </c>
      <c r="O4457" s="7">
        <f>IF(N4457=0,0,(L4457+H4457)/-N4457)</f>
        <v/>
      </c>
      <c r="P4457" s="7">
        <f>VLOOKUP(OPERAC[[#This Row],[especie]],[1]!ESPECIES[#All],6,0)</f>
        <v/>
      </c>
      <c r="Q4457" s="7">
        <f>IF(N4457&lt;&gt;0,P4457*N4457,0)</f>
        <v/>
      </c>
      <c r="R4457" s="8">
        <f>IF(Q4457&lt;&gt;0,Q4457+H4457+L4457,0)</f>
        <v/>
      </c>
      <c r="S4457" s="9">
        <f>VLOOKUP(OPERAC[[#This Row],[especie]],[1]!ESPECIES[#Data],9,FALSE)</f>
        <v/>
      </c>
    </row>
    <row r="4458">
      <c r="A4458" s="4" t="n">
        <v>13253</v>
      </c>
      <c r="B4458" s="5" t="n">
        <v>44616</v>
      </c>
      <c r="C4458" s="13" t="inlineStr">
        <is>
          <t>CPR</t>
        </is>
      </c>
      <c r="D4458" s="13" t="n">
        <v>41</v>
      </c>
      <c r="E4458" s="10">
        <f>IF(D4458&gt;0,VLOOKUP(OPERAC[[#This Row],[COD CART]],[1]!MatrizCortoLargoCyl[#All],3,0),"")</f>
        <v/>
      </c>
      <c r="F4458" s="13" t="inlineStr">
        <is>
          <t>JEPI</t>
        </is>
      </c>
      <c r="G4458" s="6" t="n">
        <v>20</v>
      </c>
      <c r="H4458" s="6" t="n">
        <v>-1160.2</v>
      </c>
      <c r="I4458" s="7">
        <f>-H4458/G4458</f>
        <v/>
      </c>
      <c r="J4458" s="11" t="n"/>
      <c r="K4458" s="6" t="n"/>
      <c r="L4458" s="6" t="n"/>
      <c r="M4458" s="7">
        <f>IF(N4458=0,+L4458+H4458,0)</f>
        <v/>
      </c>
      <c r="N4458" s="7">
        <f>IF((+G4458-K4458)=0,0,+G4458-K4458)</f>
        <v/>
      </c>
      <c r="O4458" s="7">
        <f>IF(N4458=0,0,(L4458+H4458)/-N4458)</f>
        <v/>
      </c>
      <c r="P4458" s="7">
        <f>VLOOKUP(OPERAC[[#This Row],[especie]],[1]!ESPECIES[#All],6,0)</f>
        <v/>
      </c>
      <c r="Q4458" s="7">
        <f>IF(N4458&lt;&gt;0,P4458*N4458,0)</f>
        <v/>
      </c>
      <c r="R4458" s="8">
        <f>IF(Q4458&lt;&gt;0,Q4458+H4458+L4458,0)</f>
        <v/>
      </c>
      <c r="S4458" s="9">
        <f>VLOOKUP(OPERAC[[#This Row],[especie]],[1]!ESPECIES[#Data],9,FALSE)</f>
        <v/>
      </c>
    </row>
    <row r="4459">
      <c r="A4459" s="4" t="n">
        <v>13240</v>
      </c>
      <c r="B4459" s="5" t="n">
        <v>44651</v>
      </c>
      <c r="C4459" s="13" t="inlineStr">
        <is>
          <t>CPR</t>
        </is>
      </c>
      <c r="D4459" s="13" t="n">
        <v>42</v>
      </c>
      <c r="E4459" s="10">
        <f>IF(D4459&gt;0,VLOOKUP(OPERAC[[#This Row],[COD CART]],[1]!MatrizCortoLargoCyl[#All],3,0),"")</f>
        <v/>
      </c>
      <c r="F4459" s="13" t="inlineStr">
        <is>
          <t>NFLX</t>
        </is>
      </c>
      <c r="G4459" s="6" t="n">
        <v>3</v>
      </c>
      <c r="H4459" s="6" t="n">
        <v>-1160.639</v>
      </c>
      <c r="I4459" s="7">
        <f>-H4459/G4459</f>
        <v/>
      </c>
      <c r="J4459" s="11" t="n">
        <v>44658</v>
      </c>
      <c r="K4459" s="6" t="n">
        <v>3</v>
      </c>
      <c r="L4459" s="6" t="n">
        <v>1069.889</v>
      </c>
      <c r="M4459" s="7">
        <f>IF(N4459=0,+L4459+H4459,0)</f>
        <v/>
      </c>
      <c r="N4459" s="7">
        <f>IF((+G4459-K4459)=0,0,+G4459-K4459)</f>
        <v/>
      </c>
      <c r="O4459" s="7">
        <f>IF(N4459=0,0,(L4459+H4459)/-N4459)</f>
        <v/>
      </c>
      <c r="P4459" s="7">
        <f>VLOOKUP(OPERAC[[#This Row],[especie]],[1]!ESPECIES[#All],6,0)</f>
        <v/>
      </c>
      <c r="Q4459" s="7">
        <f>IF(N4459&lt;&gt;0,P4459*N4459,0)</f>
        <v/>
      </c>
      <c r="R4459" s="8">
        <f>IF(Q4459&lt;&gt;0,Q4459+H4459+L4459,0)</f>
        <v/>
      </c>
      <c r="S4459" s="9">
        <f>VLOOKUP(OPERAC[[#This Row],[especie]],[1]!ESPECIES[#Data],9,FALSE)</f>
        <v/>
      </c>
    </row>
    <row r="4460">
      <c r="A4460" s="4" t="n">
        <v>2253</v>
      </c>
      <c r="B4460" s="5" t="n">
        <v>44581</v>
      </c>
      <c r="C4460" s="13" t="inlineStr">
        <is>
          <t>CPR</t>
        </is>
      </c>
      <c r="D4460" s="13" t="n">
        <v>32</v>
      </c>
      <c r="E4460" s="10">
        <f>IF(D4460&gt;0,VLOOKUP(OPERAC[[#This Row],[COD CART]],[1]!MatrizCortoLargoCyl[#All],3,0),"")</f>
        <v/>
      </c>
      <c r="F4460" s="13" t="inlineStr">
        <is>
          <t>HMY/CYL/4,00/18-02-22</t>
        </is>
      </c>
      <c r="G4460" s="6" t="n">
        <v>300</v>
      </c>
      <c r="H4460" s="6" t="n">
        <v>-1162.403988</v>
      </c>
      <c r="I4460" s="7">
        <f>-H4460/G4460</f>
        <v/>
      </c>
      <c r="J4460" s="11" t="n">
        <v>44610</v>
      </c>
      <c r="K4460" s="6">
        <f>+OPERAC[[#This Row],[cantidad]]</f>
        <v/>
      </c>
      <c r="L4460" s="6">
        <f>+OPERAC[[#This Row],[cantidad venta]]*3.8323</f>
        <v/>
      </c>
      <c r="M4460" s="7">
        <f>IF(N4460=0,+L4460+H4460,0)</f>
        <v/>
      </c>
      <c r="N4460" s="7">
        <f>IF((+G4460-K4460)=0,0,+G4460-K4460)</f>
        <v/>
      </c>
      <c r="O4460" s="7">
        <f>IF(N4460=0,0,(L4460+H4460)/-N4460)</f>
        <v/>
      </c>
      <c r="P4460" s="7">
        <f>VLOOKUP(OPERAC[[#This Row],[especie]],[1]!ESPECIES[#All],6,0)</f>
        <v/>
      </c>
      <c r="Q4460" s="7">
        <f>IF(N4460&lt;&gt;0,P4460*N4460,0)</f>
        <v/>
      </c>
      <c r="R4460" s="8">
        <f>IF(Q4460&lt;&gt;0,Q4460+H4460+L4460,0)</f>
        <v/>
      </c>
      <c r="S4460" s="9">
        <f>VLOOKUP(OPERAC[[#This Row],[especie]],[1]!ESPECIES[#Data],9,FALSE)</f>
        <v/>
      </c>
    </row>
    <row r="4461">
      <c r="A4461" s="4" t="n">
        <v>2257</v>
      </c>
      <c r="B4461" s="5" t="n">
        <v>44581</v>
      </c>
      <c r="C4461" s="13" t="inlineStr">
        <is>
          <t>CPR</t>
        </is>
      </c>
      <c r="D4461" s="13" t="n">
        <v>32</v>
      </c>
      <c r="E4461" s="10">
        <f>IF(D4461&gt;0,VLOOKUP(OPERAC[[#This Row],[COD CART]],[1]!MatrizCortoLargoCyl[#All],3,0),"")</f>
        <v/>
      </c>
      <c r="F4461" s="13" t="inlineStr">
        <is>
          <t>HMY/CYL/4,00/18-02-22</t>
        </is>
      </c>
      <c r="G4461" s="6" t="n">
        <v>300</v>
      </c>
      <c r="H4461" s="6" t="n">
        <v>-1162.403988</v>
      </c>
      <c r="I4461" s="7">
        <f>-H4461/G4461</f>
        <v/>
      </c>
      <c r="J4461" s="11" t="n">
        <v>44610</v>
      </c>
      <c r="K4461" s="6">
        <f>+OPERAC[[#This Row],[cantidad]]</f>
        <v/>
      </c>
      <c r="L4461" s="6">
        <f>+OPERAC[[#This Row],[cantidad venta]]*3.8323</f>
        <v/>
      </c>
      <c r="M4461" s="7">
        <f>IF(N4461=0,+L4461+H4461,0)</f>
        <v/>
      </c>
      <c r="N4461" s="7">
        <f>IF((+G4461-K4461)=0,0,+G4461-K4461)</f>
        <v/>
      </c>
      <c r="O4461" s="7">
        <f>IF(N4461=0,0,(L4461+H4461)/-N4461)</f>
        <v/>
      </c>
      <c r="P4461" s="7">
        <f>VLOOKUP(OPERAC[[#This Row],[especie]],[1]!ESPECIES[#All],6,0)</f>
        <v/>
      </c>
      <c r="Q4461" s="7">
        <f>IF(N4461&lt;&gt;0,P4461*N4461,0)</f>
        <v/>
      </c>
      <c r="R4461" s="8">
        <f>IF(Q4461&lt;&gt;0,Q4461+H4461+L4461,0)</f>
        <v/>
      </c>
      <c r="S4461" s="9">
        <f>VLOOKUP(OPERAC[[#This Row],[especie]],[1]!ESPECIES[#Data],9,FALSE)</f>
        <v/>
      </c>
    </row>
    <row r="4462">
      <c r="A4462" s="4" t="n">
        <v>3787</v>
      </c>
      <c r="B4462" s="5" t="n">
        <v>44581</v>
      </c>
      <c r="C4462" s="13" t="inlineStr">
        <is>
          <t>CPR</t>
        </is>
      </c>
      <c r="D4462" s="13" t="n">
        <v>32</v>
      </c>
      <c r="E4462" s="10">
        <f>IF(D4462&gt;0,VLOOKUP(OPERAC[[#This Row],[COD CART]],[1]!MatrizCortoLargoCyl[#All],3,0),"")</f>
        <v/>
      </c>
      <c r="F4462" s="13" t="inlineStr">
        <is>
          <t>HMY/CYL/4,00/18-02-22</t>
        </is>
      </c>
      <c r="G4462" s="6" t="n">
        <v>300</v>
      </c>
      <c r="H4462" s="6" t="n">
        <v>-1162.403988</v>
      </c>
      <c r="I4462" s="7">
        <f>-H4462/G4462</f>
        <v/>
      </c>
      <c r="J4462" s="11" t="n">
        <v>44610</v>
      </c>
      <c r="K4462" s="6">
        <f>+OPERAC[[#This Row],[cantidad]]</f>
        <v/>
      </c>
      <c r="L4462" s="6">
        <f>+OPERAC[[#This Row],[cantidad venta]]*3.8323</f>
        <v/>
      </c>
      <c r="M4462" s="7">
        <f>IF(N4462=0,+L4462+H4462,0)</f>
        <v/>
      </c>
      <c r="N4462" s="7">
        <f>IF((+G4462-K4462)=0,0,+G4462-K4462)</f>
        <v/>
      </c>
      <c r="O4462" s="7">
        <f>IF(N4462=0,0,(L4462+H4462)/-N4462)</f>
        <v/>
      </c>
      <c r="P4462" s="7">
        <f>VLOOKUP(OPERAC[[#This Row],[especie]],[1]!ESPECIES[#All],6,0)</f>
        <v/>
      </c>
      <c r="Q4462" s="7">
        <f>IF(N4462&lt;&gt;0,P4462*N4462,0)</f>
        <v/>
      </c>
      <c r="R4462" s="8">
        <f>IF(Q4462&lt;&gt;0,Q4462+H4462+L4462,0)</f>
        <v/>
      </c>
      <c r="S4462" s="9">
        <f>VLOOKUP(OPERAC[[#This Row],[especie]],[1]!ESPECIES[#Data],9,FALSE)</f>
        <v/>
      </c>
    </row>
    <row r="4463">
      <c r="A4463" s="4" t="n">
        <v>13190</v>
      </c>
      <c r="B4463" s="5" t="n">
        <v>44581</v>
      </c>
      <c r="C4463" s="13" t="inlineStr">
        <is>
          <t>CPR</t>
        </is>
      </c>
      <c r="D4463" s="13" t="n">
        <v>32</v>
      </c>
      <c r="E4463" s="10">
        <f>IF(D4463&gt;0,VLOOKUP(OPERAC[[#This Row],[COD CART]],[1]!MatrizCortoLargoCyl[#All],3,0),"")</f>
        <v/>
      </c>
      <c r="F4463" s="13" t="inlineStr">
        <is>
          <t>HMY/CYL/4,00/18-02-22</t>
        </is>
      </c>
      <c r="G4463" s="6" t="n">
        <v>300</v>
      </c>
      <c r="H4463" s="6" t="n">
        <v>-1162.403988</v>
      </c>
      <c r="I4463" s="7">
        <f>-H4463/G4463</f>
        <v/>
      </c>
      <c r="J4463" s="11" t="n">
        <v>44610</v>
      </c>
      <c r="K4463" s="6">
        <f>+OPERAC[[#This Row],[cantidad]]</f>
        <v/>
      </c>
      <c r="L4463" s="6">
        <f>+OPERAC[[#This Row],[cantidad venta]]*3.8323</f>
        <v/>
      </c>
      <c r="M4463" s="7">
        <f>IF(N4463=0,+L4463+H4463,0)</f>
        <v/>
      </c>
      <c r="N4463" s="7">
        <f>IF((+G4463-K4463)=0,0,+G4463-K4463)</f>
        <v/>
      </c>
      <c r="O4463" s="7">
        <f>IF(N4463=0,0,(L4463+H4463)/-N4463)</f>
        <v/>
      </c>
      <c r="P4463" s="7">
        <f>VLOOKUP(OPERAC[[#This Row],[especie]],[1]!ESPECIES[#All],6,0)</f>
        <v/>
      </c>
      <c r="Q4463" s="7">
        <f>IF(N4463&lt;&gt;0,P4463*N4463,0)</f>
        <v/>
      </c>
      <c r="R4463" s="8">
        <f>IF(Q4463&lt;&gt;0,Q4463+H4463+L4463,0)</f>
        <v/>
      </c>
      <c r="S4463" s="9">
        <f>VLOOKUP(OPERAC[[#This Row],[especie]],[1]!ESPECIES[#Data],9,FALSE)</f>
        <v/>
      </c>
    </row>
    <row r="4464">
      <c r="A4464" s="4" t="n">
        <v>19888</v>
      </c>
      <c r="B4464" s="5" t="n">
        <v>44581</v>
      </c>
      <c r="C4464" s="13" t="inlineStr">
        <is>
          <t>CPR</t>
        </is>
      </c>
      <c r="D4464" s="13" t="n">
        <v>32</v>
      </c>
      <c r="E4464" s="10">
        <f>IF(D4464&gt;0,VLOOKUP(OPERAC[[#This Row],[COD CART]],[1]!MatrizCortoLargoCyl[#All],3,0),"")</f>
        <v/>
      </c>
      <c r="F4464" s="13" t="inlineStr">
        <is>
          <t>HMY/CYL/4,00/18-02-22</t>
        </is>
      </c>
      <c r="G4464" s="6" t="n">
        <v>300</v>
      </c>
      <c r="H4464" s="6" t="n">
        <v>-1162.403988</v>
      </c>
      <c r="I4464" s="7">
        <f>-H4464/G4464</f>
        <v/>
      </c>
      <c r="J4464" s="11" t="n">
        <v>44610</v>
      </c>
      <c r="K4464" s="6">
        <f>+OPERAC[[#This Row],[cantidad]]</f>
        <v/>
      </c>
      <c r="L4464" s="6">
        <f>+OPERAC[[#This Row],[cantidad venta]]*3.8323</f>
        <v/>
      </c>
      <c r="M4464" s="7">
        <f>IF(N4464=0,+L4464+H4464,0)</f>
        <v/>
      </c>
      <c r="N4464" s="7">
        <f>IF((+G4464-K4464)=0,0,+G4464-K4464)</f>
        <v/>
      </c>
      <c r="O4464" s="7">
        <f>IF(N4464=0,0,(L4464+H4464)/-N4464)</f>
        <v/>
      </c>
      <c r="P4464" s="7">
        <f>VLOOKUP(OPERAC[[#This Row],[especie]],[1]!ESPECIES[#All],6,0)</f>
        <v/>
      </c>
      <c r="Q4464" s="7">
        <f>IF(N4464&lt;&gt;0,P4464*N4464,0)</f>
        <v/>
      </c>
      <c r="R4464" s="8">
        <f>IF(Q4464&lt;&gt;0,Q4464+H4464+L4464,0)</f>
        <v/>
      </c>
      <c r="S4464" s="9">
        <f>VLOOKUP(OPERAC[[#This Row],[especie]],[1]!ESPECIES[#Data],9,FALSE)</f>
        <v/>
      </c>
    </row>
    <row r="4465">
      <c r="A4465" s="4" t="n">
        <v>22407</v>
      </c>
      <c r="B4465" s="5" t="n">
        <v>44581</v>
      </c>
      <c r="C4465" s="13" t="inlineStr">
        <is>
          <t>CPR</t>
        </is>
      </c>
      <c r="D4465" s="13" t="n">
        <v>32</v>
      </c>
      <c r="E4465" s="10">
        <f>IF(D4465&gt;0,VLOOKUP(OPERAC[[#This Row],[COD CART]],[1]!MatrizCortoLargoCyl[#All],3,0),"")</f>
        <v/>
      </c>
      <c r="F4465" s="13" t="inlineStr">
        <is>
          <t>HMY/CYL/4,00/18-02-22</t>
        </is>
      </c>
      <c r="G4465" s="6" t="n">
        <v>300</v>
      </c>
      <c r="H4465" s="6" t="n">
        <v>-1162.403988</v>
      </c>
      <c r="I4465" s="7">
        <f>-H4465/G4465</f>
        <v/>
      </c>
      <c r="J4465" s="11" t="n">
        <v>44610</v>
      </c>
      <c r="K4465" s="6">
        <f>+OPERAC[[#This Row],[cantidad]]</f>
        <v/>
      </c>
      <c r="L4465" s="6">
        <f>+OPERAC[[#This Row],[cantidad venta]]*3.8323</f>
        <v/>
      </c>
      <c r="M4465" s="7">
        <f>IF(N4465=0,+L4465+H4465,0)</f>
        <v/>
      </c>
      <c r="N4465" s="7">
        <f>IF((+G4465-K4465)=0,0,+G4465-K4465)</f>
        <v/>
      </c>
      <c r="O4465" s="7">
        <f>IF(N4465=0,0,(L4465+H4465)/-N4465)</f>
        <v/>
      </c>
      <c r="P4465" s="7">
        <f>VLOOKUP(OPERAC[[#This Row],[especie]],[1]!ESPECIES[#All],6,0)</f>
        <v/>
      </c>
      <c r="Q4465" s="7">
        <f>IF(N4465&lt;&gt;0,P4465*N4465,0)</f>
        <v/>
      </c>
      <c r="R4465" s="8">
        <f>IF(Q4465&lt;&gt;0,Q4465+H4465+L4465,0)</f>
        <v/>
      </c>
      <c r="S4465" s="9">
        <f>VLOOKUP(OPERAC[[#This Row],[especie]],[1]!ESPECIES[#Data],9,FALSE)</f>
        <v/>
      </c>
    </row>
    <row r="4466">
      <c r="A4466" s="4" t="n">
        <v>15189</v>
      </c>
      <c r="B4466" s="5" t="n">
        <v>44494</v>
      </c>
      <c r="C4466" s="13" t="inlineStr">
        <is>
          <t>CPR</t>
        </is>
      </c>
      <c r="D4466" s="13" t="n">
        <v>40</v>
      </c>
      <c r="E4466" s="10">
        <f>IF(D4466&gt;0,VLOOKUP(OPERAC[[#This Row],[COD CART]],[1]!MatrizCortoLargoCyl[#All],3,0),"")</f>
        <v/>
      </c>
      <c r="F4466" s="13" t="inlineStr">
        <is>
          <t>YPF</t>
        </is>
      </c>
      <c r="G4466" s="6" t="n">
        <v>250</v>
      </c>
      <c r="H4466" s="6" t="n">
        <v>-1163.18</v>
      </c>
      <c r="I4466" s="7">
        <f>-H4466/G4466</f>
        <v/>
      </c>
      <c r="J4466" s="11" t="n">
        <v>44606</v>
      </c>
      <c r="K4466" s="6">
        <f>+OPERAC[[#This Row],[cantidad]]</f>
        <v/>
      </c>
      <c r="L4466" s="6">
        <f>+OPERAC[[#This Row],[cantidad venta]]*4.161</f>
        <v/>
      </c>
      <c r="M4466" s="7">
        <f>IF(N4466=0,+L4466+H4466,0)</f>
        <v/>
      </c>
      <c r="N4466" s="7">
        <f>IF((+G4466-K4466)=0,0,+G4466-K4466)</f>
        <v/>
      </c>
      <c r="O4466" s="7">
        <f>IF(N4466=0,0,(L4466+H4466)/-N4466)</f>
        <v/>
      </c>
      <c r="P4466" s="7">
        <f>VLOOKUP(OPERAC[[#This Row],[especie]],[1]!ESPECIES[#All],6,0)</f>
        <v/>
      </c>
      <c r="Q4466" s="7">
        <f>IF(N4466&lt;&gt;0,P4466*N4466,0)</f>
        <v/>
      </c>
      <c r="R4466" s="8">
        <f>IF(Q4466&lt;&gt;0,Q4466+H4466+L4466,0)</f>
        <v/>
      </c>
      <c r="S4466" s="9">
        <f>VLOOKUP(OPERAC[[#This Row],[especie]],[1]!ESPECIES[#Data],9,FALSE)</f>
        <v/>
      </c>
    </row>
    <row r="4467">
      <c r="A4467" s="4" t="n">
        <v>12627</v>
      </c>
      <c r="B4467" s="5" t="n">
        <v>44533</v>
      </c>
      <c r="C4467" s="13" t="inlineStr">
        <is>
          <t>CPR</t>
        </is>
      </c>
      <c r="D4467" s="13" t="n">
        <v>32</v>
      </c>
      <c r="E4467" s="10">
        <f>IF(D4467&gt;0,VLOOKUP(OPERAC[[#This Row],[COD CART]],[1]!MatrizCortoLargoCyl[#All],3,0),"")</f>
        <v/>
      </c>
      <c r="F4467" s="13" t="inlineStr">
        <is>
          <t>INO/CYL/8,00/18-02-22</t>
        </is>
      </c>
      <c r="G4467" s="6" t="n">
        <v>200</v>
      </c>
      <c r="H4467" s="6">
        <f>-5.87*OPERAC[[#This Row],[cantidad]]+9.414</f>
        <v/>
      </c>
      <c r="I4467" s="7">
        <f>-H4467/G4467</f>
        <v/>
      </c>
      <c r="J4467" s="11" t="n">
        <v>44596</v>
      </c>
      <c r="K4467" s="6" t="n">
        <v>200</v>
      </c>
      <c r="L4467" s="6">
        <f>3.665*OPERAC[[#This Row],[cantidad venta]]</f>
        <v/>
      </c>
      <c r="M4467" s="7">
        <f>IF(N4467=0,+L4467+H4467,0)</f>
        <v/>
      </c>
      <c r="N4467" s="7">
        <f>IF((+G4467-K4467)=0,0,+G4467-K4467)</f>
        <v/>
      </c>
      <c r="O4467" s="7">
        <f>IF(N4467=0,0,(L4467+H4467)/-N4467)</f>
        <v/>
      </c>
      <c r="P4467" s="7">
        <f>VLOOKUP(OPERAC[[#This Row],[especie]],[1]!ESPECIES[#All],6,0)</f>
        <v/>
      </c>
      <c r="Q4467" s="7">
        <f>IF(N4467&lt;&gt;0,P4467*N4467,0)</f>
        <v/>
      </c>
      <c r="R4467" s="8">
        <f>IF(Q4467&lt;&gt;0,Q4467+H4467+L4467,0)</f>
        <v/>
      </c>
      <c r="S4467" s="9">
        <f>VLOOKUP(OPERAC[[#This Row],[especie]],[1]!ESPECIES[#Data],9,FALSE)</f>
        <v/>
      </c>
    </row>
    <row r="4468">
      <c r="A4468" s="4" t="n">
        <v>16832</v>
      </c>
      <c r="B4468" s="5" t="n">
        <v>44440</v>
      </c>
      <c r="C4468" s="13" t="inlineStr">
        <is>
          <t>CPR</t>
        </is>
      </c>
      <c r="D4468" s="13" t="n">
        <v>40</v>
      </c>
      <c r="E4468" s="10">
        <f>IF(D4468&gt;0,VLOOKUP(OPERAC[[#This Row],[COD CART]],[1]!MatrizCortoLargoCyl[#All],3,0),"")</f>
        <v/>
      </c>
      <c r="F4468" s="13" t="inlineStr">
        <is>
          <t>SKLZ</t>
        </is>
      </c>
      <c r="G4468" s="6" t="n">
        <v>100</v>
      </c>
      <c r="H4468" s="6">
        <f>-1271.1624+28.72+53.54+22.93</f>
        <v/>
      </c>
      <c r="I4468" s="7">
        <f>-H4468/G4468</f>
        <v/>
      </c>
      <c r="J4468" s="11" t="n"/>
      <c r="K4468" s="6" t="n"/>
      <c r="L4468" s="6" t="n"/>
      <c r="M4468" s="7">
        <f>IF(N4468=0,+L4468+H4468,0)</f>
        <v/>
      </c>
      <c r="N4468" s="7">
        <f>IF((+G4468-K4468)=0,0,+G4468-K4468)</f>
        <v/>
      </c>
      <c r="O4468" s="7">
        <f>IF(N4468=0,0,(L4468+H4468)/-N4468)</f>
        <v/>
      </c>
      <c r="P4468" s="7">
        <f>VLOOKUP(OPERAC[[#This Row],[especie]],[1]!ESPECIES[#All],6,0)</f>
        <v/>
      </c>
      <c r="Q4468" s="7">
        <f>IF(N4468&lt;&gt;0,P4468*N4468,0)</f>
        <v/>
      </c>
      <c r="R4468" s="8">
        <f>IF(Q4468&lt;&gt;0,Q4468+H4468+L4468,0)</f>
        <v/>
      </c>
      <c r="S4468" s="9">
        <f>VLOOKUP(OPERAC[[#This Row],[especie]],[1]!ESPECIES[#Data],9,FALSE)</f>
        <v/>
      </c>
    </row>
    <row r="4469">
      <c r="A4469" s="4" t="n">
        <v>7879</v>
      </c>
      <c r="B4469" s="5" t="n">
        <v>43987</v>
      </c>
      <c r="C4469" s="13" t="inlineStr">
        <is>
          <t>CPR</t>
        </is>
      </c>
      <c r="D4469" s="13" t="n">
        <v>41</v>
      </c>
      <c r="E4469" s="10">
        <f>IF(D4469&gt;0,VLOOKUP(OPERAC[[#This Row],[COD CART]],[1]!MatrizCortoLargoCyl[#All],3,0),"")</f>
        <v/>
      </c>
      <c r="F4469" s="13" t="inlineStr">
        <is>
          <t>GBTC</t>
        </is>
      </c>
      <c r="G4469" s="6" t="n">
        <v>100</v>
      </c>
      <c r="H4469" s="6" t="n">
        <v>-1167.764</v>
      </c>
      <c r="I4469" s="7" t="n">
        <v>11.67764</v>
      </c>
      <c r="J4469" s="5" t="n">
        <v>44147</v>
      </c>
      <c r="K4469" s="6" t="n">
        <v>50</v>
      </c>
      <c r="L4469" s="6" t="n">
        <v>909.13</v>
      </c>
      <c r="M4469" s="7">
        <f>IF(N4469=0,+L4469+H4469,0)</f>
        <v/>
      </c>
      <c r="N4469" s="7">
        <f>IF((+G4469-K4469)=0,0,+G4469-K4469)</f>
        <v/>
      </c>
      <c r="O4469" s="7" t="n">
        <v>23.7</v>
      </c>
      <c r="P4469" s="7">
        <f>VLOOKUP(OPERAC[[#This Row],[especie]],[1]!ESPECIES[#All],6,0)</f>
        <v/>
      </c>
      <c r="Q4469" s="7">
        <f>IF(N4469&lt;&gt;0,P4469*N4469,0)</f>
        <v/>
      </c>
      <c r="R4469" s="8">
        <f>IF(Q4469&lt;&gt;0,Q4469+H4469+L4469,0)</f>
        <v/>
      </c>
      <c r="S4469" s="9">
        <f>VLOOKUP(OPERAC[[#This Row],[especie]],[1]!ESPECIES[#Data],9,FALSE)</f>
        <v/>
      </c>
    </row>
    <row r="4470">
      <c r="A4470" s="4" t="n">
        <v>6579</v>
      </c>
      <c r="B4470" s="5" t="n">
        <v>44582</v>
      </c>
      <c r="C4470" s="13" t="inlineStr">
        <is>
          <t>CPR</t>
        </is>
      </c>
      <c r="D4470" s="13" t="n">
        <v>40</v>
      </c>
      <c r="E4470" s="10">
        <f>IF(D4470&gt;0,VLOOKUP(OPERAC[[#This Row],[COD CART]],[1]!MatrizCortoLargoCyl[#All],3,0),"")</f>
        <v/>
      </c>
      <c r="F4470" s="13" t="inlineStr">
        <is>
          <t>NFLX</t>
        </is>
      </c>
      <c r="G4470" s="6" t="n">
        <v>3</v>
      </c>
      <c r="H4470" s="6" t="n">
        <v>-1171.9113</v>
      </c>
      <c r="I4470" s="7">
        <f>-H4470/G4470</f>
        <v/>
      </c>
      <c r="J4470" s="11" t="n">
        <v>44593</v>
      </c>
      <c r="K4470" s="6">
        <f>+OPERAC[[#This Row],[cantidad]]</f>
        <v/>
      </c>
      <c r="L4470" s="6">
        <f>+OPERAC[[#This Row],[cantidad venta]]*448.602</f>
        <v/>
      </c>
      <c r="M4470" s="7">
        <f>IF(N4470=0,+L4470+H4470,0)</f>
        <v/>
      </c>
      <c r="N4470" s="7">
        <f>IF((+G4470-K4470)=0,0,+G4470-K4470)</f>
        <v/>
      </c>
      <c r="O4470" s="7">
        <f>IF(N4470=0,0,(L4470+H4470)/-N4470)</f>
        <v/>
      </c>
      <c r="P4470" s="7">
        <f>VLOOKUP(OPERAC[[#This Row],[especie]],[1]!ESPECIES[#All],6,0)</f>
        <v/>
      </c>
      <c r="Q4470" s="7">
        <f>IF(N4470&lt;&gt;0,P4470*N4470,0)</f>
        <v/>
      </c>
      <c r="R4470" s="8">
        <f>IF(Q4470&lt;&gt;0,Q4470+H4470+L4470,0)</f>
        <v/>
      </c>
      <c r="S4470" s="9">
        <f>VLOOKUP(OPERAC[[#This Row],[especie]],[1]!ESPECIES[#Data],9,FALSE)</f>
        <v/>
      </c>
    </row>
    <row r="4471">
      <c r="A4471" s="4" t="n">
        <v>7879</v>
      </c>
      <c r="B4471" s="5" t="n">
        <v>44582</v>
      </c>
      <c r="C4471" s="13" t="inlineStr">
        <is>
          <t>CPR</t>
        </is>
      </c>
      <c r="D4471" s="13" t="n">
        <v>40</v>
      </c>
      <c r="E4471" s="10">
        <f>IF(D4471&gt;0,VLOOKUP(OPERAC[[#This Row],[COD CART]],[1]!MatrizCortoLargoCyl[#All],3,0),"")</f>
        <v/>
      </c>
      <c r="F4471" s="13" t="inlineStr">
        <is>
          <t>NFLX</t>
        </is>
      </c>
      <c r="G4471" s="6" t="n">
        <v>3</v>
      </c>
      <c r="H4471" s="6" t="n">
        <v>-1171.9113</v>
      </c>
      <c r="I4471" s="7">
        <f>-H4471/G4471</f>
        <v/>
      </c>
      <c r="J4471" s="11" t="n">
        <v>44593</v>
      </c>
      <c r="K4471" s="6">
        <f>+OPERAC[[#This Row],[cantidad]]</f>
        <v/>
      </c>
      <c r="L4471" s="6">
        <f>+OPERAC[[#This Row],[cantidad venta]]*448.602</f>
        <v/>
      </c>
      <c r="M4471" s="7">
        <f>IF(N4471=0,+L4471+H4471,0)</f>
        <v/>
      </c>
      <c r="N4471" s="7">
        <f>IF((+G4471-K4471)=0,0,+G4471-K4471)</f>
        <v/>
      </c>
      <c r="O4471" s="7">
        <f>IF(N4471=0,0,(L4471+H4471)/-N4471)</f>
        <v/>
      </c>
      <c r="P4471" s="7">
        <f>VLOOKUP(OPERAC[[#This Row],[especie]],[1]!ESPECIES[#All],6,0)</f>
        <v/>
      </c>
      <c r="Q4471" s="7">
        <f>IF(N4471&lt;&gt;0,P4471*N4471,0)</f>
        <v/>
      </c>
      <c r="R4471" s="8">
        <f>IF(Q4471&lt;&gt;0,Q4471+H4471+L4471,0)</f>
        <v/>
      </c>
      <c r="S4471" s="9">
        <f>VLOOKUP(OPERAC[[#This Row],[especie]],[1]!ESPECIES[#Data],9,FALSE)</f>
        <v/>
      </c>
    </row>
    <row r="4472">
      <c r="A4472" s="4" t="n">
        <v>16795</v>
      </c>
      <c r="B4472" s="5" t="n">
        <v>44582</v>
      </c>
      <c r="C4472" s="13" t="inlineStr">
        <is>
          <t>CPR</t>
        </is>
      </c>
      <c r="D4472" s="13" t="n">
        <v>40</v>
      </c>
      <c r="E4472" s="10">
        <f>IF(D4472&gt;0,VLOOKUP(OPERAC[[#This Row],[COD CART]],[1]!MatrizCortoLargoCyl[#All],3,0),"")</f>
        <v/>
      </c>
      <c r="F4472" s="13" t="inlineStr">
        <is>
          <t>NFLX</t>
        </is>
      </c>
      <c r="G4472" s="6" t="n">
        <v>3</v>
      </c>
      <c r="H4472" s="6" t="n">
        <v>-1171.9113</v>
      </c>
      <c r="I4472" s="7">
        <f>-H4472/G4472</f>
        <v/>
      </c>
      <c r="J4472" s="11" t="n">
        <v>44593</v>
      </c>
      <c r="K4472" s="6">
        <f>+OPERAC[[#This Row],[cantidad]]</f>
        <v/>
      </c>
      <c r="L4472" s="6">
        <f>+OPERAC[[#This Row],[cantidad venta]]*448.602</f>
        <v/>
      </c>
      <c r="M4472" s="7">
        <f>IF(N4472=0,+L4472+H4472,0)</f>
        <v/>
      </c>
      <c r="N4472" s="7">
        <f>IF((+G4472-K4472)=0,0,+G4472-K4472)</f>
        <v/>
      </c>
      <c r="O4472" s="7">
        <f>IF(N4472=0,0,(L4472+H4472)/-N4472)</f>
        <v/>
      </c>
      <c r="P4472" s="7">
        <f>VLOOKUP(OPERAC[[#This Row],[especie]],[1]!ESPECIES[#All],6,0)</f>
        <v/>
      </c>
      <c r="Q4472" s="7">
        <f>IF(N4472&lt;&gt;0,P4472*N4472,0)</f>
        <v/>
      </c>
      <c r="R4472" s="8">
        <f>IF(Q4472&lt;&gt;0,Q4472+H4472+L4472,0)</f>
        <v/>
      </c>
      <c r="S4472" s="9">
        <f>VLOOKUP(OPERAC[[#This Row],[especie]],[1]!ESPECIES[#Data],9,FALSE)</f>
        <v/>
      </c>
    </row>
    <row r="4473">
      <c r="A4473" s="4" t="n">
        <v>18662</v>
      </c>
      <c r="B4473" s="5" t="n">
        <v>44582</v>
      </c>
      <c r="C4473" s="13" t="inlineStr">
        <is>
          <t>CPR</t>
        </is>
      </c>
      <c r="D4473" s="13" t="n">
        <v>40</v>
      </c>
      <c r="E4473" s="10">
        <f>IF(D4473&gt;0,VLOOKUP(OPERAC[[#This Row],[COD CART]],[1]!MatrizCortoLargoCyl[#All],3,0),"")</f>
        <v/>
      </c>
      <c r="F4473" s="13" t="inlineStr">
        <is>
          <t>NFLX</t>
        </is>
      </c>
      <c r="G4473" s="6" t="n">
        <v>3</v>
      </c>
      <c r="H4473" s="6" t="n">
        <v>-1171.9113</v>
      </c>
      <c r="I4473" s="7">
        <f>-H4473/G4473</f>
        <v/>
      </c>
      <c r="J4473" s="11" t="n">
        <v>44593</v>
      </c>
      <c r="K4473" s="6">
        <f>+OPERAC[[#This Row],[cantidad]]</f>
        <v/>
      </c>
      <c r="L4473" s="6">
        <f>+OPERAC[[#This Row],[cantidad venta]]*448.602</f>
        <v/>
      </c>
      <c r="M4473" s="7">
        <f>IF(N4473=0,+L4473+H4473,0)</f>
        <v/>
      </c>
      <c r="N4473" s="7">
        <f>IF((+G4473-K4473)=0,0,+G4473-K4473)</f>
        <v/>
      </c>
      <c r="O4473" s="7">
        <f>IF(N4473=0,0,(L4473+H4473)/-N4473)</f>
        <v/>
      </c>
      <c r="P4473" s="7">
        <f>VLOOKUP(OPERAC[[#This Row],[especie]],[1]!ESPECIES[#All],6,0)</f>
        <v/>
      </c>
      <c r="Q4473" s="7">
        <f>IF(N4473&lt;&gt;0,P4473*N4473,0)</f>
        <v/>
      </c>
      <c r="R4473" s="8">
        <f>IF(Q4473&lt;&gt;0,Q4473+H4473+L4473,0)</f>
        <v/>
      </c>
      <c r="S4473" s="9">
        <f>VLOOKUP(OPERAC[[#This Row],[especie]],[1]!ESPECIES[#Data],9,FALSE)</f>
        <v/>
      </c>
    </row>
    <row r="4474">
      <c r="A4474" s="4" t="n">
        <v>20317</v>
      </c>
      <c r="B4474" s="5" t="n">
        <v>44582</v>
      </c>
      <c r="C4474" s="13" t="inlineStr">
        <is>
          <t>CPR</t>
        </is>
      </c>
      <c r="D4474" s="13" t="n">
        <v>40</v>
      </c>
      <c r="E4474" s="10">
        <f>IF(D4474&gt;0,VLOOKUP(OPERAC[[#This Row],[COD CART]],[1]!MatrizCortoLargoCyl[#All],3,0),"")</f>
        <v/>
      </c>
      <c r="F4474" s="13" t="inlineStr">
        <is>
          <t>NFLX</t>
        </is>
      </c>
      <c r="G4474" s="6" t="n">
        <v>3</v>
      </c>
      <c r="H4474" s="6" t="n">
        <v>-1171.9113</v>
      </c>
      <c r="I4474" s="7">
        <f>-H4474/G4474</f>
        <v/>
      </c>
      <c r="J4474" s="11" t="n">
        <v>44593</v>
      </c>
      <c r="K4474" s="6">
        <f>+OPERAC[[#This Row],[cantidad]]</f>
        <v/>
      </c>
      <c r="L4474" s="6">
        <f>+OPERAC[[#This Row],[cantidad venta]]*448.602</f>
        <v/>
      </c>
      <c r="M4474" s="7">
        <f>IF(N4474=0,+L4474+H4474,0)</f>
        <v/>
      </c>
      <c r="N4474" s="7">
        <f>IF((+G4474-K4474)=0,0,+G4474-K4474)</f>
        <v/>
      </c>
      <c r="O4474" s="7">
        <f>IF(N4474=0,0,(L4474+H4474)/-N4474)</f>
        <v/>
      </c>
      <c r="P4474" s="7">
        <f>VLOOKUP(OPERAC[[#This Row],[especie]],[1]!ESPECIES[#All],6,0)</f>
        <v/>
      </c>
      <c r="Q4474" s="7">
        <f>IF(N4474&lt;&gt;0,P4474*N4474,0)</f>
        <v/>
      </c>
      <c r="R4474" s="8">
        <f>IF(Q4474&lt;&gt;0,Q4474+H4474+L4474,0)</f>
        <v/>
      </c>
      <c r="S4474" s="9">
        <f>VLOOKUP(OPERAC[[#This Row],[especie]],[1]!ESPECIES[#Data],9,FALSE)</f>
        <v/>
      </c>
    </row>
    <row r="4475">
      <c r="A4475" s="4" t="n">
        <v>6578</v>
      </c>
      <c r="B4475" s="5" t="n">
        <v>44707</v>
      </c>
      <c r="C4475" s="13" t="inlineStr">
        <is>
          <t>CPR</t>
        </is>
      </c>
      <c r="D4475" s="13" t="n">
        <v>42</v>
      </c>
      <c r="E4475" s="10">
        <f>IF(D4475&gt;0,VLOOKUP(OPERAC[[#This Row],[COD CART]],[1]!MatrizCortoLargoCyl[#All],3,0),"")</f>
        <v/>
      </c>
      <c r="F4475" s="13" t="inlineStr">
        <is>
          <t>ET</t>
        </is>
      </c>
      <c r="G4475" s="6" t="n">
        <v>100</v>
      </c>
      <c r="H4475" s="6" t="n">
        <v>-1172.38125</v>
      </c>
      <c r="I4475" s="7">
        <f>-H4475/G4475</f>
        <v/>
      </c>
      <c r="J4475" s="5" t="n">
        <v>44712</v>
      </c>
      <c r="K4475" s="6" t="n">
        <v>100</v>
      </c>
      <c r="L4475" s="6" t="n">
        <v>1156.52</v>
      </c>
      <c r="M4475" s="7">
        <f>IF(N4475=0,+L4475+H4475,0)</f>
        <v/>
      </c>
      <c r="N4475" s="7">
        <f>IF((+G4475-K4475)=0,0,+G4475-K4475)</f>
        <v/>
      </c>
      <c r="O4475" s="7">
        <f>IF(N4475=0,0,(L4475+H4475)/-N4475)</f>
        <v/>
      </c>
      <c r="P4475" s="7">
        <f>VLOOKUP(OPERAC[[#This Row],[especie]],[1]!ESPECIES[#All],6,0)</f>
        <v/>
      </c>
      <c r="Q4475" s="7">
        <f>IF(N4475&lt;&gt;0,P4475*N4475,0)</f>
        <v/>
      </c>
      <c r="R4475" s="8">
        <f>IF(Q4475&lt;&gt;0,Q4475+H4475+L4475,0)</f>
        <v/>
      </c>
      <c r="S4475" s="9">
        <f>VLOOKUP(OPERAC[[#This Row],[especie]],[1]!ESPECIES[#Data],9,FALSE)</f>
        <v/>
      </c>
    </row>
    <row r="4476">
      <c r="A4476" s="4" t="n">
        <v>6579</v>
      </c>
      <c r="B4476" s="5" t="n">
        <v>44707</v>
      </c>
      <c r="C4476" s="13" t="inlineStr">
        <is>
          <t>CPR</t>
        </is>
      </c>
      <c r="D4476" s="13" t="n">
        <v>42</v>
      </c>
      <c r="E4476" s="10">
        <f>IF(D4476&gt;0,VLOOKUP(OPERAC[[#This Row],[COD CART]],[1]!MatrizCortoLargoCyl[#All],3,0),"")</f>
        <v/>
      </c>
      <c r="F4476" s="13" t="inlineStr">
        <is>
          <t>ET</t>
        </is>
      </c>
      <c r="G4476" s="6" t="n">
        <v>100</v>
      </c>
      <c r="H4476" s="6" t="n">
        <v>-1172.38125</v>
      </c>
      <c r="I4476" s="7">
        <f>-H4476/G4476</f>
        <v/>
      </c>
      <c r="J4476" s="5" t="n">
        <v>44712</v>
      </c>
      <c r="K4476" s="6" t="n">
        <v>100</v>
      </c>
      <c r="L4476" s="6" t="n">
        <v>1156.52</v>
      </c>
      <c r="M4476" s="7">
        <f>IF(N4476=0,+L4476+H4476,0)</f>
        <v/>
      </c>
      <c r="N4476" s="7">
        <f>IF((+G4476-K4476)=0,0,+G4476-K4476)</f>
        <v/>
      </c>
      <c r="O4476" s="7">
        <f>IF(N4476=0,0,(L4476+H4476)/-N4476)</f>
        <v/>
      </c>
      <c r="P4476" s="7">
        <f>VLOOKUP(OPERAC[[#This Row],[especie]],[1]!ESPECIES[#All],6,0)</f>
        <v/>
      </c>
      <c r="Q4476" s="7">
        <f>IF(N4476&lt;&gt;0,P4476*N4476,0)</f>
        <v/>
      </c>
      <c r="R4476" s="8">
        <f>IF(Q4476&lt;&gt;0,Q4476+H4476+L4476,0)</f>
        <v/>
      </c>
      <c r="S4476" s="9">
        <f>VLOOKUP(OPERAC[[#This Row],[especie]],[1]!ESPECIES[#Data],9,FALSE)</f>
        <v/>
      </c>
    </row>
    <row r="4477">
      <c r="A4477" s="4" t="n">
        <v>7493</v>
      </c>
      <c r="B4477" s="5" t="n">
        <v>44707</v>
      </c>
      <c r="C4477" s="13" t="inlineStr">
        <is>
          <t>CPR</t>
        </is>
      </c>
      <c r="D4477" s="13" t="n">
        <v>42</v>
      </c>
      <c r="E4477" s="10">
        <f>IF(D4477&gt;0,VLOOKUP(OPERAC[[#This Row],[COD CART]],[1]!MatrizCortoLargoCyl[#All],3,0),"")</f>
        <v/>
      </c>
      <c r="F4477" s="13" t="inlineStr">
        <is>
          <t>ET</t>
        </is>
      </c>
      <c r="G4477" s="6" t="n">
        <v>100</v>
      </c>
      <c r="H4477" s="6" t="n">
        <v>-1172.38125</v>
      </c>
      <c r="I4477" s="7">
        <f>-H4477/G4477</f>
        <v/>
      </c>
      <c r="J4477" s="5" t="n">
        <v>44712</v>
      </c>
      <c r="K4477" s="6" t="n">
        <v>100</v>
      </c>
      <c r="L4477" s="6" t="n">
        <v>1156.52</v>
      </c>
      <c r="M4477" s="7">
        <f>IF(N4477=0,+L4477+H4477,0)</f>
        <v/>
      </c>
      <c r="N4477" s="7">
        <f>IF((+G4477-K4477)=0,0,+G4477-K4477)</f>
        <v/>
      </c>
      <c r="O4477" s="7">
        <f>IF(N4477=0,0,(L4477+H4477)/-N4477)</f>
        <v/>
      </c>
      <c r="P4477" s="7">
        <f>VLOOKUP(OPERAC[[#This Row],[especie]],[1]!ESPECIES[#All],6,0)</f>
        <v/>
      </c>
      <c r="Q4477" s="7">
        <f>IF(N4477&lt;&gt;0,P4477*N4477,0)</f>
        <v/>
      </c>
      <c r="R4477" s="8">
        <f>IF(Q4477&lt;&gt;0,Q4477+H4477+L4477,0)</f>
        <v/>
      </c>
      <c r="S4477" s="9">
        <f>VLOOKUP(OPERAC[[#This Row],[especie]],[1]!ESPECIES[#Data],9,FALSE)</f>
        <v/>
      </c>
    </row>
    <row r="4478">
      <c r="A4478" s="4" t="n">
        <v>7867</v>
      </c>
      <c r="B4478" s="5" t="n">
        <v>44707</v>
      </c>
      <c r="C4478" s="13" t="inlineStr">
        <is>
          <t>CPR</t>
        </is>
      </c>
      <c r="D4478" s="13" t="n">
        <v>42</v>
      </c>
      <c r="E4478" s="10">
        <f>IF(D4478&gt;0,VLOOKUP(OPERAC[[#This Row],[COD CART]],[1]!MatrizCortoLargoCyl[#All],3,0),"")</f>
        <v/>
      </c>
      <c r="F4478" s="13" t="inlineStr">
        <is>
          <t>ET</t>
        </is>
      </c>
      <c r="G4478" s="6" t="n">
        <v>100</v>
      </c>
      <c r="H4478" s="6" t="n">
        <v>-1172.38125</v>
      </c>
      <c r="I4478" s="7">
        <f>-H4478/G4478</f>
        <v/>
      </c>
      <c r="J4478" s="5" t="n">
        <v>44712</v>
      </c>
      <c r="K4478" s="6" t="n">
        <v>100</v>
      </c>
      <c r="L4478" s="6" t="n">
        <v>1169.474</v>
      </c>
      <c r="M4478" s="7">
        <f>IF(N4478=0,+L4478+H4478,0)</f>
        <v/>
      </c>
      <c r="N4478" s="7">
        <f>IF((+G4478-K4478)=0,0,+G4478-K4478)</f>
        <v/>
      </c>
      <c r="O4478" s="7">
        <f>IF(N4478=0,0,(L4478+H4478)/-N4478)</f>
        <v/>
      </c>
      <c r="P4478" s="7">
        <f>VLOOKUP(OPERAC[[#This Row],[especie]],[1]!ESPECIES[#All],6,0)</f>
        <v/>
      </c>
      <c r="Q4478" s="7">
        <f>IF(N4478&lt;&gt;0,P4478*N4478,0)</f>
        <v/>
      </c>
      <c r="R4478" s="8">
        <f>IF(Q4478&lt;&gt;0,Q4478+H4478+L4478,0)</f>
        <v/>
      </c>
      <c r="S4478" s="9">
        <f>VLOOKUP(OPERAC[[#This Row],[especie]],[1]!ESPECIES[#Data],9,FALSE)</f>
        <v/>
      </c>
    </row>
    <row r="4479">
      <c r="A4479" s="4" t="n">
        <v>10079</v>
      </c>
      <c r="B4479" s="5" t="n">
        <v>44707</v>
      </c>
      <c r="C4479" s="13" t="inlineStr">
        <is>
          <t>CPR</t>
        </is>
      </c>
      <c r="D4479" s="13" t="n">
        <v>42</v>
      </c>
      <c r="E4479" s="10">
        <f>IF(D4479&gt;0,VLOOKUP(OPERAC[[#This Row],[COD CART]],[1]!MatrizCortoLargoCyl[#All],3,0),"")</f>
        <v/>
      </c>
      <c r="F4479" s="13" t="inlineStr">
        <is>
          <t>ET</t>
        </is>
      </c>
      <c r="G4479" s="6" t="n">
        <v>100</v>
      </c>
      <c r="H4479" s="6" t="n">
        <v>-1172.38125</v>
      </c>
      <c r="I4479" s="7">
        <f>-H4479/G4479</f>
        <v/>
      </c>
      <c r="J4479" s="5" t="n">
        <v>44712</v>
      </c>
      <c r="K4479" s="6" t="n">
        <v>100</v>
      </c>
      <c r="L4479" s="6" t="n">
        <v>1156.52</v>
      </c>
      <c r="M4479" s="7">
        <f>IF(N4479=0,+L4479+H4479,0)</f>
        <v/>
      </c>
      <c r="N4479" s="7">
        <f>IF((+G4479-K4479)=0,0,+G4479-K4479)</f>
        <v/>
      </c>
      <c r="O4479" s="7">
        <f>IF(N4479=0,0,(L4479+H4479)/-N4479)</f>
        <v/>
      </c>
      <c r="P4479" s="7">
        <f>VLOOKUP(OPERAC[[#This Row],[especie]],[1]!ESPECIES[#All],6,0)</f>
        <v/>
      </c>
      <c r="Q4479" s="7">
        <f>IF(N4479&lt;&gt;0,P4479*N4479,0)</f>
        <v/>
      </c>
      <c r="R4479" s="8">
        <f>IF(Q4479&lt;&gt;0,Q4479+H4479+L4479,0)</f>
        <v/>
      </c>
      <c r="S4479" s="9">
        <f>VLOOKUP(OPERAC[[#This Row],[especie]],[1]!ESPECIES[#Data],9,FALSE)</f>
        <v/>
      </c>
    </row>
    <row r="4480">
      <c r="A4480" s="4" t="n">
        <v>12627</v>
      </c>
      <c r="B4480" s="5" t="n">
        <v>44707</v>
      </c>
      <c r="C4480" s="13" t="inlineStr">
        <is>
          <t>CPR</t>
        </is>
      </c>
      <c r="D4480" s="13" t="n">
        <v>42</v>
      </c>
      <c r="E4480" s="10">
        <f>IF(D4480&gt;0,VLOOKUP(OPERAC[[#This Row],[COD CART]],[1]!MatrizCortoLargoCyl[#All],3,0),"")</f>
        <v/>
      </c>
      <c r="F4480" s="13" t="inlineStr">
        <is>
          <t>ET</t>
        </is>
      </c>
      <c r="G4480" s="6" t="n">
        <v>100</v>
      </c>
      <c r="H4480" s="6" t="n">
        <v>-1172.38125</v>
      </c>
      <c r="I4480" s="7">
        <f>-H4480/G4480</f>
        <v/>
      </c>
      <c r="J4480" s="5" t="n">
        <v>44712</v>
      </c>
      <c r="K4480" s="6" t="n">
        <v>100</v>
      </c>
      <c r="L4480" s="6" t="n">
        <v>1156.52</v>
      </c>
      <c r="M4480" s="7">
        <f>IF(N4480=0,+L4480+H4480,0)</f>
        <v/>
      </c>
      <c r="N4480" s="7">
        <f>IF((+G4480-K4480)=0,0,+G4480-K4480)</f>
        <v/>
      </c>
      <c r="O4480" s="7">
        <f>IF(N4480=0,0,(L4480+H4480)/-N4480)</f>
        <v/>
      </c>
      <c r="P4480" s="7">
        <f>VLOOKUP(OPERAC[[#This Row],[especie]],[1]!ESPECIES[#All],6,0)</f>
        <v/>
      </c>
      <c r="Q4480" s="7">
        <f>IF(N4480&lt;&gt;0,P4480*N4480,0)</f>
        <v/>
      </c>
      <c r="R4480" s="8">
        <f>IF(Q4480&lt;&gt;0,Q4480+H4480+L4480,0)</f>
        <v/>
      </c>
      <c r="S4480" s="9">
        <f>VLOOKUP(OPERAC[[#This Row],[especie]],[1]!ESPECIES[#Data],9,FALSE)</f>
        <v/>
      </c>
    </row>
    <row r="4481">
      <c r="A4481" s="4" t="n">
        <v>13190</v>
      </c>
      <c r="B4481" s="5" t="n">
        <v>44707</v>
      </c>
      <c r="C4481" s="13" t="inlineStr">
        <is>
          <t>CPR</t>
        </is>
      </c>
      <c r="D4481" s="13" t="n">
        <v>42</v>
      </c>
      <c r="E4481" s="10">
        <f>IF(D4481&gt;0,VLOOKUP(OPERAC[[#This Row],[COD CART]],[1]!MatrizCortoLargoCyl[#All],3,0),"")</f>
        <v/>
      </c>
      <c r="F4481" s="13" t="inlineStr">
        <is>
          <t>ET</t>
        </is>
      </c>
      <c r="G4481" s="6" t="n">
        <v>100</v>
      </c>
      <c r="H4481" s="6" t="n">
        <v>-1172.38125</v>
      </c>
      <c r="I4481" s="7">
        <f>-H4481/G4481</f>
        <v/>
      </c>
      <c r="J4481" s="5" t="n">
        <v>44712</v>
      </c>
      <c r="K4481" s="6" t="n">
        <v>100</v>
      </c>
      <c r="L4481" s="6" t="n">
        <v>1156.52</v>
      </c>
      <c r="M4481" s="7">
        <f>IF(N4481=0,+L4481+H4481,0)</f>
        <v/>
      </c>
      <c r="N4481" s="7">
        <f>IF((+G4481-K4481)=0,0,+G4481-K4481)</f>
        <v/>
      </c>
      <c r="O4481" s="7">
        <f>IF(N4481=0,0,(L4481+H4481)/-N4481)</f>
        <v/>
      </c>
      <c r="P4481" s="7">
        <f>VLOOKUP(OPERAC[[#This Row],[especie]],[1]!ESPECIES[#All],6,0)</f>
        <v/>
      </c>
      <c r="Q4481" s="7">
        <f>IF(N4481&lt;&gt;0,P4481*N4481,0)</f>
        <v/>
      </c>
      <c r="R4481" s="8">
        <f>IF(Q4481&lt;&gt;0,Q4481+H4481+L4481,0)</f>
        <v/>
      </c>
      <c r="S4481" s="9">
        <f>VLOOKUP(OPERAC[[#This Row],[especie]],[1]!ESPECIES[#Data],9,FALSE)</f>
        <v/>
      </c>
    </row>
    <row r="4482">
      <c r="A4482" s="4" t="n">
        <v>13230</v>
      </c>
      <c r="B4482" s="5" t="n">
        <v>44707</v>
      </c>
      <c r="C4482" s="13" t="inlineStr">
        <is>
          <t>CPR</t>
        </is>
      </c>
      <c r="D4482" s="13" t="n">
        <v>42</v>
      </c>
      <c r="E4482" s="10">
        <f>IF(D4482&gt;0,VLOOKUP(OPERAC[[#This Row],[COD CART]],[1]!MatrizCortoLargoCyl[#All],3,0),"")</f>
        <v/>
      </c>
      <c r="F4482" s="13" t="inlineStr">
        <is>
          <t>ET</t>
        </is>
      </c>
      <c r="G4482" s="6" t="n">
        <v>100</v>
      </c>
      <c r="H4482" s="6" t="n">
        <v>-1172.38125</v>
      </c>
      <c r="I4482" s="7">
        <f>-H4482/G4482</f>
        <v/>
      </c>
      <c r="J4482" s="5" t="n">
        <v>44712</v>
      </c>
      <c r="K4482" s="6" t="n">
        <v>100</v>
      </c>
      <c r="L4482" s="6" t="n">
        <v>1156.52</v>
      </c>
      <c r="M4482" s="7">
        <f>IF(N4482=0,+L4482+H4482,0)</f>
        <v/>
      </c>
      <c r="N4482" s="7">
        <f>IF((+G4482-K4482)=0,0,+G4482-K4482)</f>
        <v/>
      </c>
      <c r="O4482" s="7">
        <f>IF(N4482=0,0,(L4482+H4482)/-N4482)</f>
        <v/>
      </c>
      <c r="P4482" s="7">
        <f>VLOOKUP(OPERAC[[#This Row],[especie]],[1]!ESPECIES[#All],6,0)</f>
        <v/>
      </c>
      <c r="Q4482" s="7">
        <f>IF(N4482&lt;&gt;0,P4482*N4482,0)</f>
        <v/>
      </c>
      <c r="R4482" s="8">
        <f>IF(Q4482&lt;&gt;0,Q4482+H4482+L4482,0)</f>
        <v/>
      </c>
      <c r="S4482" s="9">
        <f>VLOOKUP(OPERAC[[#This Row],[especie]],[1]!ESPECIES[#Data],9,FALSE)</f>
        <v/>
      </c>
    </row>
    <row r="4483">
      <c r="A4483" s="4" t="n">
        <v>15189</v>
      </c>
      <c r="B4483" s="5" t="n">
        <v>44707</v>
      </c>
      <c r="C4483" s="13" t="inlineStr">
        <is>
          <t>CPR</t>
        </is>
      </c>
      <c r="D4483" s="13" t="n">
        <v>42</v>
      </c>
      <c r="E4483" s="10">
        <f>IF(D4483&gt;0,VLOOKUP(OPERAC[[#This Row],[COD CART]],[1]!MatrizCortoLargoCyl[#All],3,0),"")</f>
        <v/>
      </c>
      <c r="F4483" s="13" t="inlineStr">
        <is>
          <t>ET</t>
        </is>
      </c>
      <c r="G4483" s="6" t="n">
        <v>100</v>
      </c>
      <c r="H4483" s="6" t="n">
        <v>-1172.38125</v>
      </c>
      <c r="I4483" s="7">
        <f>-H4483/G4483</f>
        <v/>
      </c>
      <c r="J4483" s="5" t="n">
        <v>44712</v>
      </c>
      <c r="K4483" s="6" t="n">
        <v>100</v>
      </c>
      <c r="L4483" s="6" t="n">
        <v>1156.52</v>
      </c>
      <c r="M4483" s="7">
        <f>IF(N4483=0,+L4483+H4483,0)</f>
        <v/>
      </c>
      <c r="N4483" s="7">
        <f>IF((+G4483-K4483)=0,0,+G4483-K4483)</f>
        <v/>
      </c>
      <c r="O4483" s="7">
        <f>IF(N4483=0,0,(L4483+H4483)/-N4483)</f>
        <v/>
      </c>
      <c r="P4483" s="7">
        <f>VLOOKUP(OPERAC[[#This Row],[especie]],[1]!ESPECIES[#All],6,0)</f>
        <v/>
      </c>
      <c r="Q4483" s="7">
        <f>IF(N4483&lt;&gt;0,P4483*N4483,0)</f>
        <v/>
      </c>
      <c r="R4483" s="8">
        <f>IF(Q4483&lt;&gt;0,Q4483+H4483+L4483,0)</f>
        <v/>
      </c>
      <c r="S4483" s="9">
        <f>VLOOKUP(OPERAC[[#This Row],[especie]],[1]!ESPECIES[#Data],9,FALSE)</f>
        <v/>
      </c>
    </row>
    <row r="4484">
      <c r="A4484" s="4" t="n">
        <v>15195</v>
      </c>
      <c r="B4484" s="5" t="n">
        <v>44707</v>
      </c>
      <c r="C4484" s="13" t="inlineStr">
        <is>
          <t>CPR</t>
        </is>
      </c>
      <c r="D4484" s="13" t="n">
        <v>42</v>
      </c>
      <c r="E4484" s="10">
        <f>IF(D4484&gt;0,VLOOKUP(OPERAC[[#This Row],[COD CART]],[1]!MatrizCortoLargoCyl[#All],3,0),"")</f>
        <v/>
      </c>
      <c r="F4484" s="13" t="inlineStr">
        <is>
          <t>ET</t>
        </is>
      </c>
      <c r="G4484" s="6" t="n">
        <v>100</v>
      </c>
      <c r="H4484" s="6" t="n">
        <v>-1172.38125</v>
      </c>
      <c r="I4484" s="7">
        <f>-H4484/G4484</f>
        <v/>
      </c>
      <c r="J4484" s="5" t="n">
        <v>44712</v>
      </c>
      <c r="K4484" s="6" t="n">
        <v>100</v>
      </c>
      <c r="L4484" s="6" t="n">
        <v>1156.52</v>
      </c>
      <c r="M4484" s="7">
        <f>IF(N4484=0,+L4484+H4484,0)</f>
        <v/>
      </c>
      <c r="N4484" s="7">
        <f>IF((+G4484-K4484)=0,0,+G4484-K4484)</f>
        <v/>
      </c>
      <c r="O4484" s="7">
        <f>IF(N4484=0,0,(L4484+H4484)/-N4484)</f>
        <v/>
      </c>
      <c r="P4484" s="7">
        <f>VLOOKUP(OPERAC[[#This Row],[especie]],[1]!ESPECIES[#All],6,0)</f>
        <v/>
      </c>
      <c r="Q4484" s="7">
        <f>IF(N4484&lt;&gt;0,P4484*N4484,0)</f>
        <v/>
      </c>
      <c r="R4484" s="8">
        <f>IF(Q4484&lt;&gt;0,Q4484+H4484+L4484,0)</f>
        <v/>
      </c>
      <c r="S4484" s="9">
        <f>VLOOKUP(OPERAC[[#This Row],[especie]],[1]!ESPECIES[#Data],9,FALSE)</f>
        <v/>
      </c>
    </row>
    <row r="4485">
      <c r="A4485" s="4" t="n">
        <v>15189</v>
      </c>
      <c r="B4485" s="5" t="n">
        <v>44643</v>
      </c>
      <c r="C4485" s="13" t="inlineStr">
        <is>
          <t>CPR</t>
        </is>
      </c>
      <c r="D4485" s="13" t="n">
        <v>31</v>
      </c>
      <c r="E4485" s="10">
        <f>IF(D4485&gt;0,VLOOKUP(OPERAC[[#This Row],[COD CART]],[1]!MatrizCortoLargoCyl[#All],3,0),"")</f>
        <v/>
      </c>
      <c r="F4485" s="13" t="inlineStr">
        <is>
          <t>LAC</t>
        </is>
      </c>
      <c r="G4485" s="6" t="n">
        <v>35</v>
      </c>
      <c r="H4485" s="6" t="n">
        <v>-1172.961944</v>
      </c>
      <c r="I4485" s="7">
        <f>-H4485/G4485</f>
        <v/>
      </c>
      <c r="J4485" s="11" t="n">
        <v>44693</v>
      </c>
      <c r="K4485" s="6" t="n">
        <v>35</v>
      </c>
      <c r="L4485" s="6" t="n">
        <v>714.308</v>
      </c>
      <c r="M4485" s="7">
        <f>IF(N4485=0,+L4485+H4485,0)</f>
        <v/>
      </c>
      <c r="N4485" s="7">
        <f>IF((+G4485-K4485)=0,0,+G4485-K4485)</f>
        <v/>
      </c>
      <c r="O4485" s="7">
        <f>IF(N4485=0,0,(L4485+H4485)/-N4485)</f>
        <v/>
      </c>
      <c r="P4485" s="7">
        <f>VLOOKUP(OPERAC[[#This Row],[especie]],[1]!ESPECIES[#All],6,0)</f>
        <v/>
      </c>
      <c r="Q4485" s="7">
        <f>IF(N4485&lt;&gt;0,P4485*N4485,0)</f>
        <v/>
      </c>
      <c r="R4485" s="8">
        <f>IF(Q4485&lt;&gt;0,Q4485+H4485+L4485,0)</f>
        <v/>
      </c>
      <c r="S4485" s="9">
        <f>VLOOKUP(OPERAC[[#This Row],[especie]],[1]!ESPECIES[#Data],9,FALSE)</f>
        <v/>
      </c>
    </row>
    <row r="4486">
      <c r="A4486" s="4" t="n">
        <v>22407</v>
      </c>
      <c r="B4486" s="5" t="n">
        <v>44684</v>
      </c>
      <c r="C4486" s="13" t="inlineStr">
        <is>
          <t>CPR</t>
        </is>
      </c>
      <c r="D4486" s="13" t="n">
        <v>32</v>
      </c>
      <c r="E4486" s="10">
        <f>IF(D4486&gt;0,VLOOKUP(OPERAC[[#This Row],[COD CART]],[1]!MatrizCortoLargoCyl[#All],3,0),"")</f>
        <v/>
      </c>
      <c r="F4486" s="13" t="inlineStr">
        <is>
          <t>HMY</t>
        </is>
      </c>
      <c r="G4486" s="6" t="n">
        <v>300</v>
      </c>
      <c r="H4486" s="6" t="n">
        <v>-1173.089</v>
      </c>
      <c r="I4486" s="7">
        <f>-H4486/G4486</f>
        <v/>
      </c>
      <c r="J4486" s="11" t="n"/>
      <c r="K4486" s="6" t="n"/>
      <c r="L4486" s="6" t="n"/>
      <c r="M4486" s="7">
        <f>IF(N4486=0,+L4486+H4486,0)</f>
        <v/>
      </c>
      <c r="N4486" s="7">
        <f>IF((+G4486-K4486)=0,0,+G4486-K4486)</f>
        <v/>
      </c>
      <c r="O4486" s="7">
        <f>IF(N4486=0,0,(L4486+H4486)/-N4486)</f>
        <v/>
      </c>
      <c r="P4486" s="7">
        <f>VLOOKUP(OPERAC[[#This Row],[especie]],[1]!ESPECIES[#All],6,0)</f>
        <v/>
      </c>
      <c r="Q4486" s="7">
        <f>IF(N4486&lt;&gt;0,P4486*N4486,0)</f>
        <v/>
      </c>
      <c r="R4486" s="8">
        <f>IF(Q4486&lt;&gt;0,Q4486+H4486+L4486,0)</f>
        <v/>
      </c>
      <c r="S4486" s="9">
        <f>VLOOKUP(OPERAC[[#This Row],[especie]],[1]!ESPECIES[#Data],9,FALSE)</f>
        <v/>
      </c>
    </row>
    <row r="4487">
      <c r="A4487" s="4" t="n">
        <v>13253</v>
      </c>
      <c r="B4487" s="5" t="n">
        <v>44505</v>
      </c>
      <c r="C4487" s="13" t="inlineStr">
        <is>
          <t>CPR</t>
        </is>
      </c>
      <c r="D4487" s="13" t="n">
        <v>41</v>
      </c>
      <c r="E4487" s="10">
        <f>IF(D4487&gt;0,VLOOKUP(OPERAC[[#This Row],[COD CART]],[1]!MatrizCortoLargoCyl[#All],3,0),"")</f>
        <v/>
      </c>
      <c r="F4487" s="13" t="inlineStr">
        <is>
          <t>ABBV</t>
        </is>
      </c>
      <c r="G4487" s="6" t="n">
        <v>10</v>
      </c>
      <c r="H4487" s="6" t="n">
        <v>-1175.78</v>
      </c>
      <c r="I4487" s="7">
        <f>-H4487/G4487</f>
        <v/>
      </c>
      <c r="J4487" s="11" t="n"/>
      <c r="K4487" s="6" t="n"/>
      <c r="L4487" s="6" t="n"/>
      <c r="M4487" s="7">
        <f>IF(N4487=0,+L4487+H4487,0)</f>
        <v/>
      </c>
      <c r="N4487" s="7">
        <f>IF((+G4487-K4487)=0,0,+G4487-K4487)</f>
        <v/>
      </c>
      <c r="O4487" s="7">
        <f>IF(N4487=0,0,(L4487+H4487)/-N4487)</f>
        <v/>
      </c>
      <c r="P4487" s="7">
        <f>VLOOKUP(OPERAC[[#This Row],[especie]],[1]!ESPECIES[#All],6,0)</f>
        <v/>
      </c>
      <c r="Q4487" s="7">
        <f>IF(N4487&lt;&gt;0,P4487*N4487,0)</f>
        <v/>
      </c>
      <c r="R4487" s="8">
        <f>IF(Q4487&lt;&gt;0,Q4487+H4487+L4487,0)</f>
        <v/>
      </c>
      <c r="S4487" s="9">
        <f>VLOOKUP(OPERAC[[#This Row],[especie]],[1]!ESPECIES[#Data],9,FALSE)</f>
        <v/>
      </c>
    </row>
    <row r="4488">
      <c r="A4488" s="4" t="n">
        <v>13253</v>
      </c>
      <c r="B4488" s="5" t="n">
        <v>44714</v>
      </c>
      <c r="C4488" s="13" t="inlineStr">
        <is>
          <t>CPR</t>
        </is>
      </c>
      <c r="D4488" s="13" t="n">
        <v>41</v>
      </c>
      <c r="E4488" s="10">
        <f>IF(D4488&gt;0,VLOOKUP(OPERAC[[#This Row],[COD CART]],[1]!MatrizCortoLargoCyl[#All],3,0),"")</f>
        <v/>
      </c>
      <c r="F4488" s="13" t="inlineStr">
        <is>
          <t>ET</t>
        </is>
      </c>
      <c r="G4488" s="6" t="n">
        <v>100</v>
      </c>
      <c r="H4488" s="6">
        <f>+OPERAC[[#This Row],[cantidad]]*-11.759</f>
        <v/>
      </c>
      <c r="I4488" s="7">
        <f>-H4488/G4488</f>
        <v/>
      </c>
      <c r="J4488" s="5" t="n"/>
      <c r="K4488" s="6" t="n"/>
      <c r="L4488" s="6" t="n"/>
      <c r="M4488" s="7">
        <f>IF(N4488=0,+L4488+H4488,0)</f>
        <v/>
      </c>
      <c r="N4488" s="7">
        <f>IF((+G4488-K4488)=0,0,+G4488-K4488)</f>
        <v/>
      </c>
      <c r="O4488" s="7">
        <f>IF(N4488=0,0,(L4488+H4488)/-N4488)</f>
        <v/>
      </c>
      <c r="P4488" s="7">
        <f>VLOOKUP(OPERAC[[#This Row],[especie]],[1]!ESPECIES[#All],6,0)</f>
        <v/>
      </c>
      <c r="Q4488" s="7">
        <f>IF(N4488&lt;&gt;0,P4488*N4488,0)</f>
        <v/>
      </c>
      <c r="R4488" s="8">
        <f>IF(Q4488&lt;&gt;0,Q4488+H4488+L4488,0)</f>
        <v/>
      </c>
      <c r="S4488" s="9">
        <f>VLOOKUP(OPERAC[[#This Row],[especie]],[1]!ESPECIES[#Data],9,FALSE)</f>
        <v/>
      </c>
    </row>
    <row r="4489">
      <c r="A4489" s="4" t="n">
        <v>2194</v>
      </c>
      <c r="B4489" s="5" t="n">
        <v>44602</v>
      </c>
      <c r="C4489" s="13" t="inlineStr">
        <is>
          <t>CPR</t>
        </is>
      </c>
      <c r="D4489" s="13" t="n">
        <v>32</v>
      </c>
      <c r="E4489" s="10">
        <f>IF(D4489&gt;0,VLOOKUP(OPERAC[[#This Row],[COD CART]],[1]!MatrizCortoLargoCyl[#All],3,0),"")</f>
        <v/>
      </c>
      <c r="F4489" s="13" t="inlineStr">
        <is>
          <t>BIOX/CYL/12,50/18-03-22</t>
        </is>
      </c>
      <c r="G4489" s="6" t="n">
        <v>100</v>
      </c>
      <c r="H4489" s="6" t="n">
        <v>-1176</v>
      </c>
      <c r="I4489" s="7">
        <f>-H4489/G4489</f>
        <v/>
      </c>
      <c r="J4489" s="11" t="n">
        <v>44634</v>
      </c>
      <c r="K4489" s="6" t="n">
        <v>100</v>
      </c>
      <c r="L4489" s="6" t="n">
        <v>1235.48</v>
      </c>
      <c r="M4489" s="7">
        <f>IF(N4489=0,+L4489+H4489,0)</f>
        <v/>
      </c>
      <c r="N4489" s="7">
        <f>IF((+G4489-K4489)=0,0,+G4489-K4489)</f>
        <v/>
      </c>
      <c r="O4489" s="7">
        <f>IF(N4489=0,0,(L4489+H4489)/-N4489)</f>
        <v/>
      </c>
      <c r="P4489" s="7">
        <f>VLOOKUP(OPERAC[[#This Row],[especie]],[1]!ESPECIES[#All],6,0)</f>
        <v/>
      </c>
      <c r="Q4489" s="7">
        <f>IF(N4489&lt;&gt;0,P4489*N4489,0)</f>
        <v/>
      </c>
      <c r="R4489" s="8">
        <f>IF(Q4489&lt;&gt;0,Q4489+H4489+L4489,0)</f>
        <v/>
      </c>
      <c r="S4489" s="9">
        <f>VLOOKUP(OPERAC[[#This Row],[especie]],[1]!ESPECIES[#Data],9,FALSE)</f>
        <v/>
      </c>
    </row>
    <row r="4490">
      <c r="A4490" s="4" t="n">
        <v>2289</v>
      </c>
      <c r="B4490" s="5" t="n">
        <v>44602</v>
      </c>
      <c r="C4490" s="13" t="inlineStr">
        <is>
          <t>CPR</t>
        </is>
      </c>
      <c r="D4490" s="13" t="n">
        <v>32</v>
      </c>
      <c r="E4490" s="10">
        <f>IF(D4490&gt;0,VLOOKUP(OPERAC[[#This Row],[COD CART]],[1]!MatrizCortoLargoCyl[#All],3,0),"")</f>
        <v/>
      </c>
      <c r="F4490" s="13" t="inlineStr">
        <is>
          <t>BIOX/CYL/12,50/18-03-22</t>
        </is>
      </c>
      <c r="G4490" s="6" t="n">
        <v>100</v>
      </c>
      <c r="H4490" s="6" t="n">
        <v>-1176</v>
      </c>
      <c r="I4490" s="7">
        <f>-H4490/G4490</f>
        <v/>
      </c>
      <c r="J4490" s="11" t="n">
        <v>44634</v>
      </c>
      <c r="K4490" s="6" t="n">
        <v>100</v>
      </c>
      <c r="L4490" s="6" t="n">
        <v>1235.48</v>
      </c>
      <c r="M4490" s="7">
        <f>IF(N4490=0,+L4490+H4490,0)</f>
        <v/>
      </c>
      <c r="N4490" s="7">
        <f>IF((+G4490-K4490)=0,0,+G4490-K4490)</f>
        <v/>
      </c>
      <c r="O4490" s="7">
        <f>IF(N4490=0,0,(L4490+H4490)/-N4490)</f>
        <v/>
      </c>
      <c r="P4490" s="7">
        <f>VLOOKUP(OPERAC[[#This Row],[especie]],[1]!ESPECIES[#All],6,0)</f>
        <v/>
      </c>
      <c r="Q4490" s="7">
        <f>IF(N4490&lt;&gt;0,P4490*N4490,0)</f>
        <v/>
      </c>
      <c r="R4490" s="8">
        <f>IF(Q4490&lt;&gt;0,Q4490+H4490+L4490,0)</f>
        <v/>
      </c>
      <c r="S4490" s="9">
        <f>VLOOKUP(OPERAC[[#This Row],[especie]],[1]!ESPECIES[#Data],9,FALSE)</f>
        <v/>
      </c>
    </row>
    <row r="4491">
      <c r="A4491" s="4" t="n">
        <v>3853</v>
      </c>
      <c r="B4491" s="5" t="n">
        <v>44602</v>
      </c>
      <c r="C4491" s="13" t="inlineStr">
        <is>
          <t>CPR</t>
        </is>
      </c>
      <c r="D4491" s="13" t="n">
        <v>32</v>
      </c>
      <c r="E4491" s="10">
        <f>IF(D4491&gt;0,VLOOKUP(OPERAC[[#This Row],[COD CART]],[1]!MatrizCortoLargoCyl[#All],3,0),"")</f>
        <v/>
      </c>
      <c r="F4491" s="13" t="inlineStr">
        <is>
          <t>BIOX/CYL/12,50/18-03-22</t>
        </is>
      </c>
      <c r="G4491" s="6" t="n">
        <v>100</v>
      </c>
      <c r="H4491" s="6" t="n">
        <v>-1176</v>
      </c>
      <c r="I4491" s="7">
        <f>-H4491/G4491</f>
        <v/>
      </c>
      <c r="J4491" s="11" t="n">
        <v>44634</v>
      </c>
      <c r="K4491" s="6" t="n">
        <v>100</v>
      </c>
      <c r="L4491" s="6" t="n">
        <v>1235.48</v>
      </c>
      <c r="M4491" s="7">
        <f>IF(N4491=0,+L4491+H4491,0)</f>
        <v/>
      </c>
      <c r="N4491" s="7">
        <f>IF((+G4491-K4491)=0,0,+G4491-K4491)</f>
        <v/>
      </c>
      <c r="O4491" s="7">
        <f>IF(N4491=0,0,(L4491+H4491)/-N4491)</f>
        <v/>
      </c>
      <c r="P4491" s="7">
        <f>VLOOKUP(OPERAC[[#This Row],[especie]],[1]!ESPECIES[#All],6,0)</f>
        <v/>
      </c>
      <c r="Q4491" s="7">
        <f>IF(N4491&lt;&gt;0,P4491*N4491,0)</f>
        <v/>
      </c>
      <c r="R4491" s="8">
        <f>IF(Q4491&lt;&gt;0,Q4491+H4491+L4491,0)</f>
        <v/>
      </c>
      <c r="S4491" s="9">
        <f>VLOOKUP(OPERAC[[#This Row],[especie]],[1]!ESPECIES[#Data],9,FALSE)</f>
        <v/>
      </c>
    </row>
    <row r="4492">
      <c r="A4492" s="4" t="n">
        <v>3867</v>
      </c>
      <c r="B4492" s="5" t="n">
        <v>44602</v>
      </c>
      <c r="C4492" s="13" t="inlineStr">
        <is>
          <t>CPR</t>
        </is>
      </c>
      <c r="D4492" s="13" t="n">
        <v>32</v>
      </c>
      <c r="E4492" s="10">
        <f>IF(D4492&gt;0,VLOOKUP(OPERAC[[#This Row],[COD CART]],[1]!MatrizCortoLargoCyl[#All],3,0),"")</f>
        <v/>
      </c>
      <c r="F4492" s="13" t="inlineStr">
        <is>
          <t>BIOX/CYL/12,50/18-03-22</t>
        </is>
      </c>
      <c r="G4492" s="6" t="n">
        <v>100</v>
      </c>
      <c r="H4492" s="6" t="n">
        <v>-1176</v>
      </c>
      <c r="I4492" s="7">
        <f>-H4492/G4492</f>
        <v/>
      </c>
      <c r="J4492" s="11" t="n">
        <v>44634</v>
      </c>
      <c r="K4492" s="6" t="n">
        <v>100</v>
      </c>
      <c r="L4492" s="6" t="n">
        <v>1235.48</v>
      </c>
      <c r="M4492" s="7">
        <f>IF(N4492=0,+L4492+H4492,0)</f>
        <v/>
      </c>
      <c r="N4492" s="7">
        <f>IF((+G4492-K4492)=0,0,+G4492-K4492)</f>
        <v/>
      </c>
      <c r="O4492" s="7">
        <f>IF(N4492=0,0,(L4492+H4492)/-N4492)</f>
        <v/>
      </c>
      <c r="P4492" s="7">
        <f>VLOOKUP(OPERAC[[#This Row],[especie]],[1]!ESPECIES[#All],6,0)</f>
        <v/>
      </c>
      <c r="Q4492" s="7">
        <f>IF(N4492&lt;&gt;0,P4492*N4492,0)</f>
        <v/>
      </c>
      <c r="R4492" s="8">
        <f>IF(Q4492&lt;&gt;0,Q4492+H4492+L4492,0)</f>
        <v/>
      </c>
      <c r="S4492" s="9">
        <f>VLOOKUP(OPERAC[[#This Row],[especie]],[1]!ESPECIES[#Data],9,FALSE)</f>
        <v/>
      </c>
    </row>
    <row r="4493">
      <c r="A4493" s="4" t="n">
        <v>6579</v>
      </c>
      <c r="B4493" s="5" t="n">
        <v>44602</v>
      </c>
      <c r="C4493" s="13" t="inlineStr">
        <is>
          <t>CPR</t>
        </is>
      </c>
      <c r="D4493" s="13" t="n">
        <v>32</v>
      </c>
      <c r="E4493" s="10">
        <f>IF(D4493&gt;0,VLOOKUP(OPERAC[[#This Row],[COD CART]],[1]!MatrizCortoLargoCyl[#All],3,0),"")</f>
        <v/>
      </c>
      <c r="F4493" s="13" t="inlineStr">
        <is>
          <t>BIOX/CYL/12,50/18-03-22</t>
        </is>
      </c>
      <c r="G4493" s="6" t="n">
        <v>100</v>
      </c>
      <c r="H4493" s="6" t="n">
        <v>-1176</v>
      </c>
      <c r="I4493" s="7">
        <f>-H4493/G4493</f>
        <v/>
      </c>
      <c r="J4493" s="11" t="n">
        <v>44634</v>
      </c>
      <c r="K4493" s="6" t="n">
        <v>100</v>
      </c>
      <c r="L4493" s="6" t="n">
        <v>1235.48</v>
      </c>
      <c r="M4493" s="7">
        <f>IF(N4493=0,+L4493+H4493,0)</f>
        <v/>
      </c>
      <c r="N4493" s="7">
        <f>IF((+G4493-K4493)=0,0,+G4493-K4493)</f>
        <v/>
      </c>
      <c r="O4493" s="7">
        <f>IF(N4493=0,0,(L4493+H4493)/-N4493)</f>
        <v/>
      </c>
      <c r="P4493" s="7">
        <f>VLOOKUP(OPERAC[[#This Row],[especie]],[1]!ESPECIES[#All],6,0)</f>
        <v/>
      </c>
      <c r="Q4493" s="7">
        <f>IF(N4493&lt;&gt;0,P4493*N4493,0)</f>
        <v/>
      </c>
      <c r="R4493" s="8">
        <f>IF(Q4493&lt;&gt;0,Q4493+H4493+L4493,0)</f>
        <v/>
      </c>
      <c r="S4493" s="9">
        <f>VLOOKUP(OPERAC[[#This Row],[especie]],[1]!ESPECIES[#Data],9,FALSE)</f>
        <v/>
      </c>
    </row>
    <row r="4494">
      <c r="A4494" s="4" t="n">
        <v>7493</v>
      </c>
      <c r="B4494" s="5" t="n">
        <v>44602</v>
      </c>
      <c r="C4494" s="13" t="inlineStr">
        <is>
          <t>CPR</t>
        </is>
      </c>
      <c r="D4494" s="13" t="n">
        <v>32</v>
      </c>
      <c r="E4494" s="10">
        <f>IF(D4494&gt;0,VLOOKUP(OPERAC[[#This Row],[COD CART]],[1]!MatrizCortoLargoCyl[#All],3,0),"")</f>
        <v/>
      </c>
      <c r="F4494" s="13" t="inlineStr">
        <is>
          <t>BIOX/CYL/12,50/18-03-22</t>
        </is>
      </c>
      <c r="G4494" s="6" t="n">
        <v>100</v>
      </c>
      <c r="H4494" s="6" t="n">
        <v>-1176</v>
      </c>
      <c r="I4494" s="7">
        <f>-H4494/G4494</f>
        <v/>
      </c>
      <c r="J4494" s="11" t="n">
        <v>44634</v>
      </c>
      <c r="K4494" s="6" t="n">
        <v>100</v>
      </c>
      <c r="L4494" s="6" t="n">
        <v>1235.48</v>
      </c>
      <c r="M4494" s="7">
        <f>IF(N4494=0,+L4494+H4494,0)</f>
        <v/>
      </c>
      <c r="N4494" s="7">
        <f>IF((+G4494-K4494)=0,0,+G4494-K4494)</f>
        <v/>
      </c>
      <c r="O4494" s="7">
        <f>IF(N4494=0,0,(L4494+H4494)/-N4494)</f>
        <v/>
      </c>
      <c r="P4494" s="7">
        <f>VLOOKUP(OPERAC[[#This Row],[especie]],[1]!ESPECIES[#All],6,0)</f>
        <v/>
      </c>
      <c r="Q4494" s="7">
        <f>IF(N4494&lt;&gt;0,P4494*N4494,0)</f>
        <v/>
      </c>
      <c r="R4494" s="8">
        <f>IF(Q4494&lt;&gt;0,Q4494+H4494+L4494,0)</f>
        <v/>
      </c>
      <c r="S4494" s="9">
        <f>VLOOKUP(OPERAC[[#This Row],[especie]],[1]!ESPECIES[#Data],9,FALSE)</f>
        <v/>
      </c>
    </row>
    <row r="4495">
      <c r="A4495" s="4" t="n">
        <v>10079</v>
      </c>
      <c r="B4495" s="5" t="n">
        <v>44602</v>
      </c>
      <c r="C4495" s="13" t="inlineStr">
        <is>
          <t>CPR</t>
        </is>
      </c>
      <c r="D4495" s="13" t="n">
        <v>32</v>
      </c>
      <c r="E4495" s="10">
        <f>IF(D4495&gt;0,VLOOKUP(OPERAC[[#This Row],[COD CART]],[1]!MatrizCortoLargoCyl[#All],3,0),"")</f>
        <v/>
      </c>
      <c r="F4495" s="13" t="inlineStr">
        <is>
          <t>BIOX/CYL/12,50/18-03-22</t>
        </is>
      </c>
      <c r="G4495" s="6" t="n">
        <v>100</v>
      </c>
      <c r="H4495" s="6" t="n">
        <v>-1176</v>
      </c>
      <c r="I4495" s="7">
        <f>-H4495/G4495</f>
        <v/>
      </c>
      <c r="J4495" s="11" t="n">
        <v>44634</v>
      </c>
      <c r="K4495" s="6" t="n">
        <v>100</v>
      </c>
      <c r="L4495" s="6" t="n">
        <v>1235.48</v>
      </c>
      <c r="M4495" s="7">
        <f>IF(N4495=0,+L4495+H4495,0)</f>
        <v/>
      </c>
      <c r="N4495" s="7">
        <f>IF((+G4495-K4495)=0,0,+G4495-K4495)</f>
        <v/>
      </c>
      <c r="O4495" s="7">
        <f>IF(N4495=0,0,(L4495+H4495)/-N4495)</f>
        <v/>
      </c>
      <c r="P4495" s="7">
        <f>VLOOKUP(OPERAC[[#This Row],[especie]],[1]!ESPECIES[#All],6,0)</f>
        <v/>
      </c>
      <c r="Q4495" s="7">
        <f>IF(N4495&lt;&gt;0,P4495*N4495,0)</f>
        <v/>
      </c>
      <c r="R4495" s="8">
        <f>IF(Q4495&lt;&gt;0,Q4495+H4495+L4495,0)</f>
        <v/>
      </c>
      <c r="S4495" s="9">
        <f>VLOOKUP(OPERAC[[#This Row],[especie]],[1]!ESPECIES[#Data],9,FALSE)</f>
        <v/>
      </c>
    </row>
    <row r="4496">
      <c r="A4496" s="4" t="n">
        <v>12022</v>
      </c>
      <c r="B4496" s="5" t="n">
        <v>44602</v>
      </c>
      <c r="C4496" s="13" t="inlineStr">
        <is>
          <t>CPR</t>
        </is>
      </c>
      <c r="D4496" s="13" t="n">
        <v>32</v>
      </c>
      <c r="E4496" s="10">
        <f>IF(D4496&gt;0,VLOOKUP(OPERAC[[#This Row],[COD CART]],[1]!MatrizCortoLargoCyl[#All],3,0),"")</f>
        <v/>
      </c>
      <c r="F4496" s="13" t="inlineStr">
        <is>
          <t>BIOX/CYL/12,50/18-03-22</t>
        </is>
      </c>
      <c r="G4496" s="6" t="n">
        <v>100</v>
      </c>
      <c r="H4496" s="6" t="n">
        <v>-1176</v>
      </c>
      <c r="I4496" s="7">
        <f>-H4496/G4496</f>
        <v/>
      </c>
      <c r="J4496" s="11" t="n">
        <v>44634</v>
      </c>
      <c r="K4496" s="6" t="n">
        <v>100</v>
      </c>
      <c r="L4496" s="6" t="n">
        <v>1235.48</v>
      </c>
      <c r="M4496" s="7">
        <f>IF(N4496=0,+L4496+H4496,0)</f>
        <v/>
      </c>
      <c r="N4496" s="7">
        <f>IF((+G4496-K4496)=0,0,+G4496-K4496)</f>
        <v/>
      </c>
      <c r="O4496" s="7">
        <f>IF(N4496=0,0,(L4496+H4496)/-N4496)</f>
        <v/>
      </c>
      <c r="P4496" s="7">
        <f>VLOOKUP(OPERAC[[#This Row],[especie]],[1]!ESPECIES[#All],6,0)</f>
        <v/>
      </c>
      <c r="Q4496" s="7">
        <f>IF(N4496&lt;&gt;0,P4496*N4496,0)</f>
        <v/>
      </c>
      <c r="R4496" s="8">
        <f>IF(Q4496&lt;&gt;0,Q4496+H4496+L4496,0)</f>
        <v/>
      </c>
      <c r="S4496" s="9">
        <f>VLOOKUP(OPERAC[[#This Row],[especie]],[1]!ESPECIES[#Data],9,FALSE)</f>
        <v/>
      </c>
    </row>
    <row r="4497">
      <c r="A4497" s="4" t="n">
        <v>12619</v>
      </c>
      <c r="B4497" s="5" t="n">
        <v>44602</v>
      </c>
      <c r="C4497" s="13" t="inlineStr">
        <is>
          <t>CPR</t>
        </is>
      </c>
      <c r="D4497" s="13" t="n">
        <v>32</v>
      </c>
      <c r="E4497" s="10">
        <f>IF(D4497&gt;0,VLOOKUP(OPERAC[[#This Row],[COD CART]],[1]!MatrizCortoLargoCyl[#All],3,0),"")</f>
        <v/>
      </c>
      <c r="F4497" s="13" t="inlineStr">
        <is>
          <t>BIOX/CYL/12,50/18-03-22</t>
        </is>
      </c>
      <c r="G4497" s="6" t="n">
        <v>100</v>
      </c>
      <c r="H4497" s="6" t="n">
        <v>-1176</v>
      </c>
      <c r="I4497" s="7">
        <f>-H4497/G4497</f>
        <v/>
      </c>
      <c r="J4497" s="11" t="n">
        <v>44634</v>
      </c>
      <c r="K4497" s="6" t="n">
        <v>100</v>
      </c>
      <c r="L4497" s="6" t="n">
        <v>1235.48</v>
      </c>
      <c r="M4497" s="7">
        <f>IF(N4497=0,+L4497+H4497,0)</f>
        <v/>
      </c>
      <c r="N4497" s="7">
        <f>IF((+G4497-K4497)=0,0,+G4497-K4497)</f>
        <v/>
      </c>
      <c r="O4497" s="7">
        <f>IF(N4497=0,0,(L4497+H4497)/-N4497)</f>
        <v/>
      </c>
      <c r="P4497" s="7">
        <f>VLOOKUP(OPERAC[[#This Row],[especie]],[1]!ESPECIES[#All],6,0)</f>
        <v/>
      </c>
      <c r="Q4497" s="7">
        <f>IF(N4497&lt;&gt;0,P4497*N4497,0)</f>
        <v/>
      </c>
      <c r="R4497" s="8">
        <f>IF(Q4497&lt;&gt;0,Q4497+H4497+L4497,0)</f>
        <v/>
      </c>
      <c r="S4497" s="9">
        <f>VLOOKUP(OPERAC[[#This Row],[especie]],[1]!ESPECIES[#Data],9,FALSE)</f>
        <v/>
      </c>
    </row>
    <row r="4498">
      <c r="A4498" s="4" t="n">
        <v>13269</v>
      </c>
      <c r="B4498" s="5" t="n">
        <v>44602</v>
      </c>
      <c r="C4498" s="13" t="inlineStr">
        <is>
          <t>CPR</t>
        </is>
      </c>
      <c r="D4498" s="13" t="n">
        <v>32</v>
      </c>
      <c r="E4498" s="10">
        <f>IF(D4498&gt;0,VLOOKUP(OPERAC[[#This Row],[COD CART]],[1]!MatrizCortoLargoCyl[#All],3,0),"")</f>
        <v/>
      </c>
      <c r="F4498" s="13" t="inlineStr">
        <is>
          <t>BIOX/CYL/12,50/18-03-22</t>
        </is>
      </c>
      <c r="G4498" s="6" t="n">
        <v>100</v>
      </c>
      <c r="H4498" s="6" t="n">
        <v>-1176</v>
      </c>
      <c r="I4498" s="7">
        <f>-H4498/G4498</f>
        <v/>
      </c>
      <c r="J4498" s="11" t="n">
        <v>44634</v>
      </c>
      <c r="K4498" s="6" t="n">
        <v>100</v>
      </c>
      <c r="L4498" s="6" t="n">
        <v>1235.48</v>
      </c>
      <c r="M4498" s="7">
        <f>IF(N4498=0,+L4498+H4498,0)</f>
        <v/>
      </c>
      <c r="N4498" s="7">
        <f>IF((+G4498-K4498)=0,0,+G4498-K4498)</f>
        <v/>
      </c>
      <c r="O4498" s="7">
        <f>IF(N4498=0,0,(L4498+H4498)/-N4498)</f>
        <v/>
      </c>
      <c r="P4498" s="7">
        <f>VLOOKUP(OPERAC[[#This Row],[especie]],[1]!ESPECIES[#All],6,0)</f>
        <v/>
      </c>
      <c r="Q4498" s="7">
        <f>IF(N4498&lt;&gt;0,P4498*N4498,0)</f>
        <v/>
      </c>
      <c r="R4498" s="8">
        <f>IF(Q4498&lt;&gt;0,Q4498+H4498+L4498,0)</f>
        <v/>
      </c>
      <c r="S4498" s="9">
        <f>VLOOKUP(OPERAC[[#This Row],[especie]],[1]!ESPECIES[#Data],9,FALSE)</f>
        <v/>
      </c>
    </row>
    <row r="4499">
      <c r="A4499" s="4" t="n">
        <v>16780</v>
      </c>
      <c r="B4499" s="5" t="n">
        <v>44602</v>
      </c>
      <c r="C4499" s="13" t="inlineStr">
        <is>
          <t>CPR</t>
        </is>
      </c>
      <c r="D4499" s="13" t="n">
        <v>32</v>
      </c>
      <c r="E4499" s="10">
        <f>IF(D4499&gt;0,VLOOKUP(OPERAC[[#This Row],[COD CART]],[1]!MatrizCortoLargoCyl[#All],3,0),"")</f>
        <v/>
      </c>
      <c r="F4499" s="13" t="inlineStr">
        <is>
          <t>BIOX/CYL/12,50/18-03-22</t>
        </is>
      </c>
      <c r="G4499" s="6" t="n">
        <v>100</v>
      </c>
      <c r="H4499" s="6" t="n">
        <v>-1176</v>
      </c>
      <c r="I4499" s="7">
        <f>-H4499/G4499</f>
        <v/>
      </c>
      <c r="J4499" s="11" t="n">
        <v>44634</v>
      </c>
      <c r="K4499" s="6" t="n">
        <v>100</v>
      </c>
      <c r="L4499" s="6" t="n">
        <v>1235.48</v>
      </c>
      <c r="M4499" s="7">
        <f>IF(N4499=0,+L4499+H4499,0)</f>
        <v/>
      </c>
      <c r="N4499" s="7">
        <f>IF((+G4499-K4499)=0,0,+G4499-K4499)</f>
        <v/>
      </c>
      <c r="O4499" s="7">
        <f>IF(N4499=0,0,(L4499+H4499)/-N4499)</f>
        <v/>
      </c>
      <c r="P4499" s="7">
        <f>VLOOKUP(OPERAC[[#This Row],[especie]],[1]!ESPECIES[#All],6,0)</f>
        <v/>
      </c>
      <c r="Q4499" s="7">
        <f>IF(N4499&lt;&gt;0,P4499*N4499,0)</f>
        <v/>
      </c>
      <c r="R4499" s="8">
        <f>IF(Q4499&lt;&gt;0,Q4499+H4499+L4499,0)</f>
        <v/>
      </c>
      <c r="S4499" s="9">
        <f>VLOOKUP(OPERAC[[#This Row],[especie]],[1]!ESPECIES[#Data],9,FALSE)</f>
        <v/>
      </c>
    </row>
    <row r="4500">
      <c r="A4500" s="4" t="n">
        <v>22407</v>
      </c>
      <c r="B4500" s="5" t="n">
        <v>44602</v>
      </c>
      <c r="C4500" s="13" t="inlineStr">
        <is>
          <t>CPR</t>
        </is>
      </c>
      <c r="D4500" s="13" t="n">
        <v>32</v>
      </c>
      <c r="E4500" s="10">
        <f>IF(D4500&gt;0,VLOOKUP(OPERAC[[#This Row],[COD CART]],[1]!MatrizCortoLargoCyl[#All],3,0),"")</f>
        <v/>
      </c>
      <c r="F4500" s="13" t="inlineStr">
        <is>
          <t>BIOX/CYL/12,50/18-03-22</t>
        </is>
      </c>
      <c r="G4500" s="6" t="n">
        <v>100</v>
      </c>
      <c r="H4500" s="6" t="n">
        <v>-1176</v>
      </c>
      <c r="I4500" s="7">
        <f>-H4500/G4500</f>
        <v/>
      </c>
      <c r="J4500" s="11" t="n">
        <v>44634</v>
      </c>
      <c r="K4500" s="6" t="n">
        <v>100</v>
      </c>
      <c r="L4500" s="6" t="n">
        <v>1235.48</v>
      </c>
      <c r="M4500" s="7">
        <f>IF(N4500=0,+L4500+H4500,0)</f>
        <v/>
      </c>
      <c r="N4500" s="7">
        <f>IF((+G4500-K4500)=0,0,+G4500-K4500)</f>
        <v/>
      </c>
      <c r="O4500" s="7">
        <f>IF(N4500=0,0,(L4500+H4500)/-N4500)</f>
        <v/>
      </c>
      <c r="P4500" s="7">
        <f>VLOOKUP(OPERAC[[#This Row],[especie]],[1]!ESPECIES[#All],6,0)</f>
        <v/>
      </c>
      <c r="Q4500" s="7">
        <f>IF(N4500&lt;&gt;0,P4500*N4500,0)</f>
        <v/>
      </c>
      <c r="R4500" s="8">
        <f>IF(Q4500&lt;&gt;0,Q4500+H4500+L4500,0)</f>
        <v/>
      </c>
      <c r="S4500" s="9">
        <f>VLOOKUP(OPERAC[[#This Row],[especie]],[1]!ESPECIES[#Data],9,FALSE)</f>
        <v/>
      </c>
    </row>
    <row r="4501">
      <c r="A4501" s="4" t="n">
        <v>25070</v>
      </c>
      <c r="B4501" s="5" t="n">
        <v>44602</v>
      </c>
      <c r="C4501" s="13" t="inlineStr">
        <is>
          <t>CPR</t>
        </is>
      </c>
      <c r="D4501" s="13" t="n">
        <v>32</v>
      </c>
      <c r="E4501" s="10">
        <f>IF(D4501&gt;0,VLOOKUP(OPERAC[[#This Row],[COD CART]],[1]!MatrizCortoLargoCyl[#All],3,0),"")</f>
        <v/>
      </c>
      <c r="F4501" s="13" t="inlineStr">
        <is>
          <t>BIOX/CYL/12,50/18-03-22</t>
        </is>
      </c>
      <c r="G4501" s="6" t="n">
        <v>100</v>
      </c>
      <c r="H4501" s="6" t="n">
        <v>-1176</v>
      </c>
      <c r="I4501" s="7">
        <f>-H4501/G4501</f>
        <v/>
      </c>
      <c r="J4501" s="11" t="n">
        <v>44634</v>
      </c>
      <c r="K4501" s="6" t="n">
        <v>100</v>
      </c>
      <c r="L4501" s="6" t="n">
        <v>1235.48</v>
      </c>
      <c r="M4501" s="7">
        <f>IF(N4501=0,+L4501+H4501,0)</f>
        <v/>
      </c>
      <c r="N4501" s="7">
        <f>IF((+G4501-K4501)=0,0,+G4501-K4501)</f>
        <v/>
      </c>
      <c r="O4501" s="7">
        <f>IF(N4501=0,0,(L4501+H4501)/-N4501)</f>
        <v/>
      </c>
      <c r="P4501" s="7">
        <f>VLOOKUP(OPERAC[[#This Row],[especie]],[1]!ESPECIES[#All],6,0)</f>
        <v/>
      </c>
      <c r="Q4501" s="7">
        <f>IF(N4501&lt;&gt;0,P4501*N4501,0)</f>
        <v/>
      </c>
      <c r="R4501" s="8">
        <f>IF(Q4501&lt;&gt;0,Q4501+H4501+L4501,0)</f>
        <v/>
      </c>
      <c r="S4501" s="9">
        <f>VLOOKUP(OPERAC[[#This Row],[especie]],[1]!ESPECIES[#Data],9,FALSE)</f>
        <v/>
      </c>
    </row>
    <row r="4502">
      <c r="A4502" s="4" t="n">
        <v>22407</v>
      </c>
      <c r="B4502" s="5" t="n">
        <v>44098</v>
      </c>
      <c r="C4502" s="13" t="inlineStr">
        <is>
          <t>CPR</t>
        </is>
      </c>
      <c r="D4502" s="13" t="n">
        <v>41</v>
      </c>
      <c r="E4502" s="10">
        <f>IF(D4502&gt;0,VLOOKUP(OPERAC[[#This Row],[COD CART]],[1]!MatrizCortoLargoCyl[#All],3,0),"")</f>
        <v/>
      </c>
      <c r="F4502" s="13" t="inlineStr">
        <is>
          <t>YPF</t>
        </is>
      </c>
      <c r="G4502" s="6" t="n">
        <v>300</v>
      </c>
      <c r="H4502" s="6" t="n">
        <v>-1176.93</v>
      </c>
      <c r="I4502" s="7">
        <f>-H4502/G4502</f>
        <v/>
      </c>
      <c r="J4502" s="11" t="n"/>
      <c r="K4502" s="6" t="n"/>
      <c r="L4502" s="6" t="n"/>
      <c r="M4502" s="7">
        <f>IF(N4502=0,+L4502+H4502,0)</f>
        <v/>
      </c>
      <c r="N4502" s="7">
        <f>IF((+G4502-K4502)=0,0,+G4502-K4502)</f>
        <v/>
      </c>
      <c r="O4502" s="7">
        <f>IF(N4502=0,0,(L4502+H4502)/-N4502)</f>
        <v/>
      </c>
      <c r="P4502" s="7">
        <f>VLOOKUP(OPERAC[[#This Row],[especie]],[1]!ESPECIES[#All],6,0)</f>
        <v/>
      </c>
      <c r="Q4502" s="7">
        <f>IF(N4502&lt;&gt;0,P4502*N4502,0)</f>
        <v/>
      </c>
      <c r="R4502" s="8">
        <f>IF(Q4502&lt;&gt;0,Q4502+H4502+L4502,0)</f>
        <v/>
      </c>
      <c r="S4502" s="9">
        <f>VLOOKUP(OPERAC[[#This Row],[especie]],[1]!ESPECIES[#Data],9,FALSE)</f>
        <v/>
      </c>
    </row>
    <row r="4503">
      <c r="A4503" s="4" t="n">
        <v>12690</v>
      </c>
      <c r="B4503" s="5" t="n">
        <v>44656</v>
      </c>
      <c r="C4503" s="13" t="inlineStr">
        <is>
          <t>CPR</t>
        </is>
      </c>
      <c r="D4503" s="13" t="n">
        <v>32</v>
      </c>
      <c r="E4503" s="10">
        <f>IF(D4503&gt;0,VLOOKUP(OPERAC[[#This Row],[COD CART]],[1]!MatrizCortoLargoCyl[#All],3,0),"")</f>
        <v/>
      </c>
      <c r="F4503" s="13" t="inlineStr">
        <is>
          <t>DOLE/CYL/12,50/17-06-22</t>
        </is>
      </c>
      <c r="G4503" s="6" t="n">
        <v>100</v>
      </c>
      <c r="H4503" s="6">
        <f>-1290.74+88.589+24.788</f>
        <v/>
      </c>
      <c r="I4503" s="7">
        <f>-H4503/G4503</f>
        <v/>
      </c>
      <c r="J4503" s="11" t="n"/>
      <c r="K4503" s="6" t="n"/>
      <c r="L4503" s="6" t="n"/>
      <c r="M4503" s="7">
        <f>IF(N4503=0,+L4503+H4503,0)</f>
        <v/>
      </c>
      <c r="N4503" s="7">
        <f>IF((+G4503-K4503)=0,0,+G4503-K4503)</f>
        <v/>
      </c>
      <c r="O4503" s="7">
        <f>IF(N4503=0,0,(L4503+H4503)/-N4503)</f>
        <v/>
      </c>
      <c r="P4503" s="7">
        <f>VLOOKUP(OPERAC[[#This Row],[especie]],[1]!ESPECIES[#All],6,0)</f>
        <v/>
      </c>
      <c r="Q4503" s="7">
        <f>IF(N4503&lt;&gt;0,P4503*N4503,0)</f>
        <v/>
      </c>
      <c r="R4503" s="8">
        <f>IF(Q4503&lt;&gt;0,Q4503+H4503+L4503,0)</f>
        <v/>
      </c>
      <c r="S4503" s="9">
        <f>VLOOKUP(OPERAC[[#This Row],[especie]],[1]!ESPECIES[#Data],9,FALSE)</f>
        <v/>
      </c>
    </row>
    <row r="4504">
      <c r="A4504" s="4" t="n">
        <v>19932</v>
      </c>
      <c r="B4504" s="5" t="n">
        <v>44629</v>
      </c>
      <c r="C4504" s="13" t="inlineStr">
        <is>
          <t>CPR</t>
        </is>
      </c>
      <c r="D4504" s="13" t="n">
        <v>42</v>
      </c>
      <c r="E4504" s="10">
        <f>IF(D4504&gt;0,VLOOKUP(OPERAC[[#This Row],[COD CART]],[1]!MatrizCortoLargoCyl[#All],3,0),"")</f>
        <v/>
      </c>
      <c r="F4504" s="13" t="inlineStr">
        <is>
          <t>ROKU</t>
        </is>
      </c>
      <c r="G4504" s="6" t="n">
        <v>10</v>
      </c>
      <c r="H4504" s="6" t="n">
        <v>-1178.6464</v>
      </c>
      <c r="I4504" s="7">
        <f>-H4504/G4504</f>
        <v/>
      </c>
      <c r="J4504" s="11" t="n">
        <v>44649</v>
      </c>
      <c r="K4504" s="6" t="n">
        <v>10</v>
      </c>
      <c r="L4504" s="6" t="n">
        <v>1372.979</v>
      </c>
      <c r="M4504" s="7">
        <f>IF(N4504=0,+L4504+H4504,0)</f>
        <v/>
      </c>
      <c r="N4504" s="7">
        <f>IF((+G4504-K4504)=0,0,+G4504-K4504)</f>
        <v/>
      </c>
      <c r="O4504" s="7">
        <f>IF(N4504=0,0,(L4504+H4504)/-N4504)</f>
        <v/>
      </c>
      <c r="P4504" s="7">
        <f>VLOOKUP(OPERAC[[#This Row],[especie]],[1]!ESPECIES[#All],6,0)</f>
        <v/>
      </c>
      <c r="Q4504" s="7">
        <f>IF(N4504&lt;&gt;0,P4504*N4504,0)</f>
        <v/>
      </c>
      <c r="R4504" s="8">
        <f>IF(Q4504&lt;&gt;0,Q4504+H4504+L4504,0)</f>
        <v/>
      </c>
      <c r="S4504" s="9">
        <f>VLOOKUP(OPERAC[[#This Row],[especie]],[1]!ESPECIES[#Data],9,FALSE)</f>
        <v/>
      </c>
    </row>
    <row r="4505">
      <c r="A4505" s="4" t="n">
        <v>18663</v>
      </c>
      <c r="B4505" s="5" t="n">
        <v>44452</v>
      </c>
      <c r="C4505" s="13" t="inlineStr">
        <is>
          <t>CPR</t>
        </is>
      </c>
      <c r="D4505" s="13" t="n">
        <v>41</v>
      </c>
      <c r="E4505" s="10">
        <f>IF(D4505&gt;0,VLOOKUP(OPERAC[[#This Row],[COD CART]],[1]!MatrizCortoLargoCyl[#All],3,0),"")</f>
        <v/>
      </c>
      <c r="F4505" s="13" t="inlineStr">
        <is>
          <t>GOLD</t>
        </is>
      </c>
      <c r="G4505" s="6" t="n">
        <v>60</v>
      </c>
      <c r="H4505" s="6" t="n">
        <v>-1185.408</v>
      </c>
      <c r="I4505" s="7">
        <f>-H4505/G4505</f>
        <v/>
      </c>
      <c r="J4505" s="11" t="n">
        <v>44609</v>
      </c>
      <c r="K4505" s="6" t="n">
        <v>20</v>
      </c>
      <c r="L4505" s="6" t="n">
        <v>458.963</v>
      </c>
      <c r="M4505" s="7">
        <f>IF(N4505=0,+L4505+H4505,0)</f>
        <v/>
      </c>
      <c r="N4505" s="7">
        <f>IF((+G4505-K4505)=0,0,+G4505-K4505)</f>
        <v/>
      </c>
      <c r="O4505" s="7">
        <f>IF(N4505=0,0,(L4505+H4505)/-N4505)</f>
        <v/>
      </c>
      <c r="P4505" s="7">
        <f>VLOOKUP(OPERAC[[#This Row],[especie]],[1]!ESPECIES[#All],6,0)</f>
        <v/>
      </c>
      <c r="Q4505" s="7">
        <f>IF(N4505&lt;&gt;0,P4505*N4505,0)</f>
        <v/>
      </c>
      <c r="R4505" s="8">
        <f>IF(Q4505&lt;&gt;0,Q4505+H4505+L4505,0)</f>
        <v/>
      </c>
      <c r="S4505" s="9">
        <f>VLOOKUP(OPERAC[[#This Row],[especie]],[1]!ESPECIES[#Data],9,FALSE)</f>
        <v/>
      </c>
    </row>
    <row r="4506">
      <c r="A4506" s="4" t="n">
        <v>3728</v>
      </c>
      <c r="B4506" s="5" t="n">
        <v>44599</v>
      </c>
      <c r="C4506" s="13" t="inlineStr">
        <is>
          <t>CPR</t>
        </is>
      </c>
      <c r="D4506" s="13" t="n">
        <v>40</v>
      </c>
      <c r="E4506" s="10">
        <f>IF(D4506&gt;0,VLOOKUP(OPERAC[[#This Row],[COD CART]],[1]!MatrizCortoLargoCyl[#All],3,0),"")</f>
        <v/>
      </c>
      <c r="F4506" s="13" t="inlineStr">
        <is>
          <t>FB</t>
        </is>
      </c>
      <c r="G4506" s="6" t="n">
        <v>5</v>
      </c>
      <c r="H4506" s="6" t="n">
        <v>-1192.3</v>
      </c>
      <c r="I4506" s="7">
        <f>-H4506/G4506</f>
        <v/>
      </c>
      <c r="J4506" s="11" t="n">
        <v>44616</v>
      </c>
      <c r="K4506" s="6">
        <f>+OPERAC[[#This Row],[cantidad]]</f>
        <v/>
      </c>
      <c r="L4506" s="6">
        <f>200.299*OPERAC[[#This Row],[cantidad venta]]</f>
        <v/>
      </c>
      <c r="M4506" s="7">
        <f>IF(N4506=0,+L4506+H4506,0)</f>
        <v/>
      </c>
      <c r="N4506" s="7">
        <f>IF((+G4506-K4506)=0,0,+G4506-K4506)</f>
        <v/>
      </c>
      <c r="O4506" s="7">
        <f>IF(N4506=0,0,(L4506+H4506)/-N4506)</f>
        <v/>
      </c>
      <c r="P4506" s="7">
        <f>VLOOKUP(OPERAC[[#This Row],[especie]],[1]!ESPECIES[#All],6,0)</f>
        <v/>
      </c>
      <c r="Q4506" s="7">
        <f>IF(N4506&lt;&gt;0,P4506*N4506,0)</f>
        <v/>
      </c>
      <c r="R4506" s="8">
        <f>IF(Q4506&lt;&gt;0,Q4506+H4506+L4506,0)</f>
        <v/>
      </c>
      <c r="S4506" s="9">
        <f>VLOOKUP(OPERAC[[#This Row],[especie]],[1]!ESPECIES[#Data],9,FALSE)</f>
        <v/>
      </c>
    </row>
    <row r="4507">
      <c r="A4507" s="4" t="n">
        <v>12672</v>
      </c>
      <c r="B4507" s="5" t="n">
        <v>44599</v>
      </c>
      <c r="C4507" s="13" t="inlineStr">
        <is>
          <t>CPR</t>
        </is>
      </c>
      <c r="D4507" s="13" t="n">
        <v>40</v>
      </c>
      <c r="E4507" s="10">
        <f>IF(D4507&gt;0,VLOOKUP(OPERAC[[#This Row],[COD CART]],[1]!MatrizCortoLargoCyl[#All],3,0),"")</f>
        <v/>
      </c>
      <c r="F4507" s="13" t="inlineStr">
        <is>
          <t>FB</t>
        </is>
      </c>
      <c r="G4507" s="6" t="n">
        <v>5</v>
      </c>
      <c r="H4507" s="6" t="n">
        <v>-1192.3</v>
      </c>
      <c r="I4507" s="7">
        <f>-H4507/G4507</f>
        <v/>
      </c>
      <c r="J4507" s="11" t="n">
        <v>44616</v>
      </c>
      <c r="K4507" s="6">
        <f>+OPERAC[[#This Row],[cantidad]]</f>
        <v/>
      </c>
      <c r="L4507" s="6">
        <f>200.299*OPERAC[[#This Row],[cantidad venta]]</f>
        <v/>
      </c>
      <c r="M4507" s="7">
        <f>IF(N4507=0,+L4507+H4507,0)</f>
        <v/>
      </c>
      <c r="N4507" s="7">
        <f>IF((+G4507-K4507)=0,0,+G4507-K4507)</f>
        <v/>
      </c>
      <c r="O4507" s="7">
        <f>IF(N4507=0,0,(L4507+H4507)/-N4507)</f>
        <v/>
      </c>
      <c r="P4507" s="7">
        <f>VLOOKUP(OPERAC[[#This Row],[especie]],[1]!ESPECIES[#All],6,0)</f>
        <v/>
      </c>
      <c r="Q4507" s="7">
        <f>IF(N4507&lt;&gt;0,P4507*N4507,0)</f>
        <v/>
      </c>
      <c r="R4507" s="8">
        <f>IF(Q4507&lt;&gt;0,Q4507+H4507+L4507,0)</f>
        <v/>
      </c>
      <c r="S4507" s="9">
        <f>VLOOKUP(OPERAC[[#This Row],[especie]],[1]!ESPECIES[#Data],9,FALSE)</f>
        <v/>
      </c>
    </row>
    <row r="4508">
      <c r="A4508" s="4" t="n">
        <v>12662</v>
      </c>
      <c r="B4508" s="5" t="n">
        <v>44599</v>
      </c>
      <c r="C4508" s="13" t="inlineStr">
        <is>
          <t>CPR</t>
        </is>
      </c>
      <c r="D4508" s="13" t="n">
        <v>40</v>
      </c>
      <c r="E4508" s="10">
        <f>IF(D4508&gt;0,VLOOKUP(OPERAC[[#This Row],[COD CART]],[1]!MatrizCortoLargoCyl[#All],3,0),"")</f>
        <v/>
      </c>
      <c r="F4508" s="13" t="inlineStr">
        <is>
          <t>FB</t>
        </is>
      </c>
      <c r="G4508" s="6" t="n">
        <v>5</v>
      </c>
      <c r="H4508" s="6" t="n">
        <v>-1192.3</v>
      </c>
      <c r="I4508" s="7">
        <f>-H4508/G4508</f>
        <v/>
      </c>
      <c r="J4508" s="11" t="n">
        <v>44616</v>
      </c>
      <c r="K4508" s="6">
        <f>+OPERAC[[#This Row],[cantidad]]</f>
        <v/>
      </c>
      <c r="L4508" s="6">
        <f>200.299*OPERAC[[#This Row],[cantidad venta]]</f>
        <v/>
      </c>
      <c r="M4508" s="7">
        <f>IF(N4508=0,+L4508+H4508,0)</f>
        <v/>
      </c>
      <c r="N4508" s="7">
        <f>IF((+G4508-K4508)=0,0,+G4508-K4508)</f>
        <v/>
      </c>
      <c r="O4508" s="7">
        <f>IF(N4508=0,0,(L4508+H4508)/-N4508)</f>
        <v/>
      </c>
      <c r="P4508" s="7">
        <f>VLOOKUP(OPERAC[[#This Row],[especie]],[1]!ESPECIES[#All],6,0)</f>
        <v/>
      </c>
      <c r="Q4508" s="7">
        <f>IF(N4508&lt;&gt;0,P4508*N4508,0)</f>
        <v/>
      </c>
      <c r="R4508" s="8">
        <f>IF(Q4508&lt;&gt;0,Q4508+H4508+L4508,0)</f>
        <v/>
      </c>
      <c r="S4508" s="9">
        <f>VLOOKUP(OPERAC[[#This Row],[especie]],[1]!ESPECIES[#Data],9,FALSE)</f>
        <v/>
      </c>
    </row>
    <row r="4509">
      <c r="A4509" s="4" t="n">
        <v>13185</v>
      </c>
      <c r="B4509" s="5" t="n">
        <v>44599</v>
      </c>
      <c r="C4509" s="13" t="inlineStr">
        <is>
          <t>CPR</t>
        </is>
      </c>
      <c r="D4509" s="13" t="n">
        <v>40</v>
      </c>
      <c r="E4509" s="10">
        <f>IF(D4509&gt;0,VLOOKUP(OPERAC[[#This Row],[COD CART]],[1]!MatrizCortoLargoCyl[#All],3,0),"")</f>
        <v/>
      </c>
      <c r="F4509" s="13" t="inlineStr">
        <is>
          <t>FB</t>
        </is>
      </c>
      <c r="G4509" s="6" t="n">
        <v>5</v>
      </c>
      <c r="H4509" s="6" t="n">
        <v>-1192.3</v>
      </c>
      <c r="I4509" s="7">
        <f>-H4509/G4509</f>
        <v/>
      </c>
      <c r="J4509" s="11" t="n">
        <v>44616</v>
      </c>
      <c r="K4509" s="6">
        <f>+OPERAC[[#This Row],[cantidad]]</f>
        <v/>
      </c>
      <c r="L4509" s="6">
        <f>200.299*OPERAC[[#This Row],[cantidad venta]]</f>
        <v/>
      </c>
      <c r="M4509" s="7">
        <f>IF(N4509=0,+L4509+H4509,0)</f>
        <v/>
      </c>
      <c r="N4509" s="7">
        <f>IF((+G4509-K4509)=0,0,+G4509-K4509)</f>
        <v/>
      </c>
      <c r="O4509" s="7">
        <f>IF(N4509=0,0,(L4509+H4509)/-N4509)</f>
        <v/>
      </c>
      <c r="P4509" s="7">
        <f>VLOOKUP(OPERAC[[#This Row],[especie]],[1]!ESPECIES[#All],6,0)</f>
        <v/>
      </c>
      <c r="Q4509" s="7">
        <f>IF(N4509&lt;&gt;0,P4509*N4509,0)</f>
        <v/>
      </c>
      <c r="R4509" s="8">
        <f>IF(Q4509&lt;&gt;0,Q4509+H4509+L4509,0)</f>
        <v/>
      </c>
      <c r="S4509" s="9">
        <f>VLOOKUP(OPERAC[[#This Row],[especie]],[1]!ESPECIES[#Data],9,FALSE)</f>
        <v/>
      </c>
    </row>
    <row r="4510">
      <c r="A4510" s="4" t="n">
        <v>13180</v>
      </c>
      <c r="B4510" s="5" t="n">
        <v>44599</v>
      </c>
      <c r="C4510" s="13" t="inlineStr">
        <is>
          <t>CPR</t>
        </is>
      </c>
      <c r="D4510" s="13" t="n">
        <v>40</v>
      </c>
      <c r="E4510" s="10">
        <f>IF(D4510&gt;0,VLOOKUP(OPERAC[[#This Row],[COD CART]],[1]!MatrizCortoLargoCyl[#All],3,0),"")</f>
        <v/>
      </c>
      <c r="F4510" s="13" t="inlineStr">
        <is>
          <t>FB</t>
        </is>
      </c>
      <c r="G4510" s="6" t="n">
        <v>5</v>
      </c>
      <c r="H4510" s="6" t="n">
        <v>-1192.3</v>
      </c>
      <c r="I4510" s="7">
        <f>-H4510/G4510</f>
        <v/>
      </c>
      <c r="J4510" s="11" t="n">
        <v>44616</v>
      </c>
      <c r="K4510" s="6">
        <f>+OPERAC[[#This Row],[cantidad]]</f>
        <v/>
      </c>
      <c r="L4510" s="6">
        <f>200.299*OPERAC[[#This Row],[cantidad venta]]</f>
        <v/>
      </c>
      <c r="M4510" s="7">
        <f>IF(N4510=0,+L4510+H4510,0)</f>
        <v/>
      </c>
      <c r="N4510" s="7">
        <f>IF((+G4510-K4510)=0,0,+G4510-K4510)</f>
        <v/>
      </c>
      <c r="O4510" s="7">
        <f>IF(N4510=0,0,(L4510+H4510)/-N4510)</f>
        <v/>
      </c>
      <c r="P4510" s="7">
        <f>VLOOKUP(OPERAC[[#This Row],[especie]],[1]!ESPECIES[#All],6,0)</f>
        <v/>
      </c>
      <c r="Q4510" s="7">
        <f>IF(N4510&lt;&gt;0,P4510*N4510,0)</f>
        <v/>
      </c>
      <c r="R4510" s="8">
        <f>IF(Q4510&lt;&gt;0,Q4510+H4510+L4510,0)</f>
        <v/>
      </c>
      <c r="S4510" s="9">
        <f>VLOOKUP(OPERAC[[#This Row],[especie]],[1]!ESPECIES[#Data],9,FALSE)</f>
        <v/>
      </c>
    </row>
    <row r="4511">
      <c r="A4511" s="4" t="n">
        <v>15189</v>
      </c>
      <c r="B4511" s="5" t="n">
        <v>44599</v>
      </c>
      <c r="C4511" s="13" t="inlineStr">
        <is>
          <t>CPR</t>
        </is>
      </c>
      <c r="D4511" s="13" t="n">
        <v>40</v>
      </c>
      <c r="E4511" s="10">
        <f>IF(D4511&gt;0,VLOOKUP(OPERAC[[#This Row],[COD CART]],[1]!MatrizCortoLargoCyl[#All],3,0),"")</f>
        <v/>
      </c>
      <c r="F4511" s="13" t="inlineStr">
        <is>
          <t>FB</t>
        </is>
      </c>
      <c r="G4511" s="6" t="n">
        <v>5</v>
      </c>
      <c r="H4511" s="6" t="n">
        <v>-1192.3</v>
      </c>
      <c r="I4511" s="7">
        <f>-H4511/G4511</f>
        <v/>
      </c>
      <c r="J4511" s="11" t="n">
        <v>44616</v>
      </c>
      <c r="K4511" s="6">
        <f>+OPERAC[[#This Row],[cantidad]]</f>
        <v/>
      </c>
      <c r="L4511" s="6">
        <f>200.299*OPERAC[[#This Row],[cantidad venta]]</f>
        <v/>
      </c>
      <c r="M4511" s="7">
        <f>IF(N4511=0,+L4511+H4511,0)</f>
        <v/>
      </c>
      <c r="N4511" s="7">
        <f>IF((+G4511-K4511)=0,0,+G4511-K4511)</f>
        <v/>
      </c>
      <c r="O4511" s="7">
        <f>IF(N4511=0,0,(L4511+H4511)/-N4511)</f>
        <v/>
      </c>
      <c r="P4511" s="7">
        <f>VLOOKUP(OPERAC[[#This Row],[especie]],[1]!ESPECIES[#All],6,0)</f>
        <v/>
      </c>
      <c r="Q4511" s="7">
        <f>IF(N4511&lt;&gt;0,P4511*N4511,0)</f>
        <v/>
      </c>
      <c r="R4511" s="8">
        <f>IF(Q4511&lt;&gt;0,Q4511+H4511+L4511,0)</f>
        <v/>
      </c>
      <c r="S4511" s="9">
        <f>VLOOKUP(OPERAC[[#This Row],[especie]],[1]!ESPECIES[#Data],9,FALSE)</f>
        <v/>
      </c>
    </row>
    <row r="4512">
      <c r="A4512" s="4" t="n">
        <v>15194</v>
      </c>
      <c r="B4512" s="5" t="n">
        <v>44599</v>
      </c>
      <c r="C4512" s="13" t="inlineStr">
        <is>
          <t>CPR</t>
        </is>
      </c>
      <c r="D4512" s="13" t="n">
        <v>40</v>
      </c>
      <c r="E4512" s="10">
        <f>IF(D4512&gt;0,VLOOKUP(OPERAC[[#This Row],[COD CART]],[1]!MatrizCortoLargoCyl[#All],3,0),"")</f>
        <v/>
      </c>
      <c r="F4512" s="13" t="inlineStr">
        <is>
          <t>FB</t>
        </is>
      </c>
      <c r="G4512" s="6" t="n">
        <v>5</v>
      </c>
      <c r="H4512" s="6" t="n">
        <v>-1192.3</v>
      </c>
      <c r="I4512" s="7">
        <f>-H4512/G4512</f>
        <v/>
      </c>
      <c r="J4512" s="11" t="n">
        <v>44616</v>
      </c>
      <c r="K4512" s="6">
        <f>+OPERAC[[#This Row],[cantidad]]</f>
        <v/>
      </c>
      <c r="L4512" s="6">
        <f>200.299*OPERAC[[#This Row],[cantidad venta]]</f>
        <v/>
      </c>
      <c r="M4512" s="7">
        <f>IF(N4512=0,+L4512+H4512,0)</f>
        <v/>
      </c>
      <c r="N4512" s="7">
        <f>IF((+G4512-K4512)=0,0,+G4512-K4512)</f>
        <v/>
      </c>
      <c r="O4512" s="7">
        <f>IF(N4512=0,0,(L4512+H4512)/-N4512)</f>
        <v/>
      </c>
      <c r="P4512" s="7">
        <f>VLOOKUP(OPERAC[[#This Row],[especie]],[1]!ESPECIES[#All],6,0)</f>
        <v/>
      </c>
      <c r="Q4512" s="7">
        <f>IF(N4512&lt;&gt;0,P4512*N4512,0)</f>
        <v/>
      </c>
      <c r="R4512" s="8">
        <f>IF(Q4512&lt;&gt;0,Q4512+H4512+L4512,0)</f>
        <v/>
      </c>
      <c r="S4512" s="9">
        <f>VLOOKUP(OPERAC[[#This Row],[especie]],[1]!ESPECIES[#Data],9,FALSE)</f>
        <v/>
      </c>
    </row>
    <row r="4513">
      <c r="A4513" s="4" t="n">
        <v>16795</v>
      </c>
      <c r="B4513" s="5" t="n">
        <v>44599</v>
      </c>
      <c r="C4513" s="13" t="inlineStr">
        <is>
          <t>CPR</t>
        </is>
      </c>
      <c r="D4513" s="13" t="n">
        <v>40</v>
      </c>
      <c r="E4513" s="10">
        <f>IF(D4513&gt;0,VLOOKUP(OPERAC[[#This Row],[COD CART]],[1]!MatrizCortoLargoCyl[#All],3,0),"")</f>
        <v/>
      </c>
      <c r="F4513" s="13" t="inlineStr">
        <is>
          <t>FB</t>
        </is>
      </c>
      <c r="G4513" s="6" t="n">
        <v>5</v>
      </c>
      <c r="H4513" s="6" t="n">
        <v>-1192.3</v>
      </c>
      <c r="I4513" s="7">
        <f>-H4513/G4513</f>
        <v/>
      </c>
      <c r="J4513" s="11" t="n">
        <v>44616</v>
      </c>
      <c r="K4513" s="6">
        <f>+OPERAC[[#This Row],[cantidad]]</f>
        <v/>
      </c>
      <c r="L4513" s="6">
        <f>200.299*OPERAC[[#This Row],[cantidad venta]]</f>
        <v/>
      </c>
      <c r="M4513" s="7">
        <f>IF(N4513=0,+L4513+H4513,0)</f>
        <v/>
      </c>
      <c r="N4513" s="7">
        <f>IF((+G4513-K4513)=0,0,+G4513-K4513)</f>
        <v/>
      </c>
      <c r="O4513" s="7">
        <f>IF(N4513=0,0,(L4513+H4513)/-N4513)</f>
        <v/>
      </c>
      <c r="P4513" s="7">
        <f>VLOOKUP(OPERAC[[#This Row],[especie]],[1]!ESPECIES[#All],6,0)</f>
        <v/>
      </c>
      <c r="Q4513" s="7">
        <f>IF(N4513&lt;&gt;0,P4513*N4513,0)</f>
        <v/>
      </c>
      <c r="R4513" s="8">
        <f>IF(Q4513&lt;&gt;0,Q4513+H4513+L4513,0)</f>
        <v/>
      </c>
      <c r="S4513" s="9">
        <f>VLOOKUP(OPERAC[[#This Row],[especie]],[1]!ESPECIES[#Data],9,FALSE)</f>
        <v/>
      </c>
    </row>
    <row r="4514">
      <c r="A4514" s="4" t="n">
        <v>18662</v>
      </c>
      <c r="B4514" s="5" t="n">
        <v>44599</v>
      </c>
      <c r="C4514" s="13" t="inlineStr">
        <is>
          <t>CPR</t>
        </is>
      </c>
      <c r="D4514" s="13" t="n">
        <v>40</v>
      </c>
      <c r="E4514" s="10">
        <f>IF(D4514&gt;0,VLOOKUP(OPERAC[[#This Row],[COD CART]],[1]!MatrizCortoLargoCyl[#All],3,0),"")</f>
        <v/>
      </c>
      <c r="F4514" s="13" t="inlineStr">
        <is>
          <t>FB</t>
        </is>
      </c>
      <c r="G4514" s="6" t="n">
        <v>5</v>
      </c>
      <c r="H4514" s="6" t="n">
        <v>-1192.3</v>
      </c>
      <c r="I4514" s="7">
        <f>-H4514/G4514</f>
        <v/>
      </c>
      <c r="J4514" s="11" t="n">
        <v>44616</v>
      </c>
      <c r="K4514" s="6">
        <f>+OPERAC[[#This Row],[cantidad]]</f>
        <v/>
      </c>
      <c r="L4514" s="6">
        <f>200.299*OPERAC[[#This Row],[cantidad venta]]</f>
        <v/>
      </c>
      <c r="M4514" s="7">
        <f>IF(N4514=0,+L4514+H4514,0)</f>
        <v/>
      </c>
      <c r="N4514" s="7">
        <f>IF((+G4514-K4514)=0,0,+G4514-K4514)</f>
        <v/>
      </c>
      <c r="O4514" s="7">
        <f>IF(N4514=0,0,(L4514+H4514)/-N4514)</f>
        <v/>
      </c>
      <c r="P4514" s="7">
        <f>VLOOKUP(OPERAC[[#This Row],[especie]],[1]!ESPECIES[#All],6,0)</f>
        <v/>
      </c>
      <c r="Q4514" s="7">
        <f>IF(N4514&lt;&gt;0,P4514*N4514,0)</f>
        <v/>
      </c>
      <c r="R4514" s="8">
        <f>IF(Q4514&lt;&gt;0,Q4514+H4514+L4514,0)</f>
        <v/>
      </c>
      <c r="S4514" s="9">
        <f>VLOOKUP(OPERAC[[#This Row],[especie]],[1]!ESPECIES[#Data],9,FALSE)</f>
        <v/>
      </c>
    </row>
    <row r="4515">
      <c r="A4515" s="4" t="n">
        <v>18703</v>
      </c>
      <c r="B4515" s="5" t="n">
        <v>44599</v>
      </c>
      <c r="C4515" s="13" t="inlineStr">
        <is>
          <t>CPR</t>
        </is>
      </c>
      <c r="D4515" s="13" t="n">
        <v>40</v>
      </c>
      <c r="E4515" s="10">
        <f>IF(D4515&gt;0,VLOOKUP(OPERAC[[#This Row],[COD CART]],[1]!MatrizCortoLargoCyl[#All],3,0),"")</f>
        <v/>
      </c>
      <c r="F4515" s="13" t="inlineStr">
        <is>
          <t>FB</t>
        </is>
      </c>
      <c r="G4515" s="6" t="n">
        <v>5</v>
      </c>
      <c r="H4515" s="6" t="n">
        <v>-1192.3</v>
      </c>
      <c r="I4515" s="7">
        <f>-H4515/G4515</f>
        <v/>
      </c>
      <c r="J4515" s="11" t="n">
        <v>44616</v>
      </c>
      <c r="K4515" s="6">
        <f>+OPERAC[[#This Row],[cantidad]]</f>
        <v/>
      </c>
      <c r="L4515" s="6">
        <f>200.299*OPERAC[[#This Row],[cantidad venta]]</f>
        <v/>
      </c>
      <c r="M4515" s="7">
        <f>IF(N4515=0,+L4515+H4515,0)</f>
        <v/>
      </c>
      <c r="N4515" s="7">
        <f>IF((+G4515-K4515)=0,0,+G4515-K4515)</f>
        <v/>
      </c>
      <c r="O4515" s="7">
        <f>IF(N4515=0,0,(L4515+H4515)/-N4515)</f>
        <v/>
      </c>
      <c r="P4515" s="7">
        <f>VLOOKUP(OPERAC[[#This Row],[especie]],[1]!ESPECIES[#All],6,0)</f>
        <v/>
      </c>
      <c r="Q4515" s="7">
        <f>IF(N4515&lt;&gt;0,P4515*N4515,0)</f>
        <v/>
      </c>
      <c r="R4515" s="8">
        <f>IF(Q4515&lt;&gt;0,Q4515+H4515+L4515,0)</f>
        <v/>
      </c>
      <c r="S4515" s="9">
        <f>VLOOKUP(OPERAC[[#This Row],[especie]],[1]!ESPECIES[#Data],9,FALSE)</f>
        <v/>
      </c>
    </row>
    <row r="4516">
      <c r="A4516" s="4" t="n">
        <v>19878</v>
      </c>
      <c r="B4516" s="5" t="n">
        <v>44599</v>
      </c>
      <c r="C4516" s="13" t="inlineStr">
        <is>
          <t>CPR</t>
        </is>
      </c>
      <c r="D4516" s="13" t="n">
        <v>40</v>
      </c>
      <c r="E4516" s="10">
        <f>IF(D4516&gt;0,VLOOKUP(OPERAC[[#This Row],[COD CART]],[1]!MatrizCortoLargoCyl[#All],3,0),"")</f>
        <v/>
      </c>
      <c r="F4516" s="13" t="inlineStr">
        <is>
          <t>FB</t>
        </is>
      </c>
      <c r="G4516" s="6" t="n">
        <v>5</v>
      </c>
      <c r="H4516" s="6" t="n">
        <v>-1192.3</v>
      </c>
      <c r="I4516" s="7">
        <f>-H4516/G4516</f>
        <v/>
      </c>
      <c r="J4516" s="11" t="n">
        <v>44616</v>
      </c>
      <c r="K4516" s="6">
        <f>+OPERAC[[#This Row],[cantidad]]</f>
        <v/>
      </c>
      <c r="L4516" s="6">
        <f>200.299*OPERAC[[#This Row],[cantidad venta]]</f>
        <v/>
      </c>
      <c r="M4516" s="7">
        <f>IF(N4516=0,+L4516+H4516,0)</f>
        <v/>
      </c>
      <c r="N4516" s="7">
        <f>IF((+G4516-K4516)=0,0,+G4516-K4516)</f>
        <v/>
      </c>
      <c r="O4516" s="7">
        <f>IF(N4516=0,0,(L4516+H4516)/-N4516)</f>
        <v/>
      </c>
      <c r="P4516" s="7">
        <f>VLOOKUP(OPERAC[[#This Row],[especie]],[1]!ESPECIES[#All],6,0)</f>
        <v/>
      </c>
      <c r="Q4516" s="7">
        <f>IF(N4516&lt;&gt;0,P4516*N4516,0)</f>
        <v/>
      </c>
      <c r="R4516" s="8">
        <f>IF(Q4516&lt;&gt;0,Q4516+H4516+L4516,0)</f>
        <v/>
      </c>
      <c r="S4516" s="9">
        <f>VLOOKUP(OPERAC[[#This Row],[especie]],[1]!ESPECIES[#Data],9,FALSE)</f>
        <v/>
      </c>
    </row>
    <row r="4517">
      <c r="A4517" s="4" t="n">
        <v>19867</v>
      </c>
      <c r="B4517" s="5" t="n">
        <v>44599</v>
      </c>
      <c r="C4517" s="13" t="inlineStr">
        <is>
          <t>CPR</t>
        </is>
      </c>
      <c r="D4517" s="13" t="n">
        <v>40</v>
      </c>
      <c r="E4517" s="10">
        <f>IF(D4517&gt;0,VLOOKUP(OPERAC[[#This Row],[COD CART]],[1]!MatrizCortoLargoCyl[#All],3,0),"")</f>
        <v/>
      </c>
      <c r="F4517" s="13" t="inlineStr">
        <is>
          <t>FB</t>
        </is>
      </c>
      <c r="G4517" s="6" t="n">
        <v>5</v>
      </c>
      <c r="H4517" s="6" t="n">
        <v>-1192.3</v>
      </c>
      <c r="I4517" s="7">
        <f>-H4517/G4517</f>
        <v/>
      </c>
      <c r="J4517" s="11" t="n">
        <v>44616</v>
      </c>
      <c r="K4517" s="6">
        <f>+OPERAC[[#This Row],[cantidad]]</f>
        <v/>
      </c>
      <c r="L4517" s="6">
        <f>200.299*OPERAC[[#This Row],[cantidad venta]]</f>
        <v/>
      </c>
      <c r="M4517" s="7">
        <f>IF(N4517=0,+L4517+H4517,0)</f>
        <v/>
      </c>
      <c r="N4517" s="7">
        <f>IF((+G4517-K4517)=0,0,+G4517-K4517)</f>
        <v/>
      </c>
      <c r="O4517" s="7">
        <f>IF(N4517=0,0,(L4517+H4517)/-N4517)</f>
        <v/>
      </c>
      <c r="P4517" s="7">
        <f>VLOOKUP(OPERAC[[#This Row],[especie]],[1]!ESPECIES[#All],6,0)</f>
        <v/>
      </c>
      <c r="Q4517" s="7">
        <f>IF(N4517&lt;&gt;0,P4517*N4517,0)</f>
        <v/>
      </c>
      <c r="R4517" s="8">
        <f>IF(Q4517&lt;&gt;0,Q4517+H4517+L4517,0)</f>
        <v/>
      </c>
      <c r="S4517" s="9">
        <f>VLOOKUP(OPERAC[[#This Row],[especie]],[1]!ESPECIES[#Data],9,FALSE)</f>
        <v/>
      </c>
    </row>
    <row r="4518">
      <c r="A4518" s="4" t="n">
        <v>19932</v>
      </c>
      <c r="B4518" s="5" t="n">
        <v>44599</v>
      </c>
      <c r="C4518" s="13" t="inlineStr">
        <is>
          <t>CPR</t>
        </is>
      </c>
      <c r="D4518" s="13" t="n">
        <v>40</v>
      </c>
      <c r="E4518" s="10">
        <f>IF(D4518&gt;0,VLOOKUP(OPERAC[[#This Row],[COD CART]],[1]!MatrizCortoLargoCyl[#All],3,0),"")</f>
        <v/>
      </c>
      <c r="F4518" s="13" t="inlineStr">
        <is>
          <t>FB</t>
        </is>
      </c>
      <c r="G4518" s="6" t="n">
        <v>5</v>
      </c>
      <c r="H4518" s="6" t="n">
        <v>-1192.3</v>
      </c>
      <c r="I4518" s="7">
        <f>-H4518/G4518</f>
        <v/>
      </c>
      <c r="J4518" s="11" t="n">
        <v>44616</v>
      </c>
      <c r="K4518" s="6">
        <f>+OPERAC[[#This Row],[cantidad]]</f>
        <v/>
      </c>
      <c r="L4518" s="6">
        <f>200.299*OPERAC[[#This Row],[cantidad venta]]</f>
        <v/>
      </c>
      <c r="M4518" s="7">
        <f>IF(N4518=0,+L4518+H4518,0)</f>
        <v/>
      </c>
      <c r="N4518" s="7">
        <f>IF((+G4518-K4518)=0,0,+G4518-K4518)</f>
        <v/>
      </c>
      <c r="O4518" s="7">
        <f>IF(N4518=0,0,(L4518+H4518)/-N4518)</f>
        <v/>
      </c>
      <c r="P4518" s="7">
        <f>VLOOKUP(OPERAC[[#This Row],[especie]],[1]!ESPECIES[#All],6,0)</f>
        <v/>
      </c>
      <c r="Q4518" s="7">
        <f>IF(N4518&lt;&gt;0,P4518*N4518,0)</f>
        <v/>
      </c>
      <c r="R4518" s="8">
        <f>IF(Q4518&lt;&gt;0,Q4518+H4518+L4518,0)</f>
        <v/>
      </c>
      <c r="S4518" s="9">
        <f>VLOOKUP(OPERAC[[#This Row],[especie]],[1]!ESPECIES[#Data],9,FALSE)</f>
        <v/>
      </c>
    </row>
    <row r="4519">
      <c r="A4519" s="4" t="n">
        <v>22407</v>
      </c>
      <c r="B4519" s="5" t="n">
        <v>44599</v>
      </c>
      <c r="C4519" s="13" t="inlineStr">
        <is>
          <t>CPR</t>
        </is>
      </c>
      <c r="D4519" s="13" t="n">
        <v>40</v>
      </c>
      <c r="E4519" s="10">
        <f>IF(D4519&gt;0,VLOOKUP(OPERAC[[#This Row],[COD CART]],[1]!MatrizCortoLargoCyl[#All],3,0),"")</f>
        <v/>
      </c>
      <c r="F4519" s="13" t="inlineStr">
        <is>
          <t>FB</t>
        </is>
      </c>
      <c r="G4519" s="6" t="n">
        <v>5</v>
      </c>
      <c r="H4519" s="6" t="n">
        <v>-1192.3</v>
      </c>
      <c r="I4519" s="7">
        <f>-H4519/G4519</f>
        <v/>
      </c>
      <c r="J4519" s="11" t="n">
        <v>44616</v>
      </c>
      <c r="K4519" s="6">
        <f>+OPERAC[[#This Row],[cantidad]]</f>
        <v/>
      </c>
      <c r="L4519" s="6">
        <f>200.299*OPERAC[[#This Row],[cantidad venta]]</f>
        <v/>
      </c>
      <c r="M4519" s="7">
        <f>IF(N4519=0,+L4519+H4519,0)</f>
        <v/>
      </c>
      <c r="N4519" s="7">
        <f>IF((+G4519-K4519)=0,0,+G4519-K4519)</f>
        <v/>
      </c>
      <c r="O4519" s="7">
        <f>IF(N4519=0,0,(L4519+H4519)/-N4519)</f>
        <v/>
      </c>
      <c r="P4519" s="7">
        <f>VLOOKUP(OPERAC[[#This Row],[especie]],[1]!ESPECIES[#All],6,0)</f>
        <v/>
      </c>
      <c r="Q4519" s="7">
        <f>IF(N4519&lt;&gt;0,P4519*N4519,0)</f>
        <v/>
      </c>
      <c r="R4519" s="8">
        <f>IF(Q4519&lt;&gt;0,Q4519+H4519+L4519,0)</f>
        <v/>
      </c>
      <c r="S4519" s="9">
        <f>VLOOKUP(OPERAC[[#This Row],[especie]],[1]!ESPECIES[#Data],9,FALSE)</f>
        <v/>
      </c>
    </row>
    <row r="4520">
      <c r="A4520" s="4" t="n">
        <v>2279</v>
      </c>
      <c r="B4520" s="5" t="n">
        <v>44599</v>
      </c>
      <c r="C4520" s="13" t="inlineStr">
        <is>
          <t>CPR</t>
        </is>
      </c>
      <c r="D4520" s="13" t="n">
        <v>40</v>
      </c>
      <c r="E4520" s="10">
        <f>IF(D4520&gt;0,VLOOKUP(OPERAC[[#This Row],[COD CART]],[1]!MatrizCortoLargoCyl[#All],3,0),"")</f>
        <v/>
      </c>
      <c r="F4520" s="13" t="inlineStr">
        <is>
          <t>FB</t>
        </is>
      </c>
      <c r="G4520" s="6" t="n">
        <v>5</v>
      </c>
      <c r="H4520" s="6" t="n">
        <v>-1192.3</v>
      </c>
      <c r="I4520" s="7">
        <f>-H4520/G4520</f>
        <v/>
      </c>
      <c r="J4520" s="11" t="n">
        <v>44616</v>
      </c>
      <c r="K4520" s="6">
        <f>+OPERAC[[#This Row],[cantidad]]</f>
        <v/>
      </c>
      <c r="L4520" s="6">
        <f>200.299*OPERAC[[#This Row],[cantidad venta]]</f>
        <v/>
      </c>
      <c r="M4520" s="7">
        <f>IF(N4520=0,+L4520+H4520,0)</f>
        <v/>
      </c>
      <c r="N4520" s="7">
        <f>IF((+G4520-K4520)=0,0,+G4520-K4520)</f>
        <v/>
      </c>
      <c r="O4520" s="7">
        <f>IF(N4520=0,0,(L4520+H4520)/-N4520)</f>
        <v/>
      </c>
      <c r="P4520" s="7">
        <f>VLOOKUP(OPERAC[[#This Row],[especie]],[1]!ESPECIES[#All],6,0)</f>
        <v/>
      </c>
      <c r="Q4520" s="7">
        <f>IF(N4520&lt;&gt;0,P4520*N4520,0)</f>
        <v/>
      </c>
      <c r="R4520" s="8">
        <f>IF(Q4520&lt;&gt;0,Q4520+H4520+L4520,0)</f>
        <v/>
      </c>
      <c r="S4520" s="9">
        <f>VLOOKUP(OPERAC[[#This Row],[especie]],[1]!ESPECIES[#Data],9,FALSE)</f>
        <v/>
      </c>
    </row>
    <row r="4521">
      <c r="A4521" s="4" t="n">
        <v>7493</v>
      </c>
      <c r="B4521" s="5" t="n">
        <v>44599</v>
      </c>
      <c r="C4521" s="13" t="inlineStr">
        <is>
          <t>CPR</t>
        </is>
      </c>
      <c r="D4521" s="13" t="n">
        <v>40</v>
      </c>
      <c r="E4521" s="10">
        <f>IF(D4521&gt;0,VLOOKUP(OPERAC[[#This Row],[COD CART]],[1]!MatrizCortoLargoCyl[#All],3,0),"")</f>
        <v/>
      </c>
      <c r="F4521" s="13" t="inlineStr">
        <is>
          <t>FB</t>
        </is>
      </c>
      <c r="G4521" s="6" t="n">
        <v>5</v>
      </c>
      <c r="H4521" s="6" t="n">
        <v>-1192.3</v>
      </c>
      <c r="I4521" s="7">
        <f>-H4521/G4521</f>
        <v/>
      </c>
      <c r="J4521" s="11" t="n">
        <v>44616</v>
      </c>
      <c r="K4521" s="6">
        <f>+OPERAC[[#This Row],[cantidad]]</f>
        <v/>
      </c>
      <c r="L4521" s="6">
        <f>200.299*OPERAC[[#This Row],[cantidad venta]]</f>
        <v/>
      </c>
      <c r="M4521" s="7">
        <f>IF(N4521=0,+L4521+H4521,0)</f>
        <v/>
      </c>
      <c r="N4521" s="7">
        <f>IF((+G4521-K4521)=0,0,+G4521-K4521)</f>
        <v/>
      </c>
      <c r="O4521" s="7">
        <f>IF(N4521=0,0,(L4521+H4521)/-N4521)</f>
        <v/>
      </c>
      <c r="P4521" s="7">
        <f>VLOOKUP(OPERAC[[#This Row],[especie]],[1]!ESPECIES[#All],6,0)</f>
        <v/>
      </c>
      <c r="Q4521" s="7">
        <f>IF(N4521&lt;&gt;0,P4521*N4521,0)</f>
        <v/>
      </c>
      <c r="R4521" s="8">
        <f>IF(Q4521&lt;&gt;0,Q4521+H4521+L4521,0)</f>
        <v/>
      </c>
      <c r="S4521" s="9">
        <f>VLOOKUP(OPERAC[[#This Row],[especie]],[1]!ESPECIES[#Data],9,FALSE)</f>
        <v/>
      </c>
    </row>
    <row r="4522">
      <c r="A4522" s="4" t="n">
        <v>7879</v>
      </c>
      <c r="B4522" s="5" t="n">
        <v>44599</v>
      </c>
      <c r="C4522" s="13" t="inlineStr">
        <is>
          <t>CPR</t>
        </is>
      </c>
      <c r="D4522" s="13" t="n">
        <v>40</v>
      </c>
      <c r="E4522" s="10">
        <f>IF(D4522&gt;0,VLOOKUP(OPERAC[[#This Row],[COD CART]],[1]!MatrizCortoLargoCyl[#All],3,0),"")</f>
        <v/>
      </c>
      <c r="F4522" s="13" t="inlineStr">
        <is>
          <t>FB</t>
        </is>
      </c>
      <c r="G4522" s="6" t="n">
        <v>5</v>
      </c>
      <c r="H4522" s="6" t="n">
        <v>-1192.3</v>
      </c>
      <c r="I4522" s="7">
        <f>-H4522/G4522</f>
        <v/>
      </c>
      <c r="J4522" s="11" t="n">
        <v>44616</v>
      </c>
      <c r="K4522" s="6">
        <f>+OPERAC[[#This Row],[cantidad]]</f>
        <v/>
      </c>
      <c r="L4522" s="6">
        <f>200.299*OPERAC[[#This Row],[cantidad venta]]</f>
        <v/>
      </c>
      <c r="M4522" s="7">
        <f>IF(N4522=0,+L4522+H4522,0)</f>
        <v/>
      </c>
      <c r="N4522" s="7">
        <f>IF((+G4522-K4522)=0,0,+G4522-K4522)</f>
        <v/>
      </c>
      <c r="O4522" s="7">
        <f>IF(N4522=0,0,(L4522+H4522)/-N4522)</f>
        <v/>
      </c>
      <c r="P4522" s="7">
        <f>VLOOKUP(OPERAC[[#This Row],[especie]],[1]!ESPECIES[#All],6,0)</f>
        <v/>
      </c>
      <c r="Q4522" s="7">
        <f>IF(N4522&lt;&gt;0,P4522*N4522,0)</f>
        <v/>
      </c>
      <c r="R4522" s="8">
        <f>IF(Q4522&lt;&gt;0,Q4522+H4522+L4522,0)</f>
        <v/>
      </c>
      <c r="S4522" s="9">
        <f>VLOOKUP(OPERAC[[#This Row],[especie]],[1]!ESPECIES[#Data],9,FALSE)</f>
        <v/>
      </c>
    </row>
    <row r="4523">
      <c r="A4523" s="4" t="n">
        <v>11168</v>
      </c>
      <c r="B4523" s="5" t="n">
        <v>44599</v>
      </c>
      <c r="C4523" s="13" t="inlineStr">
        <is>
          <t>CPR</t>
        </is>
      </c>
      <c r="D4523" s="13" t="n">
        <v>40</v>
      </c>
      <c r="E4523" s="10">
        <f>IF(D4523&gt;0,VLOOKUP(OPERAC[[#This Row],[COD CART]],[1]!MatrizCortoLargoCyl[#All],3,0),"")</f>
        <v/>
      </c>
      <c r="F4523" s="13" t="inlineStr">
        <is>
          <t>FB</t>
        </is>
      </c>
      <c r="G4523" s="6" t="n">
        <v>5</v>
      </c>
      <c r="H4523" s="6" t="n">
        <v>-1192.3</v>
      </c>
      <c r="I4523" s="7">
        <f>-H4523/G4523</f>
        <v/>
      </c>
      <c r="J4523" s="11" t="n">
        <v>44616</v>
      </c>
      <c r="K4523" s="6">
        <f>+OPERAC[[#This Row],[cantidad]]</f>
        <v/>
      </c>
      <c r="L4523" s="6">
        <f>200.299*OPERAC[[#This Row],[cantidad venta]]</f>
        <v/>
      </c>
      <c r="M4523" s="7">
        <f>IF(N4523=0,+L4523+H4523,0)</f>
        <v/>
      </c>
      <c r="N4523" s="7">
        <f>IF((+G4523-K4523)=0,0,+G4523-K4523)</f>
        <v/>
      </c>
      <c r="O4523" s="7">
        <f>IF(N4523=0,0,(L4523+H4523)/-N4523)</f>
        <v/>
      </c>
      <c r="P4523" s="7">
        <f>VLOOKUP(OPERAC[[#This Row],[especie]],[1]!ESPECIES[#All],6,0)</f>
        <v/>
      </c>
      <c r="Q4523" s="7">
        <f>IF(N4523&lt;&gt;0,P4523*N4523,0)</f>
        <v/>
      </c>
      <c r="R4523" s="8">
        <f>IF(Q4523&lt;&gt;0,Q4523+H4523+L4523,0)</f>
        <v/>
      </c>
      <c r="S4523" s="9">
        <f>VLOOKUP(OPERAC[[#This Row],[especie]],[1]!ESPECIES[#Data],9,FALSE)</f>
        <v/>
      </c>
    </row>
    <row r="4524">
      <c r="A4524" s="4" t="n">
        <v>12022</v>
      </c>
      <c r="B4524" s="5" t="n">
        <v>44599</v>
      </c>
      <c r="C4524" s="13" t="inlineStr">
        <is>
          <t>CPR</t>
        </is>
      </c>
      <c r="D4524" s="13" t="n">
        <v>40</v>
      </c>
      <c r="E4524" s="10">
        <f>IF(D4524&gt;0,VLOOKUP(OPERAC[[#This Row],[COD CART]],[1]!MatrizCortoLargoCyl[#All],3,0),"")</f>
        <v/>
      </c>
      <c r="F4524" s="13" t="inlineStr">
        <is>
          <t>FB</t>
        </is>
      </c>
      <c r="G4524" s="6" t="n">
        <v>5</v>
      </c>
      <c r="H4524" s="6" t="n">
        <v>-1192.3</v>
      </c>
      <c r="I4524" s="7">
        <f>-H4524/G4524</f>
        <v/>
      </c>
      <c r="J4524" s="11" t="n">
        <v>44616</v>
      </c>
      <c r="K4524" s="6">
        <f>+OPERAC[[#This Row],[cantidad]]</f>
        <v/>
      </c>
      <c r="L4524" s="6">
        <f>200.299*OPERAC[[#This Row],[cantidad venta]]</f>
        <v/>
      </c>
      <c r="M4524" s="7">
        <f>IF(N4524=0,+L4524+H4524,0)</f>
        <v/>
      </c>
      <c r="N4524" s="7">
        <f>IF((+G4524-K4524)=0,0,+G4524-K4524)</f>
        <v/>
      </c>
      <c r="O4524" s="7">
        <f>IF(N4524=0,0,(L4524+H4524)/-N4524)</f>
        <v/>
      </c>
      <c r="P4524" s="7">
        <f>VLOOKUP(OPERAC[[#This Row],[especie]],[1]!ESPECIES[#All],6,0)</f>
        <v/>
      </c>
      <c r="Q4524" s="7">
        <f>IF(N4524&lt;&gt;0,P4524*N4524,0)</f>
        <v/>
      </c>
      <c r="R4524" s="8">
        <f>IF(Q4524&lt;&gt;0,Q4524+H4524+L4524,0)</f>
        <v/>
      </c>
      <c r="S4524" s="9">
        <f>VLOOKUP(OPERAC[[#This Row],[especie]],[1]!ESPECIES[#Data],9,FALSE)</f>
        <v/>
      </c>
    </row>
    <row r="4525">
      <c r="A4525" s="4" t="n">
        <v>12655</v>
      </c>
      <c r="B4525" s="5" t="n">
        <v>44599</v>
      </c>
      <c r="C4525" s="13" t="inlineStr">
        <is>
          <t>CPR</t>
        </is>
      </c>
      <c r="D4525" s="13" t="n">
        <v>40</v>
      </c>
      <c r="E4525" s="10">
        <f>IF(D4525&gt;0,VLOOKUP(OPERAC[[#This Row],[COD CART]],[1]!MatrizCortoLargoCyl[#All],3,0),"")</f>
        <v/>
      </c>
      <c r="F4525" s="13" t="inlineStr">
        <is>
          <t>FB</t>
        </is>
      </c>
      <c r="G4525" s="6" t="n">
        <v>5</v>
      </c>
      <c r="H4525" s="6" t="n">
        <v>-1192.3</v>
      </c>
      <c r="I4525" s="7">
        <f>-H4525/G4525</f>
        <v/>
      </c>
      <c r="J4525" s="11" t="n">
        <v>44616</v>
      </c>
      <c r="K4525" s="6">
        <f>+OPERAC[[#This Row],[cantidad]]</f>
        <v/>
      </c>
      <c r="L4525" s="6">
        <f>200.299*OPERAC[[#This Row],[cantidad venta]]</f>
        <v/>
      </c>
      <c r="M4525" s="7">
        <f>IF(N4525=0,+L4525+H4525,0)</f>
        <v/>
      </c>
      <c r="N4525" s="7">
        <f>IF((+G4525-K4525)=0,0,+G4525-K4525)</f>
        <v/>
      </c>
      <c r="O4525" s="7">
        <f>IF(N4525=0,0,(L4525+H4525)/-N4525)</f>
        <v/>
      </c>
      <c r="P4525" s="7">
        <f>VLOOKUP(OPERAC[[#This Row],[especie]],[1]!ESPECIES[#All],6,0)</f>
        <v/>
      </c>
      <c r="Q4525" s="7">
        <f>IF(N4525&lt;&gt;0,P4525*N4525,0)</f>
        <v/>
      </c>
      <c r="R4525" s="8">
        <f>IF(Q4525&lt;&gt;0,Q4525+H4525+L4525,0)</f>
        <v/>
      </c>
      <c r="S4525" s="9">
        <f>VLOOKUP(OPERAC[[#This Row],[especie]],[1]!ESPECIES[#Data],9,FALSE)</f>
        <v/>
      </c>
    </row>
    <row r="4526">
      <c r="A4526" s="4" t="n">
        <v>12662</v>
      </c>
      <c r="B4526" s="5" t="n">
        <v>44714</v>
      </c>
      <c r="C4526" s="13" t="inlineStr">
        <is>
          <t>CPR</t>
        </is>
      </c>
      <c r="D4526" s="13" t="n">
        <v>32</v>
      </c>
      <c r="E4526" s="10">
        <f>IF(D4526&gt;0,VLOOKUP(OPERAC[[#This Row],[COD CART]],[1]!MatrizCortoLargoCyl[#All],3,0),"")</f>
        <v/>
      </c>
      <c r="F4526" s="13" t="inlineStr">
        <is>
          <t>AMC/CYL/17,00/15-07-22</t>
        </is>
      </c>
      <c r="G4526" s="6" t="n">
        <v>100</v>
      </c>
      <c r="H4526" s="6" t="n">
        <v>-1192.365</v>
      </c>
      <c r="I4526" s="7">
        <f>-H4526/G4526</f>
        <v/>
      </c>
      <c r="J4526" s="5" t="n"/>
      <c r="K4526" s="6" t="n"/>
      <c r="L4526" s="6" t="n"/>
      <c r="M4526" s="7">
        <f>IF(N4526=0,+L4526+H4526,0)</f>
        <v/>
      </c>
      <c r="N4526" s="7">
        <f>IF((+G4526-K4526)=0,0,+G4526-K4526)</f>
        <v/>
      </c>
      <c r="O4526" s="7">
        <f>IF(N4526=0,0,(L4526+H4526)/-N4526)</f>
        <v/>
      </c>
      <c r="P4526" s="7">
        <f>VLOOKUP(OPERAC[[#This Row],[especie]],[1]!ESPECIES[#All],6,0)</f>
        <v/>
      </c>
      <c r="Q4526" s="7">
        <f>IF(N4526&lt;&gt;0,P4526*N4526,0)</f>
        <v/>
      </c>
      <c r="R4526" s="8">
        <f>IF(Q4526&lt;&gt;0,Q4526+H4526+L4526,0)</f>
        <v/>
      </c>
      <c r="S4526" s="9">
        <f>VLOOKUP(OPERAC[[#This Row],[especie]],[1]!ESPECIES[#Data],9,FALSE)</f>
        <v/>
      </c>
    </row>
    <row r="4527">
      <c r="A4527" s="4" t="n">
        <v>3728</v>
      </c>
      <c r="B4527" s="5" t="n">
        <v>44656</v>
      </c>
      <c r="C4527" s="13" t="inlineStr">
        <is>
          <t>CPR</t>
        </is>
      </c>
      <c r="D4527" s="13" t="n">
        <v>32</v>
      </c>
      <c r="E4527" s="10">
        <f>IF(D4527&gt;0,VLOOKUP(OPERAC[[#This Row],[COD CART]],[1]!MatrizCortoLargoCyl[#All],3,0),"")</f>
        <v/>
      </c>
      <c r="F4527" s="13" t="inlineStr">
        <is>
          <t>DOLE</t>
        </is>
      </c>
      <c r="G4527" s="6" t="n">
        <v>100</v>
      </c>
      <c r="H4527" s="6">
        <f>-1281.78+89.219</f>
        <v/>
      </c>
      <c r="I4527" s="7">
        <f>-H4527/G4527</f>
        <v/>
      </c>
      <c r="J4527" s="11" t="n"/>
      <c r="K4527" s="6" t="n"/>
      <c r="L4527" s="6" t="n"/>
      <c r="M4527" s="7">
        <f>IF(N4527=0,+L4527+H4527,0)</f>
        <v/>
      </c>
      <c r="N4527" s="7">
        <f>IF((+G4527-K4527)=0,0,+G4527-K4527)</f>
        <v/>
      </c>
      <c r="O4527" s="7">
        <f>IF(N4527=0,0,(L4527+H4527)/-N4527)</f>
        <v/>
      </c>
      <c r="P4527" s="7">
        <f>VLOOKUP(OPERAC[[#This Row],[especie]],[1]!ESPECIES[#All],6,0)</f>
        <v/>
      </c>
      <c r="Q4527" s="7">
        <f>IF(N4527&lt;&gt;0,P4527*N4527,0)</f>
        <v/>
      </c>
      <c r="R4527" s="8">
        <f>IF(Q4527&lt;&gt;0,Q4527+H4527+L4527,0)</f>
        <v/>
      </c>
      <c r="S4527" s="9">
        <f>VLOOKUP(OPERAC[[#This Row],[especie]],[1]!ESPECIES[#Data],9,FALSE)</f>
        <v/>
      </c>
    </row>
    <row r="4528">
      <c r="A4528" s="4" t="n">
        <v>3835</v>
      </c>
      <c r="B4528" s="5" t="n">
        <v>44656</v>
      </c>
      <c r="C4528" s="13" t="inlineStr">
        <is>
          <t>CPR</t>
        </is>
      </c>
      <c r="D4528" s="13" t="n">
        <v>32</v>
      </c>
      <c r="E4528" s="10">
        <f>IF(D4528&gt;0,VLOOKUP(OPERAC[[#This Row],[COD CART]],[1]!MatrizCortoLargoCyl[#All],3,0),"")</f>
        <v/>
      </c>
      <c r="F4528" s="13" t="inlineStr">
        <is>
          <t>DOLE</t>
        </is>
      </c>
      <c r="G4528" s="6" t="n">
        <v>100</v>
      </c>
      <c r="H4528" s="6">
        <f>-1281.78+89.219</f>
        <v/>
      </c>
      <c r="I4528" s="7">
        <f>-H4528/G4528</f>
        <v/>
      </c>
      <c r="J4528" s="11" t="n">
        <v>44707</v>
      </c>
      <c r="K4528" s="6" t="n">
        <v>100</v>
      </c>
      <c r="L4528" s="6" t="n">
        <v>1056.063</v>
      </c>
      <c r="M4528" s="7">
        <f>IF(N4528=0,+L4528+H4528,0)</f>
        <v/>
      </c>
      <c r="N4528" s="7">
        <f>IF((+G4528-K4528)=0,0,+G4528-K4528)</f>
        <v/>
      </c>
      <c r="O4528" s="7">
        <f>IF(N4528=0,0,(L4528+H4528)/-N4528)</f>
        <v/>
      </c>
      <c r="P4528" s="7">
        <f>VLOOKUP(OPERAC[[#This Row],[especie]],[1]!ESPECIES[#All],6,0)</f>
        <v/>
      </c>
      <c r="Q4528" s="7">
        <f>IF(N4528&lt;&gt;0,P4528*N4528,0)</f>
        <v/>
      </c>
      <c r="R4528" s="8">
        <f>IF(Q4528&lt;&gt;0,Q4528+H4528+L4528,0)</f>
        <v/>
      </c>
      <c r="S4528" s="9">
        <f>VLOOKUP(OPERAC[[#This Row],[especie]],[1]!ESPECIES[#Data],9,FALSE)</f>
        <v/>
      </c>
    </row>
    <row r="4529">
      <c r="A4529" s="4" t="n">
        <v>19888</v>
      </c>
      <c r="B4529" s="5" t="n">
        <v>44538</v>
      </c>
      <c r="C4529" s="13" t="inlineStr">
        <is>
          <t>CPR</t>
        </is>
      </c>
      <c r="D4529" s="13" t="n">
        <v>43</v>
      </c>
      <c r="E4529" s="10">
        <f>IF(D4529&gt;0,VLOOKUP(OPERAC[[#This Row],[COD CART]],[1]!MatrizCortoLargoCyl[#All],3,0),"")</f>
        <v/>
      </c>
      <c r="F4529" s="13" t="inlineStr">
        <is>
          <t>XSPA/CYL-PUT/1,50/20-01-23</t>
        </is>
      </c>
      <c r="G4529" s="6" t="n">
        <v>2000</v>
      </c>
      <c r="H4529" s="6">
        <f>-0.59863*OPERAC[[#This Row],[cantidad]]</f>
        <v/>
      </c>
      <c r="I4529" s="7">
        <f>-H4529/G4529</f>
        <v/>
      </c>
      <c r="J4529" s="11" t="n"/>
      <c r="K4529" s="6" t="n"/>
      <c r="L4529" s="6" t="n"/>
      <c r="M4529" s="7">
        <f>IF(N4529=0,+L4529+H4529,0)</f>
        <v/>
      </c>
      <c r="N4529" s="7">
        <f>IF((+G4529-K4529)=0,0,+G4529-K4529)</f>
        <v/>
      </c>
      <c r="O4529" s="7">
        <f>IF(N4529=0,0,(L4529+H4529)/-N4529)</f>
        <v/>
      </c>
      <c r="P4529" s="7">
        <f>VLOOKUP(OPERAC[[#This Row],[especie]],[1]!ESPECIES[#All],6,0)</f>
        <v/>
      </c>
      <c r="Q4529" s="7">
        <f>IF(N4529&lt;&gt;0,P4529*N4529,0)</f>
        <v/>
      </c>
      <c r="R4529" s="8">
        <f>IF(Q4529&lt;&gt;0,Q4529+H4529+L4529,0)</f>
        <v/>
      </c>
      <c r="S4529" s="9">
        <f>VLOOKUP(OPERAC[[#This Row],[especie]],[1]!ESPECIES[#Data],9,FALSE)</f>
        <v/>
      </c>
    </row>
    <row r="4530">
      <c r="A4530" s="4" t="n">
        <v>18703</v>
      </c>
      <c r="B4530" s="5" t="n">
        <v>44267</v>
      </c>
      <c r="C4530" s="13" t="inlineStr">
        <is>
          <t>CPR</t>
        </is>
      </c>
      <c r="D4530" s="13" t="n">
        <v>32</v>
      </c>
      <c r="E4530" s="10">
        <f>IF(D4530&gt;0,VLOOKUP(OPERAC[[#This Row],[COD CART]],[1]!MatrizCortoLargoCyl[#All],3,0),"")</f>
        <v/>
      </c>
      <c r="F4530" s="13" t="inlineStr">
        <is>
          <t>INO/CYL/8,00/18-02-22</t>
        </is>
      </c>
      <c r="G4530" s="6" t="n">
        <v>200</v>
      </c>
      <c r="H4530" s="6">
        <f>-943.3119+OPERAC[[#This Row],[cantidad]]*0.19+0.05*OPERAC[[#This Row],[cantidad]]+15.378+13.96-729.28+296.96+60.344+29.158+9.414</f>
        <v/>
      </c>
      <c r="I4530" s="7">
        <f>-H4530/G4530</f>
        <v/>
      </c>
      <c r="J4530" s="11" t="n">
        <v>44596</v>
      </c>
      <c r="K4530" s="6" t="n">
        <v>200</v>
      </c>
      <c r="L4530" s="6">
        <f>3.665*OPERAC[[#This Row],[cantidad venta]]</f>
        <v/>
      </c>
      <c r="M4530" s="7">
        <f>IF(N4530=0,+L4530+H4530,0)</f>
        <v/>
      </c>
      <c r="N4530" s="7">
        <f>IF((+G4530-K4530)=0,0,+G4530-K4530)</f>
        <v/>
      </c>
      <c r="O4530" s="7">
        <f>IF(N4530=0,0,(L4530+H4530)/-N4530)</f>
        <v/>
      </c>
      <c r="P4530" s="7">
        <f>VLOOKUP(OPERAC[[#This Row],[especie]],[1]!ESPECIES[#All],6,0)</f>
        <v/>
      </c>
      <c r="Q4530" s="7">
        <f>IF(N4530&lt;&gt;0,P4530*N4530,0)</f>
        <v/>
      </c>
      <c r="R4530" s="8">
        <f>IF(Q4530&lt;&gt;0,Q4530+H4530+L4530,0)</f>
        <v/>
      </c>
      <c r="S4530" s="9">
        <f>VLOOKUP(OPERAC[[#This Row],[especie]],[1]!ESPECIES[#Data],9,FALSE)</f>
        <v/>
      </c>
    </row>
    <row r="4531">
      <c r="A4531" s="4" t="n">
        <v>7867</v>
      </c>
      <c r="B4531" s="5" t="n">
        <v>44582</v>
      </c>
      <c r="C4531" s="13" t="inlineStr">
        <is>
          <t>CPR</t>
        </is>
      </c>
      <c r="D4531" s="13" t="n">
        <v>40</v>
      </c>
      <c r="E4531" s="10">
        <f>IF(D4531&gt;0,VLOOKUP(OPERAC[[#This Row],[COD CART]],[1]!MatrizCortoLargoCyl[#All],3,0),"")</f>
        <v/>
      </c>
      <c r="F4531" s="13" t="inlineStr">
        <is>
          <t>ACB</t>
        </is>
      </c>
      <c r="G4531" s="6" t="n">
        <v>48</v>
      </c>
      <c r="H4531" s="6">
        <f>-25*OPERAC[[#This Row],[cantidad]]</f>
        <v/>
      </c>
      <c r="I4531" s="7">
        <f>-H4531/G4531</f>
        <v/>
      </c>
      <c r="J4531" s="11" t="n">
        <v>44606</v>
      </c>
      <c r="K4531" s="6" t="n">
        <v>48</v>
      </c>
      <c r="L4531" s="6" t="n">
        <v>209.363</v>
      </c>
      <c r="M4531" s="7">
        <f>IF(N4531=0,+L4531+H4531,0)</f>
        <v/>
      </c>
      <c r="N4531" s="7">
        <f>IF((+G4531-K4531)=0,0,+G4531-K4531)</f>
        <v/>
      </c>
      <c r="O4531" s="7">
        <f>IF(N4531=0,0,(L4531+H4531)/-N4531)</f>
        <v/>
      </c>
      <c r="P4531" s="7">
        <f>VLOOKUP(OPERAC[[#This Row],[especie]],[1]!ESPECIES[#All],6,0)</f>
        <v/>
      </c>
      <c r="Q4531" s="7">
        <f>IF(N4531&lt;&gt;0,P4531*N4531,0)</f>
        <v/>
      </c>
      <c r="R4531" s="8">
        <f>IF(Q4531&lt;&gt;0,Q4531+H4531+L4531,0)</f>
        <v/>
      </c>
      <c r="S4531" s="9">
        <f>VLOOKUP(OPERAC[[#This Row],[especie]],[1]!ESPECIES[#Data],9,FALSE)</f>
        <v/>
      </c>
    </row>
    <row r="4532">
      <c r="A4532" s="4" t="n">
        <v>18662</v>
      </c>
      <c r="B4532" s="5" t="n">
        <v>44582</v>
      </c>
      <c r="C4532" s="13" t="inlineStr">
        <is>
          <t>CPR</t>
        </is>
      </c>
      <c r="D4532" s="13" t="n">
        <v>40</v>
      </c>
      <c r="E4532" s="10">
        <f>IF(D4532&gt;0,VLOOKUP(OPERAC[[#This Row],[COD CART]],[1]!MatrizCortoLargoCyl[#All],3,0),"")</f>
        <v/>
      </c>
      <c r="F4532" s="13" t="inlineStr">
        <is>
          <t>ACB</t>
        </is>
      </c>
      <c r="G4532" s="6" t="n">
        <v>48</v>
      </c>
      <c r="H4532" s="6">
        <f>-25*OPERAC[[#This Row],[cantidad]]</f>
        <v/>
      </c>
      <c r="I4532" s="7">
        <f>-H4532/G4532</f>
        <v/>
      </c>
      <c r="J4532" s="11" t="n">
        <v>44606</v>
      </c>
      <c r="K4532" s="6" t="n">
        <v>48</v>
      </c>
      <c r="L4532" s="6" t="n">
        <v>209.787</v>
      </c>
      <c r="M4532" s="7">
        <f>IF(N4532=0,+L4532+H4532,0)</f>
        <v/>
      </c>
      <c r="N4532" s="7">
        <f>IF((+G4532-K4532)=0,0,+G4532-K4532)</f>
        <v/>
      </c>
      <c r="O4532" s="7">
        <f>IF(N4532=0,0,(L4532+H4532)/-N4532)</f>
        <v/>
      </c>
      <c r="P4532" s="7">
        <f>VLOOKUP(OPERAC[[#This Row],[especie]],[1]!ESPECIES[#All],6,0)</f>
        <v/>
      </c>
      <c r="Q4532" s="7">
        <f>IF(N4532&lt;&gt;0,P4532*N4532,0)</f>
        <v/>
      </c>
      <c r="R4532" s="8">
        <f>IF(Q4532&lt;&gt;0,Q4532+H4532+L4532,0)</f>
        <v/>
      </c>
      <c r="S4532" s="9">
        <f>VLOOKUP(OPERAC[[#This Row],[especie]],[1]!ESPECIES[#Data],9,FALSE)</f>
        <v/>
      </c>
    </row>
    <row r="4533">
      <c r="A4533" s="4" t="n">
        <v>2253</v>
      </c>
      <c r="B4533" s="5" t="n">
        <v>44533</v>
      </c>
      <c r="C4533" s="13" t="inlineStr">
        <is>
          <t>CPR</t>
        </is>
      </c>
      <c r="D4533" s="13" t="n">
        <v>32</v>
      </c>
      <c r="E4533" s="10">
        <f>IF(D4533&gt;0,VLOOKUP(OPERAC[[#This Row],[COD CART]],[1]!MatrizCortoLargoCyl[#All],3,0),"")</f>
        <v/>
      </c>
      <c r="F4533" s="13" t="inlineStr">
        <is>
          <t>HIMX/BULL/11,00-12,00/21-01-22</t>
        </is>
      </c>
      <c r="G4533" s="6" t="n">
        <v>100</v>
      </c>
      <c r="H4533" s="6">
        <f>-0.975*OPERAC[[#This Row],[cantidad]]-1103.3</f>
        <v/>
      </c>
      <c r="I4533" s="7">
        <f>-H4533/G4533</f>
        <v/>
      </c>
      <c r="J4533" s="11" t="n">
        <v>44575</v>
      </c>
      <c r="K4533" s="6" t="n">
        <v>100</v>
      </c>
      <c r="L4533" s="6" t="n">
        <v>1171.965</v>
      </c>
      <c r="M4533" s="7">
        <f>IF(N4533=0,+L4533+H4533,0)</f>
        <v/>
      </c>
      <c r="N4533" s="7">
        <f>IF((+G4533-K4533)=0,0,+G4533-K4533)</f>
        <v/>
      </c>
      <c r="O4533" s="7">
        <f>IF(N4533=0,0,(L4533+H4533)/-N4533)</f>
        <v/>
      </c>
      <c r="P4533" s="7">
        <f>VLOOKUP(OPERAC[[#This Row],[especie]],[1]!ESPECIES[#All],6,0)</f>
        <v/>
      </c>
      <c r="Q4533" s="7">
        <f>IF(N4533&lt;&gt;0,P4533*N4533,0)</f>
        <v/>
      </c>
      <c r="R4533" s="8">
        <f>IF(Q4533&lt;&gt;0,Q4533+H4533+L4533,0)</f>
        <v/>
      </c>
      <c r="S4533" s="9">
        <f>VLOOKUP(OPERAC[[#This Row],[especie]],[1]!ESPECIES[#Data],9,FALSE)</f>
        <v/>
      </c>
    </row>
    <row r="4534">
      <c r="A4534" s="4" t="n">
        <v>2218</v>
      </c>
      <c r="B4534" s="5" t="n">
        <v>44511</v>
      </c>
      <c r="C4534" s="13" t="inlineStr">
        <is>
          <t>CPR</t>
        </is>
      </c>
      <c r="D4534" s="13" t="n">
        <v>31</v>
      </c>
      <c r="E4534" s="10">
        <f>IF(D4534&gt;0,VLOOKUP(OPERAC[[#This Row],[COD CART]],[1]!MatrizCortoLargoCyl[#All],3,0),"")</f>
        <v/>
      </c>
      <c r="F4534" s="13" t="inlineStr">
        <is>
          <t>IPIX</t>
        </is>
      </c>
      <c r="G4534" s="6" t="n">
        <v>12000</v>
      </c>
      <c r="H4534" s="6" t="n">
        <v>-1200.9708</v>
      </c>
      <c r="I4534" s="7">
        <f>-H4534/G4534</f>
        <v/>
      </c>
      <c r="J4534" s="11" t="n"/>
      <c r="K4534" s="6" t="n"/>
      <c r="L4534" s="6" t="n"/>
      <c r="M4534" s="7">
        <f>IF(N4534=0,+L4534+H4534,0)</f>
        <v/>
      </c>
      <c r="N4534" s="7">
        <f>IF((+G4534-K4534)=0,0,+G4534-K4534)</f>
        <v/>
      </c>
      <c r="O4534" s="7">
        <f>IF(N4534=0,0,(L4534+H4534)/-N4534)</f>
        <v/>
      </c>
      <c r="P4534" s="7">
        <f>VLOOKUP(OPERAC[[#This Row],[especie]],[1]!ESPECIES[#All],6,0)</f>
        <v/>
      </c>
      <c r="Q4534" s="7">
        <f>IF(N4534&lt;&gt;0,P4534*N4534,0)</f>
        <v/>
      </c>
      <c r="R4534" s="8">
        <f>IF(Q4534&lt;&gt;0,Q4534+H4534+L4534,0)</f>
        <v/>
      </c>
      <c r="S4534" s="9">
        <f>VLOOKUP(OPERAC[[#This Row],[especie]],[1]!ESPECIES[#Data],9,FALSE)</f>
        <v/>
      </c>
    </row>
    <row r="4535">
      <c r="A4535" s="4" t="n">
        <v>1760</v>
      </c>
      <c r="B4535" s="5" t="n">
        <v>44656</v>
      </c>
      <c r="C4535" s="13" t="inlineStr">
        <is>
          <t>CPR</t>
        </is>
      </c>
      <c r="D4535" s="13" t="n">
        <v>32</v>
      </c>
      <c r="E4535" s="10">
        <f>IF(D4535&gt;0,VLOOKUP(OPERAC[[#This Row],[COD CART]],[1]!MatrizCortoLargoCyl[#All],3,0),"")</f>
        <v/>
      </c>
      <c r="F4535" s="13" t="inlineStr">
        <is>
          <t>DOLE</t>
        </is>
      </c>
      <c r="G4535" s="6" t="n">
        <v>100</v>
      </c>
      <c r="H4535" s="6">
        <f>-1290.74+88.589</f>
        <v/>
      </c>
      <c r="I4535" s="7">
        <f>-H4535/G4535</f>
        <v/>
      </c>
      <c r="J4535" s="11" t="n">
        <v>44704</v>
      </c>
      <c r="K4535" s="6" t="n">
        <v>100</v>
      </c>
      <c r="L4535" s="6" t="n">
        <v>1098.483</v>
      </c>
      <c r="M4535" s="7">
        <f>IF(N4535=0,+L4535+H4535,0)</f>
        <v/>
      </c>
      <c r="N4535" s="7">
        <f>IF((+G4535-K4535)=0,0,+G4535-K4535)</f>
        <v/>
      </c>
      <c r="O4535" s="7">
        <f>IF(N4535=0,0,(L4535+H4535)/-N4535)</f>
        <v/>
      </c>
      <c r="P4535" s="7">
        <f>VLOOKUP(OPERAC[[#This Row],[especie]],[1]!ESPECIES[#All],6,0)</f>
        <v/>
      </c>
      <c r="Q4535" s="7">
        <f>IF(N4535&lt;&gt;0,P4535*N4535,0)</f>
        <v/>
      </c>
      <c r="R4535" s="8">
        <f>IF(Q4535&lt;&gt;0,Q4535+H4535+L4535,0)</f>
        <v/>
      </c>
      <c r="S4535" s="9">
        <f>VLOOKUP(OPERAC[[#This Row],[especie]],[1]!ESPECIES[#Data],9,FALSE)</f>
        <v/>
      </c>
    </row>
    <row r="4536">
      <c r="A4536" s="4" t="n">
        <v>22393</v>
      </c>
      <c r="B4536" s="5" t="n">
        <v>44656</v>
      </c>
      <c r="C4536" s="13" t="inlineStr">
        <is>
          <t>CPR</t>
        </is>
      </c>
      <c r="D4536" s="13" t="n">
        <v>32</v>
      </c>
      <c r="E4536" s="10">
        <f>IF(D4536&gt;0,VLOOKUP(OPERAC[[#This Row],[COD CART]],[1]!MatrizCortoLargoCyl[#All],3,0),"")</f>
        <v/>
      </c>
      <c r="F4536" s="13" t="inlineStr">
        <is>
          <t>DOLE</t>
        </is>
      </c>
      <c r="G4536" s="6" t="n">
        <v>100</v>
      </c>
      <c r="H4536" s="6">
        <f>-1290.74+88.589</f>
        <v/>
      </c>
      <c r="I4536" s="7">
        <f>-H4536/G4536</f>
        <v/>
      </c>
      <c r="J4536" s="11" t="n"/>
      <c r="K4536" s="6" t="n"/>
      <c r="L4536" s="6" t="n"/>
      <c r="M4536" s="7">
        <f>IF(N4536=0,+L4536+H4536,0)</f>
        <v/>
      </c>
      <c r="N4536" s="7">
        <f>IF((+G4536-K4536)=0,0,+G4536-K4536)</f>
        <v/>
      </c>
      <c r="O4536" s="7">
        <f>IF(N4536=0,0,(L4536+H4536)/-N4536)</f>
        <v/>
      </c>
      <c r="P4536" s="7">
        <f>VLOOKUP(OPERAC[[#This Row],[especie]],[1]!ESPECIES[#All],6,0)</f>
        <v/>
      </c>
      <c r="Q4536" s="7">
        <f>IF(N4536&lt;&gt;0,P4536*N4536,0)</f>
        <v/>
      </c>
      <c r="R4536" s="8">
        <f>IF(Q4536&lt;&gt;0,Q4536+H4536+L4536,0)</f>
        <v/>
      </c>
      <c r="S4536" s="9">
        <f>VLOOKUP(OPERAC[[#This Row],[especie]],[1]!ESPECIES[#Data],9,FALSE)</f>
        <v/>
      </c>
    </row>
    <row r="4537">
      <c r="A4537" s="4" t="n">
        <v>20317</v>
      </c>
      <c r="B4537" s="5" t="n">
        <v>44656</v>
      </c>
      <c r="C4537" s="13" t="inlineStr">
        <is>
          <t>CPR</t>
        </is>
      </c>
      <c r="D4537" s="13" t="n">
        <v>32</v>
      </c>
      <c r="E4537" s="10">
        <f>IF(D4537&gt;0,VLOOKUP(OPERAC[[#This Row],[COD CART]],[1]!MatrizCortoLargoCyl[#All],3,0),"")</f>
        <v/>
      </c>
      <c r="F4537" s="13" t="inlineStr">
        <is>
          <t>DOLE</t>
        </is>
      </c>
      <c r="G4537" s="6" t="n">
        <v>100</v>
      </c>
      <c r="H4537" s="6">
        <f>-1290.74+88.589</f>
        <v/>
      </c>
      <c r="I4537" s="7">
        <f>-H4537/G4537</f>
        <v/>
      </c>
      <c r="J4537" s="11" t="n">
        <v>44722</v>
      </c>
      <c r="K4537" s="6" t="n">
        <v>100</v>
      </c>
      <c r="L4537" s="6" t="n">
        <v>909.701</v>
      </c>
      <c r="M4537" s="7">
        <f>IF(N4537=0,+L4537+H4537,0)</f>
        <v/>
      </c>
      <c r="N4537" s="7">
        <f>IF((+G4537-K4537)=0,0,+G4537-K4537)</f>
        <v/>
      </c>
      <c r="O4537" s="7">
        <f>IF(N4537=0,0,(L4537+H4537)/-N4537)</f>
        <v/>
      </c>
      <c r="P4537" s="7">
        <f>VLOOKUP(OPERAC[[#This Row],[especie]],[1]!ESPECIES[#All],6,0)</f>
        <v/>
      </c>
      <c r="Q4537" s="7">
        <f>IF(N4537&lt;&gt;0,P4537*N4537,0)</f>
        <v/>
      </c>
      <c r="R4537" s="8">
        <f>IF(Q4537&lt;&gt;0,Q4537+H4537+L4537,0)</f>
        <v/>
      </c>
      <c r="S4537" s="9">
        <f>VLOOKUP(OPERAC[[#This Row],[especie]],[1]!ESPECIES[#Data],9,FALSE)</f>
        <v/>
      </c>
    </row>
    <row r="4538">
      <c r="A4538" s="4" t="n">
        <v>12674</v>
      </c>
      <c r="B4538" s="5" t="n">
        <v>44468</v>
      </c>
      <c r="C4538" s="13" t="inlineStr">
        <is>
          <t>CPR</t>
        </is>
      </c>
      <c r="D4538" s="13" t="n">
        <v>40</v>
      </c>
      <c r="E4538" s="10">
        <f>IF(D4538&gt;0,VLOOKUP(OPERAC[[#This Row],[COD CART]],[1]!MatrizCortoLargoCyl[#All],3,0),"")</f>
        <v/>
      </c>
      <c r="F4538" s="13" t="inlineStr">
        <is>
          <t>ACB</t>
        </is>
      </c>
      <c r="G4538" s="6" t="n">
        <v>200</v>
      </c>
      <c r="H4538" s="6">
        <f>-1366.84+35.306+46.926+30.394+48.65</f>
        <v/>
      </c>
      <c r="I4538" s="7">
        <f>-H4538/G4538</f>
        <v/>
      </c>
      <c r="J4538" s="11" t="n">
        <v>44592</v>
      </c>
      <c r="K4538" s="6" t="n">
        <v>200</v>
      </c>
      <c r="L4538" s="6">
        <f>+OPERAC[[#This Row],[cantidad venta]]*4.107</f>
        <v/>
      </c>
      <c r="M4538" s="7">
        <f>IF(N4538=0,+L4538+H4538,0)</f>
        <v/>
      </c>
      <c r="N4538" s="7">
        <f>IF((+G4538-K4538)=0,0,+G4538-K4538)</f>
        <v/>
      </c>
      <c r="O4538" s="7">
        <f>IF(N4538=0,0,(L4538+H4538)/-N4538)</f>
        <v/>
      </c>
      <c r="P4538" s="7">
        <f>VLOOKUP(OPERAC[[#This Row],[especie]],[1]!ESPECIES[#All],6,0)</f>
        <v/>
      </c>
      <c r="Q4538" s="7">
        <f>IF(N4538&lt;&gt;0,P4538*N4538,0)</f>
        <v/>
      </c>
      <c r="R4538" s="8">
        <f>IF(Q4538&lt;&gt;0,Q4538+H4538+L4538,0)</f>
        <v/>
      </c>
      <c r="S4538" s="9">
        <f>VLOOKUP(OPERAC[[#This Row],[especie]],[1]!ESPECIES[#Data],9,FALSE)</f>
        <v/>
      </c>
    </row>
    <row r="4539">
      <c r="A4539" s="4" t="n">
        <v>18662</v>
      </c>
      <c r="B4539" s="5" t="n">
        <v>44713</v>
      </c>
      <c r="C4539" s="13" t="inlineStr">
        <is>
          <t>CPR</t>
        </is>
      </c>
      <c r="D4539" s="13" t="n">
        <v>40</v>
      </c>
      <c r="E4539" s="10">
        <f>IF(D4539&gt;0,VLOOKUP(OPERAC[[#This Row],[COD CART]],[1]!MatrizCortoLargoCyl[#All],3,0),"")</f>
        <v/>
      </c>
      <c r="F4539" s="13" t="inlineStr">
        <is>
          <t>ET</t>
        </is>
      </c>
      <c r="G4539" s="6" t="n">
        <v>100</v>
      </c>
      <c r="H4539" s="6" t="n">
        <v>-1207.455</v>
      </c>
      <c r="I4539" s="7">
        <f>-H4539/G4539</f>
        <v/>
      </c>
      <c r="J4539" s="5" t="n">
        <v>44721</v>
      </c>
      <c r="K4539" s="6" t="n">
        <v>100</v>
      </c>
      <c r="L4539" s="6" t="n">
        <v>1203.345</v>
      </c>
      <c r="M4539" s="7">
        <f>IF(N4539=0,+L4539+H4539,0)</f>
        <v/>
      </c>
      <c r="N4539" s="7">
        <f>IF((+G4539-K4539)=0,0,+G4539-K4539)</f>
        <v/>
      </c>
      <c r="O4539" s="7">
        <f>IF(N4539=0,0,(L4539+H4539)/-N4539)</f>
        <v/>
      </c>
      <c r="P4539" s="7">
        <f>VLOOKUP(OPERAC[[#This Row],[especie]],[1]!ESPECIES[#All],6,0)</f>
        <v/>
      </c>
      <c r="Q4539" s="7">
        <f>IF(N4539&lt;&gt;0,P4539*N4539,0)</f>
        <v/>
      </c>
      <c r="R4539" s="8">
        <f>IF(Q4539&lt;&gt;0,Q4539+H4539+L4539,0)</f>
        <v/>
      </c>
      <c r="S4539" s="9">
        <f>VLOOKUP(OPERAC[[#This Row],[especie]],[1]!ESPECIES[#Data],9,FALSE)</f>
        <v/>
      </c>
    </row>
    <row r="4540">
      <c r="A4540" s="4" t="n">
        <v>4543</v>
      </c>
      <c r="B4540" s="5" t="n">
        <v>44594</v>
      </c>
      <c r="C4540" s="13" t="inlineStr">
        <is>
          <t>CPR</t>
        </is>
      </c>
      <c r="D4540" s="13" t="n">
        <v>40</v>
      </c>
      <c r="E4540" s="10">
        <f>IF(D4540&gt;0,VLOOKUP(OPERAC[[#This Row],[COD CART]],[1]!MatrizCortoLargoCyl[#All],3,0),"")</f>
        <v/>
      </c>
      <c r="F4540" s="13" t="inlineStr">
        <is>
          <t>EDU</t>
        </is>
      </c>
      <c r="G4540" s="6" t="n">
        <v>600</v>
      </c>
      <c r="H4540" s="6" t="n">
        <v>-1209.6</v>
      </c>
      <c r="I4540" s="7">
        <f>-H4540/G4540</f>
        <v/>
      </c>
      <c r="J4540" s="11" t="n">
        <v>44599</v>
      </c>
      <c r="K4540" s="6" t="n">
        <v>600</v>
      </c>
      <c r="L4540" s="6">
        <f>462*2</f>
        <v/>
      </c>
      <c r="M4540" s="7">
        <f>IF(N4540=0,+L4540+H4540,0)</f>
        <v/>
      </c>
      <c r="N4540" s="7">
        <f>IF((+G4540-K4540)=0,0,+G4540-K4540)</f>
        <v/>
      </c>
      <c r="O4540" s="7">
        <f>IF(N4540=0,0,(L4540+H4540)/-N4540)</f>
        <v/>
      </c>
      <c r="P4540" s="7">
        <f>VLOOKUP(OPERAC[[#This Row],[especie]],[1]!ESPECIES[#All],6,0)</f>
        <v/>
      </c>
      <c r="Q4540" s="7">
        <f>IF(N4540&lt;&gt;0,P4540*N4540,0)</f>
        <v/>
      </c>
      <c r="R4540" s="8">
        <f>IF(Q4540&lt;&gt;0,Q4540+H4540+L4540,0)</f>
        <v/>
      </c>
      <c r="S4540" s="9">
        <f>VLOOKUP(OPERAC[[#This Row],[especie]],[1]!ESPECIES[#Data],9,FALSE)</f>
        <v/>
      </c>
    </row>
    <row r="4541">
      <c r="A4541" s="4" t="n">
        <v>19878</v>
      </c>
      <c r="B4541" s="5" t="n">
        <v>44594</v>
      </c>
      <c r="C4541" s="13" t="inlineStr">
        <is>
          <t>CPR</t>
        </is>
      </c>
      <c r="D4541" s="13" t="n">
        <v>40</v>
      </c>
      <c r="E4541" s="10">
        <f>IF(D4541&gt;0,VLOOKUP(OPERAC[[#This Row],[COD CART]],[1]!MatrizCortoLargoCyl[#All],3,0),"")</f>
        <v/>
      </c>
      <c r="F4541" s="13" t="inlineStr">
        <is>
          <t>EDU</t>
        </is>
      </c>
      <c r="G4541" s="6" t="n">
        <v>600</v>
      </c>
      <c r="H4541" s="6" t="n">
        <v>-1209.6</v>
      </c>
      <c r="I4541" s="7">
        <f>-H4541/G4541</f>
        <v/>
      </c>
      <c r="J4541" s="11" t="n">
        <v>44601</v>
      </c>
      <c r="K4541" s="6" t="n">
        <v>600</v>
      </c>
      <c r="L4541" s="6">
        <f>600*1.642</f>
        <v/>
      </c>
      <c r="M4541" s="7">
        <f>IF(N4541=0,+L4541+H4541,0)</f>
        <v/>
      </c>
      <c r="N4541" s="7">
        <f>IF((+G4541-K4541)=0,0,+G4541-K4541)</f>
        <v/>
      </c>
      <c r="O4541" s="7">
        <f>IF(N4541=0,0,(L4541+H4541)/-N4541)</f>
        <v/>
      </c>
      <c r="P4541" s="7">
        <f>VLOOKUP(OPERAC[[#This Row],[especie]],[1]!ESPECIES[#All],6,0)</f>
        <v/>
      </c>
      <c r="Q4541" s="7">
        <f>IF(N4541&lt;&gt;0,P4541*N4541,0)</f>
        <v/>
      </c>
      <c r="R4541" s="8">
        <f>IF(Q4541&lt;&gt;0,Q4541+H4541+L4541,0)</f>
        <v/>
      </c>
      <c r="S4541" s="9">
        <f>VLOOKUP(OPERAC[[#This Row],[especie]],[1]!ESPECIES[#Data],9,FALSE)</f>
        <v/>
      </c>
    </row>
    <row r="4542">
      <c r="A4542" s="4" t="n">
        <v>4561</v>
      </c>
      <c r="B4542" s="5" t="n">
        <v>44494</v>
      </c>
      <c r="C4542" s="13" t="inlineStr">
        <is>
          <t>CPR</t>
        </is>
      </c>
      <c r="D4542" s="13" t="n">
        <v>40</v>
      </c>
      <c r="E4542" s="10">
        <f>IF(D4542&gt;0,VLOOKUP(OPERAC[[#This Row],[COD CART]],[1]!MatrizCortoLargoCyl[#All],3,0),"")</f>
        <v/>
      </c>
      <c r="F4542" s="13" t="inlineStr">
        <is>
          <t>YPF</t>
        </is>
      </c>
      <c r="G4542" s="6" t="n">
        <v>260</v>
      </c>
      <c r="H4542" s="6" t="n">
        <v>-1209.7072</v>
      </c>
      <c r="I4542" s="7">
        <f>-H4542/G4542</f>
        <v/>
      </c>
      <c r="J4542" s="11" t="n">
        <v>44606</v>
      </c>
      <c r="K4542" s="6">
        <f>+OPERAC[[#This Row],[cantidad]]</f>
        <v/>
      </c>
      <c r="L4542" s="6">
        <f>+OPERAC[[#This Row],[cantidad venta]]*4.161</f>
        <v/>
      </c>
      <c r="M4542" s="7">
        <f>IF(N4542=0,+L4542+H4542,0)</f>
        <v/>
      </c>
      <c r="N4542" s="7">
        <f>IF((+G4542-K4542)=0,0,+G4542-K4542)</f>
        <v/>
      </c>
      <c r="O4542" s="7">
        <f>IF(N4542=0,0,(L4542+H4542)/-N4542)</f>
        <v/>
      </c>
      <c r="P4542" s="7">
        <f>VLOOKUP(OPERAC[[#This Row],[especie]],[1]!ESPECIES[#All],6,0)</f>
        <v/>
      </c>
      <c r="Q4542" s="7">
        <f>IF(N4542&lt;&gt;0,P4542*N4542,0)</f>
        <v/>
      </c>
      <c r="R4542" s="8">
        <f>IF(Q4542&lt;&gt;0,Q4542+H4542+L4542,0)</f>
        <v/>
      </c>
      <c r="S4542" s="9">
        <f>VLOOKUP(OPERAC[[#This Row],[especie]],[1]!ESPECIES[#Data],9,FALSE)</f>
        <v/>
      </c>
    </row>
    <row r="4543">
      <c r="A4543" s="4" t="n">
        <v>2255</v>
      </c>
      <c r="B4543" s="5" t="n">
        <v>44538</v>
      </c>
      <c r="C4543" s="13" t="inlineStr">
        <is>
          <t>CPR</t>
        </is>
      </c>
      <c r="D4543" s="13" t="n">
        <v>41</v>
      </c>
      <c r="E4543" s="10">
        <f>IF(D4543&gt;0,VLOOKUP(OPERAC[[#This Row],[COD CART]],[1]!MatrizCortoLargoCyl[#All],3,0),"")</f>
        <v/>
      </c>
      <c r="F4543" s="13" t="inlineStr">
        <is>
          <t>MELI</t>
        </is>
      </c>
      <c r="G4543" s="6" t="n">
        <v>1</v>
      </c>
      <c r="H4543" s="6" t="n">
        <v>-1210.1</v>
      </c>
      <c r="I4543" s="7">
        <f>-H4543/G4543</f>
        <v/>
      </c>
      <c r="J4543" s="11" t="n"/>
      <c r="K4543" s="6" t="n"/>
      <c r="L4543" s="6" t="n"/>
      <c r="M4543" s="7">
        <f>IF(N4543=0,+L4543+H4543,0)</f>
        <v/>
      </c>
      <c r="N4543" s="7">
        <f>IF((+G4543-K4543)=0,0,+G4543-K4543)</f>
        <v/>
      </c>
      <c r="O4543" s="7">
        <f>IF(N4543=0,0,(L4543+H4543)/-N4543)</f>
        <v/>
      </c>
      <c r="P4543" s="7">
        <f>VLOOKUP(OPERAC[[#This Row],[especie]],[1]!ESPECIES[#All],6,0)</f>
        <v/>
      </c>
      <c r="Q4543" s="7">
        <f>IF(N4543&lt;&gt;0,P4543*N4543,0)</f>
        <v/>
      </c>
      <c r="R4543" s="8">
        <f>IF(Q4543&lt;&gt;0,Q4543+H4543+L4543,0)</f>
        <v/>
      </c>
      <c r="S4543" s="9">
        <f>VLOOKUP(OPERAC[[#This Row],[especie]],[1]!ESPECIES[#Data],9,FALSE)</f>
        <v/>
      </c>
    </row>
    <row r="4544">
      <c r="A4544" s="4" t="n">
        <v>3728</v>
      </c>
      <c r="B4544" s="5" t="n">
        <v>44641</v>
      </c>
      <c r="C4544" s="13" t="inlineStr">
        <is>
          <t>CPR</t>
        </is>
      </c>
      <c r="D4544" s="13" t="n">
        <v>31</v>
      </c>
      <c r="E4544" s="10">
        <f>IF(D4544&gt;0,VLOOKUP(OPERAC[[#This Row],[COD CART]],[1]!MatrizCortoLargoCyl[#All],3,0),"")</f>
        <v/>
      </c>
      <c r="F4544" s="13" t="inlineStr">
        <is>
          <t>TGS</t>
        </is>
      </c>
      <c r="G4544" s="6" t="n">
        <v>200</v>
      </c>
      <c r="H4544" s="6" t="n">
        <v>-1212.6104</v>
      </c>
      <c r="I4544" s="7">
        <f>-H4544/G4544</f>
        <v/>
      </c>
      <c r="J4544" s="11" t="n">
        <v>44692</v>
      </c>
      <c r="K4544" s="6" t="n">
        <v>200</v>
      </c>
      <c r="L4544" s="6" t="n">
        <v>1222.776</v>
      </c>
      <c r="M4544" s="7">
        <f>IF(N4544=0,+L4544+H4544,0)</f>
        <v/>
      </c>
      <c r="N4544" s="7">
        <f>IF((+G4544-K4544)=0,0,+G4544-K4544)</f>
        <v/>
      </c>
      <c r="O4544" s="7">
        <f>IF(N4544=0,0,(L4544+H4544)/-N4544)</f>
        <v/>
      </c>
      <c r="P4544" s="7">
        <f>VLOOKUP(OPERAC[[#This Row],[especie]],[1]!ESPECIES[#All],6,0)</f>
        <v/>
      </c>
      <c r="Q4544" s="7">
        <f>IF(N4544&lt;&gt;0,P4544*N4544,0)</f>
        <v/>
      </c>
      <c r="R4544" s="8">
        <f>IF(Q4544&lt;&gt;0,Q4544+H4544+L4544,0)</f>
        <v/>
      </c>
      <c r="S4544" s="9">
        <f>VLOOKUP(OPERAC[[#This Row],[especie]],[1]!ESPECIES[#Data],9,FALSE)</f>
        <v/>
      </c>
    </row>
    <row r="4545">
      <c r="A4545" s="4" t="n">
        <v>22393</v>
      </c>
      <c r="B4545" s="5" t="n">
        <v>44435</v>
      </c>
      <c r="C4545" s="13" t="inlineStr">
        <is>
          <t>CPR</t>
        </is>
      </c>
      <c r="D4545" s="13" t="n">
        <v>31</v>
      </c>
      <c r="E4545" s="10">
        <f>IF(D4545&gt;0,VLOOKUP(OPERAC[[#This Row],[COD CART]],[1]!MatrizCortoLargoCyl[#All],3,0),"")</f>
        <v/>
      </c>
      <c r="F4545" s="13" t="inlineStr">
        <is>
          <t>KGC</t>
        </is>
      </c>
      <c r="G4545" s="6" t="n">
        <v>200</v>
      </c>
      <c r="H4545" s="6" t="n">
        <v>-1212.616</v>
      </c>
      <c r="I4545" s="7">
        <f>-H4545/G4545</f>
        <v/>
      </c>
      <c r="J4545" s="11" t="n">
        <v>44628</v>
      </c>
      <c r="K4545" s="6" t="n">
        <v>200</v>
      </c>
      <c r="L4545" s="6">
        <f>+OPERAC[[#This Row],[cantidad venta]]*5.5</f>
        <v/>
      </c>
      <c r="M4545" s="7">
        <f>IF(N4545=0,+L4545+H4545,0)</f>
        <v/>
      </c>
      <c r="N4545" s="7">
        <f>IF((+G4545-K4545)=0,0,+G4545-K4545)</f>
        <v/>
      </c>
      <c r="O4545" s="7">
        <f>IF(N4545=0,0,(L4545+H4545)/-N4545)</f>
        <v/>
      </c>
      <c r="P4545" s="7">
        <f>VLOOKUP(OPERAC[[#This Row],[especie]],[1]!ESPECIES[#All],6,0)</f>
        <v/>
      </c>
      <c r="Q4545" s="7">
        <f>IF(N4545&lt;&gt;0,P4545*N4545,0)</f>
        <v/>
      </c>
      <c r="R4545" s="8">
        <f>IF(Q4545&lt;&gt;0,Q4545+H4545+L4545,0)</f>
        <v/>
      </c>
      <c r="S4545" s="9">
        <f>VLOOKUP(OPERAC[[#This Row],[especie]],[1]!ESPECIES[#Data],9,FALSE)</f>
        <v/>
      </c>
    </row>
    <row r="4546">
      <c r="A4546" s="4" t="n">
        <v>26140</v>
      </c>
      <c r="B4546" s="5" t="n">
        <v>44587</v>
      </c>
      <c r="C4546" s="13" t="inlineStr">
        <is>
          <t>CPR</t>
        </is>
      </c>
      <c r="D4546" s="13" t="n">
        <v>40</v>
      </c>
      <c r="E4546" s="10">
        <f>IF(D4546&gt;0,VLOOKUP(OPERAC[[#This Row],[COD CART]],[1]!MatrizCortoLargoCyl[#All],3,0),"")</f>
        <v/>
      </c>
      <c r="F4546" s="13" t="inlineStr">
        <is>
          <t>MSFT</t>
        </is>
      </c>
      <c r="G4546" s="6" t="n">
        <v>4</v>
      </c>
      <c r="H4546" s="6" t="n">
        <v>-1213.64504</v>
      </c>
      <c r="I4546" s="7">
        <f>-H4546/G4546</f>
        <v/>
      </c>
      <c r="J4546" s="11" t="n">
        <v>44606</v>
      </c>
      <c r="K4546" s="6">
        <f>+OPERAC[[#This Row],[cantidad]]</f>
        <v/>
      </c>
      <c r="L4546" s="6">
        <f>+OPERAC[[#This Row],[cantidad venta]]*290.091</f>
        <v/>
      </c>
      <c r="M4546" s="7">
        <f>IF(N4546=0,+L4546+H4546,0)</f>
        <v/>
      </c>
      <c r="N4546" s="7">
        <f>IF((+G4546-K4546)=0,0,+G4546-K4546)</f>
        <v/>
      </c>
      <c r="O4546" s="7">
        <f>IF(N4546=0,0,(L4546+H4546)/-N4546)</f>
        <v/>
      </c>
      <c r="P4546" s="7">
        <f>VLOOKUP(OPERAC[[#This Row],[especie]],[1]!ESPECIES[#All],6,0)</f>
        <v/>
      </c>
      <c r="Q4546" s="7">
        <f>IF(N4546&lt;&gt;0,P4546*N4546,0)</f>
        <v/>
      </c>
      <c r="R4546" s="8">
        <f>IF(Q4546&lt;&gt;0,Q4546+H4546+L4546,0)</f>
        <v/>
      </c>
      <c r="S4546" s="9">
        <f>VLOOKUP(OPERAC[[#This Row],[especie]],[1]!ESPECIES[#Data],9,FALSE)</f>
        <v/>
      </c>
    </row>
    <row r="4547">
      <c r="A4547" s="4" t="n">
        <v>2203</v>
      </c>
      <c r="B4547" s="5" t="n">
        <v>44551</v>
      </c>
      <c r="C4547" s="13" t="inlineStr">
        <is>
          <t>CPR</t>
        </is>
      </c>
      <c r="D4547" s="13" t="n">
        <v>40</v>
      </c>
      <c r="E4547" s="10">
        <f>IF(D4547&gt;0,VLOOKUP(OPERAC[[#This Row],[COD CART]],[1]!MatrizCortoLargoCyl[#All],3,0),"")</f>
        <v/>
      </c>
      <c r="F4547" s="13" t="inlineStr">
        <is>
          <t>EDIT</t>
        </is>
      </c>
      <c r="G4547" s="6" t="n">
        <v>40</v>
      </c>
      <c r="H4547" s="6" t="n">
        <v>-1217.048</v>
      </c>
      <c r="I4547" s="7">
        <f>-H4547/G4547</f>
        <v/>
      </c>
      <c r="J4547" s="11" t="n">
        <v>44585</v>
      </c>
      <c r="K4547" s="6" t="n">
        <v>40</v>
      </c>
      <c r="L4547" s="6" t="n">
        <v>671.169</v>
      </c>
      <c r="M4547" s="7">
        <f>IF(N4547=0,+L4547+H4547,0)</f>
        <v/>
      </c>
      <c r="N4547" s="7">
        <f>IF((+G4547-K4547)=0,0,+G4547-K4547)</f>
        <v/>
      </c>
      <c r="O4547" s="7">
        <f>IF(N4547=0,0,(L4547+H4547)/-N4547)</f>
        <v/>
      </c>
      <c r="P4547" s="7">
        <f>VLOOKUP(OPERAC[[#This Row],[especie]],[1]!ESPECIES[#All],6,0)</f>
        <v/>
      </c>
      <c r="Q4547" s="7">
        <f>IF(N4547&lt;&gt;0,P4547*N4547,0)</f>
        <v/>
      </c>
      <c r="R4547" s="8">
        <f>IF(Q4547&lt;&gt;0,Q4547+H4547+L4547,0)</f>
        <v/>
      </c>
      <c r="S4547" s="9">
        <f>VLOOKUP(OPERAC[[#This Row],[especie]],[1]!ESPECIES[#Data],9,FALSE)</f>
        <v/>
      </c>
    </row>
    <row r="4548">
      <c r="A4548" s="4" t="n">
        <v>3853</v>
      </c>
      <c r="B4548" s="5" t="n">
        <v>44641</v>
      </c>
      <c r="C4548" s="13" t="inlineStr">
        <is>
          <t>CPR</t>
        </is>
      </c>
      <c r="D4548" s="13" t="n">
        <v>31</v>
      </c>
      <c r="E4548" s="10">
        <f>IF(D4548&gt;0,VLOOKUP(OPERAC[[#This Row],[COD CART]],[1]!MatrizCortoLargoCyl[#All],3,0),"")</f>
        <v/>
      </c>
      <c r="F4548" s="13" t="inlineStr">
        <is>
          <t>TGS</t>
        </is>
      </c>
      <c r="G4548" s="6" t="n">
        <v>200</v>
      </c>
      <c r="H4548" s="6" t="n">
        <v>-1221.0832</v>
      </c>
      <c r="I4548" s="7">
        <f>-H4548/G4548</f>
        <v/>
      </c>
      <c r="J4548" s="11" t="n">
        <v>44693</v>
      </c>
      <c r="K4548" s="6" t="n">
        <v>200</v>
      </c>
      <c r="L4548" s="6" t="n">
        <v>1186.836</v>
      </c>
      <c r="M4548" s="7">
        <f>IF(N4548=0,+L4548+H4548,0)</f>
        <v/>
      </c>
      <c r="N4548" s="7">
        <f>IF((+G4548-K4548)=0,0,+G4548-K4548)</f>
        <v/>
      </c>
      <c r="O4548" s="7">
        <f>IF(N4548=0,0,(L4548+H4548)/-N4548)</f>
        <v/>
      </c>
      <c r="P4548" s="7">
        <f>VLOOKUP(OPERAC[[#This Row],[especie]],[1]!ESPECIES[#All],6,0)</f>
        <v/>
      </c>
      <c r="Q4548" s="7">
        <f>IF(N4548&lt;&gt;0,P4548*N4548,0)</f>
        <v/>
      </c>
      <c r="R4548" s="8">
        <f>IF(Q4548&lt;&gt;0,Q4548+H4548+L4548,0)</f>
        <v/>
      </c>
      <c r="S4548" s="9">
        <f>VLOOKUP(OPERAC[[#This Row],[especie]],[1]!ESPECIES[#Data],9,FALSE)</f>
        <v/>
      </c>
    </row>
    <row r="4549">
      <c r="A4549" s="4" t="n">
        <v>19888</v>
      </c>
      <c r="B4549" s="5" t="n">
        <v>44641</v>
      </c>
      <c r="C4549" s="13" t="inlineStr">
        <is>
          <t>CPR</t>
        </is>
      </c>
      <c r="D4549" s="13" t="n">
        <v>31</v>
      </c>
      <c r="E4549" s="10">
        <f>IF(D4549&gt;0,VLOOKUP(OPERAC[[#This Row],[COD CART]],[1]!MatrizCortoLargoCyl[#All],3,0),"")</f>
        <v/>
      </c>
      <c r="F4549" s="13" t="inlineStr">
        <is>
          <t>TGS</t>
        </is>
      </c>
      <c r="G4549" s="6" t="n">
        <v>200</v>
      </c>
      <c r="H4549" s="6" t="n">
        <v>-1221.0832</v>
      </c>
      <c r="I4549" s="7">
        <f>-H4549/G4549</f>
        <v/>
      </c>
      <c r="J4549" s="11" t="n">
        <v>44693</v>
      </c>
      <c r="K4549" s="6" t="n">
        <v>200</v>
      </c>
      <c r="L4549" s="6" t="n">
        <v>1197.646</v>
      </c>
      <c r="M4549" s="7">
        <f>IF(N4549=0,+L4549+H4549,0)</f>
        <v/>
      </c>
      <c r="N4549" s="7">
        <f>IF((+G4549-K4549)=0,0,+G4549-K4549)</f>
        <v/>
      </c>
      <c r="O4549" s="7">
        <f>IF(N4549=0,0,(L4549+H4549)/-N4549)</f>
        <v/>
      </c>
      <c r="P4549" s="7">
        <f>VLOOKUP(OPERAC[[#This Row],[especie]],[1]!ESPECIES[#All],6,0)</f>
        <v/>
      </c>
      <c r="Q4549" s="7">
        <f>IF(N4549&lt;&gt;0,P4549*N4549,0)</f>
        <v/>
      </c>
      <c r="R4549" s="8">
        <f>IF(Q4549&lt;&gt;0,Q4549+H4549+L4549,0)</f>
        <v/>
      </c>
      <c r="S4549" s="9">
        <f>VLOOKUP(OPERAC[[#This Row],[especie]],[1]!ESPECIES[#Data],9,FALSE)</f>
        <v/>
      </c>
    </row>
    <row r="4550">
      <c r="A4550" s="4" t="n">
        <v>19932</v>
      </c>
      <c r="B4550" s="5" t="n">
        <v>44641</v>
      </c>
      <c r="C4550" s="13" t="inlineStr">
        <is>
          <t>CPR</t>
        </is>
      </c>
      <c r="D4550" s="13" t="n">
        <v>31</v>
      </c>
      <c r="E4550" s="10">
        <f>IF(D4550&gt;0,VLOOKUP(OPERAC[[#This Row],[COD CART]],[1]!MatrizCortoLargoCyl[#All],3,0),"")</f>
        <v/>
      </c>
      <c r="F4550" s="13" t="inlineStr">
        <is>
          <t>TGS</t>
        </is>
      </c>
      <c r="G4550" s="6" t="n">
        <v>200</v>
      </c>
      <c r="H4550" s="6" t="n">
        <v>-1221.0832</v>
      </c>
      <c r="I4550" s="7">
        <f>-H4550/G4550</f>
        <v/>
      </c>
      <c r="J4550" s="11" t="n">
        <v>44693</v>
      </c>
      <c r="K4550" s="6" t="n">
        <v>200</v>
      </c>
      <c r="L4550" s="6" t="n">
        <v>1197.646</v>
      </c>
      <c r="M4550" s="7">
        <f>IF(N4550=0,+L4550+H4550,0)</f>
        <v/>
      </c>
      <c r="N4550" s="7">
        <f>IF((+G4550-K4550)=0,0,+G4550-K4550)</f>
        <v/>
      </c>
      <c r="O4550" s="7">
        <f>IF(N4550=0,0,(L4550+H4550)/-N4550)</f>
        <v/>
      </c>
      <c r="P4550" s="7">
        <f>VLOOKUP(OPERAC[[#This Row],[especie]],[1]!ESPECIES[#All],6,0)</f>
        <v/>
      </c>
      <c r="Q4550" s="7">
        <f>IF(N4550&lt;&gt;0,P4550*N4550,0)</f>
        <v/>
      </c>
      <c r="R4550" s="8">
        <f>IF(Q4550&lt;&gt;0,Q4550+H4550+L4550,0)</f>
        <v/>
      </c>
      <c r="S4550" s="9">
        <f>VLOOKUP(OPERAC[[#This Row],[especie]],[1]!ESPECIES[#Data],9,FALSE)</f>
        <v/>
      </c>
    </row>
    <row r="4551">
      <c r="A4551" s="4" t="n">
        <v>22439</v>
      </c>
      <c r="B4551" s="5" t="n">
        <v>44641</v>
      </c>
      <c r="C4551" s="13" t="inlineStr">
        <is>
          <t>CPR</t>
        </is>
      </c>
      <c r="D4551" s="13" t="n">
        <v>31</v>
      </c>
      <c r="E4551" s="10">
        <f>IF(D4551&gt;0,VLOOKUP(OPERAC[[#This Row],[COD CART]],[1]!MatrizCortoLargoCyl[#All],3,0),"")</f>
        <v/>
      </c>
      <c r="F4551" s="13" t="inlineStr">
        <is>
          <t>TGS</t>
        </is>
      </c>
      <c r="G4551" s="6" t="n">
        <v>200</v>
      </c>
      <c r="H4551" s="6" t="n">
        <v>-1221.0832</v>
      </c>
      <c r="I4551" s="7">
        <f>-H4551/G4551</f>
        <v/>
      </c>
      <c r="J4551" s="11" t="n">
        <v>44693</v>
      </c>
      <c r="K4551" s="6" t="n">
        <v>100</v>
      </c>
      <c r="L4551" s="6" t="n">
        <v>598.38</v>
      </c>
      <c r="M4551" s="7">
        <f>IF(N4551=0,+L4551+H4551,0)</f>
        <v/>
      </c>
      <c r="N4551" s="7">
        <f>IF((+G4551-K4551)=0,0,+G4551-K4551)</f>
        <v/>
      </c>
      <c r="O4551" s="7">
        <f>IF(N4551=0,0,(L4551+H4551)/-N4551)</f>
        <v/>
      </c>
      <c r="P4551" s="7">
        <f>VLOOKUP(OPERAC[[#This Row],[especie]],[1]!ESPECIES[#All],6,0)</f>
        <v/>
      </c>
      <c r="Q4551" s="7">
        <f>IF(N4551&lt;&gt;0,P4551*N4551,0)</f>
        <v/>
      </c>
      <c r="R4551" s="8">
        <f>IF(Q4551&lt;&gt;0,Q4551+H4551+L4551,0)</f>
        <v/>
      </c>
      <c r="S4551" s="9">
        <f>VLOOKUP(OPERAC[[#This Row],[especie]],[1]!ESPECIES[#Data],9,FALSE)</f>
        <v/>
      </c>
    </row>
    <row r="4552">
      <c r="A4552" s="4" t="n">
        <v>3728</v>
      </c>
      <c r="B4552" s="5" t="n">
        <v>44616</v>
      </c>
      <c r="C4552" s="13" t="inlineStr">
        <is>
          <t>CPR</t>
        </is>
      </c>
      <c r="D4552" s="13" t="n">
        <v>32</v>
      </c>
      <c r="E4552" s="10">
        <f>IF(D4552&gt;0,VLOOKUP(OPERAC[[#This Row],[COD CART]],[1]!MatrizCortoLargoCyl[#All],3,0),"")</f>
        <v/>
      </c>
      <c r="F4552" s="13" t="inlineStr">
        <is>
          <t>SPWR/CYL/17,00/20-01-23</t>
        </is>
      </c>
      <c r="G4552" s="6" t="n">
        <v>100</v>
      </c>
      <c r="H4552" s="6" t="n">
        <v>-1222.099</v>
      </c>
      <c r="I4552" s="7">
        <f>-H4552/G4552</f>
        <v/>
      </c>
      <c r="J4552" s="11" t="n">
        <v>44656</v>
      </c>
      <c r="K4552" s="6" t="n">
        <v>100</v>
      </c>
      <c r="L4552" s="6" t="n">
        <v>1479.795</v>
      </c>
      <c r="M4552" s="7">
        <f>IF(N4552=0,+L4552+H4552,0)</f>
        <v/>
      </c>
      <c r="N4552" s="7">
        <f>IF((+G4552-K4552)=0,0,+G4552-K4552)</f>
        <v/>
      </c>
      <c r="O4552" s="7">
        <f>IF(N4552=0,0,(L4552+H4552)/-N4552)</f>
        <v/>
      </c>
      <c r="P4552" s="7">
        <f>VLOOKUP(OPERAC[[#This Row],[especie]],[1]!ESPECIES[#All],6,0)</f>
        <v/>
      </c>
      <c r="Q4552" s="7">
        <f>IF(N4552&lt;&gt;0,P4552*N4552,0)</f>
        <v/>
      </c>
      <c r="R4552" s="8">
        <f>IF(Q4552&lt;&gt;0,Q4552+H4552+L4552,0)</f>
        <v/>
      </c>
      <c r="S4552" s="9">
        <f>VLOOKUP(OPERAC[[#This Row],[especie]],[1]!ESPECIES[#Data],9,FALSE)</f>
        <v/>
      </c>
    </row>
    <row r="4553">
      <c r="A4553" s="4" t="n">
        <v>12690</v>
      </c>
      <c r="B4553" s="5" t="n">
        <v>44664</v>
      </c>
      <c r="C4553" s="13" t="inlineStr">
        <is>
          <t>CPR</t>
        </is>
      </c>
      <c r="D4553" s="13" t="n">
        <v>32</v>
      </c>
      <c r="E4553" s="10">
        <f>IF(D4553&gt;0,VLOOKUP(OPERAC[[#This Row],[COD CART]],[1]!MatrizCortoLargoCyl[#All],3,0),"")</f>
        <v/>
      </c>
      <c r="F4553" s="13" t="inlineStr">
        <is>
          <t>PSQ/CYL/13,00/20-05-22</t>
        </is>
      </c>
      <c r="G4553" s="6" t="n">
        <v>100</v>
      </c>
      <c r="H4553" s="6">
        <f>-1243.2572181+19.83</f>
        <v/>
      </c>
      <c r="I4553" s="7">
        <f>-H4553/G4553</f>
        <v/>
      </c>
      <c r="J4553" s="11" t="n">
        <v>44698</v>
      </c>
      <c r="K4553" s="6" t="n">
        <v>100</v>
      </c>
      <c r="L4553" s="6" t="n">
        <v>1282.47</v>
      </c>
      <c r="M4553" s="7">
        <f>IF(N4553=0,+L4553+H4553,0)</f>
        <v/>
      </c>
      <c r="N4553" s="7">
        <f>IF((+G4553-K4553)=0,0,+G4553-K4553)</f>
        <v/>
      </c>
      <c r="O4553" s="7">
        <f>IF(N4553=0,0,(L4553+H4553)/-N4553)</f>
        <v/>
      </c>
      <c r="P4553" s="7">
        <f>VLOOKUP(OPERAC[[#This Row],[especie]],[1]!ESPECIES[#All],6,0)</f>
        <v/>
      </c>
      <c r="Q4553" s="7">
        <f>IF(N4553&lt;&gt;0,P4553*N4553,0)</f>
        <v/>
      </c>
      <c r="R4553" s="8">
        <f>IF(Q4553&lt;&gt;0,Q4553+H4553+L4553,0)</f>
        <v/>
      </c>
      <c r="S4553" s="9">
        <f>VLOOKUP(OPERAC[[#This Row],[especie]],[1]!ESPECIES[#Data],9,FALSE)</f>
        <v/>
      </c>
    </row>
    <row r="4554">
      <c r="A4554" s="4" t="n">
        <v>12662</v>
      </c>
      <c r="B4554" s="5" t="n">
        <v>44447</v>
      </c>
      <c r="C4554" s="13" t="inlineStr">
        <is>
          <t>CPR</t>
        </is>
      </c>
      <c r="D4554" s="13" t="n">
        <v>32</v>
      </c>
      <c r="E4554" s="10">
        <f>IF(D4554&gt;0,VLOOKUP(OPERAC[[#This Row],[COD CART]],[1]!MatrizCortoLargoCyl[#All],3,0),"")</f>
        <v/>
      </c>
      <c r="F4554" s="13" t="inlineStr">
        <is>
          <t>NNDM/CYL/7,50/21-01-22</t>
        </is>
      </c>
      <c r="G4554" s="6" t="n">
        <v>200</v>
      </c>
      <c r="H4554" s="6">
        <f>-1261.74+21.568+15.912</f>
        <v/>
      </c>
      <c r="I4554" s="7">
        <f>-H4554/G4554</f>
        <v/>
      </c>
      <c r="J4554" s="11" t="n">
        <v>44551</v>
      </c>
      <c r="K4554" s="6">
        <f>100+100</f>
        <v/>
      </c>
      <c r="L4554" s="6">
        <f>405.51+385.13</f>
        <v/>
      </c>
      <c r="M4554" s="7">
        <f>IF(N4554=0,+L4554+H4554,0)</f>
        <v/>
      </c>
      <c r="N4554" s="7">
        <f>IF((+G4554-K4554)=0,0,+G4554-K4554)</f>
        <v/>
      </c>
      <c r="O4554" s="7">
        <f>IF(N4554=0,0,(L4554+H4554)/-N4554)</f>
        <v/>
      </c>
      <c r="P4554" s="7">
        <f>VLOOKUP(OPERAC[[#This Row],[especie]],[1]!ESPECIES[#All],6,0)</f>
        <v/>
      </c>
      <c r="Q4554" s="7">
        <f>IF(N4554&lt;&gt;0,P4554*N4554,0)</f>
        <v/>
      </c>
      <c r="R4554" s="8">
        <f>IF(Q4554&lt;&gt;0,Q4554+H4554+L4554,0)</f>
        <v/>
      </c>
      <c r="S4554" s="9">
        <f>VLOOKUP(OPERAC[[#This Row],[especie]],[1]!ESPECIES[#Data],9,FALSE)</f>
        <v/>
      </c>
    </row>
    <row r="4555">
      <c r="A4555" s="4" t="n">
        <v>15194</v>
      </c>
      <c r="B4555" s="5" t="n">
        <v>44671</v>
      </c>
      <c r="C4555" s="13" t="inlineStr">
        <is>
          <t>CPR</t>
        </is>
      </c>
      <c r="D4555" s="13" t="n">
        <v>42</v>
      </c>
      <c r="E4555" s="10">
        <f>IF(D4555&gt;0,VLOOKUP(OPERAC[[#This Row],[COD CART]],[1]!MatrizCortoLargoCyl[#All],3,0),"")</f>
        <v/>
      </c>
      <c r="F4555" s="13" t="inlineStr">
        <is>
          <t>TLT</t>
        </is>
      </c>
      <c r="G4555" s="6" t="n">
        <v>10</v>
      </c>
      <c r="H4555" s="6" t="n">
        <v>-1225.63005</v>
      </c>
      <c r="I4555" s="7">
        <f>-H4555/G4555</f>
        <v/>
      </c>
      <c r="J4555" s="11" t="n">
        <v>44704</v>
      </c>
      <c r="K4555" s="6" t="n">
        <v>10</v>
      </c>
      <c r="L4555" s="6" t="n">
        <v>1157.794</v>
      </c>
      <c r="M4555" s="7">
        <f>IF(N4555=0,+L4555+H4555,0)</f>
        <v/>
      </c>
      <c r="N4555" s="7">
        <f>IF((+G4555-K4555)=0,0,+G4555-K4555)</f>
        <v/>
      </c>
      <c r="O4555" s="7">
        <f>IF(N4555=0,0,(L4555+H4555)/-N4555)</f>
        <v/>
      </c>
      <c r="P4555" s="7">
        <f>VLOOKUP(OPERAC[[#This Row],[especie]],[1]!ESPECIES[#All],6,0)</f>
        <v/>
      </c>
      <c r="Q4555" s="7">
        <f>IF(N4555&lt;&gt;0,P4555*N4555,0)</f>
        <v/>
      </c>
      <c r="R4555" s="8">
        <f>IF(Q4555&lt;&gt;0,Q4555+H4555+L4555,0)</f>
        <v/>
      </c>
      <c r="S4555" s="9">
        <f>VLOOKUP(OPERAC[[#This Row],[especie]],[1]!ESPECIES[#Data],9,FALSE)</f>
        <v/>
      </c>
    </row>
    <row r="4556">
      <c r="A4556" s="4" t="n">
        <v>4561</v>
      </c>
      <c r="B4556" s="5" t="n">
        <v>44698</v>
      </c>
      <c r="C4556" s="13" t="inlineStr">
        <is>
          <t>CPR</t>
        </is>
      </c>
      <c r="D4556" s="13" t="n">
        <v>32</v>
      </c>
      <c r="E4556" s="10">
        <f>IF(D4556&gt;0,VLOOKUP(OPERAC[[#This Row],[COD CART]],[1]!MatrizCortoLargoCyl[#All],3,0),"")</f>
        <v/>
      </c>
      <c r="F4556" s="13" t="inlineStr">
        <is>
          <t>UUUU/CYL/8,00/17-06-22</t>
        </is>
      </c>
      <c r="G4556" s="6" t="n">
        <v>200</v>
      </c>
      <c r="H4556" s="6" t="n">
        <v>-1232.22</v>
      </c>
      <c r="I4556" s="7">
        <f>-H4556/G4556</f>
        <v/>
      </c>
      <c r="J4556" s="11" t="n"/>
      <c r="K4556" s="6" t="n"/>
      <c r="L4556" s="6" t="n"/>
      <c r="M4556" s="7">
        <f>IF(N4556=0,+L4556+H4556,0)</f>
        <v/>
      </c>
      <c r="N4556" s="7">
        <f>IF((+G4556-K4556)=0,0,+G4556-K4556)</f>
        <v/>
      </c>
      <c r="O4556" s="7">
        <f>IF(N4556=0,0,(L4556+H4556)/-N4556)</f>
        <v/>
      </c>
      <c r="P4556" s="7">
        <f>VLOOKUP(OPERAC[[#This Row],[especie]],[1]!ESPECIES[#All],6,0)</f>
        <v/>
      </c>
      <c r="Q4556" s="7">
        <f>IF(N4556&lt;&gt;0,P4556*N4556,0)</f>
        <v/>
      </c>
      <c r="R4556" s="8">
        <f>IF(Q4556&lt;&gt;0,Q4556+H4556+L4556,0)</f>
        <v/>
      </c>
      <c r="S4556" s="9">
        <f>VLOOKUP(OPERAC[[#This Row],[especie]],[1]!ESPECIES[#Data],9,FALSE)</f>
        <v/>
      </c>
    </row>
    <row r="4557">
      <c r="A4557" s="4" t="n">
        <v>1760</v>
      </c>
      <c r="B4557" s="5" t="n">
        <v>44712</v>
      </c>
      <c r="C4557" s="13" t="inlineStr">
        <is>
          <t>CPR</t>
        </is>
      </c>
      <c r="D4557" s="13" t="n">
        <v>32</v>
      </c>
      <c r="E4557" s="10">
        <f>IF(D4557&gt;0,VLOOKUP(OPERAC[[#This Row],[COD CART]],[1]!MatrizCortoLargoCyl[#All],3,0),"")</f>
        <v/>
      </c>
      <c r="F4557" s="13" t="inlineStr">
        <is>
          <t>AMC/CYL/13,00/10-06-22</t>
        </is>
      </c>
      <c r="G4557" s="6" t="n">
        <v>100</v>
      </c>
      <c r="H4557" s="6" t="n">
        <v>-1232.75</v>
      </c>
      <c r="I4557" s="7">
        <f>-H4557/G4557</f>
        <v/>
      </c>
      <c r="J4557" s="5" t="n">
        <v>44722</v>
      </c>
      <c r="K4557" s="6" t="n">
        <v>100</v>
      </c>
      <c r="L4557" s="6" t="n">
        <v>1234.29</v>
      </c>
      <c r="M4557" s="7">
        <f>IF(N4557=0,+L4557+H4557,0)</f>
        <v/>
      </c>
      <c r="N4557" s="7">
        <f>IF((+G4557-K4557)=0,0,+G4557-K4557)</f>
        <v/>
      </c>
      <c r="O4557" s="7">
        <f>IF(N4557=0,0,(L4557+H4557)/-N4557)</f>
        <v/>
      </c>
      <c r="P4557" s="7">
        <f>VLOOKUP(OPERAC[[#This Row],[especie]],[1]!ESPECIES[#All],6,0)</f>
        <v/>
      </c>
      <c r="Q4557" s="7">
        <f>IF(N4557&lt;&gt;0,P4557*N4557,0)</f>
        <v/>
      </c>
      <c r="R4557" s="8">
        <f>IF(Q4557&lt;&gt;0,Q4557+H4557+L4557,0)</f>
        <v/>
      </c>
      <c r="S4557" s="9">
        <f>VLOOKUP(OPERAC[[#This Row],[especie]],[1]!ESPECIES[#Data],9,FALSE)</f>
        <v/>
      </c>
    </row>
    <row r="4558">
      <c r="A4558" s="4" t="n">
        <v>2194</v>
      </c>
      <c r="B4558" s="5" t="n">
        <v>44712</v>
      </c>
      <c r="C4558" s="13" t="inlineStr">
        <is>
          <t>CPR</t>
        </is>
      </c>
      <c r="D4558" s="13" t="n">
        <v>32</v>
      </c>
      <c r="E4558" s="10">
        <f>IF(D4558&gt;0,VLOOKUP(OPERAC[[#This Row],[COD CART]],[1]!MatrizCortoLargoCyl[#All],3,0),"")</f>
        <v/>
      </c>
      <c r="F4558" s="13" t="inlineStr">
        <is>
          <t>AMC/CYL/13,00/10-06-22</t>
        </is>
      </c>
      <c r="G4558" s="6" t="n">
        <v>100</v>
      </c>
      <c r="H4558" s="6" t="n">
        <v>-1232.75</v>
      </c>
      <c r="I4558" s="7">
        <f>-H4558/G4558</f>
        <v/>
      </c>
      <c r="J4558" s="5" t="n">
        <v>44722</v>
      </c>
      <c r="K4558" s="6" t="n">
        <v>100</v>
      </c>
      <c r="L4558" s="6" t="n">
        <v>1234.29</v>
      </c>
      <c r="M4558" s="7">
        <f>IF(N4558=0,+L4558+H4558,0)</f>
        <v/>
      </c>
      <c r="N4558" s="7">
        <f>IF((+G4558-K4558)=0,0,+G4558-K4558)</f>
        <v/>
      </c>
      <c r="O4558" s="7">
        <f>IF(N4558=0,0,(L4558+H4558)/-N4558)</f>
        <v/>
      </c>
      <c r="P4558" s="7">
        <f>VLOOKUP(OPERAC[[#This Row],[especie]],[1]!ESPECIES[#All],6,0)</f>
        <v/>
      </c>
      <c r="Q4558" s="7">
        <f>IF(N4558&lt;&gt;0,P4558*N4558,0)</f>
        <v/>
      </c>
      <c r="R4558" s="8">
        <f>IF(Q4558&lt;&gt;0,Q4558+H4558+L4558,0)</f>
        <v/>
      </c>
      <c r="S4558" s="9">
        <f>VLOOKUP(OPERAC[[#This Row],[especie]],[1]!ESPECIES[#Data],9,FALSE)</f>
        <v/>
      </c>
    </row>
    <row r="4559">
      <c r="A4559" s="4" t="n">
        <v>3853</v>
      </c>
      <c r="B4559" s="5" t="n">
        <v>44712</v>
      </c>
      <c r="C4559" s="13" t="inlineStr">
        <is>
          <t>CPR</t>
        </is>
      </c>
      <c r="D4559" s="13" t="n">
        <v>32</v>
      </c>
      <c r="E4559" s="10">
        <f>IF(D4559&gt;0,VLOOKUP(OPERAC[[#This Row],[COD CART]],[1]!MatrizCortoLargoCyl[#All],3,0),"")</f>
        <v/>
      </c>
      <c r="F4559" s="13" t="inlineStr">
        <is>
          <t>AMC/CYL/13,00/10-06-22</t>
        </is>
      </c>
      <c r="G4559" s="6" t="n">
        <v>100</v>
      </c>
      <c r="H4559" s="6" t="n">
        <v>-1232.75</v>
      </c>
      <c r="I4559" s="7">
        <f>-H4559/G4559</f>
        <v/>
      </c>
      <c r="J4559" s="5" t="n">
        <v>44722</v>
      </c>
      <c r="K4559" s="6" t="n">
        <v>100</v>
      </c>
      <c r="L4559" s="6" t="n">
        <v>1234.29</v>
      </c>
      <c r="M4559" s="7">
        <f>IF(N4559=0,+L4559+H4559,0)</f>
        <v/>
      </c>
      <c r="N4559" s="7">
        <f>IF((+G4559-K4559)=0,0,+G4559-K4559)</f>
        <v/>
      </c>
      <c r="O4559" s="7">
        <f>IF(N4559=0,0,(L4559+H4559)/-N4559)</f>
        <v/>
      </c>
      <c r="P4559" s="7">
        <f>VLOOKUP(OPERAC[[#This Row],[especie]],[1]!ESPECIES[#All],6,0)</f>
        <v/>
      </c>
      <c r="Q4559" s="7">
        <f>IF(N4559&lt;&gt;0,P4559*N4559,0)</f>
        <v/>
      </c>
      <c r="R4559" s="8">
        <f>IF(Q4559&lt;&gt;0,Q4559+H4559+L4559,0)</f>
        <v/>
      </c>
      <c r="S4559" s="9">
        <f>VLOOKUP(OPERAC[[#This Row],[especie]],[1]!ESPECIES[#Data],9,FALSE)</f>
        <v/>
      </c>
    </row>
    <row r="4560">
      <c r="A4560" s="4" t="n">
        <v>7895</v>
      </c>
      <c r="B4560" s="5" t="n">
        <v>44712</v>
      </c>
      <c r="C4560" s="13" t="inlineStr">
        <is>
          <t>CPR</t>
        </is>
      </c>
      <c r="D4560" s="13" t="n">
        <v>32</v>
      </c>
      <c r="E4560" s="10">
        <f>IF(D4560&gt;0,VLOOKUP(OPERAC[[#This Row],[COD CART]],[1]!MatrizCortoLargoCyl[#All],3,0),"")</f>
        <v/>
      </c>
      <c r="F4560" s="13" t="inlineStr">
        <is>
          <t>AMC/CYL/13,00/10-06-22</t>
        </is>
      </c>
      <c r="G4560" s="6" t="n">
        <v>100</v>
      </c>
      <c r="H4560" s="6" t="n">
        <v>-1232.75</v>
      </c>
      <c r="I4560" s="7">
        <f>-H4560/G4560</f>
        <v/>
      </c>
      <c r="J4560" s="5" t="n">
        <v>44722</v>
      </c>
      <c r="K4560" s="6" t="n">
        <v>100</v>
      </c>
      <c r="L4560" s="6" t="n">
        <v>1234.29</v>
      </c>
      <c r="M4560" s="7">
        <f>IF(N4560=0,+L4560+H4560,0)</f>
        <v/>
      </c>
      <c r="N4560" s="7">
        <f>IF((+G4560-K4560)=0,0,+G4560-K4560)</f>
        <v/>
      </c>
      <c r="O4560" s="7">
        <f>IF(N4560=0,0,(L4560+H4560)/-N4560)</f>
        <v/>
      </c>
      <c r="P4560" s="7">
        <f>VLOOKUP(OPERAC[[#This Row],[especie]],[1]!ESPECIES[#All],6,0)</f>
        <v/>
      </c>
      <c r="Q4560" s="7">
        <f>IF(N4560&lt;&gt;0,P4560*N4560,0)</f>
        <v/>
      </c>
      <c r="R4560" s="8">
        <f>IF(Q4560&lt;&gt;0,Q4560+H4560+L4560,0)</f>
        <v/>
      </c>
      <c r="S4560" s="9">
        <f>VLOOKUP(OPERAC[[#This Row],[especie]],[1]!ESPECIES[#Data],9,FALSE)</f>
        <v/>
      </c>
    </row>
    <row r="4561">
      <c r="A4561" s="4" t="n">
        <v>12022</v>
      </c>
      <c r="B4561" s="5" t="n">
        <v>44712</v>
      </c>
      <c r="C4561" s="13" t="inlineStr">
        <is>
          <t>CPR</t>
        </is>
      </c>
      <c r="D4561" s="13" t="n">
        <v>32</v>
      </c>
      <c r="E4561" s="10">
        <f>IF(D4561&gt;0,VLOOKUP(OPERAC[[#This Row],[COD CART]],[1]!MatrizCortoLargoCyl[#All],3,0),"")</f>
        <v/>
      </c>
      <c r="F4561" s="13" t="inlineStr">
        <is>
          <t>AMC/CYL/13,00/10-06-22</t>
        </is>
      </c>
      <c r="G4561" s="6" t="n">
        <v>100</v>
      </c>
      <c r="H4561" s="6" t="n">
        <v>-1232.75</v>
      </c>
      <c r="I4561" s="7">
        <f>-H4561/G4561</f>
        <v/>
      </c>
      <c r="J4561" s="5" t="n">
        <v>44722</v>
      </c>
      <c r="K4561" s="6" t="n">
        <v>100</v>
      </c>
      <c r="L4561" s="6" t="n">
        <v>1234.29</v>
      </c>
      <c r="M4561" s="7">
        <f>IF(N4561=0,+L4561+H4561,0)</f>
        <v/>
      </c>
      <c r="N4561" s="7">
        <f>IF((+G4561-K4561)=0,0,+G4561-K4561)</f>
        <v/>
      </c>
      <c r="O4561" s="7">
        <f>IF(N4561=0,0,(L4561+H4561)/-N4561)</f>
        <v/>
      </c>
      <c r="P4561" s="7">
        <f>VLOOKUP(OPERAC[[#This Row],[especie]],[1]!ESPECIES[#All],6,0)</f>
        <v/>
      </c>
      <c r="Q4561" s="7">
        <f>IF(N4561&lt;&gt;0,P4561*N4561,0)</f>
        <v/>
      </c>
      <c r="R4561" s="8">
        <f>IF(Q4561&lt;&gt;0,Q4561+H4561+L4561,0)</f>
        <v/>
      </c>
      <c r="S4561" s="9">
        <f>VLOOKUP(OPERAC[[#This Row],[especie]],[1]!ESPECIES[#Data],9,FALSE)</f>
        <v/>
      </c>
    </row>
    <row r="4562">
      <c r="A4562" s="4" t="n">
        <v>12652</v>
      </c>
      <c r="B4562" s="5" t="n">
        <v>44712</v>
      </c>
      <c r="C4562" s="13" t="inlineStr">
        <is>
          <t>CPR</t>
        </is>
      </c>
      <c r="D4562" s="13" t="n">
        <v>32</v>
      </c>
      <c r="E4562" s="10">
        <f>IF(D4562&gt;0,VLOOKUP(OPERAC[[#This Row],[COD CART]],[1]!MatrizCortoLargoCyl[#All],3,0),"")</f>
        <v/>
      </c>
      <c r="F4562" s="13" t="inlineStr">
        <is>
          <t>AMC/CYL/13,00/10-06-22</t>
        </is>
      </c>
      <c r="G4562" s="6" t="n">
        <v>100</v>
      </c>
      <c r="H4562" s="6" t="n">
        <v>-1232.75</v>
      </c>
      <c r="I4562" s="7">
        <f>-H4562/G4562</f>
        <v/>
      </c>
      <c r="J4562" s="5" t="n">
        <v>44722</v>
      </c>
      <c r="K4562" s="6" t="n">
        <v>100</v>
      </c>
      <c r="L4562" s="6" t="n">
        <v>1234.29</v>
      </c>
      <c r="M4562" s="7">
        <f>IF(N4562=0,+L4562+H4562,0)</f>
        <v/>
      </c>
      <c r="N4562" s="7">
        <f>IF((+G4562-K4562)=0,0,+G4562-K4562)</f>
        <v/>
      </c>
      <c r="O4562" s="7">
        <f>IF(N4562=0,0,(L4562+H4562)/-N4562)</f>
        <v/>
      </c>
      <c r="P4562" s="7">
        <f>VLOOKUP(OPERAC[[#This Row],[especie]],[1]!ESPECIES[#All],6,0)</f>
        <v/>
      </c>
      <c r="Q4562" s="7">
        <f>IF(N4562&lt;&gt;0,P4562*N4562,0)</f>
        <v/>
      </c>
      <c r="R4562" s="8">
        <f>IF(Q4562&lt;&gt;0,Q4562+H4562+L4562,0)</f>
        <v/>
      </c>
      <c r="S4562" s="9">
        <f>VLOOKUP(OPERAC[[#This Row],[especie]],[1]!ESPECIES[#Data],9,FALSE)</f>
        <v/>
      </c>
    </row>
    <row r="4563">
      <c r="A4563" s="4" t="n">
        <v>12671</v>
      </c>
      <c r="B4563" s="5" t="n">
        <v>44712</v>
      </c>
      <c r="C4563" s="13" t="inlineStr">
        <is>
          <t>CPR</t>
        </is>
      </c>
      <c r="D4563" s="13" t="n">
        <v>32</v>
      </c>
      <c r="E4563" s="10">
        <f>IF(D4563&gt;0,VLOOKUP(OPERAC[[#This Row],[COD CART]],[1]!MatrizCortoLargoCyl[#All],3,0),"")</f>
        <v/>
      </c>
      <c r="F4563" s="13" t="inlineStr">
        <is>
          <t>AMC/CYL/13,00/10-06-22</t>
        </is>
      </c>
      <c r="G4563" s="6" t="n">
        <v>100</v>
      </c>
      <c r="H4563" s="6" t="n">
        <v>-1232.75</v>
      </c>
      <c r="I4563" s="7">
        <f>-H4563/G4563</f>
        <v/>
      </c>
      <c r="J4563" s="5" t="n">
        <v>44722</v>
      </c>
      <c r="K4563" s="6" t="n">
        <v>100</v>
      </c>
      <c r="L4563" s="6" t="n">
        <v>1234.29</v>
      </c>
      <c r="M4563" s="7">
        <f>IF(N4563=0,+L4563+H4563,0)</f>
        <v/>
      </c>
      <c r="N4563" s="7">
        <f>IF((+G4563-K4563)=0,0,+G4563-K4563)</f>
        <v/>
      </c>
      <c r="O4563" s="7">
        <f>IF(N4563=0,0,(L4563+H4563)/-N4563)</f>
        <v/>
      </c>
      <c r="P4563" s="7">
        <f>VLOOKUP(OPERAC[[#This Row],[especie]],[1]!ESPECIES[#All],6,0)</f>
        <v/>
      </c>
      <c r="Q4563" s="7">
        <f>IF(N4563&lt;&gt;0,P4563*N4563,0)</f>
        <v/>
      </c>
      <c r="R4563" s="8">
        <f>IF(Q4563&lt;&gt;0,Q4563+H4563+L4563,0)</f>
        <v/>
      </c>
      <c r="S4563" s="9">
        <f>VLOOKUP(OPERAC[[#This Row],[especie]],[1]!ESPECIES[#Data],9,FALSE)</f>
        <v/>
      </c>
    </row>
    <row r="4564">
      <c r="A4564" s="4" t="n">
        <v>13185</v>
      </c>
      <c r="B4564" s="5" t="n">
        <v>44712</v>
      </c>
      <c r="C4564" s="13" t="inlineStr">
        <is>
          <t>CPR</t>
        </is>
      </c>
      <c r="D4564" s="13" t="n">
        <v>32</v>
      </c>
      <c r="E4564" s="10">
        <f>IF(D4564&gt;0,VLOOKUP(OPERAC[[#This Row],[COD CART]],[1]!MatrizCortoLargoCyl[#All],3,0),"")</f>
        <v/>
      </c>
      <c r="F4564" s="13" t="inlineStr">
        <is>
          <t>AMC/CYL/13,00/10-06-22</t>
        </is>
      </c>
      <c r="G4564" s="6" t="n">
        <v>100</v>
      </c>
      <c r="H4564" s="6" t="n">
        <v>-1232.75</v>
      </c>
      <c r="I4564" s="7">
        <f>-H4564/G4564</f>
        <v/>
      </c>
      <c r="J4564" s="5" t="n">
        <v>44722</v>
      </c>
      <c r="K4564" s="6" t="n">
        <v>100</v>
      </c>
      <c r="L4564" s="6" t="n">
        <v>1234.29</v>
      </c>
      <c r="M4564" s="7">
        <f>IF(N4564=0,+L4564+H4564,0)</f>
        <v/>
      </c>
      <c r="N4564" s="7">
        <f>IF((+G4564-K4564)=0,0,+G4564-K4564)</f>
        <v/>
      </c>
      <c r="O4564" s="7">
        <f>IF(N4564=0,0,(L4564+H4564)/-N4564)</f>
        <v/>
      </c>
      <c r="P4564" s="7">
        <f>VLOOKUP(OPERAC[[#This Row],[especie]],[1]!ESPECIES[#All],6,0)</f>
        <v/>
      </c>
      <c r="Q4564" s="7">
        <f>IF(N4564&lt;&gt;0,P4564*N4564,0)</f>
        <v/>
      </c>
      <c r="R4564" s="8">
        <f>IF(Q4564&lt;&gt;0,Q4564+H4564+L4564,0)</f>
        <v/>
      </c>
      <c r="S4564" s="9">
        <f>VLOOKUP(OPERAC[[#This Row],[especie]],[1]!ESPECIES[#Data],9,FALSE)</f>
        <v/>
      </c>
    </row>
    <row r="4565">
      <c r="A4565" s="4" t="n">
        <v>16783</v>
      </c>
      <c r="B4565" s="5" t="n">
        <v>44712</v>
      </c>
      <c r="C4565" s="13" t="inlineStr">
        <is>
          <t>CPR</t>
        </is>
      </c>
      <c r="D4565" s="13" t="n">
        <v>32</v>
      </c>
      <c r="E4565" s="10">
        <f>IF(D4565&gt;0,VLOOKUP(OPERAC[[#This Row],[COD CART]],[1]!MatrizCortoLargoCyl[#All],3,0),"")</f>
        <v/>
      </c>
      <c r="F4565" s="13" t="inlineStr">
        <is>
          <t>AMC/CYL/13,00/10-06-22</t>
        </is>
      </c>
      <c r="G4565" s="6" t="n">
        <v>100</v>
      </c>
      <c r="H4565" s="6" t="n">
        <v>-1232.75</v>
      </c>
      <c r="I4565" s="7">
        <f>-H4565/G4565</f>
        <v/>
      </c>
      <c r="J4565" s="5" t="n">
        <v>44722</v>
      </c>
      <c r="K4565" s="6" t="n">
        <v>100</v>
      </c>
      <c r="L4565" s="6" t="n">
        <v>1234.29</v>
      </c>
      <c r="M4565" s="7">
        <f>IF(N4565=0,+L4565+H4565,0)</f>
        <v/>
      </c>
      <c r="N4565" s="7">
        <f>IF((+G4565-K4565)=0,0,+G4565-K4565)</f>
        <v/>
      </c>
      <c r="O4565" s="7">
        <f>IF(N4565=0,0,(L4565+H4565)/-N4565)</f>
        <v/>
      </c>
      <c r="P4565" s="7">
        <f>VLOOKUP(OPERAC[[#This Row],[especie]],[1]!ESPECIES[#All],6,0)</f>
        <v/>
      </c>
      <c r="Q4565" s="7">
        <f>IF(N4565&lt;&gt;0,P4565*N4565,0)</f>
        <v/>
      </c>
      <c r="R4565" s="8">
        <f>IF(Q4565&lt;&gt;0,Q4565+H4565+L4565,0)</f>
        <v/>
      </c>
      <c r="S4565" s="9">
        <f>VLOOKUP(OPERAC[[#This Row],[especie]],[1]!ESPECIES[#Data],9,FALSE)</f>
        <v/>
      </c>
    </row>
    <row r="4566">
      <c r="A4566" s="4" t="n">
        <v>16786</v>
      </c>
      <c r="B4566" s="5" t="n">
        <v>44712</v>
      </c>
      <c r="C4566" s="13" t="inlineStr">
        <is>
          <t>CPR</t>
        </is>
      </c>
      <c r="D4566" s="13" t="n">
        <v>32</v>
      </c>
      <c r="E4566" s="10">
        <f>IF(D4566&gt;0,VLOOKUP(OPERAC[[#This Row],[COD CART]],[1]!MatrizCortoLargoCyl[#All],3,0),"")</f>
        <v/>
      </c>
      <c r="F4566" s="13" t="inlineStr">
        <is>
          <t>AMC/CYL/13,00/10-06-22</t>
        </is>
      </c>
      <c r="G4566" s="6" t="n">
        <v>100</v>
      </c>
      <c r="H4566" s="6" t="n">
        <v>-1232.75</v>
      </c>
      <c r="I4566" s="7">
        <f>-H4566/G4566</f>
        <v/>
      </c>
      <c r="J4566" s="5" t="n">
        <v>44722</v>
      </c>
      <c r="K4566" s="6" t="n">
        <v>100</v>
      </c>
      <c r="L4566" s="6" t="n">
        <v>1234.29</v>
      </c>
      <c r="M4566" s="7">
        <f>IF(N4566=0,+L4566+H4566,0)</f>
        <v/>
      </c>
      <c r="N4566" s="7">
        <f>IF((+G4566-K4566)=0,0,+G4566-K4566)</f>
        <v/>
      </c>
      <c r="O4566" s="7">
        <f>IF(N4566=0,0,(L4566+H4566)/-N4566)</f>
        <v/>
      </c>
      <c r="P4566" s="7">
        <f>VLOOKUP(OPERAC[[#This Row],[especie]],[1]!ESPECIES[#All],6,0)</f>
        <v/>
      </c>
      <c r="Q4566" s="7">
        <f>IF(N4566&lt;&gt;0,P4566*N4566,0)</f>
        <v/>
      </c>
      <c r="R4566" s="8">
        <f>IF(Q4566&lt;&gt;0,Q4566+H4566+L4566,0)</f>
        <v/>
      </c>
      <c r="S4566" s="9">
        <f>VLOOKUP(OPERAC[[#This Row],[especie]],[1]!ESPECIES[#Data],9,FALSE)</f>
        <v/>
      </c>
    </row>
    <row r="4567">
      <c r="A4567" s="4" t="n">
        <v>16795</v>
      </c>
      <c r="B4567" s="5" t="n">
        <v>44712</v>
      </c>
      <c r="C4567" s="13" t="inlineStr">
        <is>
          <t>CPR</t>
        </is>
      </c>
      <c r="D4567" s="13" t="n">
        <v>32</v>
      </c>
      <c r="E4567" s="10">
        <f>IF(D4567&gt;0,VLOOKUP(OPERAC[[#This Row],[COD CART]],[1]!MatrizCortoLargoCyl[#All],3,0),"")</f>
        <v/>
      </c>
      <c r="F4567" s="13" t="inlineStr">
        <is>
          <t>AMC/CYL/13,00/10-06-22</t>
        </is>
      </c>
      <c r="G4567" s="6" t="n">
        <v>100</v>
      </c>
      <c r="H4567" s="6" t="n">
        <v>-1232.75</v>
      </c>
      <c r="I4567" s="7">
        <f>-H4567/G4567</f>
        <v/>
      </c>
      <c r="J4567" s="5" t="n">
        <v>44722</v>
      </c>
      <c r="K4567" s="6" t="n">
        <v>100</v>
      </c>
      <c r="L4567" s="6" t="n">
        <v>1234.29</v>
      </c>
      <c r="M4567" s="7">
        <f>IF(N4567=0,+L4567+H4567,0)</f>
        <v/>
      </c>
      <c r="N4567" s="7">
        <f>IF((+G4567-K4567)=0,0,+G4567-K4567)</f>
        <v/>
      </c>
      <c r="O4567" s="7">
        <f>IF(N4567=0,0,(L4567+H4567)/-N4567)</f>
        <v/>
      </c>
      <c r="P4567" s="7">
        <f>VLOOKUP(OPERAC[[#This Row],[especie]],[1]!ESPECIES[#All],6,0)</f>
        <v/>
      </c>
      <c r="Q4567" s="7">
        <f>IF(N4567&lt;&gt;0,P4567*N4567,0)</f>
        <v/>
      </c>
      <c r="R4567" s="8">
        <f>IF(Q4567&lt;&gt;0,Q4567+H4567+L4567,0)</f>
        <v/>
      </c>
      <c r="S4567" s="9">
        <f>VLOOKUP(OPERAC[[#This Row],[especie]],[1]!ESPECIES[#Data],9,FALSE)</f>
        <v/>
      </c>
    </row>
    <row r="4568">
      <c r="A4568" s="4" t="n">
        <v>19878</v>
      </c>
      <c r="B4568" s="5" t="n">
        <v>44712</v>
      </c>
      <c r="C4568" s="13" t="inlineStr">
        <is>
          <t>CPR</t>
        </is>
      </c>
      <c r="D4568" s="13" t="n">
        <v>32</v>
      </c>
      <c r="E4568" s="10">
        <f>IF(D4568&gt;0,VLOOKUP(OPERAC[[#This Row],[COD CART]],[1]!MatrizCortoLargoCyl[#All],3,0),"")</f>
        <v/>
      </c>
      <c r="F4568" s="13" t="inlineStr">
        <is>
          <t>AMC/CYL/13,00/10-06-22</t>
        </is>
      </c>
      <c r="G4568" s="6" t="n">
        <v>100</v>
      </c>
      <c r="H4568" s="6" t="n">
        <v>-1232.75</v>
      </c>
      <c r="I4568" s="7">
        <f>-H4568/G4568</f>
        <v/>
      </c>
      <c r="J4568" s="5" t="n">
        <v>44722</v>
      </c>
      <c r="K4568" s="6" t="n">
        <v>100</v>
      </c>
      <c r="L4568" s="6" t="n">
        <v>1234.29</v>
      </c>
      <c r="M4568" s="7">
        <f>IF(N4568=0,+L4568+H4568,0)</f>
        <v/>
      </c>
      <c r="N4568" s="7">
        <f>IF((+G4568-K4568)=0,0,+G4568-K4568)</f>
        <v/>
      </c>
      <c r="O4568" s="7">
        <f>IF(N4568=0,0,(L4568+H4568)/-N4568)</f>
        <v/>
      </c>
      <c r="P4568" s="7">
        <f>VLOOKUP(OPERAC[[#This Row],[especie]],[1]!ESPECIES[#All],6,0)</f>
        <v/>
      </c>
      <c r="Q4568" s="7">
        <f>IF(N4568&lt;&gt;0,P4568*N4568,0)</f>
        <v/>
      </c>
      <c r="R4568" s="8">
        <f>IF(Q4568&lt;&gt;0,Q4568+H4568+L4568,0)</f>
        <v/>
      </c>
      <c r="S4568" s="9">
        <f>VLOOKUP(OPERAC[[#This Row],[especie]],[1]!ESPECIES[#Data],9,FALSE)</f>
        <v/>
      </c>
    </row>
    <row r="4569">
      <c r="A4569" s="4" t="n">
        <v>19888</v>
      </c>
      <c r="B4569" s="5" t="n">
        <v>44712</v>
      </c>
      <c r="C4569" s="13" t="inlineStr">
        <is>
          <t>CPR</t>
        </is>
      </c>
      <c r="D4569" s="13" t="n">
        <v>32</v>
      </c>
      <c r="E4569" s="10">
        <f>IF(D4569&gt;0,VLOOKUP(OPERAC[[#This Row],[COD CART]],[1]!MatrizCortoLargoCyl[#All],3,0),"")</f>
        <v/>
      </c>
      <c r="F4569" s="13" t="inlineStr">
        <is>
          <t>AMC/CYL/13,00/10-06-22</t>
        </is>
      </c>
      <c r="G4569" s="6" t="n">
        <v>100</v>
      </c>
      <c r="H4569" s="6" t="n">
        <v>-1232.75</v>
      </c>
      <c r="I4569" s="7">
        <f>-H4569/G4569</f>
        <v/>
      </c>
      <c r="J4569" s="5" t="n">
        <v>44722</v>
      </c>
      <c r="K4569" s="6" t="n">
        <v>100</v>
      </c>
      <c r="L4569" s="6" t="n">
        <v>1234.29</v>
      </c>
      <c r="M4569" s="7">
        <f>IF(N4569=0,+L4569+H4569,0)</f>
        <v/>
      </c>
      <c r="N4569" s="7">
        <f>IF((+G4569-K4569)=0,0,+G4569-K4569)</f>
        <v/>
      </c>
      <c r="O4569" s="7">
        <f>IF(N4569=0,0,(L4569+H4569)/-N4569)</f>
        <v/>
      </c>
      <c r="P4569" s="7">
        <f>VLOOKUP(OPERAC[[#This Row],[especie]],[1]!ESPECIES[#All],6,0)</f>
        <v/>
      </c>
      <c r="Q4569" s="7">
        <f>IF(N4569&lt;&gt;0,P4569*N4569,0)</f>
        <v/>
      </c>
      <c r="R4569" s="8">
        <f>IF(Q4569&lt;&gt;0,Q4569+H4569+L4569,0)</f>
        <v/>
      </c>
      <c r="S4569" s="9">
        <f>VLOOKUP(OPERAC[[#This Row],[especie]],[1]!ESPECIES[#Data],9,FALSE)</f>
        <v/>
      </c>
    </row>
    <row r="4570">
      <c r="A4570" s="4" t="n">
        <v>2218</v>
      </c>
      <c r="B4570" s="5" t="n">
        <v>44712</v>
      </c>
      <c r="C4570" s="13" t="inlineStr">
        <is>
          <t>CPR</t>
        </is>
      </c>
      <c r="D4570" s="13" t="n">
        <v>32</v>
      </c>
      <c r="E4570" s="10">
        <f>IF(D4570&gt;0,VLOOKUP(OPERAC[[#This Row],[COD CART]],[1]!MatrizCortoLargoCyl[#All],3,0),"")</f>
        <v/>
      </c>
      <c r="F4570" s="13" t="inlineStr">
        <is>
          <t>AMC/CYL/13,00/10-06-22</t>
        </is>
      </c>
      <c r="G4570" s="6" t="n">
        <v>100</v>
      </c>
      <c r="H4570" s="6" t="n">
        <v>-1232.75</v>
      </c>
      <c r="I4570" s="7">
        <f>-H4570/G4570</f>
        <v/>
      </c>
      <c r="J4570" s="5" t="n">
        <v>44722</v>
      </c>
      <c r="K4570" s="6" t="n">
        <v>100</v>
      </c>
      <c r="L4570" s="6" t="n">
        <v>1234.29</v>
      </c>
      <c r="M4570" s="7">
        <f>IF(N4570=0,+L4570+H4570,0)</f>
        <v/>
      </c>
      <c r="N4570" s="7">
        <f>IF((+G4570-K4570)=0,0,+G4570-K4570)</f>
        <v/>
      </c>
      <c r="O4570" s="7">
        <f>IF(N4570=0,0,(L4570+H4570)/-N4570)</f>
        <v/>
      </c>
      <c r="P4570" s="7">
        <f>VLOOKUP(OPERAC[[#This Row],[especie]],[1]!ESPECIES[#All],6,0)</f>
        <v/>
      </c>
      <c r="Q4570" s="7">
        <f>IF(N4570&lt;&gt;0,P4570*N4570,0)</f>
        <v/>
      </c>
      <c r="R4570" s="8">
        <f>IF(Q4570&lt;&gt;0,Q4570+H4570+L4570,0)</f>
        <v/>
      </c>
      <c r="S4570" s="9">
        <f>VLOOKUP(OPERAC[[#This Row],[especie]],[1]!ESPECIES[#Data],9,FALSE)</f>
        <v/>
      </c>
    </row>
    <row r="4571">
      <c r="A4571" s="4" t="n">
        <v>26140</v>
      </c>
      <c r="B4571" s="5" t="n">
        <v>44636</v>
      </c>
      <c r="C4571" s="13" t="inlineStr">
        <is>
          <t>CPR</t>
        </is>
      </c>
      <c r="D4571" s="13" t="n">
        <v>43</v>
      </c>
      <c r="E4571" s="10">
        <f>IF(D4571&gt;0,VLOOKUP(OPERAC[[#This Row],[COD CART]],[1]!MatrizCortoLargoCyl[#All],3,0),"")</f>
        <v/>
      </c>
      <c r="F4571" s="13" t="inlineStr">
        <is>
          <t>GMBL/CYL-PUT/0,50/19-01-24</t>
        </is>
      </c>
      <c r="G4571" s="6" t="n">
        <v>4500</v>
      </c>
      <c r="H4571" s="6">
        <f>-3656.46618+1977.233+446.4</f>
        <v/>
      </c>
      <c r="I4571" s="7">
        <f>-H4571/G4571</f>
        <v/>
      </c>
      <c r="J4571" s="11" t="n"/>
      <c r="K4571" s="6" t="n"/>
      <c r="L4571" s="6" t="n"/>
      <c r="M4571" s="7">
        <f>IF(N4571=0,+L4571+H4571,0)</f>
        <v/>
      </c>
      <c r="N4571" s="7">
        <f>IF((+G4571-K4571)=0,0,+G4571-K4571)</f>
        <v/>
      </c>
      <c r="O4571" s="7">
        <f>IF(N4571=0,0,(L4571+H4571)/-N4571)</f>
        <v/>
      </c>
      <c r="P4571" s="7">
        <f>VLOOKUP(OPERAC[[#This Row],[especie]],[1]!ESPECIES[#All],6,0)</f>
        <v/>
      </c>
      <c r="Q4571" s="7">
        <f>IF(N4571&lt;&gt;0,P4571*N4571,0)</f>
        <v/>
      </c>
      <c r="R4571" s="8">
        <f>IF(Q4571&lt;&gt;0,Q4571+H4571+L4571,0)</f>
        <v/>
      </c>
      <c r="S4571" s="9">
        <f>VLOOKUP(OPERAC[[#This Row],[especie]],[1]!ESPECIES[#Data],9,FALSE)</f>
        <v/>
      </c>
    </row>
    <row r="4572">
      <c r="A4572" s="4" t="n">
        <v>13240</v>
      </c>
      <c r="B4572" s="5" t="n">
        <v>44523</v>
      </c>
      <c r="C4572" s="13" t="inlineStr">
        <is>
          <t>CPR</t>
        </is>
      </c>
      <c r="D4572" s="13" t="n">
        <v>32</v>
      </c>
      <c r="E4572" s="10">
        <f>IF(D4572&gt;0,VLOOKUP(OPERAC[[#This Row],[COD CART]],[1]!MatrizCortoLargoCyl[#All],3,0),"")</f>
        <v/>
      </c>
      <c r="F4572" s="13" t="inlineStr">
        <is>
          <t>GMBL/CYL/5,00/18-02-22</t>
        </is>
      </c>
      <c r="G4572" s="6" t="n">
        <v>300</v>
      </c>
      <c r="H4572" s="6" t="n">
        <v>-1235.793</v>
      </c>
      <c r="I4572" s="7">
        <f>-H4572/G4572</f>
        <v/>
      </c>
      <c r="J4572" s="11" t="n">
        <v>44589</v>
      </c>
      <c r="K4572" s="6" t="n">
        <v>300</v>
      </c>
      <c r="L4572" s="6" t="n">
        <v>787.097</v>
      </c>
      <c r="M4572" s="7">
        <f>IF(N4572=0,+L4572+H4572,0)</f>
        <v/>
      </c>
      <c r="N4572" s="7">
        <f>IF((+G4572-K4572)=0,0,+G4572-K4572)</f>
        <v/>
      </c>
      <c r="O4572" s="7">
        <f>IF(N4572=0,0,(L4572+H4572)/-N4572)</f>
        <v/>
      </c>
      <c r="P4572" s="7">
        <f>VLOOKUP(OPERAC[[#This Row],[especie]],[1]!ESPECIES[#All],6,0)</f>
        <v/>
      </c>
      <c r="Q4572" s="7">
        <f>IF(N4572&lt;&gt;0,P4572*N4572,0)</f>
        <v/>
      </c>
      <c r="R4572" s="8">
        <f>IF(Q4572&lt;&gt;0,Q4572+H4572+L4572,0)</f>
        <v/>
      </c>
      <c r="S4572" s="9">
        <f>VLOOKUP(OPERAC[[#This Row],[especie]],[1]!ESPECIES[#Data],9,FALSE)</f>
        <v/>
      </c>
    </row>
    <row r="4573">
      <c r="A4573" s="4" t="n">
        <v>2255</v>
      </c>
      <c r="B4573" s="5" t="n">
        <v>44664</v>
      </c>
      <c r="C4573" s="13" t="inlineStr">
        <is>
          <t>CPR</t>
        </is>
      </c>
      <c r="D4573" s="13" t="n">
        <v>42</v>
      </c>
      <c r="E4573" s="10">
        <f>IF(D4573&gt;0,VLOOKUP(OPERAC[[#This Row],[COD CART]],[1]!MatrizCortoLargoCyl[#All],3,0),"")</f>
        <v/>
      </c>
      <c r="F4573" s="13" t="inlineStr">
        <is>
          <t>PSQ</t>
        </is>
      </c>
      <c r="G4573" s="6" t="n">
        <v>100</v>
      </c>
      <c r="H4573" s="6" t="n">
        <v>-1238.3261037</v>
      </c>
      <c r="I4573" s="7">
        <f>-H4573/G4573</f>
        <v/>
      </c>
      <c r="J4573" s="11" t="n">
        <v>44680</v>
      </c>
      <c r="K4573" s="6">
        <f>+OPERAC[[#This Row],[cantidad]]</f>
        <v/>
      </c>
      <c r="L4573" s="6">
        <f>12.848*OPERAC[[#This Row],[cantidad venta]]</f>
        <v/>
      </c>
      <c r="M4573" s="7">
        <f>IF(N4573=0,+L4573+H4573,0)</f>
        <v/>
      </c>
      <c r="N4573" s="7">
        <f>IF((+G4573-K4573)=0,0,+G4573-K4573)</f>
        <v/>
      </c>
      <c r="O4573" s="7">
        <f>IF(N4573=0,0,(L4573+H4573)/-N4573)</f>
        <v/>
      </c>
      <c r="P4573" s="7">
        <f>VLOOKUP(OPERAC[[#This Row],[especie]],[1]!ESPECIES[#All],6,0)</f>
        <v/>
      </c>
      <c r="Q4573" s="7">
        <f>IF(N4573&lt;&gt;0,P4573*N4573,0)</f>
        <v/>
      </c>
      <c r="R4573" s="8">
        <f>IF(Q4573&lt;&gt;0,Q4573+H4573+L4573,0)</f>
        <v/>
      </c>
      <c r="S4573" s="9">
        <f>VLOOKUP(OPERAC[[#This Row],[especie]],[1]!ESPECIES[#Data],9,FALSE)</f>
        <v/>
      </c>
    </row>
    <row r="4574">
      <c r="A4574" s="4" t="n">
        <v>2306</v>
      </c>
      <c r="B4574" s="5" t="n">
        <v>44704</v>
      </c>
      <c r="C4574" s="13" t="inlineStr">
        <is>
          <t>CPR</t>
        </is>
      </c>
      <c r="D4574" s="13" t="n">
        <v>32</v>
      </c>
      <c r="E4574" s="10">
        <f>IF(D4574&gt;0,VLOOKUP(OPERAC[[#This Row],[COD CART]],[1]!MatrizCortoLargoCyl[#All],3,0),"")</f>
        <v/>
      </c>
      <c r="F4574" s="13" t="inlineStr">
        <is>
          <t>F</t>
        </is>
      </c>
      <c r="G4574" s="6" t="n">
        <v>100</v>
      </c>
      <c r="H4574" s="6" t="n">
        <v>-1239.92</v>
      </c>
      <c r="I4574" s="7">
        <f>-H4574/G4574</f>
        <v/>
      </c>
      <c r="J4574" s="5" t="n"/>
      <c r="K4574" s="6" t="n"/>
      <c r="L4574" s="6" t="n"/>
      <c r="M4574" s="7">
        <f>IF(N4574=0,+L4574+H4574,0)</f>
        <v/>
      </c>
      <c r="N4574" s="7">
        <f>IF((+G4574-K4574)=0,0,+G4574-K4574)</f>
        <v/>
      </c>
      <c r="O4574" s="7">
        <f>IF(N4574=0,0,(L4574+H4574)/-N4574)</f>
        <v/>
      </c>
      <c r="P4574" s="7">
        <f>VLOOKUP(OPERAC[[#This Row],[especie]],[1]!ESPECIES[#All],6,0)</f>
        <v/>
      </c>
      <c r="Q4574" s="7">
        <f>IF(N4574&lt;&gt;0,P4574*N4574,0)</f>
        <v/>
      </c>
      <c r="R4574" s="8">
        <f>IF(Q4574&lt;&gt;0,Q4574+H4574+L4574,0)</f>
        <v/>
      </c>
      <c r="S4574" s="9">
        <f>VLOOKUP(OPERAC[[#This Row],[especie]],[1]!ESPECIES[#Data],9,FALSE)</f>
        <v/>
      </c>
    </row>
    <row r="4575">
      <c r="A4575" s="4" t="n">
        <v>18661</v>
      </c>
      <c r="B4575" s="5" t="n">
        <v>43831</v>
      </c>
      <c r="C4575" s="13" t="inlineStr">
        <is>
          <t>CPR</t>
        </is>
      </c>
      <c r="D4575" s="13" t="n">
        <v>31</v>
      </c>
      <c r="E4575" s="10">
        <f>IF(D4575&gt;0,VLOOKUP(OPERAC[[#This Row],[COD CART]],[1]!MatrizCortoLargoCyl[#All],3,0),"")</f>
        <v/>
      </c>
      <c r="F4575" s="13" t="inlineStr">
        <is>
          <t>GGAL</t>
        </is>
      </c>
      <c r="G4575" s="6" t="n">
        <v>100</v>
      </c>
      <c r="H4575" s="6" t="n">
        <v>-1240</v>
      </c>
      <c r="I4575" s="7" t="n">
        <v>12.4</v>
      </c>
      <c r="J4575" s="5" t="n"/>
      <c r="K4575" s="6" t="n"/>
      <c r="L4575" s="6" t="n"/>
      <c r="M4575" s="7">
        <f>IF(N4575=0,+L4575+H4575,0)</f>
        <v/>
      </c>
      <c r="N4575" s="7">
        <f>IF((+G4575-K4575)=0,0,+G4575-K4575)</f>
        <v/>
      </c>
      <c r="O4575" s="7">
        <f>IF(N4575=0,0,(L4575+H4575)/-N4575)</f>
        <v/>
      </c>
      <c r="P4575" s="7">
        <f>VLOOKUP(OPERAC[[#This Row],[especie]],[1]!ESPECIES[#All],6,0)</f>
        <v/>
      </c>
      <c r="Q4575" s="7">
        <f>IF(N4575&lt;&gt;0,P4575*N4575,0)</f>
        <v/>
      </c>
      <c r="R4575" s="8">
        <f>IF(Q4575&lt;&gt;0,Q4575+H4575+L4575,0)</f>
        <v/>
      </c>
      <c r="S4575" s="9">
        <f>VLOOKUP(OPERAC[[#This Row],[especie]],[1]!ESPECIES[#Data],9,FALSE)</f>
        <v/>
      </c>
    </row>
    <row r="4576">
      <c r="A4576" s="4" t="n">
        <v>19878</v>
      </c>
      <c r="B4576" s="5" t="n">
        <v>44664</v>
      </c>
      <c r="C4576" s="13" t="inlineStr">
        <is>
          <t>CPR</t>
        </is>
      </c>
      <c r="D4576" s="13" t="n">
        <v>42</v>
      </c>
      <c r="E4576" s="10">
        <f>IF(D4576&gt;0,VLOOKUP(OPERAC[[#This Row],[COD CART]],[1]!MatrizCortoLargoCyl[#All],3,0),"")</f>
        <v/>
      </c>
      <c r="F4576" s="13" t="inlineStr">
        <is>
          <t>PSQ</t>
        </is>
      </c>
      <c r="G4576" s="6" t="n">
        <v>100</v>
      </c>
      <c r="H4576" s="6" t="n">
        <v>-1240.7916609</v>
      </c>
      <c r="I4576" s="7">
        <f>-H4576/G4576</f>
        <v/>
      </c>
      <c r="J4576" s="11" t="n">
        <v>44680</v>
      </c>
      <c r="K4576" s="6">
        <f>+OPERAC[[#This Row],[cantidad]]</f>
        <v/>
      </c>
      <c r="L4576" s="6">
        <f>12.848*OPERAC[[#This Row],[cantidad venta]]</f>
        <v/>
      </c>
      <c r="M4576" s="7">
        <f>IF(N4576=0,+L4576+H4576,0)</f>
        <v/>
      </c>
      <c r="N4576" s="7">
        <f>IF((+G4576-K4576)=0,0,+G4576-K4576)</f>
        <v/>
      </c>
      <c r="O4576" s="7">
        <f>IF(N4576=0,0,(L4576+H4576)/-N4576)</f>
        <v/>
      </c>
      <c r="P4576" s="7">
        <f>VLOOKUP(OPERAC[[#This Row],[especie]],[1]!ESPECIES[#All],6,0)</f>
        <v/>
      </c>
      <c r="Q4576" s="7">
        <f>IF(N4576&lt;&gt;0,P4576*N4576,0)</f>
        <v/>
      </c>
      <c r="R4576" s="8">
        <f>IF(Q4576&lt;&gt;0,Q4576+H4576+L4576,0)</f>
        <v/>
      </c>
      <c r="S4576" s="9">
        <f>VLOOKUP(OPERAC[[#This Row],[especie]],[1]!ESPECIES[#Data],9,FALSE)</f>
        <v/>
      </c>
    </row>
    <row r="4577">
      <c r="A4577" s="4" t="n">
        <v>3787</v>
      </c>
      <c r="B4577" s="5" t="n">
        <v>44664</v>
      </c>
      <c r="C4577" s="13" t="inlineStr">
        <is>
          <t>CPR</t>
        </is>
      </c>
      <c r="D4577" s="13" t="n">
        <v>42</v>
      </c>
      <c r="E4577" s="10">
        <f>IF(D4577&gt;0,VLOOKUP(OPERAC[[#This Row],[COD CART]],[1]!MatrizCortoLargoCyl[#All],3,0),"")</f>
        <v/>
      </c>
      <c r="F4577" s="13" t="inlineStr">
        <is>
          <t>PSQ</t>
        </is>
      </c>
      <c r="G4577" s="6" t="n">
        <v>100</v>
      </c>
      <c r="H4577" s="6" t="n">
        <v>-1243.2572181</v>
      </c>
      <c r="I4577" s="7">
        <f>-H4577/G4577</f>
        <v/>
      </c>
      <c r="J4577" s="11" t="n">
        <v>44680</v>
      </c>
      <c r="K4577" s="6">
        <f>+OPERAC[[#This Row],[cantidad]]</f>
        <v/>
      </c>
      <c r="L4577" s="6">
        <f>12.848*OPERAC[[#This Row],[cantidad venta]]</f>
        <v/>
      </c>
      <c r="M4577" s="7">
        <f>IF(N4577=0,+L4577+H4577,0)</f>
        <v/>
      </c>
      <c r="N4577" s="7">
        <f>IF((+G4577-K4577)=0,0,+G4577-K4577)</f>
        <v/>
      </c>
      <c r="O4577" s="7">
        <f>IF(N4577=0,0,(L4577+H4577)/-N4577)</f>
        <v/>
      </c>
      <c r="P4577" s="7">
        <f>VLOOKUP(OPERAC[[#This Row],[especie]],[1]!ESPECIES[#All],6,0)</f>
        <v/>
      </c>
      <c r="Q4577" s="7">
        <f>IF(N4577&lt;&gt;0,P4577*N4577,0)</f>
        <v/>
      </c>
      <c r="R4577" s="8">
        <f>IF(Q4577&lt;&gt;0,Q4577+H4577+L4577,0)</f>
        <v/>
      </c>
      <c r="S4577" s="9">
        <f>VLOOKUP(OPERAC[[#This Row],[especie]],[1]!ESPECIES[#Data],9,FALSE)</f>
        <v/>
      </c>
    </row>
    <row r="4578">
      <c r="A4578" s="4" t="n">
        <v>7916</v>
      </c>
      <c r="B4578" s="5" t="n">
        <v>44664</v>
      </c>
      <c r="C4578" s="13" t="inlineStr">
        <is>
          <t>CPR</t>
        </is>
      </c>
      <c r="D4578" s="13" t="n">
        <v>42</v>
      </c>
      <c r="E4578" s="10">
        <f>IF(D4578&gt;0,VLOOKUP(OPERAC[[#This Row],[COD CART]],[1]!MatrizCortoLargoCyl[#All],3,0),"")</f>
        <v/>
      </c>
      <c r="F4578" s="13" t="inlineStr">
        <is>
          <t>PSQ</t>
        </is>
      </c>
      <c r="G4578" s="6" t="n">
        <v>100</v>
      </c>
      <c r="H4578" s="6" t="n">
        <v>-1243.2572181</v>
      </c>
      <c r="I4578" s="7">
        <f>-H4578/G4578</f>
        <v/>
      </c>
      <c r="J4578" s="11" t="n">
        <v>44680</v>
      </c>
      <c r="K4578" s="6">
        <f>+OPERAC[[#This Row],[cantidad]]</f>
        <v/>
      </c>
      <c r="L4578" s="6">
        <f>12.848*OPERAC[[#This Row],[cantidad venta]]</f>
        <v/>
      </c>
      <c r="M4578" s="7">
        <f>IF(N4578=0,+L4578+H4578,0)</f>
        <v/>
      </c>
      <c r="N4578" s="7">
        <f>IF((+G4578-K4578)=0,0,+G4578-K4578)</f>
        <v/>
      </c>
      <c r="O4578" s="7">
        <f>IF(N4578=0,0,(L4578+H4578)/-N4578)</f>
        <v/>
      </c>
      <c r="P4578" s="7">
        <f>VLOOKUP(OPERAC[[#This Row],[especie]],[1]!ESPECIES[#All],6,0)</f>
        <v/>
      </c>
      <c r="Q4578" s="7">
        <f>IF(N4578&lt;&gt;0,P4578*N4578,0)</f>
        <v/>
      </c>
      <c r="R4578" s="8">
        <f>IF(Q4578&lt;&gt;0,Q4578+H4578+L4578,0)</f>
        <v/>
      </c>
      <c r="S4578" s="9">
        <f>VLOOKUP(OPERAC[[#This Row],[especie]],[1]!ESPECIES[#Data],9,FALSE)</f>
        <v/>
      </c>
    </row>
    <row r="4579">
      <c r="A4579" s="4" t="n">
        <v>12662</v>
      </c>
      <c r="B4579" s="5" t="n">
        <v>44664</v>
      </c>
      <c r="C4579" s="13" t="inlineStr">
        <is>
          <t>CPR</t>
        </is>
      </c>
      <c r="D4579" s="13" t="n">
        <v>42</v>
      </c>
      <c r="E4579" s="10">
        <f>IF(D4579&gt;0,VLOOKUP(OPERAC[[#This Row],[COD CART]],[1]!MatrizCortoLargoCyl[#All],3,0),"")</f>
        <v/>
      </c>
      <c r="F4579" s="13" t="inlineStr">
        <is>
          <t>PSQ</t>
        </is>
      </c>
      <c r="G4579" s="6" t="n">
        <v>100</v>
      </c>
      <c r="H4579" s="6" t="n">
        <v>-1243.2572181</v>
      </c>
      <c r="I4579" s="7">
        <f>-H4579/G4579</f>
        <v/>
      </c>
      <c r="J4579" s="11" t="n">
        <v>44680</v>
      </c>
      <c r="K4579" s="6">
        <f>+OPERAC[[#This Row],[cantidad]]</f>
        <v/>
      </c>
      <c r="L4579" s="6">
        <f>12.848*OPERAC[[#This Row],[cantidad venta]]</f>
        <v/>
      </c>
      <c r="M4579" s="7">
        <f>IF(N4579=0,+L4579+H4579,0)</f>
        <v/>
      </c>
      <c r="N4579" s="7">
        <f>IF((+G4579-K4579)=0,0,+G4579-K4579)</f>
        <v/>
      </c>
      <c r="O4579" s="7">
        <f>IF(N4579=0,0,(L4579+H4579)/-N4579)</f>
        <v/>
      </c>
      <c r="P4579" s="7">
        <f>VLOOKUP(OPERAC[[#This Row],[especie]],[1]!ESPECIES[#All],6,0)</f>
        <v/>
      </c>
      <c r="Q4579" s="7">
        <f>IF(N4579&lt;&gt;0,P4579*N4579,0)</f>
        <v/>
      </c>
      <c r="R4579" s="8">
        <f>IF(Q4579&lt;&gt;0,Q4579+H4579+L4579,0)</f>
        <v/>
      </c>
      <c r="S4579" s="9">
        <f>VLOOKUP(OPERAC[[#This Row],[especie]],[1]!ESPECIES[#Data],9,FALSE)</f>
        <v/>
      </c>
    </row>
    <row r="4580">
      <c r="A4580" s="4" t="n">
        <v>12672</v>
      </c>
      <c r="B4580" s="5" t="n">
        <v>44664</v>
      </c>
      <c r="C4580" s="13" t="inlineStr">
        <is>
          <t>CPR</t>
        </is>
      </c>
      <c r="D4580" s="13" t="n">
        <v>42</v>
      </c>
      <c r="E4580" s="10">
        <f>IF(D4580&gt;0,VLOOKUP(OPERAC[[#This Row],[COD CART]],[1]!MatrizCortoLargoCyl[#All],3,0),"")</f>
        <v/>
      </c>
      <c r="F4580" s="13" t="inlineStr">
        <is>
          <t>PSQ</t>
        </is>
      </c>
      <c r="G4580" s="6" t="n">
        <v>100</v>
      </c>
      <c r="H4580" s="6" t="n">
        <v>-1243.2572181</v>
      </c>
      <c r="I4580" s="7">
        <f>-H4580/G4580</f>
        <v/>
      </c>
      <c r="J4580" s="11" t="n">
        <v>44680</v>
      </c>
      <c r="K4580" s="6">
        <f>+OPERAC[[#This Row],[cantidad]]</f>
        <v/>
      </c>
      <c r="L4580" s="6">
        <f>12.848*OPERAC[[#This Row],[cantidad venta]]</f>
        <v/>
      </c>
      <c r="M4580" s="7">
        <f>IF(N4580=0,+L4580+H4580,0)</f>
        <v/>
      </c>
      <c r="N4580" s="7">
        <f>IF((+G4580-K4580)=0,0,+G4580-K4580)</f>
        <v/>
      </c>
      <c r="O4580" s="7">
        <f>IF(N4580=0,0,(L4580+H4580)/-N4580)</f>
        <v/>
      </c>
      <c r="P4580" s="7">
        <f>VLOOKUP(OPERAC[[#This Row],[especie]],[1]!ESPECIES[#All],6,0)</f>
        <v/>
      </c>
      <c r="Q4580" s="7">
        <f>IF(N4580&lt;&gt;0,P4580*N4580,0)</f>
        <v/>
      </c>
      <c r="R4580" s="8">
        <f>IF(Q4580&lt;&gt;0,Q4580+H4580+L4580,0)</f>
        <v/>
      </c>
      <c r="S4580" s="9">
        <f>VLOOKUP(OPERAC[[#This Row],[especie]],[1]!ESPECIES[#Data],9,FALSE)</f>
        <v/>
      </c>
    </row>
    <row r="4581">
      <c r="A4581" s="4" t="n">
        <v>12674</v>
      </c>
      <c r="B4581" s="5" t="n">
        <v>44664</v>
      </c>
      <c r="C4581" s="13" t="inlineStr">
        <is>
          <t>CPR</t>
        </is>
      </c>
      <c r="D4581" s="13" t="n">
        <v>42</v>
      </c>
      <c r="E4581" s="10">
        <f>IF(D4581&gt;0,VLOOKUP(OPERAC[[#This Row],[COD CART]],[1]!MatrizCortoLargoCyl[#All],3,0),"")</f>
        <v/>
      </c>
      <c r="F4581" s="13" t="inlineStr">
        <is>
          <t>PSQ</t>
        </is>
      </c>
      <c r="G4581" s="6" t="n">
        <v>100</v>
      </c>
      <c r="H4581" s="6" t="n">
        <v>-1243.2572181</v>
      </c>
      <c r="I4581" s="7">
        <f>-H4581/G4581</f>
        <v/>
      </c>
      <c r="J4581" s="11" t="n">
        <v>44680</v>
      </c>
      <c r="K4581" s="6">
        <f>+OPERAC[[#This Row],[cantidad]]</f>
        <v/>
      </c>
      <c r="L4581" s="6">
        <f>12.848*OPERAC[[#This Row],[cantidad venta]]</f>
        <v/>
      </c>
      <c r="M4581" s="7">
        <f>IF(N4581=0,+L4581+H4581,0)</f>
        <v/>
      </c>
      <c r="N4581" s="7">
        <f>IF((+G4581-K4581)=0,0,+G4581-K4581)</f>
        <v/>
      </c>
      <c r="O4581" s="7">
        <f>IF(N4581=0,0,(L4581+H4581)/-N4581)</f>
        <v/>
      </c>
      <c r="P4581" s="7">
        <f>VLOOKUP(OPERAC[[#This Row],[especie]],[1]!ESPECIES[#All],6,0)</f>
        <v/>
      </c>
      <c r="Q4581" s="7">
        <f>IF(N4581&lt;&gt;0,P4581*N4581,0)</f>
        <v/>
      </c>
      <c r="R4581" s="8">
        <f>IF(Q4581&lt;&gt;0,Q4581+H4581+L4581,0)</f>
        <v/>
      </c>
      <c r="S4581" s="9">
        <f>VLOOKUP(OPERAC[[#This Row],[especie]],[1]!ESPECIES[#Data],9,FALSE)</f>
        <v/>
      </c>
    </row>
    <row r="4582">
      <c r="A4582" s="4" t="n">
        <v>13190</v>
      </c>
      <c r="B4582" s="5" t="n">
        <v>44664</v>
      </c>
      <c r="C4582" s="13" t="inlineStr">
        <is>
          <t>CPR</t>
        </is>
      </c>
      <c r="D4582" s="13" t="n">
        <v>42</v>
      </c>
      <c r="E4582" s="10">
        <f>IF(D4582&gt;0,VLOOKUP(OPERAC[[#This Row],[COD CART]],[1]!MatrizCortoLargoCyl[#All],3,0),"")</f>
        <v/>
      </c>
      <c r="F4582" s="13" t="inlineStr">
        <is>
          <t>PSQ</t>
        </is>
      </c>
      <c r="G4582" s="6" t="n">
        <v>100</v>
      </c>
      <c r="H4582" s="6" t="n">
        <v>-1243.2572181</v>
      </c>
      <c r="I4582" s="7">
        <f>-H4582/G4582</f>
        <v/>
      </c>
      <c r="J4582" s="11" t="n">
        <v>44680</v>
      </c>
      <c r="K4582" s="6">
        <f>+OPERAC[[#This Row],[cantidad]]</f>
        <v/>
      </c>
      <c r="L4582" s="6">
        <f>12.848*OPERAC[[#This Row],[cantidad venta]]</f>
        <v/>
      </c>
      <c r="M4582" s="7">
        <f>IF(N4582=0,+L4582+H4582,0)</f>
        <v/>
      </c>
      <c r="N4582" s="7">
        <f>IF((+G4582-K4582)=0,0,+G4582-K4582)</f>
        <v/>
      </c>
      <c r="O4582" s="7">
        <f>IF(N4582=0,0,(L4582+H4582)/-N4582)</f>
        <v/>
      </c>
      <c r="P4582" s="7">
        <f>VLOOKUP(OPERAC[[#This Row],[especie]],[1]!ESPECIES[#All],6,0)</f>
        <v/>
      </c>
      <c r="Q4582" s="7">
        <f>IF(N4582&lt;&gt;0,P4582*N4582,0)</f>
        <v/>
      </c>
      <c r="R4582" s="8">
        <f>IF(Q4582&lt;&gt;0,Q4582+H4582+L4582,0)</f>
        <v/>
      </c>
      <c r="S4582" s="9">
        <f>VLOOKUP(OPERAC[[#This Row],[especie]],[1]!ESPECIES[#Data],9,FALSE)</f>
        <v/>
      </c>
    </row>
    <row r="4583">
      <c r="A4583" s="4" t="n">
        <v>13230</v>
      </c>
      <c r="B4583" s="5" t="n">
        <v>44664</v>
      </c>
      <c r="C4583" s="13" t="inlineStr">
        <is>
          <t>CPR</t>
        </is>
      </c>
      <c r="D4583" s="13" t="n">
        <v>42</v>
      </c>
      <c r="E4583" s="10">
        <f>IF(D4583&gt;0,VLOOKUP(OPERAC[[#This Row],[COD CART]],[1]!MatrizCortoLargoCyl[#All],3,0),"")</f>
        <v/>
      </c>
      <c r="F4583" s="13" t="inlineStr">
        <is>
          <t>PSQ</t>
        </is>
      </c>
      <c r="G4583" s="6" t="n">
        <v>100</v>
      </c>
      <c r="H4583" s="6" t="n">
        <v>-1243.2572181</v>
      </c>
      <c r="I4583" s="7">
        <f>-H4583/G4583</f>
        <v/>
      </c>
      <c r="J4583" s="11" t="n">
        <v>44680</v>
      </c>
      <c r="K4583" s="6">
        <f>+OPERAC[[#This Row],[cantidad]]</f>
        <v/>
      </c>
      <c r="L4583" s="6">
        <f>12.848*OPERAC[[#This Row],[cantidad venta]]</f>
        <v/>
      </c>
      <c r="M4583" s="7">
        <f>IF(N4583=0,+L4583+H4583,0)</f>
        <v/>
      </c>
      <c r="N4583" s="7">
        <f>IF((+G4583-K4583)=0,0,+G4583-K4583)</f>
        <v/>
      </c>
      <c r="O4583" s="7">
        <f>IF(N4583=0,0,(L4583+H4583)/-N4583)</f>
        <v/>
      </c>
      <c r="P4583" s="7">
        <f>VLOOKUP(OPERAC[[#This Row],[especie]],[1]!ESPECIES[#All],6,0)</f>
        <v/>
      </c>
      <c r="Q4583" s="7">
        <f>IF(N4583&lt;&gt;0,P4583*N4583,0)</f>
        <v/>
      </c>
      <c r="R4583" s="8">
        <f>IF(Q4583&lt;&gt;0,Q4583+H4583+L4583,0)</f>
        <v/>
      </c>
      <c r="S4583" s="9">
        <f>VLOOKUP(OPERAC[[#This Row],[especie]],[1]!ESPECIES[#Data],9,FALSE)</f>
        <v/>
      </c>
    </row>
    <row r="4584">
      <c r="A4584" s="4" t="n">
        <v>6578</v>
      </c>
      <c r="B4584" s="5" t="n">
        <v>44664</v>
      </c>
      <c r="C4584" s="13" t="inlineStr">
        <is>
          <t>CPR</t>
        </is>
      </c>
      <c r="D4584" s="13" t="n">
        <v>42</v>
      </c>
      <c r="E4584" s="10">
        <f>IF(D4584&gt;0,VLOOKUP(OPERAC[[#This Row],[COD CART]],[1]!MatrizCortoLargoCyl[#All],3,0),"")</f>
        <v/>
      </c>
      <c r="F4584" s="13" t="inlineStr">
        <is>
          <t>PSQ</t>
        </is>
      </c>
      <c r="G4584" s="6" t="n">
        <v>100</v>
      </c>
      <c r="H4584" s="6" t="n">
        <v>-1243.2572181</v>
      </c>
      <c r="I4584" s="7">
        <f>-H4584/G4584</f>
        <v/>
      </c>
      <c r="J4584" s="11" t="n">
        <v>44680</v>
      </c>
      <c r="K4584" s="6">
        <f>+OPERAC[[#This Row],[cantidad]]</f>
        <v/>
      </c>
      <c r="L4584" s="6">
        <f>12.848*OPERAC[[#This Row],[cantidad venta]]</f>
        <v/>
      </c>
      <c r="M4584" s="7">
        <f>IF(N4584=0,+L4584+H4584,0)</f>
        <v/>
      </c>
      <c r="N4584" s="7">
        <f>IF((+G4584-K4584)=0,0,+G4584-K4584)</f>
        <v/>
      </c>
      <c r="O4584" s="7">
        <f>IF(N4584=0,0,(L4584+H4584)/-N4584)</f>
        <v/>
      </c>
      <c r="P4584" s="7">
        <f>VLOOKUP(OPERAC[[#This Row],[especie]],[1]!ESPECIES[#All],6,0)</f>
        <v/>
      </c>
      <c r="Q4584" s="7">
        <f>IF(N4584&lt;&gt;0,P4584*N4584,0)</f>
        <v/>
      </c>
      <c r="R4584" s="8">
        <f>IF(Q4584&lt;&gt;0,Q4584+H4584+L4584,0)</f>
        <v/>
      </c>
      <c r="S4584" s="9">
        <f>VLOOKUP(OPERAC[[#This Row],[especie]],[1]!ESPECIES[#Data],9,FALSE)</f>
        <v/>
      </c>
    </row>
    <row r="4585">
      <c r="A4585" s="4" t="n">
        <v>16824</v>
      </c>
      <c r="B4585" s="5" t="n">
        <v>44664</v>
      </c>
      <c r="C4585" s="13" t="inlineStr">
        <is>
          <t>CPR</t>
        </is>
      </c>
      <c r="D4585" s="13" t="n">
        <v>42</v>
      </c>
      <c r="E4585" s="10">
        <f>IF(D4585&gt;0,VLOOKUP(OPERAC[[#This Row],[COD CART]],[1]!MatrizCortoLargoCyl[#All],3,0),"")</f>
        <v/>
      </c>
      <c r="F4585" s="13" t="inlineStr">
        <is>
          <t>PSQ</t>
        </is>
      </c>
      <c r="G4585" s="6" t="n">
        <v>100</v>
      </c>
      <c r="H4585" s="6" t="n">
        <v>-1243.2572181</v>
      </c>
      <c r="I4585" s="7">
        <f>-H4585/G4585</f>
        <v/>
      </c>
      <c r="J4585" s="11" t="n">
        <v>44680</v>
      </c>
      <c r="K4585" s="6">
        <f>+OPERAC[[#This Row],[cantidad]]</f>
        <v/>
      </c>
      <c r="L4585" s="6">
        <f>12.848*OPERAC[[#This Row],[cantidad venta]]</f>
        <v/>
      </c>
      <c r="M4585" s="7">
        <f>IF(N4585=0,+L4585+H4585,0)</f>
        <v/>
      </c>
      <c r="N4585" s="7">
        <f>IF((+G4585-K4585)=0,0,+G4585-K4585)</f>
        <v/>
      </c>
      <c r="O4585" s="7">
        <f>IF(N4585=0,0,(L4585+H4585)/-N4585)</f>
        <v/>
      </c>
      <c r="P4585" s="7">
        <f>VLOOKUP(OPERAC[[#This Row],[especie]],[1]!ESPECIES[#All],6,0)</f>
        <v/>
      </c>
      <c r="Q4585" s="7">
        <f>IF(N4585&lt;&gt;0,P4585*N4585,0)</f>
        <v/>
      </c>
      <c r="R4585" s="8">
        <f>IF(Q4585&lt;&gt;0,Q4585+H4585+L4585,0)</f>
        <v/>
      </c>
      <c r="S4585" s="9">
        <f>VLOOKUP(OPERAC[[#This Row],[especie]],[1]!ESPECIES[#Data],9,FALSE)</f>
        <v/>
      </c>
    </row>
    <row r="4586">
      <c r="A4586" s="4" t="n">
        <v>18690</v>
      </c>
      <c r="B4586" s="5" t="n">
        <v>44664</v>
      </c>
      <c r="C4586" s="13" t="inlineStr">
        <is>
          <t>CPR</t>
        </is>
      </c>
      <c r="D4586" s="13" t="n">
        <v>42</v>
      </c>
      <c r="E4586" s="10">
        <f>IF(D4586&gt;0,VLOOKUP(OPERAC[[#This Row],[COD CART]],[1]!MatrizCortoLargoCyl[#All],3,0),"")</f>
        <v/>
      </c>
      <c r="F4586" s="13" t="inlineStr">
        <is>
          <t>PSQ</t>
        </is>
      </c>
      <c r="G4586" s="6" t="n">
        <v>100</v>
      </c>
      <c r="H4586" s="6" t="n">
        <v>-1243.2572181</v>
      </c>
      <c r="I4586" s="7">
        <f>-H4586/G4586</f>
        <v/>
      </c>
      <c r="J4586" s="11" t="n">
        <v>44680</v>
      </c>
      <c r="K4586" s="6">
        <f>+OPERAC[[#This Row],[cantidad]]</f>
        <v/>
      </c>
      <c r="L4586" s="6">
        <f>12.848*OPERAC[[#This Row],[cantidad venta]]</f>
        <v/>
      </c>
      <c r="M4586" s="7">
        <f>IF(N4586=0,+L4586+H4586,0)</f>
        <v/>
      </c>
      <c r="N4586" s="7">
        <f>IF((+G4586-K4586)=0,0,+G4586-K4586)</f>
        <v/>
      </c>
      <c r="O4586" s="7">
        <f>IF(N4586=0,0,(L4586+H4586)/-N4586)</f>
        <v/>
      </c>
      <c r="P4586" s="7">
        <f>VLOOKUP(OPERAC[[#This Row],[especie]],[1]!ESPECIES[#All],6,0)</f>
        <v/>
      </c>
      <c r="Q4586" s="7">
        <f>IF(N4586&lt;&gt;0,P4586*N4586,0)</f>
        <v/>
      </c>
      <c r="R4586" s="8">
        <f>IF(Q4586&lt;&gt;0,Q4586+H4586+L4586,0)</f>
        <v/>
      </c>
      <c r="S4586" s="9">
        <f>VLOOKUP(OPERAC[[#This Row],[especie]],[1]!ESPECIES[#Data],9,FALSE)</f>
        <v/>
      </c>
    </row>
    <row r="4587">
      <c r="A4587" s="4" t="n">
        <v>19867</v>
      </c>
      <c r="B4587" s="5" t="n">
        <v>44664</v>
      </c>
      <c r="C4587" s="13" t="inlineStr">
        <is>
          <t>CPR</t>
        </is>
      </c>
      <c r="D4587" s="13" t="n">
        <v>42</v>
      </c>
      <c r="E4587" s="10">
        <f>IF(D4587&gt;0,VLOOKUP(OPERAC[[#This Row],[COD CART]],[1]!MatrizCortoLargoCyl[#All],3,0),"")</f>
        <v/>
      </c>
      <c r="F4587" s="13" t="inlineStr">
        <is>
          <t>PSQ</t>
        </is>
      </c>
      <c r="G4587" s="6" t="n">
        <v>100</v>
      </c>
      <c r="H4587" s="6" t="n">
        <v>-1243.2572181</v>
      </c>
      <c r="I4587" s="7">
        <f>-H4587/G4587</f>
        <v/>
      </c>
      <c r="J4587" s="11" t="n">
        <v>44680</v>
      </c>
      <c r="K4587" s="6">
        <f>+OPERAC[[#This Row],[cantidad]]</f>
        <v/>
      </c>
      <c r="L4587" s="6">
        <f>12.848*OPERAC[[#This Row],[cantidad venta]]</f>
        <v/>
      </c>
      <c r="M4587" s="7">
        <f>IF(N4587=0,+L4587+H4587,0)</f>
        <v/>
      </c>
      <c r="N4587" s="7">
        <f>IF((+G4587-K4587)=0,0,+G4587-K4587)</f>
        <v/>
      </c>
      <c r="O4587" s="7">
        <f>IF(N4587=0,0,(L4587+H4587)/-N4587)</f>
        <v/>
      </c>
      <c r="P4587" s="7">
        <f>VLOOKUP(OPERAC[[#This Row],[especie]],[1]!ESPECIES[#All],6,0)</f>
        <v/>
      </c>
      <c r="Q4587" s="7">
        <f>IF(N4587&lt;&gt;0,P4587*N4587,0)</f>
        <v/>
      </c>
      <c r="R4587" s="8">
        <f>IF(Q4587&lt;&gt;0,Q4587+H4587+L4587,0)</f>
        <v/>
      </c>
      <c r="S4587" s="9">
        <f>VLOOKUP(OPERAC[[#This Row],[especie]],[1]!ESPECIES[#Data],9,FALSE)</f>
        <v/>
      </c>
    </row>
    <row r="4588">
      <c r="A4588" s="4" t="n">
        <v>25070</v>
      </c>
      <c r="B4588" s="5" t="n">
        <v>44664</v>
      </c>
      <c r="C4588" s="13" t="inlineStr">
        <is>
          <t>CPR</t>
        </is>
      </c>
      <c r="D4588" s="13" t="n">
        <v>42</v>
      </c>
      <c r="E4588" s="10">
        <f>IF(D4588&gt;0,VLOOKUP(OPERAC[[#This Row],[COD CART]],[1]!MatrizCortoLargoCyl[#All],3,0),"")</f>
        <v/>
      </c>
      <c r="F4588" s="13" t="inlineStr">
        <is>
          <t>PSQ</t>
        </is>
      </c>
      <c r="G4588" s="6" t="n">
        <v>100</v>
      </c>
      <c r="H4588" s="6" t="n">
        <v>-1243.2572181</v>
      </c>
      <c r="I4588" s="7">
        <f>-H4588/G4588</f>
        <v/>
      </c>
      <c r="J4588" s="11" t="n">
        <v>44680</v>
      </c>
      <c r="K4588" s="6">
        <f>+OPERAC[[#This Row],[cantidad]]</f>
        <v/>
      </c>
      <c r="L4588" s="6">
        <f>12.848*OPERAC[[#This Row],[cantidad venta]]</f>
        <v/>
      </c>
      <c r="M4588" s="7">
        <f>IF(N4588=0,+L4588+H4588,0)</f>
        <v/>
      </c>
      <c r="N4588" s="7">
        <f>IF((+G4588-K4588)=0,0,+G4588-K4588)</f>
        <v/>
      </c>
      <c r="O4588" s="7">
        <f>IF(N4588=0,0,(L4588+H4588)/-N4588)</f>
        <v/>
      </c>
      <c r="P4588" s="7">
        <f>VLOOKUP(OPERAC[[#This Row],[especie]],[1]!ESPECIES[#All],6,0)</f>
        <v/>
      </c>
      <c r="Q4588" s="7">
        <f>IF(N4588&lt;&gt;0,P4588*N4588,0)</f>
        <v/>
      </c>
      <c r="R4588" s="8">
        <f>IF(Q4588&lt;&gt;0,Q4588+H4588+L4588,0)</f>
        <v/>
      </c>
      <c r="S4588" s="9">
        <f>VLOOKUP(OPERAC[[#This Row],[especie]],[1]!ESPECIES[#Data],9,FALSE)</f>
        <v/>
      </c>
    </row>
    <row r="4589">
      <c r="A4589" s="4" t="n">
        <v>26138</v>
      </c>
      <c r="B4589" s="5" t="n">
        <v>44664</v>
      </c>
      <c r="C4589" s="13" t="inlineStr">
        <is>
          <t>CPR</t>
        </is>
      </c>
      <c r="D4589" s="13" t="n">
        <v>42</v>
      </c>
      <c r="E4589" s="10">
        <f>IF(D4589&gt;0,VLOOKUP(OPERAC[[#This Row],[COD CART]],[1]!MatrizCortoLargoCyl[#All],3,0),"")</f>
        <v/>
      </c>
      <c r="F4589" s="13" t="inlineStr">
        <is>
          <t>PSQ</t>
        </is>
      </c>
      <c r="G4589" s="6" t="n">
        <v>100</v>
      </c>
      <c r="H4589" s="6" t="n">
        <v>-1243.2572181</v>
      </c>
      <c r="I4589" s="7">
        <f>-H4589/G4589</f>
        <v/>
      </c>
      <c r="J4589" s="11" t="n">
        <v>44680</v>
      </c>
      <c r="K4589" s="6">
        <f>+OPERAC[[#This Row],[cantidad]]</f>
        <v/>
      </c>
      <c r="L4589" s="6">
        <f>12.848*OPERAC[[#This Row],[cantidad venta]]</f>
        <v/>
      </c>
      <c r="M4589" s="7">
        <f>IF(N4589=0,+L4589+H4589,0)</f>
        <v/>
      </c>
      <c r="N4589" s="7">
        <f>IF((+G4589-K4589)=0,0,+G4589-K4589)</f>
        <v/>
      </c>
      <c r="O4589" s="7">
        <f>IF(N4589=0,0,(L4589+H4589)/-N4589)</f>
        <v/>
      </c>
      <c r="P4589" s="7">
        <f>VLOOKUP(OPERAC[[#This Row],[especie]],[1]!ESPECIES[#All],6,0)</f>
        <v/>
      </c>
      <c r="Q4589" s="7">
        <f>IF(N4589&lt;&gt;0,P4589*N4589,0)</f>
        <v/>
      </c>
      <c r="R4589" s="8">
        <f>IF(Q4589&lt;&gt;0,Q4589+H4589+L4589,0)</f>
        <v/>
      </c>
      <c r="S4589" s="9">
        <f>VLOOKUP(OPERAC[[#This Row],[especie]],[1]!ESPECIES[#Data],9,FALSE)</f>
        <v/>
      </c>
    </row>
    <row r="4590">
      <c r="A4590" s="4" t="n">
        <v>12674</v>
      </c>
      <c r="B4590" s="5" t="n">
        <v>44664</v>
      </c>
      <c r="C4590" s="13" t="inlineStr">
        <is>
          <t>CPR</t>
        </is>
      </c>
      <c r="D4590" s="13" t="n">
        <v>42</v>
      </c>
      <c r="E4590" s="10">
        <f>IF(D4590&gt;0,VLOOKUP(OPERAC[[#This Row],[COD CART]],[1]!MatrizCortoLargoCyl[#All],3,0),"")</f>
        <v/>
      </c>
      <c r="F4590" s="13" t="inlineStr">
        <is>
          <t>PSQ</t>
        </is>
      </c>
      <c r="G4590" s="6" t="n">
        <v>100</v>
      </c>
      <c r="H4590" s="6" t="n">
        <v>-1243.2572181</v>
      </c>
      <c r="I4590" s="7">
        <f>-H4590/G4590</f>
        <v/>
      </c>
      <c r="J4590" s="11" t="n">
        <v>44680</v>
      </c>
      <c r="K4590" s="6">
        <f>+OPERAC[[#This Row],[cantidad]]</f>
        <v/>
      </c>
      <c r="L4590" s="6">
        <f>12.848*OPERAC[[#This Row],[cantidad venta]]</f>
        <v/>
      </c>
      <c r="M4590" s="7">
        <f>IF(N4590=0,+L4590+H4590,0)</f>
        <v/>
      </c>
      <c r="N4590" s="7">
        <f>IF((+G4590-K4590)=0,0,+G4590-K4590)</f>
        <v/>
      </c>
      <c r="O4590" s="7">
        <f>IF(N4590=0,0,(L4590+H4590)/-N4590)</f>
        <v/>
      </c>
      <c r="P4590" s="7">
        <f>VLOOKUP(OPERAC[[#This Row],[especie]],[1]!ESPECIES[#All],6,0)</f>
        <v/>
      </c>
      <c r="Q4590" s="7">
        <f>IF(N4590&lt;&gt;0,P4590*N4590,0)</f>
        <v/>
      </c>
      <c r="R4590" s="8">
        <f>IF(Q4590&lt;&gt;0,Q4590+H4590+L4590,0)</f>
        <v/>
      </c>
      <c r="S4590" s="9">
        <f>VLOOKUP(OPERAC[[#This Row],[especie]],[1]!ESPECIES[#Data],9,FALSE)</f>
        <v/>
      </c>
    </row>
    <row r="4591">
      <c r="A4591" s="4" t="n">
        <v>6579</v>
      </c>
      <c r="B4591" s="5" t="n">
        <v>44664</v>
      </c>
      <c r="C4591" s="13" t="inlineStr">
        <is>
          <t>CPR</t>
        </is>
      </c>
      <c r="D4591" s="13" t="n">
        <v>42</v>
      </c>
      <c r="E4591" s="10">
        <f>IF(D4591&gt;0,VLOOKUP(OPERAC[[#This Row],[COD CART]],[1]!MatrizCortoLargoCyl[#All],3,0),"")</f>
        <v/>
      </c>
      <c r="F4591" s="13" t="inlineStr">
        <is>
          <t>PSQ</t>
        </is>
      </c>
      <c r="G4591" s="6" t="n">
        <v>100</v>
      </c>
      <c r="H4591" s="6" t="n">
        <v>-1243.2572181</v>
      </c>
      <c r="I4591" s="7">
        <f>-H4591/G4591</f>
        <v/>
      </c>
      <c r="J4591" s="11" t="n">
        <v>44680</v>
      </c>
      <c r="K4591" s="6">
        <f>+OPERAC[[#This Row],[cantidad]]</f>
        <v/>
      </c>
      <c r="L4591" s="6">
        <f>12.848*OPERAC[[#This Row],[cantidad venta]]</f>
        <v/>
      </c>
      <c r="M4591" s="7">
        <f>IF(N4591=0,+L4591+H4591,0)</f>
        <v/>
      </c>
      <c r="N4591" s="7">
        <f>IF((+G4591-K4591)=0,0,+G4591-K4591)</f>
        <v/>
      </c>
      <c r="O4591" s="7">
        <f>IF(N4591=0,0,(L4591+H4591)/-N4591)</f>
        <v/>
      </c>
      <c r="P4591" s="7">
        <f>VLOOKUP(OPERAC[[#This Row],[especie]],[1]!ESPECIES[#All],6,0)</f>
        <v/>
      </c>
      <c r="Q4591" s="7">
        <f>IF(N4591&lt;&gt;0,P4591*N4591,0)</f>
        <v/>
      </c>
      <c r="R4591" s="8">
        <f>IF(Q4591&lt;&gt;0,Q4591+H4591+L4591,0)</f>
        <v/>
      </c>
      <c r="S4591" s="9">
        <f>VLOOKUP(OPERAC[[#This Row],[especie]],[1]!ESPECIES[#Data],9,FALSE)</f>
        <v/>
      </c>
    </row>
    <row r="4592">
      <c r="A4592" s="4" t="n">
        <v>18677</v>
      </c>
      <c r="B4592" s="5" t="n">
        <v>44664</v>
      </c>
      <c r="C4592" s="13" t="inlineStr">
        <is>
          <t>CPR</t>
        </is>
      </c>
      <c r="D4592" s="13" t="n">
        <v>42</v>
      </c>
      <c r="E4592" s="10">
        <f>IF(D4592&gt;0,VLOOKUP(OPERAC[[#This Row],[COD CART]],[1]!MatrizCortoLargoCyl[#All],3,0),"")</f>
        <v/>
      </c>
      <c r="F4592" s="13" t="inlineStr">
        <is>
          <t>PSQ</t>
        </is>
      </c>
      <c r="G4592" s="6" t="n">
        <v>100</v>
      </c>
      <c r="H4592" s="6" t="n">
        <v>-1243.2572181</v>
      </c>
      <c r="I4592" s="7">
        <f>-H4592/G4592</f>
        <v/>
      </c>
      <c r="J4592" s="11" t="n">
        <v>44680</v>
      </c>
      <c r="K4592" s="6">
        <f>+OPERAC[[#This Row],[cantidad]]</f>
        <v/>
      </c>
      <c r="L4592" s="6">
        <f>12.848*OPERAC[[#This Row],[cantidad venta]]</f>
        <v/>
      </c>
      <c r="M4592" s="7">
        <f>IF(N4592=0,+L4592+H4592,0)</f>
        <v/>
      </c>
      <c r="N4592" s="7">
        <f>IF((+G4592-K4592)=0,0,+G4592-K4592)</f>
        <v/>
      </c>
      <c r="O4592" s="7">
        <f>IF(N4592=0,0,(L4592+H4592)/-N4592)</f>
        <v/>
      </c>
      <c r="P4592" s="7">
        <f>VLOOKUP(OPERAC[[#This Row],[especie]],[1]!ESPECIES[#All],6,0)</f>
        <v/>
      </c>
      <c r="Q4592" s="7">
        <f>IF(N4592&lt;&gt;0,P4592*N4592,0)</f>
        <v/>
      </c>
      <c r="R4592" s="8">
        <f>IF(Q4592&lt;&gt;0,Q4592+H4592+L4592,0)</f>
        <v/>
      </c>
      <c r="S4592" s="9">
        <f>VLOOKUP(OPERAC[[#This Row],[especie]],[1]!ESPECIES[#Data],9,FALSE)</f>
        <v/>
      </c>
    </row>
    <row r="4593">
      <c r="A4593" s="4" t="n">
        <v>3021</v>
      </c>
      <c r="B4593" s="5" t="n">
        <v>44537</v>
      </c>
      <c r="C4593" s="13" t="inlineStr">
        <is>
          <t>CPR</t>
        </is>
      </c>
      <c r="D4593" s="13" t="n">
        <v>40</v>
      </c>
      <c r="E4593" s="10">
        <f>IF(D4593&gt;0,VLOOKUP(OPERAC[[#This Row],[COD CART]],[1]!MatrizCortoLargoCyl[#All],3,0),"")</f>
        <v/>
      </c>
      <c r="F4593" s="13" t="inlineStr">
        <is>
          <t>NNDM</t>
        </is>
      </c>
      <c r="G4593" s="6" t="n">
        <v>300</v>
      </c>
      <c r="H4593" s="6" t="n">
        <v>-1243.294</v>
      </c>
      <c r="I4593" s="7">
        <f>-H4593/G4593</f>
        <v/>
      </c>
      <c r="J4593" s="11" t="n">
        <v>44606</v>
      </c>
      <c r="K4593" s="6" t="n">
        <v>300</v>
      </c>
      <c r="L4593" s="6" t="n">
        <v>1135.822</v>
      </c>
      <c r="M4593" s="7">
        <f>IF(N4593=0,+L4593+H4593,0)</f>
        <v/>
      </c>
      <c r="N4593" s="7">
        <f>IF((+G4593-K4593)=0,0,+G4593-K4593)</f>
        <v/>
      </c>
      <c r="O4593" s="7">
        <f>IF(N4593=0,0,(L4593+H4593)/-N4593)</f>
        <v/>
      </c>
      <c r="P4593" s="7">
        <f>VLOOKUP(OPERAC[[#This Row],[especie]],[1]!ESPECIES[#All],6,0)</f>
        <v/>
      </c>
      <c r="Q4593" s="7">
        <f>IF(N4593&lt;&gt;0,P4593*N4593,0)</f>
        <v/>
      </c>
      <c r="R4593" s="8">
        <f>IF(Q4593&lt;&gt;0,Q4593+H4593+L4593,0)</f>
        <v/>
      </c>
      <c r="S4593" s="9">
        <f>VLOOKUP(OPERAC[[#This Row],[especie]],[1]!ESPECIES[#Data],9,FALSE)</f>
        <v/>
      </c>
    </row>
    <row r="4594">
      <c r="A4594" s="4" t="n">
        <v>3728</v>
      </c>
      <c r="B4594" s="5" t="n">
        <v>44698</v>
      </c>
      <c r="C4594" s="13" t="inlineStr">
        <is>
          <t>CPR</t>
        </is>
      </c>
      <c r="D4594" s="13" t="n">
        <v>39</v>
      </c>
      <c r="E4594" s="10">
        <f>IF(D4594&gt;0,VLOOKUP(OPERAC[[#This Row],[COD CART]],[1]!MatrizCortoLargoCyl[#All],3,0),"")</f>
        <v/>
      </c>
      <c r="F4594" s="13" t="inlineStr">
        <is>
          <t>NTLA/C/65,00/15-07-22</t>
        </is>
      </c>
      <c r="G4594" s="6" t="n">
        <v>500</v>
      </c>
      <c r="H4594" s="6" t="n">
        <v>-1251.25</v>
      </c>
      <c r="I4594" s="7">
        <f>-H4594/G4594</f>
        <v/>
      </c>
      <c r="J4594" s="11" t="n"/>
      <c r="K4594" s="6" t="n"/>
      <c r="L4594" s="6" t="n"/>
      <c r="M4594" s="7">
        <f>IF(N4594=0,+L4594+H4594,0)</f>
        <v/>
      </c>
      <c r="N4594" s="7">
        <f>IF((+G4594-K4594)=0,0,+G4594-K4594)</f>
        <v/>
      </c>
      <c r="O4594" s="7">
        <f>IF(N4594=0,0,(L4594+H4594)/-N4594)</f>
        <v/>
      </c>
      <c r="P4594" s="7">
        <f>VLOOKUP(OPERAC[[#This Row],[especie]],[1]!ESPECIES[#All],6,0)</f>
        <v/>
      </c>
      <c r="Q4594" s="7">
        <f>IF(N4594&lt;&gt;0,P4594*N4594,0)</f>
        <v/>
      </c>
      <c r="R4594" s="8">
        <f>IF(Q4594&lt;&gt;0,Q4594+H4594+L4594,0)</f>
        <v/>
      </c>
      <c r="S4594" s="9">
        <f>VLOOKUP(OPERAC[[#This Row],[especie]],[1]!ESPECIES[#Data],9,FALSE)</f>
        <v/>
      </c>
    </row>
    <row r="4595">
      <c r="A4595" s="4" t="n">
        <v>3728</v>
      </c>
      <c r="B4595" s="5" t="n">
        <v>44579</v>
      </c>
      <c r="C4595" s="13" t="inlineStr">
        <is>
          <t>CPR</t>
        </is>
      </c>
      <c r="D4595" s="13" t="n">
        <v>39</v>
      </c>
      <c r="E4595" s="10">
        <f>IF(D4595&gt;0,VLOOKUP(OPERAC[[#This Row],[COD CART]],[1]!MatrizCortoLargoCyl[#All],3,0),"")</f>
        <v/>
      </c>
      <c r="F4595" s="13" t="inlineStr">
        <is>
          <t>HIMX/V/15,00/11-02-22</t>
        </is>
      </c>
      <c r="G4595" s="6" t="n">
        <v>-100</v>
      </c>
      <c r="H4595" s="6">
        <f>249.46-1501.5</f>
        <v/>
      </c>
      <c r="I4595" s="7">
        <f>-H4595/G4595</f>
        <v/>
      </c>
      <c r="J4595" s="11" t="n">
        <v>44596</v>
      </c>
      <c r="K4595" s="6" t="n">
        <v>-100</v>
      </c>
      <c r="L4595" s="6" t="n">
        <v>1020.957</v>
      </c>
      <c r="M4595" s="7">
        <f>IF(N4595=0,+L4595+H4595,0)</f>
        <v/>
      </c>
      <c r="N4595" s="7">
        <f>IF((+G4595-K4595)=0,0,+G4595-K4595)</f>
        <v/>
      </c>
      <c r="O4595" s="7">
        <f>IF(N4595=0,0,(L4595+H4595)/-N4595)</f>
        <v/>
      </c>
      <c r="P4595" s="7">
        <f>VLOOKUP(OPERAC[[#This Row],[especie]],[1]!ESPECIES[#All],6,0)</f>
        <v/>
      </c>
      <c r="Q4595" s="7">
        <f>IF(N4595&lt;&gt;0,P4595*N4595,0)</f>
        <v/>
      </c>
      <c r="R4595" s="8">
        <f>IF(Q4595&lt;&gt;0,Q4595+H4595+L4595,0)</f>
        <v/>
      </c>
      <c r="S4595" s="9">
        <f>VLOOKUP(OPERAC[[#This Row],[especie]],[1]!ESPECIES[#Data],9,FALSE)</f>
        <v/>
      </c>
    </row>
    <row r="4596">
      <c r="A4596" s="4" t="n">
        <v>18651</v>
      </c>
      <c r="B4596" s="5" t="n">
        <v>44641</v>
      </c>
      <c r="C4596" s="13" t="inlineStr">
        <is>
          <t>CPR</t>
        </is>
      </c>
      <c r="D4596" s="13" t="n">
        <v>42</v>
      </c>
      <c r="E4596" s="10">
        <f>IF(D4596&gt;0,VLOOKUP(OPERAC[[#This Row],[COD CART]],[1]!MatrizCortoLargoCyl[#All],3,0),"")</f>
        <v/>
      </c>
      <c r="F4596" s="13" t="inlineStr">
        <is>
          <t>DIS</t>
        </is>
      </c>
      <c r="G4596" s="6" t="n">
        <v>9</v>
      </c>
      <c r="H4596" s="6" t="n">
        <v>-1253.4408</v>
      </c>
      <c r="I4596" s="7">
        <f>-H4596/G4596</f>
        <v/>
      </c>
      <c r="J4596" s="11" t="n">
        <v>44671</v>
      </c>
      <c r="K4596" s="6">
        <f>+OPERAC[[#This Row],[cantidad]]</f>
        <v/>
      </c>
      <c r="L4596" s="6">
        <f>+OPERAC[[#This Row],[cantidad venta]]*123.621</f>
        <v/>
      </c>
      <c r="M4596" s="7">
        <f>IF(N4596=0,+L4596+H4596,0)</f>
        <v/>
      </c>
      <c r="N4596" s="7">
        <f>IF((+G4596-K4596)=0,0,+G4596-K4596)</f>
        <v/>
      </c>
      <c r="O4596" s="7">
        <f>IF(N4596=0,0,(L4596+H4596)/-N4596)</f>
        <v/>
      </c>
      <c r="P4596" s="7">
        <f>VLOOKUP(OPERAC[[#This Row],[especie]],[1]!ESPECIES[#All],6,0)</f>
        <v/>
      </c>
      <c r="Q4596" s="7">
        <f>IF(N4596&lt;&gt;0,P4596*N4596,0)</f>
        <v/>
      </c>
      <c r="R4596" s="8">
        <f>IF(Q4596&lt;&gt;0,Q4596+H4596+L4596,0)</f>
        <v/>
      </c>
      <c r="S4596" s="9">
        <f>VLOOKUP(OPERAC[[#This Row],[especie]],[1]!ESPECIES[#Data],9,FALSE)</f>
        <v/>
      </c>
    </row>
    <row r="4597">
      <c r="A4597" s="4" t="n">
        <v>3838</v>
      </c>
      <c r="B4597" s="5" t="n">
        <v>44718</v>
      </c>
      <c r="C4597" s="13" t="inlineStr">
        <is>
          <t>CPR</t>
        </is>
      </c>
      <c r="D4597" s="13" t="n">
        <v>32</v>
      </c>
      <c r="E4597" s="10">
        <f>IF(D4597&gt;0,VLOOKUP(OPERAC[[#This Row],[COD CART]],[1]!MatrizCortoLargoCyl[#All],3,0),"")</f>
        <v/>
      </c>
      <c r="F4597" s="13" t="inlineStr">
        <is>
          <t>CCL/CYL/13,00/17-06-22</t>
        </is>
      </c>
      <c r="G4597" s="6" t="n">
        <v>100</v>
      </c>
      <c r="H4597" s="6" t="n">
        <v>-1255.43</v>
      </c>
      <c r="I4597" s="7">
        <f>-H4597/G4597</f>
        <v/>
      </c>
      <c r="J4597" s="5" t="n"/>
      <c r="K4597" s="6" t="n"/>
      <c r="L4597" s="6" t="n"/>
      <c r="M4597" s="7">
        <f>IF(N4597=0,+L4597+H4597,0)</f>
        <v/>
      </c>
      <c r="N4597" s="7">
        <f>IF((+G4597-K4597)=0,0,+G4597-K4597)</f>
        <v/>
      </c>
      <c r="O4597" s="7">
        <f>IF(N4597=0,0,(L4597+H4597)/-N4597)</f>
        <v/>
      </c>
      <c r="P4597" s="7">
        <f>VLOOKUP(OPERAC[[#This Row],[especie]],[1]!ESPECIES[#All],6,0)</f>
        <v/>
      </c>
      <c r="Q4597" s="7">
        <f>IF(N4597&lt;&gt;0,P4597*N4597,0)</f>
        <v/>
      </c>
      <c r="R4597" s="8">
        <f>IF(Q4597&lt;&gt;0,Q4597+H4597+L4597,0)</f>
        <v/>
      </c>
      <c r="S4597" s="9">
        <f>VLOOKUP(OPERAC[[#This Row],[especie]],[1]!ESPECIES[#Data],9,FALSE)</f>
        <v/>
      </c>
    </row>
    <row r="4598">
      <c r="A4598" s="4" t="n">
        <v>6579</v>
      </c>
      <c r="B4598" s="5" t="n">
        <v>44718</v>
      </c>
      <c r="C4598" s="13" t="inlineStr">
        <is>
          <t>CPR</t>
        </is>
      </c>
      <c r="D4598" s="13" t="n">
        <v>32</v>
      </c>
      <c r="E4598" s="10">
        <f>IF(D4598&gt;0,VLOOKUP(OPERAC[[#This Row],[COD CART]],[1]!MatrizCortoLargoCyl[#All],3,0),"")</f>
        <v/>
      </c>
      <c r="F4598" s="13" t="inlineStr">
        <is>
          <t>CCL/CYL/13,00/17-06-22</t>
        </is>
      </c>
      <c r="G4598" s="6" t="n">
        <v>100</v>
      </c>
      <c r="H4598" s="6" t="n">
        <v>-1255.43</v>
      </c>
      <c r="I4598" s="7">
        <f>-H4598/G4598</f>
        <v/>
      </c>
      <c r="J4598" s="5" t="n"/>
      <c r="K4598" s="6" t="n"/>
      <c r="L4598" s="6" t="n"/>
      <c r="M4598" s="7">
        <f>IF(N4598=0,+L4598+H4598,0)</f>
        <v/>
      </c>
      <c r="N4598" s="7">
        <f>IF((+G4598-K4598)=0,0,+G4598-K4598)</f>
        <v/>
      </c>
      <c r="O4598" s="7">
        <f>IF(N4598=0,0,(L4598+H4598)/-N4598)</f>
        <v/>
      </c>
      <c r="P4598" s="7">
        <f>VLOOKUP(OPERAC[[#This Row],[especie]],[1]!ESPECIES[#All],6,0)</f>
        <v/>
      </c>
      <c r="Q4598" s="7">
        <f>IF(N4598&lt;&gt;0,P4598*N4598,0)</f>
        <v/>
      </c>
      <c r="R4598" s="8">
        <f>IF(Q4598&lt;&gt;0,Q4598+H4598+L4598,0)</f>
        <v/>
      </c>
      <c r="S4598" s="9">
        <f>VLOOKUP(OPERAC[[#This Row],[especie]],[1]!ESPECIES[#Data],9,FALSE)</f>
        <v/>
      </c>
    </row>
    <row r="4599">
      <c r="A4599" s="4" t="n">
        <v>7925</v>
      </c>
      <c r="B4599" s="5" t="n">
        <v>44718</v>
      </c>
      <c r="C4599" s="13" t="inlineStr">
        <is>
          <t>CPR</t>
        </is>
      </c>
      <c r="D4599" s="13" t="n">
        <v>32</v>
      </c>
      <c r="E4599" s="10">
        <f>IF(D4599&gt;0,VLOOKUP(OPERAC[[#This Row],[COD CART]],[1]!MatrizCortoLargoCyl[#All],3,0),"")</f>
        <v/>
      </c>
      <c r="F4599" s="13" t="inlineStr">
        <is>
          <t>CCL/CYL/13,00/17-06-22</t>
        </is>
      </c>
      <c r="G4599" s="6" t="n">
        <v>100</v>
      </c>
      <c r="H4599" s="6" t="n">
        <v>-1255.43</v>
      </c>
      <c r="I4599" s="7">
        <f>-H4599/G4599</f>
        <v/>
      </c>
      <c r="J4599" s="5" t="n"/>
      <c r="K4599" s="6" t="n"/>
      <c r="L4599" s="6" t="n"/>
      <c r="M4599" s="7">
        <f>IF(N4599=0,+L4599+H4599,0)</f>
        <v/>
      </c>
      <c r="N4599" s="7">
        <f>IF((+G4599-K4599)=0,0,+G4599-K4599)</f>
        <v/>
      </c>
      <c r="O4599" s="7">
        <f>IF(N4599=0,0,(L4599+H4599)/-N4599)</f>
        <v/>
      </c>
      <c r="P4599" s="7">
        <f>VLOOKUP(OPERAC[[#This Row],[especie]],[1]!ESPECIES[#All],6,0)</f>
        <v/>
      </c>
      <c r="Q4599" s="7">
        <f>IF(N4599&lt;&gt;0,P4599*N4599,0)</f>
        <v/>
      </c>
      <c r="R4599" s="8">
        <f>IF(Q4599&lt;&gt;0,Q4599+H4599+L4599,0)</f>
        <v/>
      </c>
      <c r="S4599" s="9">
        <f>VLOOKUP(OPERAC[[#This Row],[especie]],[1]!ESPECIES[#Data],9,FALSE)</f>
        <v/>
      </c>
    </row>
    <row r="4600">
      <c r="A4600" s="4" t="n">
        <v>12022</v>
      </c>
      <c r="B4600" s="5" t="n">
        <v>44718</v>
      </c>
      <c r="C4600" s="13" t="inlineStr">
        <is>
          <t>CPR</t>
        </is>
      </c>
      <c r="D4600" s="13" t="n">
        <v>32</v>
      </c>
      <c r="E4600" s="10">
        <f>IF(D4600&gt;0,VLOOKUP(OPERAC[[#This Row],[COD CART]],[1]!MatrizCortoLargoCyl[#All],3,0),"")</f>
        <v/>
      </c>
      <c r="F4600" s="13" t="inlineStr">
        <is>
          <t>CCL/CYL/13,00/17-06-22</t>
        </is>
      </c>
      <c r="G4600" s="6" t="n">
        <v>100</v>
      </c>
      <c r="H4600" s="6" t="n">
        <v>-1255.43</v>
      </c>
      <c r="I4600" s="7">
        <f>-H4600/G4600</f>
        <v/>
      </c>
      <c r="J4600" s="5" t="n"/>
      <c r="K4600" s="6" t="n"/>
      <c r="L4600" s="6" t="n"/>
      <c r="M4600" s="7">
        <f>IF(N4600=0,+L4600+H4600,0)</f>
        <v/>
      </c>
      <c r="N4600" s="7">
        <f>IF((+G4600-K4600)=0,0,+G4600-K4600)</f>
        <v/>
      </c>
      <c r="O4600" s="7">
        <f>IF(N4600=0,0,(L4600+H4600)/-N4600)</f>
        <v/>
      </c>
      <c r="P4600" s="7">
        <f>VLOOKUP(OPERAC[[#This Row],[especie]],[1]!ESPECIES[#All],6,0)</f>
        <v/>
      </c>
      <c r="Q4600" s="7">
        <f>IF(N4600&lt;&gt;0,P4600*N4600,0)</f>
        <v/>
      </c>
      <c r="R4600" s="8">
        <f>IF(Q4600&lt;&gt;0,Q4600+H4600+L4600,0)</f>
        <v/>
      </c>
      <c r="S4600" s="9">
        <f>VLOOKUP(OPERAC[[#This Row],[especie]],[1]!ESPECIES[#Data],9,FALSE)</f>
        <v/>
      </c>
    </row>
    <row r="4601">
      <c r="A4601" s="4" t="n">
        <v>12690</v>
      </c>
      <c r="B4601" s="5" t="n">
        <v>44718</v>
      </c>
      <c r="C4601" s="13" t="inlineStr">
        <is>
          <t>CPR</t>
        </is>
      </c>
      <c r="D4601" s="13" t="n">
        <v>32</v>
      </c>
      <c r="E4601" s="10">
        <f>IF(D4601&gt;0,VLOOKUP(OPERAC[[#This Row],[COD CART]],[1]!MatrizCortoLargoCyl[#All],3,0),"")</f>
        <v/>
      </c>
      <c r="F4601" s="13" t="inlineStr">
        <is>
          <t>CCL/CYL/13,00/17-06-22</t>
        </is>
      </c>
      <c r="G4601" s="6" t="n">
        <v>100</v>
      </c>
      <c r="H4601" s="6" t="n">
        <v>-1255.43</v>
      </c>
      <c r="I4601" s="7">
        <f>-H4601/G4601</f>
        <v/>
      </c>
      <c r="J4601" s="5" t="n"/>
      <c r="K4601" s="6" t="n"/>
      <c r="L4601" s="6" t="n"/>
      <c r="M4601" s="7">
        <f>IF(N4601=0,+L4601+H4601,0)</f>
        <v/>
      </c>
      <c r="N4601" s="7">
        <f>IF((+G4601-K4601)=0,0,+G4601-K4601)</f>
        <v/>
      </c>
      <c r="O4601" s="7">
        <f>IF(N4601=0,0,(L4601+H4601)/-N4601)</f>
        <v/>
      </c>
      <c r="P4601" s="7">
        <f>VLOOKUP(OPERAC[[#This Row],[especie]],[1]!ESPECIES[#All],6,0)</f>
        <v/>
      </c>
      <c r="Q4601" s="7">
        <f>IF(N4601&lt;&gt;0,P4601*N4601,0)</f>
        <v/>
      </c>
      <c r="R4601" s="8">
        <f>IF(Q4601&lt;&gt;0,Q4601+H4601+L4601,0)</f>
        <v/>
      </c>
      <c r="S4601" s="9">
        <f>VLOOKUP(OPERAC[[#This Row],[especie]],[1]!ESPECIES[#Data],9,FALSE)</f>
        <v/>
      </c>
    </row>
    <row r="4602">
      <c r="A4602" s="4" t="n">
        <v>3787</v>
      </c>
      <c r="B4602" s="5" t="n">
        <v>44649</v>
      </c>
      <c r="C4602" s="13" t="inlineStr">
        <is>
          <t>CPR</t>
        </is>
      </c>
      <c r="D4602" s="13" t="n">
        <v>42</v>
      </c>
      <c r="E4602" s="10">
        <f>IF(D4602&gt;0,VLOOKUP(OPERAC[[#This Row],[COD CART]],[1]!MatrizCortoLargoCyl[#All],3,0),"")</f>
        <v/>
      </c>
      <c r="F4602" s="13" t="inlineStr">
        <is>
          <t>MSFT</t>
        </is>
      </c>
      <c r="G4602" s="6" t="n">
        <v>4</v>
      </c>
      <c r="H4602" s="6" t="n">
        <v>-1259.3936</v>
      </c>
      <c r="I4602" s="7">
        <f>-H4602/G4602</f>
        <v/>
      </c>
      <c r="J4602" s="11" t="n">
        <v>44662</v>
      </c>
      <c r="K4602" s="6">
        <f>+OPERAC[[#This Row],[cantidad]]</f>
        <v/>
      </c>
      <c r="L4602" s="6">
        <f>287.546*OPERAC[[#This Row],[cantidad venta]]</f>
        <v/>
      </c>
      <c r="M4602" s="7">
        <f>IF(N4602=0,+L4602+H4602,0)</f>
        <v/>
      </c>
      <c r="N4602" s="7">
        <f>IF((+G4602-K4602)=0,0,+G4602-K4602)</f>
        <v/>
      </c>
      <c r="O4602" s="7">
        <f>IF(N4602=0,0,(L4602+H4602)/-N4602)</f>
        <v/>
      </c>
      <c r="P4602" s="7">
        <f>VLOOKUP(OPERAC[[#This Row],[especie]],[1]!ESPECIES[#All],6,0)</f>
        <v/>
      </c>
      <c r="Q4602" s="7">
        <f>IF(N4602&lt;&gt;0,P4602*N4602,0)</f>
        <v/>
      </c>
      <c r="R4602" s="8">
        <f>IF(Q4602&lt;&gt;0,Q4602+H4602+L4602,0)</f>
        <v/>
      </c>
      <c r="S4602" s="9">
        <f>VLOOKUP(OPERAC[[#This Row],[especie]],[1]!ESPECIES[#Data],9,FALSE)</f>
        <v/>
      </c>
    </row>
    <row r="4603">
      <c r="A4603" s="4" t="n">
        <v>19932</v>
      </c>
      <c r="B4603" s="5" t="n">
        <v>44698</v>
      </c>
      <c r="C4603" s="13" t="inlineStr">
        <is>
          <t>CPR</t>
        </is>
      </c>
      <c r="D4603" s="13" t="n">
        <v>39</v>
      </c>
      <c r="E4603" s="10">
        <f>IF(D4603&gt;0,VLOOKUP(OPERAC[[#This Row],[COD CART]],[1]!MatrizCortoLargoCyl[#All],3,0),"")</f>
        <v/>
      </c>
      <c r="F4603" s="13" t="inlineStr">
        <is>
          <t>NTLA/C/65,00/15-07-22</t>
        </is>
      </c>
      <c r="G4603" s="6" t="n">
        <v>500</v>
      </c>
      <c r="H4603" s="6" t="n">
        <v>-1260.625</v>
      </c>
      <c r="I4603" s="7">
        <f>-H4603/G4603</f>
        <v/>
      </c>
      <c r="J4603" s="11" t="n"/>
      <c r="K4603" s="6" t="n"/>
      <c r="L4603" s="6" t="n"/>
      <c r="M4603" s="7">
        <f>IF(N4603=0,+L4603+H4603,0)</f>
        <v/>
      </c>
      <c r="N4603" s="7">
        <f>IF((+G4603-K4603)=0,0,+G4603-K4603)</f>
        <v/>
      </c>
      <c r="O4603" s="7">
        <f>IF(N4603=0,0,(L4603+H4603)/-N4603)</f>
        <v/>
      </c>
      <c r="P4603" s="7">
        <f>VLOOKUP(OPERAC[[#This Row],[especie]],[1]!ESPECIES[#All],6,0)</f>
        <v/>
      </c>
      <c r="Q4603" s="7">
        <f>IF(N4603&lt;&gt;0,P4603*N4603,0)</f>
        <v/>
      </c>
      <c r="R4603" s="8">
        <f>IF(Q4603&lt;&gt;0,Q4603+H4603+L4603,0)</f>
        <v/>
      </c>
      <c r="S4603" s="9">
        <f>VLOOKUP(OPERAC[[#This Row],[especie]],[1]!ESPECIES[#Data],9,FALSE)</f>
        <v/>
      </c>
    </row>
    <row r="4604">
      <c r="A4604" s="4" t="n">
        <v>19920</v>
      </c>
      <c r="B4604" s="5" t="n">
        <v>44698</v>
      </c>
      <c r="C4604" s="13" t="inlineStr">
        <is>
          <t>CPR</t>
        </is>
      </c>
      <c r="D4604" s="13" t="n">
        <v>39</v>
      </c>
      <c r="E4604" s="10">
        <f>IF(D4604&gt;0,VLOOKUP(OPERAC[[#This Row],[COD CART]],[1]!MatrizCortoLargoCyl[#All],3,0),"")</f>
        <v/>
      </c>
      <c r="F4604" s="13" t="inlineStr">
        <is>
          <t>NTLA/C/65,00/15-07-22</t>
        </is>
      </c>
      <c r="G4604" s="6" t="n">
        <v>500</v>
      </c>
      <c r="H4604" s="6" t="n">
        <v>-1260.625</v>
      </c>
      <c r="I4604" s="7">
        <f>-H4604/G4604</f>
        <v/>
      </c>
      <c r="J4604" s="11" t="n"/>
      <c r="K4604" s="6" t="n"/>
      <c r="L4604" s="6" t="n"/>
      <c r="M4604" s="7">
        <f>IF(N4604=0,+L4604+H4604,0)</f>
        <v/>
      </c>
      <c r="N4604" s="7">
        <f>IF((+G4604-K4604)=0,0,+G4604-K4604)</f>
        <v/>
      </c>
      <c r="O4604" s="7">
        <f>IF(N4604=0,0,(L4604+H4604)/-N4604)</f>
        <v/>
      </c>
      <c r="P4604" s="7">
        <f>VLOOKUP(OPERAC[[#This Row],[especie]],[1]!ESPECIES[#All],6,0)</f>
        <v/>
      </c>
      <c r="Q4604" s="7">
        <f>IF(N4604&lt;&gt;0,P4604*N4604,0)</f>
        <v/>
      </c>
      <c r="R4604" s="8">
        <f>IF(Q4604&lt;&gt;0,Q4604+H4604+L4604,0)</f>
        <v/>
      </c>
      <c r="S4604" s="9">
        <f>VLOOKUP(OPERAC[[#This Row],[especie]],[1]!ESPECIES[#Data],9,FALSE)</f>
        <v/>
      </c>
    </row>
    <row r="4605">
      <c r="A4605" s="4" t="n">
        <v>18651</v>
      </c>
      <c r="B4605" s="5" t="n">
        <v>44698</v>
      </c>
      <c r="C4605" s="13" t="inlineStr">
        <is>
          <t>CPR</t>
        </is>
      </c>
      <c r="D4605" s="13" t="n">
        <v>39</v>
      </c>
      <c r="E4605" s="10">
        <f>IF(D4605&gt;0,VLOOKUP(OPERAC[[#This Row],[COD CART]],[1]!MatrizCortoLargoCyl[#All],3,0),"")</f>
        <v/>
      </c>
      <c r="F4605" s="13" t="inlineStr">
        <is>
          <t>NTLA/C/65,00/15-07-22</t>
        </is>
      </c>
      <c r="G4605" s="6" t="n">
        <v>500</v>
      </c>
      <c r="H4605" s="6" t="n">
        <v>-1260.625</v>
      </c>
      <c r="I4605" s="7">
        <f>-H4605/G4605</f>
        <v/>
      </c>
      <c r="J4605" s="11" t="n"/>
      <c r="K4605" s="6" t="n"/>
      <c r="L4605" s="6" t="n"/>
      <c r="M4605" s="7">
        <f>IF(N4605=0,+L4605+H4605,0)</f>
        <v/>
      </c>
      <c r="N4605" s="7">
        <f>IF((+G4605-K4605)=0,0,+G4605-K4605)</f>
        <v/>
      </c>
      <c r="O4605" s="7">
        <f>IF(N4605=0,0,(L4605+H4605)/-N4605)</f>
        <v/>
      </c>
      <c r="P4605" s="7">
        <f>VLOOKUP(OPERAC[[#This Row],[especie]],[1]!ESPECIES[#All],6,0)</f>
        <v/>
      </c>
      <c r="Q4605" s="7">
        <f>IF(N4605&lt;&gt;0,P4605*N4605,0)</f>
        <v/>
      </c>
      <c r="R4605" s="8">
        <f>IF(Q4605&lt;&gt;0,Q4605+H4605+L4605,0)</f>
        <v/>
      </c>
      <c r="S4605" s="9">
        <f>VLOOKUP(OPERAC[[#This Row],[especie]],[1]!ESPECIES[#Data],9,FALSE)</f>
        <v/>
      </c>
    </row>
    <row r="4606">
      <c r="A4606" s="4" t="n">
        <v>15189</v>
      </c>
      <c r="B4606" s="5" t="n">
        <v>44698</v>
      </c>
      <c r="C4606" s="13" t="inlineStr">
        <is>
          <t>CPR</t>
        </is>
      </c>
      <c r="D4606" s="13" t="n">
        <v>39</v>
      </c>
      <c r="E4606" s="10">
        <f>IF(D4606&gt;0,VLOOKUP(OPERAC[[#This Row],[COD CART]],[1]!MatrizCortoLargoCyl[#All],3,0),"")</f>
        <v/>
      </c>
      <c r="F4606" s="13" t="inlineStr">
        <is>
          <t>NTLA/C/65,00/15-07-22</t>
        </is>
      </c>
      <c r="G4606" s="6" t="n">
        <v>500</v>
      </c>
      <c r="H4606" s="6" t="n">
        <v>-1260.625</v>
      </c>
      <c r="I4606" s="7">
        <f>-H4606/G4606</f>
        <v/>
      </c>
      <c r="J4606" s="11" t="n"/>
      <c r="K4606" s="6" t="n"/>
      <c r="L4606" s="6" t="n"/>
      <c r="M4606" s="7">
        <f>IF(N4606=0,+L4606+H4606,0)</f>
        <v/>
      </c>
      <c r="N4606" s="7">
        <f>IF((+G4606-K4606)=0,0,+G4606-K4606)</f>
        <v/>
      </c>
      <c r="O4606" s="7">
        <f>IF(N4606=0,0,(L4606+H4606)/-N4606)</f>
        <v/>
      </c>
      <c r="P4606" s="7">
        <f>VLOOKUP(OPERAC[[#This Row],[especie]],[1]!ESPECIES[#All],6,0)</f>
        <v/>
      </c>
      <c r="Q4606" s="7">
        <f>IF(N4606&lt;&gt;0,P4606*N4606,0)</f>
        <v/>
      </c>
      <c r="R4606" s="8">
        <f>IF(Q4606&lt;&gt;0,Q4606+H4606+L4606,0)</f>
        <v/>
      </c>
      <c r="S4606" s="9">
        <f>VLOOKUP(OPERAC[[#This Row],[especie]],[1]!ESPECIES[#Data],9,FALSE)</f>
        <v/>
      </c>
    </row>
    <row r="4607">
      <c r="A4607" s="4" t="n">
        <v>3021</v>
      </c>
      <c r="B4607" s="5" t="n">
        <v>44671</v>
      </c>
      <c r="C4607" s="13" t="inlineStr">
        <is>
          <t>CPR</t>
        </is>
      </c>
      <c r="D4607" s="13" t="n">
        <v>42</v>
      </c>
      <c r="E4607" s="10">
        <f>IF(D4607&gt;0,VLOOKUP(OPERAC[[#This Row],[COD CART]],[1]!MatrizCortoLargoCyl[#All],3,0),"")</f>
        <v/>
      </c>
      <c r="F4607" s="13" t="inlineStr">
        <is>
          <t>NFLX</t>
        </is>
      </c>
      <c r="G4607" s="6" t="n">
        <v>5</v>
      </c>
      <c r="H4607" s="6" t="n">
        <v>-1263.0618</v>
      </c>
      <c r="I4607" s="7">
        <f>-H4607/G4607</f>
        <v/>
      </c>
      <c r="J4607" s="11" t="n">
        <v>44691</v>
      </c>
      <c r="K4607" s="6" t="n">
        <v>5</v>
      </c>
      <c r="L4607" s="6" t="n">
        <v>865.683</v>
      </c>
      <c r="M4607" s="7">
        <f>IF(N4607=0,+L4607+H4607,0)</f>
        <v/>
      </c>
      <c r="N4607" s="7">
        <f>IF((+G4607-K4607)=0,0,+G4607-K4607)</f>
        <v/>
      </c>
      <c r="O4607" s="7">
        <f>IF(N4607=0,0,(L4607+H4607)/-N4607)</f>
        <v/>
      </c>
      <c r="P4607" s="7">
        <f>VLOOKUP(OPERAC[[#This Row],[especie]],[1]!ESPECIES[#All],6,0)</f>
        <v/>
      </c>
      <c r="Q4607" s="7">
        <f>IF(N4607&lt;&gt;0,P4607*N4607,0)</f>
        <v/>
      </c>
      <c r="R4607" s="8">
        <f>IF(Q4607&lt;&gt;0,Q4607+H4607+L4607,0)</f>
        <v/>
      </c>
      <c r="S4607" s="9">
        <f>VLOOKUP(OPERAC[[#This Row],[especie]],[1]!ESPECIES[#Data],9,FALSE)</f>
        <v/>
      </c>
    </row>
    <row r="4608">
      <c r="A4608" s="4" t="n">
        <v>10079</v>
      </c>
      <c r="B4608" s="5" t="n">
        <v>44643</v>
      </c>
      <c r="C4608" s="13" t="inlineStr">
        <is>
          <t>CPR</t>
        </is>
      </c>
      <c r="D4608" s="13" t="n">
        <v>42</v>
      </c>
      <c r="E4608" s="10">
        <f>IF(D4608&gt;0,VLOOKUP(OPERAC[[#This Row],[COD CART]],[1]!MatrizCortoLargoCyl[#All],3,0),"")</f>
        <v/>
      </c>
      <c r="F4608" s="13" t="inlineStr">
        <is>
          <t>ADBE</t>
        </is>
      </c>
      <c r="G4608" s="6" t="n">
        <v>3</v>
      </c>
      <c r="H4608" s="6" t="n">
        <v>-1263.164325</v>
      </c>
      <c r="I4608" s="7">
        <f>-H4608/G4608</f>
        <v/>
      </c>
      <c r="J4608" s="11" t="n">
        <v>44687</v>
      </c>
      <c r="K4608" s="6">
        <f>+OPERAC[[#This Row],[cantidad]]</f>
        <v/>
      </c>
      <c r="L4608" s="6" t="n">
        <v>1250.12</v>
      </c>
      <c r="M4608" s="7">
        <f>IF(N4608=0,+L4608+H4608,0)</f>
        <v/>
      </c>
      <c r="N4608" s="7">
        <f>IF((+G4608-K4608)=0,0,+G4608-K4608)</f>
        <v/>
      </c>
      <c r="O4608" s="7">
        <f>IF(N4608=0,0,(L4608+H4608)/-N4608)</f>
        <v/>
      </c>
      <c r="P4608" s="7">
        <f>VLOOKUP(OPERAC[[#This Row],[especie]],[1]!ESPECIES[#All],6,0)</f>
        <v/>
      </c>
      <c r="Q4608" s="7">
        <f>IF(N4608&lt;&gt;0,P4608*N4608,0)</f>
        <v/>
      </c>
      <c r="R4608" s="8">
        <f>IF(Q4608&lt;&gt;0,Q4608+H4608+L4608,0)</f>
        <v/>
      </c>
      <c r="S4608" s="9">
        <f>VLOOKUP(OPERAC[[#This Row],[especie]],[1]!ESPECIES[#Data],9,FALSE)</f>
        <v/>
      </c>
    </row>
    <row r="4609">
      <c r="A4609" s="4" t="n">
        <v>18668</v>
      </c>
      <c r="B4609" s="5" t="n">
        <v>43831</v>
      </c>
      <c r="C4609" s="13" t="inlineStr">
        <is>
          <t>CPR</t>
        </is>
      </c>
      <c r="D4609" s="13" t="n">
        <v>41</v>
      </c>
      <c r="E4609" s="10">
        <f>IF(D4609&gt;0,VLOOKUP(OPERAC[[#This Row],[COD CART]],[1]!MatrizCortoLargoCyl[#All],3,0),"")</f>
        <v/>
      </c>
      <c r="F4609" s="13" t="inlineStr">
        <is>
          <t>GGAL</t>
        </is>
      </c>
      <c r="G4609" s="6" t="n">
        <v>100</v>
      </c>
      <c r="H4609" s="6" t="n">
        <v>-1264</v>
      </c>
      <c r="I4609" s="7" t="n">
        <v>12.64</v>
      </c>
      <c r="J4609" s="5" t="n"/>
      <c r="K4609" s="6" t="n"/>
      <c r="L4609" s="6" t="n"/>
      <c r="M4609" s="7">
        <f>IF(N4609=0,+L4609+H4609,0)</f>
        <v/>
      </c>
      <c r="N4609" s="7">
        <f>IF((+G4609-K4609)=0,0,+G4609-K4609)</f>
        <v/>
      </c>
      <c r="O4609" s="7">
        <f>IF(N4609=0,0,(L4609+H4609)/-N4609)</f>
        <v/>
      </c>
      <c r="P4609" s="7">
        <f>VLOOKUP(OPERAC[[#This Row],[especie]],[1]!ESPECIES[#All],6,0)</f>
        <v/>
      </c>
      <c r="Q4609" s="7">
        <f>IF(N4609&lt;&gt;0,P4609*N4609,0)</f>
        <v/>
      </c>
      <c r="R4609" s="8">
        <f>IF(Q4609&lt;&gt;0,Q4609+H4609+L4609,0)</f>
        <v/>
      </c>
      <c r="S4609" s="9">
        <f>VLOOKUP(OPERAC[[#This Row],[especie]],[1]!ESPECIES[#Data],9,FALSE)</f>
        <v/>
      </c>
    </row>
    <row r="4610">
      <c r="A4610" s="4" t="n">
        <v>13180</v>
      </c>
      <c r="B4610" s="5" t="n">
        <v>44641</v>
      </c>
      <c r="C4610" s="13" t="inlineStr">
        <is>
          <t>CPR</t>
        </is>
      </c>
      <c r="D4610" s="13" t="n">
        <v>42</v>
      </c>
      <c r="E4610" s="10">
        <f>IF(D4610&gt;0,VLOOKUP(OPERAC[[#This Row],[COD CART]],[1]!MatrizCortoLargoCyl[#All],3,0),"")</f>
        <v/>
      </c>
      <c r="F4610" s="13" t="inlineStr">
        <is>
          <t>JPM</t>
        </is>
      </c>
      <c r="G4610" s="6" t="n">
        <v>9</v>
      </c>
      <c r="H4610" s="6" t="n">
        <v>-1264.08906</v>
      </c>
      <c r="I4610" s="7">
        <f>-H4610/G4610</f>
        <v/>
      </c>
      <c r="J4610" s="11" t="n">
        <v>44664</v>
      </c>
      <c r="K4610" s="6">
        <f>+OPERAC[[#This Row],[cantidad]]</f>
        <v/>
      </c>
      <c r="L4610" s="6">
        <f>+OPERAC[[#This Row],[cantidad venta]]*125.943</f>
        <v/>
      </c>
      <c r="M4610" s="7">
        <f>IF(N4610=0,+L4610+H4610,0)</f>
        <v/>
      </c>
      <c r="N4610" s="7">
        <f>IF((+G4610-K4610)=0,0,+G4610-K4610)</f>
        <v/>
      </c>
      <c r="O4610" s="7">
        <f>IF(N4610=0,0,(L4610+H4610)/-N4610)</f>
        <v/>
      </c>
      <c r="P4610" s="7">
        <f>VLOOKUP(OPERAC[[#This Row],[especie]],[1]!ESPECIES[#All],6,0)</f>
        <v/>
      </c>
      <c r="Q4610" s="7">
        <f>IF(N4610&lt;&gt;0,P4610*N4610,0)</f>
        <v/>
      </c>
      <c r="R4610" s="8">
        <f>IF(Q4610&lt;&gt;0,Q4610+H4610+L4610,0)</f>
        <v/>
      </c>
      <c r="S4610" s="9">
        <f>VLOOKUP(OPERAC[[#This Row],[especie]],[1]!ESPECIES[#Data],9,FALSE)</f>
        <v/>
      </c>
    </row>
    <row r="4611">
      <c r="A4611" s="4" t="n">
        <v>22393</v>
      </c>
      <c r="B4611" s="5" t="n">
        <v>44512</v>
      </c>
      <c r="C4611" s="13" t="inlineStr">
        <is>
          <t>CPR</t>
        </is>
      </c>
      <c r="D4611" s="13" t="n">
        <v>31</v>
      </c>
      <c r="E4611" s="10">
        <f>IF(D4611&gt;0,VLOOKUP(OPERAC[[#This Row],[COD CART]],[1]!MatrizCortoLargoCyl[#All],3,0),"")</f>
        <v/>
      </c>
      <c r="F4611" s="13" t="inlineStr">
        <is>
          <t>IPIX</t>
        </is>
      </c>
      <c r="G4611" s="6" t="n">
        <v>11000</v>
      </c>
      <c r="H4611" s="6" t="n">
        <v>-1265.44</v>
      </c>
      <c r="I4611" s="7">
        <f>-H4611/G4611</f>
        <v/>
      </c>
      <c r="J4611" s="11" t="n"/>
      <c r="K4611" s="6" t="n"/>
      <c r="L4611" s="6" t="n"/>
      <c r="M4611" s="7">
        <f>IF(N4611=0,+L4611+H4611,0)</f>
        <v/>
      </c>
      <c r="N4611" s="7">
        <f>IF((+G4611-K4611)=0,0,+G4611-K4611)</f>
        <v/>
      </c>
      <c r="O4611" s="7">
        <f>IF(N4611=0,0,(L4611+H4611)/-N4611)</f>
        <v/>
      </c>
      <c r="P4611" s="7">
        <f>VLOOKUP(OPERAC[[#This Row],[especie]],[1]!ESPECIES[#All],6,0)</f>
        <v/>
      </c>
      <c r="Q4611" s="7">
        <f>IF(N4611&lt;&gt;0,P4611*N4611,0)</f>
        <v/>
      </c>
      <c r="R4611" s="8">
        <f>IF(Q4611&lt;&gt;0,Q4611+H4611+L4611,0)</f>
        <v/>
      </c>
      <c r="S4611" s="9">
        <f>VLOOKUP(OPERAC[[#This Row],[especie]],[1]!ESPECIES[#Data],9,FALSE)</f>
        <v/>
      </c>
    </row>
    <row r="4612">
      <c r="A4612" s="4" t="n">
        <v>18668</v>
      </c>
      <c r="B4612" s="5" t="n">
        <v>44403</v>
      </c>
      <c r="C4612" s="13" t="inlineStr">
        <is>
          <t>CPR</t>
        </is>
      </c>
      <c r="D4612" s="13" t="n">
        <v>41</v>
      </c>
      <c r="E4612" s="10">
        <f>IF(D4612&gt;0,VLOOKUP(OPERAC[[#This Row],[COD CART]],[1]!MatrizCortoLargoCyl[#All],3,0),"")</f>
        <v/>
      </c>
      <c r="F4612" s="13" t="inlineStr">
        <is>
          <t>EDU</t>
        </is>
      </c>
      <c r="G4612" s="6" t="n">
        <v>50</v>
      </c>
      <c r="H4612" s="6" t="n">
        <v>-1266.3</v>
      </c>
      <c r="I4612" s="7">
        <f>-H4612/G4612</f>
        <v/>
      </c>
      <c r="J4612" s="11" t="n"/>
      <c r="K4612" s="6" t="n"/>
      <c r="L4612" s="6" t="n"/>
      <c r="M4612" s="7">
        <f>IF(N4612=0,+L4612+H4612,0)</f>
        <v/>
      </c>
      <c r="N4612" s="7">
        <f>IF((+G4612-K4612)=0,0,+G4612-K4612)</f>
        <v/>
      </c>
      <c r="O4612" s="7">
        <f>IF(N4612=0,0,(L4612+H4612)/-N4612)</f>
        <v/>
      </c>
      <c r="P4612" s="7">
        <f>VLOOKUP(OPERAC[[#This Row],[especie]],[1]!ESPECIES[#All],6,0)</f>
        <v/>
      </c>
      <c r="Q4612" s="7">
        <f>IF(N4612&lt;&gt;0,P4612*N4612,0)</f>
        <v/>
      </c>
      <c r="R4612" s="8">
        <f>IF(Q4612&lt;&gt;0,Q4612+H4612+L4612,0)</f>
        <v/>
      </c>
      <c r="S4612" s="9">
        <f>VLOOKUP(OPERAC[[#This Row],[especie]],[1]!ESPECIES[#Data],9,FALSE)</f>
        <v/>
      </c>
    </row>
    <row r="4613">
      <c r="A4613" s="4" t="n">
        <v>12627</v>
      </c>
      <c r="B4613" s="5" t="n">
        <v>44643</v>
      </c>
      <c r="C4613" s="13" t="inlineStr">
        <is>
          <t>CPR</t>
        </is>
      </c>
      <c r="D4613" s="13" t="n">
        <v>42</v>
      </c>
      <c r="E4613" s="10">
        <f>IF(D4613&gt;0,VLOOKUP(OPERAC[[#This Row],[COD CART]],[1]!MatrizCortoLargoCyl[#All],3,0),"")</f>
        <v/>
      </c>
      <c r="F4613" s="13" t="inlineStr">
        <is>
          <t>JPM</t>
        </is>
      </c>
      <c r="G4613" s="6" t="n">
        <v>9</v>
      </c>
      <c r="H4613" s="6" t="n">
        <v>-1271.21976</v>
      </c>
      <c r="I4613" s="7">
        <f>-H4613/G4613</f>
        <v/>
      </c>
      <c r="J4613" s="11" t="n">
        <v>44664</v>
      </c>
      <c r="K4613" s="6">
        <f>+OPERAC[[#This Row],[cantidad]]</f>
        <v/>
      </c>
      <c r="L4613" s="6">
        <f>+OPERAC[[#This Row],[cantidad venta]]*125.943</f>
        <v/>
      </c>
      <c r="M4613" s="7">
        <f>IF(N4613=0,+L4613+H4613,0)</f>
        <v/>
      </c>
      <c r="N4613" s="7">
        <f>IF((+G4613-K4613)=0,0,+G4613-K4613)</f>
        <v/>
      </c>
      <c r="O4613" s="7">
        <f>IF(N4613=0,0,(L4613+H4613)/-N4613)</f>
        <v/>
      </c>
      <c r="P4613" s="7">
        <f>VLOOKUP(OPERAC[[#This Row],[especie]],[1]!ESPECIES[#All],6,0)</f>
        <v/>
      </c>
      <c r="Q4613" s="7">
        <f>IF(N4613&lt;&gt;0,P4613*N4613,0)</f>
        <v/>
      </c>
      <c r="R4613" s="8">
        <f>IF(Q4613&lt;&gt;0,Q4613+H4613+L4613,0)</f>
        <v/>
      </c>
      <c r="S4613" s="9">
        <f>VLOOKUP(OPERAC[[#This Row],[especie]],[1]!ESPECIES[#Data],9,FALSE)</f>
        <v/>
      </c>
    </row>
    <row r="4614">
      <c r="A4614" s="4" t="n">
        <v>16780</v>
      </c>
      <c r="B4614" s="5" t="n">
        <v>44650</v>
      </c>
      <c r="C4614" s="13" t="inlineStr">
        <is>
          <t>CPR</t>
        </is>
      </c>
      <c r="D4614" s="13" t="n">
        <v>42</v>
      </c>
      <c r="E4614" s="10">
        <f>IF(D4614&gt;0,VLOOKUP(OPERAC[[#This Row],[COD CART]],[1]!MatrizCortoLargoCyl[#All],3,0),"")</f>
        <v/>
      </c>
      <c r="F4614" s="13" t="inlineStr">
        <is>
          <t>MSFT</t>
        </is>
      </c>
      <c r="G4614" s="6" t="n">
        <v>4</v>
      </c>
      <c r="H4614" s="6" t="n">
        <v>-1272.3312</v>
      </c>
      <c r="I4614" s="7">
        <f>-H4614/G4614</f>
        <v/>
      </c>
      <c r="J4614" s="11" t="n">
        <v>44662</v>
      </c>
      <c r="K4614" s="6">
        <f>+OPERAC[[#This Row],[cantidad]]</f>
        <v/>
      </c>
      <c r="L4614" s="6">
        <f>287.546*OPERAC[[#This Row],[cantidad venta]]</f>
        <v/>
      </c>
      <c r="M4614" s="7">
        <f>IF(N4614=0,+L4614+H4614,0)</f>
        <v/>
      </c>
      <c r="N4614" s="7">
        <f>IF((+G4614-K4614)=0,0,+G4614-K4614)</f>
        <v/>
      </c>
      <c r="O4614" s="7">
        <f>IF(N4614=0,0,(L4614+H4614)/-N4614)</f>
        <v/>
      </c>
      <c r="P4614" s="7">
        <f>VLOOKUP(OPERAC[[#This Row],[especie]],[1]!ESPECIES[#All],6,0)</f>
        <v/>
      </c>
      <c r="Q4614" s="7">
        <f>IF(N4614&lt;&gt;0,P4614*N4614,0)</f>
        <v/>
      </c>
      <c r="R4614" s="8">
        <f>IF(Q4614&lt;&gt;0,Q4614+H4614+L4614,0)</f>
        <v/>
      </c>
      <c r="S4614" s="9">
        <f>VLOOKUP(OPERAC[[#This Row],[especie]],[1]!ESPECIES[#Data],9,FALSE)</f>
        <v/>
      </c>
    </row>
    <row r="4615">
      <c r="A4615" s="4" t="n">
        <v>1760</v>
      </c>
      <c r="B4615" s="5" t="n">
        <v>44671</v>
      </c>
      <c r="C4615" s="13" t="inlineStr">
        <is>
          <t>CPR</t>
        </is>
      </c>
      <c r="D4615" s="13" t="n">
        <v>42</v>
      </c>
      <c r="E4615" s="10">
        <f>IF(D4615&gt;0,VLOOKUP(OPERAC[[#This Row],[COD CART]],[1]!MatrizCortoLargoCyl[#All],3,0),"")</f>
        <v/>
      </c>
      <c r="F4615" s="13" t="inlineStr">
        <is>
          <t>NFLX</t>
        </is>
      </c>
      <c r="G4615" s="6" t="n">
        <v>5</v>
      </c>
      <c r="H4615" s="6" t="n">
        <v>-1272.5253</v>
      </c>
      <c r="I4615" s="7">
        <f>-H4615/G4615</f>
        <v/>
      </c>
      <c r="J4615" s="11" t="n">
        <v>44693</v>
      </c>
      <c r="K4615" s="6">
        <f>+OPERAC[[#This Row],[cantidad]]</f>
        <v/>
      </c>
      <c r="L4615" s="6">
        <f>+OPERAC[[#This Row],[cantidad venta]]*164.905</f>
        <v/>
      </c>
      <c r="M4615" s="7">
        <f>IF(N4615=0,+L4615+H4615,0)</f>
        <v/>
      </c>
      <c r="N4615" s="7">
        <f>IF((+G4615-K4615)=0,0,+G4615-K4615)</f>
        <v/>
      </c>
      <c r="O4615" s="7">
        <f>IF(N4615=0,0,(L4615+H4615)/-N4615)</f>
        <v/>
      </c>
      <c r="P4615" s="7">
        <f>VLOOKUP(OPERAC[[#This Row],[especie]],[1]!ESPECIES[#All],6,0)</f>
        <v/>
      </c>
      <c r="Q4615" s="7">
        <f>IF(N4615&lt;&gt;0,P4615*N4615,0)</f>
        <v/>
      </c>
      <c r="R4615" s="8">
        <f>IF(Q4615&lt;&gt;0,Q4615+H4615+L4615,0)</f>
        <v/>
      </c>
      <c r="S4615" s="9">
        <f>VLOOKUP(OPERAC[[#This Row],[especie]],[1]!ESPECIES[#Data],9,FALSE)</f>
        <v/>
      </c>
    </row>
    <row r="4616">
      <c r="A4616" s="4" t="n">
        <v>2257</v>
      </c>
      <c r="B4616" s="5" t="n">
        <v>44671</v>
      </c>
      <c r="C4616" s="13" t="inlineStr">
        <is>
          <t>CPR</t>
        </is>
      </c>
      <c r="D4616" s="13" t="n">
        <v>42</v>
      </c>
      <c r="E4616" s="10">
        <f>IF(D4616&gt;0,VLOOKUP(OPERAC[[#This Row],[COD CART]],[1]!MatrizCortoLargoCyl[#All],3,0),"")</f>
        <v/>
      </c>
      <c r="F4616" s="13" t="inlineStr">
        <is>
          <t>NFLX</t>
        </is>
      </c>
      <c r="G4616" s="6" t="n">
        <v>5</v>
      </c>
      <c r="H4616" s="6" t="n">
        <v>-1272.5253</v>
      </c>
      <c r="I4616" s="7">
        <f>-H4616/G4616</f>
        <v/>
      </c>
      <c r="J4616" s="11" t="n">
        <v>44693</v>
      </c>
      <c r="K4616" s="6">
        <f>+OPERAC[[#This Row],[cantidad]]</f>
        <v/>
      </c>
      <c r="L4616" s="6">
        <f>+OPERAC[[#This Row],[cantidad venta]]*164.905</f>
        <v/>
      </c>
      <c r="M4616" s="7">
        <f>IF(N4616=0,+L4616+H4616,0)</f>
        <v/>
      </c>
      <c r="N4616" s="7">
        <f>IF((+G4616-K4616)=0,0,+G4616-K4616)</f>
        <v/>
      </c>
      <c r="O4616" s="7">
        <f>IF(N4616=0,0,(L4616+H4616)/-N4616)</f>
        <v/>
      </c>
      <c r="P4616" s="7">
        <f>VLOOKUP(OPERAC[[#This Row],[especie]],[1]!ESPECIES[#All],6,0)</f>
        <v/>
      </c>
      <c r="Q4616" s="7">
        <f>IF(N4616&lt;&gt;0,P4616*N4616,0)</f>
        <v/>
      </c>
      <c r="R4616" s="8">
        <f>IF(Q4616&lt;&gt;0,Q4616+H4616+L4616,0)</f>
        <v/>
      </c>
      <c r="S4616" s="9">
        <f>VLOOKUP(OPERAC[[#This Row],[especie]],[1]!ESPECIES[#Data],9,FALSE)</f>
        <v/>
      </c>
    </row>
    <row r="4617">
      <c r="A4617" s="4" t="n">
        <v>12674</v>
      </c>
      <c r="B4617" s="5" t="n">
        <v>44671</v>
      </c>
      <c r="C4617" s="13" t="inlineStr">
        <is>
          <t>CPR</t>
        </is>
      </c>
      <c r="D4617" s="13" t="n">
        <v>42</v>
      </c>
      <c r="E4617" s="10">
        <f>IF(D4617&gt;0,VLOOKUP(OPERAC[[#This Row],[COD CART]],[1]!MatrizCortoLargoCyl[#All],3,0),"")</f>
        <v/>
      </c>
      <c r="F4617" s="13" t="inlineStr">
        <is>
          <t>NFLX</t>
        </is>
      </c>
      <c r="G4617" s="6" t="n">
        <v>5</v>
      </c>
      <c r="H4617" s="6" t="n">
        <v>-1272.5253</v>
      </c>
      <c r="I4617" s="7">
        <f>-H4617/G4617</f>
        <v/>
      </c>
      <c r="J4617" s="11" t="n">
        <v>44693</v>
      </c>
      <c r="K4617" s="6">
        <f>+OPERAC[[#This Row],[cantidad]]</f>
        <v/>
      </c>
      <c r="L4617" s="6">
        <f>+OPERAC[[#This Row],[cantidad venta]]*169.079</f>
        <v/>
      </c>
      <c r="M4617" s="7">
        <f>IF(N4617=0,+L4617+H4617,0)</f>
        <v/>
      </c>
      <c r="N4617" s="7">
        <f>IF((+G4617-K4617)=0,0,+G4617-K4617)</f>
        <v/>
      </c>
      <c r="O4617" s="7">
        <f>IF(N4617=0,0,(L4617+H4617)/-N4617)</f>
        <v/>
      </c>
      <c r="P4617" s="7">
        <f>VLOOKUP(OPERAC[[#This Row],[especie]],[1]!ESPECIES[#All],6,0)</f>
        <v/>
      </c>
      <c r="Q4617" s="7">
        <f>IF(N4617&lt;&gt;0,P4617*N4617,0)</f>
        <v/>
      </c>
      <c r="R4617" s="8">
        <f>IF(Q4617&lt;&gt;0,Q4617+H4617+L4617,0)</f>
        <v/>
      </c>
      <c r="S4617" s="9">
        <f>VLOOKUP(OPERAC[[#This Row],[especie]],[1]!ESPECIES[#Data],9,FALSE)</f>
        <v/>
      </c>
    </row>
    <row r="4618">
      <c r="A4618" s="4" t="n">
        <v>19888</v>
      </c>
      <c r="B4618" s="5" t="n">
        <v>44671</v>
      </c>
      <c r="C4618" s="13" t="inlineStr">
        <is>
          <t>CPR</t>
        </is>
      </c>
      <c r="D4618" s="13" t="n">
        <v>42</v>
      </c>
      <c r="E4618" s="10">
        <f>IF(D4618&gt;0,VLOOKUP(OPERAC[[#This Row],[COD CART]],[1]!MatrizCortoLargoCyl[#All],3,0),"")</f>
        <v/>
      </c>
      <c r="F4618" s="13" t="inlineStr">
        <is>
          <t>NFLX</t>
        </is>
      </c>
      <c r="G4618" s="6" t="n">
        <v>5</v>
      </c>
      <c r="H4618" s="6" t="n">
        <v>-1272.5253</v>
      </c>
      <c r="I4618" s="7">
        <f>-H4618/G4618</f>
        <v/>
      </c>
      <c r="J4618" s="11" t="n">
        <v>44693</v>
      </c>
      <c r="K4618" s="6">
        <f>+OPERAC[[#This Row],[cantidad]]</f>
        <v/>
      </c>
      <c r="L4618" s="6">
        <f>+OPERAC[[#This Row],[cantidad venta]]*169.089</f>
        <v/>
      </c>
      <c r="M4618" s="7">
        <f>IF(N4618=0,+L4618+H4618,0)</f>
        <v/>
      </c>
      <c r="N4618" s="7">
        <f>IF((+G4618-K4618)=0,0,+G4618-K4618)</f>
        <v/>
      </c>
      <c r="O4618" s="7">
        <f>IF(N4618=0,0,(L4618+H4618)/-N4618)</f>
        <v/>
      </c>
      <c r="P4618" s="7">
        <f>VLOOKUP(OPERAC[[#This Row],[especie]],[1]!ESPECIES[#All],6,0)</f>
        <v/>
      </c>
      <c r="Q4618" s="7">
        <f>IF(N4618&lt;&gt;0,P4618*N4618,0)</f>
        <v/>
      </c>
      <c r="R4618" s="8">
        <f>IF(Q4618&lt;&gt;0,Q4618+H4618+L4618,0)</f>
        <v/>
      </c>
      <c r="S4618" s="9">
        <f>VLOOKUP(OPERAC[[#This Row],[especie]],[1]!ESPECIES[#Data],9,FALSE)</f>
        <v/>
      </c>
    </row>
    <row r="4619">
      <c r="A4619" s="4" t="n">
        <v>26140</v>
      </c>
      <c r="B4619" s="5" t="n">
        <v>44671</v>
      </c>
      <c r="C4619" s="13" t="inlineStr">
        <is>
          <t>CPR</t>
        </is>
      </c>
      <c r="D4619" s="13" t="n">
        <v>42</v>
      </c>
      <c r="E4619" s="10">
        <f>IF(D4619&gt;0,VLOOKUP(OPERAC[[#This Row],[COD CART]],[1]!MatrizCortoLargoCyl[#All],3,0),"")</f>
        <v/>
      </c>
      <c r="F4619" s="13" t="inlineStr">
        <is>
          <t>NFLX</t>
        </is>
      </c>
      <c r="G4619" s="6" t="n">
        <v>5</v>
      </c>
      <c r="H4619" s="6" t="n">
        <v>-1272.5253</v>
      </c>
      <c r="I4619" s="7">
        <f>-H4619/G4619</f>
        <v/>
      </c>
      <c r="J4619" s="11" t="n">
        <v>44693</v>
      </c>
      <c r="K4619" s="6">
        <f>+OPERAC[[#This Row],[cantidad]]</f>
        <v/>
      </c>
      <c r="L4619" s="6">
        <f>+OPERAC[[#This Row],[cantidad venta]]*169.089</f>
        <v/>
      </c>
      <c r="M4619" s="7">
        <f>IF(N4619=0,+L4619+H4619,0)</f>
        <v/>
      </c>
      <c r="N4619" s="7">
        <f>IF((+G4619-K4619)=0,0,+G4619-K4619)</f>
        <v/>
      </c>
      <c r="O4619" s="7">
        <f>IF(N4619=0,0,(L4619+H4619)/-N4619)</f>
        <v/>
      </c>
      <c r="P4619" s="7">
        <f>VLOOKUP(OPERAC[[#This Row],[especie]],[1]!ESPECIES[#All],6,0)</f>
        <v/>
      </c>
      <c r="Q4619" s="7">
        <f>IF(N4619&lt;&gt;0,P4619*N4619,0)</f>
        <v/>
      </c>
      <c r="R4619" s="8">
        <f>IF(Q4619&lt;&gt;0,Q4619+H4619+L4619,0)</f>
        <v/>
      </c>
      <c r="S4619" s="9">
        <f>VLOOKUP(OPERAC[[#This Row],[especie]],[1]!ESPECIES[#Data],9,FALSE)</f>
        <v/>
      </c>
    </row>
    <row r="4620">
      <c r="A4620" s="4" t="n">
        <v>13180</v>
      </c>
      <c r="B4620" s="5" t="n">
        <v>44641</v>
      </c>
      <c r="C4620" s="13" t="inlineStr">
        <is>
          <t>CPR</t>
        </is>
      </c>
      <c r="D4620" s="13" t="n">
        <v>42</v>
      </c>
      <c r="E4620" s="10">
        <f>IF(D4620&gt;0,VLOOKUP(OPERAC[[#This Row],[COD CART]],[1]!MatrizCortoLargoCyl[#All],3,0),"")</f>
        <v/>
      </c>
      <c r="F4620" s="13" t="inlineStr">
        <is>
          <t>FB</t>
        </is>
      </c>
      <c r="G4620" s="6" t="n">
        <v>6</v>
      </c>
      <c r="H4620" s="6" t="n">
        <v>-1272.93828</v>
      </c>
      <c r="I4620" s="7">
        <f>-H4620/G4620</f>
        <v/>
      </c>
      <c r="J4620" s="11" t="n">
        <v>44671</v>
      </c>
      <c r="K4620" s="6">
        <f>+OPERAC[[#This Row],[cantidad]]</f>
        <v/>
      </c>
      <c r="L4620" s="6">
        <f>+OPERAC[[#This Row],[cantidad venta]]*213.173</f>
        <v/>
      </c>
      <c r="M4620" s="7">
        <f>IF(N4620=0,+L4620+H4620,0)</f>
        <v/>
      </c>
      <c r="N4620" s="7">
        <f>IF((+G4620-K4620)=0,0,+G4620-K4620)</f>
        <v/>
      </c>
      <c r="O4620" s="7">
        <f>IF(N4620=0,0,(L4620+H4620)/-N4620)</f>
        <v/>
      </c>
      <c r="P4620" s="7">
        <f>VLOOKUP(OPERAC[[#This Row],[especie]],[1]!ESPECIES[#All],6,0)</f>
        <v/>
      </c>
      <c r="Q4620" s="7">
        <f>IF(N4620&lt;&gt;0,P4620*N4620,0)</f>
        <v/>
      </c>
      <c r="R4620" s="8">
        <f>IF(Q4620&lt;&gt;0,Q4620+H4620+L4620,0)</f>
        <v/>
      </c>
      <c r="S4620" s="9">
        <f>VLOOKUP(OPERAC[[#This Row],[especie]],[1]!ESPECIES[#Data],9,FALSE)</f>
        <v/>
      </c>
    </row>
    <row r="4621">
      <c r="A4621" s="4" t="n">
        <v>18651</v>
      </c>
      <c r="B4621" s="5" t="n">
        <v>44641</v>
      </c>
      <c r="C4621" s="13" t="inlineStr">
        <is>
          <t>CPR</t>
        </is>
      </c>
      <c r="D4621" s="13" t="n">
        <v>42</v>
      </c>
      <c r="E4621" s="10">
        <f>IF(D4621&gt;0,VLOOKUP(OPERAC[[#This Row],[COD CART]],[1]!MatrizCortoLargoCyl[#All],3,0),"")</f>
        <v/>
      </c>
      <c r="F4621" s="13" t="inlineStr">
        <is>
          <t>FB</t>
        </is>
      </c>
      <c r="G4621" s="6" t="n">
        <v>6</v>
      </c>
      <c r="H4621" s="6" t="n">
        <v>-1272.93828</v>
      </c>
      <c r="I4621" s="7">
        <f>-H4621/G4621</f>
        <v/>
      </c>
      <c r="J4621" s="11" t="n">
        <v>44671</v>
      </c>
      <c r="K4621" s="6">
        <f>+OPERAC[[#This Row],[cantidad]]</f>
        <v/>
      </c>
      <c r="L4621" s="6">
        <f>+OPERAC[[#This Row],[cantidad venta]]*213.173</f>
        <v/>
      </c>
      <c r="M4621" s="7">
        <f>IF(N4621=0,+L4621+H4621,0)</f>
        <v/>
      </c>
      <c r="N4621" s="7">
        <f>IF((+G4621-K4621)=0,0,+G4621-K4621)</f>
        <v/>
      </c>
      <c r="O4621" s="7">
        <f>IF(N4621=0,0,(L4621+H4621)/-N4621)</f>
        <v/>
      </c>
      <c r="P4621" s="7">
        <f>VLOOKUP(OPERAC[[#This Row],[especie]],[1]!ESPECIES[#All],6,0)</f>
        <v/>
      </c>
      <c r="Q4621" s="7">
        <f>IF(N4621&lt;&gt;0,P4621*N4621,0)</f>
        <v/>
      </c>
      <c r="R4621" s="8">
        <f>IF(Q4621&lt;&gt;0,Q4621+H4621+L4621,0)</f>
        <v/>
      </c>
      <c r="S4621" s="9">
        <f>VLOOKUP(OPERAC[[#This Row],[especie]],[1]!ESPECIES[#Data],9,FALSE)</f>
        <v/>
      </c>
    </row>
    <row r="4622">
      <c r="A4622" s="4" t="n">
        <v>18690</v>
      </c>
      <c r="B4622" s="5" t="n">
        <v>44708</v>
      </c>
      <c r="C4622" s="13" t="inlineStr">
        <is>
          <t>CPR</t>
        </is>
      </c>
      <c r="D4622" s="13" t="n">
        <v>32</v>
      </c>
      <c r="E4622" s="10">
        <f>IF(D4622&gt;0,VLOOKUP(OPERAC[[#This Row],[COD CART]],[1]!MatrizCortoLargoCyl[#All],3,0),"")</f>
        <v/>
      </c>
      <c r="F4622" s="13" t="inlineStr">
        <is>
          <t>CCL/CYL/13,00/03-06-22</t>
        </is>
      </c>
      <c r="G4622" s="6" t="n">
        <v>100</v>
      </c>
      <c r="H4622" s="6" t="n">
        <v>-1276.4</v>
      </c>
      <c r="I4622" s="7">
        <f>-H4622/G4622</f>
        <v/>
      </c>
      <c r="J4622" s="5" t="n">
        <v>44715</v>
      </c>
      <c r="K4622" s="6">
        <f>+OPERAC[[#This Row],[cantidad]]</f>
        <v/>
      </c>
      <c r="L4622" s="6">
        <f>+OPERAC[[#This Row],[cantidad venta]]*12.942</f>
        <v/>
      </c>
      <c r="M4622" s="7">
        <f>IF(N4622=0,+L4622+H4622,0)</f>
        <v/>
      </c>
      <c r="N4622" s="7">
        <f>IF((+G4622-K4622)=0,0,+G4622-K4622)</f>
        <v/>
      </c>
      <c r="O4622" s="7">
        <f>IF(N4622=0,0,(L4622+H4622)/-N4622)</f>
        <v/>
      </c>
      <c r="P4622" s="7">
        <f>VLOOKUP(OPERAC[[#This Row],[especie]],[1]!ESPECIES[#All],6,0)</f>
        <v/>
      </c>
      <c r="Q4622" s="7">
        <f>IF(N4622&lt;&gt;0,P4622*N4622,0)</f>
        <v/>
      </c>
      <c r="R4622" s="8">
        <f>IF(Q4622&lt;&gt;0,Q4622+H4622+L4622,0)</f>
        <v/>
      </c>
      <c r="S4622" s="9">
        <f>VLOOKUP(OPERAC[[#This Row],[especie]],[1]!ESPECIES[#Data],9,FALSE)</f>
        <v/>
      </c>
    </row>
    <row r="4623">
      <c r="A4623" s="4" t="n">
        <v>18677</v>
      </c>
      <c r="B4623" s="5" t="n">
        <v>44708</v>
      </c>
      <c r="C4623" s="13" t="inlineStr">
        <is>
          <t>CPR</t>
        </is>
      </c>
      <c r="D4623" s="13" t="n">
        <v>32</v>
      </c>
      <c r="E4623" s="10">
        <f>IF(D4623&gt;0,VLOOKUP(OPERAC[[#This Row],[COD CART]],[1]!MatrizCortoLargoCyl[#All],3,0),"")</f>
        <v/>
      </c>
      <c r="F4623" s="13" t="inlineStr">
        <is>
          <t>CCL/CYL/13,00/03-06-22</t>
        </is>
      </c>
      <c r="G4623" s="6" t="n">
        <v>100</v>
      </c>
      <c r="H4623" s="6" t="n">
        <v>-1276.4</v>
      </c>
      <c r="I4623" s="7">
        <f>-H4623/G4623</f>
        <v/>
      </c>
      <c r="J4623" s="5" t="n">
        <v>44715</v>
      </c>
      <c r="K4623" s="6">
        <f>+OPERAC[[#This Row],[cantidad]]</f>
        <v/>
      </c>
      <c r="L4623" s="6">
        <f>+OPERAC[[#This Row],[cantidad venta]]*12.942</f>
        <v/>
      </c>
      <c r="M4623" s="7">
        <f>IF(N4623=0,+L4623+H4623,0)</f>
        <v/>
      </c>
      <c r="N4623" s="7">
        <f>IF((+G4623-K4623)=0,0,+G4623-K4623)</f>
        <v/>
      </c>
      <c r="O4623" s="7">
        <f>IF(N4623=0,0,(L4623+H4623)/-N4623)</f>
        <v/>
      </c>
      <c r="P4623" s="7">
        <f>VLOOKUP(OPERAC[[#This Row],[especie]],[1]!ESPECIES[#All],6,0)</f>
        <v/>
      </c>
      <c r="Q4623" s="7">
        <f>IF(N4623&lt;&gt;0,P4623*N4623,0)</f>
        <v/>
      </c>
      <c r="R4623" s="8">
        <f>IF(Q4623&lt;&gt;0,Q4623+H4623+L4623,0)</f>
        <v/>
      </c>
      <c r="S4623" s="9">
        <f>VLOOKUP(OPERAC[[#This Row],[especie]],[1]!ESPECIES[#Data],9,FALSE)</f>
        <v/>
      </c>
    </row>
    <row r="4624">
      <c r="A4624" s="4" t="n">
        <v>18651</v>
      </c>
      <c r="B4624" s="5" t="n">
        <v>44708</v>
      </c>
      <c r="C4624" s="13" t="inlineStr">
        <is>
          <t>CPR</t>
        </is>
      </c>
      <c r="D4624" s="13" t="n">
        <v>32</v>
      </c>
      <c r="E4624" s="10">
        <f>IF(D4624&gt;0,VLOOKUP(OPERAC[[#This Row],[COD CART]],[1]!MatrizCortoLargoCyl[#All],3,0),"")</f>
        <v/>
      </c>
      <c r="F4624" s="13" t="inlineStr">
        <is>
          <t>CCL/CYL/13,00/03-06-22</t>
        </is>
      </c>
      <c r="G4624" s="6" t="n">
        <v>100</v>
      </c>
      <c r="H4624" s="6" t="n">
        <v>-1276.4</v>
      </c>
      <c r="I4624" s="7">
        <f>-H4624/G4624</f>
        <v/>
      </c>
      <c r="J4624" s="5" t="n">
        <v>44715</v>
      </c>
      <c r="K4624" s="6">
        <f>+OPERAC[[#This Row],[cantidad]]</f>
        <v/>
      </c>
      <c r="L4624" s="6">
        <f>+OPERAC[[#This Row],[cantidad venta]]*12.942</f>
        <v/>
      </c>
      <c r="M4624" s="7">
        <f>IF(N4624=0,+L4624+H4624,0)</f>
        <v/>
      </c>
      <c r="N4624" s="7">
        <f>IF((+G4624-K4624)=0,0,+G4624-K4624)</f>
        <v/>
      </c>
      <c r="O4624" s="7">
        <f>IF(N4624=0,0,(L4624+H4624)/-N4624)</f>
        <v/>
      </c>
      <c r="P4624" s="7">
        <f>VLOOKUP(OPERAC[[#This Row],[especie]],[1]!ESPECIES[#All],6,0)</f>
        <v/>
      </c>
      <c r="Q4624" s="7">
        <f>IF(N4624&lt;&gt;0,P4624*N4624,0)</f>
        <v/>
      </c>
      <c r="R4624" s="8">
        <f>IF(Q4624&lt;&gt;0,Q4624+H4624+L4624,0)</f>
        <v/>
      </c>
      <c r="S4624" s="9">
        <f>VLOOKUP(OPERAC[[#This Row],[especie]],[1]!ESPECIES[#Data],9,FALSE)</f>
        <v/>
      </c>
    </row>
    <row r="4625">
      <c r="A4625" s="4" t="n">
        <v>16795</v>
      </c>
      <c r="B4625" s="5" t="n">
        <v>44708</v>
      </c>
      <c r="C4625" s="13" t="inlineStr">
        <is>
          <t>CPR</t>
        </is>
      </c>
      <c r="D4625" s="13" t="n">
        <v>32</v>
      </c>
      <c r="E4625" s="10">
        <f>IF(D4625&gt;0,VLOOKUP(OPERAC[[#This Row],[COD CART]],[1]!MatrizCortoLargoCyl[#All],3,0),"")</f>
        <v/>
      </c>
      <c r="F4625" s="13" t="inlineStr">
        <is>
          <t>CCL/CYL/13,00/03-06-22</t>
        </is>
      </c>
      <c r="G4625" s="6" t="n">
        <v>100</v>
      </c>
      <c r="H4625" s="6" t="n">
        <v>-1276.4</v>
      </c>
      <c r="I4625" s="7">
        <f>-H4625/G4625</f>
        <v/>
      </c>
      <c r="J4625" s="5" t="n">
        <v>44715</v>
      </c>
      <c r="K4625" s="6">
        <f>+OPERAC[[#This Row],[cantidad]]</f>
        <v/>
      </c>
      <c r="L4625" s="6">
        <f>+OPERAC[[#This Row],[cantidad venta]]*12.942</f>
        <v/>
      </c>
      <c r="M4625" s="7">
        <f>IF(N4625=0,+L4625+H4625,0)</f>
        <v/>
      </c>
      <c r="N4625" s="7">
        <f>IF((+G4625-K4625)=0,0,+G4625-K4625)</f>
        <v/>
      </c>
      <c r="O4625" s="7">
        <f>IF(N4625=0,0,(L4625+H4625)/-N4625)</f>
        <v/>
      </c>
      <c r="P4625" s="7">
        <f>VLOOKUP(OPERAC[[#This Row],[especie]],[1]!ESPECIES[#All],6,0)</f>
        <v/>
      </c>
      <c r="Q4625" s="7">
        <f>IF(N4625&lt;&gt;0,P4625*N4625,0)</f>
        <v/>
      </c>
      <c r="R4625" s="8">
        <f>IF(Q4625&lt;&gt;0,Q4625+H4625+L4625,0)</f>
        <v/>
      </c>
      <c r="S4625" s="9">
        <f>VLOOKUP(OPERAC[[#This Row],[especie]],[1]!ESPECIES[#Data],9,FALSE)</f>
        <v/>
      </c>
    </row>
    <row r="4626">
      <c r="A4626" s="4" t="n">
        <v>16786</v>
      </c>
      <c r="B4626" s="5" t="n">
        <v>44708</v>
      </c>
      <c r="C4626" s="13" t="inlineStr">
        <is>
          <t>CPR</t>
        </is>
      </c>
      <c r="D4626" s="13" t="n">
        <v>32</v>
      </c>
      <c r="E4626" s="10">
        <f>IF(D4626&gt;0,VLOOKUP(OPERAC[[#This Row],[COD CART]],[1]!MatrizCortoLargoCyl[#All],3,0),"")</f>
        <v/>
      </c>
      <c r="F4626" s="13" t="inlineStr">
        <is>
          <t>CCL/CYL/13,00/03-06-22</t>
        </is>
      </c>
      <c r="G4626" s="6" t="n">
        <v>100</v>
      </c>
      <c r="H4626" s="6" t="n">
        <v>-1276.4</v>
      </c>
      <c r="I4626" s="7">
        <f>-H4626/G4626</f>
        <v/>
      </c>
      <c r="J4626" s="5" t="n">
        <v>44715</v>
      </c>
      <c r="K4626" s="6">
        <f>+OPERAC[[#This Row],[cantidad]]</f>
        <v/>
      </c>
      <c r="L4626" s="6">
        <f>+OPERAC[[#This Row],[cantidad venta]]*12.942</f>
        <v/>
      </c>
      <c r="M4626" s="7">
        <f>IF(N4626=0,+L4626+H4626,0)</f>
        <v/>
      </c>
      <c r="N4626" s="7">
        <f>IF((+G4626-K4626)=0,0,+G4626-K4626)</f>
        <v/>
      </c>
      <c r="O4626" s="7">
        <f>IF(N4626=0,0,(L4626+H4626)/-N4626)</f>
        <v/>
      </c>
      <c r="P4626" s="7">
        <f>VLOOKUP(OPERAC[[#This Row],[especie]],[1]!ESPECIES[#All],6,0)</f>
        <v/>
      </c>
      <c r="Q4626" s="7">
        <f>IF(N4626&lt;&gt;0,P4626*N4626,0)</f>
        <v/>
      </c>
      <c r="R4626" s="8">
        <f>IF(Q4626&lt;&gt;0,Q4626+H4626+L4626,0)</f>
        <v/>
      </c>
      <c r="S4626" s="9">
        <f>VLOOKUP(OPERAC[[#This Row],[especie]],[1]!ESPECIES[#Data],9,FALSE)</f>
        <v/>
      </c>
    </row>
    <row r="4627">
      <c r="A4627" s="4" t="n">
        <v>16783</v>
      </c>
      <c r="B4627" s="5" t="n">
        <v>44708</v>
      </c>
      <c r="C4627" s="13" t="inlineStr">
        <is>
          <t>CPR</t>
        </is>
      </c>
      <c r="D4627" s="13" t="n">
        <v>32</v>
      </c>
      <c r="E4627" s="10">
        <f>IF(D4627&gt;0,VLOOKUP(OPERAC[[#This Row],[COD CART]],[1]!MatrizCortoLargoCyl[#All],3,0),"")</f>
        <v/>
      </c>
      <c r="F4627" s="13" t="inlineStr">
        <is>
          <t>CCL/CYL/13,00/03-06-22</t>
        </is>
      </c>
      <c r="G4627" s="6" t="n">
        <v>100</v>
      </c>
      <c r="H4627" s="6" t="n">
        <v>-1276.4</v>
      </c>
      <c r="I4627" s="7">
        <f>-H4627/G4627</f>
        <v/>
      </c>
      <c r="J4627" s="5" t="n">
        <v>44715</v>
      </c>
      <c r="K4627" s="6">
        <f>+OPERAC[[#This Row],[cantidad]]</f>
        <v/>
      </c>
      <c r="L4627" s="6">
        <f>+OPERAC[[#This Row],[cantidad venta]]*12.942</f>
        <v/>
      </c>
      <c r="M4627" s="7">
        <f>IF(N4627=0,+L4627+H4627,0)</f>
        <v/>
      </c>
      <c r="N4627" s="7">
        <f>IF((+G4627-K4627)=0,0,+G4627-K4627)</f>
        <v/>
      </c>
      <c r="O4627" s="7">
        <f>IF(N4627=0,0,(L4627+H4627)/-N4627)</f>
        <v/>
      </c>
      <c r="P4627" s="7">
        <f>VLOOKUP(OPERAC[[#This Row],[especie]],[1]!ESPECIES[#All],6,0)</f>
        <v/>
      </c>
      <c r="Q4627" s="7">
        <f>IF(N4627&lt;&gt;0,P4627*N4627,0)</f>
        <v/>
      </c>
      <c r="R4627" s="8">
        <f>IF(Q4627&lt;&gt;0,Q4627+H4627+L4627,0)</f>
        <v/>
      </c>
      <c r="S4627" s="9">
        <f>VLOOKUP(OPERAC[[#This Row],[especie]],[1]!ESPECIES[#Data],9,FALSE)</f>
        <v/>
      </c>
    </row>
    <row r="4628">
      <c r="A4628" s="4" t="n">
        <v>15194</v>
      </c>
      <c r="B4628" s="5" t="n">
        <v>44708</v>
      </c>
      <c r="C4628" s="13" t="inlineStr">
        <is>
          <t>CPR</t>
        </is>
      </c>
      <c r="D4628" s="13" t="n">
        <v>32</v>
      </c>
      <c r="E4628" s="10">
        <f>IF(D4628&gt;0,VLOOKUP(OPERAC[[#This Row],[COD CART]],[1]!MatrizCortoLargoCyl[#All],3,0),"")</f>
        <v/>
      </c>
      <c r="F4628" s="13" t="inlineStr">
        <is>
          <t>CCL/CYL/13,00/03-06-22</t>
        </is>
      </c>
      <c r="G4628" s="6" t="n">
        <v>100</v>
      </c>
      <c r="H4628" s="6" t="n">
        <v>-1276.4</v>
      </c>
      <c r="I4628" s="7">
        <f>-H4628/G4628</f>
        <v/>
      </c>
      <c r="J4628" s="5" t="n">
        <v>44715</v>
      </c>
      <c r="K4628" s="6">
        <f>+OPERAC[[#This Row],[cantidad]]</f>
        <v/>
      </c>
      <c r="L4628" s="6">
        <f>+OPERAC[[#This Row],[cantidad venta]]*12.942</f>
        <v/>
      </c>
      <c r="M4628" s="7">
        <f>IF(N4628=0,+L4628+H4628,0)</f>
        <v/>
      </c>
      <c r="N4628" s="7">
        <f>IF((+G4628-K4628)=0,0,+G4628-K4628)</f>
        <v/>
      </c>
      <c r="O4628" s="7">
        <f>IF(N4628=0,0,(L4628+H4628)/-N4628)</f>
        <v/>
      </c>
      <c r="P4628" s="7">
        <f>VLOOKUP(OPERAC[[#This Row],[especie]],[1]!ESPECIES[#All],6,0)</f>
        <v/>
      </c>
      <c r="Q4628" s="7">
        <f>IF(N4628&lt;&gt;0,P4628*N4628,0)</f>
        <v/>
      </c>
      <c r="R4628" s="8">
        <f>IF(Q4628&lt;&gt;0,Q4628+H4628+L4628,0)</f>
        <v/>
      </c>
      <c r="S4628" s="9">
        <f>VLOOKUP(OPERAC[[#This Row],[especie]],[1]!ESPECIES[#Data],9,FALSE)</f>
        <v/>
      </c>
    </row>
    <row r="4629">
      <c r="A4629" s="4" t="n">
        <v>15189</v>
      </c>
      <c r="B4629" s="5" t="n">
        <v>44708</v>
      </c>
      <c r="C4629" s="13" t="inlineStr">
        <is>
          <t>CPR</t>
        </is>
      </c>
      <c r="D4629" s="13" t="n">
        <v>32</v>
      </c>
      <c r="E4629" s="10">
        <f>IF(D4629&gt;0,VLOOKUP(OPERAC[[#This Row],[COD CART]],[1]!MatrizCortoLargoCyl[#All],3,0),"")</f>
        <v/>
      </c>
      <c r="F4629" s="13" t="inlineStr">
        <is>
          <t>CCL/CYL/13,00/03-06-22</t>
        </is>
      </c>
      <c r="G4629" s="6" t="n">
        <v>100</v>
      </c>
      <c r="H4629" s="6" t="n">
        <v>-1276.4</v>
      </c>
      <c r="I4629" s="7">
        <f>-H4629/G4629</f>
        <v/>
      </c>
      <c r="J4629" s="5" t="n">
        <v>44715</v>
      </c>
      <c r="K4629" s="6">
        <f>+OPERAC[[#This Row],[cantidad]]</f>
        <v/>
      </c>
      <c r="L4629" s="6">
        <f>+OPERAC[[#This Row],[cantidad venta]]*12.942</f>
        <v/>
      </c>
      <c r="M4629" s="7">
        <f>IF(N4629=0,+L4629+H4629,0)</f>
        <v/>
      </c>
      <c r="N4629" s="7">
        <f>IF((+G4629-K4629)=0,0,+G4629-K4629)</f>
        <v/>
      </c>
      <c r="O4629" s="7">
        <f>IF(N4629=0,0,(L4629+H4629)/-N4629)</f>
        <v/>
      </c>
      <c r="P4629" s="7">
        <f>VLOOKUP(OPERAC[[#This Row],[especie]],[1]!ESPECIES[#All],6,0)</f>
        <v/>
      </c>
      <c r="Q4629" s="7">
        <f>IF(N4629&lt;&gt;0,P4629*N4629,0)</f>
        <v/>
      </c>
      <c r="R4629" s="8">
        <f>IF(Q4629&lt;&gt;0,Q4629+H4629+L4629,0)</f>
        <v/>
      </c>
      <c r="S4629" s="9">
        <f>VLOOKUP(OPERAC[[#This Row],[especie]],[1]!ESPECIES[#Data],9,FALSE)</f>
        <v/>
      </c>
    </row>
    <row r="4630">
      <c r="A4630" s="4" t="n">
        <v>13269</v>
      </c>
      <c r="B4630" s="5" t="n">
        <v>44708</v>
      </c>
      <c r="C4630" s="13" t="inlineStr">
        <is>
          <t>CPR</t>
        </is>
      </c>
      <c r="D4630" s="13" t="n">
        <v>32</v>
      </c>
      <c r="E4630" s="10">
        <f>IF(D4630&gt;0,VLOOKUP(OPERAC[[#This Row],[COD CART]],[1]!MatrizCortoLargoCyl[#All],3,0),"")</f>
        <v/>
      </c>
      <c r="F4630" s="13" t="inlineStr">
        <is>
          <t>CCL/CYL/13,00/03-06-22</t>
        </is>
      </c>
      <c r="G4630" s="6" t="n">
        <v>100</v>
      </c>
      <c r="H4630" s="6" t="n">
        <v>-1276.4</v>
      </c>
      <c r="I4630" s="7">
        <f>-H4630/G4630</f>
        <v/>
      </c>
      <c r="J4630" s="5" t="n">
        <v>44715</v>
      </c>
      <c r="K4630" s="6">
        <f>+OPERAC[[#This Row],[cantidad]]</f>
        <v/>
      </c>
      <c r="L4630" s="6">
        <f>+OPERAC[[#This Row],[cantidad venta]]*12.942</f>
        <v/>
      </c>
      <c r="M4630" s="7">
        <f>IF(N4630=0,+L4630+H4630,0)</f>
        <v/>
      </c>
      <c r="N4630" s="7">
        <f>IF((+G4630-K4630)=0,0,+G4630-K4630)</f>
        <v/>
      </c>
      <c r="O4630" s="7">
        <f>IF(N4630=0,0,(L4630+H4630)/-N4630)</f>
        <v/>
      </c>
      <c r="P4630" s="7">
        <f>VLOOKUP(OPERAC[[#This Row],[especie]],[1]!ESPECIES[#All],6,0)</f>
        <v/>
      </c>
      <c r="Q4630" s="7">
        <f>IF(N4630&lt;&gt;0,P4630*N4630,0)</f>
        <v/>
      </c>
      <c r="R4630" s="8">
        <f>IF(Q4630&lt;&gt;0,Q4630+H4630+L4630,0)</f>
        <v/>
      </c>
      <c r="S4630" s="9">
        <f>VLOOKUP(OPERAC[[#This Row],[especie]],[1]!ESPECIES[#Data],9,FALSE)</f>
        <v/>
      </c>
    </row>
    <row r="4631">
      <c r="A4631" s="4" t="n">
        <v>13246</v>
      </c>
      <c r="B4631" s="5" t="n">
        <v>44708</v>
      </c>
      <c r="C4631" s="13" t="inlineStr">
        <is>
          <t>CPR</t>
        </is>
      </c>
      <c r="D4631" s="13" t="n">
        <v>32</v>
      </c>
      <c r="E4631" s="10">
        <f>IF(D4631&gt;0,VLOOKUP(OPERAC[[#This Row],[COD CART]],[1]!MatrizCortoLargoCyl[#All],3,0),"")</f>
        <v/>
      </c>
      <c r="F4631" s="13" t="inlineStr">
        <is>
          <t>CCL/CYL/13,00/03-06-22</t>
        </is>
      </c>
      <c r="G4631" s="6" t="n">
        <v>100</v>
      </c>
      <c r="H4631" s="6" t="n">
        <v>-1276.4</v>
      </c>
      <c r="I4631" s="7">
        <f>-H4631/G4631</f>
        <v/>
      </c>
      <c r="J4631" s="5" t="n">
        <v>44715</v>
      </c>
      <c r="K4631" s="6">
        <f>+OPERAC[[#This Row],[cantidad]]</f>
        <v/>
      </c>
      <c r="L4631" s="6">
        <f>+OPERAC[[#This Row],[cantidad venta]]*12.942</f>
        <v/>
      </c>
      <c r="M4631" s="7">
        <f>IF(N4631=0,+L4631+H4631,0)</f>
        <v/>
      </c>
      <c r="N4631" s="7">
        <f>IF((+G4631-K4631)=0,0,+G4631-K4631)</f>
        <v/>
      </c>
      <c r="O4631" s="7">
        <f>IF(N4631=0,0,(L4631+H4631)/-N4631)</f>
        <v/>
      </c>
      <c r="P4631" s="7">
        <f>VLOOKUP(OPERAC[[#This Row],[especie]],[1]!ESPECIES[#All],6,0)</f>
        <v/>
      </c>
      <c r="Q4631" s="7">
        <f>IF(N4631&lt;&gt;0,P4631*N4631,0)</f>
        <v/>
      </c>
      <c r="R4631" s="8">
        <f>IF(Q4631&lt;&gt;0,Q4631+H4631+L4631,0)</f>
        <v/>
      </c>
      <c r="S4631" s="9">
        <f>VLOOKUP(OPERAC[[#This Row],[especie]],[1]!ESPECIES[#Data],9,FALSE)</f>
        <v/>
      </c>
    </row>
    <row r="4632">
      <c r="A4632" s="4" t="n">
        <v>13281</v>
      </c>
      <c r="B4632" s="5" t="n">
        <v>43985</v>
      </c>
      <c r="C4632" s="13" t="inlineStr">
        <is>
          <t>CPR</t>
        </is>
      </c>
      <c r="D4632" s="13" t="n">
        <v>41</v>
      </c>
      <c r="E4632" s="10">
        <f>IF(D4632&gt;0,VLOOKUP(OPERAC[[#This Row],[COD CART]],[1]!MatrizCortoLargoCyl[#All],3,0),"")</f>
        <v/>
      </c>
      <c r="F4632" s="13" t="inlineStr">
        <is>
          <t>YPF</t>
        </is>
      </c>
      <c r="G4632" s="6" t="n">
        <v>230</v>
      </c>
      <c r="H4632" s="6" t="n">
        <v>-1278.5884</v>
      </c>
      <c r="I4632" s="7" t="n">
        <v>5.55908</v>
      </c>
      <c r="J4632" s="5" t="n"/>
      <c r="K4632" s="6" t="n"/>
      <c r="L4632" s="6" t="n"/>
      <c r="M4632" s="7">
        <f>IF(N4632=0,+L4632+H4632,0)</f>
        <v/>
      </c>
      <c r="N4632" s="7">
        <f>IF((+G4632-K4632)=0,0,+G4632-K4632)</f>
        <v/>
      </c>
      <c r="O4632" s="7">
        <f>IF(N4632=0,0,(L4632+H4632)/-N4632)</f>
        <v/>
      </c>
      <c r="P4632" s="7">
        <f>VLOOKUP(OPERAC[[#This Row],[especie]],[1]!ESPECIES[#All],6,0)</f>
        <v/>
      </c>
      <c r="Q4632" s="7">
        <f>IF(N4632&lt;&gt;0,P4632*N4632,0)</f>
        <v/>
      </c>
      <c r="R4632" s="8">
        <f>IF(Q4632&lt;&gt;0,Q4632+H4632+L4632,0)</f>
        <v/>
      </c>
      <c r="S4632" s="9">
        <f>VLOOKUP(OPERAC[[#This Row],[especie]],[1]!ESPECIES[#Data],9,FALSE)</f>
        <v/>
      </c>
    </row>
    <row r="4633">
      <c r="A4633" s="4" t="n">
        <v>15195</v>
      </c>
      <c r="B4633" s="5" t="n">
        <v>44630</v>
      </c>
      <c r="C4633" s="13" t="inlineStr">
        <is>
          <t>CPR</t>
        </is>
      </c>
      <c r="D4633" s="13" t="n">
        <v>31</v>
      </c>
      <c r="E4633" s="10">
        <f>IF(D4633&gt;0,VLOOKUP(OPERAC[[#This Row],[COD CART]],[1]!MatrizCortoLargoCyl[#All],3,0),"")</f>
        <v/>
      </c>
      <c r="F4633" s="13" t="inlineStr">
        <is>
          <t>SPY</t>
        </is>
      </c>
      <c r="G4633" s="6" t="n">
        <v>3</v>
      </c>
      <c r="H4633" s="6" t="n">
        <v>-1278.9424</v>
      </c>
      <c r="I4633" s="7">
        <f>-H4633/G4633</f>
        <v/>
      </c>
      <c r="J4633" s="11" t="n">
        <v>44669</v>
      </c>
      <c r="K4633" s="6" t="n">
        <v>3</v>
      </c>
      <c r="L4633" s="6" t="n">
        <v>1297.239</v>
      </c>
      <c r="M4633" s="7">
        <f>IF(N4633=0,+L4633+H4633,0)</f>
        <v/>
      </c>
      <c r="N4633" s="7">
        <f>IF((+G4633-K4633)=0,0,+G4633-K4633)</f>
        <v/>
      </c>
      <c r="O4633" s="7">
        <f>IF(N4633=0,0,(L4633+H4633)/-N4633)</f>
        <v/>
      </c>
      <c r="P4633" s="7">
        <f>VLOOKUP(OPERAC[[#This Row],[especie]],[1]!ESPECIES[#All],6,0)</f>
        <v/>
      </c>
      <c r="Q4633" s="7">
        <f>IF(N4633&lt;&gt;0,P4633*N4633,0)</f>
        <v/>
      </c>
      <c r="R4633" s="8">
        <f>IF(Q4633&lt;&gt;0,Q4633+H4633+L4633,0)</f>
        <v/>
      </c>
      <c r="S4633" s="9">
        <f>VLOOKUP(OPERAC[[#This Row],[especie]],[1]!ESPECIES[#Data],9,FALSE)</f>
        <v/>
      </c>
    </row>
    <row r="4634">
      <c r="A4634" s="4" t="n">
        <v>13180</v>
      </c>
      <c r="B4634" s="5" t="n">
        <v>44718</v>
      </c>
      <c r="C4634" s="13" t="inlineStr">
        <is>
          <t>CPR</t>
        </is>
      </c>
      <c r="D4634" s="13" t="n">
        <v>40</v>
      </c>
      <c r="E4634" s="10">
        <f>IF(D4634&gt;0,VLOOKUP(OPERAC[[#This Row],[COD CART]],[1]!MatrizCortoLargoCyl[#All],3,0),"")</f>
        <v/>
      </c>
      <c r="F4634" s="13" t="inlineStr">
        <is>
          <t>KO</t>
        </is>
      </c>
      <c r="G4634" s="6" t="n">
        <v>20</v>
      </c>
      <c r="H4634" s="6" t="n">
        <v>-1283.67</v>
      </c>
      <c r="I4634" s="7">
        <f>-H4634/G4634</f>
        <v/>
      </c>
      <c r="J4634" s="5" t="n"/>
      <c r="K4634" s="6" t="n"/>
      <c r="L4634" s="6" t="n"/>
      <c r="M4634" s="7">
        <f>IF(N4634=0,+L4634+H4634,0)</f>
        <v/>
      </c>
      <c r="N4634" s="7">
        <f>IF((+G4634-K4634)=0,0,+G4634-K4634)</f>
        <v/>
      </c>
      <c r="O4634" s="7">
        <f>IF(N4634=0,0,(L4634+H4634)/-N4634)</f>
        <v/>
      </c>
      <c r="P4634" s="7">
        <f>VLOOKUP(OPERAC[[#This Row],[especie]],[1]!ESPECIES[#All],6,0)</f>
        <v/>
      </c>
      <c r="Q4634" s="7">
        <f>IF(N4634&lt;&gt;0,P4634*N4634,0)</f>
        <v/>
      </c>
      <c r="R4634" s="8">
        <f>IF(Q4634&lt;&gt;0,Q4634+H4634+L4634,0)</f>
        <v/>
      </c>
      <c r="S4634" s="9">
        <f>VLOOKUP(OPERAC[[#This Row],[especie]],[1]!ESPECIES[#Data],9,FALSE)</f>
        <v/>
      </c>
    </row>
    <row r="4635">
      <c r="A4635" s="4" t="n">
        <v>3853</v>
      </c>
      <c r="B4635" s="5" t="n">
        <v>44704</v>
      </c>
      <c r="C4635" s="13" t="inlineStr">
        <is>
          <t>CPR</t>
        </is>
      </c>
      <c r="D4635" s="13" t="n">
        <v>32</v>
      </c>
      <c r="E4635" s="10">
        <f>IF(D4635&gt;0,VLOOKUP(OPERAC[[#This Row],[COD CART]],[1]!MatrizCortoLargoCyl[#All],3,0),"")</f>
        <v/>
      </c>
      <c r="F4635" s="13" t="inlineStr">
        <is>
          <t>CLMT/CYL/16,00/17-06-22</t>
        </is>
      </c>
      <c r="G4635" s="6" t="n">
        <v>100</v>
      </c>
      <c r="H4635" s="6" t="n">
        <v>-1286.546</v>
      </c>
      <c r="I4635" s="7">
        <f>-H4635/G4635</f>
        <v/>
      </c>
      <c r="J4635" s="5" t="n"/>
      <c r="K4635" s="6" t="n"/>
      <c r="L4635" s="6" t="n"/>
      <c r="M4635" s="7">
        <f>IF(N4635=0,+L4635+H4635,0)</f>
        <v/>
      </c>
      <c r="N4635" s="7">
        <f>IF((+G4635-K4635)=0,0,+G4635-K4635)</f>
        <v/>
      </c>
      <c r="O4635" s="7">
        <f>IF(N4635=0,0,(L4635+H4635)/-N4635)</f>
        <v/>
      </c>
      <c r="P4635" s="7">
        <f>VLOOKUP(OPERAC[[#This Row],[especie]],[1]!ESPECIES[#All],6,0)</f>
        <v/>
      </c>
      <c r="Q4635" s="7">
        <f>IF(N4635&lt;&gt;0,P4635*N4635,0)</f>
        <v/>
      </c>
      <c r="R4635" s="8">
        <f>IF(Q4635&lt;&gt;0,Q4635+H4635+L4635,0)</f>
        <v/>
      </c>
      <c r="S4635" s="9">
        <f>VLOOKUP(OPERAC[[#This Row],[especie]],[1]!ESPECIES[#Data],9,FALSE)</f>
        <v/>
      </c>
    </row>
    <row r="4636">
      <c r="A4636" s="4" t="n">
        <v>6628</v>
      </c>
      <c r="B4636" s="5" t="n">
        <v>44704</v>
      </c>
      <c r="C4636" s="13" t="inlineStr">
        <is>
          <t>CPR</t>
        </is>
      </c>
      <c r="D4636" s="13" t="n">
        <v>32</v>
      </c>
      <c r="E4636" s="10">
        <f>IF(D4636&gt;0,VLOOKUP(OPERAC[[#This Row],[COD CART]],[1]!MatrizCortoLargoCyl[#All],3,0),"")</f>
        <v/>
      </c>
      <c r="F4636" s="13" t="inlineStr">
        <is>
          <t>CLMT/CYL/16,00/17-06-22</t>
        </is>
      </c>
      <c r="G4636" s="6" t="n">
        <v>100</v>
      </c>
      <c r="H4636" s="6" t="n">
        <v>-1286.546</v>
      </c>
      <c r="I4636" s="7">
        <f>-H4636/G4636</f>
        <v/>
      </c>
      <c r="J4636" s="5" t="n"/>
      <c r="K4636" s="6" t="n"/>
      <c r="L4636" s="6" t="n"/>
      <c r="M4636" s="7">
        <f>IF(N4636=0,+L4636+H4636,0)</f>
        <v/>
      </c>
      <c r="N4636" s="7">
        <f>IF((+G4636-K4636)=0,0,+G4636-K4636)</f>
        <v/>
      </c>
      <c r="O4636" s="7">
        <f>IF(N4636=0,0,(L4636+H4636)/-N4636)</f>
        <v/>
      </c>
      <c r="P4636" s="7">
        <f>VLOOKUP(OPERAC[[#This Row],[especie]],[1]!ESPECIES[#All],6,0)</f>
        <v/>
      </c>
      <c r="Q4636" s="7">
        <f>IF(N4636&lt;&gt;0,P4636*N4636,0)</f>
        <v/>
      </c>
      <c r="R4636" s="8">
        <f>IF(Q4636&lt;&gt;0,Q4636+H4636+L4636,0)</f>
        <v/>
      </c>
      <c r="S4636" s="9">
        <f>VLOOKUP(OPERAC[[#This Row],[especie]],[1]!ESPECIES[#Data],9,FALSE)</f>
        <v/>
      </c>
    </row>
    <row r="4637">
      <c r="A4637" s="4" t="n">
        <v>12627</v>
      </c>
      <c r="B4637" s="5" t="n">
        <v>44704</v>
      </c>
      <c r="C4637" s="13" t="inlineStr">
        <is>
          <t>CPR</t>
        </is>
      </c>
      <c r="D4637" s="13" t="n">
        <v>32</v>
      </c>
      <c r="E4637" s="10">
        <f>IF(D4637&gt;0,VLOOKUP(OPERAC[[#This Row],[COD CART]],[1]!MatrizCortoLargoCyl[#All],3,0),"")</f>
        <v/>
      </c>
      <c r="F4637" s="13" t="inlineStr">
        <is>
          <t>CLMT/CYL/16,00/17-06-22</t>
        </is>
      </c>
      <c r="G4637" s="6" t="n">
        <v>100</v>
      </c>
      <c r="H4637" s="6" t="n">
        <v>-1286.546</v>
      </c>
      <c r="I4637" s="7">
        <f>-H4637/G4637</f>
        <v/>
      </c>
      <c r="J4637" s="5" t="n"/>
      <c r="K4637" s="6" t="n"/>
      <c r="L4637" s="6" t="n"/>
      <c r="M4637" s="7">
        <f>IF(N4637=0,+L4637+H4637,0)</f>
        <v/>
      </c>
      <c r="N4637" s="7">
        <f>IF((+G4637-K4637)=0,0,+G4637-K4637)</f>
        <v/>
      </c>
      <c r="O4637" s="7">
        <f>IF(N4637=0,0,(L4637+H4637)/-N4637)</f>
        <v/>
      </c>
      <c r="P4637" s="7">
        <f>VLOOKUP(OPERAC[[#This Row],[especie]],[1]!ESPECIES[#All],6,0)</f>
        <v/>
      </c>
      <c r="Q4637" s="7">
        <f>IF(N4637&lt;&gt;0,P4637*N4637,0)</f>
        <v/>
      </c>
      <c r="R4637" s="8">
        <f>IF(Q4637&lt;&gt;0,Q4637+H4637+L4637,0)</f>
        <v/>
      </c>
      <c r="S4637" s="9">
        <f>VLOOKUP(OPERAC[[#This Row],[especie]],[1]!ESPECIES[#Data],9,FALSE)</f>
        <v/>
      </c>
    </row>
    <row r="4638">
      <c r="A4638" s="4" t="n">
        <v>15189</v>
      </c>
      <c r="B4638" s="5" t="n">
        <v>44704</v>
      </c>
      <c r="C4638" s="13" t="inlineStr">
        <is>
          <t>CPR</t>
        </is>
      </c>
      <c r="D4638" s="13" t="n">
        <v>32</v>
      </c>
      <c r="E4638" s="10">
        <f>IF(D4638&gt;0,VLOOKUP(OPERAC[[#This Row],[COD CART]],[1]!MatrizCortoLargoCyl[#All],3,0),"")</f>
        <v/>
      </c>
      <c r="F4638" s="13" t="inlineStr">
        <is>
          <t>CLMT/CYL/16,00/17-06-22</t>
        </is>
      </c>
      <c r="G4638" s="6" t="n">
        <v>100</v>
      </c>
      <c r="H4638" s="6" t="n">
        <v>-1286.546</v>
      </c>
      <c r="I4638" s="7">
        <f>-H4638/G4638</f>
        <v/>
      </c>
      <c r="J4638" s="5" t="n"/>
      <c r="K4638" s="6" t="n"/>
      <c r="L4638" s="6" t="n"/>
      <c r="M4638" s="7">
        <f>IF(N4638=0,+L4638+H4638,0)</f>
        <v/>
      </c>
      <c r="N4638" s="7">
        <f>IF((+G4638-K4638)=0,0,+G4638-K4638)</f>
        <v/>
      </c>
      <c r="O4638" s="7">
        <f>IF(N4638=0,0,(L4638+H4638)/-N4638)</f>
        <v/>
      </c>
      <c r="P4638" s="7">
        <f>VLOOKUP(OPERAC[[#This Row],[especie]],[1]!ESPECIES[#All],6,0)</f>
        <v/>
      </c>
      <c r="Q4638" s="7">
        <f>IF(N4638&lt;&gt;0,P4638*N4638,0)</f>
        <v/>
      </c>
      <c r="R4638" s="8">
        <f>IF(Q4638&lt;&gt;0,Q4638+H4638+L4638,0)</f>
        <v/>
      </c>
      <c r="S4638" s="9">
        <f>VLOOKUP(OPERAC[[#This Row],[especie]],[1]!ESPECIES[#Data],9,FALSE)</f>
        <v/>
      </c>
    </row>
    <row r="4639">
      <c r="A4639" s="4" t="n">
        <v>3021</v>
      </c>
      <c r="B4639" s="5" t="n">
        <v>44643</v>
      </c>
      <c r="C4639" s="13" t="inlineStr">
        <is>
          <t>CPR</t>
        </is>
      </c>
      <c r="D4639" s="13" t="n">
        <v>42</v>
      </c>
      <c r="E4639" s="10">
        <f>IF(D4639&gt;0,VLOOKUP(OPERAC[[#This Row],[COD CART]],[1]!MatrizCortoLargoCyl[#All],3,0),"")</f>
        <v/>
      </c>
      <c r="F4639" s="13" t="inlineStr">
        <is>
          <t>FB</t>
        </is>
      </c>
      <c r="G4639" s="6" t="n">
        <v>6</v>
      </c>
      <c r="H4639" s="6" t="n">
        <v>-1287.73476</v>
      </c>
      <c r="I4639" s="7">
        <f>-H4639/G4639</f>
        <v/>
      </c>
      <c r="J4639" s="11" t="n">
        <v>44671</v>
      </c>
      <c r="K4639" s="6">
        <f>+OPERAC[[#This Row],[cantidad]]</f>
        <v/>
      </c>
      <c r="L4639" s="6">
        <f>+OPERAC[[#This Row],[cantidad venta]]*213.173</f>
        <v/>
      </c>
      <c r="M4639" s="7">
        <f>IF(N4639=0,+L4639+H4639,0)</f>
        <v/>
      </c>
      <c r="N4639" s="7">
        <f>IF((+G4639-K4639)=0,0,+G4639-K4639)</f>
        <v/>
      </c>
      <c r="O4639" s="7">
        <f>IF(N4639=0,0,(L4639+H4639)/-N4639)</f>
        <v/>
      </c>
      <c r="P4639" s="7">
        <f>VLOOKUP(OPERAC[[#This Row],[especie]],[1]!ESPECIES[#All],6,0)</f>
        <v/>
      </c>
      <c r="Q4639" s="7">
        <f>IF(N4639&lt;&gt;0,P4639*N4639,0)</f>
        <v/>
      </c>
      <c r="R4639" s="8">
        <f>IF(Q4639&lt;&gt;0,Q4639+H4639+L4639,0)</f>
        <v/>
      </c>
      <c r="S4639" s="9">
        <f>VLOOKUP(OPERAC[[#This Row],[especie]],[1]!ESPECIES[#Data],9,FALSE)</f>
        <v/>
      </c>
    </row>
    <row r="4640">
      <c r="A4640" s="4" t="n">
        <v>2194</v>
      </c>
      <c r="B4640" s="5" t="n">
        <v>44539</v>
      </c>
      <c r="C4640" s="13" t="inlineStr">
        <is>
          <t>CPR</t>
        </is>
      </c>
      <c r="D4640" s="13" t="n">
        <v>40</v>
      </c>
      <c r="E4640" s="10">
        <f>IF(D4640&gt;0,VLOOKUP(OPERAC[[#This Row],[COD CART]],[1]!MatrizCortoLargoCyl[#All],3,0),"")</f>
        <v/>
      </c>
      <c r="F4640" s="13" t="inlineStr">
        <is>
          <t>ROKU</t>
        </is>
      </c>
      <c r="G4640" s="6" t="n">
        <v>5</v>
      </c>
      <c r="H4640" s="6" t="n">
        <v>-1288.6018</v>
      </c>
      <c r="I4640" s="7">
        <f>-H4640/G4640</f>
        <v/>
      </c>
      <c r="J4640" s="11" t="n">
        <v>44606</v>
      </c>
      <c r="K4640" s="6">
        <f>+OPERAC[[#This Row],[cantidad]]</f>
        <v/>
      </c>
      <c r="L4640" s="6">
        <f>+OPERAC[[#This Row],[cantidad venta]]*160.574</f>
        <v/>
      </c>
      <c r="M4640" s="7">
        <f>IF(N4640=0,+L4640+H4640,0)</f>
        <v/>
      </c>
      <c r="N4640" s="7">
        <f>IF((+G4640-K4640)=0,0,+G4640-K4640)</f>
        <v/>
      </c>
      <c r="O4640" s="7">
        <f>IF(N4640=0,0,(L4640+H4640)/-N4640)</f>
        <v/>
      </c>
      <c r="P4640" s="7">
        <f>VLOOKUP(OPERAC[[#This Row],[especie]],[1]!ESPECIES[#All],6,0)</f>
        <v/>
      </c>
      <c r="Q4640" s="7">
        <f>IF(N4640&lt;&gt;0,P4640*N4640,0)</f>
        <v/>
      </c>
      <c r="R4640" s="8">
        <f>IF(Q4640&lt;&gt;0,Q4640+H4640+L4640,0)</f>
        <v/>
      </c>
      <c r="S4640" s="9">
        <f>VLOOKUP(OPERAC[[#This Row],[especie]],[1]!ESPECIES[#Data],9,FALSE)</f>
        <v/>
      </c>
    </row>
    <row r="4641">
      <c r="A4641" s="4" t="n">
        <v>2257</v>
      </c>
      <c r="B4641" s="5" t="n">
        <v>44539</v>
      </c>
      <c r="C4641" s="13" t="inlineStr">
        <is>
          <t>CPR</t>
        </is>
      </c>
      <c r="D4641" s="13" t="n">
        <v>40</v>
      </c>
      <c r="E4641" s="10">
        <f>IF(D4641&gt;0,VLOOKUP(OPERAC[[#This Row],[COD CART]],[1]!MatrizCortoLargoCyl[#All],3,0),"")</f>
        <v/>
      </c>
      <c r="F4641" s="13" t="inlineStr">
        <is>
          <t>ROKU</t>
        </is>
      </c>
      <c r="G4641" s="6" t="n">
        <v>5</v>
      </c>
      <c r="H4641" s="6" t="n">
        <v>-1288.6018</v>
      </c>
      <c r="I4641" s="7">
        <f>-H4641/G4641</f>
        <v/>
      </c>
      <c r="J4641" s="11" t="n">
        <v>44606</v>
      </c>
      <c r="K4641" s="6">
        <f>+OPERAC[[#This Row],[cantidad]]</f>
        <v/>
      </c>
      <c r="L4641" s="6">
        <f>+OPERAC[[#This Row],[cantidad venta]]*160.574</f>
        <v/>
      </c>
      <c r="M4641" s="7">
        <f>IF(N4641=0,+L4641+H4641,0)</f>
        <v/>
      </c>
      <c r="N4641" s="7">
        <f>IF((+G4641-K4641)=0,0,+G4641-K4641)</f>
        <v/>
      </c>
      <c r="O4641" s="7">
        <f>IF(N4641=0,0,(L4641+H4641)/-N4641)</f>
        <v/>
      </c>
      <c r="P4641" s="7">
        <f>VLOOKUP(OPERAC[[#This Row],[especie]],[1]!ESPECIES[#All],6,0)</f>
        <v/>
      </c>
      <c r="Q4641" s="7">
        <f>IF(N4641&lt;&gt;0,P4641*N4641,0)</f>
        <v/>
      </c>
      <c r="R4641" s="8">
        <f>IF(Q4641&lt;&gt;0,Q4641+H4641+L4641,0)</f>
        <v/>
      </c>
      <c r="S4641" s="9">
        <f>VLOOKUP(OPERAC[[#This Row],[especie]],[1]!ESPECIES[#Data],9,FALSE)</f>
        <v/>
      </c>
    </row>
    <row r="4642">
      <c r="A4642" s="4" t="n">
        <v>5212</v>
      </c>
      <c r="B4642" s="5" t="n">
        <v>44539</v>
      </c>
      <c r="C4642" s="13" t="inlineStr">
        <is>
          <t>CPR</t>
        </is>
      </c>
      <c r="D4642" s="13" t="n">
        <v>40</v>
      </c>
      <c r="E4642" s="10">
        <f>IF(D4642&gt;0,VLOOKUP(OPERAC[[#This Row],[COD CART]],[1]!MatrizCortoLargoCyl[#All],3,0),"")</f>
        <v/>
      </c>
      <c r="F4642" s="13" t="inlineStr">
        <is>
          <t>ROKU</t>
        </is>
      </c>
      <c r="G4642" s="6" t="n">
        <v>5</v>
      </c>
      <c r="H4642" s="6" t="n">
        <v>-1288.6018</v>
      </c>
      <c r="I4642" s="7">
        <f>-H4642/G4642</f>
        <v/>
      </c>
      <c r="J4642" s="11" t="n">
        <v>44601</v>
      </c>
      <c r="K4642" s="6" t="n">
        <v>5</v>
      </c>
      <c r="L4642" s="6" t="n">
        <v>804.85</v>
      </c>
      <c r="M4642" s="7">
        <f>IF(N4642=0,+L4642+H4642,0)</f>
        <v/>
      </c>
      <c r="N4642" s="7">
        <f>IF((+G4642-K4642)=0,0,+G4642-K4642)</f>
        <v/>
      </c>
      <c r="O4642" s="7">
        <f>IF(N4642=0,0,(L4642+H4642)/-N4642)</f>
        <v/>
      </c>
      <c r="P4642" s="7">
        <f>VLOOKUP(OPERAC[[#This Row],[especie]],[1]!ESPECIES[#All],6,0)</f>
        <v/>
      </c>
      <c r="Q4642" s="7">
        <f>IF(N4642&lt;&gt;0,P4642*N4642,0)</f>
        <v/>
      </c>
      <c r="R4642" s="8">
        <f>IF(Q4642&lt;&gt;0,Q4642+H4642+L4642,0)</f>
        <v/>
      </c>
      <c r="S4642" s="9">
        <f>VLOOKUP(OPERAC[[#This Row],[especie]],[1]!ESPECIES[#Data],9,FALSE)</f>
        <v/>
      </c>
    </row>
    <row r="4643">
      <c r="A4643" s="4" t="n">
        <v>6628</v>
      </c>
      <c r="B4643" s="5" t="n">
        <v>44539</v>
      </c>
      <c r="C4643" s="13" t="inlineStr">
        <is>
          <t>CPR</t>
        </is>
      </c>
      <c r="D4643" s="13" t="n">
        <v>40</v>
      </c>
      <c r="E4643" s="10">
        <f>IF(D4643&gt;0,VLOOKUP(OPERAC[[#This Row],[COD CART]],[1]!MatrizCortoLargoCyl[#All],3,0),"")</f>
        <v/>
      </c>
      <c r="F4643" s="13" t="inlineStr">
        <is>
          <t>ROKU</t>
        </is>
      </c>
      <c r="G4643" s="6" t="n">
        <v>5</v>
      </c>
      <c r="H4643" s="6" t="n">
        <v>-1288.6018</v>
      </c>
      <c r="I4643" s="7">
        <f>-H4643/G4643</f>
        <v/>
      </c>
      <c r="J4643" s="11" t="n">
        <v>44606</v>
      </c>
      <c r="K4643" s="6">
        <f>+OPERAC[[#This Row],[cantidad]]</f>
        <v/>
      </c>
      <c r="L4643" s="6">
        <f>+OPERAC[[#This Row],[cantidad venta]]*160.574</f>
        <v/>
      </c>
      <c r="M4643" s="7">
        <f>IF(N4643=0,+L4643+H4643,0)</f>
        <v/>
      </c>
      <c r="N4643" s="7">
        <f>IF((+G4643-K4643)=0,0,+G4643-K4643)</f>
        <v/>
      </c>
      <c r="O4643" s="7">
        <f>IF(N4643=0,0,(L4643+H4643)/-N4643)</f>
        <v/>
      </c>
      <c r="P4643" s="7">
        <f>VLOOKUP(OPERAC[[#This Row],[especie]],[1]!ESPECIES[#All],6,0)</f>
        <v/>
      </c>
      <c r="Q4643" s="7">
        <f>IF(N4643&lt;&gt;0,P4643*N4643,0)</f>
        <v/>
      </c>
      <c r="R4643" s="8">
        <f>IF(Q4643&lt;&gt;0,Q4643+H4643+L4643,0)</f>
        <v/>
      </c>
      <c r="S4643" s="9">
        <f>VLOOKUP(OPERAC[[#This Row],[especie]],[1]!ESPECIES[#Data],9,FALSE)</f>
        <v/>
      </c>
    </row>
    <row r="4644">
      <c r="A4644" s="4" t="n">
        <v>7493</v>
      </c>
      <c r="B4644" s="5" t="n">
        <v>44539</v>
      </c>
      <c r="C4644" s="13" t="inlineStr">
        <is>
          <t>CPR</t>
        </is>
      </c>
      <c r="D4644" s="13" t="n">
        <v>40</v>
      </c>
      <c r="E4644" s="10">
        <f>IF(D4644&gt;0,VLOOKUP(OPERAC[[#This Row],[COD CART]],[1]!MatrizCortoLargoCyl[#All],3,0),"")</f>
        <v/>
      </c>
      <c r="F4644" s="13" t="inlineStr">
        <is>
          <t>ROKU</t>
        </is>
      </c>
      <c r="G4644" s="6" t="n">
        <v>5</v>
      </c>
      <c r="H4644" s="6" t="n">
        <v>-1288.6018</v>
      </c>
      <c r="I4644" s="7">
        <f>-H4644/G4644</f>
        <v/>
      </c>
      <c r="J4644" s="11" t="n">
        <v>44606</v>
      </c>
      <c r="K4644" s="6">
        <f>+OPERAC[[#This Row],[cantidad]]</f>
        <v/>
      </c>
      <c r="L4644" s="6">
        <f>+OPERAC[[#This Row],[cantidad venta]]*160.574</f>
        <v/>
      </c>
      <c r="M4644" s="7">
        <f>IF(N4644=0,+L4644+H4644,0)</f>
        <v/>
      </c>
      <c r="N4644" s="7">
        <f>IF((+G4644-K4644)=0,0,+G4644-K4644)</f>
        <v/>
      </c>
      <c r="O4644" s="7">
        <f>IF(N4644=0,0,(L4644+H4644)/-N4644)</f>
        <v/>
      </c>
      <c r="P4644" s="7">
        <f>VLOOKUP(OPERAC[[#This Row],[especie]],[1]!ESPECIES[#All],6,0)</f>
        <v/>
      </c>
      <c r="Q4644" s="7">
        <f>IF(N4644&lt;&gt;0,P4644*N4644,0)</f>
        <v/>
      </c>
      <c r="R4644" s="8">
        <f>IF(Q4644&lt;&gt;0,Q4644+H4644+L4644,0)</f>
        <v/>
      </c>
      <c r="S4644" s="9">
        <f>VLOOKUP(OPERAC[[#This Row],[especie]],[1]!ESPECIES[#Data],9,FALSE)</f>
        <v/>
      </c>
    </row>
    <row r="4645">
      <c r="A4645" s="4" t="n">
        <v>7916</v>
      </c>
      <c r="B4645" s="5" t="n">
        <v>44539</v>
      </c>
      <c r="C4645" s="13" t="inlineStr">
        <is>
          <t>CPR</t>
        </is>
      </c>
      <c r="D4645" s="13" t="n">
        <v>40</v>
      </c>
      <c r="E4645" s="10">
        <f>IF(D4645&gt;0,VLOOKUP(OPERAC[[#This Row],[COD CART]],[1]!MatrizCortoLargoCyl[#All],3,0),"")</f>
        <v/>
      </c>
      <c r="F4645" s="13" t="inlineStr">
        <is>
          <t>ROKU</t>
        </is>
      </c>
      <c r="G4645" s="6" t="n">
        <v>5</v>
      </c>
      <c r="H4645" s="6" t="n">
        <v>-1288.6018</v>
      </c>
      <c r="I4645" s="7">
        <f>-H4645/G4645</f>
        <v/>
      </c>
      <c r="J4645" s="11" t="n">
        <v>44606</v>
      </c>
      <c r="K4645" s="6">
        <f>+OPERAC[[#This Row],[cantidad]]</f>
        <v/>
      </c>
      <c r="L4645" s="6">
        <f>+OPERAC[[#This Row],[cantidad venta]]*160.574</f>
        <v/>
      </c>
      <c r="M4645" s="7">
        <f>IF(N4645=0,+L4645+H4645,0)</f>
        <v/>
      </c>
      <c r="N4645" s="7">
        <f>IF((+G4645-K4645)=0,0,+G4645-K4645)</f>
        <v/>
      </c>
      <c r="O4645" s="7">
        <f>IF(N4645=0,0,(L4645+H4645)/-N4645)</f>
        <v/>
      </c>
      <c r="P4645" s="7">
        <f>VLOOKUP(OPERAC[[#This Row],[especie]],[1]!ESPECIES[#All],6,0)</f>
        <v/>
      </c>
      <c r="Q4645" s="7">
        <f>IF(N4645&lt;&gt;0,P4645*N4645,0)</f>
        <v/>
      </c>
      <c r="R4645" s="8">
        <f>IF(Q4645&lt;&gt;0,Q4645+H4645+L4645,0)</f>
        <v/>
      </c>
      <c r="S4645" s="9">
        <f>VLOOKUP(OPERAC[[#This Row],[especie]],[1]!ESPECIES[#Data],9,FALSE)</f>
        <v/>
      </c>
    </row>
    <row r="4646">
      <c r="A4646" s="4" t="n">
        <v>12619</v>
      </c>
      <c r="B4646" s="5" t="n">
        <v>44539</v>
      </c>
      <c r="C4646" s="13" t="inlineStr">
        <is>
          <t>CPR</t>
        </is>
      </c>
      <c r="D4646" s="13" t="n">
        <v>40</v>
      </c>
      <c r="E4646" s="10">
        <f>IF(D4646&gt;0,VLOOKUP(OPERAC[[#This Row],[COD CART]],[1]!MatrizCortoLargoCyl[#All],3,0),"")</f>
        <v/>
      </c>
      <c r="F4646" s="13" t="inlineStr">
        <is>
          <t>ROKU</t>
        </is>
      </c>
      <c r="G4646" s="6" t="n">
        <v>5</v>
      </c>
      <c r="H4646" s="6" t="n">
        <v>-1288.6018</v>
      </c>
      <c r="I4646" s="7">
        <f>-H4646/G4646</f>
        <v/>
      </c>
      <c r="J4646" s="11" t="n">
        <v>44606</v>
      </c>
      <c r="K4646" s="6">
        <f>+OPERAC[[#This Row],[cantidad]]</f>
        <v/>
      </c>
      <c r="L4646" s="6">
        <f>+OPERAC[[#This Row],[cantidad venta]]*160.574</f>
        <v/>
      </c>
      <c r="M4646" s="7">
        <f>IF(N4646=0,+L4646+H4646,0)</f>
        <v/>
      </c>
      <c r="N4646" s="7">
        <f>IF((+G4646-K4646)=0,0,+G4646-K4646)</f>
        <v/>
      </c>
      <c r="O4646" s="7">
        <f>IF(N4646=0,0,(L4646+H4646)/-N4646)</f>
        <v/>
      </c>
      <c r="P4646" s="7">
        <f>VLOOKUP(OPERAC[[#This Row],[especie]],[1]!ESPECIES[#All],6,0)</f>
        <v/>
      </c>
      <c r="Q4646" s="7">
        <f>IF(N4646&lt;&gt;0,P4646*N4646,0)</f>
        <v/>
      </c>
      <c r="R4646" s="8">
        <f>IF(Q4646&lt;&gt;0,Q4646+H4646+L4646,0)</f>
        <v/>
      </c>
      <c r="S4646" s="9">
        <f>VLOOKUP(OPERAC[[#This Row],[especie]],[1]!ESPECIES[#Data],9,FALSE)</f>
        <v/>
      </c>
    </row>
    <row r="4647">
      <c r="A4647" s="4" t="n">
        <v>12627</v>
      </c>
      <c r="B4647" s="5" t="n">
        <v>44539</v>
      </c>
      <c r="C4647" s="13" t="inlineStr">
        <is>
          <t>CPR</t>
        </is>
      </c>
      <c r="D4647" s="13" t="n">
        <v>40</v>
      </c>
      <c r="E4647" s="10">
        <f>IF(D4647&gt;0,VLOOKUP(OPERAC[[#This Row],[COD CART]],[1]!MatrizCortoLargoCyl[#All],3,0),"")</f>
        <v/>
      </c>
      <c r="F4647" s="13" t="inlineStr">
        <is>
          <t>ROKU</t>
        </is>
      </c>
      <c r="G4647" s="6" t="n">
        <v>5</v>
      </c>
      <c r="H4647" s="6" t="n">
        <v>-1288.6018</v>
      </c>
      <c r="I4647" s="7">
        <f>-H4647/G4647</f>
        <v/>
      </c>
      <c r="J4647" s="11" t="n">
        <v>44606</v>
      </c>
      <c r="K4647" s="6">
        <f>+OPERAC[[#This Row],[cantidad]]</f>
        <v/>
      </c>
      <c r="L4647" s="6">
        <f>+OPERAC[[#This Row],[cantidad venta]]*160.574</f>
        <v/>
      </c>
      <c r="M4647" s="7">
        <f>IF(N4647=0,+L4647+H4647,0)</f>
        <v/>
      </c>
      <c r="N4647" s="7">
        <f>IF((+G4647-K4647)=0,0,+G4647-K4647)</f>
        <v/>
      </c>
      <c r="O4647" s="7">
        <f>IF(N4647=0,0,(L4647+H4647)/-N4647)</f>
        <v/>
      </c>
      <c r="P4647" s="7">
        <f>VLOOKUP(OPERAC[[#This Row],[especie]],[1]!ESPECIES[#All],6,0)</f>
        <v/>
      </c>
      <c r="Q4647" s="7">
        <f>IF(N4647&lt;&gt;0,P4647*N4647,0)</f>
        <v/>
      </c>
      <c r="R4647" s="8">
        <f>IF(Q4647&lt;&gt;0,Q4647+H4647+L4647,0)</f>
        <v/>
      </c>
      <c r="S4647" s="9">
        <f>VLOOKUP(OPERAC[[#This Row],[especie]],[1]!ESPECIES[#Data],9,FALSE)</f>
        <v/>
      </c>
    </row>
    <row r="4648">
      <c r="A4648" s="4" t="n">
        <v>13188</v>
      </c>
      <c r="B4648" s="5" t="n">
        <v>44539</v>
      </c>
      <c r="C4648" s="13" t="inlineStr">
        <is>
          <t>CPR</t>
        </is>
      </c>
      <c r="D4648" s="13" t="n">
        <v>40</v>
      </c>
      <c r="E4648" s="10">
        <f>IF(D4648&gt;0,VLOOKUP(OPERAC[[#This Row],[COD CART]],[1]!MatrizCortoLargoCyl[#All],3,0),"")</f>
        <v/>
      </c>
      <c r="F4648" s="13" t="inlineStr">
        <is>
          <t>ROKU</t>
        </is>
      </c>
      <c r="G4648" s="6" t="n">
        <v>5</v>
      </c>
      <c r="H4648" s="6" t="n">
        <v>-1288.6018</v>
      </c>
      <c r="I4648" s="7">
        <f>-H4648/G4648</f>
        <v/>
      </c>
      <c r="J4648" s="11" t="n">
        <v>44606</v>
      </c>
      <c r="K4648" s="6">
        <f>+OPERAC[[#This Row],[cantidad]]</f>
        <v/>
      </c>
      <c r="L4648" s="6">
        <f>+OPERAC[[#This Row],[cantidad venta]]*160.574</f>
        <v/>
      </c>
      <c r="M4648" s="7">
        <f>IF(N4648=0,+L4648+H4648,0)</f>
        <v/>
      </c>
      <c r="N4648" s="7">
        <f>IF((+G4648-K4648)=0,0,+G4648-K4648)</f>
        <v/>
      </c>
      <c r="O4648" s="7">
        <f>IF(N4648=0,0,(L4648+H4648)/-N4648)</f>
        <v/>
      </c>
      <c r="P4648" s="7">
        <f>VLOOKUP(OPERAC[[#This Row],[especie]],[1]!ESPECIES[#All],6,0)</f>
        <v/>
      </c>
      <c r="Q4648" s="7">
        <f>IF(N4648&lt;&gt;0,P4648*N4648,0)</f>
        <v/>
      </c>
      <c r="R4648" s="8">
        <f>IF(Q4648&lt;&gt;0,Q4648+H4648+L4648,0)</f>
        <v/>
      </c>
      <c r="S4648" s="9">
        <f>VLOOKUP(OPERAC[[#This Row],[especie]],[1]!ESPECIES[#Data],9,FALSE)</f>
        <v/>
      </c>
    </row>
    <row r="4649">
      <c r="A4649" s="4" t="n">
        <v>13190</v>
      </c>
      <c r="B4649" s="5" t="n">
        <v>44539</v>
      </c>
      <c r="C4649" s="13" t="inlineStr">
        <is>
          <t>CPR</t>
        </is>
      </c>
      <c r="D4649" s="13" t="n">
        <v>40</v>
      </c>
      <c r="E4649" s="10">
        <f>IF(D4649&gt;0,VLOOKUP(OPERAC[[#This Row],[COD CART]],[1]!MatrizCortoLargoCyl[#All],3,0),"")</f>
        <v/>
      </c>
      <c r="F4649" s="13" t="inlineStr">
        <is>
          <t>ROKU</t>
        </is>
      </c>
      <c r="G4649" s="6" t="n">
        <v>5</v>
      </c>
      <c r="H4649" s="6" t="n">
        <v>-1288.6018</v>
      </c>
      <c r="I4649" s="7">
        <f>-H4649/G4649</f>
        <v/>
      </c>
      <c r="J4649" s="11" t="n">
        <v>44580</v>
      </c>
      <c r="K4649" s="6" t="n">
        <v>5</v>
      </c>
      <c r="L4649" s="6" t="n">
        <v>837.736</v>
      </c>
      <c r="M4649" s="7">
        <f>IF(N4649=0,+L4649+H4649,0)</f>
        <v/>
      </c>
      <c r="N4649" s="7">
        <f>IF((+G4649-K4649)=0,0,+G4649-K4649)</f>
        <v/>
      </c>
      <c r="O4649" s="7">
        <f>IF(N4649=0,0,(L4649+H4649)/-N4649)</f>
        <v/>
      </c>
      <c r="P4649" s="7">
        <f>VLOOKUP(OPERAC[[#This Row],[especie]],[1]!ESPECIES[#All],6,0)</f>
        <v/>
      </c>
      <c r="Q4649" s="7">
        <f>IF(N4649&lt;&gt;0,P4649*N4649,0)</f>
        <v/>
      </c>
      <c r="R4649" s="8">
        <f>IF(Q4649&lt;&gt;0,Q4649+H4649+L4649,0)</f>
        <v/>
      </c>
      <c r="S4649" s="9">
        <f>VLOOKUP(OPERAC[[#This Row],[especie]],[1]!ESPECIES[#Data],9,FALSE)</f>
        <v/>
      </c>
    </row>
    <row r="4650">
      <c r="A4650" s="4" t="n">
        <v>13269</v>
      </c>
      <c r="B4650" s="5" t="n">
        <v>44539</v>
      </c>
      <c r="C4650" s="13" t="inlineStr">
        <is>
          <t>CPR</t>
        </is>
      </c>
      <c r="D4650" s="13" t="n">
        <v>40</v>
      </c>
      <c r="E4650" s="10">
        <f>IF(D4650&gt;0,VLOOKUP(OPERAC[[#This Row],[COD CART]],[1]!MatrizCortoLargoCyl[#All],3,0),"")</f>
        <v/>
      </c>
      <c r="F4650" s="13" t="inlineStr">
        <is>
          <t>ROKU</t>
        </is>
      </c>
      <c r="G4650" s="6" t="n">
        <v>5</v>
      </c>
      <c r="H4650" s="6" t="n">
        <v>-1288.6018</v>
      </c>
      <c r="I4650" s="7">
        <f>-H4650/G4650</f>
        <v/>
      </c>
      <c r="J4650" s="11" t="n">
        <v>44606</v>
      </c>
      <c r="K4650" s="6">
        <f>+OPERAC[[#This Row],[cantidad]]</f>
        <v/>
      </c>
      <c r="L4650" s="6">
        <f>+OPERAC[[#This Row],[cantidad venta]]*160.574</f>
        <v/>
      </c>
      <c r="M4650" s="7">
        <f>IF(N4650=0,+L4650+H4650,0)</f>
        <v/>
      </c>
      <c r="N4650" s="7">
        <f>IF((+G4650-K4650)=0,0,+G4650-K4650)</f>
        <v/>
      </c>
      <c r="O4650" s="7">
        <f>IF(N4650=0,0,(L4650+H4650)/-N4650)</f>
        <v/>
      </c>
      <c r="P4650" s="7">
        <f>VLOOKUP(OPERAC[[#This Row],[especie]],[1]!ESPECIES[#All],6,0)</f>
        <v/>
      </c>
      <c r="Q4650" s="7">
        <f>IF(N4650&lt;&gt;0,P4650*N4650,0)</f>
        <v/>
      </c>
      <c r="R4650" s="8">
        <f>IF(Q4650&lt;&gt;0,Q4650+H4650+L4650,0)</f>
        <v/>
      </c>
      <c r="S4650" s="9">
        <f>VLOOKUP(OPERAC[[#This Row],[especie]],[1]!ESPECIES[#Data],9,FALSE)</f>
        <v/>
      </c>
    </row>
    <row r="4651">
      <c r="A4651" s="4" t="n">
        <v>13271</v>
      </c>
      <c r="B4651" s="5" t="n">
        <v>44539</v>
      </c>
      <c r="C4651" s="13" t="inlineStr">
        <is>
          <t>CPR</t>
        </is>
      </c>
      <c r="D4651" s="13" t="n">
        <v>40</v>
      </c>
      <c r="E4651" s="10">
        <f>IF(D4651&gt;0,VLOOKUP(OPERAC[[#This Row],[COD CART]],[1]!MatrizCortoLargoCyl[#All],3,0),"")</f>
        <v/>
      </c>
      <c r="F4651" s="13" t="inlineStr">
        <is>
          <t>ROKU</t>
        </is>
      </c>
      <c r="G4651" s="6" t="n">
        <v>5</v>
      </c>
      <c r="H4651" s="6" t="n">
        <v>-1288.6018</v>
      </c>
      <c r="I4651" s="7">
        <f>-H4651/G4651</f>
        <v/>
      </c>
      <c r="J4651" s="11" t="n">
        <v>44606</v>
      </c>
      <c r="K4651" s="6">
        <f>+OPERAC[[#This Row],[cantidad]]</f>
        <v/>
      </c>
      <c r="L4651" s="6">
        <f>+OPERAC[[#This Row],[cantidad venta]]*160.574</f>
        <v/>
      </c>
      <c r="M4651" s="7">
        <f>IF(N4651=0,+L4651+H4651,0)</f>
        <v/>
      </c>
      <c r="N4651" s="7">
        <f>IF((+G4651-K4651)=0,0,+G4651-K4651)</f>
        <v/>
      </c>
      <c r="O4651" s="7">
        <f>IF(N4651=0,0,(L4651+H4651)/-N4651)</f>
        <v/>
      </c>
      <c r="P4651" s="7">
        <f>VLOOKUP(OPERAC[[#This Row],[especie]],[1]!ESPECIES[#All],6,0)</f>
        <v/>
      </c>
      <c r="Q4651" s="7">
        <f>IF(N4651&lt;&gt;0,P4651*N4651,0)</f>
        <v/>
      </c>
      <c r="R4651" s="8">
        <f>IF(Q4651&lt;&gt;0,Q4651+H4651+L4651,0)</f>
        <v/>
      </c>
      <c r="S4651" s="9">
        <f>VLOOKUP(OPERAC[[#This Row],[especie]],[1]!ESPECIES[#Data],9,FALSE)</f>
        <v/>
      </c>
    </row>
    <row r="4652">
      <c r="A4652" s="4" t="n">
        <v>15194</v>
      </c>
      <c r="B4652" s="5" t="n">
        <v>44539</v>
      </c>
      <c r="C4652" s="13" t="inlineStr">
        <is>
          <t>CPR</t>
        </is>
      </c>
      <c r="D4652" s="13" t="n">
        <v>40</v>
      </c>
      <c r="E4652" s="10">
        <f>IF(D4652&gt;0,VLOOKUP(OPERAC[[#This Row],[COD CART]],[1]!MatrizCortoLargoCyl[#All],3,0),"")</f>
        <v/>
      </c>
      <c r="F4652" s="13" t="inlineStr">
        <is>
          <t>ROKU</t>
        </is>
      </c>
      <c r="G4652" s="6" t="n">
        <v>5</v>
      </c>
      <c r="H4652" s="6" t="n">
        <v>-1288.6018</v>
      </c>
      <c r="I4652" s="7">
        <f>-H4652/G4652</f>
        <v/>
      </c>
      <c r="J4652" s="11" t="n">
        <v>44606</v>
      </c>
      <c r="K4652" s="6">
        <f>+OPERAC[[#This Row],[cantidad]]</f>
        <v/>
      </c>
      <c r="L4652" s="6">
        <f>+OPERAC[[#This Row],[cantidad venta]]*160.574</f>
        <v/>
      </c>
      <c r="M4652" s="7">
        <f>IF(N4652=0,+L4652+H4652,0)</f>
        <v/>
      </c>
      <c r="N4652" s="7">
        <f>IF((+G4652-K4652)=0,0,+G4652-K4652)</f>
        <v/>
      </c>
      <c r="O4652" s="7">
        <f>IF(N4652=0,0,(L4652+H4652)/-N4652)</f>
        <v/>
      </c>
      <c r="P4652" s="7">
        <f>VLOOKUP(OPERAC[[#This Row],[especie]],[1]!ESPECIES[#All],6,0)</f>
        <v/>
      </c>
      <c r="Q4652" s="7">
        <f>IF(N4652&lt;&gt;0,P4652*N4652,0)</f>
        <v/>
      </c>
      <c r="R4652" s="8">
        <f>IF(Q4652&lt;&gt;0,Q4652+H4652+L4652,0)</f>
        <v/>
      </c>
      <c r="S4652" s="9">
        <f>VLOOKUP(OPERAC[[#This Row],[especie]],[1]!ESPECIES[#Data],9,FALSE)</f>
        <v/>
      </c>
    </row>
    <row r="4653">
      <c r="A4653" s="4" t="n">
        <v>16824</v>
      </c>
      <c r="B4653" s="5" t="n">
        <v>44539</v>
      </c>
      <c r="C4653" s="13" t="inlineStr">
        <is>
          <t>CPR</t>
        </is>
      </c>
      <c r="D4653" s="13" t="n">
        <v>40</v>
      </c>
      <c r="E4653" s="10">
        <f>IF(D4653&gt;0,VLOOKUP(OPERAC[[#This Row],[COD CART]],[1]!MatrizCortoLargoCyl[#All],3,0),"")</f>
        <v/>
      </c>
      <c r="F4653" s="13" t="inlineStr">
        <is>
          <t>ROKU</t>
        </is>
      </c>
      <c r="G4653" s="6" t="n">
        <v>5</v>
      </c>
      <c r="H4653" s="6" t="n">
        <v>-1288.6018</v>
      </c>
      <c r="I4653" s="7">
        <f>-H4653/G4653</f>
        <v/>
      </c>
      <c r="J4653" s="11" t="n">
        <v>44606</v>
      </c>
      <c r="K4653" s="6">
        <f>+OPERAC[[#This Row],[cantidad]]</f>
        <v/>
      </c>
      <c r="L4653" s="6">
        <f>+OPERAC[[#This Row],[cantidad venta]]*160.574</f>
        <v/>
      </c>
      <c r="M4653" s="7">
        <f>IF(N4653=0,+L4653+H4653,0)</f>
        <v/>
      </c>
      <c r="N4653" s="7">
        <f>IF((+G4653-K4653)=0,0,+G4653-K4653)</f>
        <v/>
      </c>
      <c r="O4653" s="7">
        <f>IF(N4653=0,0,(L4653+H4653)/-N4653)</f>
        <v/>
      </c>
      <c r="P4653" s="7">
        <f>VLOOKUP(OPERAC[[#This Row],[especie]],[1]!ESPECIES[#All],6,0)</f>
        <v/>
      </c>
      <c r="Q4653" s="7">
        <f>IF(N4653&lt;&gt;0,P4653*N4653,0)</f>
        <v/>
      </c>
      <c r="R4653" s="8">
        <f>IF(Q4653&lt;&gt;0,Q4653+H4653+L4653,0)</f>
        <v/>
      </c>
      <c r="S4653" s="9">
        <f>VLOOKUP(OPERAC[[#This Row],[especie]],[1]!ESPECIES[#Data],9,FALSE)</f>
        <v/>
      </c>
    </row>
    <row r="4654">
      <c r="A4654" s="4" t="n">
        <v>18690</v>
      </c>
      <c r="B4654" s="5" t="n">
        <v>44539</v>
      </c>
      <c r="C4654" s="13" t="inlineStr">
        <is>
          <t>CPR</t>
        </is>
      </c>
      <c r="D4654" s="13" t="n">
        <v>40</v>
      </c>
      <c r="E4654" s="10">
        <f>IF(D4654&gt;0,VLOOKUP(OPERAC[[#This Row],[COD CART]],[1]!MatrizCortoLargoCyl[#All],3,0),"")</f>
        <v/>
      </c>
      <c r="F4654" s="13" t="inlineStr">
        <is>
          <t>ROKU</t>
        </is>
      </c>
      <c r="G4654" s="6" t="n">
        <v>5</v>
      </c>
      <c r="H4654" s="6" t="n">
        <v>-1288.6018</v>
      </c>
      <c r="I4654" s="7">
        <f>-H4654/G4654</f>
        <v/>
      </c>
      <c r="J4654" s="11" t="n">
        <v>44606</v>
      </c>
      <c r="K4654" s="6">
        <f>+OPERAC[[#This Row],[cantidad]]</f>
        <v/>
      </c>
      <c r="L4654" s="6">
        <f>+OPERAC[[#This Row],[cantidad venta]]*160.574</f>
        <v/>
      </c>
      <c r="M4654" s="7">
        <f>IF(N4654=0,+L4654+H4654,0)</f>
        <v/>
      </c>
      <c r="N4654" s="7">
        <f>IF((+G4654-K4654)=0,0,+G4654-K4654)</f>
        <v/>
      </c>
      <c r="O4654" s="7">
        <f>IF(N4654=0,0,(L4654+H4654)/-N4654)</f>
        <v/>
      </c>
      <c r="P4654" s="7">
        <f>VLOOKUP(OPERAC[[#This Row],[especie]],[1]!ESPECIES[#All],6,0)</f>
        <v/>
      </c>
      <c r="Q4654" s="7">
        <f>IF(N4654&lt;&gt;0,P4654*N4654,0)</f>
        <v/>
      </c>
      <c r="R4654" s="8">
        <f>IF(Q4654&lt;&gt;0,Q4654+H4654+L4654,0)</f>
        <v/>
      </c>
      <c r="S4654" s="9">
        <f>VLOOKUP(OPERAC[[#This Row],[especie]],[1]!ESPECIES[#Data],9,FALSE)</f>
        <v/>
      </c>
    </row>
    <row r="4655">
      <c r="A4655" s="4" t="n">
        <v>18711</v>
      </c>
      <c r="B4655" s="5" t="n">
        <v>44539</v>
      </c>
      <c r="C4655" s="13" t="inlineStr">
        <is>
          <t>CPR</t>
        </is>
      </c>
      <c r="D4655" s="13" t="n">
        <v>40</v>
      </c>
      <c r="E4655" s="10">
        <f>IF(D4655&gt;0,VLOOKUP(OPERAC[[#This Row],[COD CART]],[1]!MatrizCortoLargoCyl[#All],3,0),"")</f>
        <v/>
      </c>
      <c r="F4655" s="13" t="inlineStr">
        <is>
          <t>ROKU</t>
        </is>
      </c>
      <c r="G4655" s="6" t="n">
        <v>5</v>
      </c>
      <c r="H4655" s="6" t="n">
        <v>-1288.6018</v>
      </c>
      <c r="I4655" s="7">
        <f>-H4655/G4655</f>
        <v/>
      </c>
      <c r="J4655" s="11" t="n">
        <v>44606</v>
      </c>
      <c r="K4655" s="6">
        <f>+OPERAC[[#This Row],[cantidad]]</f>
        <v/>
      </c>
      <c r="L4655" s="6">
        <f>+OPERAC[[#This Row],[cantidad venta]]*160.574</f>
        <v/>
      </c>
      <c r="M4655" s="7">
        <f>IF(N4655=0,+L4655+H4655,0)</f>
        <v/>
      </c>
      <c r="N4655" s="7">
        <f>IF((+G4655-K4655)=0,0,+G4655-K4655)</f>
        <v/>
      </c>
      <c r="O4655" s="7">
        <f>IF(N4655=0,0,(L4655+H4655)/-N4655)</f>
        <v/>
      </c>
      <c r="P4655" s="7">
        <f>VLOOKUP(OPERAC[[#This Row],[especie]],[1]!ESPECIES[#All],6,0)</f>
        <v/>
      </c>
      <c r="Q4655" s="7">
        <f>IF(N4655&lt;&gt;0,P4655*N4655,0)</f>
        <v/>
      </c>
      <c r="R4655" s="8">
        <f>IF(Q4655&lt;&gt;0,Q4655+H4655+L4655,0)</f>
        <v/>
      </c>
      <c r="S4655" s="9">
        <f>VLOOKUP(OPERAC[[#This Row],[especie]],[1]!ESPECIES[#Data],9,FALSE)</f>
        <v/>
      </c>
    </row>
    <row r="4656">
      <c r="A4656" s="4" t="n">
        <v>18713</v>
      </c>
      <c r="B4656" s="5" t="n">
        <v>44539</v>
      </c>
      <c r="C4656" s="13" t="inlineStr">
        <is>
          <t>CPR</t>
        </is>
      </c>
      <c r="D4656" s="13" t="n">
        <v>40</v>
      </c>
      <c r="E4656" s="10">
        <f>IF(D4656&gt;0,VLOOKUP(OPERAC[[#This Row],[COD CART]],[1]!MatrizCortoLargoCyl[#All],3,0),"")</f>
        <v/>
      </c>
      <c r="F4656" s="13" t="inlineStr">
        <is>
          <t>ROKU</t>
        </is>
      </c>
      <c r="G4656" s="6" t="n">
        <v>5</v>
      </c>
      <c r="H4656" s="6" t="n">
        <v>-1288.6018</v>
      </c>
      <c r="I4656" s="7">
        <f>-H4656/G4656</f>
        <v/>
      </c>
      <c r="J4656" s="11" t="n">
        <v>44606</v>
      </c>
      <c r="K4656" s="6">
        <f>+OPERAC[[#This Row],[cantidad]]</f>
        <v/>
      </c>
      <c r="L4656" s="6">
        <f>+OPERAC[[#This Row],[cantidad venta]]*160.574</f>
        <v/>
      </c>
      <c r="M4656" s="7">
        <f>IF(N4656=0,+L4656+H4656,0)</f>
        <v/>
      </c>
      <c r="N4656" s="7">
        <f>IF((+G4656-K4656)=0,0,+G4656-K4656)</f>
        <v/>
      </c>
      <c r="O4656" s="7">
        <f>IF(N4656=0,0,(L4656+H4656)/-N4656)</f>
        <v/>
      </c>
      <c r="P4656" s="7">
        <f>VLOOKUP(OPERAC[[#This Row],[especie]],[1]!ESPECIES[#All],6,0)</f>
        <v/>
      </c>
      <c r="Q4656" s="7">
        <f>IF(N4656&lt;&gt;0,P4656*N4656,0)</f>
        <v/>
      </c>
      <c r="R4656" s="8">
        <f>IF(Q4656&lt;&gt;0,Q4656+H4656+L4656,0)</f>
        <v/>
      </c>
      <c r="S4656" s="9">
        <f>VLOOKUP(OPERAC[[#This Row],[especie]],[1]!ESPECIES[#Data],9,FALSE)</f>
        <v/>
      </c>
    </row>
    <row r="4657">
      <c r="A4657" s="4" t="n">
        <v>19867</v>
      </c>
      <c r="B4657" s="5" t="n">
        <v>44539</v>
      </c>
      <c r="C4657" s="13" t="inlineStr">
        <is>
          <t>CPR</t>
        </is>
      </c>
      <c r="D4657" s="13" t="n">
        <v>40</v>
      </c>
      <c r="E4657" s="10">
        <f>IF(D4657&gt;0,VLOOKUP(OPERAC[[#This Row],[COD CART]],[1]!MatrizCortoLargoCyl[#All],3,0),"")</f>
        <v/>
      </c>
      <c r="F4657" s="13" t="inlineStr">
        <is>
          <t>ROKU</t>
        </is>
      </c>
      <c r="G4657" s="6" t="n">
        <v>5</v>
      </c>
      <c r="H4657" s="6" t="n">
        <v>-1288.6018</v>
      </c>
      <c r="I4657" s="7">
        <f>-H4657/G4657</f>
        <v/>
      </c>
      <c r="J4657" s="11" t="n">
        <v>44606</v>
      </c>
      <c r="K4657" s="6">
        <f>+OPERAC[[#This Row],[cantidad]]</f>
        <v/>
      </c>
      <c r="L4657" s="6">
        <f>+OPERAC[[#This Row],[cantidad venta]]*160.574</f>
        <v/>
      </c>
      <c r="M4657" s="7">
        <f>IF(N4657=0,+L4657+H4657,0)</f>
        <v/>
      </c>
      <c r="N4657" s="7">
        <f>IF((+G4657-K4657)=0,0,+G4657-K4657)</f>
        <v/>
      </c>
      <c r="O4657" s="7">
        <f>IF(N4657=0,0,(L4657+H4657)/-N4657)</f>
        <v/>
      </c>
      <c r="P4657" s="7">
        <f>VLOOKUP(OPERAC[[#This Row],[especie]],[1]!ESPECIES[#All],6,0)</f>
        <v/>
      </c>
      <c r="Q4657" s="7">
        <f>IF(N4657&lt;&gt;0,P4657*N4657,0)</f>
        <v/>
      </c>
      <c r="R4657" s="8">
        <f>IF(Q4657&lt;&gt;0,Q4657+H4657+L4657,0)</f>
        <v/>
      </c>
      <c r="S4657" s="9">
        <f>VLOOKUP(OPERAC[[#This Row],[especie]],[1]!ESPECIES[#Data],9,FALSE)</f>
        <v/>
      </c>
    </row>
    <row r="4658">
      <c r="A4658" s="4" t="n">
        <v>19878</v>
      </c>
      <c r="B4658" s="5" t="n">
        <v>44539</v>
      </c>
      <c r="C4658" s="13" t="inlineStr">
        <is>
          <t>CPR</t>
        </is>
      </c>
      <c r="D4658" s="13" t="n">
        <v>40</v>
      </c>
      <c r="E4658" s="10">
        <f>IF(D4658&gt;0,VLOOKUP(OPERAC[[#This Row],[COD CART]],[1]!MatrizCortoLargoCyl[#All],3,0),"")</f>
        <v/>
      </c>
      <c r="F4658" s="13" t="inlineStr">
        <is>
          <t>ROKU</t>
        </is>
      </c>
      <c r="G4658" s="6" t="n">
        <v>5</v>
      </c>
      <c r="H4658" s="6" t="n">
        <v>-1288.6018</v>
      </c>
      <c r="I4658" s="7">
        <f>-H4658/G4658</f>
        <v/>
      </c>
      <c r="J4658" s="11" t="n">
        <v>44606</v>
      </c>
      <c r="K4658" s="6">
        <f>+OPERAC[[#This Row],[cantidad]]</f>
        <v/>
      </c>
      <c r="L4658" s="6">
        <f>+OPERAC[[#This Row],[cantidad venta]]*160.574</f>
        <v/>
      </c>
      <c r="M4658" s="7">
        <f>IF(N4658=0,+L4658+H4658,0)</f>
        <v/>
      </c>
      <c r="N4658" s="7">
        <f>IF((+G4658-K4658)=0,0,+G4658-K4658)</f>
        <v/>
      </c>
      <c r="O4658" s="7">
        <f>IF(N4658=0,0,(L4658+H4658)/-N4658)</f>
        <v/>
      </c>
      <c r="P4658" s="7">
        <f>VLOOKUP(OPERAC[[#This Row],[especie]],[1]!ESPECIES[#All],6,0)</f>
        <v/>
      </c>
      <c r="Q4658" s="7">
        <f>IF(N4658&lt;&gt;0,P4658*N4658,0)</f>
        <v/>
      </c>
      <c r="R4658" s="8">
        <f>IF(Q4658&lt;&gt;0,Q4658+H4658+L4658,0)</f>
        <v/>
      </c>
      <c r="S4658" s="9">
        <f>VLOOKUP(OPERAC[[#This Row],[especie]],[1]!ESPECIES[#Data],9,FALSE)</f>
        <v/>
      </c>
    </row>
    <row r="4659">
      <c r="A4659" s="4" t="n">
        <v>19934</v>
      </c>
      <c r="B4659" s="5" t="n">
        <v>44539</v>
      </c>
      <c r="C4659" s="13" t="inlineStr">
        <is>
          <t>CPR</t>
        </is>
      </c>
      <c r="D4659" s="13" t="n">
        <v>40</v>
      </c>
      <c r="E4659" s="10">
        <f>IF(D4659&gt;0,VLOOKUP(OPERAC[[#This Row],[COD CART]],[1]!MatrizCortoLargoCyl[#All],3,0),"")</f>
        <v/>
      </c>
      <c r="F4659" s="13" t="inlineStr">
        <is>
          <t>ROKU</t>
        </is>
      </c>
      <c r="G4659" s="6" t="n">
        <v>5</v>
      </c>
      <c r="H4659" s="6" t="n">
        <v>-1288.6018</v>
      </c>
      <c r="I4659" s="7">
        <f>-H4659/G4659</f>
        <v/>
      </c>
      <c r="J4659" s="11" t="n">
        <v>44606</v>
      </c>
      <c r="K4659" s="6">
        <f>+OPERAC[[#This Row],[cantidad]]</f>
        <v/>
      </c>
      <c r="L4659" s="6">
        <f>+OPERAC[[#This Row],[cantidad venta]]*160.574</f>
        <v/>
      </c>
      <c r="M4659" s="7">
        <f>IF(N4659=0,+L4659+H4659,0)</f>
        <v/>
      </c>
      <c r="N4659" s="7">
        <f>IF((+G4659-K4659)=0,0,+G4659-K4659)</f>
        <v/>
      </c>
      <c r="O4659" s="7">
        <f>IF(N4659=0,0,(L4659+H4659)/-N4659)</f>
        <v/>
      </c>
      <c r="P4659" s="7">
        <f>VLOOKUP(OPERAC[[#This Row],[especie]],[1]!ESPECIES[#All],6,0)</f>
        <v/>
      </c>
      <c r="Q4659" s="7">
        <f>IF(N4659&lt;&gt;0,P4659*N4659,0)</f>
        <v/>
      </c>
      <c r="R4659" s="8">
        <f>IF(Q4659&lt;&gt;0,Q4659+H4659+L4659,0)</f>
        <v/>
      </c>
      <c r="S4659" s="9">
        <f>VLOOKUP(OPERAC[[#This Row],[especie]],[1]!ESPECIES[#Data],9,FALSE)</f>
        <v/>
      </c>
    </row>
    <row r="4660">
      <c r="A4660" s="4" t="n">
        <v>20234</v>
      </c>
      <c r="B4660" s="5" t="n">
        <v>44539</v>
      </c>
      <c r="C4660" s="13" t="inlineStr">
        <is>
          <t>CPR</t>
        </is>
      </c>
      <c r="D4660" s="13" t="n">
        <v>40</v>
      </c>
      <c r="E4660" s="10">
        <f>IF(D4660&gt;0,VLOOKUP(OPERAC[[#This Row],[COD CART]],[1]!MatrizCortoLargoCyl[#All],3,0),"")</f>
        <v/>
      </c>
      <c r="F4660" s="13" t="inlineStr">
        <is>
          <t>ROKU</t>
        </is>
      </c>
      <c r="G4660" s="6" t="n">
        <v>5</v>
      </c>
      <c r="H4660" s="6" t="n">
        <v>-1288.6018</v>
      </c>
      <c r="I4660" s="7">
        <f>-H4660/G4660</f>
        <v/>
      </c>
      <c r="J4660" s="11" t="n">
        <v>44544</v>
      </c>
      <c r="K4660" s="6">
        <f>2+3</f>
        <v/>
      </c>
      <c r="L4660" s="6">
        <f>433.417+482.695</f>
        <v/>
      </c>
      <c r="M4660" s="7">
        <f>IF(N4660=0,+L4660+H4660,0)</f>
        <v/>
      </c>
      <c r="N4660" s="7">
        <f>IF((+G4660-K4660)=0,0,+G4660-K4660)</f>
        <v/>
      </c>
      <c r="O4660" s="7">
        <f>IF(N4660=0,0,(L4660+H4660)/-N4660)</f>
        <v/>
      </c>
      <c r="P4660" s="7">
        <f>VLOOKUP(OPERAC[[#This Row],[especie]],[1]!ESPECIES[#All],6,0)</f>
        <v/>
      </c>
      <c r="Q4660" s="7">
        <f>IF(N4660&lt;&gt;0,P4660*N4660,0)</f>
        <v/>
      </c>
      <c r="R4660" s="8">
        <f>IF(Q4660&lt;&gt;0,Q4660+H4660+L4660,0)</f>
        <v/>
      </c>
      <c r="S4660" s="9">
        <f>VLOOKUP(OPERAC[[#This Row],[especie]],[1]!ESPECIES[#Data],9,FALSE)</f>
        <v/>
      </c>
    </row>
    <row r="4661">
      <c r="A4661" s="4" t="n">
        <v>20317</v>
      </c>
      <c r="B4661" s="5" t="n">
        <v>44539</v>
      </c>
      <c r="C4661" s="13" t="inlineStr">
        <is>
          <t>CPR</t>
        </is>
      </c>
      <c r="D4661" s="13" t="n">
        <v>40</v>
      </c>
      <c r="E4661" s="10">
        <f>IF(D4661&gt;0,VLOOKUP(OPERAC[[#This Row],[COD CART]],[1]!MatrizCortoLargoCyl[#All],3,0),"")</f>
        <v/>
      </c>
      <c r="F4661" s="13" t="inlineStr">
        <is>
          <t>ROKU</t>
        </is>
      </c>
      <c r="G4661" s="6" t="n">
        <v>5</v>
      </c>
      <c r="H4661" s="6" t="n">
        <v>-1288.6018</v>
      </c>
      <c r="I4661" s="7">
        <f>-H4661/G4661</f>
        <v/>
      </c>
      <c r="J4661" s="11" t="n">
        <v>44606</v>
      </c>
      <c r="K4661" s="6">
        <f>+OPERAC[[#This Row],[cantidad]]</f>
        <v/>
      </c>
      <c r="L4661" s="6">
        <f>+OPERAC[[#This Row],[cantidad venta]]*160.574</f>
        <v/>
      </c>
      <c r="M4661" s="7">
        <f>IF(N4661=0,+L4661+H4661,0)</f>
        <v/>
      </c>
      <c r="N4661" s="7">
        <f>IF((+G4661-K4661)=0,0,+G4661-K4661)</f>
        <v/>
      </c>
      <c r="O4661" s="7">
        <f>IF(N4661=0,0,(L4661+H4661)/-N4661)</f>
        <v/>
      </c>
      <c r="P4661" s="7">
        <f>VLOOKUP(OPERAC[[#This Row],[especie]],[1]!ESPECIES[#All],6,0)</f>
        <v/>
      </c>
      <c r="Q4661" s="7">
        <f>IF(N4661&lt;&gt;0,P4661*N4661,0)</f>
        <v/>
      </c>
      <c r="R4661" s="8">
        <f>IF(Q4661&lt;&gt;0,Q4661+H4661+L4661,0)</f>
        <v/>
      </c>
      <c r="S4661" s="9">
        <f>VLOOKUP(OPERAC[[#This Row],[especie]],[1]!ESPECIES[#Data],9,FALSE)</f>
        <v/>
      </c>
    </row>
    <row r="4662">
      <c r="A4662" s="4" t="n">
        <v>22439</v>
      </c>
      <c r="B4662" s="5" t="n">
        <v>44539</v>
      </c>
      <c r="C4662" s="13" t="inlineStr">
        <is>
          <t>CPR</t>
        </is>
      </c>
      <c r="D4662" s="13" t="n">
        <v>40</v>
      </c>
      <c r="E4662" s="10">
        <f>IF(D4662&gt;0,VLOOKUP(OPERAC[[#This Row],[COD CART]],[1]!MatrizCortoLargoCyl[#All],3,0),"")</f>
        <v/>
      </c>
      <c r="F4662" s="13" t="inlineStr">
        <is>
          <t>ROKU</t>
        </is>
      </c>
      <c r="G4662" s="6" t="n">
        <v>5</v>
      </c>
      <c r="H4662" s="6" t="n">
        <v>-1288.6018</v>
      </c>
      <c r="I4662" s="7">
        <f>-H4662/G4662</f>
        <v/>
      </c>
      <c r="J4662" s="11" t="n">
        <v>44606</v>
      </c>
      <c r="K4662" s="6">
        <f>+OPERAC[[#This Row],[cantidad]]</f>
        <v/>
      </c>
      <c r="L4662" s="6">
        <f>+OPERAC[[#This Row],[cantidad venta]]*160.574</f>
        <v/>
      </c>
      <c r="M4662" s="7">
        <f>IF(N4662=0,+L4662+H4662,0)</f>
        <v/>
      </c>
      <c r="N4662" s="7">
        <f>IF((+G4662-K4662)=0,0,+G4662-K4662)</f>
        <v/>
      </c>
      <c r="O4662" s="7">
        <f>IF(N4662=0,0,(L4662+H4662)/-N4662)</f>
        <v/>
      </c>
      <c r="P4662" s="7">
        <f>VLOOKUP(OPERAC[[#This Row],[especie]],[1]!ESPECIES[#All],6,0)</f>
        <v/>
      </c>
      <c r="Q4662" s="7">
        <f>IF(N4662&lt;&gt;0,P4662*N4662,0)</f>
        <v/>
      </c>
      <c r="R4662" s="8">
        <f>IF(Q4662&lt;&gt;0,Q4662+H4662+L4662,0)</f>
        <v/>
      </c>
      <c r="S4662" s="9">
        <f>VLOOKUP(OPERAC[[#This Row],[especie]],[1]!ESPECIES[#Data],9,FALSE)</f>
        <v/>
      </c>
    </row>
    <row r="4663">
      <c r="A4663" s="4" t="n">
        <v>4561</v>
      </c>
      <c r="B4663" s="5" t="n">
        <v>44698</v>
      </c>
      <c r="C4663" s="13" t="inlineStr">
        <is>
          <t>CPR</t>
        </is>
      </c>
      <c r="D4663" s="13" t="n">
        <v>32</v>
      </c>
      <c r="E4663" s="10">
        <f>IF(D4663&gt;0,VLOOKUP(OPERAC[[#This Row],[COD CART]],[1]!MatrizCortoLargoCyl[#All],3,0),"")</f>
        <v/>
      </c>
      <c r="F4663" s="13" t="inlineStr">
        <is>
          <t>COTY/CYL/8,50/01-07-22</t>
        </is>
      </c>
      <c r="G4663" s="6" t="n">
        <v>200</v>
      </c>
      <c r="H4663" s="6" t="n">
        <v>-1289.1</v>
      </c>
      <c r="I4663" s="7">
        <f>-H4663/G4663</f>
        <v/>
      </c>
      <c r="J4663" s="11" t="n"/>
      <c r="K4663" s="6" t="n"/>
      <c r="L4663" s="6" t="n"/>
      <c r="M4663" s="7">
        <f>IF(N4663=0,+L4663+H4663,0)</f>
        <v/>
      </c>
      <c r="N4663" s="7">
        <f>IF((+G4663-K4663)=0,0,+G4663-K4663)</f>
        <v/>
      </c>
      <c r="O4663" s="7">
        <f>IF(N4663=0,0,(L4663+H4663)/-N4663)</f>
        <v/>
      </c>
      <c r="P4663" s="7">
        <f>VLOOKUP(OPERAC[[#This Row],[especie]],[1]!ESPECIES[#All],6,0)</f>
        <v/>
      </c>
      <c r="Q4663" s="7">
        <f>IF(N4663&lt;&gt;0,P4663*N4663,0)</f>
        <v/>
      </c>
      <c r="R4663" s="8">
        <f>IF(Q4663&lt;&gt;0,Q4663+H4663+L4663,0)</f>
        <v/>
      </c>
      <c r="S4663" s="9">
        <f>VLOOKUP(OPERAC[[#This Row],[especie]],[1]!ESPECIES[#Data],9,FALSE)</f>
        <v/>
      </c>
    </row>
    <row r="4664">
      <c r="A4664" s="4" t="n">
        <v>2218</v>
      </c>
      <c r="B4664" s="5" t="n">
        <v>44662</v>
      </c>
      <c r="C4664" s="13" t="inlineStr">
        <is>
          <t>CPR</t>
        </is>
      </c>
      <c r="D4664" s="13" t="n">
        <v>42</v>
      </c>
      <c r="E4664" s="10">
        <f>IF(D4664&gt;0,VLOOKUP(OPERAC[[#This Row],[COD CART]],[1]!MatrizCortoLargoCyl[#All],3,0),"")</f>
        <v/>
      </c>
      <c r="F4664" s="13" t="inlineStr">
        <is>
          <t>HYDR</t>
        </is>
      </c>
      <c r="G4664" s="6" t="n">
        <v>70</v>
      </c>
      <c r="H4664" s="6" t="n">
        <v>-1290.89926</v>
      </c>
      <c r="I4664" s="7">
        <f>-H4664/G4664</f>
        <v/>
      </c>
      <c r="J4664" s="11" t="n">
        <v>44722</v>
      </c>
      <c r="K4664" s="6" t="n">
        <v>70</v>
      </c>
      <c r="L4664" s="6">
        <f>+OPERAC[[#This Row],[cantidad venta]]*12.837</f>
        <v/>
      </c>
      <c r="M4664" s="7">
        <f>IF(N4664=0,+L4664+H4664,0)</f>
        <v/>
      </c>
      <c r="N4664" s="7">
        <f>IF((+G4664-K4664)=0,0,+G4664-K4664)</f>
        <v/>
      </c>
      <c r="O4664" s="7">
        <f>IF(N4664=0,0,(L4664+H4664)/-N4664)</f>
        <v/>
      </c>
      <c r="P4664" s="7">
        <f>VLOOKUP(OPERAC[[#This Row],[especie]],[1]!ESPECIES[#All],6,0)</f>
        <v/>
      </c>
      <c r="Q4664" s="7">
        <f>IF(N4664&lt;&gt;0,P4664*N4664,0)</f>
        <v/>
      </c>
      <c r="R4664" s="8">
        <f>IF(Q4664&lt;&gt;0,Q4664+H4664+L4664,0)</f>
        <v/>
      </c>
      <c r="S4664" s="9">
        <f>VLOOKUP(OPERAC[[#This Row],[especie]],[1]!ESPECIES[#Data],9,FALSE)</f>
        <v/>
      </c>
    </row>
    <row r="4665">
      <c r="A4665" s="4" t="n">
        <v>16783</v>
      </c>
      <c r="B4665" s="5" t="n">
        <v>44643</v>
      </c>
      <c r="C4665" s="13" t="inlineStr">
        <is>
          <t>CPR</t>
        </is>
      </c>
      <c r="D4665" s="13" t="n">
        <v>42</v>
      </c>
      <c r="E4665" s="10">
        <f>IF(D4665&gt;0,VLOOKUP(OPERAC[[#This Row],[COD CART]],[1]!MatrizCortoLargoCyl[#All],3,0),"")</f>
        <v/>
      </c>
      <c r="F4665" s="13" t="inlineStr">
        <is>
          <t>FB</t>
        </is>
      </c>
      <c r="G4665" s="6" t="n">
        <v>6</v>
      </c>
      <c r="H4665" s="6" t="n">
        <v>-1291.59396</v>
      </c>
      <c r="I4665" s="7">
        <f>-H4665/G4665</f>
        <v/>
      </c>
      <c r="J4665" s="11" t="n">
        <v>44671</v>
      </c>
      <c r="K4665" s="6">
        <f>+OPERAC[[#This Row],[cantidad]]</f>
        <v/>
      </c>
      <c r="L4665" s="6">
        <f>+OPERAC[[#This Row],[cantidad venta]]*213.173</f>
        <v/>
      </c>
      <c r="M4665" s="7">
        <f>IF(N4665=0,+L4665+H4665,0)</f>
        <v/>
      </c>
      <c r="N4665" s="7">
        <f>IF((+G4665-K4665)=0,0,+G4665-K4665)</f>
        <v/>
      </c>
      <c r="O4665" s="7">
        <f>IF(N4665=0,0,(L4665+H4665)/-N4665)</f>
        <v/>
      </c>
      <c r="P4665" s="7">
        <f>VLOOKUP(OPERAC[[#This Row],[especie]],[1]!ESPECIES[#All],6,0)</f>
        <v/>
      </c>
      <c r="Q4665" s="7">
        <f>IF(N4665&lt;&gt;0,P4665*N4665,0)</f>
        <v/>
      </c>
      <c r="R4665" s="8">
        <f>IF(Q4665&lt;&gt;0,Q4665+H4665+L4665,0)</f>
        <v/>
      </c>
      <c r="S4665" s="9">
        <f>VLOOKUP(OPERAC[[#This Row],[especie]],[1]!ESPECIES[#Data],9,FALSE)</f>
        <v/>
      </c>
    </row>
    <row r="4666">
      <c r="A4666" s="4" t="n">
        <v>1817</v>
      </c>
      <c r="B4666" s="5" t="n">
        <v>44690</v>
      </c>
      <c r="C4666" s="13" t="inlineStr">
        <is>
          <t>CPR</t>
        </is>
      </c>
      <c r="D4666" s="13" t="n">
        <v>32</v>
      </c>
      <c r="E4666" s="10">
        <f>IF(D4666&gt;0,VLOOKUP(OPERAC[[#This Row],[COD CART]],[1]!MatrizCortoLargoCyl[#All],3,0),"")</f>
        <v/>
      </c>
      <c r="F4666" s="13" t="inlineStr">
        <is>
          <t>F/CYL/14,00/17-06-22</t>
        </is>
      </c>
      <c r="G4666" s="6" t="n">
        <v>100</v>
      </c>
      <c r="H4666" s="6">
        <f>-1322.93+24.788</f>
        <v/>
      </c>
      <c r="I4666" s="7">
        <f>-H4666/G4666</f>
        <v/>
      </c>
      <c r="J4666" s="11" t="n"/>
      <c r="K4666" s="6" t="n"/>
      <c r="L4666" s="6" t="n"/>
      <c r="M4666" s="7">
        <f>IF(N4666=0,+L4666+H4666,0)</f>
        <v/>
      </c>
      <c r="N4666" s="7">
        <f>IF((+G4666-K4666)=0,0,+G4666-K4666)</f>
        <v/>
      </c>
      <c r="O4666" s="7">
        <f>IF(N4666=0,0,(L4666+H4666)/-N4666)</f>
        <v/>
      </c>
      <c r="P4666" s="7">
        <f>VLOOKUP(OPERAC[[#This Row],[especie]],[1]!ESPECIES[#All],6,0)</f>
        <v/>
      </c>
      <c r="Q4666" s="7">
        <f>IF(N4666&lt;&gt;0,P4666*N4666,0)</f>
        <v/>
      </c>
      <c r="R4666" s="8">
        <f>IF(Q4666&lt;&gt;0,Q4666+H4666+L4666,0)</f>
        <v/>
      </c>
      <c r="S4666" s="9">
        <f>VLOOKUP(OPERAC[[#This Row],[especie]],[1]!ESPECIES[#Data],9,FALSE)</f>
        <v/>
      </c>
    </row>
    <row r="4667">
      <c r="A4667" s="4" t="n">
        <v>13253</v>
      </c>
      <c r="B4667" s="5" t="n">
        <v>44579</v>
      </c>
      <c r="C4667" s="13" t="inlineStr">
        <is>
          <t>CPR</t>
        </is>
      </c>
      <c r="D4667" s="13" t="n">
        <v>41</v>
      </c>
      <c r="E4667" s="10">
        <f>IF(D4667&gt;0,VLOOKUP(OPERAC[[#This Row],[COD CART]],[1]!MatrizCortoLargoCyl[#All],3,0),"")</f>
        <v/>
      </c>
      <c r="F4667" s="13" t="inlineStr">
        <is>
          <t>FL</t>
        </is>
      </c>
      <c r="G4667" s="6" t="n">
        <v>30</v>
      </c>
      <c r="H4667" s="6">
        <f>-873.598-425</f>
        <v/>
      </c>
      <c r="I4667" s="7">
        <f>-H4667/G4667</f>
        <v/>
      </c>
      <c r="J4667" s="11" t="n"/>
      <c r="K4667" s="6" t="n"/>
      <c r="L4667" s="6" t="n"/>
      <c r="M4667" s="7">
        <f>IF(N4667=0,+L4667+H4667,0)</f>
        <v/>
      </c>
      <c r="N4667" s="7">
        <f>IF((+G4667-K4667)=0,0,+G4667-K4667)</f>
        <v/>
      </c>
      <c r="O4667" s="7">
        <f>IF(N4667=0,0,(L4667+H4667)/-N4667)</f>
        <v/>
      </c>
      <c r="P4667" s="7">
        <f>VLOOKUP(OPERAC[[#This Row],[especie]],[1]!ESPECIES[#All],6,0)</f>
        <v/>
      </c>
      <c r="Q4667" s="7">
        <f>IF(N4667&lt;&gt;0,P4667*N4667,0)</f>
        <v/>
      </c>
      <c r="R4667" s="8">
        <f>IF(Q4667&lt;&gt;0,Q4667+H4667+L4667,0)</f>
        <v/>
      </c>
      <c r="S4667" s="9">
        <f>VLOOKUP(OPERAC[[#This Row],[especie]],[1]!ESPECIES[#Data],9,FALSE)</f>
        <v/>
      </c>
    </row>
    <row r="4668">
      <c r="A4668" s="4" t="n">
        <v>2257</v>
      </c>
      <c r="B4668" s="5" t="n">
        <v>44662</v>
      </c>
      <c r="C4668" s="13" t="inlineStr">
        <is>
          <t>CPR</t>
        </is>
      </c>
      <c r="D4668" s="13" t="n">
        <v>42</v>
      </c>
      <c r="E4668" s="10">
        <f>IF(D4668&gt;0,VLOOKUP(OPERAC[[#This Row],[COD CART]],[1]!MatrizCortoLargoCyl[#All],3,0),"")</f>
        <v/>
      </c>
      <c r="F4668" s="13" t="inlineStr">
        <is>
          <t>HYDR</t>
        </is>
      </c>
      <c r="G4668" s="6" t="n">
        <v>70</v>
      </c>
      <c r="H4668" s="6" t="n">
        <v>-1299.92408</v>
      </c>
      <c r="I4668" s="7">
        <f>-H4668/G4668</f>
        <v/>
      </c>
      <c r="J4668" s="11" t="n">
        <v>44677</v>
      </c>
      <c r="K4668" s="6">
        <f>35+35</f>
        <v/>
      </c>
      <c r="L4668" s="6">
        <f>555.934+407.043</f>
        <v/>
      </c>
      <c r="M4668" s="7">
        <f>IF(N4668=0,+L4668+H4668,0)</f>
        <v/>
      </c>
      <c r="N4668" s="7">
        <f>IF((+G4668-K4668)=0,0,+G4668-K4668)</f>
        <v/>
      </c>
      <c r="O4668" s="7">
        <f>IF(N4668=0,0,(L4668+H4668)/-N4668)</f>
        <v/>
      </c>
      <c r="P4668" s="7">
        <f>VLOOKUP(OPERAC[[#This Row],[especie]],[1]!ESPECIES[#All],6,0)</f>
        <v/>
      </c>
      <c r="Q4668" s="7">
        <f>IF(N4668&lt;&gt;0,P4668*N4668,0)</f>
        <v/>
      </c>
      <c r="R4668" s="8">
        <f>IF(Q4668&lt;&gt;0,Q4668+H4668+L4668,0)</f>
        <v/>
      </c>
      <c r="S4668" s="9">
        <f>VLOOKUP(OPERAC[[#This Row],[especie]],[1]!ESPECIES[#Data],9,FALSE)</f>
        <v/>
      </c>
    </row>
    <row r="4669">
      <c r="A4669" s="4" t="n">
        <v>19888</v>
      </c>
      <c r="B4669" s="5" t="n">
        <v>44662</v>
      </c>
      <c r="C4669" s="13" t="inlineStr">
        <is>
          <t>CPR</t>
        </is>
      </c>
      <c r="D4669" s="13" t="n">
        <v>42</v>
      </c>
      <c r="E4669" s="10">
        <f>IF(D4669&gt;0,VLOOKUP(OPERAC[[#This Row],[COD CART]],[1]!MatrizCortoLargoCyl[#All],3,0),"")</f>
        <v/>
      </c>
      <c r="F4669" s="13" t="inlineStr">
        <is>
          <t>HYDR</t>
        </is>
      </c>
      <c r="G4669" s="6" t="n">
        <v>70</v>
      </c>
      <c r="H4669" s="6" t="n">
        <v>-1299.92408</v>
      </c>
      <c r="I4669" s="7">
        <f>-H4669/G4669</f>
        <v/>
      </c>
      <c r="J4669" s="11" t="n">
        <v>44693</v>
      </c>
      <c r="K4669" s="6">
        <f>+OPERAC[[#This Row],[cantidad]]</f>
        <v/>
      </c>
      <c r="L4669" s="6">
        <f>+OPERAC[[#This Row],[cantidad venta]]*11.986</f>
        <v/>
      </c>
      <c r="M4669" s="7">
        <f>IF(N4669=0,+L4669+H4669,0)</f>
        <v/>
      </c>
      <c r="N4669" s="7">
        <f>IF((+G4669-K4669)=0,0,+G4669-K4669)</f>
        <v/>
      </c>
      <c r="O4669" s="7">
        <f>IF(N4669=0,0,(L4669+H4669)/-N4669)</f>
        <v/>
      </c>
      <c r="P4669" s="7">
        <f>VLOOKUP(OPERAC[[#This Row],[especie]],[1]!ESPECIES[#All],6,0)</f>
        <v/>
      </c>
      <c r="Q4669" s="7">
        <f>IF(N4669&lt;&gt;0,P4669*N4669,0)</f>
        <v/>
      </c>
      <c r="R4669" s="8">
        <f>IF(Q4669&lt;&gt;0,Q4669+H4669+L4669,0)</f>
        <v/>
      </c>
      <c r="S4669" s="9">
        <f>VLOOKUP(OPERAC[[#This Row],[especie]],[1]!ESPECIES[#Data],9,FALSE)</f>
        <v/>
      </c>
    </row>
    <row r="4670">
      <c r="A4670" s="4" t="n">
        <v>6578</v>
      </c>
      <c r="B4670" s="5" t="n">
        <v>44533</v>
      </c>
      <c r="C4670" s="13" t="inlineStr">
        <is>
          <t>CPR</t>
        </is>
      </c>
      <c r="D4670" s="13" t="n">
        <v>40</v>
      </c>
      <c r="E4670" s="10">
        <f>IF(D4670&gt;0,VLOOKUP(OPERAC[[#This Row],[COD CART]],[1]!MatrizCortoLargoCyl[#All],3,0),"")</f>
        <v/>
      </c>
      <c r="F4670" s="13" t="inlineStr">
        <is>
          <t>SPCE</t>
        </is>
      </c>
      <c r="G4670" s="6" t="n">
        <v>100</v>
      </c>
      <c r="H4670" s="6" t="n">
        <v>-1301.68</v>
      </c>
      <c r="I4670" s="7">
        <f>-H4670/G4670</f>
        <v/>
      </c>
      <c r="J4670" s="11" t="n">
        <v>44587</v>
      </c>
      <c r="K4670" s="6" t="n">
        <v>100</v>
      </c>
      <c r="L4670" s="6" t="n">
        <v>871.9400000000001</v>
      </c>
      <c r="M4670" s="7">
        <f>IF(N4670=0,+L4670+H4670,0)</f>
        <v/>
      </c>
      <c r="N4670" s="7">
        <f>IF((+G4670-K4670)=0,0,+G4670-K4670)</f>
        <v/>
      </c>
      <c r="O4670" s="7">
        <f>IF(N4670=0,0,(L4670+H4670)/-N4670)</f>
        <v/>
      </c>
      <c r="P4670" s="7">
        <f>VLOOKUP(OPERAC[[#This Row],[especie]],[1]!ESPECIES[#All],6,0)</f>
        <v/>
      </c>
      <c r="Q4670" s="7">
        <f>IF(N4670&lt;&gt;0,P4670*N4670,0)</f>
        <v/>
      </c>
      <c r="R4670" s="8">
        <f>IF(Q4670&lt;&gt;0,Q4670+H4670+L4670,0)</f>
        <v/>
      </c>
      <c r="S4670" s="9">
        <f>VLOOKUP(OPERAC[[#This Row],[especie]],[1]!ESPECIES[#Data],9,FALSE)</f>
        <v/>
      </c>
    </row>
    <row r="4671">
      <c r="A4671" s="4" t="n">
        <v>22393</v>
      </c>
      <c r="B4671" s="5" t="n">
        <v>44672</v>
      </c>
      <c r="C4671" s="13" t="inlineStr">
        <is>
          <t>CPR</t>
        </is>
      </c>
      <c r="D4671" s="13" t="n">
        <v>32</v>
      </c>
      <c r="E4671" s="10">
        <f>IF(D4671&gt;0,VLOOKUP(OPERAC[[#This Row],[COD CART]],[1]!MatrizCortoLargoCyl[#All],3,0),"")</f>
        <v/>
      </c>
      <c r="F4671" s="13" t="inlineStr">
        <is>
          <t>CLMT</t>
        </is>
      </c>
      <c r="G4671" s="6" t="n">
        <v>100</v>
      </c>
      <c r="H4671" s="6" t="n">
        <v>-1302.9</v>
      </c>
      <c r="I4671" s="7">
        <f>-H4671/G4671</f>
        <v/>
      </c>
      <c r="J4671" s="11" t="n"/>
      <c r="K4671" s="6" t="n"/>
      <c r="L4671" s="6" t="n"/>
      <c r="M4671" s="7">
        <f>IF(N4671=0,+L4671+H4671,0)</f>
        <v/>
      </c>
      <c r="N4671" s="7">
        <f>IF((+G4671-K4671)=0,0,+G4671-K4671)</f>
        <v/>
      </c>
      <c r="O4671" s="7">
        <f>IF(N4671=0,0,(L4671+H4671)/-N4671)</f>
        <v/>
      </c>
      <c r="P4671" s="7">
        <f>VLOOKUP(OPERAC[[#This Row],[especie]],[1]!ESPECIES[#All],6,0)</f>
        <v/>
      </c>
      <c r="Q4671" s="7">
        <f>IF(N4671&lt;&gt;0,P4671*N4671,0)</f>
        <v/>
      </c>
      <c r="R4671" s="8">
        <f>IF(Q4671&lt;&gt;0,Q4671+H4671+L4671,0)</f>
        <v/>
      </c>
      <c r="S4671" s="9">
        <f>VLOOKUP(OPERAC[[#This Row],[especie]],[1]!ESPECIES[#Data],9,FALSE)</f>
        <v/>
      </c>
    </row>
    <row r="4672">
      <c r="A4672" s="4" t="n">
        <v>20339</v>
      </c>
      <c r="B4672" s="5" t="n">
        <v>44690</v>
      </c>
      <c r="C4672" s="13" t="inlineStr">
        <is>
          <t>CPR</t>
        </is>
      </c>
      <c r="D4672" s="13" t="n">
        <v>32</v>
      </c>
      <c r="E4672" s="10">
        <f>IF(D4672&gt;0,VLOOKUP(OPERAC[[#This Row],[COD CART]],[1]!MatrizCortoLargoCyl[#All],3,0),"")</f>
        <v/>
      </c>
      <c r="F4672" s="13" t="inlineStr">
        <is>
          <t>F</t>
        </is>
      </c>
      <c r="G4672" s="6" t="n">
        <v>100</v>
      </c>
      <c r="H4672" s="6">
        <f>-1332.55+16.856+10.907</f>
        <v/>
      </c>
      <c r="I4672" s="7">
        <f>-H4672/G4672</f>
        <v/>
      </c>
      <c r="J4672" s="11" t="n"/>
      <c r="K4672" s="6" t="n"/>
      <c r="L4672" s="6" t="n"/>
      <c r="M4672" s="7">
        <f>IF(N4672=0,+L4672+H4672,0)</f>
        <v/>
      </c>
      <c r="N4672" s="7">
        <f>IF((+G4672-K4672)=0,0,+G4672-K4672)</f>
        <v/>
      </c>
      <c r="O4672" s="7">
        <f>IF(N4672=0,0,(L4672+H4672)/-N4672)</f>
        <v/>
      </c>
      <c r="P4672" s="7">
        <f>VLOOKUP(OPERAC[[#This Row],[especie]],[1]!ESPECIES[#All],6,0)</f>
        <v/>
      </c>
      <c r="Q4672" s="7">
        <f>IF(N4672&lt;&gt;0,P4672*N4672,0)</f>
        <v/>
      </c>
      <c r="R4672" s="8">
        <f>IF(Q4672&lt;&gt;0,Q4672+H4672+L4672,0)</f>
        <v/>
      </c>
      <c r="S4672" s="9">
        <f>VLOOKUP(OPERAC[[#This Row],[especie]],[1]!ESPECIES[#Data],9,FALSE)</f>
        <v/>
      </c>
    </row>
    <row r="4673">
      <c r="A4673" s="4" t="n">
        <v>2218</v>
      </c>
      <c r="B4673" s="5" t="n">
        <v>44608</v>
      </c>
      <c r="C4673" s="13" t="inlineStr">
        <is>
          <t>CPR</t>
        </is>
      </c>
      <c r="D4673" s="13" t="n">
        <v>40</v>
      </c>
      <c r="E4673" s="10">
        <f>IF(D4673&gt;0,VLOOKUP(OPERAC[[#This Row],[COD CART]],[1]!MatrizCortoLargoCyl[#All],3,0),"")</f>
        <v/>
      </c>
      <c r="F4673" s="13" t="inlineStr">
        <is>
          <t>NVDA</t>
        </is>
      </c>
      <c r="G4673" s="6" t="n">
        <v>5</v>
      </c>
      <c r="H4673" s="6" t="n">
        <v>-1305.8295</v>
      </c>
      <c r="I4673" s="7">
        <f>-H4673/G4673</f>
        <v/>
      </c>
      <c r="J4673" s="11" t="n">
        <v>44616</v>
      </c>
      <c r="K4673" s="6">
        <f>+OPERAC[[#This Row],[cantidad]]</f>
        <v/>
      </c>
      <c r="L4673" s="6">
        <f>+OPERAC[[#This Row],[cantidad venta]]*224.117</f>
        <v/>
      </c>
      <c r="M4673" s="7">
        <f>IF(N4673=0,+L4673+H4673,0)</f>
        <v/>
      </c>
      <c r="N4673" s="7">
        <f>IF((+G4673-K4673)=0,0,+G4673-K4673)</f>
        <v/>
      </c>
      <c r="O4673" s="7">
        <f>IF(N4673=0,0,(L4673+H4673)/-N4673)</f>
        <v/>
      </c>
      <c r="P4673" s="7">
        <f>VLOOKUP(OPERAC[[#This Row],[especie]],[1]!ESPECIES[#All],6,0)</f>
        <v/>
      </c>
      <c r="Q4673" s="7">
        <f>IF(N4673&lt;&gt;0,P4673*N4673,0)</f>
        <v/>
      </c>
      <c r="R4673" s="8">
        <f>IF(Q4673&lt;&gt;0,Q4673+H4673+L4673,0)</f>
        <v/>
      </c>
      <c r="S4673" s="9">
        <f>VLOOKUP(OPERAC[[#This Row],[especie]],[1]!ESPECIES[#Data],9,FALSE)</f>
        <v/>
      </c>
    </row>
    <row r="4674">
      <c r="A4674" s="4" t="n">
        <v>3021</v>
      </c>
      <c r="B4674" s="5" t="n">
        <v>44608</v>
      </c>
      <c r="C4674" s="13" t="inlineStr">
        <is>
          <t>CPR</t>
        </is>
      </c>
      <c r="D4674" s="13" t="n">
        <v>40</v>
      </c>
      <c r="E4674" s="10">
        <f>IF(D4674&gt;0,VLOOKUP(OPERAC[[#This Row],[COD CART]],[1]!MatrizCortoLargoCyl[#All],3,0),"")</f>
        <v/>
      </c>
      <c r="F4674" s="13" t="inlineStr">
        <is>
          <t>NVDA</t>
        </is>
      </c>
      <c r="G4674" s="6" t="n">
        <v>5</v>
      </c>
      <c r="H4674" s="6" t="n">
        <v>-1305.8295</v>
      </c>
      <c r="I4674" s="7">
        <f>-H4674/G4674</f>
        <v/>
      </c>
      <c r="J4674" s="11" t="n">
        <v>44616</v>
      </c>
      <c r="K4674" s="6">
        <f>+OPERAC[[#This Row],[cantidad]]</f>
        <v/>
      </c>
      <c r="L4674" s="6">
        <f>+OPERAC[[#This Row],[cantidad venta]]*224.117</f>
        <v/>
      </c>
      <c r="M4674" s="7">
        <f>IF(N4674=0,+L4674+H4674,0)</f>
        <v/>
      </c>
      <c r="N4674" s="7">
        <f>IF((+G4674-K4674)=0,0,+G4674-K4674)</f>
        <v/>
      </c>
      <c r="O4674" s="7">
        <f>IF(N4674=0,0,(L4674+H4674)/-N4674)</f>
        <v/>
      </c>
      <c r="P4674" s="7">
        <f>VLOOKUP(OPERAC[[#This Row],[especie]],[1]!ESPECIES[#All],6,0)</f>
        <v/>
      </c>
      <c r="Q4674" s="7">
        <f>IF(N4674&lt;&gt;0,P4674*N4674,0)</f>
        <v/>
      </c>
      <c r="R4674" s="8">
        <f>IF(Q4674&lt;&gt;0,Q4674+H4674+L4674,0)</f>
        <v/>
      </c>
      <c r="S4674" s="9">
        <f>VLOOKUP(OPERAC[[#This Row],[especie]],[1]!ESPECIES[#Data],9,FALSE)</f>
        <v/>
      </c>
    </row>
    <row r="4675">
      <c r="A4675" s="4" t="n">
        <v>2194</v>
      </c>
      <c r="B4675" s="5" t="n">
        <v>44538</v>
      </c>
      <c r="C4675" s="13" t="inlineStr">
        <is>
          <t>CPR</t>
        </is>
      </c>
      <c r="D4675" s="13" t="n">
        <v>43</v>
      </c>
      <c r="E4675" s="10">
        <f>IF(D4675&gt;0,VLOOKUP(OPERAC[[#This Row],[COD CART]],[1]!MatrizCortoLargoCyl[#All],3,0),"")</f>
        <v/>
      </c>
      <c r="F4675" s="13" t="inlineStr">
        <is>
          <t>NNDM/CYL-PUT/2,50/19-01-24</t>
        </is>
      </c>
      <c r="G4675" s="6" t="n">
        <v>1000</v>
      </c>
      <c r="H4675" s="6">
        <f>-1.306*OPERAC[[#This Row],[cantidad]]</f>
        <v/>
      </c>
      <c r="I4675" s="7">
        <f>-H4675/G4675</f>
        <v/>
      </c>
      <c r="J4675" s="11" t="n"/>
      <c r="K4675" s="6" t="n"/>
      <c r="L4675" s="6" t="n"/>
      <c r="M4675" s="7">
        <f>IF(N4675=0,+L4675+H4675,0)</f>
        <v/>
      </c>
      <c r="N4675" s="7">
        <f>IF((+G4675-K4675)=0,0,+G4675-K4675)</f>
        <v/>
      </c>
      <c r="O4675" s="7">
        <f>IF(N4675=0,0,(L4675+H4675)/-N4675)</f>
        <v/>
      </c>
      <c r="P4675" s="7">
        <f>VLOOKUP(OPERAC[[#This Row],[especie]],[1]!ESPECIES[#All],6,0)</f>
        <v/>
      </c>
      <c r="Q4675" s="7">
        <f>IF(N4675&lt;&gt;0,P4675*N4675,0)</f>
        <v/>
      </c>
      <c r="R4675" s="8">
        <f>IF(Q4675&lt;&gt;0,Q4675+H4675+L4675,0)</f>
        <v/>
      </c>
      <c r="S4675" s="9">
        <f>VLOOKUP(OPERAC[[#This Row],[especie]],[1]!ESPECIES[#Data],9,FALSE)</f>
        <v/>
      </c>
    </row>
    <row r="4676">
      <c r="A4676" s="4" t="n">
        <v>13188</v>
      </c>
      <c r="B4676" s="5" t="n">
        <v>44538</v>
      </c>
      <c r="C4676" s="13" t="inlineStr">
        <is>
          <t>CPR</t>
        </is>
      </c>
      <c r="D4676" s="13" t="n">
        <v>43</v>
      </c>
      <c r="E4676" s="10">
        <f>IF(D4676&gt;0,VLOOKUP(OPERAC[[#This Row],[COD CART]],[1]!MatrizCortoLargoCyl[#All],3,0),"")</f>
        <v/>
      </c>
      <c r="F4676" s="13" t="inlineStr">
        <is>
          <t>NNDM/CYL-PUT/2,50/19-01-24</t>
        </is>
      </c>
      <c r="G4676" s="6" t="n">
        <v>1000</v>
      </c>
      <c r="H4676" s="6">
        <f>-1.306*OPERAC[[#This Row],[cantidad]]</f>
        <v/>
      </c>
      <c r="I4676" s="7">
        <f>-H4676/G4676</f>
        <v/>
      </c>
      <c r="J4676" s="11" t="n"/>
      <c r="K4676" s="6" t="n"/>
      <c r="L4676" s="6" t="n"/>
      <c r="M4676" s="7">
        <f>IF(N4676=0,+L4676+H4676,0)</f>
        <v/>
      </c>
      <c r="N4676" s="7">
        <f>IF((+G4676-K4676)=0,0,+G4676-K4676)</f>
        <v/>
      </c>
      <c r="O4676" s="7">
        <f>IF(N4676=0,0,(L4676+H4676)/-N4676)</f>
        <v/>
      </c>
      <c r="P4676" s="7">
        <f>VLOOKUP(OPERAC[[#This Row],[especie]],[1]!ESPECIES[#All],6,0)</f>
        <v/>
      </c>
      <c r="Q4676" s="7">
        <f>IF(N4676&lt;&gt;0,P4676*N4676,0)</f>
        <v/>
      </c>
      <c r="R4676" s="8">
        <f>IF(Q4676&lt;&gt;0,Q4676+H4676+L4676,0)</f>
        <v/>
      </c>
      <c r="S4676" s="9">
        <f>VLOOKUP(OPERAC[[#This Row],[especie]],[1]!ESPECIES[#Data],9,FALSE)</f>
        <v/>
      </c>
    </row>
    <row r="4677">
      <c r="A4677" s="4" t="n">
        <v>13246</v>
      </c>
      <c r="B4677" s="5" t="n">
        <v>44538</v>
      </c>
      <c r="C4677" s="13" t="inlineStr">
        <is>
          <t>CPR</t>
        </is>
      </c>
      <c r="D4677" s="13" t="n">
        <v>43</v>
      </c>
      <c r="E4677" s="10">
        <f>IF(D4677&gt;0,VLOOKUP(OPERAC[[#This Row],[COD CART]],[1]!MatrizCortoLargoCyl[#All],3,0),"")</f>
        <v/>
      </c>
      <c r="F4677" s="13" t="inlineStr">
        <is>
          <t>NNDM/CYL-PUT/2,50/19-01-24</t>
        </is>
      </c>
      <c r="G4677" s="6" t="n">
        <v>1000</v>
      </c>
      <c r="H4677" s="6">
        <f>-1.306*OPERAC[[#This Row],[cantidad]]</f>
        <v/>
      </c>
      <c r="I4677" s="7">
        <f>-H4677/G4677</f>
        <v/>
      </c>
      <c r="J4677" s="11" t="n"/>
      <c r="K4677" s="6" t="n"/>
      <c r="L4677" s="6" t="n"/>
      <c r="M4677" s="7">
        <f>IF(N4677=0,+L4677+H4677,0)</f>
        <v/>
      </c>
      <c r="N4677" s="7">
        <f>IF((+G4677-K4677)=0,0,+G4677-K4677)</f>
        <v/>
      </c>
      <c r="O4677" s="7">
        <f>IF(N4677=0,0,(L4677+H4677)/-N4677)</f>
        <v/>
      </c>
      <c r="P4677" s="7">
        <f>VLOOKUP(OPERAC[[#This Row],[especie]],[1]!ESPECIES[#All],6,0)</f>
        <v/>
      </c>
      <c r="Q4677" s="7">
        <f>IF(N4677&lt;&gt;0,P4677*N4677,0)</f>
        <v/>
      </c>
      <c r="R4677" s="8">
        <f>IF(Q4677&lt;&gt;0,Q4677+H4677+L4677,0)</f>
        <v/>
      </c>
      <c r="S4677" s="9">
        <f>VLOOKUP(OPERAC[[#This Row],[especie]],[1]!ESPECIES[#Data],9,FALSE)</f>
        <v/>
      </c>
    </row>
    <row r="4678">
      <c r="A4678" s="4" t="n">
        <v>18711</v>
      </c>
      <c r="B4678" s="5" t="n">
        <v>44538</v>
      </c>
      <c r="C4678" s="13" t="inlineStr">
        <is>
          <t>CPR</t>
        </is>
      </c>
      <c r="D4678" s="13" t="n">
        <v>43</v>
      </c>
      <c r="E4678" s="10">
        <f>IF(D4678&gt;0,VLOOKUP(OPERAC[[#This Row],[COD CART]],[1]!MatrizCortoLargoCyl[#All],3,0),"")</f>
        <v/>
      </c>
      <c r="F4678" s="13" t="inlineStr">
        <is>
          <t>NNDM/CYL-PUT/2,50/19-01-24</t>
        </is>
      </c>
      <c r="G4678" s="6" t="n">
        <v>1000</v>
      </c>
      <c r="H4678" s="6">
        <f>-1.306*OPERAC[[#This Row],[cantidad]]</f>
        <v/>
      </c>
      <c r="I4678" s="7">
        <f>-H4678/G4678</f>
        <v/>
      </c>
      <c r="J4678" s="11" t="n"/>
      <c r="K4678" s="6" t="n"/>
      <c r="L4678" s="6" t="n"/>
      <c r="M4678" s="7">
        <f>IF(N4678=0,+L4678+H4678,0)</f>
        <v/>
      </c>
      <c r="N4678" s="7">
        <f>IF((+G4678-K4678)=0,0,+G4678-K4678)</f>
        <v/>
      </c>
      <c r="O4678" s="7">
        <f>IF(N4678=0,0,(L4678+H4678)/-N4678)</f>
        <v/>
      </c>
      <c r="P4678" s="7">
        <f>VLOOKUP(OPERAC[[#This Row],[especie]],[1]!ESPECIES[#All],6,0)</f>
        <v/>
      </c>
      <c r="Q4678" s="7">
        <f>IF(N4678&lt;&gt;0,P4678*N4678,0)</f>
        <v/>
      </c>
      <c r="R4678" s="8">
        <f>IF(Q4678&lt;&gt;0,Q4678+H4678+L4678,0)</f>
        <v/>
      </c>
      <c r="S4678" s="9">
        <f>VLOOKUP(OPERAC[[#This Row],[especie]],[1]!ESPECIES[#Data],9,FALSE)</f>
        <v/>
      </c>
    </row>
    <row r="4679">
      <c r="A4679" s="4" t="n">
        <v>18724</v>
      </c>
      <c r="B4679" s="5" t="n">
        <v>44538</v>
      </c>
      <c r="C4679" s="13" t="inlineStr">
        <is>
          <t>CPR</t>
        </is>
      </c>
      <c r="D4679" s="13" t="n">
        <v>43</v>
      </c>
      <c r="E4679" s="10">
        <f>IF(D4679&gt;0,VLOOKUP(OPERAC[[#This Row],[COD CART]],[1]!MatrizCortoLargoCyl[#All],3,0),"")</f>
        <v/>
      </c>
      <c r="F4679" s="13" t="inlineStr">
        <is>
          <t>NNDM/CYL-PUT/2,50/19-01-24</t>
        </is>
      </c>
      <c r="G4679" s="6" t="n">
        <v>1000</v>
      </c>
      <c r="H4679" s="6">
        <f>-1.306*OPERAC[[#This Row],[cantidad]]</f>
        <v/>
      </c>
      <c r="I4679" s="7">
        <f>-H4679/G4679</f>
        <v/>
      </c>
      <c r="J4679" s="11" t="n"/>
      <c r="K4679" s="6" t="n"/>
      <c r="L4679" s="6" t="n"/>
      <c r="M4679" s="7">
        <f>IF(N4679=0,+L4679+H4679,0)</f>
        <v/>
      </c>
      <c r="N4679" s="7">
        <f>IF((+G4679-K4679)=0,0,+G4679-K4679)</f>
        <v/>
      </c>
      <c r="O4679" s="7">
        <f>IF(N4679=0,0,(L4679+H4679)/-N4679)</f>
        <v/>
      </c>
      <c r="P4679" s="7">
        <f>VLOOKUP(OPERAC[[#This Row],[especie]],[1]!ESPECIES[#All],6,0)</f>
        <v/>
      </c>
      <c r="Q4679" s="7">
        <f>IF(N4679&lt;&gt;0,P4679*N4679,0)</f>
        <v/>
      </c>
      <c r="R4679" s="8">
        <f>IF(Q4679&lt;&gt;0,Q4679+H4679+L4679,0)</f>
        <v/>
      </c>
      <c r="S4679" s="9">
        <f>VLOOKUP(OPERAC[[#This Row],[especie]],[1]!ESPECIES[#Data],9,FALSE)</f>
        <v/>
      </c>
    </row>
    <row r="4680">
      <c r="A4680" s="4" t="n">
        <v>19867</v>
      </c>
      <c r="B4680" s="5" t="n">
        <v>44538</v>
      </c>
      <c r="C4680" s="13" t="inlineStr">
        <is>
          <t>CPR</t>
        </is>
      </c>
      <c r="D4680" s="13" t="n">
        <v>43</v>
      </c>
      <c r="E4680" s="10">
        <f>IF(D4680&gt;0,VLOOKUP(OPERAC[[#This Row],[COD CART]],[1]!MatrizCortoLargoCyl[#All],3,0),"")</f>
        <v/>
      </c>
      <c r="F4680" s="13" t="inlineStr">
        <is>
          <t>NNDM/CYL-PUT/2,50/19-01-24</t>
        </is>
      </c>
      <c r="G4680" s="6" t="n">
        <v>1000</v>
      </c>
      <c r="H4680" s="6">
        <f>-1.306*OPERAC[[#This Row],[cantidad]]</f>
        <v/>
      </c>
      <c r="I4680" s="7">
        <f>-H4680/G4680</f>
        <v/>
      </c>
      <c r="J4680" s="11" t="n"/>
      <c r="K4680" s="6" t="n"/>
      <c r="L4680" s="6" t="n"/>
      <c r="M4680" s="7">
        <f>IF(N4680=0,+L4680+H4680,0)</f>
        <v/>
      </c>
      <c r="N4680" s="7">
        <f>IF((+G4680-K4680)=0,0,+G4680-K4680)</f>
        <v/>
      </c>
      <c r="O4680" s="7">
        <f>IF(N4680=0,0,(L4680+H4680)/-N4680)</f>
        <v/>
      </c>
      <c r="P4680" s="7">
        <f>VLOOKUP(OPERAC[[#This Row],[especie]],[1]!ESPECIES[#All],6,0)</f>
        <v/>
      </c>
      <c r="Q4680" s="7">
        <f>IF(N4680&lt;&gt;0,P4680*N4680,0)</f>
        <v/>
      </c>
      <c r="R4680" s="8">
        <f>IF(Q4680&lt;&gt;0,Q4680+H4680+L4680,0)</f>
        <v/>
      </c>
      <c r="S4680" s="9">
        <f>VLOOKUP(OPERAC[[#This Row],[especie]],[1]!ESPECIES[#Data],9,FALSE)</f>
        <v/>
      </c>
    </row>
    <row r="4681">
      <c r="A4681" s="4" t="n">
        <v>19888</v>
      </c>
      <c r="B4681" s="5" t="n">
        <v>44538</v>
      </c>
      <c r="C4681" s="13" t="inlineStr">
        <is>
          <t>CPR</t>
        </is>
      </c>
      <c r="D4681" s="13" t="n">
        <v>43</v>
      </c>
      <c r="E4681" s="10">
        <f>IF(D4681&gt;0,VLOOKUP(OPERAC[[#This Row],[COD CART]],[1]!MatrizCortoLargoCyl[#All],3,0),"")</f>
        <v/>
      </c>
      <c r="F4681" s="13" t="inlineStr">
        <is>
          <t>NNDM/CYL-PUT/2,50/19-01-24</t>
        </is>
      </c>
      <c r="G4681" s="6" t="n">
        <v>1000</v>
      </c>
      <c r="H4681" s="6">
        <f>-1.306*OPERAC[[#This Row],[cantidad]]</f>
        <v/>
      </c>
      <c r="I4681" s="7">
        <f>-H4681/G4681</f>
        <v/>
      </c>
      <c r="J4681" s="11" t="n"/>
      <c r="K4681" s="6" t="n"/>
      <c r="L4681" s="6" t="n"/>
      <c r="M4681" s="7">
        <f>IF(N4681=0,+L4681+H4681,0)</f>
        <v/>
      </c>
      <c r="N4681" s="7">
        <f>IF((+G4681-K4681)=0,0,+G4681-K4681)</f>
        <v/>
      </c>
      <c r="O4681" s="7">
        <f>IF(N4681=0,0,(L4681+H4681)/-N4681)</f>
        <v/>
      </c>
      <c r="P4681" s="7">
        <f>VLOOKUP(OPERAC[[#This Row],[especie]],[1]!ESPECIES[#All],6,0)</f>
        <v/>
      </c>
      <c r="Q4681" s="7">
        <f>IF(N4681&lt;&gt;0,P4681*N4681,0)</f>
        <v/>
      </c>
      <c r="R4681" s="8">
        <f>IF(Q4681&lt;&gt;0,Q4681+H4681+L4681,0)</f>
        <v/>
      </c>
      <c r="S4681" s="9">
        <f>VLOOKUP(OPERAC[[#This Row],[especie]],[1]!ESPECIES[#Data],9,FALSE)</f>
        <v/>
      </c>
    </row>
    <row r="4682">
      <c r="A4682" s="4" t="n">
        <v>25070</v>
      </c>
      <c r="B4682" s="5" t="n">
        <v>44538</v>
      </c>
      <c r="C4682" s="13" t="inlineStr">
        <is>
          <t>CPR</t>
        </is>
      </c>
      <c r="D4682" s="13" t="n">
        <v>43</v>
      </c>
      <c r="E4682" s="10">
        <f>IF(D4682&gt;0,VLOOKUP(OPERAC[[#This Row],[COD CART]],[1]!MatrizCortoLargoCyl[#All],3,0),"")</f>
        <v/>
      </c>
      <c r="F4682" s="13" t="inlineStr">
        <is>
          <t>NNDM/CYL-PUT/2,50/19-01-24</t>
        </is>
      </c>
      <c r="G4682" s="6" t="n">
        <v>1000</v>
      </c>
      <c r="H4682" s="6">
        <f>-1.306*OPERAC[[#This Row],[cantidad]]</f>
        <v/>
      </c>
      <c r="I4682" s="7">
        <f>-H4682/G4682</f>
        <v/>
      </c>
      <c r="J4682" s="11" t="n"/>
      <c r="K4682" s="6" t="n"/>
      <c r="L4682" s="6" t="n"/>
      <c r="M4682" s="7">
        <f>IF(N4682=0,+L4682+H4682,0)</f>
        <v/>
      </c>
      <c r="N4682" s="7">
        <f>IF((+G4682-K4682)=0,0,+G4682-K4682)</f>
        <v/>
      </c>
      <c r="O4682" s="7">
        <f>IF(N4682=0,0,(L4682+H4682)/-N4682)</f>
        <v/>
      </c>
      <c r="P4682" s="7">
        <f>VLOOKUP(OPERAC[[#This Row],[especie]],[1]!ESPECIES[#All],6,0)</f>
        <v/>
      </c>
      <c r="Q4682" s="7">
        <f>IF(N4682&lt;&gt;0,P4682*N4682,0)</f>
        <v/>
      </c>
      <c r="R4682" s="8">
        <f>IF(Q4682&lt;&gt;0,Q4682+H4682+L4682,0)</f>
        <v/>
      </c>
      <c r="S4682" s="9">
        <f>VLOOKUP(OPERAC[[#This Row],[especie]],[1]!ESPECIES[#Data],9,FALSE)</f>
        <v/>
      </c>
    </row>
    <row r="4683">
      <c r="A4683" s="4" t="n">
        <v>3021</v>
      </c>
      <c r="B4683" s="5" t="n">
        <v>44720</v>
      </c>
      <c r="C4683" s="13" t="inlineStr">
        <is>
          <t>CPR</t>
        </is>
      </c>
      <c r="D4683" s="13" t="n">
        <v>42</v>
      </c>
      <c r="E4683" s="10">
        <f>IF(D4683&gt;0,VLOOKUP(OPERAC[[#This Row],[COD CART]],[1]!MatrizCortoLargoCyl[#All],3,0),"")</f>
        <v/>
      </c>
      <c r="F4683" s="13" t="inlineStr">
        <is>
          <t>EDIT</t>
        </is>
      </c>
      <c r="G4683" s="6" t="n">
        <v>100</v>
      </c>
      <c r="H4683" s="6" t="n">
        <v>-1306.305</v>
      </c>
      <c r="I4683" s="7">
        <f>-H4683/G4683</f>
        <v/>
      </c>
      <c r="J4683" s="5" t="n">
        <v>44721</v>
      </c>
      <c r="K4683" s="6" t="n">
        <v>100</v>
      </c>
      <c r="L4683" s="6" t="n">
        <v>1233.2</v>
      </c>
      <c r="M4683" s="7">
        <f>IF(N4683=0,+L4683+H4683,0)</f>
        <v/>
      </c>
      <c r="N4683" s="7">
        <f>IF((+G4683-K4683)=0,0,+G4683-K4683)</f>
        <v/>
      </c>
      <c r="O4683" s="7">
        <f>IF(N4683=0,0,(L4683+H4683)/-N4683)</f>
        <v/>
      </c>
      <c r="P4683" s="7">
        <f>VLOOKUP(OPERAC[[#This Row],[especie]],[1]!ESPECIES[#All],6,0)</f>
        <v/>
      </c>
      <c r="Q4683" s="7">
        <f>IF(N4683&lt;&gt;0,P4683*N4683,0)</f>
        <v/>
      </c>
      <c r="R4683" s="8">
        <f>IF(Q4683&lt;&gt;0,Q4683+H4683+L4683,0)</f>
        <v/>
      </c>
      <c r="S4683" s="9">
        <f>VLOOKUP(OPERAC[[#This Row],[especie]],[1]!ESPECIES[#Data],9,FALSE)</f>
        <v/>
      </c>
    </row>
    <row r="4684">
      <c r="A4684" s="4" t="n">
        <v>3728</v>
      </c>
      <c r="B4684" s="5" t="n">
        <v>44720</v>
      </c>
      <c r="C4684" s="13" t="inlineStr">
        <is>
          <t>CPR</t>
        </is>
      </c>
      <c r="D4684" s="13" t="n">
        <v>42</v>
      </c>
      <c r="E4684" s="10">
        <f>IF(D4684&gt;0,VLOOKUP(OPERAC[[#This Row],[COD CART]],[1]!MatrizCortoLargoCyl[#All],3,0),"")</f>
        <v/>
      </c>
      <c r="F4684" s="13" t="inlineStr">
        <is>
          <t>EDIT</t>
        </is>
      </c>
      <c r="G4684" s="6" t="n">
        <v>100</v>
      </c>
      <c r="H4684" s="6" t="n">
        <v>-1306.305</v>
      </c>
      <c r="I4684" s="7">
        <f>-H4684/G4684</f>
        <v/>
      </c>
      <c r="J4684" s="5" t="n"/>
      <c r="K4684" s="6" t="n"/>
      <c r="L4684" s="6" t="n"/>
      <c r="M4684" s="7">
        <f>IF(N4684=0,+L4684+H4684,0)</f>
        <v/>
      </c>
      <c r="N4684" s="7">
        <f>IF((+G4684-K4684)=0,0,+G4684-K4684)</f>
        <v/>
      </c>
      <c r="O4684" s="7">
        <f>IF(N4684=0,0,(L4684+H4684)/-N4684)</f>
        <v/>
      </c>
      <c r="P4684" s="7">
        <f>VLOOKUP(OPERAC[[#This Row],[especie]],[1]!ESPECIES[#All],6,0)</f>
        <v/>
      </c>
      <c r="Q4684" s="7">
        <f>IF(N4684&lt;&gt;0,P4684*N4684,0)</f>
        <v/>
      </c>
      <c r="R4684" s="8">
        <f>IF(Q4684&lt;&gt;0,Q4684+H4684+L4684,0)</f>
        <v/>
      </c>
      <c r="S4684" s="9">
        <f>VLOOKUP(OPERAC[[#This Row],[especie]],[1]!ESPECIES[#Data],9,FALSE)</f>
        <v/>
      </c>
    </row>
    <row r="4685">
      <c r="A4685" s="4" t="n">
        <v>3728</v>
      </c>
      <c r="B4685" s="5" t="n">
        <v>44637</v>
      </c>
      <c r="C4685" s="13" t="inlineStr">
        <is>
          <t>CPR</t>
        </is>
      </c>
      <c r="D4685" s="13" t="n">
        <v>43</v>
      </c>
      <c r="E4685" s="10">
        <f>IF(D4685&gt;0,VLOOKUP(OPERAC[[#This Row],[COD CART]],[1]!MatrizCortoLargoCyl[#All],3,0),"")</f>
        <v/>
      </c>
      <c r="F4685" s="13" t="inlineStr">
        <is>
          <t>GMBL/CYL-PUT/1,00/20-01-23</t>
        </is>
      </c>
      <c r="G4685" s="6" t="n">
        <v>6600</v>
      </c>
      <c r="H4685" s="6" t="n">
        <v>-1307.692452</v>
      </c>
      <c r="I4685" s="7">
        <f>-H4685/G4685</f>
        <v/>
      </c>
      <c r="J4685" s="11" t="n"/>
      <c r="K4685" s="6" t="n"/>
      <c r="L4685" s="6" t="n"/>
      <c r="M4685" s="7">
        <f>IF(N4685=0,+L4685+H4685,0)</f>
        <v/>
      </c>
      <c r="N4685" s="7">
        <f>IF((+G4685-K4685)=0,0,+G4685-K4685)</f>
        <v/>
      </c>
      <c r="O4685" s="7">
        <f>IF(N4685=0,0,(L4685+H4685)/-N4685)</f>
        <v/>
      </c>
      <c r="P4685" s="7">
        <f>VLOOKUP(OPERAC[[#This Row],[especie]],[1]!ESPECIES[#All],6,0)</f>
        <v/>
      </c>
      <c r="Q4685" s="7">
        <f>IF(N4685&lt;&gt;0,P4685*N4685,0)</f>
        <v/>
      </c>
      <c r="R4685" s="8">
        <f>IF(Q4685&lt;&gt;0,Q4685+H4685+L4685,0)</f>
        <v/>
      </c>
      <c r="S4685" s="9">
        <f>VLOOKUP(OPERAC[[#This Row],[especie]],[1]!ESPECIES[#Data],9,FALSE)</f>
        <v/>
      </c>
    </row>
    <row r="4686">
      <c r="A4686" s="4" t="n">
        <v>9195</v>
      </c>
      <c r="B4686" s="5" t="n">
        <v>44608</v>
      </c>
      <c r="C4686" s="13" t="inlineStr">
        <is>
          <t>CPR</t>
        </is>
      </c>
      <c r="D4686" s="13" t="n">
        <v>40</v>
      </c>
      <c r="E4686" s="10">
        <f>IF(D4686&gt;0,VLOOKUP(OPERAC[[#This Row],[COD CART]],[1]!MatrizCortoLargoCyl[#All],3,0),"")</f>
        <v/>
      </c>
      <c r="F4686" s="13" t="inlineStr">
        <is>
          <t>NVDA</t>
        </is>
      </c>
      <c r="G4686" s="6" t="n">
        <v>5</v>
      </c>
      <c r="H4686" s="6" t="n">
        <v>-1309.743</v>
      </c>
      <c r="I4686" s="7">
        <f>-H4686/G4686</f>
        <v/>
      </c>
      <c r="J4686" s="11" t="n">
        <v>44616</v>
      </c>
      <c r="K4686" s="6">
        <f>+OPERAC[[#This Row],[cantidad]]</f>
        <v/>
      </c>
      <c r="L4686" s="6">
        <f>+OPERAC[[#This Row],[cantidad venta]]*224.117</f>
        <v/>
      </c>
      <c r="M4686" s="7">
        <f>IF(N4686=0,+L4686+H4686,0)</f>
        <v/>
      </c>
      <c r="N4686" s="7">
        <f>IF((+G4686-K4686)=0,0,+G4686-K4686)</f>
        <v/>
      </c>
      <c r="O4686" s="7">
        <f>IF(N4686=0,0,(L4686+H4686)/-N4686)</f>
        <v/>
      </c>
      <c r="P4686" s="7">
        <f>VLOOKUP(OPERAC[[#This Row],[especie]],[1]!ESPECIES[#All],6,0)</f>
        <v/>
      </c>
      <c r="Q4686" s="7">
        <f>IF(N4686&lt;&gt;0,P4686*N4686,0)</f>
        <v/>
      </c>
      <c r="R4686" s="8">
        <f>IF(Q4686&lt;&gt;0,Q4686+H4686+L4686,0)</f>
        <v/>
      </c>
      <c r="S4686" s="9">
        <f>VLOOKUP(OPERAC[[#This Row],[especie]],[1]!ESPECIES[#Data],9,FALSE)</f>
        <v/>
      </c>
    </row>
    <row r="4687">
      <c r="A4687" s="4" t="n">
        <v>2218</v>
      </c>
      <c r="B4687" s="5" t="n">
        <v>44648</v>
      </c>
      <c r="C4687" s="13" t="inlineStr">
        <is>
          <t>CPR</t>
        </is>
      </c>
      <c r="D4687" s="13" t="n">
        <v>42</v>
      </c>
      <c r="E4687" s="10">
        <f>IF(D4687&gt;0,VLOOKUP(OPERAC[[#This Row],[COD CART]],[1]!MatrizCortoLargoCyl[#All],3,0),"")</f>
        <v/>
      </c>
      <c r="F4687" s="13" t="inlineStr">
        <is>
          <t>ADBE</t>
        </is>
      </c>
      <c r="G4687" s="6" t="n">
        <v>3</v>
      </c>
      <c r="H4687" s="6" t="n">
        <v>-1315.04187</v>
      </c>
      <c r="I4687" s="7">
        <f>-H4687/G4687</f>
        <v/>
      </c>
      <c r="J4687" s="11" t="n">
        <v>44687</v>
      </c>
      <c r="K4687" s="6">
        <f>+OPERAC[[#This Row],[cantidad]]</f>
        <v/>
      </c>
      <c r="L4687" s="6" t="n">
        <v>1250.12</v>
      </c>
      <c r="M4687" s="7">
        <f>IF(N4687=0,+L4687+H4687,0)</f>
        <v/>
      </c>
      <c r="N4687" s="7">
        <f>IF((+G4687-K4687)=0,0,+G4687-K4687)</f>
        <v/>
      </c>
      <c r="O4687" s="7">
        <f>IF(N4687=0,0,(L4687+H4687)/-N4687)</f>
        <v/>
      </c>
      <c r="P4687" s="7">
        <f>VLOOKUP(OPERAC[[#This Row],[especie]],[1]!ESPECIES[#All],6,0)</f>
        <v/>
      </c>
      <c r="Q4687" s="7">
        <f>IF(N4687&lt;&gt;0,P4687*N4687,0)</f>
        <v/>
      </c>
      <c r="R4687" s="8">
        <f>IF(Q4687&lt;&gt;0,Q4687+H4687+L4687,0)</f>
        <v/>
      </c>
      <c r="S4687" s="9">
        <f>VLOOKUP(OPERAC[[#This Row],[especie]],[1]!ESPECIES[#Data],9,FALSE)</f>
        <v/>
      </c>
    </row>
    <row r="4688">
      <c r="A4688" s="4" t="n">
        <v>3835</v>
      </c>
      <c r="B4688" s="5" t="n">
        <v>44648</v>
      </c>
      <c r="C4688" s="13" t="inlineStr">
        <is>
          <t>CPR</t>
        </is>
      </c>
      <c r="D4688" s="13" t="n">
        <v>42</v>
      </c>
      <c r="E4688" s="10">
        <f>IF(D4688&gt;0,VLOOKUP(OPERAC[[#This Row],[COD CART]],[1]!MatrizCortoLargoCyl[#All],3,0),"")</f>
        <v/>
      </c>
      <c r="F4688" s="13" t="inlineStr">
        <is>
          <t>ADBE</t>
        </is>
      </c>
      <c r="G4688" s="6" t="n">
        <v>3</v>
      </c>
      <c r="H4688" s="6" t="n">
        <v>-1315.04187</v>
      </c>
      <c r="I4688" s="7">
        <f>-H4688/G4688</f>
        <v/>
      </c>
      <c r="J4688" s="11" t="n">
        <v>44687</v>
      </c>
      <c r="K4688" s="6">
        <f>+OPERAC[[#This Row],[cantidad]]</f>
        <v/>
      </c>
      <c r="L4688" s="6" t="n">
        <v>1250.12</v>
      </c>
      <c r="M4688" s="7">
        <f>IF(N4688=0,+L4688+H4688,0)</f>
        <v/>
      </c>
      <c r="N4688" s="7">
        <f>IF((+G4688-K4688)=0,0,+G4688-K4688)</f>
        <v/>
      </c>
      <c r="O4688" s="7">
        <f>IF(N4688=0,0,(L4688+H4688)/-N4688)</f>
        <v/>
      </c>
      <c r="P4688" s="7">
        <f>VLOOKUP(OPERAC[[#This Row],[especie]],[1]!ESPECIES[#All],6,0)</f>
        <v/>
      </c>
      <c r="Q4688" s="7">
        <f>IF(N4688&lt;&gt;0,P4688*N4688,0)</f>
        <v/>
      </c>
      <c r="R4688" s="8">
        <f>IF(Q4688&lt;&gt;0,Q4688+H4688+L4688,0)</f>
        <v/>
      </c>
      <c r="S4688" s="9">
        <f>VLOOKUP(OPERAC[[#This Row],[especie]],[1]!ESPECIES[#Data],9,FALSE)</f>
        <v/>
      </c>
    </row>
    <row r="4689">
      <c r="A4689" s="4" t="n">
        <v>10079</v>
      </c>
      <c r="B4689" s="5" t="n">
        <v>44720</v>
      </c>
      <c r="C4689" s="13" t="inlineStr">
        <is>
          <t>CPR</t>
        </is>
      </c>
      <c r="D4689" s="13" t="n">
        <v>42</v>
      </c>
      <c r="E4689" s="10">
        <f>IF(D4689&gt;0,VLOOKUP(OPERAC[[#This Row],[COD CART]],[1]!MatrizCortoLargoCyl[#All],3,0),"")</f>
        <v/>
      </c>
      <c r="F4689" s="13" t="inlineStr">
        <is>
          <t>EDIT</t>
        </is>
      </c>
      <c r="G4689" s="6" t="n">
        <v>100</v>
      </c>
      <c r="H4689" s="6" t="n">
        <v>-1316.0925</v>
      </c>
      <c r="I4689" s="7">
        <f>-H4689/G4689</f>
        <v/>
      </c>
      <c r="J4689" s="5" t="n"/>
      <c r="K4689" s="6" t="n"/>
      <c r="L4689" s="6" t="n"/>
      <c r="M4689" s="7">
        <f>IF(N4689=0,+L4689+H4689,0)</f>
        <v/>
      </c>
      <c r="N4689" s="7">
        <f>IF((+G4689-K4689)=0,0,+G4689-K4689)</f>
        <v/>
      </c>
      <c r="O4689" s="7">
        <f>IF(N4689=0,0,(L4689+H4689)/-N4689)</f>
        <v/>
      </c>
      <c r="P4689" s="7">
        <f>VLOOKUP(OPERAC[[#This Row],[especie]],[1]!ESPECIES[#All],6,0)</f>
        <v/>
      </c>
      <c r="Q4689" s="7">
        <f>IF(N4689&lt;&gt;0,P4689*N4689,0)</f>
        <v/>
      </c>
      <c r="R4689" s="8">
        <f>IF(Q4689&lt;&gt;0,Q4689+H4689+L4689,0)</f>
        <v/>
      </c>
      <c r="S4689" s="9">
        <f>VLOOKUP(OPERAC[[#This Row],[especie]],[1]!ESPECIES[#Data],9,FALSE)</f>
        <v/>
      </c>
    </row>
    <row r="4690">
      <c r="A4690" s="4" t="n">
        <v>11168</v>
      </c>
      <c r="B4690" s="5" t="n">
        <v>44720</v>
      </c>
      <c r="C4690" s="13" t="inlineStr">
        <is>
          <t>CPR</t>
        </is>
      </c>
      <c r="D4690" s="13" t="n">
        <v>42</v>
      </c>
      <c r="E4690" s="10">
        <f>IF(D4690&gt;0,VLOOKUP(OPERAC[[#This Row],[COD CART]],[1]!MatrizCortoLargoCyl[#All],3,0),"")</f>
        <v/>
      </c>
      <c r="F4690" s="13" t="inlineStr">
        <is>
          <t>EDIT</t>
        </is>
      </c>
      <c r="G4690" s="6" t="n">
        <v>100</v>
      </c>
      <c r="H4690" s="6" t="n">
        <v>-1316.0925</v>
      </c>
      <c r="I4690" s="7">
        <f>-H4690/G4690</f>
        <v/>
      </c>
      <c r="J4690" s="5" t="n"/>
      <c r="K4690" s="6" t="n"/>
      <c r="L4690" s="6" t="n"/>
      <c r="M4690" s="7">
        <f>IF(N4690=0,+L4690+H4690,0)</f>
        <v/>
      </c>
      <c r="N4690" s="7">
        <f>IF((+G4690-K4690)=0,0,+G4690-K4690)</f>
        <v/>
      </c>
      <c r="O4690" s="7">
        <f>IF(N4690=0,0,(L4690+H4690)/-N4690)</f>
        <v/>
      </c>
      <c r="P4690" s="7">
        <f>VLOOKUP(OPERAC[[#This Row],[especie]],[1]!ESPECIES[#All],6,0)</f>
        <v/>
      </c>
      <c r="Q4690" s="7">
        <f>IF(N4690&lt;&gt;0,P4690*N4690,0)</f>
        <v/>
      </c>
      <c r="R4690" s="8">
        <f>IF(Q4690&lt;&gt;0,Q4690+H4690+L4690,0)</f>
        <v/>
      </c>
      <c r="S4690" s="9">
        <f>VLOOKUP(OPERAC[[#This Row],[especie]],[1]!ESPECIES[#Data],9,FALSE)</f>
        <v/>
      </c>
    </row>
    <row r="4691">
      <c r="A4691" s="4" t="n">
        <v>15194</v>
      </c>
      <c r="B4691" s="5" t="n">
        <v>44720</v>
      </c>
      <c r="C4691" s="13" t="inlineStr">
        <is>
          <t>CPR</t>
        </is>
      </c>
      <c r="D4691" s="13" t="n">
        <v>42</v>
      </c>
      <c r="E4691" s="10">
        <f>IF(D4691&gt;0,VLOOKUP(OPERAC[[#This Row],[COD CART]],[1]!MatrizCortoLargoCyl[#All],3,0),"")</f>
        <v/>
      </c>
      <c r="F4691" s="13" t="inlineStr">
        <is>
          <t>EDIT</t>
        </is>
      </c>
      <c r="G4691" s="6" t="n">
        <v>100</v>
      </c>
      <c r="H4691" s="6" t="n">
        <v>-1316.0925</v>
      </c>
      <c r="I4691" s="7">
        <f>-H4691/G4691</f>
        <v/>
      </c>
      <c r="J4691" s="5" t="n"/>
      <c r="K4691" s="6" t="n"/>
      <c r="L4691" s="6" t="n"/>
      <c r="M4691" s="7">
        <f>IF(N4691=0,+L4691+H4691,0)</f>
        <v/>
      </c>
      <c r="N4691" s="7">
        <f>IF((+G4691-K4691)=0,0,+G4691-K4691)</f>
        <v/>
      </c>
      <c r="O4691" s="7">
        <f>IF(N4691=0,0,(L4691+H4691)/-N4691)</f>
        <v/>
      </c>
      <c r="P4691" s="7">
        <f>VLOOKUP(OPERAC[[#This Row],[especie]],[1]!ESPECIES[#All],6,0)</f>
        <v/>
      </c>
      <c r="Q4691" s="7">
        <f>IF(N4691&lt;&gt;0,P4691*N4691,0)</f>
        <v/>
      </c>
      <c r="R4691" s="8">
        <f>IF(Q4691&lt;&gt;0,Q4691+H4691+L4691,0)</f>
        <v/>
      </c>
      <c r="S4691" s="9">
        <f>VLOOKUP(OPERAC[[#This Row],[especie]],[1]!ESPECIES[#Data],9,FALSE)</f>
        <v/>
      </c>
    </row>
    <row r="4692">
      <c r="A4692" s="4" t="n">
        <v>16786</v>
      </c>
      <c r="B4692" s="5" t="n">
        <v>44720</v>
      </c>
      <c r="C4692" s="13" t="inlineStr">
        <is>
          <t>CPR</t>
        </is>
      </c>
      <c r="D4692" s="13" t="n">
        <v>42</v>
      </c>
      <c r="E4692" s="10">
        <f>IF(D4692&gt;0,VLOOKUP(OPERAC[[#This Row],[COD CART]],[1]!MatrizCortoLargoCyl[#All],3,0),"")</f>
        <v/>
      </c>
      <c r="F4692" s="13" t="inlineStr">
        <is>
          <t>EDIT</t>
        </is>
      </c>
      <c r="G4692" s="6" t="n">
        <v>100</v>
      </c>
      <c r="H4692" s="6" t="n">
        <v>-1316.0925</v>
      </c>
      <c r="I4692" s="7">
        <f>-H4692/G4692</f>
        <v/>
      </c>
      <c r="J4692" s="5" t="n"/>
      <c r="K4692" s="6" t="n"/>
      <c r="L4692" s="6" t="n"/>
      <c r="M4692" s="7">
        <f>IF(N4692=0,+L4692+H4692,0)</f>
        <v/>
      </c>
      <c r="N4692" s="7">
        <f>IF((+G4692-K4692)=0,0,+G4692-K4692)</f>
        <v/>
      </c>
      <c r="O4692" s="7">
        <f>IF(N4692=0,0,(L4692+H4692)/-N4692)</f>
        <v/>
      </c>
      <c r="P4692" s="7">
        <f>VLOOKUP(OPERAC[[#This Row],[especie]],[1]!ESPECIES[#All],6,0)</f>
        <v/>
      </c>
      <c r="Q4692" s="7">
        <f>IF(N4692&lt;&gt;0,P4692*N4692,0)</f>
        <v/>
      </c>
      <c r="R4692" s="8">
        <f>IF(Q4692&lt;&gt;0,Q4692+H4692+L4692,0)</f>
        <v/>
      </c>
      <c r="S4692" s="9">
        <f>VLOOKUP(OPERAC[[#This Row],[especie]],[1]!ESPECIES[#Data],9,FALSE)</f>
        <v/>
      </c>
    </row>
    <row r="4693">
      <c r="A4693" s="4" t="n">
        <v>20339</v>
      </c>
      <c r="B4693" s="5" t="n">
        <v>44720</v>
      </c>
      <c r="C4693" s="13" t="inlineStr">
        <is>
          <t>CPR</t>
        </is>
      </c>
      <c r="D4693" s="13" t="n">
        <v>42</v>
      </c>
      <c r="E4693" s="10">
        <f>IF(D4693&gt;0,VLOOKUP(OPERAC[[#This Row],[COD CART]],[1]!MatrizCortoLargoCyl[#All],3,0),"")</f>
        <v/>
      </c>
      <c r="F4693" s="13" t="inlineStr">
        <is>
          <t>EDIT</t>
        </is>
      </c>
      <c r="G4693" s="6" t="n">
        <v>100</v>
      </c>
      <c r="H4693" s="6" t="n">
        <v>-1316.0925</v>
      </c>
      <c r="I4693" s="7">
        <f>-H4693/G4693</f>
        <v/>
      </c>
      <c r="J4693" s="5" t="n"/>
      <c r="K4693" s="6" t="n"/>
      <c r="L4693" s="6" t="n"/>
      <c r="M4693" s="7">
        <f>IF(N4693=0,+L4693+H4693,0)</f>
        <v/>
      </c>
      <c r="N4693" s="7">
        <f>IF((+G4693-K4693)=0,0,+G4693-K4693)</f>
        <v/>
      </c>
      <c r="O4693" s="7">
        <f>IF(N4693=0,0,(L4693+H4693)/-N4693)</f>
        <v/>
      </c>
      <c r="P4693" s="7">
        <f>VLOOKUP(OPERAC[[#This Row],[especie]],[1]!ESPECIES[#All],6,0)</f>
        <v/>
      </c>
      <c r="Q4693" s="7">
        <f>IF(N4693&lt;&gt;0,P4693*N4693,0)</f>
        <v/>
      </c>
      <c r="R4693" s="8">
        <f>IF(Q4693&lt;&gt;0,Q4693+H4693+L4693,0)</f>
        <v/>
      </c>
      <c r="S4693" s="9">
        <f>VLOOKUP(OPERAC[[#This Row],[especie]],[1]!ESPECIES[#Data],9,FALSE)</f>
        <v/>
      </c>
    </row>
    <row r="4694">
      <c r="A4694" s="4" t="n">
        <v>1760</v>
      </c>
      <c r="B4694" s="5" t="n">
        <v>44608</v>
      </c>
      <c r="C4694" s="13" t="inlineStr">
        <is>
          <t>CPR</t>
        </is>
      </c>
      <c r="D4694" s="13" t="n">
        <v>40</v>
      </c>
      <c r="E4694" s="10">
        <f>IF(D4694&gt;0,VLOOKUP(OPERAC[[#This Row],[COD CART]],[1]!MatrizCortoLargoCyl[#All],3,0),"")</f>
        <v/>
      </c>
      <c r="F4694" s="13" t="inlineStr">
        <is>
          <t>NVDA</t>
        </is>
      </c>
      <c r="G4694" s="6" t="n">
        <v>5</v>
      </c>
      <c r="H4694" s="6" t="n">
        <v>-1317.57</v>
      </c>
      <c r="I4694" s="7">
        <f>-H4694/G4694</f>
        <v/>
      </c>
      <c r="J4694" s="11" t="n">
        <v>44616</v>
      </c>
      <c r="K4694" s="6">
        <f>+OPERAC[[#This Row],[cantidad]]</f>
        <v/>
      </c>
      <c r="L4694" s="6">
        <f>+OPERAC[[#This Row],[cantidad venta]]*224.117</f>
        <v/>
      </c>
      <c r="M4694" s="7">
        <f>IF(N4694=0,+L4694+H4694,0)</f>
        <v/>
      </c>
      <c r="N4694" s="7">
        <f>IF((+G4694-K4694)=0,0,+G4694-K4694)</f>
        <v/>
      </c>
      <c r="O4694" s="7">
        <f>IF(N4694=0,0,(L4694+H4694)/-N4694)</f>
        <v/>
      </c>
      <c r="P4694" s="7">
        <f>VLOOKUP(OPERAC[[#This Row],[especie]],[1]!ESPECIES[#All],6,0)</f>
        <v/>
      </c>
      <c r="Q4694" s="7">
        <f>IF(N4694&lt;&gt;0,P4694*N4694,0)</f>
        <v/>
      </c>
      <c r="R4694" s="8">
        <f>IF(Q4694&lt;&gt;0,Q4694+H4694+L4694,0)</f>
        <v/>
      </c>
      <c r="S4694" s="9">
        <f>VLOOKUP(OPERAC[[#This Row],[especie]],[1]!ESPECIES[#Data],9,FALSE)</f>
        <v/>
      </c>
    </row>
    <row r="4695">
      <c r="A4695" s="4" t="n">
        <v>12672</v>
      </c>
      <c r="B4695" s="5" t="n">
        <v>44608</v>
      </c>
      <c r="C4695" s="13" t="inlineStr">
        <is>
          <t>CPR</t>
        </is>
      </c>
      <c r="D4695" s="13" t="n">
        <v>40</v>
      </c>
      <c r="E4695" s="10">
        <f>IF(D4695&gt;0,VLOOKUP(OPERAC[[#This Row],[COD CART]],[1]!MatrizCortoLargoCyl[#All],3,0),"")</f>
        <v/>
      </c>
      <c r="F4695" s="13" t="inlineStr">
        <is>
          <t>NVDA</t>
        </is>
      </c>
      <c r="G4695" s="6" t="n">
        <v>5</v>
      </c>
      <c r="H4695" s="6" t="n">
        <v>-1317.57</v>
      </c>
      <c r="I4695" s="7">
        <f>-H4695/G4695</f>
        <v/>
      </c>
      <c r="J4695" s="11" t="n">
        <v>44616</v>
      </c>
      <c r="K4695" s="6">
        <f>+OPERAC[[#This Row],[cantidad]]</f>
        <v/>
      </c>
      <c r="L4695" s="6">
        <f>+OPERAC[[#This Row],[cantidad venta]]*224.117</f>
        <v/>
      </c>
      <c r="M4695" s="7">
        <f>IF(N4695=0,+L4695+H4695,0)</f>
        <v/>
      </c>
      <c r="N4695" s="7">
        <f>IF((+G4695-K4695)=0,0,+G4695-K4695)</f>
        <v/>
      </c>
      <c r="O4695" s="7">
        <f>IF(N4695=0,0,(L4695+H4695)/-N4695)</f>
        <v/>
      </c>
      <c r="P4695" s="7">
        <f>VLOOKUP(OPERAC[[#This Row],[especie]],[1]!ESPECIES[#All],6,0)</f>
        <v/>
      </c>
      <c r="Q4695" s="7">
        <f>IF(N4695&lt;&gt;0,P4695*N4695,0)</f>
        <v/>
      </c>
      <c r="R4695" s="8">
        <f>IF(Q4695&lt;&gt;0,Q4695+H4695+L4695,0)</f>
        <v/>
      </c>
      <c r="S4695" s="9">
        <f>VLOOKUP(OPERAC[[#This Row],[especie]],[1]!ESPECIES[#Data],9,FALSE)</f>
        <v/>
      </c>
    </row>
    <row r="4696">
      <c r="A4696" s="4" t="n">
        <v>13180</v>
      </c>
      <c r="B4696" s="5" t="n">
        <v>44608</v>
      </c>
      <c r="C4696" s="13" t="inlineStr">
        <is>
          <t>CPR</t>
        </is>
      </c>
      <c r="D4696" s="13" t="n">
        <v>40</v>
      </c>
      <c r="E4696" s="10">
        <f>IF(D4696&gt;0,VLOOKUP(OPERAC[[#This Row],[COD CART]],[1]!MatrizCortoLargoCyl[#All],3,0),"")</f>
        <v/>
      </c>
      <c r="F4696" s="13" t="inlineStr">
        <is>
          <t>NVDA</t>
        </is>
      </c>
      <c r="G4696" s="6" t="n">
        <v>5</v>
      </c>
      <c r="H4696" s="6" t="n">
        <v>-1317.57</v>
      </c>
      <c r="I4696" s="7">
        <f>-H4696/G4696</f>
        <v/>
      </c>
      <c r="J4696" s="11" t="n">
        <v>44616</v>
      </c>
      <c r="K4696" s="6">
        <f>+OPERAC[[#This Row],[cantidad]]</f>
        <v/>
      </c>
      <c r="L4696" s="6">
        <f>+OPERAC[[#This Row],[cantidad venta]]*224.117</f>
        <v/>
      </c>
      <c r="M4696" s="7">
        <f>IF(N4696=0,+L4696+H4696,0)</f>
        <v/>
      </c>
      <c r="N4696" s="7">
        <f>IF((+G4696-K4696)=0,0,+G4696-K4696)</f>
        <v/>
      </c>
      <c r="O4696" s="7">
        <f>IF(N4696=0,0,(L4696+H4696)/-N4696)</f>
        <v/>
      </c>
      <c r="P4696" s="7">
        <f>VLOOKUP(OPERAC[[#This Row],[especie]],[1]!ESPECIES[#All],6,0)</f>
        <v/>
      </c>
      <c r="Q4696" s="7">
        <f>IF(N4696&lt;&gt;0,P4696*N4696,0)</f>
        <v/>
      </c>
      <c r="R4696" s="8">
        <f>IF(Q4696&lt;&gt;0,Q4696+H4696+L4696,0)</f>
        <v/>
      </c>
      <c r="S4696" s="9">
        <f>VLOOKUP(OPERAC[[#This Row],[especie]],[1]!ESPECIES[#Data],9,FALSE)</f>
        <v/>
      </c>
    </row>
    <row r="4697">
      <c r="A4697" s="4" t="n">
        <v>13185</v>
      </c>
      <c r="B4697" s="5" t="n">
        <v>44608</v>
      </c>
      <c r="C4697" s="13" t="inlineStr">
        <is>
          <t>CPR</t>
        </is>
      </c>
      <c r="D4697" s="13" t="n">
        <v>40</v>
      </c>
      <c r="E4697" s="10">
        <f>IF(D4697&gt;0,VLOOKUP(OPERAC[[#This Row],[COD CART]],[1]!MatrizCortoLargoCyl[#All],3,0),"")</f>
        <v/>
      </c>
      <c r="F4697" s="13" t="inlineStr">
        <is>
          <t>NVDA</t>
        </is>
      </c>
      <c r="G4697" s="6" t="n">
        <v>5</v>
      </c>
      <c r="H4697" s="6" t="n">
        <v>-1317.57</v>
      </c>
      <c r="I4697" s="7">
        <f>-H4697/G4697</f>
        <v/>
      </c>
      <c r="J4697" s="11" t="n">
        <v>44616</v>
      </c>
      <c r="K4697" s="6">
        <f>+OPERAC[[#This Row],[cantidad]]</f>
        <v/>
      </c>
      <c r="L4697" s="6">
        <f>+OPERAC[[#This Row],[cantidad venta]]*224.117</f>
        <v/>
      </c>
      <c r="M4697" s="7">
        <f>IF(N4697=0,+L4697+H4697,0)</f>
        <v/>
      </c>
      <c r="N4697" s="7">
        <f>IF((+G4697-K4697)=0,0,+G4697-K4697)</f>
        <v/>
      </c>
      <c r="O4697" s="7">
        <f>IF(N4697=0,0,(L4697+H4697)/-N4697)</f>
        <v/>
      </c>
      <c r="P4697" s="7">
        <f>VLOOKUP(OPERAC[[#This Row],[especie]],[1]!ESPECIES[#All],6,0)</f>
        <v/>
      </c>
      <c r="Q4697" s="7">
        <f>IF(N4697&lt;&gt;0,P4697*N4697,0)</f>
        <v/>
      </c>
      <c r="R4697" s="8">
        <f>IF(Q4697&lt;&gt;0,Q4697+H4697+L4697,0)</f>
        <v/>
      </c>
      <c r="S4697" s="9">
        <f>VLOOKUP(OPERAC[[#This Row],[especie]],[1]!ESPECIES[#Data],9,FALSE)</f>
        <v/>
      </c>
    </row>
    <row r="4698">
      <c r="A4698" s="4" t="n">
        <v>15194</v>
      </c>
      <c r="B4698" s="5" t="n">
        <v>44608</v>
      </c>
      <c r="C4698" s="13" t="inlineStr">
        <is>
          <t>CPR</t>
        </is>
      </c>
      <c r="D4698" s="13" t="n">
        <v>40</v>
      </c>
      <c r="E4698" s="10">
        <f>IF(D4698&gt;0,VLOOKUP(OPERAC[[#This Row],[COD CART]],[1]!MatrizCortoLargoCyl[#All],3,0),"")</f>
        <v/>
      </c>
      <c r="F4698" s="13" t="inlineStr">
        <is>
          <t>NVDA</t>
        </is>
      </c>
      <c r="G4698" s="6" t="n">
        <v>5</v>
      </c>
      <c r="H4698" s="6" t="n">
        <v>-1317.57</v>
      </c>
      <c r="I4698" s="7">
        <f>-H4698/G4698</f>
        <v/>
      </c>
      <c r="J4698" s="11" t="n">
        <v>44616</v>
      </c>
      <c r="K4698" s="6">
        <f>+OPERAC[[#This Row],[cantidad]]</f>
        <v/>
      </c>
      <c r="L4698" s="6">
        <f>+OPERAC[[#This Row],[cantidad venta]]*224.117</f>
        <v/>
      </c>
      <c r="M4698" s="7">
        <f>IF(N4698=0,+L4698+H4698,0)</f>
        <v/>
      </c>
      <c r="N4698" s="7">
        <f>IF((+G4698-K4698)=0,0,+G4698-K4698)</f>
        <v/>
      </c>
      <c r="O4698" s="7">
        <f>IF(N4698=0,0,(L4698+H4698)/-N4698)</f>
        <v/>
      </c>
      <c r="P4698" s="7">
        <f>VLOOKUP(OPERAC[[#This Row],[especie]],[1]!ESPECIES[#All],6,0)</f>
        <v/>
      </c>
      <c r="Q4698" s="7">
        <f>IF(N4698&lt;&gt;0,P4698*N4698,0)</f>
        <v/>
      </c>
      <c r="R4698" s="8">
        <f>IF(Q4698&lt;&gt;0,Q4698+H4698+L4698,0)</f>
        <v/>
      </c>
      <c r="S4698" s="9">
        <f>VLOOKUP(OPERAC[[#This Row],[especie]],[1]!ESPECIES[#Data],9,FALSE)</f>
        <v/>
      </c>
    </row>
    <row r="4699">
      <c r="A4699" s="4" t="n">
        <v>15195</v>
      </c>
      <c r="B4699" s="5" t="n">
        <v>44608</v>
      </c>
      <c r="C4699" s="13" t="inlineStr">
        <is>
          <t>CPR</t>
        </is>
      </c>
      <c r="D4699" s="13" t="n">
        <v>40</v>
      </c>
      <c r="E4699" s="10">
        <f>IF(D4699&gt;0,VLOOKUP(OPERAC[[#This Row],[COD CART]],[1]!MatrizCortoLargoCyl[#All],3,0),"")</f>
        <v/>
      </c>
      <c r="F4699" s="13" t="inlineStr">
        <is>
          <t>NVDA</t>
        </is>
      </c>
      <c r="G4699" s="6" t="n">
        <v>5</v>
      </c>
      <c r="H4699" s="6" t="n">
        <v>-1317.57</v>
      </c>
      <c r="I4699" s="7">
        <f>-H4699/G4699</f>
        <v/>
      </c>
      <c r="J4699" s="11" t="n">
        <v>44616</v>
      </c>
      <c r="K4699" s="6">
        <f>+OPERAC[[#This Row],[cantidad]]</f>
        <v/>
      </c>
      <c r="L4699" s="6">
        <f>+OPERAC[[#This Row],[cantidad venta]]*224.117</f>
        <v/>
      </c>
      <c r="M4699" s="7">
        <f>IF(N4699=0,+L4699+H4699,0)</f>
        <v/>
      </c>
      <c r="N4699" s="7">
        <f>IF((+G4699-K4699)=0,0,+G4699-K4699)</f>
        <v/>
      </c>
      <c r="O4699" s="7">
        <f>IF(N4699=0,0,(L4699+H4699)/-N4699)</f>
        <v/>
      </c>
      <c r="P4699" s="7">
        <f>VLOOKUP(OPERAC[[#This Row],[especie]],[1]!ESPECIES[#All],6,0)</f>
        <v/>
      </c>
      <c r="Q4699" s="7">
        <f>IF(N4699&lt;&gt;0,P4699*N4699,0)</f>
        <v/>
      </c>
      <c r="R4699" s="8">
        <f>IF(Q4699&lt;&gt;0,Q4699+H4699+L4699,0)</f>
        <v/>
      </c>
      <c r="S4699" s="9">
        <f>VLOOKUP(OPERAC[[#This Row],[especie]],[1]!ESPECIES[#Data],9,FALSE)</f>
        <v/>
      </c>
    </row>
    <row r="4700">
      <c r="A4700" s="4" t="n">
        <v>16795</v>
      </c>
      <c r="B4700" s="5" t="n">
        <v>44608</v>
      </c>
      <c r="C4700" s="13" t="inlineStr">
        <is>
          <t>CPR</t>
        </is>
      </c>
      <c r="D4700" s="13" t="n">
        <v>40</v>
      </c>
      <c r="E4700" s="10">
        <f>IF(D4700&gt;0,VLOOKUP(OPERAC[[#This Row],[COD CART]],[1]!MatrizCortoLargoCyl[#All],3,0),"")</f>
        <v/>
      </c>
      <c r="F4700" s="13" t="inlineStr">
        <is>
          <t>NVDA</t>
        </is>
      </c>
      <c r="G4700" s="6" t="n">
        <v>5</v>
      </c>
      <c r="H4700" s="6" t="n">
        <v>-1317.57</v>
      </c>
      <c r="I4700" s="7">
        <f>-H4700/G4700</f>
        <v/>
      </c>
      <c r="J4700" s="11" t="n">
        <v>44616</v>
      </c>
      <c r="K4700" s="6">
        <f>+OPERAC[[#This Row],[cantidad]]</f>
        <v/>
      </c>
      <c r="L4700" s="6">
        <f>+OPERAC[[#This Row],[cantidad venta]]*224.117</f>
        <v/>
      </c>
      <c r="M4700" s="7">
        <f>IF(N4700=0,+L4700+H4700,0)</f>
        <v/>
      </c>
      <c r="N4700" s="7">
        <f>IF((+G4700-K4700)=0,0,+G4700-K4700)</f>
        <v/>
      </c>
      <c r="O4700" s="7">
        <f>IF(N4700=0,0,(L4700+H4700)/-N4700)</f>
        <v/>
      </c>
      <c r="P4700" s="7">
        <f>VLOOKUP(OPERAC[[#This Row],[especie]],[1]!ESPECIES[#All],6,0)</f>
        <v/>
      </c>
      <c r="Q4700" s="7">
        <f>IF(N4700&lt;&gt;0,P4700*N4700,0)</f>
        <v/>
      </c>
      <c r="R4700" s="8">
        <f>IF(Q4700&lt;&gt;0,Q4700+H4700+L4700,0)</f>
        <v/>
      </c>
      <c r="S4700" s="9">
        <f>VLOOKUP(OPERAC[[#This Row],[especie]],[1]!ESPECIES[#Data],9,FALSE)</f>
        <v/>
      </c>
    </row>
    <row r="4701">
      <c r="A4701" s="4" t="n">
        <v>18690</v>
      </c>
      <c r="B4701" s="5" t="n">
        <v>44608</v>
      </c>
      <c r="C4701" s="13" t="inlineStr">
        <is>
          <t>CPR</t>
        </is>
      </c>
      <c r="D4701" s="13" t="n">
        <v>40</v>
      </c>
      <c r="E4701" s="10">
        <f>IF(D4701&gt;0,VLOOKUP(OPERAC[[#This Row],[COD CART]],[1]!MatrizCortoLargoCyl[#All],3,0),"")</f>
        <v/>
      </c>
      <c r="F4701" s="13" t="inlineStr">
        <is>
          <t>NVDA</t>
        </is>
      </c>
      <c r="G4701" s="6" t="n">
        <v>5</v>
      </c>
      <c r="H4701" s="6" t="n">
        <v>-1317.57</v>
      </c>
      <c r="I4701" s="7">
        <f>-H4701/G4701</f>
        <v/>
      </c>
      <c r="J4701" s="11" t="n">
        <v>44616</v>
      </c>
      <c r="K4701" s="6">
        <f>+OPERAC[[#This Row],[cantidad]]</f>
        <v/>
      </c>
      <c r="L4701" s="6">
        <f>+OPERAC[[#This Row],[cantidad venta]]*224.117</f>
        <v/>
      </c>
      <c r="M4701" s="7">
        <f>IF(N4701=0,+L4701+H4701,0)</f>
        <v/>
      </c>
      <c r="N4701" s="7">
        <f>IF((+G4701-K4701)=0,0,+G4701-K4701)</f>
        <v/>
      </c>
      <c r="O4701" s="7">
        <f>IF(N4701=0,0,(L4701+H4701)/-N4701)</f>
        <v/>
      </c>
      <c r="P4701" s="7">
        <f>VLOOKUP(OPERAC[[#This Row],[especie]],[1]!ESPECIES[#All],6,0)</f>
        <v/>
      </c>
      <c r="Q4701" s="7">
        <f>IF(N4701&lt;&gt;0,P4701*N4701,0)</f>
        <v/>
      </c>
      <c r="R4701" s="8">
        <f>IF(Q4701&lt;&gt;0,Q4701+H4701+L4701,0)</f>
        <v/>
      </c>
      <c r="S4701" s="9">
        <f>VLOOKUP(OPERAC[[#This Row],[especie]],[1]!ESPECIES[#Data],9,FALSE)</f>
        <v/>
      </c>
    </row>
    <row r="4702">
      <c r="A4702" s="4" t="n">
        <v>19878</v>
      </c>
      <c r="B4702" s="5" t="n">
        <v>44608</v>
      </c>
      <c r="C4702" s="13" t="inlineStr">
        <is>
          <t>CPR</t>
        </is>
      </c>
      <c r="D4702" s="13" t="n">
        <v>40</v>
      </c>
      <c r="E4702" s="10">
        <f>IF(D4702&gt;0,VLOOKUP(OPERAC[[#This Row],[COD CART]],[1]!MatrizCortoLargoCyl[#All],3,0),"")</f>
        <v/>
      </c>
      <c r="F4702" s="13" t="inlineStr">
        <is>
          <t>NVDA</t>
        </is>
      </c>
      <c r="G4702" s="6" t="n">
        <v>5</v>
      </c>
      <c r="H4702" s="6" t="n">
        <v>-1317.57</v>
      </c>
      <c r="I4702" s="7">
        <f>-H4702/G4702</f>
        <v/>
      </c>
      <c r="J4702" s="11" t="n">
        <v>44616</v>
      </c>
      <c r="K4702" s="6">
        <f>+OPERAC[[#This Row],[cantidad]]</f>
        <v/>
      </c>
      <c r="L4702" s="6">
        <f>+OPERAC[[#This Row],[cantidad venta]]*224.117</f>
        <v/>
      </c>
      <c r="M4702" s="7">
        <f>IF(N4702=0,+L4702+H4702,0)</f>
        <v/>
      </c>
      <c r="N4702" s="7">
        <f>IF((+G4702-K4702)=0,0,+G4702-K4702)</f>
        <v/>
      </c>
      <c r="O4702" s="7">
        <f>IF(N4702=0,0,(L4702+H4702)/-N4702)</f>
        <v/>
      </c>
      <c r="P4702" s="7">
        <f>VLOOKUP(OPERAC[[#This Row],[especie]],[1]!ESPECIES[#All],6,0)</f>
        <v/>
      </c>
      <c r="Q4702" s="7">
        <f>IF(N4702&lt;&gt;0,P4702*N4702,0)</f>
        <v/>
      </c>
      <c r="R4702" s="8">
        <f>IF(Q4702&lt;&gt;0,Q4702+H4702+L4702,0)</f>
        <v/>
      </c>
      <c r="S4702" s="9">
        <f>VLOOKUP(OPERAC[[#This Row],[especie]],[1]!ESPECIES[#Data],9,FALSE)</f>
        <v/>
      </c>
    </row>
    <row r="4703">
      <c r="A4703" s="4" t="n">
        <v>22407</v>
      </c>
      <c r="B4703" s="5" t="n">
        <v>44608</v>
      </c>
      <c r="C4703" s="13" t="inlineStr">
        <is>
          <t>CPR</t>
        </is>
      </c>
      <c r="D4703" s="13" t="n">
        <v>40</v>
      </c>
      <c r="E4703" s="10">
        <f>IF(D4703&gt;0,VLOOKUP(OPERAC[[#This Row],[COD CART]],[1]!MatrizCortoLargoCyl[#All],3,0),"")</f>
        <v/>
      </c>
      <c r="F4703" s="13" t="inlineStr">
        <is>
          <t>NVDA</t>
        </is>
      </c>
      <c r="G4703" s="6" t="n">
        <v>5</v>
      </c>
      <c r="H4703" s="6" t="n">
        <v>-1317.57</v>
      </c>
      <c r="I4703" s="7">
        <f>-H4703/G4703</f>
        <v/>
      </c>
      <c r="J4703" s="11" t="n">
        <v>44616</v>
      </c>
      <c r="K4703" s="6">
        <f>+OPERAC[[#This Row],[cantidad]]</f>
        <v/>
      </c>
      <c r="L4703" s="6">
        <f>+OPERAC[[#This Row],[cantidad venta]]*224.117</f>
        <v/>
      </c>
      <c r="M4703" s="7">
        <f>IF(N4703=0,+L4703+H4703,0)</f>
        <v/>
      </c>
      <c r="N4703" s="7">
        <f>IF((+G4703-K4703)=0,0,+G4703-K4703)</f>
        <v/>
      </c>
      <c r="O4703" s="7">
        <f>IF(N4703=0,0,(L4703+H4703)/-N4703)</f>
        <v/>
      </c>
      <c r="P4703" s="7">
        <f>VLOOKUP(OPERAC[[#This Row],[especie]],[1]!ESPECIES[#All],6,0)</f>
        <v/>
      </c>
      <c r="Q4703" s="7">
        <f>IF(N4703&lt;&gt;0,P4703*N4703,0)</f>
        <v/>
      </c>
      <c r="R4703" s="8">
        <f>IF(Q4703&lt;&gt;0,Q4703+H4703+L4703,0)</f>
        <v/>
      </c>
      <c r="S4703" s="9">
        <f>VLOOKUP(OPERAC[[#This Row],[especie]],[1]!ESPECIES[#Data],9,FALSE)</f>
        <v/>
      </c>
    </row>
    <row r="4704">
      <c r="A4704" s="4" t="n">
        <v>26138</v>
      </c>
      <c r="B4704" s="5" t="n">
        <v>44608</v>
      </c>
      <c r="C4704" s="13" t="inlineStr">
        <is>
          <t>CPR</t>
        </is>
      </c>
      <c r="D4704" s="13" t="n">
        <v>40</v>
      </c>
      <c r="E4704" s="10">
        <f>IF(D4704&gt;0,VLOOKUP(OPERAC[[#This Row],[COD CART]],[1]!MatrizCortoLargoCyl[#All],3,0),"")</f>
        <v/>
      </c>
      <c r="F4704" s="13" t="inlineStr">
        <is>
          <t>NVDA</t>
        </is>
      </c>
      <c r="G4704" s="6" t="n">
        <v>5</v>
      </c>
      <c r="H4704" s="6" t="n">
        <v>-1317.57</v>
      </c>
      <c r="I4704" s="7">
        <f>-H4704/G4704</f>
        <v/>
      </c>
      <c r="J4704" s="11" t="n">
        <v>44616</v>
      </c>
      <c r="K4704" s="6">
        <f>+OPERAC[[#This Row],[cantidad]]</f>
        <v/>
      </c>
      <c r="L4704" s="6">
        <f>+OPERAC[[#This Row],[cantidad venta]]*224.117</f>
        <v/>
      </c>
      <c r="M4704" s="7">
        <f>IF(N4704=0,+L4704+H4704,0)</f>
        <v/>
      </c>
      <c r="N4704" s="7">
        <f>IF((+G4704-K4704)=0,0,+G4704-K4704)</f>
        <v/>
      </c>
      <c r="O4704" s="7">
        <f>IF(N4704=0,0,(L4704+H4704)/-N4704)</f>
        <v/>
      </c>
      <c r="P4704" s="7">
        <f>VLOOKUP(OPERAC[[#This Row],[especie]],[1]!ESPECIES[#All],6,0)</f>
        <v/>
      </c>
      <c r="Q4704" s="7">
        <f>IF(N4704&lt;&gt;0,P4704*N4704,0)</f>
        <v/>
      </c>
      <c r="R4704" s="8">
        <f>IF(Q4704&lt;&gt;0,Q4704+H4704+L4704,0)</f>
        <v/>
      </c>
      <c r="S4704" s="9">
        <f>VLOOKUP(OPERAC[[#This Row],[especie]],[1]!ESPECIES[#Data],9,FALSE)</f>
        <v/>
      </c>
    </row>
    <row r="4705">
      <c r="A4705" s="4" t="n">
        <v>25070</v>
      </c>
      <c r="B4705" s="5" t="n">
        <v>44608</v>
      </c>
      <c r="C4705" s="13" t="inlineStr">
        <is>
          <t>CPR</t>
        </is>
      </c>
      <c r="D4705" s="13" t="n">
        <v>40</v>
      </c>
      <c r="E4705" s="10">
        <f>IF(D4705&gt;0,VLOOKUP(OPERAC[[#This Row],[COD CART]],[1]!MatrizCortoLargoCyl[#All],3,0),"")</f>
        <v/>
      </c>
      <c r="F4705" s="13" t="inlineStr">
        <is>
          <t>NVDA</t>
        </is>
      </c>
      <c r="G4705" s="6" t="n">
        <v>5</v>
      </c>
      <c r="H4705" s="6" t="n">
        <v>-1317.57</v>
      </c>
      <c r="I4705" s="7">
        <f>-H4705/G4705</f>
        <v/>
      </c>
      <c r="J4705" s="11" t="n">
        <v>44616</v>
      </c>
      <c r="K4705" s="6">
        <f>+OPERAC[[#This Row],[cantidad]]</f>
        <v/>
      </c>
      <c r="L4705" s="6">
        <f>+OPERAC[[#This Row],[cantidad venta]]*224.117</f>
        <v/>
      </c>
      <c r="M4705" s="7">
        <f>IF(N4705=0,+L4705+H4705,0)</f>
        <v/>
      </c>
      <c r="N4705" s="7">
        <f>IF((+G4705-K4705)=0,0,+G4705-K4705)</f>
        <v/>
      </c>
      <c r="O4705" s="7">
        <f>IF(N4705=0,0,(L4705+H4705)/-N4705)</f>
        <v/>
      </c>
      <c r="P4705" s="7">
        <f>VLOOKUP(OPERAC[[#This Row],[especie]],[1]!ESPECIES[#All],6,0)</f>
        <v/>
      </c>
      <c r="Q4705" s="7">
        <f>IF(N4705&lt;&gt;0,P4705*N4705,0)</f>
        <v/>
      </c>
      <c r="R4705" s="8">
        <f>IF(Q4705&lt;&gt;0,Q4705+H4705+L4705,0)</f>
        <v/>
      </c>
      <c r="S4705" s="9">
        <f>VLOOKUP(OPERAC[[#This Row],[especie]],[1]!ESPECIES[#Data],9,FALSE)</f>
        <v/>
      </c>
    </row>
    <row r="4706">
      <c r="A4706" s="4" t="n">
        <v>26140</v>
      </c>
      <c r="B4706" s="5" t="n">
        <v>44608</v>
      </c>
      <c r="C4706" s="13" t="inlineStr">
        <is>
          <t>CPR</t>
        </is>
      </c>
      <c r="D4706" s="13" t="n">
        <v>40</v>
      </c>
      <c r="E4706" s="10">
        <f>IF(D4706&gt;0,VLOOKUP(OPERAC[[#This Row],[COD CART]],[1]!MatrizCortoLargoCyl[#All],3,0),"")</f>
        <v/>
      </c>
      <c r="F4706" s="13" t="inlineStr">
        <is>
          <t>NVDA</t>
        </is>
      </c>
      <c r="G4706" s="6" t="n">
        <v>5</v>
      </c>
      <c r="H4706" s="6" t="n">
        <v>-1317.57</v>
      </c>
      <c r="I4706" s="7">
        <f>-H4706/G4706</f>
        <v/>
      </c>
      <c r="J4706" s="11" t="n">
        <v>44616</v>
      </c>
      <c r="K4706" s="6">
        <f>+OPERAC[[#This Row],[cantidad]]</f>
        <v/>
      </c>
      <c r="L4706" s="6">
        <f>+OPERAC[[#This Row],[cantidad venta]]*224.117</f>
        <v/>
      </c>
      <c r="M4706" s="7">
        <f>IF(N4706=0,+L4706+H4706,0)</f>
        <v/>
      </c>
      <c r="N4706" s="7">
        <f>IF((+G4706-K4706)=0,0,+G4706-K4706)</f>
        <v/>
      </c>
      <c r="O4706" s="7">
        <f>IF(N4706=0,0,(L4706+H4706)/-N4706)</f>
        <v/>
      </c>
      <c r="P4706" s="7">
        <f>VLOOKUP(OPERAC[[#This Row],[especie]],[1]!ESPECIES[#All],6,0)</f>
        <v/>
      </c>
      <c r="Q4706" s="7">
        <f>IF(N4706&lt;&gt;0,P4706*N4706,0)</f>
        <v/>
      </c>
      <c r="R4706" s="8">
        <f>IF(Q4706&lt;&gt;0,Q4706+H4706+L4706,0)</f>
        <v/>
      </c>
      <c r="S4706" s="9">
        <f>VLOOKUP(OPERAC[[#This Row],[especie]],[1]!ESPECIES[#Data],9,FALSE)</f>
        <v/>
      </c>
    </row>
    <row r="4707">
      <c r="A4707" s="4" t="n">
        <v>7914</v>
      </c>
      <c r="B4707" s="5" t="n">
        <v>44489</v>
      </c>
      <c r="C4707" s="13" t="inlineStr">
        <is>
          <t>CPR</t>
        </is>
      </c>
      <c r="D4707" s="13" t="n">
        <v>43</v>
      </c>
      <c r="E4707" s="10">
        <f>IF(D4707&gt;0,VLOOKUP(OPERAC[[#This Row],[COD CART]],[1]!MatrizCortoLargoCyl[#All],3,0),"")</f>
        <v/>
      </c>
      <c r="F4707" s="13" t="inlineStr">
        <is>
          <t>SESN/CYL-PUT/1,00/19-01-24</t>
        </is>
      </c>
      <c r="G4707" s="6" t="n">
        <v>7000</v>
      </c>
      <c r="H4707" s="6">
        <f>-0.1885*OPERAC[[#This Row],[cantidad]]</f>
        <v/>
      </c>
      <c r="I4707" s="7">
        <f>-H4707/G4707</f>
        <v/>
      </c>
      <c r="J4707" s="11" t="n">
        <v>44573</v>
      </c>
      <c r="K4707" s="6" t="n">
        <v>7000</v>
      </c>
      <c r="L4707" s="6" t="n">
        <v>2168.33</v>
      </c>
      <c r="M4707" s="7">
        <f>IF(N4707=0,+L4707+H4707,0)</f>
        <v/>
      </c>
      <c r="N4707" s="7">
        <f>IF((+G4707-K4707)=0,0,+G4707-K4707)</f>
        <v/>
      </c>
      <c r="O4707" s="7">
        <f>IF(N4707=0,0,(L4707+H4707)/-N4707)</f>
        <v/>
      </c>
      <c r="P4707" s="7">
        <f>VLOOKUP(OPERAC[[#This Row],[especie]],[1]!ESPECIES[#All],6,0)</f>
        <v/>
      </c>
      <c r="Q4707" s="7">
        <f>IF(N4707&lt;&gt;0,P4707*N4707,0)</f>
        <v/>
      </c>
      <c r="R4707" s="8">
        <f>IF(Q4707&lt;&gt;0,Q4707+H4707+L4707,0)</f>
        <v/>
      </c>
      <c r="S4707" s="9">
        <f>VLOOKUP(OPERAC[[#This Row],[especie]],[1]!ESPECIES[#Data],9,FALSE)</f>
        <v/>
      </c>
    </row>
    <row r="4708">
      <c r="A4708" s="4" t="n">
        <v>12655</v>
      </c>
      <c r="B4708" s="5" t="n">
        <v>44643</v>
      </c>
      <c r="C4708" s="13" t="inlineStr">
        <is>
          <t>CPR</t>
        </is>
      </c>
      <c r="D4708" s="13" t="n">
        <v>32</v>
      </c>
      <c r="E4708" s="10">
        <f>IF(D4708&gt;0,VLOOKUP(OPERAC[[#This Row],[COD CART]],[1]!MatrizCortoLargoCyl[#All],3,0),"")</f>
        <v/>
      </c>
      <c r="F4708" s="13" t="inlineStr">
        <is>
          <t>CRESY/CYL/7,50/17-06-22</t>
        </is>
      </c>
      <c r="G4708" s="6" t="n">
        <v>200</v>
      </c>
      <c r="H4708" s="6">
        <f>-1360.6+39.66</f>
        <v/>
      </c>
      <c r="I4708" s="7">
        <f>-H4708/G4708</f>
        <v/>
      </c>
      <c r="J4708" s="11" t="n"/>
      <c r="K4708" s="6" t="n"/>
      <c r="L4708" s="6" t="n"/>
      <c r="M4708" s="7">
        <f>IF(N4708=0,+L4708+H4708,0)</f>
        <v/>
      </c>
      <c r="N4708" s="7">
        <f>IF((+G4708-K4708)=0,0,+G4708-K4708)</f>
        <v/>
      </c>
      <c r="O4708" s="7">
        <f>IF(N4708=0,0,(L4708+H4708)/-N4708)</f>
        <v/>
      </c>
      <c r="P4708" s="7">
        <f>VLOOKUP(OPERAC[[#This Row],[especie]],[1]!ESPECIES[#All],6,0)</f>
        <v/>
      </c>
      <c r="Q4708" s="7">
        <f>IF(N4708&lt;&gt;0,P4708*N4708,0)</f>
        <v/>
      </c>
      <c r="R4708" s="8">
        <f>IF(Q4708&lt;&gt;0,Q4708+H4708+L4708,0)</f>
        <v/>
      </c>
      <c r="S4708" s="9">
        <f>VLOOKUP(OPERAC[[#This Row],[especie]],[1]!ESPECIES[#Data],9,FALSE)</f>
        <v/>
      </c>
    </row>
    <row r="4709">
      <c r="A4709" s="4" t="n">
        <v>19972</v>
      </c>
      <c r="B4709" s="5" t="n">
        <v>44685</v>
      </c>
      <c r="C4709" s="13" t="inlineStr">
        <is>
          <t>CPR</t>
        </is>
      </c>
      <c r="D4709" s="13" t="n">
        <v>32</v>
      </c>
      <c r="E4709" s="10">
        <f>IF(D4709&gt;0,VLOOKUP(OPERAC[[#This Row],[COD CART]],[1]!MatrizCortoLargoCyl[#All],3,0),"")</f>
        <v/>
      </c>
      <c r="F4709" s="13" t="inlineStr">
        <is>
          <t>COTY/CYL/7,00/17-06-22</t>
        </is>
      </c>
      <c r="G4709" s="6" t="n">
        <v>200</v>
      </c>
      <c r="H4709" s="6" t="n">
        <v>-1322.47</v>
      </c>
      <c r="I4709" s="7">
        <f>-H4709/G4709</f>
        <v/>
      </c>
      <c r="J4709" s="11" t="n"/>
      <c r="K4709" s="6" t="n"/>
      <c r="L4709" s="6" t="n"/>
      <c r="M4709" s="7">
        <f>IF(N4709=0,+L4709+H4709,0)</f>
        <v/>
      </c>
      <c r="N4709" s="7">
        <f>IF((+G4709-K4709)=0,0,+G4709-K4709)</f>
        <v/>
      </c>
      <c r="O4709" s="7">
        <f>IF(N4709=0,0,(L4709+H4709)/-N4709)</f>
        <v/>
      </c>
      <c r="P4709" s="7">
        <f>VLOOKUP(OPERAC[[#This Row],[especie]],[1]!ESPECIES[#All],6,0)</f>
        <v/>
      </c>
      <c r="Q4709" s="7">
        <f>IF(N4709&lt;&gt;0,P4709*N4709,0)</f>
        <v/>
      </c>
      <c r="R4709" s="8">
        <f>IF(Q4709&lt;&gt;0,Q4709+H4709+L4709,0)</f>
        <v/>
      </c>
      <c r="S4709" s="9">
        <f>VLOOKUP(OPERAC[[#This Row],[especie]],[1]!ESPECIES[#Data],9,FALSE)</f>
        <v/>
      </c>
    </row>
    <row r="4710">
      <c r="A4710" s="4" t="n">
        <v>15194</v>
      </c>
      <c r="B4710" s="5" t="n">
        <v>44648</v>
      </c>
      <c r="C4710" s="13" t="inlineStr">
        <is>
          <t>CPR</t>
        </is>
      </c>
      <c r="D4710" s="13" t="n">
        <v>42</v>
      </c>
      <c r="E4710" s="10">
        <f>IF(D4710&gt;0,VLOOKUP(OPERAC[[#This Row],[COD CART]],[1]!MatrizCortoLargoCyl[#All],3,0),"")</f>
        <v/>
      </c>
      <c r="F4710" s="13" t="inlineStr">
        <is>
          <t>ADBE</t>
        </is>
      </c>
      <c r="G4710" s="6" t="n">
        <v>3</v>
      </c>
      <c r="H4710" s="6" t="n">
        <v>-1324.23735</v>
      </c>
      <c r="I4710" s="7">
        <f>-H4710/G4710</f>
        <v/>
      </c>
      <c r="J4710" s="11" t="n">
        <v>44687</v>
      </c>
      <c r="K4710" s="6">
        <f>+OPERAC[[#This Row],[cantidad]]</f>
        <v/>
      </c>
      <c r="L4710" s="6" t="n">
        <v>1250.12</v>
      </c>
      <c r="M4710" s="7">
        <f>IF(N4710=0,+L4710+H4710,0)</f>
        <v/>
      </c>
      <c r="N4710" s="7">
        <f>IF((+G4710-K4710)=0,0,+G4710-K4710)</f>
        <v/>
      </c>
      <c r="O4710" s="7">
        <f>IF(N4710=0,0,(L4710+H4710)/-N4710)</f>
        <v/>
      </c>
      <c r="P4710" s="7">
        <f>VLOOKUP(OPERAC[[#This Row],[especie]],[1]!ESPECIES[#All],6,0)</f>
        <v/>
      </c>
      <c r="Q4710" s="7">
        <f>IF(N4710&lt;&gt;0,P4710*N4710,0)</f>
        <v/>
      </c>
      <c r="R4710" s="8">
        <f>IF(Q4710&lt;&gt;0,Q4710+H4710+L4710,0)</f>
        <v/>
      </c>
      <c r="S4710" s="9">
        <f>VLOOKUP(OPERAC[[#This Row],[especie]],[1]!ESPECIES[#Data],9,FALSE)</f>
        <v/>
      </c>
    </row>
    <row r="4711">
      <c r="A4711" s="4" t="n">
        <v>16780</v>
      </c>
      <c r="B4711" s="5" t="n">
        <v>44648</v>
      </c>
      <c r="C4711" s="13" t="inlineStr">
        <is>
          <t>CPR</t>
        </is>
      </c>
      <c r="D4711" s="13" t="n">
        <v>42</v>
      </c>
      <c r="E4711" s="10">
        <f>IF(D4711&gt;0,VLOOKUP(OPERAC[[#This Row],[COD CART]],[1]!MatrizCortoLargoCyl[#All],3,0),"")</f>
        <v/>
      </c>
      <c r="F4711" s="13" t="inlineStr">
        <is>
          <t>ADBE</t>
        </is>
      </c>
      <c r="G4711" s="6" t="n">
        <v>3</v>
      </c>
      <c r="H4711" s="6" t="n">
        <v>-1324.23735</v>
      </c>
      <c r="I4711" s="7">
        <f>-H4711/G4711</f>
        <v/>
      </c>
      <c r="J4711" s="11" t="n">
        <v>44669</v>
      </c>
      <c r="K4711" s="6" t="n">
        <v>3</v>
      </c>
      <c r="L4711" s="6" t="n">
        <v>1250.123</v>
      </c>
      <c r="M4711" s="7">
        <f>IF(N4711=0,+L4711+H4711,0)</f>
        <v/>
      </c>
      <c r="N4711" s="7">
        <f>IF((+G4711-K4711)=0,0,+G4711-K4711)</f>
        <v/>
      </c>
      <c r="O4711" s="7">
        <f>IF(N4711=0,0,(L4711+H4711)/-N4711)</f>
        <v/>
      </c>
      <c r="P4711" s="7">
        <f>VLOOKUP(OPERAC[[#This Row],[especie]],[1]!ESPECIES[#All],6,0)</f>
        <v/>
      </c>
      <c r="Q4711" s="7">
        <f>IF(N4711&lt;&gt;0,P4711*N4711,0)</f>
        <v/>
      </c>
      <c r="R4711" s="8">
        <f>IF(Q4711&lt;&gt;0,Q4711+H4711+L4711,0)</f>
        <v/>
      </c>
      <c r="S4711" s="9">
        <f>VLOOKUP(OPERAC[[#This Row],[especie]],[1]!ESPECIES[#Data],9,FALSE)</f>
        <v/>
      </c>
    </row>
    <row r="4712">
      <c r="A4712" s="4" t="n">
        <v>18651</v>
      </c>
      <c r="B4712" s="5" t="n">
        <v>44648</v>
      </c>
      <c r="C4712" s="13" t="inlineStr">
        <is>
          <t>CPR</t>
        </is>
      </c>
      <c r="D4712" s="13" t="n">
        <v>42</v>
      </c>
      <c r="E4712" s="10">
        <f>IF(D4712&gt;0,VLOOKUP(OPERAC[[#This Row],[COD CART]],[1]!MatrizCortoLargoCyl[#All],3,0),"")</f>
        <v/>
      </c>
      <c r="F4712" s="13" t="inlineStr">
        <is>
          <t>ADBE</t>
        </is>
      </c>
      <c r="G4712" s="6" t="n">
        <v>3</v>
      </c>
      <c r="H4712" s="6" t="n">
        <v>-1324.23735</v>
      </c>
      <c r="I4712" s="7">
        <f>-H4712/G4712</f>
        <v/>
      </c>
      <c r="J4712" s="11" t="n">
        <v>44687</v>
      </c>
      <c r="K4712" s="6">
        <f>+OPERAC[[#This Row],[cantidad]]</f>
        <v/>
      </c>
      <c r="L4712" s="6" t="n">
        <v>1250.12</v>
      </c>
      <c r="M4712" s="7">
        <f>IF(N4712=0,+L4712+H4712,0)</f>
        <v/>
      </c>
      <c r="N4712" s="7">
        <f>IF((+G4712-K4712)=0,0,+G4712-K4712)</f>
        <v/>
      </c>
      <c r="O4712" s="7">
        <f>IF(N4712=0,0,(L4712+H4712)/-N4712)</f>
        <v/>
      </c>
      <c r="P4712" s="7">
        <f>VLOOKUP(OPERAC[[#This Row],[especie]],[1]!ESPECIES[#All],6,0)</f>
        <v/>
      </c>
      <c r="Q4712" s="7">
        <f>IF(N4712&lt;&gt;0,P4712*N4712,0)</f>
        <v/>
      </c>
      <c r="R4712" s="8">
        <f>IF(Q4712&lt;&gt;0,Q4712+H4712+L4712,0)</f>
        <v/>
      </c>
      <c r="S4712" s="9">
        <f>VLOOKUP(OPERAC[[#This Row],[especie]],[1]!ESPECIES[#Data],9,FALSE)</f>
        <v/>
      </c>
    </row>
    <row r="4713">
      <c r="A4713" s="4" t="n">
        <v>19932</v>
      </c>
      <c r="B4713" s="5" t="n">
        <v>44697</v>
      </c>
      <c r="C4713" s="13" t="inlineStr">
        <is>
          <t>CPR</t>
        </is>
      </c>
      <c r="D4713" s="13" t="n">
        <v>32</v>
      </c>
      <c r="E4713" s="10">
        <f>IF(D4713&gt;0,VLOOKUP(OPERAC[[#This Row],[COD CART]],[1]!MatrizCortoLargoCyl[#All],3,0),"")</f>
        <v/>
      </c>
      <c r="F4713" s="13" t="inlineStr">
        <is>
          <t>TLRY/CYL/6,00/24-06-22</t>
        </is>
      </c>
      <c r="G4713" s="6" t="n">
        <v>300</v>
      </c>
      <c r="H4713" s="6" t="n">
        <v>-1324.676</v>
      </c>
      <c r="I4713" s="7">
        <f>-H4713/G4713</f>
        <v/>
      </c>
      <c r="J4713" s="11" t="n"/>
      <c r="K4713" s="6" t="n"/>
      <c r="L4713" s="6" t="n"/>
      <c r="M4713" s="7">
        <f>IF(N4713=0,+L4713+H4713,0)</f>
        <v/>
      </c>
      <c r="N4713" s="7">
        <f>IF((+G4713-K4713)=0,0,+G4713-K4713)</f>
        <v/>
      </c>
      <c r="O4713" s="7">
        <f>IF(N4713=0,0,(L4713+H4713)/-N4713)</f>
        <v/>
      </c>
      <c r="P4713" s="7">
        <f>VLOOKUP(OPERAC[[#This Row],[especie]],[1]!ESPECIES[#All],6,0)</f>
        <v/>
      </c>
      <c r="Q4713" s="7">
        <f>IF(N4713&lt;&gt;0,P4713*N4713,0)</f>
        <v/>
      </c>
      <c r="R4713" s="8">
        <f>IF(Q4713&lt;&gt;0,Q4713+H4713+L4713,0)</f>
        <v/>
      </c>
      <c r="S4713" s="9">
        <f>VLOOKUP(OPERAC[[#This Row],[especie]],[1]!ESPECIES[#Data],9,FALSE)</f>
        <v/>
      </c>
    </row>
    <row r="4714">
      <c r="A4714" s="4" t="n">
        <v>3728</v>
      </c>
      <c r="B4714" s="5" t="n">
        <v>44725</v>
      </c>
      <c r="C4714" s="13" t="inlineStr">
        <is>
          <t>CPR</t>
        </is>
      </c>
      <c r="D4714" s="13" t="n">
        <v>40</v>
      </c>
      <c r="E4714" s="10">
        <f>IF(D4714&gt;0,VLOOKUP(OPERAC[[#This Row],[COD CART]],[1]!MatrizCortoLargoCyl[#All],3,0),"")</f>
        <v/>
      </c>
      <c r="F4714" s="13" t="inlineStr">
        <is>
          <t>AAL</t>
        </is>
      </c>
      <c r="G4714" s="6" t="n">
        <v>100</v>
      </c>
      <c r="H4714" s="6" t="n">
        <v>-1326.6253</v>
      </c>
      <c r="I4714" s="7">
        <f>-H4714/G4714</f>
        <v/>
      </c>
      <c r="J4714" s="5" t="n"/>
      <c r="K4714" s="6" t="n"/>
      <c r="L4714" s="6" t="n"/>
      <c r="M4714" s="7">
        <f>IF(N4714=0,+L4714+H4714,0)</f>
        <v/>
      </c>
      <c r="N4714" s="7">
        <f>IF((+G4714-K4714)=0,0,+G4714-K4714)</f>
        <v/>
      </c>
      <c r="O4714" s="7">
        <f>IF(N4714=0,0,(L4714+H4714)/-N4714)</f>
        <v/>
      </c>
      <c r="P4714" s="7">
        <f>VLOOKUP(OPERAC[[#This Row],[especie]],[1]!ESPECIES[#All],6,0)</f>
        <v/>
      </c>
      <c r="Q4714" s="7">
        <f>IF(N4714&lt;&gt;0,P4714*N4714,0)</f>
        <v/>
      </c>
      <c r="R4714" s="8">
        <f>IF(Q4714&lt;&gt;0,Q4714+H4714+L4714,0)</f>
        <v/>
      </c>
      <c r="S4714" s="9">
        <f>VLOOKUP(OPERAC[[#This Row],[especie]],[1]!ESPECIES[#Data],9,FALSE)</f>
        <v/>
      </c>
    </row>
    <row r="4715">
      <c r="A4715" s="4" t="n">
        <v>3835</v>
      </c>
      <c r="B4715" s="5" t="n">
        <v>44725</v>
      </c>
      <c r="C4715" s="13" t="inlineStr">
        <is>
          <t>CPR</t>
        </is>
      </c>
      <c r="D4715" s="13" t="n">
        <v>40</v>
      </c>
      <c r="E4715" s="10">
        <f>IF(D4715&gt;0,VLOOKUP(OPERAC[[#This Row],[COD CART]],[1]!MatrizCortoLargoCyl[#All],3,0),"")</f>
        <v/>
      </c>
      <c r="F4715" s="13" t="inlineStr">
        <is>
          <t>AAL</t>
        </is>
      </c>
      <c r="G4715" s="6" t="n">
        <v>100</v>
      </c>
      <c r="H4715" s="6" t="n">
        <v>-1326.6253</v>
      </c>
      <c r="I4715" s="7">
        <f>-H4715/G4715</f>
        <v/>
      </c>
      <c r="J4715" s="5" t="n"/>
      <c r="K4715" s="6" t="n"/>
      <c r="L4715" s="6" t="n"/>
      <c r="M4715" s="7">
        <f>IF(N4715=0,+L4715+H4715,0)</f>
        <v/>
      </c>
      <c r="N4715" s="7">
        <f>IF((+G4715-K4715)=0,0,+G4715-K4715)</f>
        <v/>
      </c>
      <c r="O4715" s="7">
        <f>IF(N4715=0,0,(L4715+H4715)/-N4715)</f>
        <v/>
      </c>
      <c r="P4715" s="7">
        <f>VLOOKUP(OPERAC[[#This Row],[especie]],[1]!ESPECIES[#All],6,0)</f>
        <v/>
      </c>
      <c r="Q4715" s="7">
        <f>IF(N4715&lt;&gt;0,P4715*N4715,0)</f>
        <v/>
      </c>
      <c r="R4715" s="8">
        <f>IF(Q4715&lt;&gt;0,Q4715+H4715+L4715,0)</f>
        <v/>
      </c>
      <c r="S4715" s="9">
        <f>VLOOKUP(OPERAC[[#This Row],[especie]],[1]!ESPECIES[#Data],9,FALSE)</f>
        <v/>
      </c>
    </row>
    <row r="4716">
      <c r="A4716" s="4" t="n">
        <v>16783</v>
      </c>
      <c r="B4716" s="5" t="n">
        <v>44643</v>
      </c>
      <c r="C4716" s="13" t="inlineStr">
        <is>
          <t>CPR</t>
        </is>
      </c>
      <c r="D4716" s="13" t="n">
        <v>42</v>
      </c>
      <c r="E4716" s="10">
        <f>IF(D4716&gt;0,VLOOKUP(OPERAC[[#This Row],[COD CART]],[1]!MatrizCortoLargoCyl[#All],3,0),"")</f>
        <v/>
      </c>
      <c r="F4716" s="13" t="inlineStr">
        <is>
          <t>SMH</t>
        </is>
      </c>
      <c r="G4716" s="6" t="n">
        <v>5</v>
      </c>
      <c r="H4716" s="6" t="n">
        <v>-1330.51389</v>
      </c>
      <c r="I4716" s="7">
        <f>-H4716/G4716</f>
        <v/>
      </c>
      <c r="J4716" s="11" t="n">
        <v>44663</v>
      </c>
      <c r="K4716" s="6">
        <f>+OPERAC[[#This Row],[cantidad]]</f>
        <v/>
      </c>
      <c r="L4716" s="6">
        <f>+OPERAC[[#This Row],[cantidad venta]]*238.066</f>
        <v/>
      </c>
      <c r="M4716" s="7">
        <f>IF(N4716=0,+L4716+H4716,0)</f>
        <v/>
      </c>
      <c r="N4716" s="7">
        <f>IF((+G4716-K4716)=0,0,+G4716-K4716)</f>
        <v/>
      </c>
      <c r="O4716" s="7">
        <f>IF(N4716=0,0,(L4716+H4716)/-N4716)</f>
        <v/>
      </c>
      <c r="P4716" s="7">
        <f>VLOOKUP(OPERAC[[#This Row],[especie]],[1]!ESPECIES[#All],6,0)</f>
        <v/>
      </c>
      <c r="Q4716" s="7">
        <f>IF(N4716&lt;&gt;0,P4716*N4716,0)</f>
        <v/>
      </c>
      <c r="R4716" s="8">
        <f>IF(Q4716&lt;&gt;0,Q4716+H4716+L4716,0)</f>
        <v/>
      </c>
      <c r="S4716" s="9">
        <f>VLOOKUP(OPERAC[[#This Row],[especie]],[1]!ESPECIES[#Data],9,FALSE)</f>
        <v/>
      </c>
    </row>
    <row r="4717">
      <c r="A4717" s="4" t="n">
        <v>9195</v>
      </c>
      <c r="B4717" s="5" t="n">
        <v>44442</v>
      </c>
      <c r="C4717" s="13" t="inlineStr">
        <is>
          <t>CPR</t>
        </is>
      </c>
      <c r="D4717" s="13" t="n">
        <v>32</v>
      </c>
      <c r="E4717" s="10">
        <f>IF(D4717&gt;0,VLOOKUP(OPERAC[[#This Row],[COD CART]],[1]!MatrizCortoLargoCyl[#All],3,0),"")</f>
        <v/>
      </c>
      <c r="F4717" s="13" t="inlineStr">
        <is>
          <t>INO</t>
        </is>
      </c>
      <c r="G4717" s="6" t="n">
        <v>200</v>
      </c>
      <c r="H4717" s="6">
        <f>-1347.681+9.454+5.373</f>
        <v/>
      </c>
      <c r="I4717" s="7">
        <f>-H4717/G4717</f>
        <v/>
      </c>
      <c r="J4717" s="11" t="n">
        <v>44641</v>
      </c>
      <c r="K4717" s="6" t="n">
        <v>200</v>
      </c>
      <c r="L4717" s="6" t="n">
        <v>725.054</v>
      </c>
      <c r="M4717" s="7">
        <f>IF(N4717=0,+L4717+H4717,0)</f>
        <v/>
      </c>
      <c r="N4717" s="7">
        <f>IF((+G4717-K4717)=0,0,+G4717-K4717)</f>
        <v/>
      </c>
      <c r="O4717" s="7">
        <f>IF(N4717=0,0,(L4717+H4717)/-N4717)</f>
        <v/>
      </c>
      <c r="P4717" s="7">
        <f>VLOOKUP(OPERAC[[#This Row],[especie]],[1]!ESPECIES[#All],6,0)</f>
        <v/>
      </c>
      <c r="Q4717" s="7">
        <f>IF(N4717&lt;&gt;0,P4717*N4717,0)</f>
        <v/>
      </c>
      <c r="R4717" s="8">
        <f>IF(Q4717&lt;&gt;0,Q4717+H4717+L4717,0)</f>
        <v/>
      </c>
      <c r="S4717" s="9">
        <f>VLOOKUP(OPERAC[[#This Row],[especie]],[1]!ESPECIES[#Data],9,FALSE)</f>
        <v/>
      </c>
    </row>
    <row r="4718">
      <c r="A4718" s="4" t="n">
        <v>16783</v>
      </c>
      <c r="B4718" s="5" t="n">
        <v>44683</v>
      </c>
      <c r="C4718" s="13" t="inlineStr">
        <is>
          <t>CPR</t>
        </is>
      </c>
      <c r="D4718" s="13" t="n">
        <v>32</v>
      </c>
      <c r="E4718" s="10">
        <f>IF(D4718&gt;0,VLOOKUP(OPERAC[[#This Row],[COD CART]],[1]!MatrizCortoLargoCyl[#All],3,0),"")</f>
        <v/>
      </c>
      <c r="F4718" s="13" t="inlineStr">
        <is>
          <t>F</t>
        </is>
      </c>
      <c r="G4718" s="6" t="n">
        <v>100</v>
      </c>
      <c r="H4718" s="6">
        <f>-1360.97+16.924+10.951</f>
        <v/>
      </c>
      <c r="I4718" s="7">
        <f>-H4718/G4718</f>
        <v/>
      </c>
      <c r="J4718" s="11" t="n"/>
      <c r="K4718" s="6" t="n"/>
      <c r="L4718" s="6" t="n"/>
      <c r="M4718" s="7">
        <f>IF(N4718=0,+L4718+H4718,0)</f>
        <v/>
      </c>
      <c r="N4718" s="7">
        <f>IF((+G4718-K4718)=0,0,+G4718-K4718)</f>
        <v/>
      </c>
      <c r="O4718" s="7">
        <f>IF(N4718=0,0,(L4718+H4718)/-N4718)</f>
        <v/>
      </c>
      <c r="P4718" s="7">
        <f>VLOOKUP(OPERAC[[#This Row],[especie]],[1]!ESPECIES[#All],6,0)</f>
        <v/>
      </c>
      <c r="Q4718" s="7">
        <f>IF(N4718&lt;&gt;0,P4718*N4718,0)</f>
        <v/>
      </c>
      <c r="R4718" s="8">
        <f>IF(Q4718&lt;&gt;0,Q4718+H4718+L4718,0)</f>
        <v/>
      </c>
      <c r="S4718" s="9">
        <f>VLOOKUP(OPERAC[[#This Row],[especie]],[1]!ESPECIES[#Data],9,FALSE)</f>
        <v/>
      </c>
    </row>
    <row r="4719">
      <c r="A4719" s="4" t="n">
        <v>13185</v>
      </c>
      <c r="B4719" s="5" t="n">
        <v>44643</v>
      </c>
      <c r="C4719" s="13" t="inlineStr">
        <is>
          <t>CPR</t>
        </is>
      </c>
      <c r="D4719" s="13" t="n">
        <v>42</v>
      </c>
      <c r="E4719" s="10">
        <f>IF(D4719&gt;0,VLOOKUP(OPERAC[[#This Row],[COD CART]],[1]!MatrizCortoLargoCyl[#All],3,0),"")</f>
        <v/>
      </c>
      <c r="F4719" s="13" t="inlineStr">
        <is>
          <t>SMH</t>
        </is>
      </c>
      <c r="G4719" s="6" t="n">
        <v>5</v>
      </c>
      <c r="H4719" s="6" t="n">
        <v>-1335.81449</v>
      </c>
      <c r="I4719" s="7">
        <f>-H4719/G4719</f>
        <v/>
      </c>
      <c r="J4719" s="11" t="n">
        <v>44663</v>
      </c>
      <c r="K4719" s="6">
        <f>+OPERAC[[#This Row],[cantidad]]</f>
        <v/>
      </c>
      <c r="L4719" s="6">
        <f>+OPERAC[[#This Row],[cantidad venta]]*238.066</f>
        <v/>
      </c>
      <c r="M4719" s="7">
        <f>IF(N4719=0,+L4719+H4719,0)</f>
        <v/>
      </c>
      <c r="N4719" s="7">
        <f>IF((+G4719-K4719)=0,0,+G4719-K4719)</f>
        <v/>
      </c>
      <c r="O4719" s="7">
        <f>IF(N4719=0,0,(L4719+H4719)/-N4719)</f>
        <v/>
      </c>
      <c r="P4719" s="7">
        <f>VLOOKUP(OPERAC[[#This Row],[especie]],[1]!ESPECIES[#All],6,0)</f>
        <v/>
      </c>
      <c r="Q4719" s="7">
        <f>IF(N4719&lt;&gt;0,P4719*N4719,0)</f>
        <v/>
      </c>
      <c r="R4719" s="8">
        <f>IF(Q4719&lt;&gt;0,Q4719+H4719+L4719,0)</f>
        <v/>
      </c>
      <c r="S4719" s="9">
        <f>VLOOKUP(OPERAC[[#This Row],[especie]],[1]!ESPECIES[#Data],9,FALSE)</f>
        <v/>
      </c>
    </row>
    <row r="4720">
      <c r="A4720" s="4" t="n">
        <v>18651</v>
      </c>
      <c r="B4720" s="5" t="n">
        <v>44643</v>
      </c>
      <c r="C4720" s="13" t="inlineStr">
        <is>
          <t>CPR</t>
        </is>
      </c>
      <c r="D4720" s="13" t="n">
        <v>42</v>
      </c>
      <c r="E4720" s="10">
        <f>IF(D4720&gt;0,VLOOKUP(OPERAC[[#This Row],[COD CART]],[1]!MatrizCortoLargoCyl[#All],3,0),"")</f>
        <v/>
      </c>
      <c r="F4720" s="13" t="inlineStr">
        <is>
          <t>SMH</t>
        </is>
      </c>
      <c r="G4720" s="6" t="n">
        <v>5</v>
      </c>
      <c r="H4720" s="6" t="n">
        <v>-1335.81449</v>
      </c>
      <c r="I4720" s="7">
        <f>-H4720/G4720</f>
        <v/>
      </c>
      <c r="J4720" s="11" t="n">
        <v>44663</v>
      </c>
      <c r="K4720" s="6">
        <f>+OPERAC[[#This Row],[cantidad]]</f>
        <v/>
      </c>
      <c r="L4720" s="6">
        <f>+OPERAC[[#This Row],[cantidad venta]]*238.066</f>
        <v/>
      </c>
      <c r="M4720" s="7">
        <f>IF(N4720=0,+L4720+H4720,0)</f>
        <v/>
      </c>
      <c r="N4720" s="7">
        <f>IF((+G4720-K4720)=0,0,+G4720-K4720)</f>
        <v/>
      </c>
      <c r="O4720" s="7">
        <f>IF(N4720=0,0,(L4720+H4720)/-N4720)</f>
        <v/>
      </c>
      <c r="P4720" s="7">
        <f>VLOOKUP(OPERAC[[#This Row],[especie]],[1]!ESPECIES[#All],6,0)</f>
        <v/>
      </c>
      <c r="Q4720" s="7">
        <f>IF(N4720&lt;&gt;0,P4720*N4720,0)</f>
        <v/>
      </c>
      <c r="R4720" s="8">
        <f>IF(Q4720&lt;&gt;0,Q4720+H4720+L4720,0)</f>
        <v/>
      </c>
      <c r="S4720" s="9">
        <f>VLOOKUP(OPERAC[[#This Row],[especie]],[1]!ESPECIES[#Data],9,FALSE)</f>
        <v/>
      </c>
    </row>
    <row r="4721">
      <c r="A4721" s="4" t="n">
        <v>12022</v>
      </c>
      <c r="B4721" s="5" t="n">
        <v>44725</v>
      </c>
      <c r="C4721" s="13" t="inlineStr">
        <is>
          <t>CPR</t>
        </is>
      </c>
      <c r="D4721" s="13" t="n">
        <v>40</v>
      </c>
      <c r="E4721" s="10">
        <f>IF(D4721&gt;0,VLOOKUP(OPERAC[[#This Row],[COD CART]],[1]!MatrizCortoLargoCyl[#All],3,0),"")</f>
        <v/>
      </c>
      <c r="F4721" s="13" t="inlineStr">
        <is>
          <t>AAL</t>
        </is>
      </c>
      <c r="G4721" s="6" t="n">
        <v>100</v>
      </c>
      <c r="H4721" s="6" t="n">
        <v>-1336.56505</v>
      </c>
      <c r="I4721" s="7">
        <f>-H4721/G4721</f>
        <v/>
      </c>
      <c r="J4721" s="5" t="n"/>
      <c r="K4721" s="6" t="n"/>
      <c r="L4721" s="6" t="n"/>
      <c r="M4721" s="7">
        <f>IF(N4721=0,+L4721+H4721,0)</f>
        <v/>
      </c>
      <c r="N4721" s="7">
        <f>IF((+G4721-K4721)=0,0,+G4721-K4721)</f>
        <v/>
      </c>
      <c r="O4721" s="7">
        <f>IF(N4721=0,0,(L4721+H4721)/-N4721)</f>
        <v/>
      </c>
      <c r="P4721" s="7">
        <f>VLOOKUP(OPERAC[[#This Row],[especie]],[1]!ESPECIES[#All],6,0)</f>
        <v/>
      </c>
      <c r="Q4721" s="7">
        <f>IF(N4721&lt;&gt;0,P4721*N4721,0)</f>
        <v/>
      </c>
      <c r="R4721" s="8">
        <f>IF(Q4721&lt;&gt;0,Q4721+H4721+L4721,0)</f>
        <v/>
      </c>
      <c r="S4721" s="9">
        <f>VLOOKUP(OPERAC[[#This Row],[especie]],[1]!ESPECIES[#Data],9,FALSE)</f>
        <v/>
      </c>
    </row>
    <row r="4722">
      <c r="A4722" s="4" t="n">
        <v>16786</v>
      </c>
      <c r="B4722" s="5" t="n">
        <v>44725</v>
      </c>
      <c r="C4722" s="13" t="inlineStr">
        <is>
          <t>CPR</t>
        </is>
      </c>
      <c r="D4722" s="13" t="n">
        <v>40</v>
      </c>
      <c r="E4722" s="10">
        <f>IF(D4722&gt;0,VLOOKUP(OPERAC[[#This Row],[COD CART]],[1]!MatrizCortoLargoCyl[#All],3,0),"")</f>
        <v/>
      </c>
      <c r="F4722" s="13" t="inlineStr">
        <is>
          <t>AAL</t>
        </is>
      </c>
      <c r="G4722" s="6" t="n">
        <v>100</v>
      </c>
      <c r="H4722" s="6" t="n">
        <v>-1336.56505</v>
      </c>
      <c r="I4722" s="7">
        <f>-H4722/G4722</f>
        <v/>
      </c>
      <c r="J4722" s="5" t="n"/>
      <c r="K4722" s="6" t="n"/>
      <c r="L4722" s="6" t="n"/>
      <c r="M4722" s="7">
        <f>IF(N4722=0,+L4722+H4722,0)</f>
        <v/>
      </c>
      <c r="N4722" s="7">
        <f>IF((+G4722-K4722)=0,0,+G4722-K4722)</f>
        <v/>
      </c>
      <c r="O4722" s="7">
        <f>IF(N4722=0,0,(L4722+H4722)/-N4722)</f>
        <v/>
      </c>
      <c r="P4722" s="7">
        <f>VLOOKUP(OPERAC[[#This Row],[especie]],[1]!ESPECIES[#All],6,0)</f>
        <v/>
      </c>
      <c r="Q4722" s="7">
        <f>IF(N4722&lt;&gt;0,P4722*N4722,0)</f>
        <v/>
      </c>
      <c r="R4722" s="8">
        <f>IF(Q4722&lt;&gt;0,Q4722+H4722+L4722,0)</f>
        <v/>
      </c>
      <c r="S4722" s="9">
        <f>VLOOKUP(OPERAC[[#This Row],[especie]],[1]!ESPECIES[#Data],9,FALSE)</f>
        <v/>
      </c>
    </row>
    <row r="4723">
      <c r="A4723" s="4" t="n">
        <v>16795</v>
      </c>
      <c r="B4723" s="5" t="n">
        <v>44725</v>
      </c>
      <c r="C4723" s="13" t="inlineStr">
        <is>
          <t>CPR</t>
        </is>
      </c>
      <c r="D4723" s="13" t="n">
        <v>40</v>
      </c>
      <c r="E4723" s="10">
        <f>IF(D4723&gt;0,VLOOKUP(OPERAC[[#This Row],[COD CART]],[1]!MatrizCortoLargoCyl[#All],3,0),"")</f>
        <v/>
      </c>
      <c r="F4723" s="13" t="inlineStr">
        <is>
          <t>AAL</t>
        </is>
      </c>
      <c r="G4723" s="6" t="n">
        <v>100</v>
      </c>
      <c r="H4723" s="6" t="n">
        <v>-1336.56505</v>
      </c>
      <c r="I4723" s="7">
        <f>-H4723/G4723</f>
        <v/>
      </c>
      <c r="J4723" s="5" t="n"/>
      <c r="K4723" s="6" t="n"/>
      <c r="L4723" s="6" t="n"/>
      <c r="M4723" s="7">
        <f>IF(N4723=0,+L4723+H4723,0)</f>
        <v/>
      </c>
      <c r="N4723" s="7">
        <f>IF((+G4723-K4723)=0,0,+G4723-K4723)</f>
        <v/>
      </c>
      <c r="O4723" s="7">
        <f>IF(N4723=0,0,(L4723+H4723)/-N4723)</f>
        <v/>
      </c>
      <c r="P4723" s="7">
        <f>VLOOKUP(OPERAC[[#This Row],[especie]],[1]!ESPECIES[#All],6,0)</f>
        <v/>
      </c>
      <c r="Q4723" s="7">
        <f>IF(N4723&lt;&gt;0,P4723*N4723,0)</f>
        <v/>
      </c>
      <c r="R4723" s="8">
        <f>IF(Q4723&lt;&gt;0,Q4723+H4723+L4723,0)</f>
        <v/>
      </c>
      <c r="S4723" s="9">
        <f>VLOOKUP(OPERAC[[#This Row],[especie]],[1]!ESPECIES[#Data],9,FALSE)</f>
        <v/>
      </c>
    </row>
    <row r="4724">
      <c r="A4724" s="4" t="n">
        <v>18651</v>
      </c>
      <c r="B4724" s="5" t="n">
        <v>44725</v>
      </c>
      <c r="C4724" s="13" t="inlineStr">
        <is>
          <t>CPR</t>
        </is>
      </c>
      <c r="D4724" s="13" t="n">
        <v>40</v>
      </c>
      <c r="E4724" s="10">
        <f>IF(D4724&gt;0,VLOOKUP(OPERAC[[#This Row],[COD CART]],[1]!MatrizCortoLargoCyl[#All],3,0),"")</f>
        <v/>
      </c>
      <c r="F4724" s="13" t="inlineStr">
        <is>
          <t>AAL</t>
        </is>
      </c>
      <c r="G4724" s="6" t="n">
        <v>100</v>
      </c>
      <c r="H4724" s="6" t="n">
        <v>-1336.56505</v>
      </c>
      <c r="I4724" s="7">
        <f>-H4724/G4724</f>
        <v/>
      </c>
      <c r="J4724" s="5" t="n"/>
      <c r="K4724" s="6" t="n"/>
      <c r="L4724" s="6" t="n"/>
      <c r="M4724" s="7">
        <f>IF(N4724=0,+L4724+H4724,0)</f>
        <v/>
      </c>
      <c r="N4724" s="7">
        <f>IF((+G4724-K4724)=0,0,+G4724-K4724)</f>
        <v/>
      </c>
      <c r="O4724" s="7">
        <f>IF(N4724=0,0,(L4724+H4724)/-N4724)</f>
        <v/>
      </c>
      <c r="P4724" s="7">
        <f>VLOOKUP(OPERAC[[#This Row],[especie]],[1]!ESPECIES[#All],6,0)</f>
        <v/>
      </c>
      <c r="Q4724" s="7">
        <f>IF(N4724&lt;&gt;0,P4724*N4724,0)</f>
        <v/>
      </c>
      <c r="R4724" s="8">
        <f>IF(Q4724&lt;&gt;0,Q4724+H4724+L4724,0)</f>
        <v/>
      </c>
      <c r="S4724" s="9">
        <f>VLOOKUP(OPERAC[[#This Row],[especie]],[1]!ESPECIES[#Data],9,FALSE)</f>
        <v/>
      </c>
    </row>
    <row r="4725">
      <c r="A4725" s="4" t="n">
        <v>16783</v>
      </c>
      <c r="B4725" s="5" t="n">
        <v>44553</v>
      </c>
      <c r="C4725" s="13" t="inlineStr">
        <is>
          <t>CPR</t>
        </is>
      </c>
      <c r="D4725" s="13" t="n">
        <v>40</v>
      </c>
      <c r="E4725" s="10">
        <f>IF(D4725&gt;0,VLOOKUP(OPERAC[[#This Row],[COD CART]],[1]!MatrizCortoLargoCyl[#All],3,0),"")</f>
        <v/>
      </c>
      <c r="F4725" s="13" t="inlineStr">
        <is>
          <t>ON</t>
        </is>
      </c>
      <c r="G4725" s="6" t="n">
        <v>20</v>
      </c>
      <c r="H4725" s="6" t="n">
        <v>-1336.94608</v>
      </c>
      <c r="I4725" s="7">
        <f>-H4725/G4725</f>
        <v/>
      </c>
      <c r="J4725" s="11" t="n">
        <v>44606</v>
      </c>
      <c r="K4725" s="6">
        <f>+OPERAC[[#This Row],[cantidad]]</f>
        <v/>
      </c>
      <c r="L4725" s="6">
        <f>+OPERAC[[#This Row],[cantidad venta]]*58.449</f>
        <v/>
      </c>
      <c r="M4725" s="7">
        <f>IF(N4725=0,+L4725+H4725,0)</f>
        <v/>
      </c>
      <c r="N4725" s="7">
        <f>IF((+G4725-K4725)=0,0,+G4725-K4725)</f>
        <v/>
      </c>
      <c r="O4725" s="7">
        <f>IF(N4725=0,0,(L4725+H4725)/-N4725)</f>
        <v/>
      </c>
      <c r="P4725" s="7">
        <f>VLOOKUP(OPERAC[[#This Row],[especie]],[1]!ESPECIES[#All],6,0)</f>
        <v/>
      </c>
      <c r="Q4725" s="7">
        <f>IF(N4725&lt;&gt;0,P4725*N4725,0)</f>
        <v/>
      </c>
      <c r="R4725" s="8">
        <f>IF(Q4725&lt;&gt;0,Q4725+H4725+L4725,0)</f>
        <v/>
      </c>
      <c r="S4725" s="9">
        <f>VLOOKUP(OPERAC[[#This Row],[especie]],[1]!ESPECIES[#Data],9,FALSE)</f>
        <v/>
      </c>
    </row>
    <row r="4726">
      <c r="A4726" s="4" t="n">
        <v>13174</v>
      </c>
      <c r="B4726" s="5" t="n">
        <v>44361</v>
      </c>
      <c r="C4726" s="13" t="inlineStr">
        <is>
          <t>CPR</t>
        </is>
      </c>
      <c r="D4726" s="13" t="n">
        <v>40</v>
      </c>
      <c r="E4726" s="10">
        <f>IF(D4726&gt;0,VLOOKUP(OPERAC[[#This Row],[COD CART]],[1]!MatrizCortoLargoCyl[#All],3,0),"")</f>
        <v/>
      </c>
      <c r="F4726" s="13" t="inlineStr">
        <is>
          <t>SESN</t>
        </is>
      </c>
      <c r="G4726" s="6" t="n">
        <v>500</v>
      </c>
      <c r="H4726" s="6">
        <f>-2.68*OPERAC[[#This Row],[cantidad]]</f>
        <v/>
      </c>
      <c r="I4726" s="7">
        <f>-H4726/G4726</f>
        <v/>
      </c>
      <c r="J4726" s="11" t="n"/>
      <c r="K4726" s="6" t="n"/>
      <c r="L4726" s="6" t="n"/>
      <c r="M4726" s="7">
        <f>IF(N4726=0,+L4726+H4726,0)</f>
        <v/>
      </c>
      <c r="N4726" s="7">
        <f>IF((+G4726-K4726)=0,0,+G4726-K4726)</f>
        <v/>
      </c>
      <c r="O4726" s="7">
        <f>IF(N4726=0,0,(L4726+H4726)/-N4726)</f>
        <v/>
      </c>
      <c r="P4726" s="7">
        <f>VLOOKUP(OPERAC[[#This Row],[especie]],[1]!ESPECIES[#All],6,0)</f>
        <v/>
      </c>
      <c r="Q4726" s="7">
        <f>IF(N4726&lt;&gt;0,P4726*N4726,0)</f>
        <v/>
      </c>
      <c r="R4726" s="8">
        <f>IF(Q4726&lt;&gt;0,Q4726+H4726+L4726,0)</f>
        <v/>
      </c>
      <c r="S4726" s="9">
        <f>VLOOKUP(OPERAC[[#This Row],[especie]],[1]!ESPECIES[#Data],9,FALSE)</f>
        <v/>
      </c>
    </row>
    <row r="4727">
      <c r="A4727" s="4" t="n">
        <v>13240</v>
      </c>
      <c r="B4727" s="5" t="n">
        <v>44553</v>
      </c>
      <c r="C4727" s="13" t="inlineStr">
        <is>
          <t>CPR</t>
        </is>
      </c>
      <c r="D4727" s="13" t="n">
        <v>40</v>
      </c>
      <c r="E4727" s="10">
        <f>IF(D4727&gt;0,VLOOKUP(OPERAC[[#This Row],[COD CART]],[1]!MatrizCortoLargoCyl[#All],3,0),"")</f>
        <v/>
      </c>
      <c r="F4727" s="13" t="inlineStr">
        <is>
          <t>ON</t>
        </is>
      </c>
      <c r="G4727" s="6" t="n">
        <v>20</v>
      </c>
      <c r="H4727" s="6" t="n">
        <v>-1342.27216</v>
      </c>
      <c r="I4727" s="7">
        <f>-H4727/G4727</f>
        <v/>
      </c>
      <c r="J4727" s="11" t="n">
        <v>44606</v>
      </c>
      <c r="K4727" s="6">
        <f>+OPERAC[[#This Row],[cantidad]]</f>
        <v/>
      </c>
      <c r="L4727" s="6">
        <f>+OPERAC[[#This Row],[cantidad venta]]*58.449</f>
        <v/>
      </c>
      <c r="M4727" s="7">
        <f>IF(N4727=0,+L4727+H4727,0)</f>
        <v/>
      </c>
      <c r="N4727" s="7">
        <f>IF((+G4727-K4727)=0,0,+G4727-K4727)</f>
        <v/>
      </c>
      <c r="O4727" s="7">
        <f>IF(N4727=0,0,(L4727+H4727)/-N4727)</f>
        <v/>
      </c>
      <c r="P4727" s="7">
        <f>VLOOKUP(OPERAC[[#This Row],[especie]],[1]!ESPECIES[#All],6,0)</f>
        <v/>
      </c>
      <c r="Q4727" s="7">
        <f>IF(N4727&lt;&gt;0,P4727*N4727,0)</f>
        <v/>
      </c>
      <c r="R4727" s="8">
        <f>IF(Q4727&lt;&gt;0,Q4727+H4727+L4727,0)</f>
        <v/>
      </c>
      <c r="S4727" s="9">
        <f>VLOOKUP(OPERAC[[#This Row],[especie]],[1]!ESPECIES[#Data],9,FALSE)</f>
        <v/>
      </c>
    </row>
    <row r="4728">
      <c r="A4728" s="4" t="n">
        <v>18651</v>
      </c>
      <c r="B4728" s="5" t="n">
        <v>44553</v>
      </c>
      <c r="C4728" s="13" t="inlineStr">
        <is>
          <t>CPR</t>
        </is>
      </c>
      <c r="D4728" s="13" t="n">
        <v>40</v>
      </c>
      <c r="E4728" s="10">
        <f>IF(D4728&gt;0,VLOOKUP(OPERAC[[#This Row],[COD CART]],[1]!MatrizCortoLargoCyl[#All],3,0),"")</f>
        <v/>
      </c>
      <c r="F4728" s="13" t="inlineStr">
        <is>
          <t>ON</t>
        </is>
      </c>
      <c r="G4728" s="6" t="n">
        <v>20</v>
      </c>
      <c r="H4728" s="6" t="n">
        <v>-1342.27216</v>
      </c>
      <c r="I4728" s="7">
        <f>-H4728/G4728</f>
        <v/>
      </c>
      <c r="J4728" s="11" t="n">
        <v>44606</v>
      </c>
      <c r="K4728" s="6">
        <f>+OPERAC[[#This Row],[cantidad]]</f>
        <v/>
      </c>
      <c r="L4728" s="6">
        <f>+OPERAC[[#This Row],[cantidad venta]]*58.449</f>
        <v/>
      </c>
      <c r="M4728" s="7">
        <f>IF(N4728=0,+L4728+H4728,0)</f>
        <v/>
      </c>
      <c r="N4728" s="7">
        <f>IF((+G4728-K4728)=0,0,+G4728-K4728)</f>
        <v/>
      </c>
      <c r="O4728" s="7">
        <f>IF(N4728=0,0,(L4728+H4728)/-N4728)</f>
        <v/>
      </c>
      <c r="P4728" s="7">
        <f>VLOOKUP(OPERAC[[#This Row],[especie]],[1]!ESPECIES[#All],6,0)</f>
        <v/>
      </c>
      <c r="Q4728" s="7">
        <f>IF(N4728&lt;&gt;0,P4728*N4728,0)</f>
        <v/>
      </c>
      <c r="R4728" s="8">
        <f>IF(Q4728&lt;&gt;0,Q4728+H4728+L4728,0)</f>
        <v/>
      </c>
      <c r="S4728" s="9">
        <f>VLOOKUP(OPERAC[[#This Row],[especie]],[1]!ESPECIES[#Data],9,FALSE)</f>
        <v/>
      </c>
    </row>
    <row r="4729">
      <c r="A4729" s="4" t="n">
        <v>18651</v>
      </c>
      <c r="B4729" s="5" t="n">
        <v>44641</v>
      </c>
      <c r="C4729" s="13" t="inlineStr">
        <is>
          <t>CPR</t>
        </is>
      </c>
      <c r="D4729" s="13" t="n">
        <v>42</v>
      </c>
      <c r="E4729" s="10">
        <f>IF(D4729&gt;0,VLOOKUP(OPERAC[[#This Row],[COD CART]],[1]!MatrizCortoLargoCyl[#All],3,0),"")</f>
        <v/>
      </c>
      <c r="F4729" s="13" t="inlineStr">
        <is>
          <t>SMH</t>
        </is>
      </c>
      <c r="G4729" s="6" t="n">
        <v>5</v>
      </c>
      <c r="H4729" s="6" t="n">
        <v>-1344.78825</v>
      </c>
      <c r="I4729" s="7">
        <f>-H4729/G4729</f>
        <v/>
      </c>
      <c r="J4729" s="11" t="n">
        <v>44663</v>
      </c>
      <c r="K4729" s="6">
        <f>+OPERAC[[#This Row],[cantidad]]</f>
        <v/>
      </c>
      <c r="L4729" s="6">
        <f>+OPERAC[[#This Row],[cantidad venta]]*238.066</f>
        <v/>
      </c>
      <c r="M4729" s="7">
        <f>IF(N4729=0,+L4729+H4729,0)</f>
        <v/>
      </c>
      <c r="N4729" s="7">
        <f>IF((+G4729-K4729)=0,0,+G4729-K4729)</f>
        <v/>
      </c>
      <c r="O4729" s="7">
        <f>IF(N4729=0,0,(L4729+H4729)/-N4729)</f>
        <v/>
      </c>
      <c r="P4729" s="7">
        <f>VLOOKUP(OPERAC[[#This Row],[especie]],[1]!ESPECIES[#All],6,0)</f>
        <v/>
      </c>
      <c r="Q4729" s="7">
        <f>IF(N4729&lt;&gt;0,P4729*N4729,0)</f>
        <v/>
      </c>
      <c r="R4729" s="8">
        <f>IF(Q4729&lt;&gt;0,Q4729+H4729+L4729,0)</f>
        <v/>
      </c>
      <c r="S4729" s="9">
        <f>VLOOKUP(OPERAC[[#This Row],[especie]],[1]!ESPECIES[#Data],9,FALSE)</f>
        <v/>
      </c>
    </row>
    <row r="4730">
      <c r="A4730" s="4" t="n">
        <v>2255</v>
      </c>
      <c r="B4730" s="5" t="n">
        <v>44680</v>
      </c>
      <c r="C4730" s="13" t="inlineStr">
        <is>
          <t>CPR</t>
        </is>
      </c>
      <c r="D4730" s="13" t="n">
        <v>42</v>
      </c>
      <c r="E4730" s="10">
        <f>IF(D4730&gt;0,VLOOKUP(OPERAC[[#This Row],[COD CART]],[1]!MatrizCortoLargoCyl[#All],3,0),"")</f>
        <v/>
      </c>
      <c r="F4730" s="14" t="inlineStr">
        <is>
          <t>XLP</t>
        </is>
      </c>
      <c r="G4730" s="6" t="n">
        <v>17</v>
      </c>
      <c r="H4730" s="6" t="n">
        <v>-1345.0305225</v>
      </c>
      <c r="I4730" s="7">
        <f>-H4730/G4730</f>
        <v/>
      </c>
      <c r="J4730" s="11" t="n">
        <v>44693</v>
      </c>
      <c r="K4730" s="6" t="n">
        <v>17</v>
      </c>
      <c r="L4730" s="6" t="n">
        <v>1287.54</v>
      </c>
      <c r="M4730" s="7">
        <f>IF(N4730=0,+L4730+H4730,0)</f>
        <v/>
      </c>
      <c r="N4730" s="7">
        <f>IF((+G4730-K4730)=0,0,+G4730-K4730)</f>
        <v/>
      </c>
      <c r="O4730" s="7">
        <f>IF(N4730=0,0,(L4730+H4730)/-N4730)</f>
        <v/>
      </c>
      <c r="P4730" s="7">
        <f>VLOOKUP(OPERAC[[#This Row],[especie]],[1]!ESPECIES[#All],6,0)</f>
        <v/>
      </c>
      <c r="Q4730" s="7">
        <f>IF(N4730&lt;&gt;0,P4730*N4730,0)</f>
        <v/>
      </c>
      <c r="R4730" s="8">
        <f>IF(Q4730&lt;&gt;0,Q4730+H4730+L4730,0)</f>
        <v/>
      </c>
      <c r="S4730" s="9">
        <f>VLOOKUP(OPERAC[[#This Row],[especie]],[1]!ESPECIES[#Data],9,FALSE)</f>
        <v/>
      </c>
    </row>
    <row r="4731">
      <c r="A4731" s="4" t="n">
        <v>19878</v>
      </c>
      <c r="B4731" s="5" t="n">
        <v>44680</v>
      </c>
      <c r="C4731" s="13" t="inlineStr">
        <is>
          <t>CPR</t>
        </is>
      </c>
      <c r="D4731" s="13" t="n">
        <v>42</v>
      </c>
      <c r="E4731" s="10">
        <f>IF(D4731&gt;0,VLOOKUP(OPERAC[[#This Row],[COD CART]],[1]!MatrizCortoLargoCyl[#All],3,0),"")</f>
        <v/>
      </c>
      <c r="F4731" s="14" t="inlineStr">
        <is>
          <t>XLP</t>
        </is>
      </c>
      <c r="G4731" s="6" t="n">
        <v>17</v>
      </c>
      <c r="H4731" s="6" t="n">
        <v>-1347.7085325</v>
      </c>
      <c r="I4731" s="7">
        <f>-H4731/G4731</f>
        <v/>
      </c>
      <c r="J4731" s="11" t="n">
        <v>44693</v>
      </c>
      <c r="K4731" s="6">
        <f>+OPERAC[[#This Row],[cantidad]]</f>
        <v/>
      </c>
      <c r="L4731" s="6">
        <f>+OPERAC[[#This Row],[cantidad venta]]*74.848</f>
        <v/>
      </c>
      <c r="M4731" s="7">
        <f>IF(N4731=0,+L4731+H4731,0)</f>
        <v/>
      </c>
      <c r="N4731" s="7">
        <f>IF((+G4731-K4731)=0,0,+G4731-K4731)</f>
        <v/>
      </c>
      <c r="O4731" s="7">
        <f>IF(N4731=0,0,(L4731+H4731)/-N4731)</f>
        <v/>
      </c>
      <c r="P4731" s="7">
        <f>VLOOKUP(OPERAC[[#This Row],[especie]],[1]!ESPECIES[#All],6,0)</f>
        <v/>
      </c>
      <c r="Q4731" s="7">
        <f>IF(N4731&lt;&gt;0,P4731*N4731,0)</f>
        <v/>
      </c>
      <c r="R4731" s="8">
        <f>IF(Q4731&lt;&gt;0,Q4731+H4731+L4731,0)</f>
        <v/>
      </c>
      <c r="S4731" s="9">
        <f>VLOOKUP(OPERAC[[#This Row],[especie]],[1]!ESPECIES[#Data],9,FALSE)</f>
        <v/>
      </c>
    </row>
    <row r="4732">
      <c r="A4732" s="4" t="n">
        <v>18705</v>
      </c>
      <c r="B4732" s="5" t="n">
        <v>44614</v>
      </c>
      <c r="C4732" s="13" t="inlineStr">
        <is>
          <t>CPR</t>
        </is>
      </c>
      <c r="D4732" s="13" t="n">
        <v>40</v>
      </c>
      <c r="E4732" s="10">
        <f>IF(D4732&gt;0,VLOOKUP(OPERAC[[#This Row],[COD CART]],[1]!MatrizCortoLargoCyl[#All],3,0),"")</f>
        <v/>
      </c>
      <c r="F4732" s="13" t="inlineStr">
        <is>
          <t>ROKU</t>
        </is>
      </c>
      <c r="G4732" s="6" t="n">
        <v>10</v>
      </c>
      <c r="H4732" s="6">
        <f>-135*OPERAC[[#This Row],[cantidad]]</f>
        <v/>
      </c>
      <c r="I4732" s="7">
        <f>-H4732/G4732</f>
        <v/>
      </c>
      <c r="J4732" s="11" t="n">
        <v>44616</v>
      </c>
      <c r="K4732" s="6" t="n">
        <v>10</v>
      </c>
      <c r="L4732" s="6" t="n">
        <v>1168.062</v>
      </c>
      <c r="M4732" s="7">
        <f>IF(N4732=0,+L4732+H4732,0)</f>
        <v/>
      </c>
      <c r="N4732" s="7">
        <f>IF((+G4732-K4732)=0,0,+G4732-K4732)</f>
        <v/>
      </c>
      <c r="O4732" s="7">
        <f>IF(N4732=0,0,(L4732+H4732)/-N4732)</f>
        <v/>
      </c>
      <c r="P4732" s="7">
        <f>VLOOKUP(OPERAC[[#This Row],[especie]],[1]!ESPECIES[#All],6,0)</f>
        <v/>
      </c>
      <c r="Q4732" s="7">
        <f>IF(N4732&lt;&gt;0,P4732*N4732,0)</f>
        <v/>
      </c>
      <c r="R4732" s="8">
        <f>IF(Q4732&lt;&gt;0,Q4732+H4732+L4732,0)</f>
        <v/>
      </c>
      <c r="S4732" s="9">
        <f>VLOOKUP(OPERAC[[#This Row],[especie]],[1]!ESPECIES[#Data],9,FALSE)</f>
        <v/>
      </c>
    </row>
    <row r="4733">
      <c r="A4733" s="4" t="n">
        <v>3787</v>
      </c>
      <c r="B4733" s="5" t="n">
        <v>44680</v>
      </c>
      <c r="C4733" s="13" t="inlineStr">
        <is>
          <t>CPR</t>
        </is>
      </c>
      <c r="D4733" s="13" t="n">
        <v>42</v>
      </c>
      <c r="E4733" s="10">
        <f>IF(D4733&gt;0,VLOOKUP(OPERAC[[#This Row],[COD CART]],[1]!MatrizCortoLargoCyl[#All],3,0),"")</f>
        <v/>
      </c>
      <c r="F4733" s="14" t="inlineStr">
        <is>
          <t>XLP</t>
        </is>
      </c>
      <c r="G4733" s="6" t="n">
        <v>17</v>
      </c>
      <c r="H4733" s="6" t="n">
        <v>-1350.3865425</v>
      </c>
      <c r="I4733" s="7">
        <f>-H4733/G4733</f>
        <v/>
      </c>
      <c r="J4733" s="11" t="n">
        <v>44691</v>
      </c>
      <c r="K4733" s="6" t="n">
        <v>17</v>
      </c>
      <c r="L4733" s="6" t="n">
        <v>1289.277</v>
      </c>
      <c r="M4733" s="7">
        <f>IF(N4733=0,+L4733+H4733,0)</f>
        <v/>
      </c>
      <c r="N4733" s="7">
        <f>IF((+G4733-K4733)=0,0,+G4733-K4733)</f>
        <v/>
      </c>
      <c r="O4733" s="7">
        <f>IF(N4733=0,0,(L4733+H4733)/-N4733)</f>
        <v/>
      </c>
      <c r="P4733" s="7">
        <f>VLOOKUP(OPERAC[[#This Row],[especie]],[1]!ESPECIES[#All],6,0)</f>
        <v/>
      </c>
      <c r="Q4733" s="7">
        <f>IF(N4733&lt;&gt;0,P4733*N4733,0)</f>
        <v/>
      </c>
      <c r="R4733" s="8">
        <f>IF(Q4733&lt;&gt;0,Q4733+H4733+L4733,0)</f>
        <v/>
      </c>
      <c r="S4733" s="9">
        <f>VLOOKUP(OPERAC[[#This Row],[especie]],[1]!ESPECIES[#Data],9,FALSE)</f>
        <v/>
      </c>
    </row>
    <row r="4734">
      <c r="A4734" s="4" t="n">
        <v>6578</v>
      </c>
      <c r="B4734" s="5" t="n">
        <v>44680</v>
      </c>
      <c r="C4734" s="13" t="inlineStr">
        <is>
          <t>CPR</t>
        </is>
      </c>
      <c r="D4734" s="13" t="n">
        <v>42</v>
      </c>
      <c r="E4734" s="10">
        <f>IF(D4734&gt;0,VLOOKUP(OPERAC[[#This Row],[COD CART]],[1]!MatrizCortoLargoCyl[#All],3,0),"")</f>
        <v/>
      </c>
      <c r="F4734" s="14" t="inlineStr">
        <is>
          <t>XLP</t>
        </is>
      </c>
      <c r="G4734" s="6" t="n">
        <v>17</v>
      </c>
      <c r="H4734" s="6" t="n">
        <v>-1350.3865425</v>
      </c>
      <c r="I4734" s="7">
        <f>-H4734/G4734</f>
        <v/>
      </c>
      <c r="J4734" s="11" t="n">
        <v>44693</v>
      </c>
      <c r="K4734" s="6">
        <f>+OPERAC[[#This Row],[cantidad]]</f>
        <v/>
      </c>
      <c r="L4734" s="6">
        <f>+OPERAC[[#This Row],[cantidad venta]]*75.648</f>
        <v/>
      </c>
      <c r="M4734" s="7">
        <f>IF(N4734=0,+L4734+H4734,0)</f>
        <v/>
      </c>
      <c r="N4734" s="7">
        <f>IF((+G4734-K4734)=0,0,+G4734-K4734)</f>
        <v/>
      </c>
      <c r="O4734" s="7">
        <f>IF(N4734=0,0,(L4734+H4734)/-N4734)</f>
        <v/>
      </c>
      <c r="P4734" s="7">
        <f>VLOOKUP(OPERAC[[#This Row],[especie]],[1]!ESPECIES[#All],6,0)</f>
        <v/>
      </c>
      <c r="Q4734" s="7">
        <f>IF(N4734&lt;&gt;0,P4734*N4734,0)</f>
        <v/>
      </c>
      <c r="R4734" s="8">
        <f>IF(Q4734&lt;&gt;0,Q4734+H4734+L4734,0)</f>
        <v/>
      </c>
      <c r="S4734" s="9">
        <f>VLOOKUP(OPERAC[[#This Row],[especie]],[1]!ESPECIES[#Data],9,FALSE)</f>
        <v/>
      </c>
    </row>
    <row r="4735">
      <c r="A4735" s="4" t="n">
        <v>6579</v>
      </c>
      <c r="B4735" s="5" t="n">
        <v>44680</v>
      </c>
      <c r="C4735" s="13" t="inlineStr">
        <is>
          <t>CPR</t>
        </is>
      </c>
      <c r="D4735" s="13" t="n">
        <v>42</v>
      </c>
      <c r="E4735" s="10">
        <f>IF(D4735&gt;0,VLOOKUP(OPERAC[[#This Row],[COD CART]],[1]!MatrizCortoLargoCyl[#All],3,0),"")</f>
        <v/>
      </c>
      <c r="F4735" s="14" t="inlineStr">
        <is>
          <t>XLP</t>
        </is>
      </c>
      <c r="G4735" s="6" t="n">
        <v>17</v>
      </c>
      <c r="H4735" s="6" t="n">
        <v>-1350.3865425</v>
      </c>
      <c r="I4735" s="7">
        <f>-H4735/G4735</f>
        <v/>
      </c>
      <c r="J4735" s="11" t="n">
        <v>44693</v>
      </c>
      <c r="K4735" s="6">
        <f>+OPERAC[[#This Row],[cantidad]]</f>
        <v/>
      </c>
      <c r="L4735" s="6">
        <f>+OPERAC[[#This Row],[cantidad venta]]*75.648</f>
        <v/>
      </c>
      <c r="M4735" s="7">
        <f>IF(N4735=0,+L4735+H4735,0)</f>
        <v/>
      </c>
      <c r="N4735" s="7">
        <f>IF((+G4735-K4735)=0,0,+G4735-K4735)</f>
        <v/>
      </c>
      <c r="O4735" s="7">
        <f>IF(N4735=0,0,(L4735+H4735)/-N4735)</f>
        <v/>
      </c>
      <c r="P4735" s="7">
        <f>VLOOKUP(OPERAC[[#This Row],[especie]],[1]!ESPECIES[#All],6,0)</f>
        <v/>
      </c>
      <c r="Q4735" s="7">
        <f>IF(N4735&lt;&gt;0,P4735*N4735,0)</f>
        <v/>
      </c>
      <c r="R4735" s="8">
        <f>IF(Q4735&lt;&gt;0,Q4735+H4735+L4735,0)</f>
        <v/>
      </c>
      <c r="S4735" s="9">
        <f>VLOOKUP(OPERAC[[#This Row],[especie]],[1]!ESPECIES[#Data],9,FALSE)</f>
        <v/>
      </c>
    </row>
    <row r="4736">
      <c r="A4736" s="4" t="n">
        <v>7916</v>
      </c>
      <c r="B4736" s="5" t="n">
        <v>44680</v>
      </c>
      <c r="C4736" s="13" t="inlineStr">
        <is>
          <t>CPR</t>
        </is>
      </c>
      <c r="D4736" s="13" t="n">
        <v>42</v>
      </c>
      <c r="E4736" s="10">
        <f>IF(D4736&gt;0,VLOOKUP(OPERAC[[#This Row],[COD CART]],[1]!MatrizCortoLargoCyl[#All],3,0),"")</f>
        <v/>
      </c>
      <c r="F4736" s="14" t="inlineStr">
        <is>
          <t>XLP</t>
        </is>
      </c>
      <c r="G4736" s="6" t="n">
        <v>17</v>
      </c>
      <c r="H4736" s="6" t="n">
        <v>-1350.3865425</v>
      </c>
      <c r="I4736" s="7">
        <f>-H4736/G4736</f>
        <v/>
      </c>
      <c r="J4736" s="11" t="n">
        <v>44693</v>
      </c>
      <c r="K4736" s="6">
        <f>+OPERAC[[#This Row],[cantidad]]</f>
        <v/>
      </c>
      <c r="L4736" s="6">
        <f>+OPERAC[[#This Row],[cantidad venta]]*74.848</f>
        <v/>
      </c>
      <c r="M4736" s="7">
        <f>IF(N4736=0,+L4736+H4736,0)</f>
        <v/>
      </c>
      <c r="N4736" s="7">
        <f>IF((+G4736-K4736)=0,0,+G4736-K4736)</f>
        <v/>
      </c>
      <c r="O4736" s="7">
        <f>IF(N4736=0,0,(L4736+H4736)/-N4736)</f>
        <v/>
      </c>
      <c r="P4736" s="7">
        <f>VLOOKUP(OPERAC[[#This Row],[especie]],[1]!ESPECIES[#All],6,0)</f>
        <v/>
      </c>
      <c r="Q4736" s="7">
        <f>IF(N4736&lt;&gt;0,P4736*N4736,0)</f>
        <v/>
      </c>
      <c r="R4736" s="8">
        <f>IF(Q4736&lt;&gt;0,Q4736+H4736+L4736,0)</f>
        <v/>
      </c>
      <c r="S4736" s="9">
        <f>VLOOKUP(OPERAC[[#This Row],[especie]],[1]!ESPECIES[#Data],9,FALSE)</f>
        <v/>
      </c>
    </row>
    <row r="4737">
      <c r="A4737" s="4" t="n">
        <v>12655</v>
      </c>
      <c r="B4737" s="5" t="n">
        <v>44680</v>
      </c>
      <c r="C4737" s="13" t="inlineStr">
        <is>
          <t>CPR</t>
        </is>
      </c>
      <c r="D4737" s="13" t="n">
        <v>42</v>
      </c>
      <c r="E4737" s="10">
        <f>IF(D4737&gt;0,VLOOKUP(OPERAC[[#This Row],[COD CART]],[1]!MatrizCortoLargoCyl[#All],3,0),"")</f>
        <v/>
      </c>
      <c r="F4737" s="14" t="inlineStr">
        <is>
          <t>XLP</t>
        </is>
      </c>
      <c r="G4737" s="6" t="n">
        <v>17</v>
      </c>
      <c r="H4737" s="6" t="n">
        <v>-1350.3865425</v>
      </c>
      <c r="I4737" s="7">
        <f>-H4737/G4737</f>
        <v/>
      </c>
      <c r="J4737" s="11" t="n">
        <v>44693</v>
      </c>
      <c r="K4737" s="6">
        <f>+OPERAC[[#This Row],[cantidad]]</f>
        <v/>
      </c>
      <c r="L4737" s="6">
        <f>+OPERAC[[#This Row],[cantidad venta]]*74.848</f>
        <v/>
      </c>
      <c r="M4737" s="7">
        <f>IF(N4737=0,+L4737+H4737,0)</f>
        <v/>
      </c>
      <c r="N4737" s="7">
        <f>IF((+G4737-K4737)=0,0,+G4737-K4737)</f>
        <v/>
      </c>
      <c r="O4737" s="7">
        <f>IF(N4737=0,0,(L4737+H4737)/-N4737)</f>
        <v/>
      </c>
      <c r="P4737" s="7">
        <f>VLOOKUP(OPERAC[[#This Row],[especie]],[1]!ESPECIES[#All],6,0)</f>
        <v/>
      </c>
      <c r="Q4737" s="7">
        <f>IF(N4737&lt;&gt;0,P4737*N4737,0)</f>
        <v/>
      </c>
      <c r="R4737" s="8">
        <f>IF(Q4737&lt;&gt;0,Q4737+H4737+L4737,0)</f>
        <v/>
      </c>
      <c r="S4737" s="9">
        <f>VLOOKUP(OPERAC[[#This Row],[especie]],[1]!ESPECIES[#Data],9,FALSE)</f>
        <v/>
      </c>
    </row>
    <row r="4738">
      <c r="A4738" s="4" t="n">
        <v>12662</v>
      </c>
      <c r="B4738" s="5" t="n">
        <v>44680</v>
      </c>
      <c r="C4738" s="13" t="inlineStr">
        <is>
          <t>CPR</t>
        </is>
      </c>
      <c r="D4738" s="13" t="n">
        <v>42</v>
      </c>
      <c r="E4738" s="10">
        <f>IF(D4738&gt;0,VLOOKUP(OPERAC[[#This Row],[COD CART]],[1]!MatrizCortoLargoCyl[#All],3,0),"")</f>
        <v/>
      </c>
      <c r="F4738" s="14" t="inlineStr">
        <is>
          <t>XLP</t>
        </is>
      </c>
      <c r="G4738" s="6" t="n">
        <v>17</v>
      </c>
      <c r="H4738" s="6" t="n">
        <v>-1350.3865425</v>
      </c>
      <c r="I4738" s="7">
        <f>-H4738/G4738</f>
        <v/>
      </c>
      <c r="J4738" s="11" t="n">
        <v>44693</v>
      </c>
      <c r="K4738" s="6">
        <f>+OPERAC[[#This Row],[cantidad]]</f>
        <v/>
      </c>
      <c r="L4738" s="6">
        <f>+OPERAC[[#This Row],[cantidad venta]]*74.848</f>
        <v/>
      </c>
      <c r="M4738" s="7">
        <f>IF(N4738=0,+L4738+H4738,0)</f>
        <v/>
      </c>
      <c r="N4738" s="7">
        <f>IF((+G4738-K4738)=0,0,+G4738-K4738)</f>
        <v/>
      </c>
      <c r="O4738" s="7">
        <f>IF(N4738=0,0,(L4738+H4738)/-N4738)</f>
        <v/>
      </c>
      <c r="P4738" s="7">
        <f>VLOOKUP(OPERAC[[#This Row],[especie]],[1]!ESPECIES[#All],6,0)</f>
        <v/>
      </c>
      <c r="Q4738" s="7">
        <f>IF(N4738&lt;&gt;0,P4738*N4738,0)</f>
        <v/>
      </c>
      <c r="R4738" s="8">
        <f>IF(Q4738&lt;&gt;0,Q4738+H4738+L4738,0)</f>
        <v/>
      </c>
      <c r="S4738" s="9">
        <f>VLOOKUP(OPERAC[[#This Row],[especie]],[1]!ESPECIES[#Data],9,FALSE)</f>
        <v/>
      </c>
    </row>
    <row r="4739">
      <c r="A4739" s="4" t="n">
        <v>12672</v>
      </c>
      <c r="B4739" s="5" t="n">
        <v>44680</v>
      </c>
      <c r="C4739" s="13" t="inlineStr">
        <is>
          <t>CPR</t>
        </is>
      </c>
      <c r="D4739" s="13" t="n">
        <v>42</v>
      </c>
      <c r="E4739" s="10">
        <f>IF(D4739&gt;0,VLOOKUP(OPERAC[[#This Row],[COD CART]],[1]!MatrizCortoLargoCyl[#All],3,0),"")</f>
        <v/>
      </c>
      <c r="F4739" s="14" t="inlineStr">
        <is>
          <t>XLP</t>
        </is>
      </c>
      <c r="G4739" s="6" t="n">
        <v>17</v>
      </c>
      <c r="H4739" s="6" t="n">
        <v>-1350.3865425</v>
      </c>
      <c r="I4739" s="7">
        <f>-H4739/G4739</f>
        <v/>
      </c>
      <c r="J4739" s="11" t="n">
        <v>44693</v>
      </c>
      <c r="K4739" s="6">
        <f>+OPERAC[[#This Row],[cantidad]]</f>
        <v/>
      </c>
      <c r="L4739" s="6">
        <f>+OPERAC[[#This Row],[cantidad venta]]*74.848</f>
        <v/>
      </c>
      <c r="M4739" s="7">
        <f>IF(N4739=0,+L4739+H4739,0)</f>
        <v/>
      </c>
      <c r="N4739" s="7">
        <f>IF((+G4739-K4739)=0,0,+G4739-K4739)</f>
        <v/>
      </c>
      <c r="O4739" s="7">
        <f>IF(N4739=0,0,(L4739+H4739)/-N4739)</f>
        <v/>
      </c>
      <c r="P4739" s="7">
        <f>VLOOKUP(OPERAC[[#This Row],[especie]],[1]!ESPECIES[#All],6,0)</f>
        <v/>
      </c>
      <c r="Q4739" s="7">
        <f>IF(N4739&lt;&gt;0,P4739*N4739,0)</f>
        <v/>
      </c>
      <c r="R4739" s="8">
        <f>IF(Q4739&lt;&gt;0,Q4739+H4739+L4739,0)</f>
        <v/>
      </c>
      <c r="S4739" s="9">
        <f>VLOOKUP(OPERAC[[#This Row],[especie]],[1]!ESPECIES[#Data],9,FALSE)</f>
        <v/>
      </c>
    </row>
    <row r="4740">
      <c r="A4740" s="4" t="n">
        <v>12674</v>
      </c>
      <c r="B4740" s="5" t="n">
        <v>44680</v>
      </c>
      <c r="C4740" s="13" t="inlineStr">
        <is>
          <t>CPR</t>
        </is>
      </c>
      <c r="D4740" s="13" t="n">
        <v>42</v>
      </c>
      <c r="E4740" s="10">
        <f>IF(D4740&gt;0,VLOOKUP(OPERAC[[#This Row],[COD CART]],[1]!MatrizCortoLargoCyl[#All],3,0),"")</f>
        <v/>
      </c>
      <c r="F4740" s="14" t="inlineStr">
        <is>
          <t>XLP</t>
        </is>
      </c>
      <c r="G4740" s="6" t="n">
        <v>17</v>
      </c>
      <c r="H4740" s="6" t="n">
        <v>-1350.3865425</v>
      </c>
      <c r="I4740" s="7">
        <f>-H4740/G4740</f>
        <v/>
      </c>
      <c r="J4740" s="11" t="n">
        <v>44693</v>
      </c>
      <c r="K4740" s="6">
        <f>+OPERAC[[#This Row],[cantidad]]</f>
        <v/>
      </c>
      <c r="L4740" s="6">
        <f>+OPERAC[[#This Row],[cantidad venta]]*74.848</f>
        <v/>
      </c>
      <c r="M4740" s="7">
        <f>IF(N4740=0,+L4740+H4740,0)</f>
        <v/>
      </c>
      <c r="N4740" s="7">
        <f>IF((+G4740-K4740)=0,0,+G4740-K4740)</f>
        <v/>
      </c>
      <c r="O4740" s="7">
        <f>IF(N4740=0,0,(L4740+H4740)/-N4740)</f>
        <v/>
      </c>
      <c r="P4740" s="7">
        <f>VLOOKUP(OPERAC[[#This Row],[especie]],[1]!ESPECIES[#All],6,0)</f>
        <v/>
      </c>
      <c r="Q4740" s="7">
        <f>IF(N4740&lt;&gt;0,P4740*N4740,0)</f>
        <v/>
      </c>
      <c r="R4740" s="8">
        <f>IF(Q4740&lt;&gt;0,Q4740+H4740+L4740,0)</f>
        <v/>
      </c>
      <c r="S4740" s="9">
        <f>VLOOKUP(OPERAC[[#This Row],[especie]],[1]!ESPECIES[#Data],9,FALSE)</f>
        <v/>
      </c>
    </row>
    <row r="4741">
      <c r="A4741" s="4" t="n">
        <v>12674</v>
      </c>
      <c r="B4741" s="5" t="n">
        <v>44680</v>
      </c>
      <c r="C4741" s="13" t="inlineStr">
        <is>
          <t>CPR</t>
        </is>
      </c>
      <c r="D4741" s="13" t="n">
        <v>42</v>
      </c>
      <c r="E4741" s="10">
        <f>IF(D4741&gt;0,VLOOKUP(OPERAC[[#This Row],[COD CART]],[1]!MatrizCortoLargoCyl[#All],3,0),"")</f>
        <v/>
      </c>
      <c r="F4741" s="14" t="inlineStr">
        <is>
          <t>XLP</t>
        </is>
      </c>
      <c r="G4741" s="6" t="n">
        <v>17</v>
      </c>
      <c r="H4741" s="6" t="n">
        <v>-1350.3865425</v>
      </c>
      <c r="I4741" s="7">
        <f>-H4741/G4741</f>
        <v/>
      </c>
      <c r="J4741" s="11" t="n">
        <v>44693</v>
      </c>
      <c r="K4741" s="6">
        <f>+OPERAC[[#This Row],[cantidad]]</f>
        <v/>
      </c>
      <c r="L4741" s="6">
        <f>+OPERAC[[#This Row],[cantidad venta]]*74.848</f>
        <v/>
      </c>
      <c r="M4741" s="7">
        <f>IF(N4741=0,+L4741+H4741,0)</f>
        <v/>
      </c>
      <c r="N4741" s="7">
        <f>IF((+G4741-K4741)=0,0,+G4741-K4741)</f>
        <v/>
      </c>
      <c r="O4741" s="7">
        <f>IF(N4741=0,0,(L4741+H4741)/-N4741)</f>
        <v/>
      </c>
      <c r="P4741" s="7">
        <f>VLOOKUP(OPERAC[[#This Row],[especie]],[1]!ESPECIES[#All],6,0)</f>
        <v/>
      </c>
      <c r="Q4741" s="7">
        <f>IF(N4741&lt;&gt;0,P4741*N4741,0)</f>
        <v/>
      </c>
      <c r="R4741" s="8">
        <f>IF(Q4741&lt;&gt;0,Q4741+H4741+L4741,0)</f>
        <v/>
      </c>
      <c r="S4741" s="9">
        <f>VLOOKUP(OPERAC[[#This Row],[especie]],[1]!ESPECIES[#Data],9,FALSE)</f>
        <v/>
      </c>
    </row>
    <row r="4742">
      <c r="A4742" s="4" t="n">
        <v>13190</v>
      </c>
      <c r="B4742" s="5" t="n">
        <v>44680</v>
      </c>
      <c r="C4742" s="13" t="inlineStr">
        <is>
          <t>CPR</t>
        </is>
      </c>
      <c r="D4742" s="13" t="n">
        <v>42</v>
      </c>
      <c r="E4742" s="10">
        <f>IF(D4742&gt;0,VLOOKUP(OPERAC[[#This Row],[COD CART]],[1]!MatrizCortoLargoCyl[#All],3,0),"")</f>
        <v/>
      </c>
      <c r="F4742" s="14" t="inlineStr">
        <is>
          <t>XLP</t>
        </is>
      </c>
      <c r="G4742" s="6" t="n">
        <v>17</v>
      </c>
      <c r="H4742" s="6" t="n">
        <v>-1350.3865425</v>
      </c>
      <c r="I4742" s="7">
        <f>-H4742/G4742</f>
        <v/>
      </c>
      <c r="J4742" s="11" t="n">
        <v>44693</v>
      </c>
      <c r="K4742" s="6">
        <f>+OPERAC[[#This Row],[cantidad]]</f>
        <v/>
      </c>
      <c r="L4742" s="6">
        <f>+OPERAC[[#This Row],[cantidad venta]]*74.848</f>
        <v/>
      </c>
      <c r="M4742" s="7">
        <f>IF(N4742=0,+L4742+H4742,0)</f>
        <v/>
      </c>
      <c r="N4742" s="7">
        <f>IF((+G4742-K4742)=0,0,+G4742-K4742)</f>
        <v/>
      </c>
      <c r="O4742" s="7">
        <f>IF(N4742=0,0,(L4742+H4742)/-N4742)</f>
        <v/>
      </c>
      <c r="P4742" s="7">
        <f>VLOOKUP(OPERAC[[#This Row],[especie]],[1]!ESPECIES[#All],6,0)</f>
        <v/>
      </c>
      <c r="Q4742" s="7">
        <f>IF(N4742&lt;&gt;0,P4742*N4742,0)</f>
        <v/>
      </c>
      <c r="R4742" s="8">
        <f>IF(Q4742&lt;&gt;0,Q4742+H4742+L4742,0)</f>
        <v/>
      </c>
      <c r="S4742" s="9">
        <f>VLOOKUP(OPERAC[[#This Row],[especie]],[1]!ESPECIES[#Data],9,FALSE)</f>
        <v/>
      </c>
    </row>
    <row r="4743">
      <c r="A4743" s="4" t="n">
        <v>13230</v>
      </c>
      <c r="B4743" s="5" t="n">
        <v>44680</v>
      </c>
      <c r="C4743" s="13" t="inlineStr">
        <is>
          <t>CPR</t>
        </is>
      </c>
      <c r="D4743" s="13" t="n">
        <v>42</v>
      </c>
      <c r="E4743" s="10">
        <f>IF(D4743&gt;0,VLOOKUP(OPERAC[[#This Row],[COD CART]],[1]!MatrizCortoLargoCyl[#All],3,0),"")</f>
        <v/>
      </c>
      <c r="F4743" s="14" t="inlineStr">
        <is>
          <t>XLP</t>
        </is>
      </c>
      <c r="G4743" s="6" t="n">
        <v>17</v>
      </c>
      <c r="H4743" s="6" t="n">
        <v>-1350.3865425</v>
      </c>
      <c r="I4743" s="7">
        <f>-H4743/G4743</f>
        <v/>
      </c>
      <c r="J4743" s="11" t="n">
        <v>44693</v>
      </c>
      <c r="K4743" s="6">
        <f>+OPERAC[[#This Row],[cantidad]]</f>
        <v/>
      </c>
      <c r="L4743" s="6">
        <f>+OPERAC[[#This Row],[cantidad venta]]*74.848</f>
        <v/>
      </c>
      <c r="M4743" s="7">
        <f>IF(N4743=0,+L4743+H4743,0)</f>
        <v/>
      </c>
      <c r="N4743" s="7">
        <f>IF((+G4743-K4743)=0,0,+G4743-K4743)</f>
        <v/>
      </c>
      <c r="O4743" s="7">
        <f>IF(N4743=0,0,(L4743+H4743)/-N4743)</f>
        <v/>
      </c>
      <c r="P4743" s="7">
        <f>VLOOKUP(OPERAC[[#This Row],[especie]],[1]!ESPECIES[#All],6,0)</f>
        <v/>
      </c>
      <c r="Q4743" s="7">
        <f>IF(N4743&lt;&gt;0,P4743*N4743,0)</f>
        <v/>
      </c>
      <c r="R4743" s="8">
        <f>IF(Q4743&lt;&gt;0,Q4743+H4743+L4743,0)</f>
        <v/>
      </c>
      <c r="S4743" s="9">
        <f>VLOOKUP(OPERAC[[#This Row],[especie]],[1]!ESPECIES[#Data],9,FALSE)</f>
        <v/>
      </c>
    </row>
    <row r="4744">
      <c r="A4744" s="4" t="n">
        <v>16824</v>
      </c>
      <c r="B4744" s="5" t="n">
        <v>44680</v>
      </c>
      <c r="C4744" s="13" t="inlineStr">
        <is>
          <t>CPR</t>
        </is>
      </c>
      <c r="D4744" s="13" t="n">
        <v>42</v>
      </c>
      <c r="E4744" s="10">
        <f>IF(D4744&gt;0,VLOOKUP(OPERAC[[#This Row],[COD CART]],[1]!MatrizCortoLargoCyl[#All],3,0),"")</f>
        <v/>
      </c>
      <c r="F4744" s="14" t="inlineStr">
        <is>
          <t>XLP</t>
        </is>
      </c>
      <c r="G4744" s="6" t="n">
        <v>17</v>
      </c>
      <c r="H4744" s="6" t="n">
        <v>-1350.3865425</v>
      </c>
      <c r="I4744" s="7">
        <f>-H4744/G4744</f>
        <v/>
      </c>
      <c r="J4744" s="11" t="n"/>
      <c r="K4744" s="6" t="n"/>
      <c r="L4744" s="6" t="n"/>
      <c r="M4744" s="7">
        <f>IF(N4744=0,+L4744+H4744,0)</f>
        <v/>
      </c>
      <c r="N4744" s="7">
        <f>IF((+G4744-K4744)=0,0,+G4744-K4744)</f>
        <v/>
      </c>
      <c r="O4744" s="7">
        <f>IF(N4744=0,0,(L4744+H4744)/-N4744)</f>
        <v/>
      </c>
      <c r="P4744" s="7">
        <f>VLOOKUP(OPERAC[[#This Row],[especie]],[1]!ESPECIES[#All],6,0)</f>
        <v/>
      </c>
      <c r="Q4744" s="7">
        <f>IF(N4744&lt;&gt;0,P4744*N4744,0)</f>
        <v/>
      </c>
      <c r="R4744" s="8">
        <f>IF(Q4744&lt;&gt;0,Q4744+H4744+L4744,0)</f>
        <v/>
      </c>
      <c r="S4744" s="9">
        <f>VLOOKUP(OPERAC[[#This Row],[especie]],[1]!ESPECIES[#Data],9,FALSE)</f>
        <v/>
      </c>
    </row>
    <row r="4745">
      <c r="A4745" s="4" t="n">
        <v>18677</v>
      </c>
      <c r="B4745" s="5" t="n">
        <v>44680</v>
      </c>
      <c r="C4745" s="13" t="inlineStr">
        <is>
          <t>CPR</t>
        </is>
      </c>
      <c r="D4745" s="13" t="n">
        <v>42</v>
      </c>
      <c r="E4745" s="10">
        <f>IF(D4745&gt;0,VLOOKUP(OPERAC[[#This Row],[COD CART]],[1]!MatrizCortoLargoCyl[#All],3,0),"")</f>
        <v/>
      </c>
      <c r="F4745" s="14" t="inlineStr">
        <is>
          <t>XLP</t>
        </is>
      </c>
      <c r="G4745" s="6" t="n">
        <v>17</v>
      </c>
      <c r="H4745" s="6" t="n">
        <v>-1350.3865425</v>
      </c>
      <c r="I4745" s="7">
        <f>-H4745/G4745</f>
        <v/>
      </c>
      <c r="J4745" s="11" t="n">
        <v>44693</v>
      </c>
      <c r="K4745" s="6">
        <f>+OPERAC[[#This Row],[cantidad]]</f>
        <v/>
      </c>
      <c r="L4745" s="6">
        <f>+OPERAC[[#This Row],[cantidad venta]]*74.848</f>
        <v/>
      </c>
      <c r="M4745" s="7">
        <f>IF(N4745=0,+L4745+H4745,0)</f>
        <v/>
      </c>
      <c r="N4745" s="7">
        <f>IF((+G4745-K4745)=0,0,+G4745-K4745)</f>
        <v/>
      </c>
      <c r="O4745" s="7">
        <f>IF(N4745=0,0,(L4745+H4745)/-N4745)</f>
        <v/>
      </c>
      <c r="P4745" s="7">
        <f>VLOOKUP(OPERAC[[#This Row],[especie]],[1]!ESPECIES[#All],6,0)</f>
        <v/>
      </c>
      <c r="Q4745" s="7">
        <f>IF(N4745&lt;&gt;0,P4745*N4745,0)</f>
        <v/>
      </c>
      <c r="R4745" s="8">
        <f>IF(Q4745&lt;&gt;0,Q4745+H4745+L4745,0)</f>
        <v/>
      </c>
      <c r="S4745" s="9">
        <f>VLOOKUP(OPERAC[[#This Row],[especie]],[1]!ESPECIES[#Data],9,FALSE)</f>
        <v/>
      </c>
    </row>
    <row r="4746">
      <c r="A4746" s="4" t="n">
        <v>18690</v>
      </c>
      <c r="B4746" s="5" t="n">
        <v>44680</v>
      </c>
      <c r="C4746" s="13" t="inlineStr">
        <is>
          <t>CPR</t>
        </is>
      </c>
      <c r="D4746" s="13" t="n">
        <v>42</v>
      </c>
      <c r="E4746" s="10">
        <f>IF(D4746&gt;0,VLOOKUP(OPERAC[[#This Row],[COD CART]],[1]!MatrizCortoLargoCyl[#All],3,0),"")</f>
        <v/>
      </c>
      <c r="F4746" s="14" t="inlineStr">
        <is>
          <t>XLP</t>
        </is>
      </c>
      <c r="G4746" s="6" t="n">
        <v>17</v>
      </c>
      <c r="H4746" s="6" t="n">
        <v>-1350.3865425</v>
      </c>
      <c r="I4746" s="7">
        <f>-H4746/G4746</f>
        <v/>
      </c>
      <c r="J4746" s="11" t="n">
        <v>44693</v>
      </c>
      <c r="K4746" s="6">
        <f>+OPERAC[[#This Row],[cantidad]]</f>
        <v/>
      </c>
      <c r="L4746" s="6">
        <f>+OPERAC[[#This Row],[cantidad venta]]*74.848</f>
        <v/>
      </c>
      <c r="M4746" s="7">
        <f>IF(N4746=0,+L4746+H4746,0)</f>
        <v/>
      </c>
      <c r="N4746" s="7">
        <f>IF((+G4746-K4746)=0,0,+G4746-K4746)</f>
        <v/>
      </c>
      <c r="O4746" s="7">
        <f>IF(N4746=0,0,(L4746+H4746)/-N4746)</f>
        <v/>
      </c>
      <c r="P4746" s="7">
        <f>VLOOKUP(OPERAC[[#This Row],[especie]],[1]!ESPECIES[#All],6,0)</f>
        <v/>
      </c>
      <c r="Q4746" s="7">
        <f>IF(N4746&lt;&gt;0,P4746*N4746,0)</f>
        <v/>
      </c>
      <c r="R4746" s="8">
        <f>IF(Q4746&lt;&gt;0,Q4746+H4746+L4746,0)</f>
        <v/>
      </c>
      <c r="S4746" s="9">
        <f>VLOOKUP(OPERAC[[#This Row],[especie]],[1]!ESPECIES[#Data],9,FALSE)</f>
        <v/>
      </c>
    </row>
    <row r="4747">
      <c r="A4747" s="4" t="n">
        <v>19867</v>
      </c>
      <c r="B4747" s="5" t="n">
        <v>44680</v>
      </c>
      <c r="C4747" s="13" t="inlineStr">
        <is>
          <t>CPR</t>
        </is>
      </c>
      <c r="D4747" s="13" t="n">
        <v>42</v>
      </c>
      <c r="E4747" s="10">
        <f>IF(D4747&gt;0,VLOOKUP(OPERAC[[#This Row],[COD CART]],[1]!MatrizCortoLargoCyl[#All],3,0),"")</f>
        <v/>
      </c>
      <c r="F4747" s="14" t="inlineStr">
        <is>
          <t>XLP</t>
        </is>
      </c>
      <c r="G4747" s="6" t="n">
        <v>17</v>
      </c>
      <c r="H4747" s="6" t="n">
        <v>-1350.3865425</v>
      </c>
      <c r="I4747" s="7">
        <f>-H4747/G4747</f>
        <v/>
      </c>
      <c r="J4747" s="11" t="n">
        <v>44693</v>
      </c>
      <c r="K4747" s="6">
        <f>+OPERAC[[#This Row],[cantidad]]</f>
        <v/>
      </c>
      <c r="L4747" s="6">
        <f>+OPERAC[[#This Row],[cantidad venta]]*74.848</f>
        <v/>
      </c>
      <c r="M4747" s="7">
        <f>IF(N4747=0,+L4747+H4747,0)</f>
        <v/>
      </c>
      <c r="N4747" s="7">
        <f>IF((+G4747-K4747)=0,0,+G4747-K4747)</f>
        <v/>
      </c>
      <c r="O4747" s="7">
        <f>IF(N4747=0,0,(L4747+H4747)/-N4747)</f>
        <v/>
      </c>
      <c r="P4747" s="7">
        <f>VLOOKUP(OPERAC[[#This Row],[especie]],[1]!ESPECIES[#All],6,0)</f>
        <v/>
      </c>
      <c r="Q4747" s="7">
        <f>IF(N4747&lt;&gt;0,P4747*N4747,0)</f>
        <v/>
      </c>
      <c r="R4747" s="8">
        <f>IF(Q4747&lt;&gt;0,Q4747+H4747+L4747,0)</f>
        <v/>
      </c>
      <c r="S4747" s="9">
        <f>VLOOKUP(OPERAC[[#This Row],[especie]],[1]!ESPECIES[#Data],9,FALSE)</f>
        <v/>
      </c>
    </row>
    <row r="4748">
      <c r="A4748" s="4" t="n">
        <v>22407</v>
      </c>
      <c r="B4748" s="5" t="n">
        <v>44680</v>
      </c>
      <c r="C4748" s="13" t="inlineStr">
        <is>
          <t>CPR</t>
        </is>
      </c>
      <c r="D4748" s="13" t="n">
        <v>42</v>
      </c>
      <c r="E4748" s="10">
        <f>IF(D4748&gt;0,VLOOKUP(OPERAC[[#This Row],[COD CART]],[1]!MatrizCortoLargoCyl[#All],3,0),"")</f>
        <v/>
      </c>
      <c r="F4748" s="14" t="inlineStr">
        <is>
          <t>XLP</t>
        </is>
      </c>
      <c r="G4748" s="6" t="n">
        <v>17</v>
      </c>
      <c r="H4748" s="6" t="n">
        <v>-1350.3865425</v>
      </c>
      <c r="I4748" s="7">
        <f>-H4748/G4748</f>
        <v/>
      </c>
      <c r="J4748" s="11" t="n"/>
      <c r="K4748" s="6" t="n"/>
      <c r="L4748" s="6" t="n"/>
      <c r="M4748" s="7">
        <f>IF(N4748=0,+L4748+H4748,0)</f>
        <v/>
      </c>
      <c r="N4748" s="7">
        <f>IF((+G4748-K4748)=0,0,+G4748-K4748)</f>
        <v/>
      </c>
      <c r="O4748" s="7">
        <f>IF(N4748=0,0,(L4748+H4748)/-N4748)</f>
        <v/>
      </c>
      <c r="P4748" s="7">
        <f>VLOOKUP(OPERAC[[#This Row],[especie]],[1]!ESPECIES[#All],6,0)</f>
        <v/>
      </c>
      <c r="Q4748" s="7">
        <f>IF(N4748&lt;&gt;0,P4748*N4748,0)</f>
        <v/>
      </c>
      <c r="R4748" s="8">
        <f>IF(Q4748&lt;&gt;0,Q4748+H4748+L4748,0)</f>
        <v/>
      </c>
      <c r="S4748" s="9">
        <f>VLOOKUP(OPERAC[[#This Row],[especie]],[1]!ESPECIES[#Data],9,FALSE)</f>
        <v/>
      </c>
    </row>
    <row r="4749">
      <c r="A4749" s="4" t="n">
        <v>25070</v>
      </c>
      <c r="B4749" s="5" t="n">
        <v>44680</v>
      </c>
      <c r="C4749" s="13" t="inlineStr">
        <is>
          <t>CPR</t>
        </is>
      </c>
      <c r="D4749" s="13" t="n">
        <v>42</v>
      </c>
      <c r="E4749" s="10">
        <f>IF(D4749&gt;0,VLOOKUP(OPERAC[[#This Row],[COD CART]],[1]!MatrizCortoLargoCyl[#All],3,0),"")</f>
        <v/>
      </c>
      <c r="F4749" s="14" t="inlineStr">
        <is>
          <t>XLP</t>
        </is>
      </c>
      <c r="G4749" s="6" t="n">
        <v>17</v>
      </c>
      <c r="H4749" s="6" t="n">
        <v>-1350.3865425</v>
      </c>
      <c r="I4749" s="7">
        <f>-H4749/G4749</f>
        <v/>
      </c>
      <c r="J4749" s="11" t="n">
        <v>44697</v>
      </c>
      <c r="K4749" s="6" t="n">
        <v>17</v>
      </c>
      <c r="L4749" s="6" t="n">
        <v>1299.728</v>
      </c>
      <c r="M4749" s="7">
        <f>IF(N4749=0,+L4749+H4749,0)</f>
        <v/>
      </c>
      <c r="N4749" s="7">
        <f>IF((+G4749-K4749)=0,0,+G4749-K4749)</f>
        <v/>
      </c>
      <c r="O4749" s="7">
        <f>IF(N4749=0,0,(L4749+H4749)/-N4749)</f>
        <v/>
      </c>
      <c r="P4749" s="7">
        <f>VLOOKUP(OPERAC[[#This Row],[especie]],[1]!ESPECIES[#All],6,0)</f>
        <v/>
      </c>
      <c r="Q4749" s="7">
        <f>IF(N4749&lt;&gt;0,P4749*N4749,0)</f>
        <v/>
      </c>
      <c r="R4749" s="8">
        <f>IF(Q4749&lt;&gt;0,Q4749+H4749+L4749,0)</f>
        <v/>
      </c>
      <c r="S4749" s="9">
        <f>VLOOKUP(OPERAC[[#This Row],[especie]],[1]!ESPECIES[#Data],9,FALSE)</f>
        <v/>
      </c>
    </row>
    <row r="4750">
      <c r="A4750" s="4" t="n">
        <v>26138</v>
      </c>
      <c r="B4750" s="5" t="n">
        <v>44680</v>
      </c>
      <c r="C4750" s="13" t="inlineStr">
        <is>
          <t>CPR</t>
        </is>
      </c>
      <c r="D4750" s="13" t="n">
        <v>42</v>
      </c>
      <c r="E4750" s="10">
        <f>IF(D4750&gt;0,VLOOKUP(OPERAC[[#This Row],[COD CART]],[1]!MatrizCortoLargoCyl[#All],3,0),"")</f>
        <v/>
      </c>
      <c r="F4750" s="14" t="inlineStr">
        <is>
          <t>XLP</t>
        </is>
      </c>
      <c r="G4750" s="6" t="n">
        <v>17</v>
      </c>
      <c r="H4750" s="6" t="n">
        <v>-1350.3865425</v>
      </c>
      <c r="I4750" s="7">
        <f>-H4750/G4750</f>
        <v/>
      </c>
      <c r="J4750" s="11" t="n">
        <v>44693</v>
      </c>
      <c r="K4750" s="6">
        <f>+OPERAC[[#This Row],[cantidad]]</f>
        <v/>
      </c>
      <c r="L4750" s="6">
        <f>+OPERAC[[#This Row],[cantidad venta]]*74.848</f>
        <v/>
      </c>
      <c r="M4750" s="7">
        <f>IF(N4750=0,+L4750+H4750,0)</f>
        <v/>
      </c>
      <c r="N4750" s="7">
        <f>IF((+G4750-K4750)=0,0,+G4750-K4750)</f>
        <v/>
      </c>
      <c r="O4750" s="7">
        <f>IF(N4750=0,0,(L4750+H4750)/-N4750)</f>
        <v/>
      </c>
      <c r="P4750" s="7">
        <f>VLOOKUP(OPERAC[[#This Row],[especie]],[1]!ESPECIES[#All],6,0)</f>
        <v/>
      </c>
      <c r="Q4750" s="7">
        <f>IF(N4750&lt;&gt;0,P4750*N4750,0)</f>
        <v/>
      </c>
      <c r="R4750" s="8">
        <f>IF(Q4750&lt;&gt;0,Q4750+H4750+L4750,0)</f>
        <v/>
      </c>
      <c r="S4750" s="9">
        <f>VLOOKUP(OPERAC[[#This Row],[especie]],[1]!ESPECIES[#Data],9,FALSE)</f>
        <v/>
      </c>
    </row>
    <row r="4751">
      <c r="A4751" s="4" t="n">
        <v>13246</v>
      </c>
      <c r="B4751" s="5" t="n">
        <v>44490</v>
      </c>
      <c r="C4751" s="13" t="inlineStr">
        <is>
          <t>CPR</t>
        </is>
      </c>
      <c r="D4751" s="13" t="n">
        <v>31</v>
      </c>
      <c r="E4751" s="10">
        <f>IF(D4751&gt;0,VLOOKUP(OPERAC[[#This Row],[COD CART]],[1]!MatrizCortoLargoCyl[#All],3,0),"")</f>
        <v/>
      </c>
      <c r="F4751" s="13" t="inlineStr">
        <is>
          <t>CEPU</t>
        </is>
      </c>
      <c r="G4751" s="6" t="n">
        <v>350</v>
      </c>
      <c r="H4751" s="6" t="n">
        <v>-1352.974</v>
      </c>
      <c r="I4751" s="7">
        <f>-H4751/G4751</f>
        <v/>
      </c>
      <c r="J4751" s="11" t="n"/>
      <c r="K4751" s="6" t="n"/>
      <c r="L4751" s="6" t="n"/>
      <c r="M4751" s="7">
        <f>IF(N4751=0,+L4751+H4751,0)</f>
        <v/>
      </c>
      <c r="N4751" s="7">
        <f>IF((+G4751-K4751)=0,0,+G4751-K4751)</f>
        <v/>
      </c>
      <c r="O4751" s="7">
        <f>IF(N4751=0,0,(L4751+H4751)/-N4751)</f>
        <v/>
      </c>
      <c r="P4751" s="7">
        <f>VLOOKUP(OPERAC[[#This Row],[especie]],[1]!ESPECIES[#All],6,0)</f>
        <v/>
      </c>
      <c r="Q4751" s="7">
        <f>IF(N4751&lt;&gt;0,P4751*N4751,0)</f>
        <v/>
      </c>
      <c r="R4751" s="8">
        <f>IF(Q4751&lt;&gt;0,Q4751+H4751+L4751,0)</f>
        <v/>
      </c>
      <c r="S4751" s="9">
        <f>VLOOKUP(OPERAC[[#This Row],[especie]],[1]!ESPECIES[#Data],9,FALSE)</f>
        <v/>
      </c>
    </row>
    <row r="4752">
      <c r="A4752" s="4" t="n">
        <v>16780</v>
      </c>
      <c r="B4752" s="5" t="n">
        <v>44712</v>
      </c>
      <c r="C4752" s="13" t="inlineStr">
        <is>
          <t>CPR</t>
        </is>
      </c>
      <c r="D4752" s="13" t="n">
        <v>32</v>
      </c>
      <c r="E4752" s="10">
        <f>IF(D4752&gt;0,VLOOKUP(OPERAC[[#This Row],[COD CART]],[1]!MatrizCortoLargoCyl[#All],3,0),"")</f>
        <v/>
      </c>
      <c r="F4752" s="13" t="inlineStr">
        <is>
          <t>COTY/CYL/7,00/17-06-22</t>
        </is>
      </c>
      <c r="G4752" s="6" t="n">
        <v>200</v>
      </c>
      <c r="H4752" s="6" t="n">
        <v>-1355.81</v>
      </c>
      <c r="I4752" s="7">
        <f>-H4752/G4752</f>
        <v/>
      </c>
      <c r="J4752" s="5" t="n"/>
      <c r="K4752" s="6" t="n"/>
      <c r="L4752" s="6" t="n"/>
      <c r="M4752" s="7">
        <f>IF(N4752=0,+L4752+H4752,0)</f>
        <v/>
      </c>
      <c r="N4752" s="7">
        <f>IF((+G4752-K4752)=0,0,+G4752-K4752)</f>
        <v/>
      </c>
      <c r="O4752" s="7">
        <f>IF(N4752=0,0,(L4752+H4752)/-N4752)</f>
        <v/>
      </c>
      <c r="P4752" s="7">
        <f>VLOOKUP(OPERAC[[#This Row],[especie]],[1]!ESPECIES[#All],6,0)</f>
        <v/>
      </c>
      <c r="Q4752" s="7">
        <f>IF(N4752&lt;&gt;0,P4752*N4752,0)</f>
        <v/>
      </c>
      <c r="R4752" s="8">
        <f>IF(Q4752&lt;&gt;0,Q4752+H4752+L4752,0)</f>
        <v/>
      </c>
      <c r="S4752" s="9">
        <f>VLOOKUP(OPERAC[[#This Row],[especie]],[1]!ESPECIES[#Data],9,FALSE)</f>
        <v/>
      </c>
    </row>
    <row r="4753">
      <c r="A4753" s="4" t="n">
        <v>26146</v>
      </c>
      <c r="B4753" s="5" t="n">
        <v>44663</v>
      </c>
      <c r="C4753" s="13" t="inlineStr">
        <is>
          <t>CPR</t>
        </is>
      </c>
      <c r="D4753" s="13" t="n">
        <v>32</v>
      </c>
      <c r="E4753" s="10">
        <f>IF(D4753&gt;0,VLOOKUP(OPERAC[[#This Row],[COD CART]],[1]!MatrizCortoLargoCyl[#All],3,0),"")</f>
        <v/>
      </c>
      <c r="F4753" s="13" t="inlineStr">
        <is>
          <t>DDD/CYL/15,00/15-07-22</t>
        </is>
      </c>
      <c r="G4753" s="6" t="n">
        <v>100</v>
      </c>
      <c r="H4753" s="6">
        <f>-1367.855+7.932</f>
        <v/>
      </c>
      <c r="I4753" s="7">
        <f>-H4753/G4753</f>
        <v/>
      </c>
      <c r="J4753" s="11" t="n"/>
      <c r="K4753" s="6" t="n"/>
      <c r="L4753" s="6" t="n"/>
      <c r="M4753" s="7">
        <f>IF(N4753=0,+L4753+H4753,0)</f>
        <v/>
      </c>
      <c r="N4753" s="7">
        <f>IF((+G4753-K4753)=0,0,+G4753-K4753)</f>
        <v/>
      </c>
      <c r="O4753" s="7">
        <f>IF(N4753=0,0,(L4753+H4753)/-N4753)</f>
        <v/>
      </c>
      <c r="P4753" s="7">
        <f>VLOOKUP(OPERAC[[#This Row],[especie]],[1]!ESPECIES[#All],6,0)</f>
        <v/>
      </c>
      <c r="Q4753" s="7">
        <f>IF(N4753&lt;&gt;0,P4753*N4753,0)</f>
        <v/>
      </c>
      <c r="R4753" s="8">
        <f>IF(Q4753&lt;&gt;0,Q4753+H4753+L4753,0)</f>
        <v/>
      </c>
      <c r="S4753" s="9">
        <f>VLOOKUP(OPERAC[[#This Row],[especie]],[1]!ESPECIES[#Data],9,FALSE)</f>
        <v/>
      </c>
    </row>
    <row r="4754">
      <c r="A4754" s="4" t="n">
        <v>12690</v>
      </c>
      <c r="B4754" s="5" t="n">
        <v>44715</v>
      </c>
      <c r="C4754" s="13" t="inlineStr">
        <is>
          <t>CPR</t>
        </is>
      </c>
      <c r="D4754" s="13" t="n">
        <v>32</v>
      </c>
      <c r="E4754" s="10">
        <f>IF(D4754&gt;0,VLOOKUP(OPERAC[[#This Row],[COD CART]],[1]!MatrizCortoLargoCyl[#All],3,0),"")</f>
        <v/>
      </c>
      <c r="F4754" s="13" t="inlineStr">
        <is>
          <t>CRESY/CYL/7,50/17-06-22</t>
        </is>
      </c>
      <c r="G4754" s="6" t="n">
        <v>200</v>
      </c>
      <c r="H4754" s="6" t="n">
        <v>-1360.56</v>
      </c>
      <c r="I4754" s="7">
        <f>-H4754/G4754</f>
        <v/>
      </c>
      <c r="J4754" s="5" t="n"/>
      <c r="K4754" s="6" t="n"/>
      <c r="L4754" s="6" t="n"/>
      <c r="M4754" s="7">
        <f>IF(N4754=0,+L4754+H4754,0)</f>
        <v/>
      </c>
      <c r="N4754" s="7">
        <f>IF((+G4754-K4754)=0,0,+G4754-K4754)</f>
        <v/>
      </c>
      <c r="O4754" s="7">
        <f>IF(N4754=0,0,(L4754+H4754)/-N4754)</f>
        <v/>
      </c>
      <c r="P4754" s="7">
        <f>VLOOKUP(OPERAC[[#This Row],[especie]],[1]!ESPECIES[#All],6,0)</f>
        <v/>
      </c>
      <c r="Q4754" s="7">
        <f>IF(N4754&lt;&gt;0,P4754*N4754,0)</f>
        <v/>
      </c>
      <c r="R4754" s="8">
        <f>IF(Q4754&lt;&gt;0,Q4754+H4754+L4754,0)</f>
        <v/>
      </c>
      <c r="S4754" s="9">
        <f>VLOOKUP(OPERAC[[#This Row],[especie]],[1]!ESPECIES[#Data],9,FALSE)</f>
        <v/>
      </c>
    </row>
    <row r="4755">
      <c r="A4755" s="4" t="n">
        <v>22433</v>
      </c>
      <c r="B4755" s="5" t="n">
        <v>44669</v>
      </c>
      <c r="C4755" s="13" t="inlineStr">
        <is>
          <t>CPR</t>
        </is>
      </c>
      <c r="D4755" s="13" t="n">
        <v>32</v>
      </c>
      <c r="E4755" s="10">
        <f>IF(D4755&gt;0,VLOOKUP(OPERAC[[#This Row],[COD CART]],[1]!MatrizCortoLargoCyl[#All],3,0),"")</f>
        <v/>
      </c>
      <c r="F4755" s="13" t="inlineStr">
        <is>
          <t>HMY/CYL/5,00/19-08-22</t>
        </is>
      </c>
      <c r="G4755" s="6" t="n">
        <v>300</v>
      </c>
      <c r="H4755" s="6">
        <f>-4.64*OPERAC[[#This Row],[cantidad]]+26.771</f>
        <v/>
      </c>
      <c r="I4755" s="7">
        <f>-H4755/G4755</f>
        <v/>
      </c>
      <c r="J4755" s="11" t="n"/>
      <c r="K4755" s="6" t="n"/>
      <c r="L4755" s="6" t="n"/>
      <c r="M4755" s="7">
        <f>IF(N4755=0,+L4755+H4755,0)</f>
        <v/>
      </c>
      <c r="N4755" s="7">
        <f>IF((+G4755-K4755)=0,0,+G4755-K4755)</f>
        <v/>
      </c>
      <c r="O4755" s="7">
        <f>IF(N4755=0,0,(L4755+H4755)/-N4755)</f>
        <v/>
      </c>
      <c r="P4755" s="7">
        <f>VLOOKUP(OPERAC[[#This Row],[especie]],[1]!ESPECIES[#All],6,0)</f>
        <v/>
      </c>
      <c r="Q4755" s="7">
        <f>IF(N4755&lt;&gt;0,P4755*N4755,0)</f>
        <v/>
      </c>
      <c r="R4755" s="8">
        <f>IF(Q4755&lt;&gt;0,Q4755+H4755+L4755,0)</f>
        <v/>
      </c>
      <c r="S4755" s="9">
        <f>VLOOKUP(OPERAC[[#This Row],[especie]],[1]!ESPECIES[#Data],9,FALSE)</f>
        <v/>
      </c>
    </row>
    <row r="4756">
      <c r="A4756" s="4" t="n">
        <v>4543</v>
      </c>
      <c r="B4756" s="5" t="n">
        <v>44616</v>
      </c>
      <c r="C4756" s="13" t="inlineStr">
        <is>
          <t>CPR</t>
        </is>
      </c>
      <c r="D4756" s="13" t="n">
        <v>32</v>
      </c>
      <c r="E4756" s="10">
        <f>IF(D4756&gt;0,VLOOKUP(OPERAC[[#This Row],[COD CART]],[1]!MatrizCortoLargoCyl[#All],3,0),"")</f>
        <v/>
      </c>
      <c r="F4756" s="13" t="inlineStr">
        <is>
          <t>UUUU/CYL/8,00/18-03-22</t>
        </is>
      </c>
      <c r="G4756" s="6" t="n">
        <v>200</v>
      </c>
      <c r="H4756" s="6" t="n">
        <v>-1367.652</v>
      </c>
      <c r="I4756" s="7">
        <f>-H4756/G4756</f>
        <v/>
      </c>
      <c r="J4756" s="11" t="n">
        <v>44636</v>
      </c>
      <c r="K4756" s="6">
        <f>+OPERAC[[#This Row],[cantidad]]</f>
        <v/>
      </c>
      <c r="L4756" s="6" t="n">
        <v>1534.92</v>
      </c>
      <c r="M4756" s="7">
        <f>IF(N4756=0,+L4756+H4756,0)</f>
        <v/>
      </c>
      <c r="N4756" s="7">
        <f>IF((+G4756-K4756)=0,0,+G4756-K4756)</f>
        <v/>
      </c>
      <c r="O4756" s="7">
        <f>IF(N4756=0,0,(L4756+H4756)/-N4756)</f>
        <v/>
      </c>
      <c r="P4756" s="7">
        <f>VLOOKUP(OPERAC[[#This Row],[especie]],[1]!ESPECIES[#All],6,0)</f>
        <v/>
      </c>
      <c r="Q4756" s="7">
        <f>IF(N4756&lt;&gt;0,P4756*N4756,0)</f>
        <v/>
      </c>
      <c r="R4756" s="8">
        <f>IF(Q4756&lt;&gt;0,Q4756+H4756+L4756,0)</f>
        <v/>
      </c>
      <c r="S4756" s="9">
        <f>VLOOKUP(OPERAC[[#This Row],[especie]],[1]!ESPECIES[#Data],9,FALSE)</f>
        <v/>
      </c>
    </row>
    <row r="4757">
      <c r="A4757" s="4" t="n">
        <v>4561</v>
      </c>
      <c r="B4757" s="5" t="n">
        <v>44616</v>
      </c>
      <c r="C4757" s="13" t="inlineStr">
        <is>
          <t>CPR</t>
        </is>
      </c>
      <c r="D4757" s="13" t="n">
        <v>32</v>
      </c>
      <c r="E4757" s="10">
        <f>IF(D4757&gt;0,VLOOKUP(OPERAC[[#This Row],[COD CART]],[1]!MatrizCortoLargoCyl[#All],3,0),"")</f>
        <v/>
      </c>
      <c r="F4757" s="13" t="inlineStr">
        <is>
          <t>UUUU/CYL/8,00/18-03-22</t>
        </is>
      </c>
      <c r="G4757" s="6" t="n">
        <v>200</v>
      </c>
      <c r="H4757" s="6" t="n">
        <v>-1367.652</v>
      </c>
      <c r="I4757" s="7">
        <f>-H4757/G4757</f>
        <v/>
      </c>
      <c r="J4757" s="11" t="n">
        <v>44636</v>
      </c>
      <c r="K4757" s="6">
        <f>+OPERAC[[#This Row],[cantidad]]</f>
        <v/>
      </c>
      <c r="L4757" s="6" t="n">
        <v>1534.92</v>
      </c>
      <c r="M4757" s="7">
        <f>IF(N4757=0,+L4757+H4757,0)</f>
        <v/>
      </c>
      <c r="N4757" s="7">
        <f>IF((+G4757-K4757)=0,0,+G4757-K4757)</f>
        <v/>
      </c>
      <c r="O4757" s="7">
        <f>IF(N4757=0,0,(L4757+H4757)/-N4757)</f>
        <v/>
      </c>
      <c r="P4757" s="7">
        <f>VLOOKUP(OPERAC[[#This Row],[especie]],[1]!ESPECIES[#All],6,0)</f>
        <v/>
      </c>
      <c r="Q4757" s="7">
        <f>IF(N4757&lt;&gt;0,P4757*N4757,0)</f>
        <v/>
      </c>
      <c r="R4757" s="8">
        <f>IF(Q4757&lt;&gt;0,Q4757+H4757+L4757,0)</f>
        <v/>
      </c>
      <c r="S4757" s="9">
        <f>VLOOKUP(OPERAC[[#This Row],[especie]],[1]!ESPECIES[#Data],9,FALSE)</f>
        <v/>
      </c>
    </row>
    <row r="4758">
      <c r="A4758" s="4" t="n">
        <v>19867</v>
      </c>
      <c r="B4758" s="5" t="n">
        <v>44616</v>
      </c>
      <c r="C4758" s="13" t="inlineStr">
        <is>
          <t>CPR</t>
        </is>
      </c>
      <c r="D4758" s="13" t="n">
        <v>32</v>
      </c>
      <c r="E4758" s="10">
        <f>IF(D4758&gt;0,VLOOKUP(OPERAC[[#This Row],[COD CART]],[1]!MatrizCortoLargoCyl[#All],3,0),"")</f>
        <v/>
      </c>
      <c r="F4758" s="13" t="inlineStr">
        <is>
          <t>UUUU/CYL/8,00/18-03-22</t>
        </is>
      </c>
      <c r="G4758" s="6" t="n">
        <v>200</v>
      </c>
      <c r="H4758" s="6" t="n">
        <v>-1367.652</v>
      </c>
      <c r="I4758" s="7">
        <f>-H4758/G4758</f>
        <v/>
      </c>
      <c r="J4758" s="11" t="n">
        <v>44636</v>
      </c>
      <c r="K4758" s="6">
        <f>+OPERAC[[#This Row],[cantidad]]</f>
        <v/>
      </c>
      <c r="L4758" s="6" t="n">
        <v>1534.92</v>
      </c>
      <c r="M4758" s="7">
        <f>IF(N4758=0,+L4758+H4758,0)</f>
        <v/>
      </c>
      <c r="N4758" s="7">
        <f>IF((+G4758-K4758)=0,0,+G4758-K4758)</f>
        <v/>
      </c>
      <c r="O4758" s="7">
        <f>IF(N4758=0,0,(L4758+H4758)/-N4758)</f>
        <v/>
      </c>
      <c r="P4758" s="7">
        <f>VLOOKUP(OPERAC[[#This Row],[especie]],[1]!ESPECIES[#All],6,0)</f>
        <v/>
      </c>
      <c r="Q4758" s="7">
        <f>IF(N4758&lt;&gt;0,P4758*N4758,0)</f>
        <v/>
      </c>
      <c r="R4758" s="8">
        <f>IF(Q4758&lt;&gt;0,Q4758+H4758+L4758,0)</f>
        <v/>
      </c>
      <c r="S4758" s="9">
        <f>VLOOKUP(OPERAC[[#This Row],[especie]],[1]!ESPECIES[#Data],9,FALSE)</f>
        <v/>
      </c>
    </row>
    <row r="4759">
      <c r="A4759" s="4" t="n">
        <v>12690</v>
      </c>
      <c r="B4759" s="5" t="n">
        <v>44715</v>
      </c>
      <c r="C4759" s="13" t="inlineStr">
        <is>
          <t>CPR</t>
        </is>
      </c>
      <c r="D4759" s="13" t="n">
        <v>32</v>
      </c>
      <c r="E4759" s="10">
        <f>IF(D4759&gt;0,VLOOKUP(OPERAC[[#This Row],[COD CART]],[1]!MatrizCortoLargoCyl[#All],3,0),"")</f>
        <v/>
      </c>
      <c r="F4759" s="13" t="inlineStr">
        <is>
          <t>COTY/CYL/7,00/17-06-22</t>
        </is>
      </c>
      <c r="G4759" s="6" t="n">
        <v>200</v>
      </c>
      <c r="H4759" s="6" t="n">
        <v>-1367.77</v>
      </c>
      <c r="I4759" s="7">
        <f>-H4759/G4759</f>
        <v/>
      </c>
      <c r="J4759" s="5" t="n"/>
      <c r="K4759" s="6" t="n"/>
      <c r="L4759" s="6" t="n"/>
      <c r="M4759" s="7">
        <f>IF(N4759=0,+L4759+H4759,0)</f>
        <v/>
      </c>
      <c r="N4759" s="7">
        <f>IF((+G4759-K4759)=0,0,+G4759-K4759)</f>
        <v/>
      </c>
      <c r="O4759" s="7">
        <f>IF(N4759=0,0,(L4759+H4759)/-N4759)</f>
        <v/>
      </c>
      <c r="P4759" s="7">
        <f>VLOOKUP(OPERAC[[#This Row],[especie]],[1]!ESPECIES[#All],6,0)</f>
        <v/>
      </c>
      <c r="Q4759" s="7">
        <f>IF(N4759&lt;&gt;0,P4759*N4759,0)</f>
        <v/>
      </c>
      <c r="R4759" s="8">
        <f>IF(Q4759&lt;&gt;0,Q4759+H4759+L4759,0)</f>
        <v/>
      </c>
      <c r="S4759" s="9">
        <f>VLOOKUP(OPERAC[[#This Row],[especie]],[1]!ESPECIES[#Data],9,FALSE)</f>
        <v/>
      </c>
    </row>
    <row r="4760">
      <c r="A4760" s="4" t="n">
        <v>2306</v>
      </c>
      <c r="B4760" s="5" t="n">
        <v>44663</v>
      </c>
      <c r="C4760" s="13" t="inlineStr">
        <is>
          <t>CPR</t>
        </is>
      </c>
      <c r="D4760" s="13" t="n">
        <v>32</v>
      </c>
      <c r="E4760" s="10">
        <f>IF(D4760&gt;0,VLOOKUP(OPERAC[[#This Row],[COD CART]],[1]!MatrizCortoLargoCyl[#All],3,0),"")</f>
        <v/>
      </c>
      <c r="F4760" s="13" t="inlineStr">
        <is>
          <t>DDD</t>
        </is>
      </c>
      <c r="G4760" s="6" t="n">
        <v>100</v>
      </c>
      <c r="H4760" s="6" t="n">
        <v>-1368.02</v>
      </c>
      <c r="I4760" s="7">
        <f>-H4760/G4760</f>
        <v/>
      </c>
      <c r="J4760" s="11" t="n">
        <v>44704</v>
      </c>
      <c r="K4760" s="6" t="n">
        <v>100</v>
      </c>
      <c r="L4760" s="6" t="n">
        <v>1001.601</v>
      </c>
      <c r="M4760" s="7">
        <f>IF(N4760=0,+L4760+H4760,0)</f>
        <v/>
      </c>
      <c r="N4760" s="7">
        <f>IF((+G4760-K4760)=0,0,+G4760-K4760)</f>
        <v/>
      </c>
      <c r="O4760" s="7">
        <f>IF(N4760=0,0,(L4760+H4760)/-N4760)</f>
        <v/>
      </c>
      <c r="P4760" s="7">
        <f>VLOOKUP(OPERAC[[#This Row],[especie]],[1]!ESPECIES[#All],6,0)</f>
        <v/>
      </c>
      <c r="Q4760" s="7">
        <f>IF(N4760&lt;&gt;0,P4760*N4760,0)</f>
        <v/>
      </c>
      <c r="R4760" s="8">
        <f>IF(Q4760&lt;&gt;0,Q4760+H4760+L4760,0)</f>
        <v/>
      </c>
      <c r="S4760" s="9">
        <f>VLOOKUP(OPERAC[[#This Row],[especie]],[1]!ESPECIES[#Data],9,FALSE)</f>
        <v/>
      </c>
    </row>
    <row r="4761">
      <c r="A4761" s="4" t="n">
        <v>3728</v>
      </c>
      <c r="B4761" s="5" t="n">
        <v>44635</v>
      </c>
      <c r="C4761" s="13" t="inlineStr">
        <is>
          <t>CPR</t>
        </is>
      </c>
      <c r="D4761" s="13" t="n">
        <v>39</v>
      </c>
      <c r="E4761" s="10">
        <f>IF(D4761&gt;0,VLOOKUP(OPERAC[[#This Row],[COD CART]],[1]!MatrizCortoLargoCyl[#All],3,0),"")</f>
        <v/>
      </c>
      <c r="F4761" s="13" t="inlineStr">
        <is>
          <t>BABA/C/78,00/18-03-22</t>
        </is>
      </c>
      <c r="G4761" s="6" t="n">
        <v>300</v>
      </c>
      <c r="H4761" s="6" t="n">
        <v>-1368.435</v>
      </c>
      <c r="I4761" s="7">
        <f>-H4761/G4761</f>
        <v/>
      </c>
      <c r="J4761" s="11" t="n">
        <v>44636</v>
      </c>
      <c r="K4761" s="6" t="n">
        <v>300</v>
      </c>
      <c r="L4761" s="6" t="n">
        <v>3745.03</v>
      </c>
      <c r="M4761" s="7">
        <f>IF(N4761=0,+L4761+H4761,0)</f>
        <v/>
      </c>
      <c r="N4761" s="7">
        <f>IF((+G4761-K4761)=0,0,+G4761-K4761)</f>
        <v/>
      </c>
      <c r="O4761" s="7">
        <f>IF(N4761=0,0,(L4761+H4761)/-N4761)</f>
        <v/>
      </c>
      <c r="P4761" s="7">
        <f>VLOOKUP(OPERAC[[#This Row],[especie]],[1]!ESPECIES[#All],6,0)</f>
        <v/>
      </c>
      <c r="Q4761" s="7">
        <f>IF(N4761&lt;&gt;0,P4761*N4761,0)</f>
        <v/>
      </c>
      <c r="R4761" s="8">
        <f>IF(Q4761&lt;&gt;0,Q4761+H4761+L4761,0)</f>
        <v/>
      </c>
      <c r="S4761" s="9">
        <f>VLOOKUP(OPERAC[[#This Row],[especie]],[1]!ESPECIES[#Data],9,FALSE)</f>
        <v/>
      </c>
    </row>
    <row r="4762">
      <c r="A4762" s="4" t="n">
        <v>16786</v>
      </c>
      <c r="B4762" s="5" t="n">
        <v>44663</v>
      </c>
      <c r="C4762" s="13" t="inlineStr">
        <is>
          <t>CPR</t>
        </is>
      </c>
      <c r="D4762" s="13" t="n">
        <v>32</v>
      </c>
      <c r="E4762" s="10">
        <f>IF(D4762&gt;0,VLOOKUP(OPERAC[[#This Row],[COD CART]],[1]!MatrizCortoLargoCyl[#All],3,0),"")</f>
        <v/>
      </c>
      <c r="F4762" s="13" t="inlineStr">
        <is>
          <t>DDD</t>
        </is>
      </c>
      <c r="G4762" s="6" t="n">
        <v>100</v>
      </c>
      <c r="H4762" s="6" t="n">
        <v>-1369.73</v>
      </c>
      <c r="I4762" s="7">
        <f>-H4762/G4762</f>
        <v/>
      </c>
      <c r="J4762" s="11" t="n">
        <v>44705</v>
      </c>
      <c r="K4762" s="6" t="n">
        <v>100</v>
      </c>
      <c r="L4762" s="6" t="n">
        <v>995.48</v>
      </c>
      <c r="M4762" s="7">
        <f>IF(N4762=0,+L4762+H4762,0)</f>
        <v/>
      </c>
      <c r="N4762" s="7">
        <f>IF((+G4762-K4762)=0,0,+G4762-K4762)</f>
        <v/>
      </c>
      <c r="O4762" s="7">
        <f>IF(N4762=0,0,(L4762+H4762)/-N4762)</f>
        <v/>
      </c>
      <c r="P4762" s="7">
        <f>VLOOKUP(OPERAC[[#This Row],[especie]],[1]!ESPECIES[#All],6,0)</f>
        <v/>
      </c>
      <c r="Q4762" s="7">
        <f>IF(N4762&lt;&gt;0,P4762*N4762,0)</f>
        <v/>
      </c>
      <c r="R4762" s="8">
        <f>IF(Q4762&lt;&gt;0,Q4762+H4762+L4762,0)</f>
        <v/>
      </c>
      <c r="S4762" s="9">
        <f>VLOOKUP(OPERAC[[#This Row],[especie]],[1]!ESPECIES[#Data],9,FALSE)</f>
        <v/>
      </c>
    </row>
    <row r="4763">
      <c r="A4763" s="4" t="n">
        <v>20317</v>
      </c>
      <c r="B4763" s="5" t="n">
        <v>44636</v>
      </c>
      <c r="C4763" s="13" t="inlineStr">
        <is>
          <t>CPR</t>
        </is>
      </c>
      <c r="D4763" s="13" t="n">
        <v>43</v>
      </c>
      <c r="E4763" s="10">
        <f>IF(D4763&gt;0,VLOOKUP(OPERAC[[#This Row],[COD CART]],[1]!MatrizCortoLargoCyl[#All],3,0),"")</f>
        <v/>
      </c>
      <c r="F4763" s="13" t="inlineStr">
        <is>
          <t>GMBL/CYL-PUT/0,50/19-01-24</t>
        </is>
      </c>
      <c r="G4763" s="6" t="n">
        <v>5000</v>
      </c>
      <c r="H4763" s="6">
        <f>-4062.7402+2196.925+496</f>
        <v/>
      </c>
      <c r="I4763" s="7">
        <f>-H4763/G4763</f>
        <v/>
      </c>
      <c r="J4763" s="11" t="n"/>
      <c r="K4763" s="6" t="n"/>
      <c r="L4763" s="6" t="n"/>
      <c r="M4763" s="7">
        <f>IF(N4763=0,+L4763+H4763,0)</f>
        <v/>
      </c>
      <c r="N4763" s="7">
        <f>IF((+G4763-K4763)=0,0,+G4763-K4763)</f>
        <v/>
      </c>
      <c r="O4763" s="7">
        <f>IF(N4763=0,0,(L4763+H4763)/-N4763)</f>
        <v/>
      </c>
      <c r="P4763" s="7">
        <f>VLOOKUP(OPERAC[[#This Row],[especie]],[1]!ESPECIES[#All],6,0)</f>
        <v/>
      </c>
      <c r="Q4763" s="7">
        <f>IF(N4763&lt;&gt;0,P4763*N4763,0)</f>
        <v/>
      </c>
      <c r="R4763" s="8">
        <f>IF(Q4763&lt;&gt;0,Q4763+H4763+L4763,0)</f>
        <v/>
      </c>
      <c r="S4763" s="9">
        <f>VLOOKUP(OPERAC[[#This Row],[especie]],[1]!ESPECIES[#Data],9,FALSE)</f>
        <v/>
      </c>
    </row>
    <row r="4764">
      <c r="A4764" s="4" t="n">
        <v>15189</v>
      </c>
      <c r="B4764" s="5" t="n">
        <v>44662</v>
      </c>
      <c r="C4764" s="13" t="inlineStr">
        <is>
          <t>CPR</t>
        </is>
      </c>
      <c r="D4764" s="13" t="n">
        <v>42</v>
      </c>
      <c r="E4764" s="10">
        <f>IF(D4764&gt;0,VLOOKUP(OPERAC[[#This Row],[COD CART]],[1]!MatrizCortoLargoCyl[#All],3,0),"")</f>
        <v/>
      </c>
      <c r="F4764" s="13" t="inlineStr">
        <is>
          <t>UPST</t>
        </is>
      </c>
      <c r="G4764" s="6" t="n">
        <v>15</v>
      </c>
      <c r="H4764" s="6" t="n">
        <v>-1371.0054</v>
      </c>
      <c r="I4764" s="7">
        <f>-H4764/G4764</f>
        <v/>
      </c>
      <c r="J4764" s="11" t="n">
        <v>44693</v>
      </c>
      <c r="K4764" s="6" t="n">
        <v>15</v>
      </c>
      <c r="L4764" s="6" t="n">
        <v>461.16</v>
      </c>
      <c r="M4764" s="7">
        <f>IF(N4764=0,+L4764+H4764,0)</f>
        <v/>
      </c>
      <c r="N4764" s="7">
        <f>IF((+G4764-K4764)=0,0,+G4764-K4764)</f>
        <v/>
      </c>
      <c r="O4764" s="7">
        <f>IF(N4764=0,0,(L4764+H4764)/-N4764)</f>
        <v/>
      </c>
      <c r="P4764" s="7">
        <f>VLOOKUP(OPERAC[[#This Row],[especie]],[1]!ESPECIES[#All],6,0)</f>
        <v/>
      </c>
      <c r="Q4764" s="7">
        <f>IF(N4764&lt;&gt;0,P4764*N4764,0)</f>
        <v/>
      </c>
      <c r="R4764" s="8">
        <f>IF(Q4764&lt;&gt;0,Q4764+H4764+L4764,0)</f>
        <v/>
      </c>
      <c r="S4764" s="9">
        <f>VLOOKUP(OPERAC[[#This Row],[especie]],[1]!ESPECIES[#Data],9,FALSE)</f>
        <v/>
      </c>
    </row>
    <row r="4765">
      <c r="A4765" s="4" t="n">
        <v>19934</v>
      </c>
      <c r="B4765" s="5" t="n">
        <v>44669</v>
      </c>
      <c r="C4765" s="13" t="inlineStr">
        <is>
          <t>CPR</t>
        </is>
      </c>
      <c r="D4765" s="13" t="n">
        <v>32</v>
      </c>
      <c r="E4765" s="10">
        <f>IF(D4765&gt;0,VLOOKUP(OPERAC[[#This Row],[COD CART]],[1]!MatrizCortoLargoCyl[#All],3,0),"")</f>
        <v/>
      </c>
      <c r="F4765" s="13" t="inlineStr">
        <is>
          <t>HMY/CYL/5,00/19-08-22</t>
        </is>
      </c>
      <c r="G4765" s="6" t="n">
        <v>300</v>
      </c>
      <c r="H4765" s="6">
        <f>-4.64*OPERAC[[#This Row],[cantidad]]+14.87</f>
        <v/>
      </c>
      <c r="I4765" s="7">
        <f>-H4765/G4765</f>
        <v/>
      </c>
      <c r="J4765" s="11" t="n"/>
      <c r="K4765" s="6" t="n"/>
      <c r="L4765" s="6" t="n"/>
      <c r="M4765" s="7">
        <f>IF(N4765=0,+L4765+H4765,0)</f>
        <v/>
      </c>
      <c r="N4765" s="7">
        <f>IF((+G4765-K4765)=0,0,+G4765-K4765)</f>
        <v/>
      </c>
      <c r="O4765" s="7">
        <f>IF(N4765=0,0,(L4765+H4765)/-N4765)</f>
        <v/>
      </c>
      <c r="P4765" s="7">
        <f>VLOOKUP(OPERAC[[#This Row],[especie]],[1]!ESPECIES[#All],6,0)</f>
        <v/>
      </c>
      <c r="Q4765" s="7">
        <f>IF(N4765&lt;&gt;0,P4765*N4765,0)</f>
        <v/>
      </c>
      <c r="R4765" s="8">
        <f>IF(Q4765&lt;&gt;0,Q4765+H4765+L4765,0)</f>
        <v/>
      </c>
      <c r="S4765" s="9">
        <f>VLOOKUP(OPERAC[[#This Row],[especie]],[1]!ESPECIES[#Data],9,FALSE)</f>
        <v/>
      </c>
    </row>
    <row r="4766">
      <c r="A4766" s="4" t="n">
        <v>12662</v>
      </c>
      <c r="B4766" s="5" t="n">
        <v>44714</v>
      </c>
      <c r="C4766" s="13" t="inlineStr">
        <is>
          <t>CPR</t>
        </is>
      </c>
      <c r="D4766" s="13" t="n">
        <v>32</v>
      </c>
      <c r="E4766" s="10">
        <f>IF(D4766&gt;0,VLOOKUP(OPERAC[[#This Row],[COD CART]],[1]!MatrizCortoLargoCyl[#All],3,0),"")</f>
        <v/>
      </c>
      <c r="F4766" s="13" t="inlineStr">
        <is>
          <t>CCL/CYL/17,50/15-07-22</t>
        </is>
      </c>
      <c r="G4766" s="6" t="n">
        <v>100</v>
      </c>
      <c r="H4766" s="6" t="n">
        <v>-1379.65</v>
      </c>
      <c r="I4766" s="7">
        <f>-H4766/G4766</f>
        <v/>
      </c>
      <c r="J4766" s="5" t="n"/>
      <c r="K4766" s="6" t="n"/>
      <c r="L4766" s="6" t="n"/>
      <c r="M4766" s="7">
        <f>IF(N4766=0,+L4766+H4766,0)</f>
        <v/>
      </c>
      <c r="N4766" s="7">
        <f>IF((+G4766-K4766)=0,0,+G4766-K4766)</f>
        <v/>
      </c>
      <c r="O4766" s="7">
        <f>IF(N4766=0,0,(L4766+H4766)/-N4766)</f>
        <v/>
      </c>
      <c r="P4766" s="7">
        <f>VLOOKUP(OPERAC[[#This Row],[especie]],[1]!ESPECIES[#All],6,0)</f>
        <v/>
      </c>
      <c r="Q4766" s="7">
        <f>IF(N4766&lt;&gt;0,P4766*N4766,0)</f>
        <v/>
      </c>
      <c r="R4766" s="8">
        <f>IF(Q4766&lt;&gt;0,Q4766+H4766+L4766,0)</f>
        <v/>
      </c>
      <c r="S4766" s="9">
        <f>VLOOKUP(OPERAC[[#This Row],[especie]],[1]!ESPECIES[#Data],9,FALSE)</f>
        <v/>
      </c>
    </row>
    <row r="4767">
      <c r="A4767" s="4" t="n">
        <v>22393</v>
      </c>
      <c r="B4767" s="5" t="n">
        <v>44628</v>
      </c>
      <c r="C4767" s="13" t="inlineStr">
        <is>
          <t>CPR</t>
        </is>
      </c>
      <c r="D4767" s="13" t="n">
        <v>32</v>
      </c>
      <c r="E4767" s="10">
        <f>IF(D4767&gt;0,VLOOKUP(OPERAC[[#This Row],[COD CART]],[1]!MatrizCortoLargoCyl[#All],3,0),"")</f>
        <v/>
      </c>
      <c r="F4767" s="13" t="inlineStr">
        <is>
          <t>BIOX</t>
        </is>
      </c>
      <c r="G4767" s="6" t="n">
        <v>100</v>
      </c>
      <c r="H4767" s="6" t="n">
        <v>-1381.518</v>
      </c>
      <c r="I4767" s="7">
        <f>-H4767/G4767</f>
        <v/>
      </c>
      <c r="J4767" s="11" t="n">
        <v>44707</v>
      </c>
      <c r="K4767" s="6" t="n">
        <v>100</v>
      </c>
      <c r="L4767" s="6" t="n">
        <v>1405.803</v>
      </c>
      <c r="M4767" s="7">
        <f>IF(N4767=0,+L4767+H4767,0)</f>
        <v/>
      </c>
      <c r="N4767" s="7">
        <f>IF((+G4767-K4767)=0,0,+G4767-K4767)</f>
        <v/>
      </c>
      <c r="O4767" s="7">
        <f>IF(N4767=0,0,(L4767+H4767)/-N4767)</f>
        <v/>
      </c>
      <c r="P4767" s="7">
        <f>VLOOKUP(OPERAC[[#This Row],[especie]],[1]!ESPECIES[#All],6,0)</f>
        <v/>
      </c>
      <c r="Q4767" s="7">
        <f>IF(N4767&lt;&gt;0,P4767*N4767,0)</f>
        <v/>
      </c>
      <c r="R4767" s="8">
        <f>IF(Q4767&lt;&gt;0,Q4767+H4767+L4767,0)</f>
        <v/>
      </c>
      <c r="S4767" s="9">
        <f>VLOOKUP(OPERAC[[#This Row],[especie]],[1]!ESPECIES[#Data],9,FALSE)</f>
        <v/>
      </c>
    </row>
    <row r="4768">
      <c r="A4768" s="4" t="n">
        <v>2194</v>
      </c>
      <c r="B4768" s="5" t="n">
        <v>44663</v>
      </c>
      <c r="C4768" s="13" t="inlineStr">
        <is>
          <t>CPR</t>
        </is>
      </c>
      <c r="D4768" s="13" t="n">
        <v>32</v>
      </c>
      <c r="E4768" s="10">
        <f>IF(D4768&gt;0,VLOOKUP(OPERAC[[#This Row],[COD CART]],[1]!MatrizCortoLargoCyl[#All],3,0),"")</f>
        <v/>
      </c>
      <c r="F4768" s="13" t="inlineStr">
        <is>
          <t>PCT/CYL/7,50/20-05-22</t>
        </is>
      </c>
      <c r="G4768" s="6" t="n">
        <v>200</v>
      </c>
      <c r="H4768" s="6" t="n">
        <v>-1382.248</v>
      </c>
      <c r="I4768" s="7">
        <f>-H4768/G4768</f>
        <v/>
      </c>
      <c r="J4768" s="11" t="n">
        <v>44686</v>
      </c>
      <c r="K4768" s="6" t="n">
        <v>200</v>
      </c>
      <c r="L4768" s="6" t="n">
        <v>1388.29</v>
      </c>
      <c r="M4768" s="7">
        <f>IF(N4768=0,+L4768+H4768,0)</f>
        <v/>
      </c>
      <c r="N4768" s="7">
        <f>IF((+G4768-K4768)=0,0,+G4768-K4768)</f>
        <v/>
      </c>
      <c r="O4768" s="7">
        <f>IF(N4768=0,0,(L4768+H4768)/-N4768)</f>
        <v/>
      </c>
      <c r="P4768" s="7">
        <f>VLOOKUP(OPERAC[[#This Row],[especie]],[1]!ESPECIES[#All],6,0)</f>
        <v/>
      </c>
      <c r="Q4768" s="7">
        <f>IF(N4768&lt;&gt;0,P4768*N4768,0)</f>
        <v/>
      </c>
      <c r="R4768" s="8">
        <f>IF(Q4768&lt;&gt;0,Q4768+H4768+L4768,0)</f>
        <v/>
      </c>
      <c r="S4768" s="9">
        <f>VLOOKUP(OPERAC[[#This Row],[especie]],[1]!ESPECIES[#Data],9,FALSE)</f>
        <v/>
      </c>
    </row>
    <row r="4769">
      <c r="A4769" s="4" t="n">
        <v>15194</v>
      </c>
      <c r="B4769" s="5" t="n">
        <v>44526</v>
      </c>
      <c r="C4769" s="13" t="inlineStr">
        <is>
          <t>CPR</t>
        </is>
      </c>
      <c r="D4769" s="13" t="n">
        <v>32</v>
      </c>
      <c r="E4769" s="10">
        <f>IF(D4769&gt;0,VLOOKUP(OPERAC[[#This Row],[COD CART]],[1]!MatrizCortoLargoCyl[#All],3,0),"")</f>
        <v/>
      </c>
      <c r="F4769" s="13" t="inlineStr">
        <is>
          <t>INO/CYL/8,00/18-02-22</t>
        </is>
      </c>
      <c r="G4769" s="6" t="n">
        <v>200</v>
      </c>
      <c r="H4769" s="6">
        <f>-7.59*OPERAC[[#This Row],[cantidad]]+95.866+29.158+9.414</f>
        <v/>
      </c>
      <c r="I4769" s="7">
        <f>-H4769/G4769</f>
        <v/>
      </c>
      <c r="J4769" s="11" t="n">
        <v>44596</v>
      </c>
      <c r="K4769" s="6" t="n">
        <v>200</v>
      </c>
      <c r="L4769" s="6">
        <f>3.665*OPERAC[[#This Row],[cantidad venta]]</f>
        <v/>
      </c>
      <c r="M4769" s="7">
        <f>IF(N4769=0,+L4769+H4769,0)</f>
        <v/>
      </c>
      <c r="N4769" s="7">
        <f>IF((+G4769-K4769)=0,0,+G4769-K4769)</f>
        <v/>
      </c>
      <c r="O4769" s="7">
        <f>IF(N4769=0,0,(L4769+H4769)/-N4769)</f>
        <v/>
      </c>
      <c r="P4769" s="7">
        <f>VLOOKUP(OPERAC[[#This Row],[especie]],[1]!ESPECIES[#All],6,0)</f>
        <v/>
      </c>
      <c r="Q4769" s="7">
        <f>IF(N4769&lt;&gt;0,P4769*N4769,0)</f>
        <v/>
      </c>
      <c r="R4769" s="8">
        <f>IF(Q4769&lt;&gt;0,Q4769+H4769+L4769,0)</f>
        <v/>
      </c>
      <c r="S4769" s="9">
        <f>VLOOKUP(OPERAC[[#This Row],[especie]],[1]!ESPECIES[#Data],9,FALSE)</f>
        <v/>
      </c>
    </row>
    <row r="4770">
      <c r="A4770" s="4" t="n">
        <v>15189</v>
      </c>
      <c r="B4770" s="5" t="n">
        <v>44166</v>
      </c>
      <c r="C4770" s="13" t="inlineStr">
        <is>
          <t>CPR</t>
        </is>
      </c>
      <c r="D4770" s="13" t="n">
        <v>40</v>
      </c>
      <c r="E4770" s="10">
        <f>IF(D4770&gt;0,VLOOKUP(OPERAC[[#This Row],[COD CART]],[1]!MatrizCortoLargoCyl[#All],3,0),"")</f>
        <v/>
      </c>
      <c r="F4770" s="13" t="inlineStr">
        <is>
          <t>HMY</t>
        </is>
      </c>
      <c r="G4770" s="6" t="n">
        <v>200</v>
      </c>
      <c r="H4770" s="6" t="n">
        <v>-1384.95</v>
      </c>
      <c r="I4770" s="7">
        <f>-H4770/G4770</f>
        <v/>
      </c>
      <c r="J4770" s="11" t="n">
        <v>44704</v>
      </c>
      <c r="K4770" s="6" t="n">
        <v>200</v>
      </c>
      <c r="L4770" s="6" t="n">
        <v>732.7190000000001</v>
      </c>
      <c r="M4770" s="7">
        <f>IF(N4770=0,+L4770+H4770,0)</f>
        <v/>
      </c>
      <c r="N4770" s="7">
        <f>IF((+G4770-K4770)=0,0,+G4770-K4770)</f>
        <v/>
      </c>
      <c r="O4770" s="7">
        <f>IF(N4770=0,0,(L4770+H4770)/-N4770)</f>
        <v/>
      </c>
      <c r="P4770" s="7">
        <f>VLOOKUP(OPERAC[[#This Row],[especie]],[1]!ESPECIES[#All],6,0)</f>
        <v/>
      </c>
      <c r="Q4770" s="7">
        <f>IF(N4770&lt;&gt;0,P4770*N4770,0)</f>
        <v/>
      </c>
      <c r="R4770" s="8">
        <f>IF(Q4770&lt;&gt;0,Q4770+H4770+L4770,0)</f>
        <v/>
      </c>
      <c r="S4770" s="9">
        <f>VLOOKUP(OPERAC[[#This Row],[especie]],[1]!ESPECIES[#Data],9,FALSE)</f>
        <v/>
      </c>
    </row>
    <row r="4771">
      <c r="A4771" s="4" t="n">
        <v>22393</v>
      </c>
      <c r="B4771" s="5" t="n">
        <v>44482</v>
      </c>
      <c r="C4771" s="13" t="inlineStr">
        <is>
          <t>CPR</t>
        </is>
      </c>
      <c r="D4771" s="13" t="n">
        <v>41</v>
      </c>
      <c r="E4771" s="10">
        <f>IF(D4771&gt;0,VLOOKUP(OPERAC[[#This Row],[COD CART]],[1]!MatrizCortoLargoCyl[#All],3,0),"")</f>
        <v/>
      </c>
      <c r="F4771" s="13" t="inlineStr">
        <is>
          <t>UNG/CYL/16,00/04-03-22</t>
        </is>
      </c>
      <c r="G4771" s="6" t="n">
        <v>100</v>
      </c>
      <c r="H4771" s="6">
        <f>-1902.592+76.706+124.944+123.35+26.711+83.053+33.02+49.27</f>
        <v/>
      </c>
      <c r="I4771" s="7">
        <f>-H4771/G4771</f>
        <v/>
      </c>
      <c r="J4771" s="11" t="n">
        <v>44624</v>
      </c>
      <c r="K4771" s="6" t="n">
        <v>100</v>
      </c>
      <c r="L4771" s="6" t="n">
        <v>1587.2</v>
      </c>
      <c r="M4771" s="7">
        <f>IF(N4771=0,+L4771+H4771,0)</f>
        <v/>
      </c>
      <c r="N4771" s="7">
        <f>IF((+G4771-K4771)=0,0,+G4771-K4771)</f>
        <v/>
      </c>
      <c r="O4771" s="7" t="n">
        <v>14.29</v>
      </c>
      <c r="P4771" s="7">
        <f>VLOOKUP(OPERAC[[#This Row],[especie]],[1]!ESPECIES[#All],6,0)</f>
        <v/>
      </c>
      <c r="Q4771" s="7">
        <f>IF(N4771&lt;&gt;0,P4771*N4771,0)</f>
        <v/>
      </c>
      <c r="R4771" s="8">
        <f>IF(Q4771&lt;&gt;0,Q4771+H4771+L4771,0)</f>
        <v/>
      </c>
      <c r="S4771" s="9">
        <f>VLOOKUP(OPERAC[[#This Row],[especie]],[1]!ESPECIES[#Data],9,FALSE)</f>
        <v/>
      </c>
    </row>
    <row r="4772">
      <c r="A4772" s="4" t="n">
        <v>2218</v>
      </c>
      <c r="B4772" s="5" t="n">
        <v>44712</v>
      </c>
      <c r="C4772" s="13" t="inlineStr">
        <is>
          <t>CPR</t>
        </is>
      </c>
      <c r="D4772" s="13" t="n">
        <v>32</v>
      </c>
      <c r="E4772" s="10">
        <f>IF(D4772&gt;0,VLOOKUP(OPERAC[[#This Row],[COD CART]],[1]!MatrizCortoLargoCyl[#All],3,0),"")</f>
        <v/>
      </c>
      <c r="F4772" s="13" t="inlineStr">
        <is>
          <t>CRESY/CYL/7,50/17-06-22</t>
        </is>
      </c>
      <c r="G4772" s="6" t="n">
        <v>200</v>
      </c>
      <c r="H4772" s="6" t="n">
        <v>-1386.15</v>
      </c>
      <c r="I4772" s="7">
        <f>-H4772/G4772</f>
        <v/>
      </c>
      <c r="J4772" s="5" t="n"/>
      <c r="K4772" s="6" t="n"/>
      <c r="L4772" s="6" t="n"/>
      <c r="M4772" s="7">
        <f>IF(N4772=0,+L4772+H4772,0)</f>
        <v/>
      </c>
      <c r="N4772" s="7">
        <f>IF((+G4772-K4772)=0,0,+G4772-K4772)</f>
        <v/>
      </c>
      <c r="O4772" s="7">
        <f>IF(N4772=0,0,(L4772+H4772)/-N4772)</f>
        <v/>
      </c>
      <c r="P4772" s="7">
        <f>VLOOKUP(OPERAC[[#This Row],[especie]],[1]!ESPECIES[#All],6,0)</f>
        <v/>
      </c>
      <c r="Q4772" s="7">
        <f>IF(N4772&lt;&gt;0,P4772*N4772,0)</f>
        <v/>
      </c>
      <c r="R4772" s="8">
        <f>IF(Q4772&lt;&gt;0,Q4772+H4772+L4772,0)</f>
        <v/>
      </c>
      <c r="S4772" s="9">
        <f>VLOOKUP(OPERAC[[#This Row],[especie]],[1]!ESPECIES[#Data],9,FALSE)</f>
        <v/>
      </c>
    </row>
    <row r="4773">
      <c r="A4773" s="4" t="n">
        <v>2257</v>
      </c>
      <c r="B4773" s="5" t="n">
        <v>44712</v>
      </c>
      <c r="C4773" s="13" t="inlineStr">
        <is>
          <t>CPR</t>
        </is>
      </c>
      <c r="D4773" s="13" t="n">
        <v>32</v>
      </c>
      <c r="E4773" s="10">
        <f>IF(D4773&gt;0,VLOOKUP(OPERAC[[#This Row],[COD CART]],[1]!MatrizCortoLargoCyl[#All],3,0),"")</f>
        <v/>
      </c>
      <c r="F4773" s="13" t="inlineStr">
        <is>
          <t>CRESY/CYL/7,50/17-06-22</t>
        </is>
      </c>
      <c r="G4773" s="6" t="n">
        <v>200</v>
      </c>
      <c r="H4773" s="6" t="n">
        <v>-1386.15</v>
      </c>
      <c r="I4773" s="7">
        <f>-H4773/G4773</f>
        <v/>
      </c>
      <c r="J4773" s="5" t="n"/>
      <c r="K4773" s="6" t="n"/>
      <c r="L4773" s="6" t="n"/>
      <c r="M4773" s="7">
        <f>IF(N4773=0,+L4773+H4773,0)</f>
        <v/>
      </c>
      <c r="N4773" s="7">
        <f>IF((+G4773-K4773)=0,0,+G4773-K4773)</f>
        <v/>
      </c>
      <c r="O4773" s="7">
        <f>IF(N4773=0,0,(L4773+H4773)/-N4773)</f>
        <v/>
      </c>
      <c r="P4773" s="7">
        <f>VLOOKUP(OPERAC[[#This Row],[especie]],[1]!ESPECIES[#All],6,0)</f>
        <v/>
      </c>
      <c r="Q4773" s="7">
        <f>IF(N4773&lt;&gt;0,P4773*N4773,0)</f>
        <v/>
      </c>
      <c r="R4773" s="8">
        <f>IF(Q4773&lt;&gt;0,Q4773+H4773+L4773,0)</f>
        <v/>
      </c>
      <c r="S4773" s="9">
        <f>VLOOKUP(OPERAC[[#This Row],[especie]],[1]!ESPECIES[#Data],9,FALSE)</f>
        <v/>
      </c>
    </row>
    <row r="4774">
      <c r="A4774" s="4" t="n">
        <v>3787</v>
      </c>
      <c r="B4774" s="5" t="n">
        <v>44712</v>
      </c>
      <c r="C4774" s="13" t="inlineStr">
        <is>
          <t>CPR</t>
        </is>
      </c>
      <c r="D4774" s="13" t="n">
        <v>32</v>
      </c>
      <c r="E4774" s="10">
        <f>IF(D4774&gt;0,VLOOKUP(OPERAC[[#This Row],[COD CART]],[1]!MatrizCortoLargoCyl[#All],3,0),"")</f>
        <v/>
      </c>
      <c r="F4774" s="13" t="inlineStr">
        <is>
          <t>CRESY/CYL/7,50/17-06-22</t>
        </is>
      </c>
      <c r="G4774" s="6" t="n">
        <v>200</v>
      </c>
      <c r="H4774" s="6" t="n">
        <v>-1386.15</v>
      </c>
      <c r="I4774" s="7">
        <f>-H4774/G4774</f>
        <v/>
      </c>
      <c r="J4774" s="5" t="n"/>
      <c r="K4774" s="6" t="n"/>
      <c r="L4774" s="6" t="n"/>
      <c r="M4774" s="7">
        <f>IF(N4774=0,+L4774+H4774,0)</f>
        <v/>
      </c>
      <c r="N4774" s="7">
        <f>IF((+G4774-K4774)=0,0,+G4774-K4774)</f>
        <v/>
      </c>
      <c r="O4774" s="7">
        <f>IF(N4774=0,0,(L4774+H4774)/-N4774)</f>
        <v/>
      </c>
      <c r="P4774" s="7">
        <f>VLOOKUP(OPERAC[[#This Row],[especie]],[1]!ESPECIES[#All],6,0)</f>
        <v/>
      </c>
      <c r="Q4774" s="7">
        <f>IF(N4774&lt;&gt;0,P4774*N4774,0)</f>
        <v/>
      </c>
      <c r="R4774" s="8">
        <f>IF(Q4774&lt;&gt;0,Q4774+H4774+L4774,0)</f>
        <v/>
      </c>
      <c r="S4774" s="9">
        <f>VLOOKUP(OPERAC[[#This Row],[especie]],[1]!ESPECIES[#Data],9,FALSE)</f>
        <v/>
      </c>
    </row>
    <row r="4775">
      <c r="A4775" s="4" t="n">
        <v>26140</v>
      </c>
      <c r="B4775" s="5" t="n">
        <v>44712</v>
      </c>
      <c r="C4775" s="13" t="inlineStr">
        <is>
          <t>CPR</t>
        </is>
      </c>
      <c r="D4775" s="13" t="n">
        <v>32</v>
      </c>
      <c r="E4775" s="10">
        <f>IF(D4775&gt;0,VLOOKUP(OPERAC[[#This Row],[COD CART]],[1]!MatrizCortoLargoCyl[#All],3,0),"")</f>
        <v/>
      </c>
      <c r="F4775" s="13" t="inlineStr">
        <is>
          <t>CRESY/CYL/7,50/17-06-22</t>
        </is>
      </c>
      <c r="G4775" s="6" t="n">
        <v>200</v>
      </c>
      <c r="H4775" s="6" t="n">
        <v>-1386.15</v>
      </c>
      <c r="I4775" s="7">
        <f>-H4775/G4775</f>
        <v/>
      </c>
      <c r="J4775" s="5" t="n"/>
      <c r="K4775" s="6" t="n"/>
      <c r="L4775" s="6" t="n"/>
      <c r="M4775" s="7">
        <f>IF(N4775=0,+L4775+H4775,0)</f>
        <v/>
      </c>
      <c r="N4775" s="7">
        <f>IF((+G4775-K4775)=0,0,+G4775-K4775)</f>
        <v/>
      </c>
      <c r="O4775" s="7">
        <f>IF(N4775=0,0,(L4775+H4775)/-N4775)</f>
        <v/>
      </c>
      <c r="P4775" s="7">
        <f>VLOOKUP(OPERAC[[#This Row],[especie]],[1]!ESPECIES[#All],6,0)</f>
        <v/>
      </c>
      <c r="Q4775" s="7">
        <f>IF(N4775&lt;&gt;0,P4775*N4775,0)</f>
        <v/>
      </c>
      <c r="R4775" s="8">
        <f>IF(Q4775&lt;&gt;0,Q4775+H4775+L4775,0)</f>
        <v/>
      </c>
      <c r="S4775" s="9">
        <f>VLOOKUP(OPERAC[[#This Row],[especie]],[1]!ESPECIES[#Data],9,FALSE)</f>
        <v/>
      </c>
    </row>
    <row r="4776">
      <c r="A4776" s="4" t="n">
        <v>26137</v>
      </c>
      <c r="B4776" s="5" t="n">
        <v>44712</v>
      </c>
      <c r="C4776" s="13" t="inlineStr">
        <is>
          <t>CPR</t>
        </is>
      </c>
      <c r="D4776" s="13" t="n">
        <v>32</v>
      </c>
      <c r="E4776" s="10">
        <f>IF(D4776&gt;0,VLOOKUP(OPERAC[[#This Row],[COD CART]],[1]!MatrizCortoLargoCyl[#All],3,0),"")</f>
        <v/>
      </c>
      <c r="F4776" s="13" t="inlineStr">
        <is>
          <t>CRESY/CYL/7,50/17-06-22</t>
        </is>
      </c>
      <c r="G4776" s="6" t="n">
        <v>200</v>
      </c>
      <c r="H4776" s="6" t="n">
        <v>-1386.15</v>
      </c>
      <c r="I4776" s="7">
        <f>-H4776/G4776</f>
        <v/>
      </c>
      <c r="J4776" s="5" t="n"/>
      <c r="K4776" s="6" t="n"/>
      <c r="L4776" s="6" t="n"/>
      <c r="M4776" s="7">
        <f>IF(N4776=0,+L4776+H4776,0)</f>
        <v/>
      </c>
      <c r="N4776" s="7">
        <f>IF((+G4776-K4776)=0,0,+G4776-K4776)</f>
        <v/>
      </c>
      <c r="O4776" s="7">
        <f>IF(N4776=0,0,(L4776+H4776)/-N4776)</f>
        <v/>
      </c>
      <c r="P4776" s="7">
        <f>VLOOKUP(OPERAC[[#This Row],[especie]],[1]!ESPECIES[#All],6,0)</f>
        <v/>
      </c>
      <c r="Q4776" s="7">
        <f>IF(N4776&lt;&gt;0,P4776*N4776,0)</f>
        <v/>
      </c>
      <c r="R4776" s="8">
        <f>IF(Q4776&lt;&gt;0,Q4776+H4776+L4776,0)</f>
        <v/>
      </c>
      <c r="S4776" s="9">
        <f>VLOOKUP(OPERAC[[#This Row],[especie]],[1]!ESPECIES[#Data],9,FALSE)</f>
        <v/>
      </c>
    </row>
    <row r="4777">
      <c r="A4777" s="4" t="n">
        <v>22439</v>
      </c>
      <c r="B4777" s="5" t="n">
        <v>44712</v>
      </c>
      <c r="C4777" s="13" t="inlineStr">
        <is>
          <t>CPR</t>
        </is>
      </c>
      <c r="D4777" s="13" t="n">
        <v>32</v>
      </c>
      <c r="E4777" s="10">
        <f>IF(D4777&gt;0,VLOOKUP(OPERAC[[#This Row],[COD CART]],[1]!MatrizCortoLargoCyl[#All],3,0),"")</f>
        <v/>
      </c>
      <c r="F4777" s="13" t="inlineStr">
        <is>
          <t>CRESY/CYL/7,50/17-06-22</t>
        </is>
      </c>
      <c r="G4777" s="6" t="n">
        <v>200</v>
      </c>
      <c r="H4777" s="6" t="n">
        <v>-1386.15</v>
      </c>
      <c r="I4777" s="7">
        <f>-H4777/G4777</f>
        <v/>
      </c>
      <c r="J4777" s="5" t="n"/>
      <c r="K4777" s="6" t="n"/>
      <c r="L4777" s="6" t="n"/>
      <c r="M4777" s="7">
        <f>IF(N4777=0,+L4777+H4777,0)</f>
        <v/>
      </c>
      <c r="N4777" s="7">
        <f>IF((+G4777-K4777)=0,0,+G4777-K4777)</f>
        <v/>
      </c>
      <c r="O4777" s="7">
        <f>IF(N4777=0,0,(L4777+H4777)/-N4777)</f>
        <v/>
      </c>
      <c r="P4777" s="7">
        <f>VLOOKUP(OPERAC[[#This Row],[especie]],[1]!ESPECIES[#All],6,0)</f>
        <v/>
      </c>
      <c r="Q4777" s="7">
        <f>IF(N4777&lt;&gt;0,P4777*N4777,0)</f>
        <v/>
      </c>
      <c r="R4777" s="8">
        <f>IF(Q4777&lt;&gt;0,Q4777+H4777+L4777,0)</f>
        <v/>
      </c>
      <c r="S4777" s="9">
        <f>VLOOKUP(OPERAC[[#This Row],[especie]],[1]!ESPECIES[#Data],9,FALSE)</f>
        <v/>
      </c>
    </row>
    <row r="4778">
      <c r="A4778" s="4" t="n">
        <v>19932</v>
      </c>
      <c r="B4778" s="5" t="n">
        <v>44712</v>
      </c>
      <c r="C4778" s="13" t="inlineStr">
        <is>
          <t>CPR</t>
        </is>
      </c>
      <c r="D4778" s="13" t="n">
        <v>32</v>
      </c>
      <c r="E4778" s="10">
        <f>IF(D4778&gt;0,VLOOKUP(OPERAC[[#This Row],[COD CART]],[1]!MatrizCortoLargoCyl[#All],3,0),"")</f>
        <v/>
      </c>
      <c r="F4778" s="13" t="inlineStr">
        <is>
          <t>CRESY/CYL/7,50/17-06-22</t>
        </is>
      </c>
      <c r="G4778" s="6" t="n">
        <v>200</v>
      </c>
      <c r="H4778" s="6" t="n">
        <v>-1386.15</v>
      </c>
      <c r="I4778" s="7">
        <f>-H4778/G4778</f>
        <v/>
      </c>
      <c r="J4778" s="5" t="n"/>
      <c r="K4778" s="6" t="n"/>
      <c r="L4778" s="6" t="n"/>
      <c r="M4778" s="7">
        <f>IF(N4778=0,+L4778+H4778,0)</f>
        <v/>
      </c>
      <c r="N4778" s="7">
        <f>IF((+G4778-K4778)=0,0,+G4778-K4778)</f>
        <v/>
      </c>
      <c r="O4778" s="7">
        <f>IF(N4778=0,0,(L4778+H4778)/-N4778)</f>
        <v/>
      </c>
      <c r="P4778" s="7">
        <f>VLOOKUP(OPERAC[[#This Row],[especie]],[1]!ESPECIES[#All],6,0)</f>
        <v/>
      </c>
      <c r="Q4778" s="7">
        <f>IF(N4778&lt;&gt;0,P4778*N4778,0)</f>
        <v/>
      </c>
      <c r="R4778" s="8">
        <f>IF(Q4778&lt;&gt;0,Q4778+H4778+L4778,0)</f>
        <v/>
      </c>
      <c r="S4778" s="9">
        <f>VLOOKUP(OPERAC[[#This Row],[especie]],[1]!ESPECIES[#Data],9,FALSE)</f>
        <v/>
      </c>
    </row>
    <row r="4779">
      <c r="A4779" s="4" t="n">
        <v>13246</v>
      </c>
      <c r="B4779" s="5" t="n">
        <v>44712</v>
      </c>
      <c r="C4779" s="13" t="inlineStr">
        <is>
          <t>CPR</t>
        </is>
      </c>
      <c r="D4779" s="13" t="n">
        <v>32</v>
      </c>
      <c r="E4779" s="10">
        <f>IF(D4779&gt;0,VLOOKUP(OPERAC[[#This Row],[COD CART]],[1]!MatrizCortoLargoCyl[#All],3,0),"")</f>
        <v/>
      </c>
      <c r="F4779" s="13" t="inlineStr">
        <is>
          <t>CRESY/CYL/7,50/17-06-22</t>
        </is>
      </c>
      <c r="G4779" s="6" t="n">
        <v>200</v>
      </c>
      <c r="H4779" s="6" t="n">
        <v>-1386.15</v>
      </c>
      <c r="I4779" s="7">
        <f>-H4779/G4779</f>
        <v/>
      </c>
      <c r="J4779" s="5" t="n"/>
      <c r="K4779" s="6" t="n"/>
      <c r="L4779" s="6" t="n"/>
      <c r="M4779" s="7">
        <f>IF(N4779=0,+L4779+H4779,0)</f>
        <v/>
      </c>
      <c r="N4779" s="7">
        <f>IF((+G4779-K4779)=0,0,+G4779-K4779)</f>
        <v/>
      </c>
      <c r="O4779" s="7">
        <f>IF(N4779=0,0,(L4779+H4779)/-N4779)</f>
        <v/>
      </c>
      <c r="P4779" s="7">
        <f>VLOOKUP(OPERAC[[#This Row],[especie]],[1]!ESPECIES[#All],6,0)</f>
        <v/>
      </c>
      <c r="Q4779" s="7">
        <f>IF(N4779&lt;&gt;0,P4779*N4779,0)</f>
        <v/>
      </c>
      <c r="R4779" s="8">
        <f>IF(Q4779&lt;&gt;0,Q4779+H4779+L4779,0)</f>
        <v/>
      </c>
      <c r="S4779" s="9">
        <f>VLOOKUP(OPERAC[[#This Row],[especie]],[1]!ESPECIES[#Data],9,FALSE)</f>
        <v/>
      </c>
    </row>
    <row r="4780">
      <c r="A4780" s="4" t="n">
        <v>2218</v>
      </c>
      <c r="B4780" s="5" t="n">
        <v>44650</v>
      </c>
      <c r="C4780" s="13" t="inlineStr">
        <is>
          <t>CPR</t>
        </is>
      </c>
      <c r="D4780" s="13" t="n">
        <v>42</v>
      </c>
      <c r="E4780" s="10">
        <f>IF(D4780&gt;0,VLOOKUP(OPERAC[[#This Row],[COD CART]],[1]!MatrizCortoLargoCyl[#All],3,0),"")</f>
        <v/>
      </c>
      <c r="F4780" s="13" t="inlineStr">
        <is>
          <t>ADBE</t>
        </is>
      </c>
      <c r="G4780" s="6" t="n">
        <v>3</v>
      </c>
      <c r="H4780" s="6" t="n">
        <v>-1389.22515</v>
      </c>
      <c r="I4780" s="7">
        <f>-H4780/G4780</f>
        <v/>
      </c>
      <c r="J4780" s="11" t="n">
        <v>44687</v>
      </c>
      <c r="K4780" s="6">
        <f>+OPERAC[[#This Row],[cantidad]]</f>
        <v/>
      </c>
      <c r="L4780" s="6" t="n">
        <v>1250.12</v>
      </c>
      <c r="M4780" s="7">
        <f>IF(N4780=0,+L4780+H4780,0)</f>
        <v/>
      </c>
      <c r="N4780" s="7">
        <f>IF((+G4780-K4780)=0,0,+G4780-K4780)</f>
        <v/>
      </c>
      <c r="O4780" s="7">
        <f>IF(N4780=0,0,(L4780+H4780)/-N4780)</f>
        <v/>
      </c>
      <c r="P4780" s="7">
        <f>VLOOKUP(OPERAC[[#This Row],[especie]],[1]!ESPECIES[#All],6,0)</f>
        <v/>
      </c>
      <c r="Q4780" s="7">
        <f>IF(N4780&lt;&gt;0,P4780*N4780,0)</f>
        <v/>
      </c>
      <c r="R4780" s="8">
        <f>IF(Q4780&lt;&gt;0,Q4780+H4780+L4780,0)</f>
        <v/>
      </c>
      <c r="S4780" s="9">
        <f>VLOOKUP(OPERAC[[#This Row],[especie]],[1]!ESPECIES[#Data],9,FALSE)</f>
        <v/>
      </c>
    </row>
    <row r="4781">
      <c r="A4781" s="4" t="n">
        <v>13253</v>
      </c>
      <c r="B4781" s="5" t="n">
        <v>44594</v>
      </c>
      <c r="C4781" s="13" t="inlineStr">
        <is>
          <t>CPR</t>
        </is>
      </c>
      <c r="D4781" s="13" t="n">
        <v>41</v>
      </c>
      <c r="E4781" s="10">
        <f>IF(D4781&gt;0,VLOOKUP(OPERAC[[#This Row],[COD CART]],[1]!MatrizCortoLargoCyl[#All],3,0),"")</f>
        <v/>
      </c>
      <c r="F4781" s="13" t="inlineStr">
        <is>
          <t>SFM</t>
        </is>
      </c>
      <c r="G4781" s="6" t="n">
        <v>50</v>
      </c>
      <c r="H4781" s="6" t="n">
        <v>-1389.353</v>
      </c>
      <c r="I4781" s="7">
        <f>-H4781/G4781</f>
        <v/>
      </c>
      <c r="J4781" s="11" t="n">
        <v>44624</v>
      </c>
      <c r="K4781" s="6">
        <f>20+20</f>
        <v/>
      </c>
      <c r="L4781" s="6">
        <f>661.646+675.874</f>
        <v/>
      </c>
      <c r="M4781" s="7">
        <f>IF(N4781=0,+L4781+H4781,0)</f>
        <v/>
      </c>
      <c r="N4781" s="7">
        <f>IF((+G4781-K4781)=0,0,+G4781-K4781)</f>
        <v/>
      </c>
      <c r="O4781" s="7">
        <f>IF(N4781=0,0,(L4781+H4781)/-N4781)</f>
        <v/>
      </c>
      <c r="P4781" s="7">
        <f>VLOOKUP(OPERAC[[#This Row],[especie]],[1]!ESPECIES[#All],6,0)</f>
        <v/>
      </c>
      <c r="Q4781" s="7">
        <f>IF(N4781&lt;&gt;0,P4781*N4781,0)</f>
        <v/>
      </c>
      <c r="R4781" s="8">
        <f>IF(Q4781&lt;&gt;0,Q4781+H4781+L4781,0)</f>
        <v/>
      </c>
      <c r="S4781" s="9">
        <f>VLOOKUP(OPERAC[[#This Row],[especie]],[1]!ESPECIES[#Data],9,FALSE)</f>
        <v/>
      </c>
    </row>
    <row r="4782">
      <c r="A4782" s="4" t="n">
        <v>2218</v>
      </c>
      <c r="B4782" s="5" t="n">
        <v>44159</v>
      </c>
      <c r="C4782" s="13" t="inlineStr">
        <is>
          <t>CPR</t>
        </is>
      </c>
      <c r="D4782" s="13" t="n">
        <v>32</v>
      </c>
      <c r="E4782" s="10">
        <f>IF(D4782&gt;0,VLOOKUP(OPERAC[[#This Row],[COD CART]],[1]!MatrizCortoLargoCyl[#All],3,0),"")</f>
        <v/>
      </c>
      <c r="F4782" s="13" t="inlineStr">
        <is>
          <t>CCL/CYL/20,00/21-01-22</t>
        </is>
      </c>
      <c r="G4782" s="6" t="n">
        <v>100</v>
      </c>
      <c r="H4782" s="6" t="n">
        <v>-1389.67</v>
      </c>
      <c r="I4782" s="7">
        <f>-H4782/G4782</f>
        <v/>
      </c>
      <c r="J4782" s="11" t="n">
        <v>44571</v>
      </c>
      <c r="K4782" s="6" t="n">
        <v>100</v>
      </c>
      <c r="L4782" s="6" t="n">
        <v>1958.637</v>
      </c>
      <c r="M4782" s="7">
        <f>IF(N4782=0,+L4782+H4782,0)</f>
        <v/>
      </c>
      <c r="N4782" s="7">
        <f>IF((+G4782-K4782)=0,0,+G4782-K4782)</f>
        <v/>
      </c>
      <c r="O4782" s="7">
        <f>IF(N4782=0,0,(L4782+H4782)/-N4782)</f>
        <v/>
      </c>
      <c r="P4782" s="7">
        <f>VLOOKUP(OPERAC[[#This Row],[especie]],[1]!ESPECIES[#All],6,0)</f>
        <v/>
      </c>
      <c r="Q4782" s="7">
        <f>IF(N4782&lt;&gt;0,P4782*N4782,0)</f>
        <v/>
      </c>
      <c r="R4782" s="8">
        <f>IF(Q4782&lt;&gt;0,Q4782+H4782+L4782,0)</f>
        <v/>
      </c>
      <c r="S4782" s="9">
        <f>VLOOKUP(OPERAC[[#This Row],[especie]],[1]!ESPECIES[#Data],9,FALSE)</f>
        <v/>
      </c>
    </row>
    <row r="4783">
      <c r="A4783" s="4" t="n">
        <v>16824</v>
      </c>
      <c r="B4783" s="5" t="n">
        <v>44536</v>
      </c>
      <c r="C4783" s="13" t="inlineStr">
        <is>
          <t>CPR</t>
        </is>
      </c>
      <c r="D4783" s="13" t="n">
        <v>40</v>
      </c>
      <c r="E4783" s="10">
        <f>IF(D4783&gt;0,VLOOKUP(OPERAC[[#This Row],[COD CART]],[1]!MatrizCortoLargoCyl[#All],3,0),"")</f>
        <v/>
      </c>
      <c r="F4783" s="13" t="inlineStr">
        <is>
          <t>UVXY</t>
        </is>
      </c>
      <c r="G4783" s="6" t="n">
        <v>60</v>
      </c>
      <c r="H4783" s="6" t="n">
        <v>-1390.7352</v>
      </c>
      <c r="I4783" s="7">
        <f>-H4783/G4783</f>
        <v/>
      </c>
      <c r="J4783" s="11" t="n">
        <v>44544</v>
      </c>
      <c r="K4783" s="6">
        <f>10+50</f>
        <v/>
      </c>
      <c r="L4783" s="6">
        <f>168.34+706.739</f>
        <v/>
      </c>
      <c r="M4783" s="7">
        <f>IF(N4783=0,+L4783+H4783,0)</f>
        <v/>
      </c>
      <c r="N4783" s="7">
        <f>IF((+G4783-K4783)=0,0,+G4783-K4783)</f>
        <v/>
      </c>
      <c r="O4783" s="7">
        <f>IF(N4783=0,0,(L4783+H4783)/-N4783)</f>
        <v/>
      </c>
      <c r="P4783" s="7">
        <f>VLOOKUP(OPERAC[[#This Row],[especie]],[1]!ESPECIES[#All],6,0)</f>
        <v/>
      </c>
      <c r="Q4783" s="7">
        <f>IF(N4783&lt;&gt;0,P4783*N4783,0)</f>
        <v/>
      </c>
      <c r="R4783" s="8">
        <f>IF(Q4783&lt;&gt;0,Q4783+H4783+L4783,0)</f>
        <v/>
      </c>
      <c r="S4783" s="9">
        <f>VLOOKUP(OPERAC[[#This Row],[especie]],[1]!ESPECIES[#Data],9,FALSE)</f>
        <v/>
      </c>
    </row>
    <row r="4784">
      <c r="A4784" s="4" t="n">
        <v>16829</v>
      </c>
      <c r="B4784" s="5" t="n">
        <v>44536</v>
      </c>
      <c r="C4784" s="13" t="inlineStr">
        <is>
          <t>CPR</t>
        </is>
      </c>
      <c r="D4784" s="13" t="n">
        <v>40</v>
      </c>
      <c r="E4784" s="10">
        <f>IF(D4784&gt;0,VLOOKUP(OPERAC[[#This Row],[COD CART]],[1]!MatrizCortoLargoCyl[#All],3,0),"")</f>
        <v/>
      </c>
      <c r="F4784" s="13" t="inlineStr">
        <is>
          <t>UVXY</t>
        </is>
      </c>
      <c r="G4784" s="6" t="n">
        <v>60</v>
      </c>
      <c r="H4784" s="6" t="n">
        <v>-1390.7352</v>
      </c>
      <c r="I4784" s="7">
        <f>-H4784/G4784</f>
        <v/>
      </c>
      <c r="J4784" s="11" t="n">
        <v>44571</v>
      </c>
      <c r="K4784" s="6">
        <f>+OPERAC[[#This Row],[cantidad]]</f>
        <v/>
      </c>
      <c r="L4784" s="6">
        <f>+OPERAC[[#This Row],[cantidad venta]]*14.135</f>
        <v/>
      </c>
      <c r="M4784" s="7">
        <f>IF(N4784=0,+L4784+H4784,0)</f>
        <v/>
      </c>
      <c r="N4784" s="7">
        <f>IF((+G4784-K4784)=0,0,+G4784-K4784)</f>
        <v/>
      </c>
      <c r="O4784" s="7">
        <f>IF(N4784=0,0,(L4784+H4784)/-N4784)</f>
        <v/>
      </c>
      <c r="P4784" s="7">
        <f>VLOOKUP(OPERAC[[#This Row],[especie]],[1]!ESPECIES[#All],6,0)</f>
        <v/>
      </c>
      <c r="Q4784" s="7">
        <f>IF(N4784&lt;&gt;0,P4784*N4784,0)</f>
        <v/>
      </c>
      <c r="R4784" s="8">
        <f>IF(Q4784&lt;&gt;0,Q4784+H4784+L4784,0)</f>
        <v/>
      </c>
      <c r="S4784" s="9">
        <f>VLOOKUP(OPERAC[[#This Row],[especie]],[1]!ESPECIES[#Data],9,FALSE)</f>
        <v/>
      </c>
    </row>
    <row r="4785">
      <c r="A4785" s="4" t="n">
        <v>16783</v>
      </c>
      <c r="B4785" s="5" t="n">
        <v>44645</v>
      </c>
      <c r="C4785" s="13" t="inlineStr">
        <is>
          <t>CPR</t>
        </is>
      </c>
      <c r="D4785" s="13" t="n">
        <v>42</v>
      </c>
      <c r="E4785" s="10">
        <f>IF(D4785&gt;0,VLOOKUP(OPERAC[[#This Row],[COD CART]],[1]!MatrizCortoLargoCyl[#All],3,0),"")</f>
        <v/>
      </c>
      <c r="F4785" s="13" t="inlineStr">
        <is>
          <t>PLUG</t>
        </is>
      </c>
      <c r="G4785" s="6" t="n">
        <v>50</v>
      </c>
      <c r="H4785" s="6" t="n">
        <v>-1391.041</v>
      </c>
      <c r="I4785" s="7">
        <f>-H4785/G4785</f>
        <v/>
      </c>
      <c r="J4785" s="11" t="n">
        <v>44652</v>
      </c>
      <c r="K4785" s="6">
        <f>+OPERAC[[#This Row],[cantidad]]</f>
        <v/>
      </c>
      <c r="L4785" s="6">
        <f>+OPERAC[[#This Row],[cantidad venta]]*27.754</f>
        <v/>
      </c>
      <c r="M4785" s="7">
        <f>IF(N4785=0,+L4785+H4785,0)</f>
        <v/>
      </c>
      <c r="N4785" s="7">
        <f>IF((+G4785-K4785)=0,0,+G4785-K4785)</f>
        <v/>
      </c>
      <c r="O4785" s="7">
        <f>IF(N4785=0,0,(L4785+H4785)/-N4785)</f>
        <v/>
      </c>
      <c r="P4785" s="7">
        <f>VLOOKUP(OPERAC[[#This Row],[especie]],[1]!ESPECIES[#All],6,0)</f>
        <v/>
      </c>
      <c r="Q4785" s="7">
        <f>IF(N4785&lt;&gt;0,P4785*N4785,0)</f>
        <v/>
      </c>
      <c r="R4785" s="8">
        <f>IF(Q4785&lt;&gt;0,Q4785+H4785+L4785,0)</f>
        <v/>
      </c>
      <c r="S4785" s="9">
        <f>VLOOKUP(OPERAC[[#This Row],[especie]],[1]!ESPECIES[#Data],9,FALSE)</f>
        <v/>
      </c>
    </row>
    <row r="4786">
      <c r="A4786" s="4" t="n">
        <v>16776</v>
      </c>
      <c r="B4786" s="5" t="n">
        <v>44630</v>
      </c>
      <c r="C4786" s="13" t="inlineStr">
        <is>
          <t>CPR</t>
        </is>
      </c>
      <c r="D4786" s="13" t="n">
        <v>32</v>
      </c>
      <c r="E4786" s="10">
        <f>IF(D4786&gt;0,VLOOKUP(OPERAC[[#This Row],[COD CART]],[1]!MatrizCortoLargoCyl[#All],3,0),"")</f>
        <v/>
      </c>
      <c r="F4786" s="13" t="inlineStr">
        <is>
          <t>AAL/CYL/17,00/14-04-22</t>
        </is>
      </c>
      <c r="G4786" s="6" t="n">
        <v>100</v>
      </c>
      <c r="H4786" s="6" t="n">
        <v>-1391.463</v>
      </c>
      <c r="I4786" s="7">
        <f>-H4786/G4786</f>
        <v/>
      </c>
      <c r="J4786" s="11" t="n">
        <v>44651</v>
      </c>
      <c r="K4786" s="6" t="n">
        <v>100</v>
      </c>
      <c r="L4786" s="6" t="n">
        <v>1662.715</v>
      </c>
      <c r="M4786" s="7">
        <f>IF(N4786=0,+L4786+H4786,0)</f>
        <v/>
      </c>
      <c r="N4786" s="7">
        <f>IF((+G4786-K4786)=0,0,+G4786-K4786)</f>
        <v/>
      </c>
      <c r="O4786" s="7">
        <f>IF(N4786=0,0,(L4786+H4786)/-N4786)</f>
        <v/>
      </c>
      <c r="P4786" s="7">
        <f>VLOOKUP(OPERAC[[#This Row],[especie]],[1]!ESPECIES[#All],6,0)</f>
        <v/>
      </c>
      <c r="Q4786" s="7">
        <f>IF(N4786&lt;&gt;0,P4786*N4786,0)</f>
        <v/>
      </c>
      <c r="R4786" s="8">
        <f>IF(Q4786&lt;&gt;0,Q4786+H4786+L4786,0)</f>
        <v/>
      </c>
      <c r="S4786" s="9">
        <f>VLOOKUP(OPERAC[[#This Row],[especie]],[1]!ESPECIES[#Data],9,FALSE)</f>
        <v/>
      </c>
    </row>
    <row r="4787">
      <c r="A4787" s="4" t="n">
        <v>2194</v>
      </c>
      <c r="B4787" s="5" t="n">
        <v>44649</v>
      </c>
      <c r="C4787" s="13" t="inlineStr">
        <is>
          <t>CPR</t>
        </is>
      </c>
      <c r="D4787" s="13" t="n">
        <v>42</v>
      </c>
      <c r="E4787" s="10">
        <f>IF(D4787&gt;0,VLOOKUP(OPERAC[[#This Row],[COD CART]],[1]!MatrizCortoLargoCyl[#All],3,0),"")</f>
        <v/>
      </c>
      <c r="F4787" s="13" t="inlineStr">
        <is>
          <t>ADBE</t>
        </is>
      </c>
      <c r="G4787" s="6" t="n">
        <v>3</v>
      </c>
      <c r="H4787" s="6" t="n">
        <v>-1391.90528</v>
      </c>
      <c r="I4787" s="7">
        <f>-H4787/G4787</f>
        <v/>
      </c>
      <c r="J4787" s="11" t="n">
        <v>44686</v>
      </c>
      <c r="K4787" s="6" t="n">
        <v>3</v>
      </c>
      <c r="L4787" s="6" t="n">
        <v>1229.123</v>
      </c>
      <c r="M4787" s="7">
        <f>IF(N4787=0,+L4787+H4787,0)</f>
        <v/>
      </c>
      <c r="N4787" s="7">
        <f>IF((+G4787-K4787)=0,0,+G4787-K4787)</f>
        <v/>
      </c>
      <c r="O4787" s="7">
        <f>IF(N4787=0,0,(L4787+H4787)/-N4787)</f>
        <v/>
      </c>
      <c r="P4787" s="7">
        <f>VLOOKUP(OPERAC[[#This Row],[especie]],[1]!ESPECIES[#All],6,0)</f>
        <v/>
      </c>
      <c r="Q4787" s="7">
        <f>IF(N4787&lt;&gt;0,P4787*N4787,0)</f>
        <v/>
      </c>
      <c r="R4787" s="8">
        <f>IF(Q4787&lt;&gt;0,Q4787+H4787+L4787,0)</f>
        <v/>
      </c>
      <c r="S4787" s="9">
        <f>VLOOKUP(OPERAC[[#This Row],[especie]],[1]!ESPECIES[#Data],9,FALSE)</f>
        <v/>
      </c>
    </row>
    <row r="4788">
      <c r="A4788" s="4" t="n">
        <v>18690</v>
      </c>
      <c r="B4788" s="5" t="n">
        <v>44649</v>
      </c>
      <c r="C4788" s="13" t="inlineStr">
        <is>
          <t>CPR</t>
        </is>
      </c>
      <c r="D4788" s="13" t="n">
        <v>42</v>
      </c>
      <c r="E4788" s="10">
        <f>IF(D4788&gt;0,VLOOKUP(OPERAC[[#This Row],[COD CART]],[1]!MatrizCortoLargoCyl[#All],3,0),"")</f>
        <v/>
      </c>
      <c r="F4788" s="13" t="inlineStr">
        <is>
          <t>ADBE</t>
        </is>
      </c>
      <c r="G4788" s="6" t="n">
        <v>3</v>
      </c>
      <c r="H4788" s="6" t="n">
        <v>-1391.90528</v>
      </c>
      <c r="I4788" s="7">
        <f>-H4788/G4788</f>
        <v/>
      </c>
      <c r="J4788" s="11" t="n">
        <v>44669</v>
      </c>
      <c r="K4788" s="6" t="n">
        <v>3</v>
      </c>
      <c r="L4788" s="6" t="n">
        <v>1250.123</v>
      </c>
      <c r="M4788" s="7">
        <f>IF(N4788=0,+L4788+H4788,0)</f>
        <v/>
      </c>
      <c r="N4788" s="7">
        <f>IF((+G4788-K4788)=0,0,+G4788-K4788)</f>
        <v/>
      </c>
      <c r="O4788" s="7">
        <f>IF(N4788=0,0,(L4788+H4788)/-N4788)</f>
        <v/>
      </c>
      <c r="P4788" s="7">
        <f>VLOOKUP(OPERAC[[#This Row],[especie]],[1]!ESPECIES[#All],6,0)</f>
        <v/>
      </c>
      <c r="Q4788" s="7">
        <f>IF(N4788&lt;&gt;0,P4788*N4788,0)</f>
        <v/>
      </c>
      <c r="R4788" s="8">
        <f>IF(Q4788&lt;&gt;0,Q4788+H4788+L4788,0)</f>
        <v/>
      </c>
      <c r="S4788" s="9">
        <f>VLOOKUP(OPERAC[[#This Row],[especie]],[1]!ESPECIES[#Data],9,FALSE)</f>
        <v/>
      </c>
    </row>
    <row r="4789">
      <c r="A4789" s="4" t="n">
        <v>4561</v>
      </c>
      <c r="B4789" s="5" t="n">
        <v>44669</v>
      </c>
      <c r="C4789" s="13" t="inlineStr">
        <is>
          <t>CPR</t>
        </is>
      </c>
      <c r="D4789" s="13" t="n">
        <v>32</v>
      </c>
      <c r="E4789" s="10">
        <f>IF(D4789&gt;0,VLOOKUP(OPERAC[[#This Row],[COD CART]],[1]!MatrizCortoLargoCyl[#All],3,0),"")</f>
        <v/>
      </c>
      <c r="F4789" s="13" t="inlineStr">
        <is>
          <t>HMY</t>
        </is>
      </c>
      <c r="G4789" s="6" t="n">
        <v>300</v>
      </c>
      <c r="H4789" s="6">
        <f>-4.64*OPERAC[[#This Row],[cantidad]]</f>
        <v/>
      </c>
      <c r="I4789" s="7">
        <f>-H4789/G4789</f>
        <v/>
      </c>
      <c r="J4789" s="11" t="n">
        <v>44713</v>
      </c>
      <c r="K4789" s="6" t="n">
        <v>300</v>
      </c>
      <c r="L4789" s="6" t="n">
        <v>997.448</v>
      </c>
      <c r="M4789" s="7">
        <f>IF(N4789=0,+L4789+H4789,0)</f>
        <v/>
      </c>
      <c r="N4789" s="7">
        <f>IF((+G4789-K4789)=0,0,+G4789-K4789)</f>
        <v/>
      </c>
      <c r="O4789" s="7">
        <f>IF(N4789=0,0,(L4789+H4789)/-N4789)</f>
        <v/>
      </c>
      <c r="P4789" s="7">
        <f>VLOOKUP(OPERAC[[#This Row],[especie]],[1]!ESPECIES[#All],6,0)</f>
        <v/>
      </c>
      <c r="Q4789" s="7">
        <f>IF(N4789&lt;&gt;0,P4789*N4789,0)</f>
        <v/>
      </c>
      <c r="R4789" s="8">
        <f>IF(Q4789&lt;&gt;0,Q4789+H4789+L4789,0)</f>
        <v/>
      </c>
      <c r="S4789" s="9">
        <f>VLOOKUP(OPERAC[[#This Row],[especie]],[1]!ESPECIES[#Data],9,FALSE)</f>
        <v/>
      </c>
    </row>
    <row r="4790">
      <c r="A4790" s="4" t="n">
        <v>18713</v>
      </c>
      <c r="B4790" s="5" t="n">
        <v>44669</v>
      </c>
      <c r="C4790" s="13" t="inlineStr">
        <is>
          <t>CPR</t>
        </is>
      </c>
      <c r="D4790" s="13" t="n">
        <v>32</v>
      </c>
      <c r="E4790" s="10">
        <f>IF(D4790&gt;0,VLOOKUP(OPERAC[[#This Row],[COD CART]],[1]!MatrizCortoLargoCyl[#All],3,0),"")</f>
        <v/>
      </c>
      <c r="F4790" s="13" t="inlineStr">
        <is>
          <t>HMY</t>
        </is>
      </c>
      <c r="G4790" s="6" t="n">
        <v>300</v>
      </c>
      <c r="H4790" s="6">
        <f>-4.64*OPERAC[[#This Row],[cantidad]]</f>
        <v/>
      </c>
      <c r="I4790" s="7">
        <f>-H4790/G4790</f>
        <v/>
      </c>
      <c r="J4790" s="11" t="n">
        <v>44705</v>
      </c>
      <c r="K4790" s="6">
        <f>100+200</f>
        <v/>
      </c>
      <c r="L4790" s="6">
        <f>366.855+680.714</f>
        <v/>
      </c>
      <c r="M4790" s="7">
        <f>IF(N4790=0,+L4790+H4790,0)</f>
        <v/>
      </c>
      <c r="N4790" s="7">
        <f>IF((+G4790-K4790)=0,0,+G4790-K4790)</f>
        <v/>
      </c>
      <c r="O4790" s="7">
        <f>IF(N4790=0,0,(L4790+H4790)/-N4790)</f>
        <v/>
      </c>
      <c r="P4790" s="7">
        <f>VLOOKUP(OPERAC[[#This Row],[especie]],[1]!ESPECIES[#All],6,0)</f>
        <v/>
      </c>
      <c r="Q4790" s="7">
        <f>IF(N4790&lt;&gt;0,P4790*N4790,0)</f>
        <v/>
      </c>
      <c r="R4790" s="8">
        <f>IF(Q4790&lt;&gt;0,Q4790+H4790+L4790,0)</f>
        <v/>
      </c>
      <c r="S4790" s="9">
        <f>VLOOKUP(OPERAC[[#This Row],[especie]],[1]!ESPECIES[#Data],9,FALSE)</f>
        <v/>
      </c>
    </row>
    <row r="4791">
      <c r="A4791" s="4" t="n">
        <v>15194</v>
      </c>
      <c r="B4791" s="5" t="n">
        <v>44641</v>
      </c>
      <c r="C4791" s="13" t="inlineStr">
        <is>
          <t>CPR</t>
        </is>
      </c>
      <c r="D4791" s="13" t="n">
        <v>42</v>
      </c>
      <c r="E4791" s="10">
        <f>IF(D4791&gt;0,VLOOKUP(OPERAC[[#This Row],[COD CART]],[1]!MatrizCortoLargoCyl[#All],3,0),"")</f>
        <v/>
      </c>
      <c r="F4791" s="13" t="inlineStr">
        <is>
          <t>DIS</t>
        </is>
      </c>
      <c r="G4791" s="6" t="n">
        <v>10</v>
      </c>
      <c r="H4791" s="6" t="n">
        <v>-1392.712</v>
      </c>
      <c r="I4791" s="7">
        <f>-H4791/G4791</f>
        <v/>
      </c>
      <c r="J4791" s="11" t="n">
        <v>44671</v>
      </c>
      <c r="K4791" s="6">
        <f>+OPERAC[[#This Row],[cantidad]]</f>
        <v/>
      </c>
      <c r="L4791" s="6">
        <f>+OPERAC[[#This Row],[cantidad venta]]*123.621</f>
        <v/>
      </c>
      <c r="M4791" s="7">
        <f>IF(N4791=0,+L4791+H4791,0)</f>
        <v/>
      </c>
      <c r="N4791" s="7">
        <f>IF((+G4791-K4791)=0,0,+G4791-K4791)</f>
        <v/>
      </c>
      <c r="O4791" s="7">
        <f>IF(N4791=0,0,(L4791+H4791)/-N4791)</f>
        <v/>
      </c>
      <c r="P4791" s="7">
        <f>VLOOKUP(OPERAC[[#This Row],[especie]],[1]!ESPECIES[#All],6,0)</f>
        <v/>
      </c>
      <c r="Q4791" s="7">
        <f>IF(N4791&lt;&gt;0,P4791*N4791,0)</f>
        <v/>
      </c>
      <c r="R4791" s="8">
        <f>IF(Q4791&lt;&gt;0,Q4791+H4791+L4791,0)</f>
        <v/>
      </c>
      <c r="S4791" s="9">
        <f>VLOOKUP(OPERAC[[#This Row],[especie]],[1]!ESPECIES[#Data],9,FALSE)</f>
        <v/>
      </c>
    </row>
    <row r="4792">
      <c r="A4792" s="4" t="n">
        <v>15194</v>
      </c>
      <c r="B4792" s="5" t="n">
        <v>44662</v>
      </c>
      <c r="C4792" s="13" t="inlineStr">
        <is>
          <t>CPR</t>
        </is>
      </c>
      <c r="D4792" s="13" t="n">
        <v>42</v>
      </c>
      <c r="E4792" s="10">
        <f>IF(D4792&gt;0,VLOOKUP(OPERAC[[#This Row],[COD CART]],[1]!MatrizCortoLargoCyl[#All],3,0),"")</f>
        <v/>
      </c>
      <c r="F4792" s="13" t="inlineStr">
        <is>
          <t>HYDR</t>
        </is>
      </c>
      <c r="G4792" s="6" t="n">
        <v>75</v>
      </c>
      <c r="H4792" s="6" t="n">
        <v>-1392.7758</v>
      </c>
      <c r="I4792" s="7">
        <f>-H4792/G4792</f>
        <v/>
      </c>
      <c r="J4792" s="11" t="n"/>
      <c r="K4792" s="6" t="n"/>
      <c r="L4792" s="6" t="n"/>
      <c r="M4792" s="7">
        <f>IF(N4792=0,+L4792+H4792,0)</f>
        <v/>
      </c>
      <c r="N4792" s="7">
        <f>IF((+G4792-K4792)=0,0,+G4792-K4792)</f>
        <v/>
      </c>
      <c r="O4792" s="7">
        <f>IF(N4792=0,0,(L4792+H4792)/-N4792)</f>
        <v/>
      </c>
      <c r="P4792" s="7">
        <f>VLOOKUP(OPERAC[[#This Row],[especie]],[1]!ESPECIES[#All],6,0)</f>
        <v/>
      </c>
      <c r="Q4792" s="7">
        <f>IF(N4792&lt;&gt;0,P4792*N4792,0)</f>
        <v/>
      </c>
      <c r="R4792" s="8">
        <f>IF(Q4792&lt;&gt;0,Q4792+H4792+L4792,0)</f>
        <v/>
      </c>
      <c r="S4792" s="9">
        <f>VLOOKUP(OPERAC[[#This Row],[especie]],[1]!ESPECIES[#Data],9,FALSE)</f>
        <v/>
      </c>
    </row>
    <row r="4793">
      <c r="A4793" s="4" t="n">
        <v>26138</v>
      </c>
      <c r="B4793" s="5" t="n">
        <v>44662</v>
      </c>
      <c r="C4793" s="13" t="inlineStr">
        <is>
          <t>CPR</t>
        </is>
      </c>
      <c r="D4793" s="13" t="n">
        <v>42</v>
      </c>
      <c r="E4793" s="10">
        <f>IF(D4793&gt;0,VLOOKUP(OPERAC[[#This Row],[COD CART]],[1]!MatrizCortoLargoCyl[#All],3,0),"")</f>
        <v/>
      </c>
      <c r="F4793" s="13" t="inlineStr">
        <is>
          <t>HYDR</t>
        </is>
      </c>
      <c r="G4793" s="6" t="n">
        <v>75</v>
      </c>
      <c r="H4793" s="6" t="n">
        <v>-1392.7758</v>
      </c>
      <c r="I4793" s="7">
        <f>-H4793/G4793</f>
        <v/>
      </c>
      <c r="J4793" s="11" t="n">
        <v>44693</v>
      </c>
      <c r="K4793" s="6">
        <f>+OPERAC[[#This Row],[cantidad]]</f>
        <v/>
      </c>
      <c r="L4793" s="6">
        <f>+OPERAC[[#This Row],[cantidad venta]]*11.986</f>
        <v/>
      </c>
      <c r="M4793" s="7">
        <f>IF(N4793=0,+L4793+H4793,0)</f>
        <v/>
      </c>
      <c r="N4793" s="7">
        <f>IF((+G4793-K4793)=0,0,+G4793-K4793)</f>
        <v/>
      </c>
      <c r="O4793" s="7">
        <f>IF(N4793=0,0,(L4793+H4793)/-N4793)</f>
        <v/>
      </c>
      <c r="P4793" s="7">
        <f>VLOOKUP(OPERAC[[#This Row],[especie]],[1]!ESPECIES[#All],6,0)</f>
        <v/>
      </c>
      <c r="Q4793" s="7">
        <f>IF(N4793&lt;&gt;0,P4793*N4793,0)</f>
        <v/>
      </c>
      <c r="R4793" s="8">
        <f>IF(Q4793&lt;&gt;0,Q4793+H4793+L4793,0)</f>
        <v/>
      </c>
      <c r="S4793" s="9">
        <f>VLOOKUP(OPERAC[[#This Row],[especie]],[1]!ESPECIES[#Data],9,FALSE)</f>
        <v/>
      </c>
    </row>
    <row r="4794">
      <c r="A4794" s="4" t="n">
        <v>20317</v>
      </c>
      <c r="B4794" s="5" t="n">
        <v>44722</v>
      </c>
      <c r="C4794" s="13" t="inlineStr">
        <is>
          <t>CPR</t>
        </is>
      </c>
      <c r="D4794" s="13" t="n">
        <v>40</v>
      </c>
      <c r="E4794" s="10">
        <f>IF(D4794&gt;0,VLOOKUP(OPERAC[[#This Row],[COD CART]],[1]!MatrizCortoLargoCyl[#All],3,0),"")</f>
        <v/>
      </c>
      <c r="F4794" s="13" t="inlineStr">
        <is>
          <t>MELI</t>
        </is>
      </c>
      <c r="G4794" s="6" t="n">
        <v>2</v>
      </c>
      <c r="H4794" s="6" t="n">
        <v>-1393.12173</v>
      </c>
      <c r="I4794" s="7">
        <f>-H4794/G4794</f>
        <v/>
      </c>
      <c r="J4794" s="5" t="n"/>
      <c r="K4794" s="6" t="n"/>
      <c r="L4794" s="6" t="n"/>
      <c r="M4794" s="7">
        <f>IF(N4794=0,+L4794+H4794,0)</f>
        <v/>
      </c>
      <c r="N4794" s="7">
        <f>IF((+G4794-K4794)=0,0,+G4794-K4794)</f>
        <v/>
      </c>
      <c r="O4794" s="7">
        <f>IF(N4794=0,0,(L4794+H4794)/-N4794)</f>
        <v/>
      </c>
      <c r="P4794" s="7">
        <f>VLOOKUP(OPERAC[[#This Row],[especie]],[1]!ESPECIES[#All],6,0)</f>
        <v/>
      </c>
      <c r="Q4794" s="7">
        <f>IF(N4794&lt;&gt;0,P4794*N4794,0)</f>
        <v/>
      </c>
      <c r="R4794" s="8">
        <f>IF(Q4794&lt;&gt;0,Q4794+H4794+L4794,0)</f>
        <v/>
      </c>
      <c r="S4794" s="9">
        <f>VLOOKUP(OPERAC[[#This Row],[especie]],[1]!ESPECIES[#Data],9,FALSE)</f>
        <v/>
      </c>
    </row>
    <row r="4795">
      <c r="A4795" s="4" t="n">
        <v>9195</v>
      </c>
      <c r="B4795" s="5" t="n">
        <v>44670</v>
      </c>
      <c r="C4795" s="13" t="inlineStr">
        <is>
          <t>CPR</t>
        </is>
      </c>
      <c r="D4795" s="13" t="n">
        <v>43</v>
      </c>
      <c r="E4795" s="10">
        <f>IF(D4795&gt;0,VLOOKUP(OPERAC[[#This Row],[COD CART]],[1]!MatrizCortoLargoCyl[#All],3,0),"")</f>
        <v/>
      </c>
      <c r="F4795" s="13" t="inlineStr">
        <is>
          <t>PCT/CYL-PUT/7,50/19-01-24</t>
        </is>
      </c>
      <c r="G4795" s="6" t="n">
        <v>1000</v>
      </c>
      <c r="H4795" s="6" t="n">
        <v>-1393.44</v>
      </c>
      <c r="I4795" s="7">
        <f>-H4795/G4795</f>
        <v/>
      </c>
      <c r="J4795" s="11" t="n"/>
      <c r="K4795" s="6" t="n"/>
      <c r="L4795" s="6" t="n"/>
      <c r="M4795" s="7">
        <f>IF(N4795=0,+L4795+H4795,0)</f>
        <v/>
      </c>
      <c r="N4795" s="7">
        <f>IF((+G4795-K4795)=0,0,+G4795-K4795)</f>
        <v/>
      </c>
      <c r="O4795" s="7">
        <f>IF(N4795=0,0,(L4795+H4795)/-N4795)</f>
        <v/>
      </c>
      <c r="P4795" s="7">
        <f>VLOOKUP(OPERAC[[#This Row],[especie]],[1]!ESPECIES[#All],6,0)</f>
        <v/>
      </c>
      <c r="Q4795" s="7">
        <f>IF(N4795&lt;&gt;0,P4795*N4795,0)</f>
        <v/>
      </c>
      <c r="R4795" s="8">
        <f>IF(Q4795&lt;&gt;0,Q4795+H4795+L4795,0)</f>
        <v/>
      </c>
      <c r="S4795" s="9">
        <f>VLOOKUP(OPERAC[[#This Row],[especie]],[1]!ESPECIES[#Data],9,FALSE)</f>
        <v/>
      </c>
    </row>
    <row r="4796">
      <c r="A4796" s="4" t="n">
        <v>12022</v>
      </c>
      <c r="B4796" s="5" t="n">
        <v>44645</v>
      </c>
      <c r="C4796" s="13" t="inlineStr">
        <is>
          <t>CPR</t>
        </is>
      </c>
      <c r="D4796" s="13" t="n">
        <v>42</v>
      </c>
      <c r="E4796" s="10">
        <f>IF(D4796&gt;0,VLOOKUP(OPERAC[[#This Row],[COD CART]],[1]!MatrizCortoLargoCyl[#All],3,0),"")</f>
        <v/>
      </c>
      <c r="F4796" s="13" t="inlineStr">
        <is>
          <t>PLUG</t>
        </is>
      </c>
      <c r="G4796" s="6" t="n">
        <v>50</v>
      </c>
      <c r="H4796" s="6" t="n">
        <v>-1396.582</v>
      </c>
      <c r="I4796" s="7">
        <f>-H4796/G4796</f>
        <v/>
      </c>
      <c r="J4796" s="11" t="n">
        <v>44652</v>
      </c>
      <c r="K4796" s="6">
        <f>+OPERAC[[#This Row],[cantidad]]</f>
        <v/>
      </c>
      <c r="L4796" s="6">
        <f>+OPERAC[[#This Row],[cantidad venta]]*27.754</f>
        <v/>
      </c>
      <c r="M4796" s="7">
        <f>IF(N4796=0,+L4796+H4796,0)</f>
        <v/>
      </c>
      <c r="N4796" s="7">
        <f>IF((+G4796-K4796)=0,0,+G4796-K4796)</f>
        <v/>
      </c>
      <c r="O4796" s="7">
        <f>IF(N4796=0,0,(L4796+H4796)/-N4796)</f>
        <v/>
      </c>
      <c r="P4796" s="7">
        <f>VLOOKUP(OPERAC[[#This Row],[especie]],[1]!ESPECIES[#All],6,0)</f>
        <v/>
      </c>
      <c r="Q4796" s="7">
        <f>IF(N4796&lt;&gt;0,P4796*N4796,0)</f>
        <v/>
      </c>
      <c r="R4796" s="8">
        <f>IF(Q4796&lt;&gt;0,Q4796+H4796+L4796,0)</f>
        <v/>
      </c>
      <c r="S4796" s="9">
        <f>VLOOKUP(OPERAC[[#This Row],[especie]],[1]!ESPECIES[#Data],9,FALSE)</f>
        <v/>
      </c>
    </row>
    <row r="4797">
      <c r="A4797" s="4" t="n">
        <v>13185</v>
      </c>
      <c r="B4797" s="5" t="n">
        <v>44645</v>
      </c>
      <c r="C4797" s="13" t="inlineStr">
        <is>
          <t>CPR</t>
        </is>
      </c>
      <c r="D4797" s="13" t="n">
        <v>42</v>
      </c>
      <c r="E4797" s="10">
        <f>IF(D4797&gt;0,VLOOKUP(OPERAC[[#This Row],[COD CART]],[1]!MatrizCortoLargoCyl[#All],3,0),"")</f>
        <v/>
      </c>
      <c r="F4797" s="13" t="inlineStr">
        <is>
          <t>PLUG</t>
        </is>
      </c>
      <c r="G4797" s="6" t="n">
        <v>50</v>
      </c>
      <c r="H4797" s="6" t="n">
        <v>-1396.582</v>
      </c>
      <c r="I4797" s="7">
        <f>-H4797/G4797</f>
        <v/>
      </c>
      <c r="J4797" s="11" t="n">
        <v>44652</v>
      </c>
      <c r="K4797" s="6">
        <f>+OPERAC[[#This Row],[cantidad]]</f>
        <v/>
      </c>
      <c r="L4797" s="6">
        <f>+OPERAC[[#This Row],[cantidad venta]]*27.754</f>
        <v/>
      </c>
      <c r="M4797" s="7">
        <f>IF(N4797=0,+L4797+H4797,0)</f>
        <v/>
      </c>
      <c r="N4797" s="7">
        <f>IF((+G4797-K4797)=0,0,+G4797-K4797)</f>
        <v/>
      </c>
      <c r="O4797" s="7">
        <f>IF(N4797=0,0,(L4797+H4797)/-N4797)</f>
        <v/>
      </c>
      <c r="P4797" s="7">
        <f>VLOOKUP(OPERAC[[#This Row],[especie]],[1]!ESPECIES[#All],6,0)</f>
        <v/>
      </c>
      <c r="Q4797" s="7">
        <f>IF(N4797&lt;&gt;0,P4797*N4797,0)</f>
        <v/>
      </c>
      <c r="R4797" s="8">
        <f>IF(Q4797&lt;&gt;0,Q4797+H4797+L4797,0)</f>
        <v/>
      </c>
      <c r="S4797" s="9">
        <f>VLOOKUP(OPERAC[[#This Row],[especie]],[1]!ESPECIES[#Data],9,FALSE)</f>
        <v/>
      </c>
    </row>
    <row r="4798">
      <c r="A4798" s="4" t="n">
        <v>13180</v>
      </c>
      <c r="B4798" s="5" t="n">
        <v>44645</v>
      </c>
      <c r="C4798" s="13" t="inlineStr">
        <is>
          <t>CPR</t>
        </is>
      </c>
      <c r="D4798" s="13" t="n">
        <v>42</v>
      </c>
      <c r="E4798" s="10">
        <f>IF(D4798&gt;0,VLOOKUP(OPERAC[[#This Row],[COD CART]],[1]!MatrizCortoLargoCyl[#All],3,0),"")</f>
        <v/>
      </c>
      <c r="F4798" s="13" t="inlineStr">
        <is>
          <t>PLUG</t>
        </is>
      </c>
      <c r="G4798" s="6" t="n">
        <v>50</v>
      </c>
      <c r="H4798" s="6" t="n">
        <v>-1396.582</v>
      </c>
      <c r="I4798" s="7">
        <f>-H4798/G4798</f>
        <v/>
      </c>
      <c r="J4798" s="11" t="n">
        <v>44652</v>
      </c>
      <c r="K4798" s="6">
        <f>+OPERAC[[#This Row],[cantidad]]</f>
        <v/>
      </c>
      <c r="L4798" s="6">
        <f>+OPERAC[[#This Row],[cantidad venta]]*27.754</f>
        <v/>
      </c>
      <c r="M4798" s="7">
        <f>IF(N4798=0,+L4798+H4798,0)</f>
        <v/>
      </c>
      <c r="N4798" s="7">
        <f>IF((+G4798-K4798)=0,0,+G4798-K4798)</f>
        <v/>
      </c>
      <c r="O4798" s="7">
        <f>IF(N4798=0,0,(L4798+H4798)/-N4798)</f>
        <v/>
      </c>
      <c r="P4798" s="7">
        <f>VLOOKUP(OPERAC[[#This Row],[especie]],[1]!ESPECIES[#All],6,0)</f>
        <v/>
      </c>
      <c r="Q4798" s="7">
        <f>IF(N4798&lt;&gt;0,P4798*N4798,0)</f>
        <v/>
      </c>
      <c r="R4798" s="8">
        <f>IF(Q4798&lt;&gt;0,Q4798+H4798+L4798,0)</f>
        <v/>
      </c>
      <c r="S4798" s="9">
        <f>VLOOKUP(OPERAC[[#This Row],[especie]],[1]!ESPECIES[#Data],9,FALSE)</f>
        <v/>
      </c>
    </row>
    <row r="4799">
      <c r="A4799" s="4" t="n">
        <v>16786</v>
      </c>
      <c r="B4799" s="5" t="n">
        <v>44645</v>
      </c>
      <c r="C4799" s="13" t="inlineStr">
        <is>
          <t>CPR</t>
        </is>
      </c>
      <c r="D4799" s="13" t="n">
        <v>42</v>
      </c>
      <c r="E4799" s="10">
        <f>IF(D4799&gt;0,VLOOKUP(OPERAC[[#This Row],[COD CART]],[1]!MatrizCortoLargoCyl[#All],3,0),"")</f>
        <v/>
      </c>
      <c r="F4799" s="13" t="inlineStr">
        <is>
          <t>PLUG</t>
        </is>
      </c>
      <c r="G4799" s="6" t="n">
        <v>50</v>
      </c>
      <c r="H4799" s="6" t="n">
        <v>-1396.582</v>
      </c>
      <c r="I4799" s="7">
        <f>-H4799/G4799</f>
        <v/>
      </c>
      <c r="J4799" s="11" t="n">
        <v>44652</v>
      </c>
      <c r="K4799" s="6">
        <f>+OPERAC[[#This Row],[cantidad]]</f>
        <v/>
      </c>
      <c r="L4799" s="6">
        <f>+OPERAC[[#This Row],[cantidad venta]]*27.754</f>
        <v/>
      </c>
      <c r="M4799" s="7">
        <f>IF(N4799=0,+L4799+H4799,0)</f>
        <v/>
      </c>
      <c r="N4799" s="7">
        <f>IF((+G4799-K4799)=0,0,+G4799-K4799)</f>
        <v/>
      </c>
      <c r="O4799" s="7">
        <f>IF(N4799=0,0,(L4799+H4799)/-N4799)</f>
        <v/>
      </c>
      <c r="P4799" s="7">
        <f>VLOOKUP(OPERAC[[#This Row],[especie]],[1]!ESPECIES[#All],6,0)</f>
        <v/>
      </c>
      <c r="Q4799" s="7">
        <f>IF(N4799&lt;&gt;0,P4799*N4799,0)</f>
        <v/>
      </c>
      <c r="R4799" s="8">
        <f>IF(Q4799&lt;&gt;0,Q4799+H4799+L4799,0)</f>
        <v/>
      </c>
      <c r="S4799" s="9">
        <f>VLOOKUP(OPERAC[[#This Row],[especie]],[1]!ESPECIES[#Data],9,FALSE)</f>
        <v/>
      </c>
    </row>
    <row r="4800">
      <c r="A4800" s="4" t="n">
        <v>18690</v>
      </c>
      <c r="B4800" s="5" t="n">
        <v>44645</v>
      </c>
      <c r="C4800" s="13" t="inlineStr">
        <is>
          <t>CPR</t>
        </is>
      </c>
      <c r="D4800" s="13" t="n">
        <v>42</v>
      </c>
      <c r="E4800" s="10">
        <f>IF(D4800&gt;0,VLOOKUP(OPERAC[[#This Row],[COD CART]],[1]!MatrizCortoLargoCyl[#All],3,0),"")</f>
        <v/>
      </c>
      <c r="F4800" s="13" t="inlineStr">
        <is>
          <t>PLUG</t>
        </is>
      </c>
      <c r="G4800" s="6" t="n">
        <v>50</v>
      </c>
      <c r="H4800" s="6" t="n">
        <v>-1396.582</v>
      </c>
      <c r="I4800" s="7">
        <f>-H4800/G4800</f>
        <v/>
      </c>
      <c r="J4800" s="11" t="n">
        <v>44652</v>
      </c>
      <c r="K4800" s="6">
        <f>+OPERAC[[#This Row],[cantidad]]</f>
        <v/>
      </c>
      <c r="L4800" s="6">
        <f>+OPERAC[[#This Row],[cantidad venta]]*27.754</f>
        <v/>
      </c>
      <c r="M4800" s="7">
        <f>IF(N4800=0,+L4800+H4800,0)</f>
        <v/>
      </c>
      <c r="N4800" s="7">
        <f>IF((+G4800-K4800)=0,0,+G4800-K4800)</f>
        <v/>
      </c>
      <c r="O4800" s="7">
        <f>IF(N4800=0,0,(L4800+H4800)/-N4800)</f>
        <v/>
      </c>
      <c r="P4800" s="7">
        <f>VLOOKUP(OPERAC[[#This Row],[especie]],[1]!ESPECIES[#All],6,0)</f>
        <v/>
      </c>
      <c r="Q4800" s="7">
        <f>IF(N4800&lt;&gt;0,P4800*N4800,0)</f>
        <v/>
      </c>
      <c r="R4800" s="8">
        <f>IF(Q4800&lt;&gt;0,Q4800+H4800+L4800,0)</f>
        <v/>
      </c>
      <c r="S4800" s="9">
        <f>VLOOKUP(OPERAC[[#This Row],[especie]],[1]!ESPECIES[#Data],9,FALSE)</f>
        <v/>
      </c>
    </row>
    <row r="4801">
      <c r="A4801" s="4" t="n">
        <v>19888</v>
      </c>
      <c r="B4801" s="5" t="n">
        <v>44645</v>
      </c>
      <c r="C4801" s="13" t="inlineStr">
        <is>
          <t>CPR</t>
        </is>
      </c>
      <c r="D4801" s="13" t="n">
        <v>42</v>
      </c>
      <c r="E4801" s="10">
        <f>IF(D4801&gt;0,VLOOKUP(OPERAC[[#This Row],[COD CART]],[1]!MatrizCortoLargoCyl[#All],3,0),"")</f>
        <v/>
      </c>
      <c r="F4801" s="13" t="inlineStr">
        <is>
          <t>PLUG</t>
        </is>
      </c>
      <c r="G4801" s="6" t="n">
        <v>50</v>
      </c>
      <c r="H4801" s="6" t="n">
        <v>-1396.582</v>
      </c>
      <c r="I4801" s="7">
        <f>-H4801/G4801</f>
        <v/>
      </c>
      <c r="J4801" s="11" t="n">
        <v>44652</v>
      </c>
      <c r="K4801" s="6">
        <f>+OPERAC[[#This Row],[cantidad]]</f>
        <v/>
      </c>
      <c r="L4801" s="6">
        <f>+OPERAC[[#This Row],[cantidad venta]]*27.754</f>
        <v/>
      </c>
      <c r="M4801" s="7">
        <f>IF(N4801=0,+L4801+H4801,0)</f>
        <v/>
      </c>
      <c r="N4801" s="7">
        <f>IF((+G4801-K4801)=0,0,+G4801-K4801)</f>
        <v/>
      </c>
      <c r="O4801" s="7">
        <f>IF(N4801=0,0,(L4801+H4801)/-N4801)</f>
        <v/>
      </c>
      <c r="P4801" s="7">
        <f>VLOOKUP(OPERAC[[#This Row],[especie]],[1]!ESPECIES[#All],6,0)</f>
        <v/>
      </c>
      <c r="Q4801" s="7">
        <f>IF(N4801&lt;&gt;0,P4801*N4801,0)</f>
        <v/>
      </c>
      <c r="R4801" s="8">
        <f>IF(Q4801&lt;&gt;0,Q4801+H4801+L4801,0)</f>
        <v/>
      </c>
      <c r="S4801" s="9">
        <f>VLOOKUP(OPERAC[[#This Row],[especie]],[1]!ESPECIES[#Data],9,FALSE)</f>
        <v/>
      </c>
    </row>
    <row r="4802">
      <c r="A4802" s="4" t="n">
        <v>2218</v>
      </c>
      <c r="B4802" s="5" t="n">
        <v>44650</v>
      </c>
      <c r="C4802" s="13" t="inlineStr">
        <is>
          <t>CPR</t>
        </is>
      </c>
      <c r="D4802" s="13" t="n">
        <v>42</v>
      </c>
      <c r="E4802" s="10">
        <f>IF(D4802&gt;0,VLOOKUP(OPERAC[[#This Row],[COD CART]],[1]!MatrizCortoLargoCyl[#All],3,0),"")</f>
        <v/>
      </c>
      <c r="F4802" s="13" t="inlineStr">
        <is>
          <t>SMH</t>
        </is>
      </c>
      <c r="G4802" s="6" t="n">
        <v>5</v>
      </c>
      <c r="H4802" s="6" t="n">
        <v>-1396.77755</v>
      </c>
      <c r="I4802" s="7">
        <f>-H4802/G4802</f>
        <v/>
      </c>
      <c r="J4802" s="11" t="n">
        <v>44663</v>
      </c>
      <c r="K4802" s="6">
        <f>+OPERAC[[#This Row],[cantidad]]</f>
        <v/>
      </c>
      <c r="L4802" s="6">
        <f>+OPERAC[[#This Row],[cantidad venta]]*238.066</f>
        <v/>
      </c>
      <c r="M4802" s="7">
        <f>IF(N4802=0,+L4802+H4802,0)</f>
        <v/>
      </c>
      <c r="N4802" s="7">
        <f>IF((+G4802-K4802)=0,0,+G4802-K4802)</f>
        <v/>
      </c>
      <c r="O4802" s="7">
        <f>IF(N4802=0,0,(L4802+H4802)/-N4802)</f>
        <v/>
      </c>
      <c r="P4802" s="7">
        <f>VLOOKUP(OPERAC[[#This Row],[especie]],[1]!ESPECIES[#All],6,0)</f>
        <v/>
      </c>
      <c r="Q4802" s="7">
        <f>IF(N4802&lt;&gt;0,P4802*N4802,0)</f>
        <v/>
      </c>
      <c r="R4802" s="8">
        <f>IF(Q4802&lt;&gt;0,Q4802+H4802+L4802,0)</f>
        <v/>
      </c>
      <c r="S4802" s="9">
        <f>VLOOKUP(OPERAC[[#This Row],[especie]],[1]!ESPECIES[#Data],9,FALSE)</f>
        <v/>
      </c>
    </row>
    <row r="4803">
      <c r="A4803" s="4" t="n">
        <v>26138</v>
      </c>
      <c r="B4803" s="5" t="n">
        <v>44722</v>
      </c>
      <c r="C4803" s="13" t="inlineStr">
        <is>
          <t>CPR</t>
        </is>
      </c>
      <c r="D4803" s="13" t="n">
        <v>40</v>
      </c>
      <c r="E4803" s="10">
        <f>IF(D4803&gt;0,VLOOKUP(OPERAC[[#This Row],[COD CART]],[1]!MatrizCortoLargoCyl[#All],3,0),"")</f>
        <v/>
      </c>
      <c r="F4803" s="13" t="inlineStr">
        <is>
          <t>MELI</t>
        </is>
      </c>
      <c r="G4803" s="6" t="n">
        <v>2</v>
      </c>
      <c r="H4803" s="6" t="n">
        <v>-1397.781</v>
      </c>
      <c r="I4803" s="7">
        <f>-H4803/G4803</f>
        <v/>
      </c>
      <c r="J4803" s="5" t="n"/>
      <c r="K4803" s="6" t="n"/>
      <c r="L4803" s="6" t="n"/>
      <c r="M4803" s="7">
        <f>IF(N4803=0,+L4803+H4803,0)</f>
        <v/>
      </c>
      <c r="N4803" s="7">
        <f>IF((+G4803-K4803)=0,0,+G4803-K4803)</f>
        <v/>
      </c>
      <c r="O4803" s="7">
        <f>IF(N4803=0,0,(L4803+H4803)/-N4803)</f>
        <v/>
      </c>
      <c r="P4803" s="7">
        <f>VLOOKUP(OPERAC[[#This Row],[especie]],[1]!ESPECIES[#All],6,0)</f>
        <v/>
      </c>
      <c r="Q4803" s="7">
        <f>IF(N4803&lt;&gt;0,P4803*N4803,0)</f>
        <v/>
      </c>
      <c r="R4803" s="8">
        <f>IF(Q4803&lt;&gt;0,Q4803+H4803+L4803,0)</f>
        <v/>
      </c>
      <c r="S4803" s="9">
        <f>VLOOKUP(OPERAC[[#This Row],[especie]],[1]!ESPECIES[#Data],9,FALSE)</f>
        <v/>
      </c>
    </row>
    <row r="4804">
      <c r="A4804" s="4" t="n">
        <v>25070</v>
      </c>
      <c r="B4804" s="5" t="n">
        <v>44650</v>
      </c>
      <c r="C4804" s="13" t="inlineStr">
        <is>
          <t>CPR</t>
        </is>
      </c>
      <c r="D4804" s="13" t="n">
        <v>42</v>
      </c>
      <c r="E4804" s="10">
        <f>IF(D4804&gt;0,VLOOKUP(OPERAC[[#This Row],[COD CART]],[1]!MatrizCortoLargoCyl[#All],3,0),"")</f>
        <v/>
      </c>
      <c r="F4804" s="13" t="inlineStr">
        <is>
          <t>ADBE</t>
        </is>
      </c>
      <c r="G4804" s="6" t="n">
        <v>3</v>
      </c>
      <c r="H4804" s="6" t="n">
        <v>-1398.939</v>
      </c>
      <c r="I4804" s="7">
        <f>-H4804/G4804</f>
        <v/>
      </c>
      <c r="J4804" s="11" t="n">
        <v>44687</v>
      </c>
      <c r="K4804" s="6">
        <f>+OPERAC[[#This Row],[cantidad]]</f>
        <v/>
      </c>
      <c r="L4804" s="6" t="n">
        <v>1250.12</v>
      </c>
      <c r="M4804" s="7">
        <f>IF(N4804=0,+L4804+H4804,0)</f>
        <v/>
      </c>
      <c r="N4804" s="7">
        <f>IF((+G4804-K4804)=0,0,+G4804-K4804)</f>
        <v/>
      </c>
      <c r="O4804" s="7">
        <f>IF(N4804=0,0,(L4804+H4804)/-N4804)</f>
        <v/>
      </c>
      <c r="P4804" s="7">
        <f>VLOOKUP(OPERAC[[#This Row],[especie]],[1]!ESPECIES[#All],6,0)</f>
        <v/>
      </c>
      <c r="Q4804" s="7">
        <f>IF(N4804&lt;&gt;0,P4804*N4804,0)</f>
        <v/>
      </c>
      <c r="R4804" s="8">
        <f>IF(Q4804&lt;&gt;0,Q4804+H4804+L4804,0)</f>
        <v/>
      </c>
      <c r="S4804" s="9">
        <f>VLOOKUP(OPERAC[[#This Row],[especie]],[1]!ESPECIES[#Data],9,FALSE)</f>
        <v/>
      </c>
    </row>
    <row r="4805">
      <c r="A4805" s="4" t="n">
        <v>2218</v>
      </c>
      <c r="B4805" s="5" t="n">
        <v>44490</v>
      </c>
      <c r="C4805" s="13" t="inlineStr">
        <is>
          <t>CPR</t>
        </is>
      </c>
      <c r="D4805" s="13" t="n">
        <v>43</v>
      </c>
      <c r="E4805" s="10">
        <f>IF(D4805&gt;0,VLOOKUP(OPERAC[[#This Row],[COD CART]],[1]!MatrizCortoLargoCyl[#All],3,0),"")</f>
        <v/>
      </c>
      <c r="F4805" s="13" t="inlineStr">
        <is>
          <t>SESN/CYL-PUT/1,00/19-01-24</t>
        </is>
      </c>
      <c r="G4805" s="6" t="n">
        <v>5000</v>
      </c>
      <c r="H4805" s="6">
        <f>-0.28*OPERAC[[#This Row],[cantidad]]</f>
        <v/>
      </c>
      <c r="I4805" s="7">
        <f>-H4805/G4805</f>
        <v/>
      </c>
      <c r="J4805" s="11" t="n"/>
      <c r="K4805" s="6" t="n"/>
      <c r="L4805" s="6" t="n"/>
      <c r="M4805" s="7">
        <f>IF(N4805=0,+L4805+H4805,0)</f>
        <v/>
      </c>
      <c r="N4805" s="7">
        <f>IF((+G4805-K4805)=0,0,+G4805-K4805)</f>
        <v/>
      </c>
      <c r="O4805" s="7">
        <f>IF(N4805=0,0,(L4805+H4805)/-N4805)</f>
        <v/>
      </c>
      <c r="P4805" s="7">
        <f>VLOOKUP(OPERAC[[#This Row],[especie]],[1]!ESPECIES[#All],6,0)</f>
        <v/>
      </c>
      <c r="Q4805" s="7">
        <f>IF(N4805&lt;&gt;0,P4805*N4805,0)</f>
        <v/>
      </c>
      <c r="R4805" s="8">
        <f>IF(Q4805&lt;&gt;0,Q4805+H4805+L4805,0)</f>
        <v/>
      </c>
      <c r="S4805" s="9">
        <f>VLOOKUP(OPERAC[[#This Row],[especie]],[1]!ESPECIES[#Data],9,FALSE)</f>
        <v/>
      </c>
    </row>
    <row r="4806">
      <c r="A4806" s="4" t="n">
        <v>3728</v>
      </c>
      <c r="B4806" s="5" t="n">
        <v>44643</v>
      </c>
      <c r="C4806" s="13" t="inlineStr">
        <is>
          <t>CPR</t>
        </is>
      </c>
      <c r="D4806" s="13" t="n">
        <v>42</v>
      </c>
      <c r="E4806" s="10">
        <f>IF(D4806&gt;0,VLOOKUP(OPERAC[[#This Row],[COD CART]],[1]!MatrizCortoLargoCyl[#All],3,0),"")</f>
        <v/>
      </c>
      <c r="F4806" s="13" t="inlineStr">
        <is>
          <t>JPM</t>
        </is>
      </c>
      <c r="G4806" s="6" t="n">
        <v>10</v>
      </c>
      <c r="H4806" s="6" t="n">
        <v>-1402.658</v>
      </c>
      <c r="I4806" s="7">
        <f>-H4806/G4806</f>
        <v/>
      </c>
      <c r="J4806" s="11" t="n">
        <v>44664</v>
      </c>
      <c r="K4806" s="6">
        <f>+OPERAC[[#This Row],[cantidad]]</f>
        <v/>
      </c>
      <c r="L4806" s="6">
        <f>+OPERAC[[#This Row],[cantidad venta]]*125.943</f>
        <v/>
      </c>
      <c r="M4806" s="7">
        <f>IF(N4806=0,+L4806+H4806,0)</f>
        <v/>
      </c>
      <c r="N4806" s="7">
        <f>IF((+G4806-K4806)=0,0,+G4806-K4806)</f>
        <v/>
      </c>
      <c r="O4806" s="7">
        <f>IF(N4806=0,0,(L4806+H4806)/-N4806)</f>
        <v/>
      </c>
      <c r="P4806" s="7">
        <f>VLOOKUP(OPERAC[[#This Row],[especie]],[1]!ESPECIES[#All],6,0)</f>
        <v/>
      </c>
      <c r="Q4806" s="7">
        <f>IF(N4806&lt;&gt;0,P4806*N4806,0)</f>
        <v/>
      </c>
      <c r="R4806" s="8">
        <f>IF(Q4806&lt;&gt;0,Q4806+H4806+L4806,0)</f>
        <v/>
      </c>
      <c r="S4806" s="9">
        <f>VLOOKUP(OPERAC[[#This Row],[especie]],[1]!ESPECIES[#Data],9,FALSE)</f>
        <v/>
      </c>
    </row>
    <row r="4807">
      <c r="A4807" s="4" t="n">
        <v>15189</v>
      </c>
      <c r="B4807" s="5" t="n">
        <v>44643</v>
      </c>
      <c r="C4807" s="13" t="inlineStr">
        <is>
          <t>CPR</t>
        </is>
      </c>
      <c r="D4807" s="13" t="n">
        <v>31</v>
      </c>
      <c r="E4807" s="10">
        <f>IF(D4807&gt;0,VLOOKUP(OPERAC[[#This Row],[COD CART]],[1]!MatrizCortoLargoCyl[#All],3,0),"")</f>
        <v/>
      </c>
      <c r="F4807" s="13" t="inlineStr">
        <is>
          <t>BRK B</t>
        </is>
      </c>
      <c r="G4807" s="6" t="n">
        <v>4</v>
      </c>
      <c r="H4807" s="6" t="n">
        <v>-1402.68928</v>
      </c>
      <c r="I4807" s="7">
        <f>-H4807/G4807</f>
        <v/>
      </c>
      <c r="J4807" s="11" t="n">
        <v>44693</v>
      </c>
      <c r="K4807" s="6" t="n">
        <v>4</v>
      </c>
      <c r="L4807" s="6" t="n">
        <v>1210.573</v>
      </c>
      <c r="M4807" s="7">
        <f>IF(N4807=0,+L4807+H4807,0)</f>
        <v/>
      </c>
      <c r="N4807" s="7">
        <f>IF((+G4807-K4807)=0,0,+G4807-K4807)</f>
        <v/>
      </c>
      <c r="O4807" s="7">
        <f>IF(N4807=0,0,(L4807+H4807)/-N4807)</f>
        <v/>
      </c>
      <c r="P4807" s="7">
        <f>VLOOKUP(OPERAC[[#This Row],[especie]],[1]!ESPECIES[#All],6,0)</f>
        <v/>
      </c>
      <c r="Q4807" s="7">
        <f>IF(N4807&lt;&gt;0,P4807*N4807,0)</f>
        <v/>
      </c>
      <c r="R4807" s="8">
        <f>IF(Q4807&lt;&gt;0,Q4807+H4807+L4807,0)</f>
        <v/>
      </c>
      <c r="S4807" s="9">
        <f>VLOOKUP(OPERAC[[#This Row],[especie]],[1]!ESPECIES[#Data],9,FALSE)</f>
        <v/>
      </c>
    </row>
    <row r="4808">
      <c r="A4808" s="4" t="n">
        <v>18651</v>
      </c>
      <c r="B4808" s="5" t="n">
        <v>44722</v>
      </c>
      <c r="C4808" s="13" t="inlineStr">
        <is>
          <t>CPR</t>
        </is>
      </c>
      <c r="D4808" s="13" t="n">
        <v>40</v>
      </c>
      <c r="E4808" s="10">
        <f>IF(D4808&gt;0,VLOOKUP(OPERAC[[#This Row],[COD CART]],[1]!MatrizCortoLargoCyl[#All],3,0),"")</f>
        <v/>
      </c>
      <c r="F4808" s="13" t="inlineStr">
        <is>
          <t>MELI</t>
        </is>
      </c>
      <c r="G4808" s="6" t="n">
        <v>2</v>
      </c>
      <c r="H4808" s="6" t="n">
        <v>-1403.69081</v>
      </c>
      <c r="I4808" s="7">
        <f>-H4808/G4808</f>
        <v/>
      </c>
      <c r="J4808" s="5" t="n"/>
      <c r="K4808" s="6" t="n"/>
      <c r="L4808" s="6" t="n"/>
      <c r="M4808" s="7">
        <f>IF(N4808=0,+L4808+H4808,0)</f>
        <v/>
      </c>
      <c r="N4808" s="7">
        <f>IF((+G4808-K4808)=0,0,+G4808-K4808)</f>
        <v/>
      </c>
      <c r="O4808" s="7">
        <f>IF(N4808=0,0,(L4808+H4808)/-N4808)</f>
        <v/>
      </c>
      <c r="P4808" s="7">
        <f>VLOOKUP(OPERAC[[#This Row],[especie]],[1]!ESPECIES[#All],6,0)</f>
        <v/>
      </c>
      <c r="Q4808" s="7">
        <f>IF(N4808&lt;&gt;0,P4808*N4808,0)</f>
        <v/>
      </c>
      <c r="R4808" s="8">
        <f>IF(Q4808&lt;&gt;0,Q4808+H4808+L4808,0)</f>
        <v/>
      </c>
      <c r="S4808" s="9">
        <f>VLOOKUP(OPERAC[[#This Row],[especie]],[1]!ESPECIES[#Data],9,FALSE)</f>
        <v/>
      </c>
    </row>
    <row r="4809">
      <c r="A4809" s="4" t="n">
        <v>3728</v>
      </c>
      <c r="B4809" s="5" t="n">
        <v>44670</v>
      </c>
      <c r="C4809" s="13" t="inlineStr">
        <is>
          <t>CPR</t>
        </is>
      </c>
      <c r="D4809" s="13" t="n">
        <v>32</v>
      </c>
      <c r="E4809" s="10">
        <f>IF(D4809&gt;0,VLOOKUP(OPERAC[[#This Row],[COD CART]],[1]!MatrizCortoLargoCyl[#All],3,0),"")</f>
        <v/>
      </c>
      <c r="F4809" s="13" t="inlineStr">
        <is>
          <t>PCT/CYL/7,50/20-05-22</t>
        </is>
      </c>
      <c r="G4809" s="6" t="n">
        <v>200</v>
      </c>
      <c r="H4809" s="6" t="n">
        <v>-1404</v>
      </c>
      <c r="I4809" s="7">
        <f>-H4809/G4809</f>
        <v/>
      </c>
      <c r="J4809" s="11" t="n">
        <v>44698</v>
      </c>
      <c r="K4809" s="6">
        <f>+OPERAC[[#This Row],[cantidad]]</f>
        <v/>
      </c>
      <c r="L4809" s="6">
        <f>7.3616*OPERAC[[#This Row],[cantidad venta]]</f>
        <v/>
      </c>
      <c r="M4809" s="7">
        <f>IF(N4809=0,+L4809+H4809,0)</f>
        <v/>
      </c>
      <c r="N4809" s="7">
        <f>IF((+G4809-K4809)=0,0,+G4809-K4809)</f>
        <v/>
      </c>
      <c r="O4809" s="7">
        <f>IF(N4809=0,0,(L4809+H4809)/-N4809)</f>
        <v/>
      </c>
      <c r="P4809" s="7">
        <f>VLOOKUP(OPERAC[[#This Row],[especie]],[1]!ESPECIES[#All],6,0)</f>
        <v/>
      </c>
      <c r="Q4809" s="7">
        <f>IF(N4809&lt;&gt;0,P4809*N4809,0)</f>
        <v/>
      </c>
      <c r="R4809" s="8">
        <f>IF(Q4809&lt;&gt;0,Q4809+H4809+L4809,0)</f>
        <v/>
      </c>
      <c r="S4809" s="9">
        <f>VLOOKUP(OPERAC[[#This Row],[especie]],[1]!ESPECIES[#Data],9,FALSE)</f>
        <v/>
      </c>
    </row>
    <row r="4810">
      <c r="A4810" s="4" t="n">
        <v>15194</v>
      </c>
      <c r="B4810" s="5" t="n">
        <v>44641</v>
      </c>
      <c r="C4810" s="13" t="inlineStr">
        <is>
          <t>CPR</t>
        </is>
      </c>
      <c r="D4810" s="13" t="n">
        <v>42</v>
      </c>
      <c r="E4810" s="10">
        <f>IF(D4810&gt;0,VLOOKUP(OPERAC[[#This Row],[COD CART]],[1]!MatrizCortoLargoCyl[#All],3,0),"")</f>
        <v/>
      </c>
      <c r="F4810" s="13" t="inlineStr">
        <is>
          <t>JPM</t>
        </is>
      </c>
      <c r="G4810" s="6" t="n">
        <v>10</v>
      </c>
      <c r="H4810" s="6" t="n">
        <v>-1404.5434</v>
      </c>
      <c r="I4810" s="7">
        <f>-H4810/G4810</f>
        <v/>
      </c>
      <c r="J4810" s="11" t="n">
        <v>44664</v>
      </c>
      <c r="K4810" s="6">
        <f>+OPERAC[[#This Row],[cantidad]]</f>
        <v/>
      </c>
      <c r="L4810" s="6">
        <f>+OPERAC[[#This Row],[cantidad venta]]*125.943</f>
        <v/>
      </c>
      <c r="M4810" s="7">
        <f>IF(N4810=0,+L4810+H4810,0)</f>
        <v/>
      </c>
      <c r="N4810" s="7">
        <f>IF((+G4810-K4810)=0,0,+G4810-K4810)</f>
        <v/>
      </c>
      <c r="O4810" s="7">
        <f>IF(N4810=0,0,(L4810+H4810)/-N4810)</f>
        <v/>
      </c>
      <c r="P4810" s="7">
        <f>VLOOKUP(OPERAC[[#This Row],[especie]],[1]!ESPECIES[#All],6,0)</f>
        <v/>
      </c>
      <c r="Q4810" s="7">
        <f>IF(N4810&lt;&gt;0,P4810*N4810,0)</f>
        <v/>
      </c>
      <c r="R4810" s="8">
        <f>IF(Q4810&lt;&gt;0,Q4810+H4810+L4810,0)</f>
        <v/>
      </c>
      <c r="S4810" s="9">
        <f>VLOOKUP(OPERAC[[#This Row],[especie]],[1]!ESPECIES[#Data],9,FALSE)</f>
        <v/>
      </c>
    </row>
    <row r="4811">
      <c r="A4811" s="4" t="n">
        <v>18651</v>
      </c>
      <c r="B4811" s="5" t="n">
        <v>44641</v>
      </c>
      <c r="C4811" s="13" t="inlineStr">
        <is>
          <t>CPR</t>
        </is>
      </c>
      <c r="D4811" s="13" t="n">
        <v>42</v>
      </c>
      <c r="E4811" s="10">
        <f>IF(D4811&gt;0,VLOOKUP(OPERAC[[#This Row],[COD CART]],[1]!MatrizCortoLargoCyl[#All],3,0),"")</f>
        <v/>
      </c>
      <c r="F4811" s="13" t="inlineStr">
        <is>
          <t>JPM</t>
        </is>
      </c>
      <c r="G4811" s="6" t="n">
        <v>10</v>
      </c>
      <c r="H4811" s="6" t="n">
        <v>-1404.5434</v>
      </c>
      <c r="I4811" s="7">
        <f>-H4811/G4811</f>
        <v/>
      </c>
      <c r="J4811" s="11" t="n">
        <v>44664</v>
      </c>
      <c r="K4811" s="6">
        <f>+OPERAC[[#This Row],[cantidad]]</f>
        <v/>
      </c>
      <c r="L4811" s="6">
        <f>+OPERAC[[#This Row],[cantidad venta]]*125.943</f>
        <v/>
      </c>
      <c r="M4811" s="7">
        <f>IF(N4811=0,+L4811+H4811,0)</f>
        <v/>
      </c>
      <c r="N4811" s="7">
        <f>IF((+G4811-K4811)=0,0,+G4811-K4811)</f>
        <v/>
      </c>
      <c r="O4811" s="7">
        <f>IF(N4811=0,0,(L4811+H4811)/-N4811)</f>
        <v/>
      </c>
      <c r="P4811" s="7">
        <f>VLOOKUP(OPERAC[[#This Row],[especie]],[1]!ESPECIES[#All],6,0)</f>
        <v/>
      </c>
      <c r="Q4811" s="7">
        <f>IF(N4811&lt;&gt;0,P4811*N4811,0)</f>
        <v/>
      </c>
      <c r="R4811" s="8">
        <f>IF(Q4811&lt;&gt;0,Q4811+H4811+L4811,0)</f>
        <v/>
      </c>
      <c r="S4811" s="9">
        <f>VLOOKUP(OPERAC[[#This Row],[especie]],[1]!ESPECIES[#Data],9,FALSE)</f>
        <v/>
      </c>
    </row>
    <row r="4812">
      <c r="A4812" s="4" t="n">
        <v>13246</v>
      </c>
      <c r="B4812" s="5" t="n">
        <v>44622</v>
      </c>
      <c r="C4812" s="13" t="inlineStr">
        <is>
          <t>CPR</t>
        </is>
      </c>
      <c r="D4812" s="13" t="n">
        <v>32</v>
      </c>
      <c r="E4812" s="10">
        <f>IF(D4812&gt;0,VLOOKUP(OPERAC[[#This Row],[COD CART]],[1]!MatrizCortoLargoCyl[#All],3,0),"")</f>
        <v/>
      </c>
      <c r="F4812" s="13" t="inlineStr">
        <is>
          <t>HMY/CYL/5,00/18-03-22</t>
        </is>
      </c>
      <c r="G4812" s="6" t="n">
        <v>300</v>
      </c>
      <c r="H4812" s="6" t="n">
        <v>-1405.596</v>
      </c>
      <c r="I4812" s="7">
        <f>-H4812/G4812</f>
        <v/>
      </c>
      <c r="J4812" s="11" t="n">
        <v>44637</v>
      </c>
      <c r="K4812" s="6">
        <f>+OPERAC[[#This Row],[cantidad]]</f>
        <v/>
      </c>
      <c r="L4812" s="6">
        <f>4.85553*OPERAC[[#This Row],[cantidad venta]]</f>
        <v/>
      </c>
      <c r="M4812" s="7">
        <f>IF(N4812=0,+L4812+H4812,0)</f>
        <v/>
      </c>
      <c r="N4812" s="7">
        <f>IF((+G4812-K4812)=0,0,+G4812-K4812)</f>
        <v/>
      </c>
      <c r="O4812" s="7">
        <f>IF(N4812=0,0,(L4812+H4812)/-N4812)</f>
        <v/>
      </c>
      <c r="P4812" s="7">
        <f>VLOOKUP(OPERAC[[#This Row],[especie]],[1]!ESPECIES[#All],6,0)</f>
        <v/>
      </c>
      <c r="Q4812" s="7">
        <f>IF(N4812&lt;&gt;0,P4812*N4812,0)</f>
        <v/>
      </c>
      <c r="R4812" s="8">
        <f>IF(Q4812&lt;&gt;0,Q4812+H4812+L4812,0)</f>
        <v/>
      </c>
      <c r="S4812" s="9">
        <f>VLOOKUP(OPERAC[[#This Row],[especie]],[1]!ESPECIES[#Data],9,FALSE)</f>
        <v/>
      </c>
    </row>
    <row r="4813">
      <c r="A4813" s="4" t="n">
        <v>26137</v>
      </c>
      <c r="B4813" s="5" t="n">
        <v>44622</v>
      </c>
      <c r="C4813" s="13" t="inlineStr">
        <is>
          <t>CPR</t>
        </is>
      </c>
      <c r="D4813" s="13" t="n">
        <v>32</v>
      </c>
      <c r="E4813" s="10">
        <f>IF(D4813&gt;0,VLOOKUP(OPERAC[[#This Row],[COD CART]],[1]!MatrizCortoLargoCyl[#All],3,0),"")</f>
        <v/>
      </c>
      <c r="F4813" s="13" t="inlineStr">
        <is>
          <t>HMY/CYL/5,00/18-03-22</t>
        </is>
      </c>
      <c r="G4813" s="6" t="n">
        <v>300</v>
      </c>
      <c r="H4813" s="6" t="n">
        <v>-1405.596</v>
      </c>
      <c r="I4813" s="7">
        <f>-H4813/G4813</f>
        <v/>
      </c>
      <c r="J4813" s="11" t="n">
        <v>44637</v>
      </c>
      <c r="K4813" s="6">
        <f>+OPERAC[[#This Row],[cantidad]]</f>
        <v/>
      </c>
      <c r="L4813" s="6">
        <f>4.85553*OPERAC[[#This Row],[cantidad venta]]</f>
        <v/>
      </c>
      <c r="M4813" s="7">
        <f>IF(N4813=0,+L4813+H4813,0)</f>
        <v/>
      </c>
      <c r="N4813" s="7">
        <f>IF((+G4813-K4813)=0,0,+G4813-K4813)</f>
        <v/>
      </c>
      <c r="O4813" s="7">
        <f>IF(N4813=0,0,(L4813+H4813)/-N4813)</f>
        <v/>
      </c>
      <c r="P4813" s="7">
        <f>VLOOKUP(OPERAC[[#This Row],[especie]],[1]!ESPECIES[#All],6,0)</f>
        <v/>
      </c>
      <c r="Q4813" s="7">
        <f>IF(N4813&lt;&gt;0,P4813*N4813,0)</f>
        <v/>
      </c>
      <c r="R4813" s="8">
        <f>IF(Q4813&lt;&gt;0,Q4813+H4813+L4813,0)</f>
        <v/>
      </c>
      <c r="S4813" s="9">
        <f>VLOOKUP(OPERAC[[#This Row],[especie]],[1]!ESPECIES[#Data],9,FALSE)</f>
        <v/>
      </c>
    </row>
    <row r="4814">
      <c r="A4814" s="4" t="n">
        <v>9195</v>
      </c>
      <c r="B4814" s="5" t="n">
        <v>44594</v>
      </c>
      <c r="C4814" s="13" t="inlineStr">
        <is>
          <t>CPR</t>
        </is>
      </c>
      <c r="D4814" s="13" t="n">
        <v>40</v>
      </c>
      <c r="E4814" s="10">
        <f>IF(D4814&gt;0,VLOOKUP(OPERAC[[#This Row],[COD CART]],[1]!MatrizCortoLargoCyl[#All],3,0),"")</f>
        <v/>
      </c>
      <c r="F4814" s="13" t="inlineStr">
        <is>
          <t>EDU</t>
        </is>
      </c>
      <c r="G4814" s="6" t="n">
        <v>700</v>
      </c>
      <c r="H4814" s="6" t="n">
        <v>-1405.6</v>
      </c>
      <c r="I4814" s="7">
        <f>-H4814/G4814</f>
        <v/>
      </c>
      <c r="J4814" s="11" t="n">
        <v>44599</v>
      </c>
      <c r="K4814" s="6" t="n">
        <v>700</v>
      </c>
      <c r="L4814" s="6">
        <f>1.65*700</f>
        <v/>
      </c>
      <c r="M4814" s="7">
        <f>IF(N4814=0,+L4814+H4814,0)</f>
        <v/>
      </c>
      <c r="N4814" s="7">
        <f>IF((+G4814-K4814)=0,0,+G4814-K4814)</f>
        <v/>
      </c>
      <c r="O4814" s="7">
        <f>IF(N4814=0,0,(L4814+H4814)/-N4814)</f>
        <v/>
      </c>
      <c r="P4814" s="7">
        <f>VLOOKUP(OPERAC[[#This Row],[especie]],[1]!ESPECIES[#All],6,0)</f>
        <v/>
      </c>
      <c r="Q4814" s="7">
        <f>IF(N4814&lt;&gt;0,P4814*N4814,0)</f>
        <v/>
      </c>
      <c r="R4814" s="8">
        <f>IF(Q4814&lt;&gt;0,Q4814+H4814+L4814,0)</f>
        <v/>
      </c>
      <c r="S4814" s="9">
        <f>VLOOKUP(OPERAC[[#This Row],[especie]],[1]!ESPECIES[#Data],9,FALSE)</f>
        <v/>
      </c>
    </row>
    <row r="4815">
      <c r="A4815" s="4" t="n">
        <v>26146</v>
      </c>
      <c r="B4815" s="5" t="n">
        <v>44658</v>
      </c>
      <c r="C4815" s="13" t="inlineStr">
        <is>
          <t>CPR</t>
        </is>
      </c>
      <c r="D4815" s="13" t="n">
        <v>32</v>
      </c>
      <c r="E4815" s="10">
        <f>IF(D4815&gt;0,VLOOKUP(OPERAC[[#This Row],[COD CART]],[1]!MatrizCortoLargoCyl[#All],3,0),"")</f>
        <v/>
      </c>
      <c r="F4815" s="13" t="inlineStr">
        <is>
          <t>DDD/CYL/15,00/15-07-22</t>
        </is>
      </c>
      <c r="G4815" s="6" t="n">
        <v>100</v>
      </c>
      <c r="H4815" s="6">
        <f>-1435.718+20.82+7.932</f>
        <v/>
      </c>
      <c r="I4815" s="7">
        <f>-H4815/G4815</f>
        <v/>
      </c>
      <c r="J4815" s="11" t="n"/>
      <c r="K4815" s="6" t="n"/>
      <c r="L4815" s="6" t="n"/>
      <c r="M4815" s="7">
        <f>IF(N4815=0,+L4815+H4815,0)</f>
        <v/>
      </c>
      <c r="N4815" s="7">
        <f>IF((+G4815-K4815)=0,0,+G4815-K4815)</f>
        <v/>
      </c>
      <c r="O4815" s="7">
        <f>IF(N4815=0,0,(L4815+H4815)/-N4815)</f>
        <v/>
      </c>
      <c r="P4815" s="7">
        <f>VLOOKUP(OPERAC[[#This Row],[especie]],[1]!ESPECIES[#All],6,0)</f>
        <v/>
      </c>
      <c r="Q4815" s="7">
        <f>IF(N4815&lt;&gt;0,P4815*N4815,0)</f>
        <v/>
      </c>
      <c r="R4815" s="8">
        <f>IF(Q4815&lt;&gt;0,Q4815+H4815+L4815,0)</f>
        <v/>
      </c>
      <c r="S4815" s="9">
        <f>VLOOKUP(OPERAC[[#This Row],[especie]],[1]!ESPECIES[#Data],9,FALSE)</f>
        <v/>
      </c>
    </row>
    <row r="4816">
      <c r="A4816" s="4" t="n">
        <v>19888</v>
      </c>
      <c r="B4816" s="5" t="n">
        <v>44705</v>
      </c>
      <c r="C4816" s="13" t="inlineStr">
        <is>
          <t>CPR</t>
        </is>
      </c>
      <c r="D4816" s="13" t="n">
        <v>42</v>
      </c>
      <c r="E4816" s="10">
        <f>IF(D4816&gt;0,VLOOKUP(OPERAC[[#This Row],[COD CART]],[1]!MatrizCortoLargoCyl[#All],3,0),"")</f>
        <v/>
      </c>
      <c r="F4816" s="14" t="inlineStr">
        <is>
          <t>MELI</t>
        </is>
      </c>
      <c r="G4816" s="6" t="n">
        <v>2</v>
      </c>
      <c r="H4816" s="6" t="n">
        <v>-1409.616</v>
      </c>
      <c r="I4816" s="7">
        <f>-H4816/G4816</f>
        <v/>
      </c>
      <c r="J4816" s="5" t="n">
        <v>44706</v>
      </c>
      <c r="K4816" s="6">
        <f>+OPERAC[[#This Row],[cantidad]]</f>
        <v/>
      </c>
      <c r="L4816" s="6" t="n">
        <v>1451.7468</v>
      </c>
      <c r="M4816" s="7">
        <f>IF(N4816=0,+L4816+H4816,0)</f>
        <v/>
      </c>
      <c r="N4816" s="7">
        <f>IF((+G4816-K4816)=0,0,+G4816-K4816)</f>
        <v/>
      </c>
      <c r="O4816" s="7">
        <f>IF(N4816=0,0,(L4816+H4816)/-N4816)</f>
        <v/>
      </c>
      <c r="P4816" s="7">
        <f>VLOOKUP(OPERAC[[#This Row],[especie]],[1]!ESPECIES[#All],6,0)</f>
        <v/>
      </c>
      <c r="Q4816" s="7">
        <f>IF(N4816&lt;&gt;0,P4816*N4816,0)</f>
        <v/>
      </c>
      <c r="R4816" s="8">
        <f>IF(Q4816&lt;&gt;0,Q4816+H4816+L4816,0)</f>
        <v/>
      </c>
      <c r="S4816" s="9">
        <f>VLOOKUP(OPERAC[[#This Row],[especie]],[1]!ESPECIES[#Data],9,FALSE)</f>
        <v/>
      </c>
    </row>
    <row r="4817">
      <c r="A4817" s="4" t="n">
        <v>3838</v>
      </c>
      <c r="B4817" s="5" t="n">
        <v>44594</v>
      </c>
      <c r="C4817" s="13" t="inlineStr">
        <is>
          <t>CPR</t>
        </is>
      </c>
      <c r="D4817" s="13" t="n">
        <v>40</v>
      </c>
      <c r="E4817" s="10">
        <f>IF(D4817&gt;0,VLOOKUP(OPERAC[[#This Row],[COD CART]],[1]!MatrizCortoLargoCyl[#All],3,0),"")</f>
        <v/>
      </c>
      <c r="F4817" s="13" t="inlineStr">
        <is>
          <t>EDU</t>
        </is>
      </c>
      <c r="G4817" s="6" t="n">
        <v>700</v>
      </c>
      <c r="H4817" s="6" t="n">
        <v>-1411.2</v>
      </c>
      <c r="I4817" s="7">
        <f>-H4817/G4817</f>
        <v/>
      </c>
      <c r="J4817" s="11" t="n">
        <v>44599</v>
      </c>
      <c r="K4817" s="6" t="n">
        <v>700</v>
      </c>
      <c r="L4817" s="6" t="n">
        <v>1078</v>
      </c>
      <c r="M4817" s="7">
        <f>IF(N4817=0,+L4817+H4817,0)</f>
        <v/>
      </c>
      <c r="N4817" s="7">
        <f>IF((+G4817-K4817)=0,0,+G4817-K4817)</f>
        <v/>
      </c>
      <c r="O4817" s="7">
        <f>IF(N4817=0,0,(L4817+H4817)/-N4817)</f>
        <v/>
      </c>
      <c r="P4817" s="7">
        <f>VLOOKUP(OPERAC[[#This Row],[especie]],[1]!ESPECIES[#All],6,0)</f>
        <v/>
      </c>
      <c r="Q4817" s="7">
        <f>IF(N4817&lt;&gt;0,P4817*N4817,0)</f>
        <v/>
      </c>
      <c r="R4817" s="8">
        <f>IF(Q4817&lt;&gt;0,Q4817+H4817+L4817,0)</f>
        <v/>
      </c>
      <c r="S4817" s="9">
        <f>VLOOKUP(OPERAC[[#This Row],[especie]],[1]!ESPECIES[#Data],9,FALSE)</f>
        <v/>
      </c>
    </row>
    <row r="4818">
      <c r="A4818" s="4" t="n">
        <v>19867</v>
      </c>
      <c r="B4818" s="5" t="n">
        <v>44594</v>
      </c>
      <c r="C4818" s="13" t="inlineStr">
        <is>
          <t>CPR</t>
        </is>
      </c>
      <c r="D4818" s="13" t="n">
        <v>40</v>
      </c>
      <c r="E4818" s="10">
        <f>IF(D4818&gt;0,VLOOKUP(OPERAC[[#This Row],[COD CART]],[1]!MatrizCortoLargoCyl[#All],3,0),"")</f>
        <v/>
      </c>
      <c r="F4818" s="13" t="inlineStr">
        <is>
          <t>EDU</t>
        </is>
      </c>
      <c r="G4818" s="6" t="n">
        <v>700</v>
      </c>
      <c r="H4818" s="6" t="n">
        <v>-1411.2</v>
      </c>
      <c r="I4818" s="7">
        <f>-H4818/G4818</f>
        <v/>
      </c>
      <c r="J4818" s="11" t="n">
        <v>44601</v>
      </c>
      <c r="K4818" s="6" t="n">
        <v>700</v>
      </c>
      <c r="L4818" s="6">
        <f>700*1.64</f>
        <v/>
      </c>
      <c r="M4818" s="7">
        <f>IF(N4818=0,+L4818+H4818,0)</f>
        <v/>
      </c>
      <c r="N4818" s="7">
        <f>IF((+G4818-K4818)=0,0,+G4818-K4818)</f>
        <v/>
      </c>
      <c r="O4818" s="7">
        <f>IF(N4818=0,0,(L4818+H4818)/-N4818)</f>
        <v/>
      </c>
      <c r="P4818" s="7">
        <f>VLOOKUP(OPERAC[[#This Row],[especie]],[1]!ESPECIES[#All],6,0)</f>
        <v/>
      </c>
      <c r="Q4818" s="7">
        <f>IF(N4818&lt;&gt;0,P4818*N4818,0)</f>
        <v/>
      </c>
      <c r="R4818" s="8">
        <f>IF(Q4818&lt;&gt;0,Q4818+H4818+L4818,0)</f>
        <v/>
      </c>
      <c r="S4818" s="9">
        <f>VLOOKUP(OPERAC[[#This Row],[especie]],[1]!ESPECIES[#Data],9,FALSE)</f>
        <v/>
      </c>
    </row>
    <row r="4819">
      <c r="A4819" s="4" t="n">
        <v>16783</v>
      </c>
      <c r="B4819" s="5" t="n">
        <v>44670</v>
      </c>
      <c r="C4819" s="13" t="inlineStr">
        <is>
          <t>CPR</t>
        </is>
      </c>
      <c r="D4819" s="13" t="n">
        <v>32</v>
      </c>
      <c r="E4819" s="10">
        <f>IF(D4819&gt;0,VLOOKUP(OPERAC[[#This Row],[COD CART]],[1]!MatrizCortoLargoCyl[#All],3,0),"")</f>
        <v/>
      </c>
      <c r="F4819" s="13" t="inlineStr">
        <is>
          <t>PCT/CYL/7,50/20-05-22</t>
        </is>
      </c>
      <c r="G4819" s="6" t="n">
        <v>200</v>
      </c>
      <c r="H4819" s="6" t="n">
        <v>-1411.82</v>
      </c>
      <c r="I4819" s="7">
        <f>-H4819/G4819</f>
        <v/>
      </c>
      <c r="J4819" s="11" t="n">
        <v>44698</v>
      </c>
      <c r="K4819" s="6">
        <f>+OPERAC[[#This Row],[cantidad]]</f>
        <v/>
      </c>
      <c r="L4819" s="6">
        <f>7.3616*OPERAC[[#This Row],[cantidad venta]]</f>
        <v/>
      </c>
      <c r="M4819" s="7">
        <f>IF(N4819=0,+L4819+H4819,0)</f>
        <v/>
      </c>
      <c r="N4819" s="7">
        <f>IF((+G4819-K4819)=0,0,+G4819-K4819)</f>
        <v/>
      </c>
      <c r="O4819" s="7">
        <f>IF(N4819=0,0,(L4819+H4819)/-N4819)</f>
        <v/>
      </c>
      <c r="P4819" s="7">
        <f>VLOOKUP(OPERAC[[#This Row],[especie]],[1]!ESPECIES[#All],6,0)</f>
        <v/>
      </c>
      <c r="Q4819" s="7">
        <f>IF(N4819&lt;&gt;0,P4819*N4819,0)</f>
        <v/>
      </c>
      <c r="R4819" s="8">
        <f>IF(Q4819&lt;&gt;0,Q4819+H4819+L4819,0)</f>
        <v/>
      </c>
      <c r="S4819" s="9">
        <f>VLOOKUP(OPERAC[[#This Row],[especie]],[1]!ESPECIES[#Data],9,FALSE)</f>
        <v/>
      </c>
    </row>
    <row r="4820">
      <c r="A4820" s="4" t="n">
        <v>19932</v>
      </c>
      <c r="B4820" s="5" t="n">
        <v>44643</v>
      </c>
      <c r="C4820" s="13" t="inlineStr">
        <is>
          <t>CPR</t>
        </is>
      </c>
      <c r="D4820" s="13" t="n">
        <v>42</v>
      </c>
      <c r="E4820" s="10">
        <f>IF(D4820&gt;0,VLOOKUP(OPERAC[[#This Row],[COD CART]],[1]!MatrizCortoLargoCyl[#All],3,0),"")</f>
        <v/>
      </c>
      <c r="F4820" s="13" t="inlineStr">
        <is>
          <t>JPM</t>
        </is>
      </c>
      <c r="G4820" s="6" t="n">
        <v>10</v>
      </c>
      <c r="H4820" s="6" t="n">
        <v>-1412.4664</v>
      </c>
      <c r="I4820" s="7">
        <f>-H4820/G4820</f>
        <v/>
      </c>
      <c r="J4820" s="11" t="n">
        <v>44664</v>
      </c>
      <c r="K4820" s="6">
        <f>+OPERAC[[#This Row],[cantidad]]</f>
        <v/>
      </c>
      <c r="L4820" s="6">
        <f>+OPERAC[[#This Row],[cantidad venta]]*125.943</f>
        <v/>
      </c>
      <c r="M4820" s="7">
        <f>IF(N4820=0,+L4820+H4820,0)</f>
        <v/>
      </c>
      <c r="N4820" s="7">
        <f>IF((+G4820-K4820)=0,0,+G4820-K4820)</f>
        <v/>
      </c>
      <c r="O4820" s="7">
        <f>IF(N4820=0,0,(L4820+H4820)/-N4820)</f>
        <v/>
      </c>
      <c r="P4820" s="7">
        <f>VLOOKUP(OPERAC[[#This Row],[especie]],[1]!ESPECIES[#All],6,0)</f>
        <v/>
      </c>
      <c r="Q4820" s="7">
        <f>IF(N4820&lt;&gt;0,P4820*N4820,0)</f>
        <v/>
      </c>
      <c r="R4820" s="8">
        <f>IF(Q4820&lt;&gt;0,Q4820+H4820+L4820,0)</f>
        <v/>
      </c>
      <c r="S4820" s="9">
        <f>VLOOKUP(OPERAC[[#This Row],[especie]],[1]!ESPECIES[#Data],9,FALSE)</f>
        <v/>
      </c>
    </row>
    <row r="4821">
      <c r="A4821" s="4" t="n">
        <v>2306</v>
      </c>
      <c r="B4821" s="5" t="n">
        <v>44704</v>
      </c>
      <c r="C4821" s="13" t="inlineStr">
        <is>
          <t>CPR</t>
        </is>
      </c>
      <c r="D4821" s="13" t="n">
        <v>32</v>
      </c>
      <c r="E4821" s="10">
        <f>IF(D4821&gt;0,VLOOKUP(OPERAC[[#This Row],[COD CART]],[1]!MatrizCortoLargoCyl[#All],3,0),"")</f>
        <v/>
      </c>
      <c r="F4821" s="13" t="inlineStr">
        <is>
          <t>BIOX/CYL/15,00/17-06-22</t>
        </is>
      </c>
      <c r="G4821" s="6" t="n">
        <v>100</v>
      </c>
      <c r="H4821" s="6" t="n">
        <v>-1415.06</v>
      </c>
      <c r="I4821" s="7">
        <f>-H4821/G4821</f>
        <v/>
      </c>
      <c r="J4821" s="5" t="n"/>
      <c r="K4821" s="6" t="n"/>
      <c r="L4821" s="6" t="n"/>
      <c r="M4821" s="7">
        <f>IF(N4821=0,+L4821+H4821,0)</f>
        <v/>
      </c>
      <c r="N4821" s="7">
        <f>IF((+G4821-K4821)=0,0,+G4821-K4821)</f>
        <v/>
      </c>
      <c r="O4821" s="7">
        <f>IF(N4821=0,0,(L4821+H4821)/-N4821)</f>
        <v/>
      </c>
      <c r="P4821" s="7">
        <f>VLOOKUP(OPERAC[[#This Row],[especie]],[1]!ESPECIES[#All],6,0)</f>
        <v/>
      </c>
      <c r="Q4821" s="7">
        <f>IF(N4821&lt;&gt;0,P4821*N4821,0)</f>
        <v/>
      </c>
      <c r="R4821" s="8">
        <f>IF(Q4821&lt;&gt;0,Q4821+H4821+L4821,0)</f>
        <v/>
      </c>
      <c r="S4821" s="9">
        <f>VLOOKUP(OPERAC[[#This Row],[especie]],[1]!ESPECIES[#Data],9,FALSE)</f>
        <v/>
      </c>
    </row>
    <row r="4822">
      <c r="A4822" s="4" t="n">
        <v>2203</v>
      </c>
      <c r="B4822" s="5" t="n">
        <v>44585</v>
      </c>
      <c r="C4822" s="13" t="inlineStr">
        <is>
          <t>CPR</t>
        </is>
      </c>
      <c r="D4822" s="13" t="n">
        <v>32</v>
      </c>
      <c r="E4822" s="10">
        <f>IF(D4822&gt;0,VLOOKUP(OPERAC[[#This Row],[COD CART]],[1]!MatrizCortoLargoCyl[#All],3,0),"")</f>
        <v/>
      </c>
      <c r="F4822" s="13" t="inlineStr">
        <is>
          <t>SPWR/CYL/20,00/18-03-22</t>
        </is>
      </c>
      <c r="G4822" s="6" t="n">
        <v>100</v>
      </c>
      <c r="H4822" s="6">
        <f>-1434.29+15.022</f>
        <v/>
      </c>
      <c r="I4822" s="7">
        <f>-H4822/G4822</f>
        <v/>
      </c>
      <c r="J4822" s="11" t="n">
        <v>44636</v>
      </c>
      <c r="K4822" s="6" t="n">
        <v>100</v>
      </c>
      <c r="L4822" s="6" t="n">
        <v>1911.85</v>
      </c>
      <c r="M4822" s="7">
        <f>IF(N4822=0,+L4822+H4822,0)</f>
        <v/>
      </c>
      <c r="N4822" s="7">
        <f>IF((+G4822-K4822)=0,0,+G4822-K4822)</f>
        <v/>
      </c>
      <c r="O4822" s="7">
        <f>IF(N4822=0,0,(L4822+H4822)/-N4822)</f>
        <v/>
      </c>
      <c r="P4822" s="7">
        <f>VLOOKUP(OPERAC[[#This Row],[especie]],[1]!ESPECIES[#All],6,0)</f>
        <v/>
      </c>
      <c r="Q4822" s="7">
        <f>IF(N4822&lt;&gt;0,P4822*N4822,0)</f>
        <v/>
      </c>
      <c r="R4822" s="8">
        <f>IF(Q4822&lt;&gt;0,Q4822+H4822+L4822,0)</f>
        <v/>
      </c>
      <c r="S4822" s="9">
        <f>VLOOKUP(OPERAC[[#This Row],[especie]],[1]!ESPECIES[#Data],9,FALSE)</f>
        <v/>
      </c>
    </row>
    <row r="4823">
      <c r="A4823" s="4" t="n">
        <v>12690</v>
      </c>
      <c r="B4823" s="5" t="n">
        <v>44670</v>
      </c>
      <c r="C4823" s="13" t="inlineStr">
        <is>
          <t>CPR</t>
        </is>
      </c>
      <c r="D4823" s="13" t="n">
        <v>32</v>
      </c>
      <c r="E4823" s="10">
        <f>IF(D4823&gt;0,VLOOKUP(OPERAC[[#This Row],[COD CART]],[1]!MatrizCortoLargoCyl[#All],3,0),"")</f>
        <v/>
      </c>
      <c r="F4823" s="13" t="inlineStr">
        <is>
          <t>PCT/CYL/7,50/20-05-22</t>
        </is>
      </c>
      <c r="G4823" s="6" t="n">
        <v>200</v>
      </c>
      <c r="H4823" s="6" t="n">
        <v>-1420.547</v>
      </c>
      <c r="I4823" s="7">
        <f>-H4823/G4823</f>
        <v/>
      </c>
      <c r="J4823" s="11" t="n">
        <v>44698</v>
      </c>
      <c r="K4823" s="6">
        <f>+OPERAC[[#This Row],[cantidad]]</f>
        <v/>
      </c>
      <c r="L4823" s="6">
        <f>7.3616*OPERAC[[#This Row],[cantidad venta]]</f>
        <v/>
      </c>
      <c r="M4823" s="7">
        <f>IF(N4823=0,+L4823+H4823,0)</f>
        <v/>
      </c>
      <c r="N4823" s="7">
        <f>IF((+G4823-K4823)=0,0,+G4823-K4823)</f>
        <v/>
      </c>
      <c r="O4823" s="7">
        <f>IF(N4823=0,0,(L4823+H4823)/-N4823)</f>
        <v/>
      </c>
      <c r="P4823" s="7">
        <f>VLOOKUP(OPERAC[[#This Row],[especie]],[1]!ESPECIES[#All],6,0)</f>
        <v/>
      </c>
      <c r="Q4823" s="7">
        <f>IF(N4823&lt;&gt;0,P4823*N4823,0)</f>
        <v/>
      </c>
      <c r="R4823" s="8">
        <f>IF(Q4823&lt;&gt;0,Q4823+H4823+L4823,0)</f>
        <v/>
      </c>
      <c r="S4823" s="9">
        <f>VLOOKUP(OPERAC[[#This Row],[especie]],[1]!ESPECIES[#Data],9,FALSE)</f>
        <v/>
      </c>
    </row>
    <row r="4824">
      <c r="A4824" s="4" t="n">
        <v>12671</v>
      </c>
      <c r="B4824" s="5" t="n">
        <v>44649</v>
      </c>
      <c r="C4824" s="13" t="inlineStr">
        <is>
          <t>CPR</t>
        </is>
      </c>
      <c r="D4824" s="13" t="n">
        <v>32</v>
      </c>
      <c r="E4824" s="10">
        <f>IF(D4824&gt;0,VLOOKUP(OPERAC[[#This Row],[COD CART]],[1]!MatrizCortoLargoCyl[#All],3,0),"")</f>
        <v/>
      </c>
      <c r="F4824" s="13" t="inlineStr">
        <is>
          <t>DDD/CYL/15,00/15-07-22</t>
        </is>
      </c>
      <c r="G4824" s="6" t="n">
        <v>100</v>
      </c>
      <c r="H4824" s="6">
        <f>-1439.859+14.9</f>
        <v/>
      </c>
      <c r="I4824" s="7">
        <f>-H4824/G4824</f>
        <v/>
      </c>
      <c r="J4824" s="11" t="n"/>
      <c r="K4824" s="6" t="n"/>
      <c r="L4824" s="6" t="n"/>
      <c r="M4824" s="7">
        <f>IF(N4824=0,+L4824+H4824,0)</f>
        <v/>
      </c>
      <c r="N4824" s="7">
        <f>IF((+G4824-K4824)=0,0,+G4824-K4824)</f>
        <v/>
      </c>
      <c r="O4824" s="7">
        <f>IF(N4824=0,0,(L4824+H4824)/-N4824)</f>
        <v/>
      </c>
      <c r="P4824" s="7">
        <f>VLOOKUP(OPERAC[[#This Row],[especie]],[1]!ESPECIES[#All],6,0)</f>
        <v/>
      </c>
      <c r="Q4824" s="7">
        <f>IF(N4824&lt;&gt;0,P4824*N4824,0)</f>
        <v/>
      </c>
      <c r="R4824" s="8">
        <f>IF(Q4824&lt;&gt;0,Q4824+H4824+L4824,0)</f>
        <v/>
      </c>
      <c r="S4824" s="9">
        <f>VLOOKUP(OPERAC[[#This Row],[especie]],[1]!ESPECIES[#Data],9,FALSE)</f>
        <v/>
      </c>
    </row>
    <row r="4825">
      <c r="A4825" s="4" t="n">
        <v>18713</v>
      </c>
      <c r="B4825" s="5" t="n">
        <v>44641</v>
      </c>
      <c r="C4825" s="13" t="inlineStr">
        <is>
          <t>CPR</t>
        </is>
      </c>
      <c r="D4825" s="13" t="n">
        <v>32</v>
      </c>
      <c r="E4825" s="10">
        <f>IF(D4825&gt;0,VLOOKUP(OPERAC[[#This Row],[COD CART]],[1]!MatrizCortoLargoCyl[#All],3,0),"")</f>
        <v/>
      </c>
      <c r="F4825" s="13" t="inlineStr">
        <is>
          <t>HMY</t>
        </is>
      </c>
      <c r="G4825" s="6" t="n">
        <v>300</v>
      </c>
      <c r="H4825" s="6" t="n">
        <v>-1427.7117</v>
      </c>
      <c r="I4825" s="7">
        <f>-H4825/G4825</f>
        <v/>
      </c>
      <c r="J4825" s="11" t="n">
        <v>44669</v>
      </c>
      <c r="K4825" s="6">
        <f>+OPERAC[[#This Row],[cantidad]]</f>
        <v/>
      </c>
      <c r="L4825" s="6">
        <f>4.925*OPERAC[[#This Row],[cantidad venta]]</f>
        <v/>
      </c>
      <c r="M4825" s="7">
        <f>IF(N4825=0,+L4825+H4825,0)</f>
        <v/>
      </c>
      <c r="N4825" s="7">
        <f>IF((+G4825-K4825)=0,0,+G4825-K4825)</f>
        <v/>
      </c>
      <c r="O4825" s="7">
        <f>IF(N4825=0,0,(L4825+H4825)/-N4825)</f>
        <v/>
      </c>
      <c r="P4825" s="7">
        <f>VLOOKUP(OPERAC[[#This Row],[especie]],[1]!ESPECIES[#All],6,0)</f>
        <v/>
      </c>
      <c r="Q4825" s="7">
        <f>IF(N4825&lt;&gt;0,P4825*N4825,0)</f>
        <v/>
      </c>
      <c r="R4825" s="8">
        <f>IF(Q4825&lt;&gt;0,Q4825+H4825+L4825,0)</f>
        <v/>
      </c>
      <c r="S4825" s="9">
        <f>VLOOKUP(OPERAC[[#This Row],[especie]],[1]!ESPECIES[#Data],9,FALSE)</f>
        <v/>
      </c>
    </row>
    <row r="4826">
      <c r="A4826" s="4" t="n">
        <v>22439</v>
      </c>
      <c r="B4826" s="5" t="n">
        <v>44641</v>
      </c>
      <c r="C4826" s="13" t="inlineStr">
        <is>
          <t>CPR</t>
        </is>
      </c>
      <c r="D4826" s="13" t="n">
        <v>32</v>
      </c>
      <c r="E4826" s="10">
        <f>IF(D4826&gt;0,VLOOKUP(OPERAC[[#This Row],[COD CART]],[1]!MatrizCortoLargoCyl[#All],3,0),"")</f>
        <v/>
      </c>
      <c r="F4826" s="13" t="inlineStr">
        <is>
          <t>HMY</t>
        </is>
      </c>
      <c r="G4826" s="6" t="n">
        <v>300</v>
      </c>
      <c r="H4826" s="6" t="n">
        <v>-1427.7117</v>
      </c>
      <c r="I4826" s="7">
        <f>-H4826/G4826</f>
        <v/>
      </c>
      <c r="J4826" s="11" t="n">
        <v>44669</v>
      </c>
      <c r="K4826" s="6">
        <f>+OPERAC[[#This Row],[cantidad]]</f>
        <v/>
      </c>
      <c r="L4826" s="6">
        <f>4.925*OPERAC[[#This Row],[cantidad venta]]</f>
        <v/>
      </c>
      <c r="M4826" s="7">
        <f>IF(N4826=0,+L4826+H4826,0)</f>
        <v/>
      </c>
      <c r="N4826" s="7">
        <f>IF((+G4826-K4826)=0,0,+G4826-K4826)</f>
        <v/>
      </c>
      <c r="O4826" s="7">
        <f>IF(N4826=0,0,(L4826+H4826)/-N4826)</f>
        <v/>
      </c>
      <c r="P4826" s="7">
        <f>VLOOKUP(OPERAC[[#This Row],[especie]],[1]!ESPECIES[#All],6,0)</f>
        <v/>
      </c>
      <c r="Q4826" s="7">
        <f>IF(N4826&lt;&gt;0,P4826*N4826,0)</f>
        <v/>
      </c>
      <c r="R4826" s="8">
        <f>IF(Q4826&lt;&gt;0,Q4826+H4826+L4826,0)</f>
        <v/>
      </c>
      <c r="S4826" s="9">
        <f>VLOOKUP(OPERAC[[#This Row],[especie]],[1]!ESPECIES[#Data],9,FALSE)</f>
        <v/>
      </c>
    </row>
    <row r="4827">
      <c r="A4827" s="4" t="n">
        <v>3728</v>
      </c>
      <c r="B4827" s="5" t="n">
        <v>44608</v>
      </c>
      <c r="C4827" s="13" t="inlineStr">
        <is>
          <t>CPR</t>
        </is>
      </c>
      <c r="D4827" s="13" t="n">
        <v>32</v>
      </c>
      <c r="E4827" s="10">
        <f>IF(D4827&gt;0,VLOOKUP(OPERAC[[#This Row],[COD CART]],[1]!MatrizCortoLargoCyl[#All],3,0),"")</f>
        <v/>
      </c>
      <c r="F4827" s="13" t="inlineStr">
        <is>
          <t>SPWR/CYL/15,00/18-03-22</t>
        </is>
      </c>
      <c r="G4827" s="6" t="n">
        <v>100</v>
      </c>
      <c r="H4827" s="6" t="n">
        <v>-1428.3265</v>
      </c>
      <c r="I4827" s="7">
        <f>-H4827/G4827</f>
        <v/>
      </c>
      <c r="J4827" s="11" t="n">
        <v>44628</v>
      </c>
      <c r="K4827" s="6">
        <f>+OPERAC[[#This Row],[cantidad]]</f>
        <v/>
      </c>
      <c r="L4827" s="6" t="n">
        <v>1504.278</v>
      </c>
      <c r="M4827" s="7">
        <f>IF(N4827=0,+L4827+H4827,0)</f>
        <v/>
      </c>
      <c r="N4827" s="7">
        <f>IF((+G4827-K4827)=0,0,+G4827-K4827)</f>
        <v/>
      </c>
      <c r="O4827" s="7">
        <f>IF(N4827=0,0,(L4827+H4827)/-N4827)</f>
        <v/>
      </c>
      <c r="P4827" s="7">
        <f>VLOOKUP(OPERAC[[#This Row],[especie]],[1]!ESPECIES[#All],6,0)</f>
        <v/>
      </c>
      <c r="Q4827" s="7">
        <f>IF(N4827&lt;&gt;0,P4827*N4827,0)</f>
        <v/>
      </c>
      <c r="R4827" s="8">
        <f>IF(Q4827&lt;&gt;0,Q4827+H4827+L4827,0)</f>
        <v/>
      </c>
      <c r="S4827" s="9">
        <f>VLOOKUP(OPERAC[[#This Row],[especie]],[1]!ESPECIES[#Data],9,FALSE)</f>
        <v/>
      </c>
    </row>
    <row r="4828">
      <c r="A4828" s="4" t="n">
        <v>19920</v>
      </c>
      <c r="B4828" s="5" t="n">
        <v>44601</v>
      </c>
      <c r="C4828" s="13" t="inlineStr">
        <is>
          <t>CPR</t>
        </is>
      </c>
      <c r="D4828" s="13" t="n">
        <v>43</v>
      </c>
      <c r="E4828" s="10">
        <f>IF(D4828&gt;0,VLOOKUP(OPERAC[[#This Row],[COD CART]],[1]!MatrizCortoLargoCyl[#All],3,0),"")</f>
        <v/>
      </c>
      <c r="F4828" s="13" t="inlineStr">
        <is>
          <t>GMBL/CYL-PUT/2,50/20-01-23</t>
        </is>
      </c>
      <c r="G4828" s="6" t="n">
        <v>1100</v>
      </c>
      <c r="H4828" s="6">
        <f>-1.3*OPERAC[[#This Row],[cantidad]]</f>
        <v/>
      </c>
      <c r="I4828" s="7">
        <f>-H4828/G4828</f>
        <v/>
      </c>
      <c r="J4828" s="11" t="n"/>
      <c r="K4828" s="6" t="n"/>
      <c r="L4828" s="6" t="n"/>
      <c r="M4828" s="7">
        <f>IF(N4828=0,+L4828+H4828,0)</f>
        <v/>
      </c>
      <c r="N4828" s="7">
        <f>IF((+G4828-K4828)=0,0,+G4828-K4828)</f>
        <v/>
      </c>
      <c r="O4828" s="7">
        <f>IF(N4828=0,0,(L4828+H4828)/-N4828)</f>
        <v/>
      </c>
      <c r="P4828" s="7">
        <f>VLOOKUP(OPERAC[[#This Row],[especie]],[1]!ESPECIES[#All],6,0)</f>
        <v/>
      </c>
      <c r="Q4828" s="7">
        <f>IF(N4828&lt;&gt;0,P4828*N4828,0)</f>
        <v/>
      </c>
      <c r="R4828" s="8">
        <f>IF(Q4828&lt;&gt;0,Q4828+H4828+L4828,0)</f>
        <v/>
      </c>
      <c r="S4828" s="9">
        <f>VLOOKUP(OPERAC[[#This Row],[especie]],[1]!ESPECIES[#Data],9,FALSE)</f>
        <v/>
      </c>
    </row>
    <row r="4829">
      <c r="A4829" s="4" t="n">
        <v>19932</v>
      </c>
      <c r="B4829" s="5" t="n">
        <v>44601</v>
      </c>
      <c r="C4829" s="13" t="inlineStr">
        <is>
          <t>CPR</t>
        </is>
      </c>
      <c r="D4829" s="13" t="n">
        <v>43</v>
      </c>
      <c r="E4829" s="10">
        <f>IF(D4829&gt;0,VLOOKUP(OPERAC[[#This Row],[COD CART]],[1]!MatrizCortoLargoCyl[#All],3,0),"")</f>
        <v/>
      </c>
      <c r="F4829" s="13" t="inlineStr">
        <is>
          <t>GMBL/CYL-PUT/2,50/20-01-23</t>
        </is>
      </c>
      <c r="G4829" s="6" t="n">
        <v>1100</v>
      </c>
      <c r="H4829" s="6">
        <f>-1.3*OPERAC[[#This Row],[cantidad]]</f>
        <v/>
      </c>
      <c r="I4829" s="7">
        <f>-H4829/G4829</f>
        <v/>
      </c>
      <c r="J4829" s="11" t="n">
        <v>44637</v>
      </c>
      <c r="K4829" s="6" t="n">
        <v>1100</v>
      </c>
      <c r="L4829" s="6" t="n">
        <v>-1364.71</v>
      </c>
      <c r="M4829" s="7">
        <f>IF(N4829=0,+L4829+H4829,0)</f>
        <v/>
      </c>
      <c r="N4829" s="7">
        <f>IF((+G4829-K4829)=0,0,+G4829-K4829)</f>
        <v/>
      </c>
      <c r="O4829" s="7">
        <f>IF(N4829=0,0,(L4829+H4829)/-N4829)</f>
        <v/>
      </c>
      <c r="P4829" s="7">
        <f>VLOOKUP(OPERAC[[#This Row],[especie]],[1]!ESPECIES[#All],6,0)</f>
        <v/>
      </c>
      <c r="Q4829" s="7">
        <f>IF(N4829&lt;&gt;0,P4829*N4829,0)</f>
        <v/>
      </c>
      <c r="R4829" s="8">
        <f>IF(Q4829&lt;&gt;0,Q4829+H4829+L4829,0)</f>
        <v/>
      </c>
      <c r="S4829" s="9">
        <f>VLOOKUP(OPERAC[[#This Row],[especie]],[1]!ESPECIES[#Data],9,FALSE)</f>
        <v/>
      </c>
    </row>
    <row r="4830">
      <c r="A4830" s="4" t="n">
        <v>22393</v>
      </c>
      <c r="B4830" s="5" t="n">
        <v>44641</v>
      </c>
      <c r="C4830" s="13" t="inlineStr">
        <is>
          <t>CPR</t>
        </is>
      </c>
      <c r="D4830" s="13" t="n">
        <v>32</v>
      </c>
      <c r="E4830" s="10">
        <f>IF(D4830&gt;0,VLOOKUP(OPERAC[[#This Row],[COD CART]],[1]!MatrizCortoLargoCyl[#All],3,0),"")</f>
        <v/>
      </c>
      <c r="F4830" s="13" t="inlineStr">
        <is>
          <t>CRESY/CYL/7,50/14-04-22</t>
        </is>
      </c>
      <c r="G4830" s="6" t="n">
        <v>200</v>
      </c>
      <c r="H4830" s="6" t="n">
        <v>-1430.888</v>
      </c>
      <c r="I4830" s="7">
        <f>-H4830/G4830</f>
        <v/>
      </c>
      <c r="J4830" s="11" t="n">
        <v>44665</v>
      </c>
      <c r="K4830" s="6" t="n">
        <v>200</v>
      </c>
      <c r="L4830" s="6" t="n">
        <v>1488</v>
      </c>
      <c r="M4830" s="7">
        <f>IF(N4830=0,+L4830+H4830,0)</f>
        <v/>
      </c>
      <c r="N4830" s="7">
        <f>IF((+G4830-K4830)=0,0,+G4830-K4830)</f>
        <v/>
      </c>
      <c r="O4830" s="7">
        <f>IF(N4830=0,0,(L4830+H4830)/-N4830)</f>
        <v/>
      </c>
      <c r="P4830" s="7">
        <f>VLOOKUP(OPERAC[[#This Row],[especie]],[1]!ESPECIES[#All],6,0)</f>
        <v/>
      </c>
      <c r="Q4830" s="7">
        <f>IF(N4830&lt;&gt;0,P4830*N4830,0)</f>
        <v/>
      </c>
      <c r="R4830" s="8">
        <f>IF(Q4830&lt;&gt;0,Q4830+H4830+L4830,0)</f>
        <v/>
      </c>
      <c r="S4830" s="9">
        <f>VLOOKUP(OPERAC[[#This Row],[especie]],[1]!ESPECIES[#Data],9,FALSE)</f>
        <v/>
      </c>
    </row>
    <row r="4831">
      <c r="A4831" s="4" t="n">
        <v>18662</v>
      </c>
      <c r="B4831" s="5" t="n">
        <v>43831</v>
      </c>
      <c r="C4831" s="13" t="inlineStr">
        <is>
          <t>CPR</t>
        </is>
      </c>
      <c r="D4831" s="13" t="n">
        <v>41</v>
      </c>
      <c r="E4831" s="10">
        <f>IF(D4831&gt;0,VLOOKUP(OPERAC[[#This Row],[COD CART]],[1]!MatrizCortoLargoCyl[#All],3,0),"")</f>
        <v/>
      </c>
      <c r="F4831" s="13" t="inlineStr">
        <is>
          <t>GLD</t>
        </is>
      </c>
      <c r="G4831" s="6" t="n">
        <v>10</v>
      </c>
      <c r="H4831" s="6" t="n">
        <v>-1430.9</v>
      </c>
      <c r="I4831" s="7" t="n">
        <v>143.09</v>
      </c>
      <c r="J4831" s="5" t="n"/>
      <c r="K4831" s="6" t="n"/>
      <c r="L4831" s="6" t="n"/>
      <c r="M4831" s="7">
        <f>IF(N4831=0,+L4831+H4831,0)</f>
        <v/>
      </c>
      <c r="N4831" s="7">
        <f>IF((+G4831-K4831)=0,0,+G4831-K4831)</f>
        <v/>
      </c>
      <c r="O4831" s="7">
        <f>IF(N4831=0,0,(L4831+H4831)/-N4831)</f>
        <v/>
      </c>
      <c r="P4831" s="7">
        <f>VLOOKUP(OPERAC[[#This Row],[especie]],[1]!ESPECIES[#All],6,0)</f>
        <v/>
      </c>
      <c r="Q4831" s="7">
        <f>IF(N4831&lt;&gt;0,P4831*N4831,0)</f>
        <v/>
      </c>
      <c r="R4831" s="8">
        <f>IF(Q4831&lt;&gt;0,Q4831+H4831+L4831,0)</f>
        <v/>
      </c>
      <c r="S4831" s="9">
        <f>VLOOKUP(OPERAC[[#This Row],[especie]],[1]!ESPECIES[#Data],9,FALSE)</f>
        <v/>
      </c>
    </row>
    <row r="4832">
      <c r="A4832" s="4" t="n">
        <v>12674</v>
      </c>
      <c r="B4832" s="5" t="n">
        <v>44649</v>
      </c>
      <c r="C4832" s="13" t="inlineStr">
        <is>
          <t>CPR</t>
        </is>
      </c>
      <c r="D4832" s="13" t="n">
        <v>32</v>
      </c>
      <c r="E4832" s="10">
        <f>IF(D4832&gt;0,VLOOKUP(OPERAC[[#This Row],[COD CART]],[1]!MatrizCortoLargoCyl[#All],3,0),"")</f>
        <v/>
      </c>
      <c r="F4832" s="13" t="inlineStr">
        <is>
          <t>DDD/CYL/15,00/15-07-22</t>
        </is>
      </c>
      <c r="G4832" s="6" t="n">
        <v>100</v>
      </c>
      <c r="H4832" s="6">
        <f>-1439.859+6.941</f>
        <v/>
      </c>
      <c r="I4832" s="7">
        <f>-H4832/G4832</f>
        <v/>
      </c>
      <c r="J4832" s="11" t="n"/>
      <c r="K4832" s="6" t="n"/>
      <c r="L4832" s="6" t="n"/>
      <c r="M4832" s="7">
        <f>IF(N4832=0,+L4832+H4832,0)</f>
        <v/>
      </c>
      <c r="N4832" s="7">
        <f>IF((+G4832-K4832)=0,0,+G4832-K4832)</f>
        <v/>
      </c>
      <c r="O4832" s="7">
        <f>IF(N4832=0,0,(L4832+H4832)/-N4832)</f>
        <v/>
      </c>
      <c r="P4832" s="7">
        <f>VLOOKUP(OPERAC[[#This Row],[especie]],[1]!ESPECIES[#All],6,0)</f>
        <v/>
      </c>
      <c r="Q4832" s="7">
        <f>IF(N4832&lt;&gt;0,P4832*N4832,0)</f>
        <v/>
      </c>
      <c r="R4832" s="8">
        <f>IF(Q4832&lt;&gt;0,Q4832+H4832+L4832,0)</f>
        <v/>
      </c>
      <c r="S4832" s="9">
        <f>VLOOKUP(OPERAC[[#This Row],[especie]],[1]!ESPECIES[#Data],9,FALSE)</f>
        <v/>
      </c>
    </row>
    <row r="4833">
      <c r="A4833" s="4" t="n">
        <v>10079</v>
      </c>
      <c r="B4833" s="5" t="n">
        <v>44628</v>
      </c>
      <c r="C4833" s="13" t="inlineStr">
        <is>
          <t>CPR</t>
        </is>
      </c>
      <c r="D4833" s="13" t="n">
        <v>32</v>
      </c>
      <c r="E4833" s="10">
        <f>IF(D4833&gt;0,VLOOKUP(OPERAC[[#This Row],[COD CART]],[1]!MatrizCortoLargoCyl[#All],3,0),"")</f>
        <v/>
      </c>
      <c r="F4833" s="13" t="inlineStr">
        <is>
          <t>COTY/CYL/8,00/14-04-22</t>
        </is>
      </c>
      <c r="G4833" s="6" t="n">
        <v>200</v>
      </c>
      <c r="H4833" s="6" t="n">
        <v>-1436.1102</v>
      </c>
      <c r="I4833" s="7">
        <f>-H4833/G4833</f>
        <v/>
      </c>
      <c r="J4833" s="11" t="n">
        <v>44643</v>
      </c>
      <c r="K4833" s="6" t="n">
        <v>200</v>
      </c>
      <c r="L4833" s="6" t="n">
        <v>1558.647</v>
      </c>
      <c r="M4833" s="7">
        <f>IF(N4833=0,+L4833+H4833,0)</f>
        <v/>
      </c>
      <c r="N4833" s="7">
        <f>IF((+G4833-K4833)=0,0,+G4833-K4833)</f>
        <v/>
      </c>
      <c r="O4833" s="7">
        <f>IF(N4833=0,0,(L4833+H4833)/-N4833)</f>
        <v/>
      </c>
      <c r="P4833" s="7">
        <f>VLOOKUP(OPERAC[[#This Row],[especie]],[1]!ESPECIES[#All],6,0)</f>
        <v/>
      </c>
      <c r="Q4833" s="7">
        <f>IF(N4833&lt;&gt;0,P4833*N4833,0)</f>
        <v/>
      </c>
      <c r="R4833" s="8">
        <f>IF(Q4833&lt;&gt;0,Q4833+H4833+L4833,0)</f>
        <v/>
      </c>
      <c r="S4833" s="9">
        <f>VLOOKUP(OPERAC[[#This Row],[especie]],[1]!ESPECIES[#Data],9,FALSE)</f>
        <v/>
      </c>
    </row>
    <row r="4834">
      <c r="A4834" s="4" t="n">
        <v>13185</v>
      </c>
      <c r="B4834" s="5" t="n">
        <v>44628</v>
      </c>
      <c r="C4834" s="13" t="inlineStr">
        <is>
          <t>CPR</t>
        </is>
      </c>
      <c r="D4834" s="13" t="n">
        <v>32</v>
      </c>
      <c r="E4834" s="10">
        <f>IF(D4834&gt;0,VLOOKUP(OPERAC[[#This Row],[COD CART]],[1]!MatrizCortoLargoCyl[#All],3,0),"")</f>
        <v/>
      </c>
      <c r="F4834" s="13" t="inlineStr">
        <is>
          <t>COTY/CYL/8,00/14-04-22</t>
        </is>
      </c>
      <c r="G4834" s="6" t="n">
        <v>200</v>
      </c>
      <c r="H4834" s="6" t="n">
        <v>-1436.1102</v>
      </c>
      <c r="I4834" s="7">
        <f>-H4834/G4834</f>
        <v/>
      </c>
      <c r="J4834" s="11" t="n">
        <v>44643</v>
      </c>
      <c r="K4834" s="6" t="n">
        <v>200</v>
      </c>
      <c r="L4834" s="6" t="n">
        <v>1558.647</v>
      </c>
      <c r="M4834" s="7">
        <f>IF(N4834=0,+L4834+H4834,0)</f>
        <v/>
      </c>
      <c r="N4834" s="7">
        <f>IF((+G4834-K4834)=0,0,+G4834-K4834)</f>
        <v/>
      </c>
      <c r="O4834" s="7">
        <f>IF(N4834=0,0,(L4834+H4834)/-N4834)</f>
        <v/>
      </c>
      <c r="P4834" s="7">
        <f>VLOOKUP(OPERAC[[#This Row],[especie]],[1]!ESPECIES[#All],6,0)</f>
        <v/>
      </c>
      <c r="Q4834" s="7">
        <f>IF(N4834&lt;&gt;0,P4834*N4834,0)</f>
        <v/>
      </c>
      <c r="R4834" s="8">
        <f>IF(Q4834&lt;&gt;0,Q4834+H4834+L4834,0)</f>
        <v/>
      </c>
      <c r="S4834" s="9">
        <f>VLOOKUP(OPERAC[[#This Row],[especie]],[1]!ESPECIES[#Data],9,FALSE)</f>
        <v/>
      </c>
    </row>
    <row r="4835">
      <c r="A4835" s="4" t="n">
        <v>19920</v>
      </c>
      <c r="B4835" s="5" t="n">
        <v>44628</v>
      </c>
      <c r="C4835" s="13" t="inlineStr">
        <is>
          <t>CPR</t>
        </is>
      </c>
      <c r="D4835" s="13" t="n">
        <v>32</v>
      </c>
      <c r="E4835" s="10">
        <f>IF(D4835&gt;0,VLOOKUP(OPERAC[[#This Row],[COD CART]],[1]!MatrizCortoLargoCyl[#All],3,0),"")</f>
        <v/>
      </c>
      <c r="F4835" s="13" t="inlineStr">
        <is>
          <t>COTY/CYL/8,00/14-04-22</t>
        </is>
      </c>
      <c r="G4835" s="6" t="n">
        <v>200</v>
      </c>
      <c r="H4835" s="6" t="n">
        <v>-1436.1102</v>
      </c>
      <c r="I4835" s="7">
        <f>-H4835/G4835</f>
        <v/>
      </c>
      <c r="J4835" s="11" t="n">
        <v>44643</v>
      </c>
      <c r="K4835" s="6" t="n">
        <v>200</v>
      </c>
      <c r="L4835" s="6" t="n">
        <v>1558.647</v>
      </c>
      <c r="M4835" s="7">
        <f>IF(N4835=0,+L4835+H4835,0)</f>
        <v/>
      </c>
      <c r="N4835" s="7">
        <f>IF((+G4835-K4835)=0,0,+G4835-K4835)</f>
        <v/>
      </c>
      <c r="O4835" s="7">
        <f>IF(N4835=0,0,(L4835+H4835)/-N4835)</f>
        <v/>
      </c>
      <c r="P4835" s="7">
        <f>VLOOKUP(OPERAC[[#This Row],[especie]],[1]!ESPECIES[#All],6,0)</f>
        <v/>
      </c>
      <c r="Q4835" s="7">
        <f>IF(N4835&lt;&gt;0,P4835*N4835,0)</f>
        <v/>
      </c>
      <c r="R4835" s="8">
        <f>IF(Q4835&lt;&gt;0,Q4835+H4835+L4835,0)</f>
        <v/>
      </c>
      <c r="S4835" s="9">
        <f>VLOOKUP(OPERAC[[#This Row],[especie]],[1]!ESPECIES[#Data],9,FALSE)</f>
        <v/>
      </c>
    </row>
    <row r="4836">
      <c r="A4836" s="4" t="n">
        <v>19932</v>
      </c>
      <c r="B4836" s="5" t="n">
        <v>44628</v>
      </c>
      <c r="C4836" s="13" t="inlineStr">
        <is>
          <t>CPR</t>
        </is>
      </c>
      <c r="D4836" s="13" t="n">
        <v>32</v>
      </c>
      <c r="E4836" s="10">
        <f>IF(D4836&gt;0,VLOOKUP(OPERAC[[#This Row],[COD CART]],[1]!MatrizCortoLargoCyl[#All],3,0),"")</f>
        <v/>
      </c>
      <c r="F4836" s="13" t="inlineStr">
        <is>
          <t>COTY/CYL/8,00/14-04-22</t>
        </is>
      </c>
      <c r="G4836" s="6" t="n">
        <v>200</v>
      </c>
      <c r="H4836" s="6" t="n">
        <v>-1436.1102</v>
      </c>
      <c r="I4836" s="7">
        <f>-H4836/G4836</f>
        <v/>
      </c>
      <c r="J4836" s="11" t="n">
        <v>44643</v>
      </c>
      <c r="K4836" s="6" t="n">
        <v>200</v>
      </c>
      <c r="L4836" s="6" t="n">
        <v>1558.647</v>
      </c>
      <c r="M4836" s="7">
        <f>IF(N4836=0,+L4836+H4836,0)</f>
        <v/>
      </c>
      <c r="N4836" s="7">
        <f>IF((+G4836-K4836)=0,0,+G4836-K4836)</f>
        <v/>
      </c>
      <c r="O4836" s="7">
        <f>IF(N4836=0,0,(L4836+H4836)/-N4836)</f>
        <v/>
      </c>
      <c r="P4836" s="7">
        <f>VLOOKUP(OPERAC[[#This Row],[especie]],[1]!ESPECIES[#All],6,0)</f>
        <v/>
      </c>
      <c r="Q4836" s="7">
        <f>IF(N4836&lt;&gt;0,P4836*N4836,0)</f>
        <v/>
      </c>
      <c r="R4836" s="8">
        <f>IF(Q4836&lt;&gt;0,Q4836+H4836+L4836,0)</f>
        <v/>
      </c>
      <c r="S4836" s="9">
        <f>VLOOKUP(OPERAC[[#This Row],[especie]],[1]!ESPECIES[#Data],9,FALSE)</f>
        <v/>
      </c>
    </row>
    <row r="4837">
      <c r="A4837" s="4" t="n">
        <v>13253</v>
      </c>
      <c r="B4837" s="5" t="n">
        <v>44615</v>
      </c>
      <c r="C4837" s="13" t="inlineStr">
        <is>
          <t>CPR</t>
        </is>
      </c>
      <c r="D4837" s="13" t="n">
        <v>41</v>
      </c>
      <c r="E4837" s="10">
        <f>IF(D4837&gt;0,VLOOKUP(OPERAC[[#This Row],[COD CART]],[1]!MatrizCortoLargoCyl[#All],3,0),"")</f>
        <v/>
      </c>
      <c r="F4837" s="13" t="inlineStr">
        <is>
          <t>HIPS</t>
        </is>
      </c>
      <c r="G4837" s="6" t="n">
        <v>100</v>
      </c>
      <c r="H4837" s="6" t="n">
        <v>-1439.416</v>
      </c>
      <c r="I4837" s="7">
        <f>-H4837/G4837</f>
        <v/>
      </c>
      <c r="J4837" s="11" t="n"/>
      <c r="K4837" s="6" t="n"/>
      <c r="L4837" s="6" t="n"/>
      <c r="M4837" s="7">
        <f>IF(N4837=0,+L4837+H4837,0)</f>
        <v/>
      </c>
      <c r="N4837" s="7">
        <f>IF((+G4837-K4837)=0,0,+G4837-K4837)</f>
        <v/>
      </c>
      <c r="O4837" s="7">
        <f>IF(N4837=0,0,(L4837+H4837)/-N4837)</f>
        <v/>
      </c>
      <c r="P4837" s="7">
        <f>VLOOKUP(OPERAC[[#This Row],[especie]],[1]!ESPECIES[#All],6,0)</f>
        <v/>
      </c>
      <c r="Q4837" s="7">
        <f>IF(N4837&lt;&gt;0,P4837*N4837,0)</f>
        <v/>
      </c>
      <c r="R4837" s="8">
        <f>IF(Q4837&lt;&gt;0,Q4837+H4837+L4837,0)</f>
        <v/>
      </c>
      <c r="S4837" s="9">
        <f>VLOOKUP(OPERAC[[#This Row],[especie]],[1]!ESPECIES[#Data],9,FALSE)</f>
        <v/>
      </c>
    </row>
    <row r="4838">
      <c r="A4838" s="4" t="n">
        <v>19867</v>
      </c>
      <c r="B4838" s="5" t="n">
        <v>44649</v>
      </c>
      <c r="C4838" s="13" t="inlineStr">
        <is>
          <t>CPR</t>
        </is>
      </c>
      <c r="D4838" s="13" t="n">
        <v>32</v>
      </c>
      <c r="E4838" s="10">
        <f>IF(D4838&gt;0,VLOOKUP(OPERAC[[#This Row],[COD CART]],[1]!MatrizCortoLargoCyl[#All],3,0),"")</f>
        <v/>
      </c>
      <c r="F4838" s="13" t="inlineStr">
        <is>
          <t>DDD</t>
        </is>
      </c>
      <c r="G4838" s="6" t="n">
        <v>100</v>
      </c>
      <c r="H4838" s="6" t="n">
        <v>-1439.859</v>
      </c>
      <c r="I4838" s="7">
        <f>-H4838/G4838</f>
        <v/>
      </c>
      <c r="J4838" s="11" t="n"/>
      <c r="K4838" s="6" t="n"/>
      <c r="L4838" s="6" t="n"/>
      <c r="M4838" s="7">
        <f>IF(N4838=0,+L4838+H4838,0)</f>
        <v/>
      </c>
      <c r="N4838" s="7">
        <f>IF((+G4838-K4838)=0,0,+G4838-K4838)</f>
        <v/>
      </c>
      <c r="O4838" s="7">
        <f>IF(N4838=0,0,(L4838+H4838)/-N4838)</f>
        <v/>
      </c>
      <c r="P4838" s="7">
        <f>VLOOKUP(OPERAC[[#This Row],[especie]],[1]!ESPECIES[#All],6,0)</f>
        <v/>
      </c>
      <c r="Q4838" s="7">
        <f>IF(N4838&lt;&gt;0,P4838*N4838,0)</f>
        <v/>
      </c>
      <c r="R4838" s="8">
        <f>IF(Q4838&lt;&gt;0,Q4838+H4838+L4838,0)</f>
        <v/>
      </c>
      <c r="S4838" s="9">
        <f>VLOOKUP(OPERAC[[#This Row],[especie]],[1]!ESPECIES[#Data],9,FALSE)</f>
        <v/>
      </c>
    </row>
    <row r="4839">
      <c r="A4839" s="4" t="n">
        <v>10079</v>
      </c>
      <c r="B4839" s="5" t="n">
        <v>44649</v>
      </c>
      <c r="C4839" s="13" t="inlineStr">
        <is>
          <t>CPR</t>
        </is>
      </c>
      <c r="D4839" s="13" t="n">
        <v>32</v>
      </c>
      <c r="E4839" s="10">
        <f>IF(D4839&gt;0,VLOOKUP(OPERAC[[#This Row],[COD CART]],[1]!MatrizCortoLargoCyl[#All],3,0),"")</f>
        <v/>
      </c>
      <c r="F4839" s="13" t="inlineStr">
        <is>
          <t>DDD</t>
        </is>
      </c>
      <c r="G4839" s="6" t="n">
        <v>100</v>
      </c>
      <c r="H4839" s="6" t="n">
        <v>-1439.859</v>
      </c>
      <c r="I4839" s="7">
        <f>-H4839/G4839</f>
        <v/>
      </c>
      <c r="J4839" s="11" t="n">
        <v>44704</v>
      </c>
      <c r="K4839" s="6" t="n">
        <v>100</v>
      </c>
      <c r="L4839" s="6">
        <f>+OPERAC[[#This Row],[cantidad venta]]*10.016</f>
        <v/>
      </c>
      <c r="M4839" s="7">
        <f>IF(N4839=0,+L4839+H4839,0)</f>
        <v/>
      </c>
      <c r="N4839" s="7">
        <f>IF((+G4839-K4839)=0,0,+G4839-K4839)</f>
        <v/>
      </c>
      <c r="O4839" s="7">
        <f>IF(N4839=0,0,(L4839+H4839)/-N4839)</f>
        <v/>
      </c>
      <c r="P4839" s="7">
        <f>VLOOKUP(OPERAC[[#This Row],[especie]],[1]!ESPECIES[#All],6,0)</f>
        <v/>
      </c>
      <c r="Q4839" s="7">
        <f>IF(N4839&lt;&gt;0,P4839*N4839,0)</f>
        <v/>
      </c>
      <c r="R4839" s="8">
        <f>IF(Q4839&lt;&gt;0,Q4839+H4839+L4839,0)</f>
        <v/>
      </c>
      <c r="S4839" s="9">
        <f>VLOOKUP(OPERAC[[#This Row],[especie]],[1]!ESPECIES[#Data],9,FALSE)</f>
        <v/>
      </c>
    </row>
    <row r="4840">
      <c r="A4840" s="4" t="n">
        <v>13180</v>
      </c>
      <c r="B4840" s="5" t="n">
        <v>44649</v>
      </c>
      <c r="C4840" s="13" t="inlineStr">
        <is>
          <t>CPR</t>
        </is>
      </c>
      <c r="D4840" s="13" t="n">
        <v>32</v>
      </c>
      <c r="E4840" s="10">
        <f>IF(D4840&gt;0,VLOOKUP(OPERAC[[#This Row],[COD CART]],[1]!MatrizCortoLargoCyl[#All],3,0),"")</f>
        <v/>
      </c>
      <c r="F4840" s="13" t="inlineStr">
        <is>
          <t>DDD</t>
        </is>
      </c>
      <c r="G4840" s="6" t="n">
        <v>100</v>
      </c>
      <c r="H4840" s="6" t="n">
        <v>-1439.859</v>
      </c>
      <c r="I4840" s="7">
        <f>-H4840/G4840</f>
        <v/>
      </c>
      <c r="J4840" s="11" t="n">
        <v>44704</v>
      </c>
      <c r="K4840" s="6" t="n">
        <v>100</v>
      </c>
      <c r="L4840" s="6" t="n">
        <v>1023.496</v>
      </c>
      <c r="M4840" s="7">
        <f>IF(N4840=0,+L4840+H4840,0)</f>
        <v/>
      </c>
      <c r="N4840" s="7">
        <f>IF((+G4840-K4840)=0,0,+G4840-K4840)</f>
        <v/>
      </c>
      <c r="O4840" s="7">
        <f>IF(N4840=0,0,(L4840+H4840)/-N4840)</f>
        <v/>
      </c>
      <c r="P4840" s="7">
        <f>VLOOKUP(OPERAC[[#This Row],[especie]],[1]!ESPECIES[#All],6,0)</f>
        <v/>
      </c>
      <c r="Q4840" s="7">
        <f>IF(N4840&lt;&gt;0,P4840*N4840,0)</f>
        <v/>
      </c>
      <c r="R4840" s="8">
        <f>IF(Q4840&lt;&gt;0,Q4840+H4840+L4840,0)</f>
        <v/>
      </c>
      <c r="S4840" s="9">
        <f>VLOOKUP(OPERAC[[#This Row],[especie]],[1]!ESPECIES[#Data],9,FALSE)</f>
        <v/>
      </c>
    </row>
    <row r="4841">
      <c r="A4841" s="4" t="n">
        <v>15194</v>
      </c>
      <c r="B4841" s="5" t="n">
        <v>44649</v>
      </c>
      <c r="C4841" s="13" t="inlineStr">
        <is>
          <t>CPR</t>
        </is>
      </c>
      <c r="D4841" s="13" t="n">
        <v>32</v>
      </c>
      <c r="E4841" s="10">
        <f>IF(D4841&gt;0,VLOOKUP(OPERAC[[#This Row],[COD CART]],[1]!MatrizCortoLargoCyl[#All],3,0),"")</f>
        <v/>
      </c>
      <c r="F4841" s="13" t="inlineStr">
        <is>
          <t>DDD</t>
        </is>
      </c>
      <c r="G4841" s="6" t="n">
        <v>100</v>
      </c>
      <c r="H4841" s="6" t="n">
        <v>-1439.859</v>
      </c>
      <c r="I4841" s="7">
        <f>-H4841/G4841</f>
        <v/>
      </c>
      <c r="J4841" s="11" t="n">
        <v>44704</v>
      </c>
      <c r="K4841" s="6" t="n">
        <v>100</v>
      </c>
      <c r="L4841" s="6" t="n">
        <v>1023.496</v>
      </c>
      <c r="M4841" s="7">
        <f>IF(N4841=0,+L4841+H4841,0)</f>
        <v/>
      </c>
      <c r="N4841" s="7">
        <f>IF((+G4841-K4841)=0,0,+G4841-K4841)</f>
        <v/>
      </c>
      <c r="O4841" s="7">
        <f>IF(N4841=0,0,(L4841+H4841)/-N4841)</f>
        <v/>
      </c>
      <c r="P4841" s="7">
        <f>VLOOKUP(OPERAC[[#This Row],[especie]],[1]!ESPECIES[#All],6,0)</f>
        <v/>
      </c>
      <c r="Q4841" s="7">
        <f>IF(N4841&lt;&gt;0,P4841*N4841,0)</f>
        <v/>
      </c>
      <c r="R4841" s="8">
        <f>IF(Q4841&lt;&gt;0,Q4841+H4841+L4841,0)</f>
        <v/>
      </c>
      <c r="S4841" s="9">
        <f>VLOOKUP(OPERAC[[#This Row],[especie]],[1]!ESPECIES[#Data],9,FALSE)</f>
        <v/>
      </c>
    </row>
    <row r="4842">
      <c r="A4842" s="4" t="n">
        <v>16776</v>
      </c>
      <c r="B4842" s="5" t="n">
        <v>44649</v>
      </c>
      <c r="C4842" s="13" t="inlineStr">
        <is>
          <t>CPR</t>
        </is>
      </c>
      <c r="D4842" s="13" t="n">
        <v>32</v>
      </c>
      <c r="E4842" s="10">
        <f>IF(D4842&gt;0,VLOOKUP(OPERAC[[#This Row],[COD CART]],[1]!MatrizCortoLargoCyl[#All],3,0),"")</f>
        <v/>
      </c>
      <c r="F4842" s="13" t="inlineStr">
        <is>
          <t>DDD</t>
        </is>
      </c>
      <c r="G4842" s="6" t="n">
        <v>100</v>
      </c>
      <c r="H4842" s="6" t="n">
        <v>-1439.859</v>
      </c>
      <c r="I4842" s="7">
        <f>-H4842/G4842</f>
        <v/>
      </c>
      <c r="J4842" s="11" t="n"/>
      <c r="K4842" s="6" t="n"/>
      <c r="L4842" s="6" t="n"/>
      <c r="M4842" s="7">
        <f>IF(N4842=0,+L4842+H4842,0)</f>
        <v/>
      </c>
      <c r="N4842" s="7">
        <f>IF((+G4842-K4842)=0,0,+G4842-K4842)</f>
        <v/>
      </c>
      <c r="O4842" s="7">
        <f>IF(N4842=0,0,(L4842+H4842)/-N4842)</f>
        <v/>
      </c>
      <c r="P4842" s="7">
        <f>VLOOKUP(OPERAC[[#This Row],[especie]],[1]!ESPECIES[#All],6,0)</f>
        <v/>
      </c>
      <c r="Q4842" s="7">
        <f>IF(N4842&lt;&gt;0,P4842*N4842,0)</f>
        <v/>
      </c>
      <c r="R4842" s="8">
        <f>IF(Q4842&lt;&gt;0,Q4842+H4842+L4842,0)</f>
        <v/>
      </c>
      <c r="S4842" s="9">
        <f>VLOOKUP(OPERAC[[#This Row],[especie]],[1]!ESPECIES[#Data],9,FALSE)</f>
        <v/>
      </c>
    </row>
    <row r="4843">
      <c r="A4843" s="4" t="n">
        <v>16780</v>
      </c>
      <c r="B4843" s="5" t="n">
        <v>44649</v>
      </c>
      <c r="C4843" s="13" t="inlineStr">
        <is>
          <t>CPR</t>
        </is>
      </c>
      <c r="D4843" s="13" t="n">
        <v>32</v>
      </c>
      <c r="E4843" s="10">
        <f>IF(D4843&gt;0,VLOOKUP(OPERAC[[#This Row],[COD CART]],[1]!MatrizCortoLargoCyl[#All],3,0),"")</f>
        <v/>
      </c>
      <c r="F4843" s="13" t="inlineStr">
        <is>
          <t>DDD</t>
        </is>
      </c>
      <c r="G4843" s="6" t="n">
        <v>100</v>
      </c>
      <c r="H4843" s="6" t="n">
        <v>-1439.859</v>
      </c>
      <c r="I4843" s="7">
        <f>-H4843/G4843</f>
        <v/>
      </c>
      <c r="J4843" s="11" t="n">
        <v>44705</v>
      </c>
      <c r="K4843" s="6" t="n">
        <v>100</v>
      </c>
      <c r="L4843" s="6" t="n">
        <v>995.48</v>
      </c>
      <c r="M4843" s="7">
        <f>IF(N4843=0,+L4843+H4843,0)</f>
        <v/>
      </c>
      <c r="N4843" s="7">
        <f>IF((+G4843-K4843)=0,0,+G4843-K4843)</f>
        <v/>
      </c>
      <c r="O4843" s="7">
        <f>IF(N4843=0,0,(L4843+H4843)/-N4843)</f>
        <v/>
      </c>
      <c r="P4843" s="7">
        <f>VLOOKUP(OPERAC[[#This Row],[especie]],[1]!ESPECIES[#All],6,0)</f>
        <v/>
      </c>
      <c r="Q4843" s="7">
        <f>IF(N4843&lt;&gt;0,P4843*N4843,0)</f>
        <v/>
      </c>
      <c r="R4843" s="8">
        <f>IF(Q4843&lt;&gt;0,Q4843+H4843+L4843,0)</f>
        <v/>
      </c>
      <c r="S4843" s="9">
        <f>VLOOKUP(OPERAC[[#This Row],[especie]],[1]!ESPECIES[#Data],9,FALSE)</f>
        <v/>
      </c>
    </row>
    <row r="4844">
      <c r="A4844" s="4" t="n">
        <v>19932</v>
      </c>
      <c r="B4844" s="5" t="n">
        <v>44649</v>
      </c>
      <c r="C4844" s="13" t="inlineStr">
        <is>
          <t>CPR</t>
        </is>
      </c>
      <c r="D4844" s="13" t="n">
        <v>32</v>
      </c>
      <c r="E4844" s="10">
        <f>IF(D4844&gt;0,VLOOKUP(OPERAC[[#This Row],[COD CART]],[1]!MatrizCortoLargoCyl[#All],3,0),"")</f>
        <v/>
      </c>
      <c r="F4844" s="13" t="inlineStr">
        <is>
          <t>DDD</t>
        </is>
      </c>
      <c r="G4844" s="6" t="n">
        <v>100</v>
      </c>
      <c r="H4844" s="6" t="n">
        <v>-1439.859</v>
      </c>
      <c r="I4844" s="7">
        <f>-H4844/G4844</f>
        <v/>
      </c>
      <c r="J4844" s="11" t="n">
        <v>44705</v>
      </c>
      <c r="K4844" s="6" t="n">
        <v>100</v>
      </c>
      <c r="L4844" s="6" t="n">
        <v>995.48</v>
      </c>
      <c r="M4844" s="7">
        <f>IF(N4844=0,+L4844+H4844,0)</f>
        <v/>
      </c>
      <c r="N4844" s="7">
        <f>IF((+G4844-K4844)=0,0,+G4844-K4844)</f>
        <v/>
      </c>
      <c r="O4844" s="7">
        <f>IF(N4844=0,0,(L4844+H4844)/-N4844)</f>
        <v/>
      </c>
      <c r="P4844" s="7">
        <f>VLOOKUP(OPERAC[[#This Row],[especie]],[1]!ESPECIES[#All],6,0)</f>
        <v/>
      </c>
      <c r="Q4844" s="7">
        <f>IF(N4844&lt;&gt;0,P4844*N4844,0)</f>
        <v/>
      </c>
      <c r="R4844" s="8">
        <f>IF(Q4844&lt;&gt;0,Q4844+H4844+L4844,0)</f>
        <v/>
      </c>
      <c r="S4844" s="9">
        <f>VLOOKUP(OPERAC[[#This Row],[especie]],[1]!ESPECIES[#Data],9,FALSE)</f>
        <v/>
      </c>
    </row>
    <row r="4845">
      <c r="A4845" s="4" t="n">
        <v>20317</v>
      </c>
      <c r="B4845" s="5" t="n">
        <v>44649</v>
      </c>
      <c r="C4845" s="13" t="inlineStr">
        <is>
          <t>CPR</t>
        </is>
      </c>
      <c r="D4845" s="13" t="n">
        <v>32</v>
      </c>
      <c r="E4845" s="10">
        <f>IF(D4845&gt;0,VLOOKUP(OPERAC[[#This Row],[COD CART]],[1]!MatrizCortoLargoCyl[#All],3,0),"")</f>
        <v/>
      </c>
      <c r="F4845" s="13" t="inlineStr">
        <is>
          <t>DDD</t>
        </is>
      </c>
      <c r="G4845" s="6" t="n">
        <v>100</v>
      </c>
      <c r="H4845" s="6" t="n">
        <v>-1439.859</v>
      </c>
      <c r="I4845" s="7">
        <f>-H4845/G4845</f>
        <v/>
      </c>
      <c r="J4845" s="11" t="n">
        <v>44722</v>
      </c>
      <c r="K4845" s="6" t="n">
        <v>100</v>
      </c>
      <c r="L4845" s="6" t="n">
        <v>994.67</v>
      </c>
      <c r="M4845" s="7">
        <f>IF(N4845=0,+L4845+H4845,0)</f>
        <v/>
      </c>
      <c r="N4845" s="7">
        <f>IF((+G4845-K4845)=0,0,+G4845-K4845)</f>
        <v/>
      </c>
      <c r="O4845" s="7">
        <f>IF(N4845=0,0,(L4845+H4845)/-N4845)</f>
        <v/>
      </c>
      <c r="P4845" s="7">
        <f>VLOOKUP(OPERAC[[#This Row],[especie]],[1]!ESPECIES[#All],6,0)</f>
        <v/>
      </c>
      <c r="Q4845" s="7">
        <f>IF(N4845&lt;&gt;0,P4845*N4845,0)</f>
        <v/>
      </c>
      <c r="R4845" s="8">
        <f>IF(Q4845&lt;&gt;0,Q4845+H4845+L4845,0)</f>
        <v/>
      </c>
      <c r="S4845" s="9">
        <f>VLOOKUP(OPERAC[[#This Row],[especie]],[1]!ESPECIES[#Data],9,FALSE)</f>
        <v/>
      </c>
    </row>
    <row r="4846">
      <c r="A4846" s="4" t="n">
        <v>22393</v>
      </c>
      <c r="B4846" s="5" t="n">
        <v>44649</v>
      </c>
      <c r="C4846" s="13" t="inlineStr">
        <is>
          <t>CPR</t>
        </is>
      </c>
      <c r="D4846" s="13" t="n">
        <v>32</v>
      </c>
      <c r="E4846" s="10">
        <f>IF(D4846&gt;0,VLOOKUP(OPERAC[[#This Row],[COD CART]],[1]!MatrizCortoLargoCyl[#All],3,0),"")</f>
        <v/>
      </c>
      <c r="F4846" s="13" t="inlineStr">
        <is>
          <t>DDD</t>
        </is>
      </c>
      <c r="G4846" s="6" t="n">
        <v>100</v>
      </c>
      <c r="H4846" s="6" t="n">
        <v>-1439.859</v>
      </c>
      <c r="I4846" s="7">
        <f>-H4846/G4846</f>
        <v/>
      </c>
      <c r="J4846" s="11" t="n"/>
      <c r="K4846" s="6" t="n"/>
      <c r="L4846" s="6" t="n"/>
      <c r="M4846" s="7">
        <f>IF(N4846=0,+L4846+H4846,0)</f>
        <v/>
      </c>
      <c r="N4846" s="7">
        <f>IF((+G4846-K4846)=0,0,+G4846-K4846)</f>
        <v/>
      </c>
      <c r="O4846" s="7">
        <f>IF(N4846=0,0,(L4846+H4846)/-N4846)</f>
        <v/>
      </c>
      <c r="P4846" s="7">
        <f>VLOOKUP(OPERAC[[#This Row],[especie]],[1]!ESPECIES[#All],6,0)</f>
        <v/>
      </c>
      <c r="Q4846" s="7">
        <f>IF(N4846&lt;&gt;0,P4846*N4846,0)</f>
        <v/>
      </c>
      <c r="R4846" s="8">
        <f>IF(Q4846&lt;&gt;0,Q4846+H4846+L4846,0)</f>
        <v/>
      </c>
      <c r="S4846" s="9">
        <f>VLOOKUP(OPERAC[[#This Row],[especie]],[1]!ESPECIES[#Data],9,FALSE)</f>
        <v/>
      </c>
    </row>
    <row r="4847">
      <c r="A4847" s="4" t="n">
        <v>22407</v>
      </c>
      <c r="B4847" s="5" t="n">
        <v>44649</v>
      </c>
      <c r="C4847" s="13" t="inlineStr">
        <is>
          <t>CPR</t>
        </is>
      </c>
      <c r="D4847" s="13" t="n">
        <v>32</v>
      </c>
      <c r="E4847" s="10">
        <f>IF(D4847&gt;0,VLOOKUP(OPERAC[[#This Row],[COD CART]],[1]!MatrizCortoLargoCyl[#All],3,0),"")</f>
        <v/>
      </c>
      <c r="F4847" s="13" t="inlineStr">
        <is>
          <t>DDD</t>
        </is>
      </c>
      <c r="G4847" s="6" t="n">
        <v>100</v>
      </c>
      <c r="H4847" s="6" t="n">
        <v>-1439.859</v>
      </c>
      <c r="I4847" s="7">
        <f>-H4847/G4847</f>
        <v/>
      </c>
      <c r="J4847" s="11" t="n"/>
      <c r="K4847" s="6" t="n"/>
      <c r="L4847" s="6" t="n"/>
      <c r="M4847" s="7">
        <f>IF(N4847=0,+L4847+H4847,0)</f>
        <v/>
      </c>
      <c r="N4847" s="7">
        <f>IF((+G4847-K4847)=0,0,+G4847-K4847)</f>
        <v/>
      </c>
      <c r="O4847" s="7">
        <f>IF(N4847=0,0,(L4847+H4847)/-N4847)</f>
        <v/>
      </c>
      <c r="P4847" s="7">
        <f>VLOOKUP(OPERAC[[#This Row],[especie]],[1]!ESPECIES[#All],6,0)</f>
        <v/>
      </c>
      <c r="Q4847" s="7">
        <f>IF(N4847&lt;&gt;0,P4847*N4847,0)</f>
        <v/>
      </c>
      <c r="R4847" s="8">
        <f>IF(Q4847&lt;&gt;0,Q4847+H4847+L4847,0)</f>
        <v/>
      </c>
      <c r="S4847" s="9">
        <f>VLOOKUP(OPERAC[[#This Row],[especie]],[1]!ESPECIES[#Data],9,FALSE)</f>
        <v/>
      </c>
    </row>
    <row r="4848">
      <c r="A4848" s="4" t="n">
        <v>26138</v>
      </c>
      <c r="B4848" s="5" t="n">
        <v>44649</v>
      </c>
      <c r="C4848" s="13" t="inlineStr">
        <is>
          <t>CPR</t>
        </is>
      </c>
      <c r="D4848" s="13" t="n">
        <v>32</v>
      </c>
      <c r="E4848" s="10">
        <f>IF(D4848&gt;0,VLOOKUP(OPERAC[[#This Row],[COD CART]],[1]!MatrizCortoLargoCyl[#All],3,0),"")</f>
        <v/>
      </c>
      <c r="F4848" s="13" t="inlineStr">
        <is>
          <t>DDD</t>
        </is>
      </c>
      <c r="G4848" s="6" t="n">
        <v>100</v>
      </c>
      <c r="H4848" s="6" t="n">
        <v>-1439.859</v>
      </c>
      <c r="I4848" s="7">
        <f>-H4848/G4848</f>
        <v/>
      </c>
      <c r="J4848" s="11" t="n">
        <v>44722</v>
      </c>
      <c r="K4848" s="6" t="n">
        <v>100</v>
      </c>
      <c r="L4848" s="6" t="n">
        <v>992.987</v>
      </c>
      <c r="M4848" s="7">
        <f>IF(N4848=0,+L4848+H4848,0)</f>
        <v/>
      </c>
      <c r="N4848" s="7">
        <f>IF((+G4848-K4848)=0,0,+G4848-K4848)</f>
        <v/>
      </c>
      <c r="O4848" s="7">
        <f>IF(N4848=0,0,(L4848+H4848)/-N4848)</f>
        <v/>
      </c>
      <c r="P4848" s="7">
        <f>VLOOKUP(OPERAC[[#This Row],[especie]],[1]!ESPECIES[#All],6,0)</f>
        <v/>
      </c>
      <c r="Q4848" s="7">
        <f>IF(N4848&lt;&gt;0,P4848*N4848,0)</f>
        <v/>
      </c>
      <c r="R4848" s="8">
        <f>IF(Q4848&lt;&gt;0,Q4848+H4848+L4848,0)</f>
        <v/>
      </c>
      <c r="S4848" s="9">
        <f>VLOOKUP(OPERAC[[#This Row],[especie]],[1]!ESPECIES[#Data],9,FALSE)</f>
        <v/>
      </c>
    </row>
    <row r="4849">
      <c r="A4849" s="4" t="n">
        <v>1760</v>
      </c>
      <c r="B4849" s="5" t="n">
        <v>44608</v>
      </c>
      <c r="C4849" s="13" t="inlineStr">
        <is>
          <t>CPR</t>
        </is>
      </c>
      <c r="D4849" s="13" t="n">
        <v>32</v>
      </c>
      <c r="E4849" s="10">
        <f>IF(D4849&gt;0,VLOOKUP(OPERAC[[#This Row],[COD CART]],[1]!MatrizCortoLargoCyl[#All],3,0),"")</f>
        <v/>
      </c>
      <c r="F4849" s="13" t="inlineStr">
        <is>
          <t>SPWR/CYL/15,00/18-03-22</t>
        </is>
      </c>
      <c r="G4849" s="6" t="n">
        <v>100</v>
      </c>
      <c r="H4849" s="6" t="n">
        <v>-1441.812</v>
      </c>
      <c r="I4849" s="7">
        <f>-H4849/G4849</f>
        <v/>
      </c>
      <c r="J4849" s="11" t="n">
        <v>44628</v>
      </c>
      <c r="K4849" s="6">
        <f>+OPERAC[[#This Row],[cantidad]]</f>
        <v/>
      </c>
      <c r="L4849" s="6" t="n">
        <v>1504.278</v>
      </c>
      <c r="M4849" s="7">
        <f>IF(N4849=0,+L4849+H4849,0)</f>
        <v/>
      </c>
      <c r="N4849" s="7">
        <f>IF((+G4849-K4849)=0,0,+G4849-K4849)</f>
        <v/>
      </c>
      <c r="O4849" s="7">
        <f>IF(N4849=0,0,(L4849+H4849)/-N4849)</f>
        <v/>
      </c>
      <c r="P4849" s="7">
        <f>VLOOKUP(OPERAC[[#This Row],[especie]],[1]!ESPECIES[#All],6,0)</f>
        <v/>
      </c>
      <c r="Q4849" s="7">
        <f>IF(N4849&lt;&gt;0,P4849*N4849,0)</f>
        <v/>
      </c>
      <c r="R4849" s="8">
        <f>IF(Q4849&lt;&gt;0,Q4849+H4849+L4849,0)</f>
        <v/>
      </c>
      <c r="S4849" s="9">
        <f>VLOOKUP(OPERAC[[#This Row],[especie]],[1]!ESPECIES[#Data],9,FALSE)</f>
        <v/>
      </c>
    </row>
    <row r="4850">
      <c r="A4850" s="4" t="n">
        <v>2194</v>
      </c>
      <c r="B4850" s="5" t="n">
        <v>44608</v>
      </c>
      <c r="C4850" s="13" t="inlineStr">
        <is>
          <t>CPR</t>
        </is>
      </c>
      <c r="D4850" s="13" t="n">
        <v>32</v>
      </c>
      <c r="E4850" s="10">
        <f>IF(D4850&gt;0,VLOOKUP(OPERAC[[#This Row],[COD CART]],[1]!MatrizCortoLargoCyl[#All],3,0),"")</f>
        <v/>
      </c>
      <c r="F4850" s="13" t="inlineStr">
        <is>
          <t>SPWR/CYL/15,00/18-03-22</t>
        </is>
      </c>
      <c r="G4850" s="6" t="n">
        <v>100</v>
      </c>
      <c r="H4850" s="6" t="n">
        <v>-1441.812</v>
      </c>
      <c r="I4850" s="7">
        <f>-H4850/G4850</f>
        <v/>
      </c>
      <c r="J4850" s="11" t="n">
        <v>44628</v>
      </c>
      <c r="K4850" s="6">
        <f>+OPERAC[[#This Row],[cantidad]]</f>
        <v/>
      </c>
      <c r="L4850" s="6" t="n">
        <v>1504.278</v>
      </c>
      <c r="M4850" s="7">
        <f>IF(N4850=0,+L4850+H4850,0)</f>
        <v/>
      </c>
      <c r="N4850" s="7">
        <f>IF((+G4850-K4850)=0,0,+G4850-K4850)</f>
        <v/>
      </c>
      <c r="O4850" s="7">
        <f>IF(N4850=0,0,(L4850+H4850)/-N4850)</f>
        <v/>
      </c>
      <c r="P4850" s="7">
        <f>VLOOKUP(OPERAC[[#This Row],[especie]],[1]!ESPECIES[#All],6,0)</f>
        <v/>
      </c>
      <c r="Q4850" s="7">
        <f>IF(N4850&lt;&gt;0,P4850*N4850,0)</f>
        <v/>
      </c>
      <c r="R4850" s="8">
        <f>IF(Q4850&lt;&gt;0,Q4850+H4850+L4850,0)</f>
        <v/>
      </c>
      <c r="S4850" s="9">
        <f>VLOOKUP(OPERAC[[#This Row],[especie]],[1]!ESPECIES[#Data],9,FALSE)</f>
        <v/>
      </c>
    </row>
    <row r="4851">
      <c r="A4851" s="4" t="n">
        <v>3787</v>
      </c>
      <c r="B4851" s="5" t="n">
        <v>44608</v>
      </c>
      <c r="C4851" s="13" t="inlineStr">
        <is>
          <t>CPR</t>
        </is>
      </c>
      <c r="D4851" s="13" t="n">
        <v>32</v>
      </c>
      <c r="E4851" s="10">
        <f>IF(D4851&gt;0,VLOOKUP(OPERAC[[#This Row],[COD CART]],[1]!MatrizCortoLargoCyl[#All],3,0),"")</f>
        <v/>
      </c>
      <c r="F4851" s="13" t="inlineStr">
        <is>
          <t>SPWR/CYL/15,00/18-03-22</t>
        </is>
      </c>
      <c r="G4851" s="6" t="n">
        <v>100</v>
      </c>
      <c r="H4851" s="6" t="n">
        <v>-1441.812</v>
      </c>
      <c r="I4851" s="7">
        <f>-H4851/G4851</f>
        <v/>
      </c>
      <c r="J4851" s="11" t="n">
        <v>44628</v>
      </c>
      <c r="K4851" s="6">
        <f>+OPERAC[[#This Row],[cantidad]]</f>
        <v/>
      </c>
      <c r="L4851" s="6" t="n">
        <v>1504.278</v>
      </c>
      <c r="M4851" s="7">
        <f>IF(N4851=0,+L4851+H4851,0)</f>
        <v/>
      </c>
      <c r="N4851" s="7">
        <f>IF((+G4851-K4851)=0,0,+G4851-K4851)</f>
        <v/>
      </c>
      <c r="O4851" s="7">
        <f>IF(N4851=0,0,(L4851+H4851)/-N4851)</f>
        <v/>
      </c>
      <c r="P4851" s="7">
        <f>VLOOKUP(OPERAC[[#This Row],[especie]],[1]!ESPECIES[#All],6,0)</f>
        <v/>
      </c>
      <c r="Q4851" s="7">
        <f>IF(N4851&lt;&gt;0,P4851*N4851,0)</f>
        <v/>
      </c>
      <c r="R4851" s="8">
        <f>IF(Q4851&lt;&gt;0,Q4851+H4851+L4851,0)</f>
        <v/>
      </c>
      <c r="S4851" s="9">
        <f>VLOOKUP(OPERAC[[#This Row],[especie]],[1]!ESPECIES[#Data],9,FALSE)</f>
        <v/>
      </c>
    </row>
    <row r="4852">
      <c r="A4852" s="4" t="n">
        <v>4561</v>
      </c>
      <c r="B4852" s="5" t="n">
        <v>44608</v>
      </c>
      <c r="C4852" s="13" t="inlineStr">
        <is>
          <t>CPR</t>
        </is>
      </c>
      <c r="D4852" s="13" t="n">
        <v>32</v>
      </c>
      <c r="E4852" s="10">
        <f>IF(D4852&gt;0,VLOOKUP(OPERAC[[#This Row],[COD CART]],[1]!MatrizCortoLargoCyl[#All],3,0),"")</f>
        <v/>
      </c>
      <c r="F4852" s="13" t="inlineStr">
        <is>
          <t>SPWR/CYL/15,00/18-03-22</t>
        </is>
      </c>
      <c r="G4852" s="6" t="n">
        <v>100</v>
      </c>
      <c r="H4852" s="6" t="n">
        <v>-1441.812</v>
      </c>
      <c r="I4852" s="7">
        <f>-H4852/G4852</f>
        <v/>
      </c>
      <c r="J4852" s="11" t="n">
        <v>44622</v>
      </c>
      <c r="K4852" s="6" t="n">
        <v>100</v>
      </c>
      <c r="L4852" s="6" t="n">
        <v>1444.054</v>
      </c>
      <c r="M4852" s="7">
        <f>IF(N4852=0,+L4852+H4852,0)</f>
        <v/>
      </c>
      <c r="N4852" s="7">
        <f>IF((+G4852-K4852)=0,0,+G4852-K4852)</f>
        <v/>
      </c>
      <c r="O4852" s="7">
        <f>IF(N4852=0,0,(L4852+H4852)/-N4852)</f>
        <v/>
      </c>
      <c r="P4852" s="7">
        <f>VLOOKUP(OPERAC[[#This Row],[especie]],[1]!ESPECIES[#All],6,0)</f>
        <v/>
      </c>
      <c r="Q4852" s="7">
        <f>IF(N4852&lt;&gt;0,P4852*N4852,0)</f>
        <v/>
      </c>
      <c r="R4852" s="8">
        <f>IF(Q4852&lt;&gt;0,Q4852+H4852+L4852,0)</f>
        <v/>
      </c>
      <c r="S4852" s="9">
        <f>VLOOKUP(OPERAC[[#This Row],[especie]],[1]!ESPECIES[#Data],9,FALSE)</f>
        <v/>
      </c>
    </row>
    <row r="4853">
      <c r="A4853" s="4" t="n">
        <v>18662</v>
      </c>
      <c r="B4853" s="5" t="n">
        <v>44608</v>
      </c>
      <c r="C4853" s="13" t="inlineStr">
        <is>
          <t>CPR</t>
        </is>
      </c>
      <c r="D4853" s="13" t="n">
        <v>32</v>
      </c>
      <c r="E4853" s="10">
        <f>IF(D4853&gt;0,VLOOKUP(OPERAC[[#This Row],[COD CART]],[1]!MatrizCortoLargoCyl[#All],3,0),"")</f>
        <v/>
      </c>
      <c r="F4853" s="13" t="inlineStr">
        <is>
          <t>SPWR/CYL/15,00/18-03-22</t>
        </is>
      </c>
      <c r="G4853" s="6" t="n">
        <v>100</v>
      </c>
      <c r="H4853" s="6" t="n">
        <v>-1441.812</v>
      </c>
      <c r="I4853" s="7">
        <f>-H4853/G4853</f>
        <v/>
      </c>
      <c r="J4853" s="11" t="n">
        <v>44628</v>
      </c>
      <c r="K4853" s="6">
        <f>+OPERAC[[#This Row],[cantidad]]</f>
        <v/>
      </c>
      <c r="L4853" s="6" t="n">
        <v>1504.278</v>
      </c>
      <c r="M4853" s="7">
        <f>IF(N4853=0,+L4853+H4853,0)</f>
        <v/>
      </c>
      <c r="N4853" s="7">
        <f>IF((+G4853-K4853)=0,0,+G4853-K4853)</f>
        <v/>
      </c>
      <c r="O4853" s="7">
        <f>IF(N4853=0,0,(L4853+H4853)/-N4853)</f>
        <v/>
      </c>
      <c r="P4853" s="7">
        <f>VLOOKUP(OPERAC[[#This Row],[especie]],[1]!ESPECIES[#All],6,0)</f>
        <v/>
      </c>
      <c r="Q4853" s="7">
        <f>IF(N4853&lt;&gt;0,P4853*N4853,0)</f>
        <v/>
      </c>
      <c r="R4853" s="8">
        <f>IF(Q4853&lt;&gt;0,Q4853+H4853+L4853,0)</f>
        <v/>
      </c>
      <c r="S4853" s="9">
        <f>VLOOKUP(OPERAC[[#This Row],[especie]],[1]!ESPECIES[#Data],9,FALSE)</f>
        <v/>
      </c>
    </row>
    <row r="4854">
      <c r="A4854" s="4" t="n">
        <v>18724</v>
      </c>
      <c r="B4854" s="5" t="n">
        <v>44608</v>
      </c>
      <c r="C4854" s="13" t="inlineStr">
        <is>
          <t>CPR</t>
        </is>
      </c>
      <c r="D4854" s="13" t="n">
        <v>32</v>
      </c>
      <c r="E4854" s="10">
        <f>IF(D4854&gt;0,VLOOKUP(OPERAC[[#This Row],[COD CART]],[1]!MatrizCortoLargoCyl[#All],3,0),"")</f>
        <v/>
      </c>
      <c r="F4854" s="13" t="inlineStr">
        <is>
          <t>SPWR/CYL/15,00/18-03-22</t>
        </is>
      </c>
      <c r="G4854" s="6" t="n">
        <v>100</v>
      </c>
      <c r="H4854" s="6" t="n">
        <v>-1441.812</v>
      </c>
      <c r="I4854" s="7">
        <f>-H4854/G4854</f>
        <v/>
      </c>
      <c r="J4854" s="11" t="n">
        <v>44628</v>
      </c>
      <c r="K4854" s="6">
        <f>+OPERAC[[#This Row],[cantidad]]</f>
        <v/>
      </c>
      <c r="L4854" s="6" t="n">
        <v>1504.278</v>
      </c>
      <c r="M4854" s="7">
        <f>IF(N4854=0,+L4854+H4854,0)</f>
        <v/>
      </c>
      <c r="N4854" s="7">
        <f>IF((+G4854-K4854)=0,0,+G4854-K4854)</f>
        <v/>
      </c>
      <c r="O4854" s="7">
        <f>IF(N4854=0,0,(L4854+H4854)/-N4854)</f>
        <v/>
      </c>
      <c r="P4854" s="7">
        <f>VLOOKUP(OPERAC[[#This Row],[especie]],[1]!ESPECIES[#All],6,0)</f>
        <v/>
      </c>
      <c r="Q4854" s="7">
        <f>IF(N4854&lt;&gt;0,P4854*N4854,0)</f>
        <v/>
      </c>
      <c r="R4854" s="8">
        <f>IF(Q4854&lt;&gt;0,Q4854+H4854+L4854,0)</f>
        <v/>
      </c>
      <c r="S4854" s="9">
        <f>VLOOKUP(OPERAC[[#This Row],[especie]],[1]!ESPECIES[#Data],9,FALSE)</f>
        <v/>
      </c>
    </row>
    <row r="4855">
      <c r="A4855" s="4" t="n">
        <v>19888</v>
      </c>
      <c r="B4855" s="5" t="n">
        <v>44608</v>
      </c>
      <c r="C4855" s="13" t="inlineStr">
        <is>
          <t>CPR</t>
        </is>
      </c>
      <c r="D4855" s="13" t="n">
        <v>32</v>
      </c>
      <c r="E4855" s="10">
        <f>IF(D4855&gt;0,VLOOKUP(OPERAC[[#This Row],[COD CART]],[1]!MatrizCortoLargoCyl[#All],3,0),"")</f>
        <v/>
      </c>
      <c r="F4855" s="13" t="inlineStr">
        <is>
          <t>SPWR/CYL/15,00/18-03-22</t>
        </is>
      </c>
      <c r="G4855" s="6" t="n">
        <v>100</v>
      </c>
      <c r="H4855" s="6" t="n">
        <v>-1441.812</v>
      </c>
      <c r="I4855" s="7">
        <f>-H4855/G4855</f>
        <v/>
      </c>
      <c r="J4855" s="11" t="n">
        <v>44628</v>
      </c>
      <c r="K4855" s="6">
        <f>+OPERAC[[#This Row],[cantidad]]</f>
        <v/>
      </c>
      <c r="L4855" s="6" t="n">
        <v>1504.278</v>
      </c>
      <c r="M4855" s="7">
        <f>IF(N4855=0,+L4855+H4855,0)</f>
        <v/>
      </c>
      <c r="N4855" s="7">
        <f>IF((+G4855-K4855)=0,0,+G4855-K4855)</f>
        <v/>
      </c>
      <c r="O4855" s="7">
        <f>IF(N4855=0,0,(L4855+H4855)/-N4855)</f>
        <v/>
      </c>
      <c r="P4855" s="7">
        <f>VLOOKUP(OPERAC[[#This Row],[especie]],[1]!ESPECIES[#All],6,0)</f>
        <v/>
      </c>
      <c r="Q4855" s="7">
        <f>IF(N4855&lt;&gt;0,P4855*N4855,0)</f>
        <v/>
      </c>
      <c r="R4855" s="8">
        <f>IF(Q4855&lt;&gt;0,Q4855+H4855+L4855,0)</f>
        <v/>
      </c>
      <c r="S4855" s="9">
        <f>VLOOKUP(OPERAC[[#This Row],[especie]],[1]!ESPECIES[#Data],9,FALSE)</f>
        <v/>
      </c>
    </row>
    <row r="4856">
      <c r="A4856" s="4" t="n">
        <v>19920</v>
      </c>
      <c r="B4856" s="5" t="n">
        <v>44608</v>
      </c>
      <c r="C4856" s="13" t="inlineStr">
        <is>
          <t>CPR</t>
        </is>
      </c>
      <c r="D4856" s="13" t="n">
        <v>32</v>
      </c>
      <c r="E4856" s="10">
        <f>IF(D4856&gt;0,VLOOKUP(OPERAC[[#This Row],[COD CART]],[1]!MatrizCortoLargoCyl[#All],3,0),"")</f>
        <v/>
      </c>
      <c r="F4856" s="13" t="inlineStr">
        <is>
          <t>SPWR/CYL/15,00/18-03-22</t>
        </is>
      </c>
      <c r="G4856" s="6" t="n">
        <v>100</v>
      </c>
      <c r="H4856" s="6" t="n">
        <v>-1441.812</v>
      </c>
      <c r="I4856" s="7">
        <f>-H4856/G4856</f>
        <v/>
      </c>
      <c r="J4856" s="11" t="n">
        <v>44628</v>
      </c>
      <c r="K4856" s="6">
        <f>+OPERAC[[#This Row],[cantidad]]</f>
        <v/>
      </c>
      <c r="L4856" s="6" t="n">
        <v>1504.278</v>
      </c>
      <c r="M4856" s="7">
        <f>IF(N4856=0,+L4856+H4856,0)</f>
        <v/>
      </c>
      <c r="N4856" s="7">
        <f>IF((+G4856-K4856)=0,0,+G4856-K4856)</f>
        <v/>
      </c>
      <c r="O4856" s="7">
        <f>IF(N4856=0,0,(L4856+H4856)/-N4856)</f>
        <v/>
      </c>
      <c r="P4856" s="7">
        <f>VLOOKUP(OPERAC[[#This Row],[especie]],[1]!ESPECIES[#All],6,0)</f>
        <v/>
      </c>
      <c r="Q4856" s="7">
        <f>IF(N4856&lt;&gt;0,P4856*N4856,0)</f>
        <v/>
      </c>
      <c r="R4856" s="8">
        <f>IF(Q4856&lt;&gt;0,Q4856+H4856+L4856,0)</f>
        <v/>
      </c>
      <c r="S4856" s="9">
        <f>VLOOKUP(OPERAC[[#This Row],[especie]],[1]!ESPECIES[#Data],9,FALSE)</f>
        <v/>
      </c>
    </row>
    <row r="4857">
      <c r="A4857" s="4" t="n">
        <v>19932</v>
      </c>
      <c r="B4857" s="5" t="n">
        <v>44608</v>
      </c>
      <c r="C4857" s="13" t="inlineStr">
        <is>
          <t>CPR</t>
        </is>
      </c>
      <c r="D4857" s="13" t="n">
        <v>32</v>
      </c>
      <c r="E4857" s="10">
        <f>IF(D4857&gt;0,VLOOKUP(OPERAC[[#This Row],[COD CART]],[1]!MatrizCortoLargoCyl[#All],3,0),"")</f>
        <v/>
      </c>
      <c r="F4857" s="13" t="inlineStr">
        <is>
          <t>SPWR/CYL/15,00/18-03-22</t>
        </is>
      </c>
      <c r="G4857" s="6" t="n">
        <v>100</v>
      </c>
      <c r="H4857" s="6" t="n">
        <v>-1441.812</v>
      </c>
      <c r="I4857" s="7">
        <f>-H4857/G4857</f>
        <v/>
      </c>
      <c r="J4857" s="11" t="n">
        <v>44628</v>
      </c>
      <c r="K4857" s="6">
        <f>+OPERAC[[#This Row],[cantidad]]</f>
        <v/>
      </c>
      <c r="L4857" s="6" t="n">
        <v>1504.278</v>
      </c>
      <c r="M4857" s="7">
        <f>IF(N4857=0,+L4857+H4857,0)</f>
        <v/>
      </c>
      <c r="N4857" s="7">
        <f>IF((+G4857-K4857)=0,0,+G4857-K4857)</f>
        <v/>
      </c>
      <c r="O4857" s="7">
        <f>IF(N4857=0,0,(L4857+H4857)/-N4857)</f>
        <v/>
      </c>
      <c r="P4857" s="7">
        <f>VLOOKUP(OPERAC[[#This Row],[especie]],[1]!ESPECIES[#All],6,0)</f>
        <v/>
      </c>
      <c r="Q4857" s="7">
        <f>IF(N4857&lt;&gt;0,P4857*N4857,0)</f>
        <v/>
      </c>
      <c r="R4857" s="8">
        <f>IF(Q4857&lt;&gt;0,Q4857+H4857+L4857,0)</f>
        <v/>
      </c>
      <c r="S4857" s="9">
        <f>VLOOKUP(OPERAC[[#This Row],[especie]],[1]!ESPECIES[#Data],9,FALSE)</f>
        <v/>
      </c>
    </row>
    <row r="4858">
      <c r="A4858" s="4" t="n">
        <v>22407</v>
      </c>
      <c r="B4858" s="5" t="n">
        <v>44608</v>
      </c>
      <c r="C4858" s="13" t="inlineStr">
        <is>
          <t>CPR</t>
        </is>
      </c>
      <c r="D4858" s="13" t="n">
        <v>32</v>
      </c>
      <c r="E4858" s="10">
        <f>IF(D4858&gt;0,VLOOKUP(OPERAC[[#This Row],[COD CART]],[1]!MatrizCortoLargoCyl[#All],3,0),"")</f>
        <v/>
      </c>
      <c r="F4858" s="13" t="inlineStr">
        <is>
          <t>SPWR/CYL/15,00/18-03-22</t>
        </is>
      </c>
      <c r="G4858" s="6" t="n">
        <v>100</v>
      </c>
      <c r="H4858" s="6" t="n">
        <v>-1441.812</v>
      </c>
      <c r="I4858" s="7">
        <f>-H4858/G4858</f>
        <v/>
      </c>
      <c r="J4858" s="11" t="n">
        <v>44617</v>
      </c>
      <c r="K4858" s="6" t="n">
        <v>100</v>
      </c>
      <c r="L4858" s="6" t="n">
        <v>1428.97</v>
      </c>
      <c r="M4858" s="7">
        <f>IF(N4858=0,+L4858+H4858,0)</f>
        <v/>
      </c>
      <c r="N4858" s="7">
        <f>IF((+G4858-K4858)=0,0,+G4858-K4858)</f>
        <v/>
      </c>
      <c r="O4858" s="7">
        <f>IF(N4858=0,0,(L4858+H4858)/-N4858)</f>
        <v/>
      </c>
      <c r="P4858" s="7">
        <f>VLOOKUP(OPERAC[[#This Row],[especie]],[1]!ESPECIES[#All],6,0)</f>
        <v/>
      </c>
      <c r="Q4858" s="7">
        <f>IF(N4858&lt;&gt;0,P4858*N4858,0)</f>
        <v/>
      </c>
      <c r="R4858" s="8">
        <f>IF(Q4858&lt;&gt;0,Q4858+H4858+L4858,0)</f>
        <v/>
      </c>
      <c r="S4858" s="9">
        <f>VLOOKUP(OPERAC[[#This Row],[especie]],[1]!ESPECIES[#Data],9,FALSE)</f>
        <v/>
      </c>
    </row>
    <row r="4859">
      <c r="A4859" s="4" t="n">
        <v>25070</v>
      </c>
      <c r="B4859" s="5" t="n">
        <v>44608</v>
      </c>
      <c r="C4859" s="13" t="inlineStr">
        <is>
          <t>CPR</t>
        </is>
      </c>
      <c r="D4859" s="13" t="n">
        <v>32</v>
      </c>
      <c r="E4859" s="10">
        <f>IF(D4859&gt;0,VLOOKUP(OPERAC[[#This Row],[COD CART]],[1]!MatrizCortoLargoCyl[#All],3,0),"")</f>
        <v/>
      </c>
      <c r="F4859" s="13" t="inlineStr">
        <is>
          <t>SPWR/CYL/15,00/18-03-22</t>
        </is>
      </c>
      <c r="G4859" s="6" t="n">
        <v>100</v>
      </c>
      <c r="H4859" s="6" t="n">
        <v>-1441.812</v>
      </c>
      <c r="I4859" s="7">
        <f>-H4859/G4859</f>
        <v/>
      </c>
      <c r="J4859" s="11" t="n">
        <v>44628</v>
      </c>
      <c r="K4859" s="6">
        <f>+OPERAC[[#This Row],[cantidad]]</f>
        <v/>
      </c>
      <c r="L4859" s="6" t="n">
        <v>1504.278</v>
      </c>
      <c r="M4859" s="7">
        <f>IF(N4859=0,+L4859+H4859,0)</f>
        <v/>
      </c>
      <c r="N4859" s="7">
        <f>IF((+G4859-K4859)=0,0,+G4859-K4859)</f>
        <v/>
      </c>
      <c r="O4859" s="7">
        <f>IF(N4859=0,0,(L4859+H4859)/-N4859)</f>
        <v/>
      </c>
      <c r="P4859" s="7">
        <f>VLOOKUP(OPERAC[[#This Row],[especie]],[1]!ESPECIES[#All],6,0)</f>
        <v/>
      </c>
      <c r="Q4859" s="7">
        <f>IF(N4859&lt;&gt;0,P4859*N4859,0)</f>
        <v/>
      </c>
      <c r="R4859" s="8">
        <f>IF(Q4859&lt;&gt;0,Q4859+H4859+L4859,0)</f>
        <v/>
      </c>
      <c r="S4859" s="9">
        <f>VLOOKUP(OPERAC[[#This Row],[especie]],[1]!ESPECIES[#Data],9,FALSE)</f>
        <v/>
      </c>
    </row>
    <row r="4860">
      <c r="A4860" s="4" t="n">
        <v>26138</v>
      </c>
      <c r="B4860" s="5" t="n">
        <v>44608</v>
      </c>
      <c r="C4860" s="13" t="inlineStr">
        <is>
          <t>CPR</t>
        </is>
      </c>
      <c r="D4860" s="13" t="n">
        <v>32</v>
      </c>
      <c r="E4860" s="10">
        <f>IF(D4860&gt;0,VLOOKUP(OPERAC[[#This Row],[COD CART]],[1]!MatrizCortoLargoCyl[#All],3,0),"")</f>
        <v/>
      </c>
      <c r="F4860" s="13" t="inlineStr">
        <is>
          <t>SPWR/CYL/15,00/18-03-22</t>
        </is>
      </c>
      <c r="G4860" s="6" t="n">
        <v>100</v>
      </c>
      <c r="H4860" s="6" t="n">
        <v>-1441.812</v>
      </c>
      <c r="I4860" s="7">
        <f>-H4860/G4860</f>
        <v/>
      </c>
      <c r="J4860" s="11" t="n">
        <v>44617</v>
      </c>
      <c r="K4860" s="6" t="n">
        <v>100</v>
      </c>
      <c r="L4860" s="6" t="n">
        <v>1428.97</v>
      </c>
      <c r="M4860" s="7">
        <f>IF(N4860=0,+L4860+H4860,0)</f>
        <v/>
      </c>
      <c r="N4860" s="7">
        <f>IF((+G4860-K4860)=0,0,+G4860-K4860)</f>
        <v/>
      </c>
      <c r="O4860" s="7">
        <f>IF(N4860=0,0,(L4860+H4860)/-N4860)</f>
        <v/>
      </c>
      <c r="P4860" s="7">
        <f>VLOOKUP(OPERAC[[#This Row],[especie]],[1]!ESPECIES[#All],6,0)</f>
        <v/>
      </c>
      <c r="Q4860" s="7">
        <f>IF(N4860&lt;&gt;0,P4860*N4860,0)</f>
        <v/>
      </c>
      <c r="R4860" s="8">
        <f>IF(Q4860&lt;&gt;0,Q4860+H4860+L4860,0)</f>
        <v/>
      </c>
      <c r="S4860" s="9">
        <f>VLOOKUP(OPERAC[[#This Row],[especie]],[1]!ESPECIES[#Data],9,FALSE)</f>
        <v/>
      </c>
    </row>
    <row r="4861">
      <c r="A4861" s="4" t="n">
        <v>2255</v>
      </c>
      <c r="B4861" s="5" t="n">
        <v>44713</v>
      </c>
      <c r="C4861" s="13" t="inlineStr">
        <is>
          <t>CPR</t>
        </is>
      </c>
      <c r="D4861" s="13" t="n">
        <v>42</v>
      </c>
      <c r="E4861" s="10">
        <f>IF(D4861&gt;0,VLOOKUP(OPERAC[[#This Row],[COD CART]],[1]!MatrizCortoLargoCyl[#All],3,0),"")</f>
        <v/>
      </c>
      <c r="F4861" s="13" t="inlineStr">
        <is>
          <t>UPST</t>
        </is>
      </c>
      <c r="G4861" s="6" t="n">
        <v>30</v>
      </c>
      <c r="H4861" s="6" t="n">
        <v>-1444.4046</v>
      </c>
      <c r="I4861" s="7">
        <f>-H4861/G4861</f>
        <v/>
      </c>
      <c r="J4861" s="5" t="n">
        <v>44714</v>
      </c>
      <c r="K4861" s="6">
        <f>+OPERAC[[#This Row],[cantidad]]</f>
        <v/>
      </c>
      <c r="L4861" s="6">
        <f>+OPERAC[[#This Row],[cantidad venta]]*49.312</f>
        <v/>
      </c>
      <c r="M4861" s="7">
        <f>IF(N4861=0,+L4861+H4861,0)</f>
        <v/>
      </c>
      <c r="N4861" s="7">
        <f>IF((+G4861-K4861)=0,0,+G4861-K4861)</f>
        <v/>
      </c>
      <c r="O4861" s="7">
        <f>IF(N4861=0,0,(L4861+H4861)/-N4861)</f>
        <v/>
      </c>
      <c r="P4861" s="7">
        <f>VLOOKUP(OPERAC[[#This Row],[especie]],[1]!ESPECIES[#All],6,0)</f>
        <v/>
      </c>
      <c r="Q4861" s="7">
        <f>IF(N4861&lt;&gt;0,P4861*N4861,0)</f>
        <v/>
      </c>
      <c r="R4861" s="8">
        <f>IF(Q4861&lt;&gt;0,Q4861+H4861+L4861,0)</f>
        <v/>
      </c>
      <c r="S4861" s="9">
        <f>VLOOKUP(OPERAC[[#This Row],[especie]],[1]!ESPECIES[#Data],9,FALSE)</f>
        <v/>
      </c>
    </row>
    <row r="4862">
      <c r="A4862" s="4" t="n">
        <v>16783</v>
      </c>
      <c r="B4862" s="5" t="n">
        <v>44713</v>
      </c>
      <c r="C4862" s="13" t="inlineStr">
        <is>
          <t>CPR</t>
        </is>
      </c>
      <c r="D4862" s="13" t="n">
        <v>42</v>
      </c>
      <c r="E4862" s="10">
        <f>IF(D4862&gt;0,VLOOKUP(OPERAC[[#This Row],[COD CART]],[1]!MatrizCortoLargoCyl[#All],3,0),"")</f>
        <v/>
      </c>
      <c r="F4862" s="13" t="inlineStr">
        <is>
          <t>UPST</t>
        </is>
      </c>
      <c r="G4862" s="6" t="n">
        <v>30</v>
      </c>
      <c r="H4862" s="6" t="n">
        <v>-1444.4046</v>
      </c>
      <c r="I4862" s="7">
        <f>-H4862/G4862</f>
        <v/>
      </c>
      <c r="J4862" s="5" t="n">
        <v>44714</v>
      </c>
      <c r="K4862" s="6">
        <f>+OPERAC[[#This Row],[cantidad]]</f>
        <v/>
      </c>
      <c r="L4862" s="6">
        <f>+OPERAC[[#This Row],[cantidad venta]]*49.312</f>
        <v/>
      </c>
      <c r="M4862" s="7">
        <f>IF(N4862=0,+L4862+H4862,0)</f>
        <v/>
      </c>
      <c r="N4862" s="7">
        <f>IF((+G4862-K4862)=0,0,+G4862-K4862)</f>
        <v/>
      </c>
      <c r="O4862" s="7">
        <f>IF(N4862=0,0,(L4862+H4862)/-N4862)</f>
        <v/>
      </c>
      <c r="P4862" s="7">
        <f>VLOOKUP(OPERAC[[#This Row],[especie]],[1]!ESPECIES[#All],6,0)</f>
        <v/>
      </c>
      <c r="Q4862" s="7">
        <f>IF(N4862&lt;&gt;0,P4862*N4862,0)</f>
        <v/>
      </c>
      <c r="R4862" s="8">
        <f>IF(Q4862&lt;&gt;0,Q4862+H4862+L4862,0)</f>
        <v/>
      </c>
      <c r="S4862" s="9">
        <f>VLOOKUP(OPERAC[[#This Row],[especie]],[1]!ESPECIES[#Data],9,FALSE)</f>
        <v/>
      </c>
    </row>
    <row r="4863">
      <c r="A4863" s="4" t="n">
        <v>2218</v>
      </c>
      <c r="B4863" s="5" t="n">
        <v>44622</v>
      </c>
      <c r="C4863" s="13" t="inlineStr">
        <is>
          <t>CPR</t>
        </is>
      </c>
      <c r="D4863" s="13" t="n">
        <v>32</v>
      </c>
      <c r="E4863" s="10">
        <f>IF(D4863&gt;0,VLOOKUP(OPERAC[[#This Row],[COD CART]],[1]!MatrizCortoLargoCyl[#All],3,0),"")</f>
        <v/>
      </c>
      <c r="F4863" s="13" t="inlineStr">
        <is>
          <t>AMC/CYL/16,00/14-04-22</t>
        </is>
      </c>
      <c r="G4863" s="6" t="n">
        <v>100</v>
      </c>
      <c r="H4863" s="6" t="n">
        <v>-1445.3153</v>
      </c>
      <c r="I4863" s="7">
        <f>-H4863/G4863</f>
        <v/>
      </c>
      <c r="J4863" s="11" t="n">
        <v>44648</v>
      </c>
      <c r="K4863" s="6">
        <f>+OPERAC[[#This Row],[cantidad]]</f>
        <v/>
      </c>
      <c r="L4863" s="6" t="n">
        <v>1581.776</v>
      </c>
      <c r="M4863" s="7">
        <f>IF(N4863=0,+L4863+H4863,0)</f>
        <v/>
      </c>
      <c r="N4863" s="7">
        <f>IF((+G4863-K4863)=0,0,+G4863-K4863)</f>
        <v/>
      </c>
      <c r="O4863" s="7">
        <f>IF(N4863=0,0,(L4863+H4863)/-N4863)</f>
        <v/>
      </c>
      <c r="P4863" s="7">
        <f>VLOOKUP(OPERAC[[#This Row],[especie]],[1]!ESPECIES[#All],6,0)</f>
        <v/>
      </c>
      <c r="Q4863" s="7">
        <f>IF(N4863&lt;&gt;0,P4863*N4863,0)</f>
        <v/>
      </c>
      <c r="R4863" s="8">
        <f>IF(Q4863&lt;&gt;0,Q4863+H4863+L4863,0)</f>
        <v/>
      </c>
      <c r="S4863" s="9">
        <f>VLOOKUP(OPERAC[[#This Row],[especie]],[1]!ESPECIES[#Data],9,FALSE)</f>
        <v/>
      </c>
    </row>
    <row r="4864">
      <c r="A4864" s="12" t="n">
        <v>18663</v>
      </c>
      <c r="B4864" s="5" t="n">
        <v>44377</v>
      </c>
      <c r="C4864" s="13" t="inlineStr">
        <is>
          <t>CPR</t>
        </is>
      </c>
      <c r="D4864" s="13" t="n">
        <v>41</v>
      </c>
      <c r="E4864" s="10">
        <f>IF(D4864&gt;0,VLOOKUP(OPERAC[[#This Row],[COD CART]],[1]!MatrizCortoLargoCyl[#All],3,0),"")</f>
        <v/>
      </c>
      <c r="F4864" s="13" t="inlineStr">
        <is>
          <t>HIMX</t>
        </is>
      </c>
      <c r="G4864" s="6" t="n">
        <v>100</v>
      </c>
      <c r="H4864" s="6">
        <f>-1505.0984+30.704+32.72-5.043</f>
        <v/>
      </c>
      <c r="I4864" s="7">
        <f>-H4864/G4864</f>
        <v/>
      </c>
      <c r="J4864" s="11" t="n"/>
      <c r="K4864" s="6" t="n"/>
      <c r="L4864" s="6" t="n"/>
      <c r="M4864" s="7">
        <f>IF(N4864=0,+L4864+H4864,0)</f>
        <v/>
      </c>
      <c r="N4864" s="7">
        <f>IF((+G4864-K4864)=0,0,+G4864-K4864)</f>
        <v/>
      </c>
      <c r="O4864" s="7">
        <f>IF(N4864=0,0,(L4864+H4864)/-N4864)</f>
        <v/>
      </c>
      <c r="P4864" s="7">
        <f>VLOOKUP(OPERAC[[#This Row],[especie]],[1]!ESPECIES[#All],6,0)</f>
        <v/>
      </c>
      <c r="Q4864" s="7">
        <f>IF(N4864&lt;&gt;0,P4864*N4864,0)</f>
        <v/>
      </c>
      <c r="R4864" s="8">
        <f>IF(Q4864&lt;&gt;0,Q4864+H4864+L4864,0)</f>
        <v/>
      </c>
      <c r="S4864" s="9">
        <f>VLOOKUP(OPERAC[[#This Row],[especie]],[1]!ESPECIES[#Data],9,FALSE)</f>
        <v/>
      </c>
    </row>
    <row r="4865">
      <c r="A4865" s="4" t="n">
        <v>16795</v>
      </c>
      <c r="B4865" s="5" t="n">
        <v>43851</v>
      </c>
      <c r="C4865" s="13" t="inlineStr">
        <is>
          <t>CPR</t>
        </is>
      </c>
      <c r="D4865" s="13" t="n">
        <v>31</v>
      </c>
      <c r="E4865" s="10">
        <f>IF(D4865&gt;0,VLOOKUP(OPERAC[[#This Row],[COD CART]],[1]!MatrizCortoLargoCyl[#All],3,0),"")</f>
        <v/>
      </c>
      <c r="F4865" s="13" t="inlineStr">
        <is>
          <t>YPF</t>
        </is>
      </c>
      <c r="G4865" s="6" t="n">
        <v>200</v>
      </c>
      <c r="H4865" s="6" t="n">
        <v>-1451.4112</v>
      </c>
      <c r="I4865" s="7" t="n">
        <v>7.257055999999999</v>
      </c>
      <c r="J4865" s="5" t="n">
        <v>44456</v>
      </c>
      <c r="K4865" s="6" t="n">
        <v>100</v>
      </c>
      <c r="L4865" s="6" t="n">
        <v>513.903</v>
      </c>
      <c r="M4865" s="7">
        <f>IF(N4865=0,+L4865+H4865,0)</f>
        <v/>
      </c>
      <c r="N4865" s="7">
        <f>IF((+G4865-K4865)=0,0,+G4865-K4865)</f>
        <v/>
      </c>
      <c r="O4865" s="7">
        <f>IF(N4865=0,0,(L4865+H4865)/-N4865)</f>
        <v/>
      </c>
      <c r="P4865" s="7">
        <f>VLOOKUP(OPERAC[[#This Row],[especie]],[1]!ESPECIES[#All],6,0)</f>
        <v/>
      </c>
      <c r="Q4865" s="7">
        <f>IF(N4865&lt;&gt;0,P4865*N4865,0)</f>
        <v/>
      </c>
      <c r="R4865" s="8">
        <f>IF(Q4865&lt;&gt;0,Q4865+H4865+L4865,0)</f>
        <v/>
      </c>
      <c r="S4865" s="9">
        <f>VLOOKUP(OPERAC[[#This Row],[especie]],[1]!ESPECIES[#Data],9,FALSE)</f>
        <v/>
      </c>
    </row>
    <row r="4866">
      <c r="A4866" s="4" t="n">
        <v>18713</v>
      </c>
      <c r="B4866" s="5" t="n">
        <v>44697</v>
      </c>
      <c r="C4866" s="13" t="inlineStr">
        <is>
          <t>CPR</t>
        </is>
      </c>
      <c r="D4866" s="13" t="n">
        <v>32</v>
      </c>
      <c r="E4866" s="10">
        <f>IF(D4866&gt;0,VLOOKUP(OPERAC[[#This Row],[COD CART]],[1]!MatrizCortoLargoCyl[#All],3,0),"")</f>
        <v/>
      </c>
      <c r="F4866" s="13" t="inlineStr">
        <is>
          <t>TLRY/CYL/6,50/24-06-22</t>
        </is>
      </c>
      <c r="G4866" s="6" t="n">
        <v>300</v>
      </c>
      <c r="H4866" s="6" t="n">
        <v>-1451.85</v>
      </c>
      <c r="I4866" s="7">
        <f>-H4866/G4866</f>
        <v/>
      </c>
      <c r="J4866" s="11" t="n"/>
      <c r="K4866" s="6" t="n"/>
      <c r="L4866" s="6" t="n"/>
      <c r="M4866" s="7">
        <f>IF(N4866=0,+L4866+H4866,0)</f>
        <v/>
      </c>
      <c r="N4866" s="7">
        <f>IF((+G4866-K4866)=0,0,+G4866-K4866)</f>
        <v/>
      </c>
      <c r="O4866" s="7">
        <f>IF(N4866=0,0,(L4866+H4866)/-N4866)</f>
        <v/>
      </c>
      <c r="P4866" s="7">
        <f>VLOOKUP(OPERAC[[#This Row],[especie]],[1]!ESPECIES[#All],6,0)</f>
        <v/>
      </c>
      <c r="Q4866" s="7">
        <f>IF(N4866&lt;&gt;0,P4866*N4866,0)</f>
        <v/>
      </c>
      <c r="R4866" s="8">
        <f>IF(Q4866&lt;&gt;0,Q4866+H4866+L4866,0)</f>
        <v/>
      </c>
      <c r="S4866" s="9">
        <f>VLOOKUP(OPERAC[[#This Row],[especie]],[1]!ESPECIES[#Data],9,FALSE)</f>
        <v/>
      </c>
    </row>
    <row r="4867">
      <c r="A4867" s="4" t="n">
        <v>9195</v>
      </c>
      <c r="B4867" s="5" t="n">
        <v>44622</v>
      </c>
      <c r="C4867" s="13" t="inlineStr">
        <is>
          <t>CPR</t>
        </is>
      </c>
      <c r="D4867" s="13" t="n">
        <v>32</v>
      </c>
      <c r="E4867" s="10">
        <f>IF(D4867&gt;0,VLOOKUP(OPERAC[[#This Row],[COD CART]],[1]!MatrizCortoLargoCyl[#All],3,0),"")</f>
        <v/>
      </c>
      <c r="F4867" s="13" t="inlineStr">
        <is>
          <t>AMC/CYL/16,00/14-04-22</t>
        </is>
      </c>
      <c r="G4867" s="6" t="n">
        <v>100</v>
      </c>
      <c r="H4867" s="6" t="n">
        <v>-1451.981</v>
      </c>
      <c r="I4867" s="7">
        <f>-H4867/G4867</f>
        <v/>
      </c>
      <c r="J4867" s="11" t="n">
        <v>44648</v>
      </c>
      <c r="K4867" s="6">
        <f>+OPERAC[[#This Row],[cantidad]]</f>
        <v/>
      </c>
      <c r="L4867" s="6" t="n">
        <v>1581.776</v>
      </c>
      <c r="M4867" s="7">
        <f>IF(N4867=0,+L4867+H4867,0)</f>
        <v/>
      </c>
      <c r="N4867" s="7">
        <f>IF((+G4867-K4867)=0,0,+G4867-K4867)</f>
        <v/>
      </c>
      <c r="O4867" s="7">
        <f>IF(N4867=0,0,(L4867+H4867)/-N4867)</f>
        <v/>
      </c>
      <c r="P4867" s="7">
        <f>VLOOKUP(OPERAC[[#This Row],[especie]],[1]!ESPECIES[#All],6,0)</f>
        <v/>
      </c>
      <c r="Q4867" s="7">
        <f>IF(N4867&lt;&gt;0,P4867*N4867,0)</f>
        <v/>
      </c>
      <c r="R4867" s="8">
        <f>IF(Q4867&lt;&gt;0,Q4867+H4867+L4867,0)</f>
        <v/>
      </c>
      <c r="S4867" s="9">
        <f>VLOOKUP(OPERAC[[#This Row],[especie]],[1]!ESPECIES[#Data],9,FALSE)</f>
        <v/>
      </c>
    </row>
    <row r="4868">
      <c r="A4868" s="4" t="n">
        <v>3728</v>
      </c>
      <c r="B4868" s="5" t="n">
        <v>43903</v>
      </c>
      <c r="C4868" s="13" t="inlineStr">
        <is>
          <t>CPR</t>
        </is>
      </c>
      <c r="D4868" s="13" t="n">
        <v>31</v>
      </c>
      <c r="E4868" s="10">
        <f>IF(D4868&gt;0,VLOOKUP(OPERAC[[#This Row],[COD CART]],[1]!MatrizCortoLargoCyl[#All],3,0),"")</f>
        <v/>
      </c>
      <c r="F4868" s="13" t="inlineStr">
        <is>
          <t>IPIX</t>
        </is>
      </c>
      <c r="G4868" s="6" t="n">
        <v>13200</v>
      </c>
      <c r="H4868" s="6" t="n">
        <v>-1452</v>
      </c>
      <c r="I4868" s="7" t="n">
        <v>0.11</v>
      </c>
      <c r="J4868" s="5" t="n">
        <v>44455</v>
      </c>
      <c r="K4868" s="6" t="n">
        <v>3200</v>
      </c>
      <c r="L4868" s="6" t="n">
        <v>869.9299999999999</v>
      </c>
      <c r="M4868" s="7">
        <f>IF(N4868=0,+L4868+H4868,0)</f>
        <v/>
      </c>
      <c r="N4868" s="7">
        <f>IF((+G4868-K4868)=0,0,+G4868-K4868)</f>
        <v/>
      </c>
      <c r="O4868" s="7">
        <f>IF(N4868=0,0,(L4868+H4868)/-N4868)</f>
        <v/>
      </c>
      <c r="P4868" s="7">
        <f>VLOOKUP(OPERAC[[#This Row],[especie]],[1]!ESPECIES[#All],6,0)</f>
        <v/>
      </c>
      <c r="Q4868" s="7">
        <f>IF(N4868&lt;&gt;0,P4868*N4868,0)</f>
        <v/>
      </c>
      <c r="R4868" s="8">
        <f>IF(Q4868&lt;&gt;0,Q4868+H4868+L4868,0)</f>
        <v/>
      </c>
      <c r="S4868" s="9">
        <f>VLOOKUP(OPERAC[[#This Row],[especie]],[1]!ESPECIES[#Data],9,FALSE)</f>
        <v/>
      </c>
    </row>
    <row r="4869">
      <c r="A4869" s="4" t="n">
        <v>19878</v>
      </c>
      <c r="B4869" s="5" t="n">
        <v>44622</v>
      </c>
      <c r="C4869" s="13" t="inlineStr">
        <is>
          <t>CPR</t>
        </is>
      </c>
      <c r="D4869" s="13" t="n">
        <v>32</v>
      </c>
      <c r="E4869" s="10">
        <f>IF(D4869&gt;0,VLOOKUP(OPERAC[[#This Row],[COD CART]],[1]!MatrizCortoLargoCyl[#All],3,0),"")</f>
        <v/>
      </c>
      <c r="F4869" s="13" t="inlineStr">
        <is>
          <t>AMC/CYL/16,00/14-04-22</t>
        </is>
      </c>
      <c r="G4869" s="6" t="n">
        <v>100</v>
      </c>
      <c r="H4869" s="6" t="n">
        <v>-1456.4248</v>
      </c>
      <c r="I4869" s="7">
        <f>-H4869/G4869</f>
        <v/>
      </c>
      <c r="J4869" s="11" t="n">
        <v>44648</v>
      </c>
      <c r="K4869" s="6">
        <f>+OPERAC[[#This Row],[cantidad]]</f>
        <v/>
      </c>
      <c r="L4869" s="6" t="n">
        <v>1581.776</v>
      </c>
      <c r="M4869" s="7">
        <f>IF(N4869=0,+L4869+H4869,0)</f>
        <v/>
      </c>
      <c r="N4869" s="7">
        <f>IF((+G4869-K4869)=0,0,+G4869-K4869)</f>
        <v/>
      </c>
      <c r="O4869" s="7">
        <f>IF(N4869=0,0,(L4869+H4869)/-N4869)</f>
        <v/>
      </c>
      <c r="P4869" s="7">
        <f>VLOOKUP(OPERAC[[#This Row],[especie]],[1]!ESPECIES[#All],6,0)</f>
        <v/>
      </c>
      <c r="Q4869" s="7">
        <f>IF(N4869&lt;&gt;0,P4869*N4869,0)</f>
        <v/>
      </c>
      <c r="R4869" s="8">
        <f>IF(Q4869&lt;&gt;0,Q4869+H4869+L4869,0)</f>
        <v/>
      </c>
      <c r="S4869" s="9">
        <f>VLOOKUP(OPERAC[[#This Row],[especie]],[1]!ESPECIES[#Data],9,FALSE)</f>
        <v/>
      </c>
    </row>
    <row r="4870">
      <c r="A4870" s="4" t="n">
        <v>6628</v>
      </c>
      <c r="B4870" s="5" t="n">
        <v>44697</v>
      </c>
      <c r="C4870" s="13" t="inlineStr">
        <is>
          <t>CPR</t>
        </is>
      </c>
      <c r="D4870" s="13" t="n">
        <v>32</v>
      </c>
      <c r="E4870" s="10">
        <f>IF(D4870&gt;0,VLOOKUP(OPERAC[[#This Row],[COD CART]],[1]!MatrizCortoLargoCyl[#All],3,0),"")</f>
        <v/>
      </c>
      <c r="F4870" s="13" t="inlineStr">
        <is>
          <t>TLRY/CYL/6,50/24-06-22</t>
        </is>
      </c>
      <c r="G4870" s="6" t="n">
        <v>300</v>
      </c>
      <c r="H4870" s="6" t="n">
        <v>-1457.798</v>
      </c>
      <c r="I4870" s="7">
        <f>-H4870/G4870</f>
        <v/>
      </c>
      <c r="J4870" s="11" t="n"/>
      <c r="K4870" s="6" t="n"/>
      <c r="L4870" s="6" t="n"/>
      <c r="M4870" s="7">
        <f>IF(N4870=0,+L4870+H4870,0)</f>
        <v/>
      </c>
      <c r="N4870" s="7">
        <f>IF((+G4870-K4870)=0,0,+G4870-K4870)</f>
        <v/>
      </c>
      <c r="O4870" s="7">
        <f>IF(N4870=0,0,(L4870+H4870)/-N4870)</f>
        <v/>
      </c>
      <c r="P4870" s="7">
        <f>VLOOKUP(OPERAC[[#This Row],[especie]],[1]!ESPECIES[#All],6,0)</f>
        <v/>
      </c>
      <c r="Q4870" s="7">
        <f>IF(N4870&lt;&gt;0,P4870*N4870,0)</f>
        <v/>
      </c>
      <c r="R4870" s="8">
        <f>IF(Q4870&lt;&gt;0,Q4870+H4870+L4870,0)</f>
        <v/>
      </c>
      <c r="S4870" s="9">
        <f>VLOOKUP(OPERAC[[#This Row],[especie]],[1]!ESPECIES[#Data],9,FALSE)</f>
        <v/>
      </c>
    </row>
    <row r="4871">
      <c r="A4871" s="4" t="n">
        <v>13253</v>
      </c>
      <c r="B4871" s="5" t="n">
        <v>44610</v>
      </c>
      <c r="C4871" s="13" t="inlineStr">
        <is>
          <t>CPR</t>
        </is>
      </c>
      <c r="D4871" s="13" t="n">
        <v>41</v>
      </c>
      <c r="E4871" s="10">
        <f>IF(D4871&gt;0,VLOOKUP(OPERAC[[#This Row],[COD CART]],[1]!MatrizCortoLargoCyl[#All],3,0),"")</f>
        <v/>
      </c>
      <c r="F4871" s="13" t="inlineStr">
        <is>
          <t>MSFT</t>
        </is>
      </c>
      <c r="G4871" s="6" t="n">
        <v>5</v>
      </c>
      <c r="H4871" s="6" t="n">
        <v>-1458.064</v>
      </c>
      <c r="I4871" s="7">
        <f>-H4871/G4871</f>
        <v/>
      </c>
      <c r="J4871" s="11" t="n"/>
      <c r="K4871" s="6" t="n"/>
      <c r="L4871" s="6" t="n"/>
      <c r="M4871" s="7">
        <f>IF(N4871=0,+L4871+H4871,0)</f>
        <v/>
      </c>
      <c r="N4871" s="7">
        <f>IF((+G4871-K4871)=0,0,+G4871-K4871)</f>
        <v/>
      </c>
      <c r="O4871" s="7">
        <f>IF(N4871=0,0,(L4871+H4871)/-N4871)</f>
        <v/>
      </c>
      <c r="P4871" s="7">
        <f>VLOOKUP(OPERAC[[#This Row],[especie]],[1]!ESPECIES[#All],6,0)</f>
        <v/>
      </c>
      <c r="Q4871" s="7">
        <f>IF(N4871&lt;&gt;0,P4871*N4871,0)</f>
        <v/>
      </c>
      <c r="R4871" s="8">
        <f>IF(Q4871&lt;&gt;0,Q4871+H4871+L4871,0)</f>
        <v/>
      </c>
      <c r="S4871" s="9">
        <f>VLOOKUP(OPERAC[[#This Row],[especie]],[1]!ESPECIES[#Data],9,FALSE)</f>
        <v/>
      </c>
    </row>
    <row r="4872">
      <c r="A4872" s="4" t="n">
        <v>7914</v>
      </c>
      <c r="B4872" s="5" t="n">
        <v>44550</v>
      </c>
      <c r="C4872" s="13" t="inlineStr">
        <is>
          <t>CPR</t>
        </is>
      </c>
      <c r="D4872" s="13" t="n">
        <v>40</v>
      </c>
      <c r="E4872" s="10">
        <f>IF(D4872&gt;0,VLOOKUP(OPERAC[[#This Row],[COD CART]],[1]!MatrizCortoLargoCyl[#All],3,0),"")</f>
        <v/>
      </c>
      <c r="F4872" s="13" t="inlineStr">
        <is>
          <t>SMH</t>
        </is>
      </c>
      <c r="G4872" s="6" t="n">
        <v>5</v>
      </c>
      <c r="H4872" s="6" t="n">
        <v>-1459.65815</v>
      </c>
      <c r="I4872" s="7">
        <f>-H4872/G4872</f>
        <v/>
      </c>
      <c r="J4872" s="11" t="n">
        <v>44573</v>
      </c>
      <c r="K4872" s="6" t="n">
        <v>5</v>
      </c>
      <c r="L4872" s="6" t="n">
        <v>1518.436</v>
      </c>
      <c r="M4872" s="7">
        <f>IF(N4872=0,+L4872+H4872,0)</f>
        <v/>
      </c>
      <c r="N4872" s="7">
        <f>IF((+G4872-K4872)=0,0,+G4872-K4872)</f>
        <v/>
      </c>
      <c r="O4872" s="7">
        <f>IF(N4872=0,0,(L4872+H4872)/-N4872)</f>
        <v/>
      </c>
      <c r="P4872" s="7">
        <f>VLOOKUP(OPERAC[[#This Row],[especie]],[1]!ESPECIES[#All],6,0)</f>
        <v/>
      </c>
      <c r="Q4872" s="7">
        <f>IF(N4872&lt;&gt;0,P4872*N4872,0)</f>
        <v/>
      </c>
      <c r="R4872" s="8">
        <f>IF(Q4872&lt;&gt;0,Q4872+H4872+L4872,0)</f>
        <v/>
      </c>
      <c r="S4872" s="9">
        <f>VLOOKUP(OPERAC[[#This Row],[especie]],[1]!ESPECIES[#Data],9,FALSE)</f>
        <v/>
      </c>
    </row>
    <row r="4873">
      <c r="A4873" s="4" t="n">
        <v>1760</v>
      </c>
      <c r="B4873" s="5" t="n">
        <v>44622</v>
      </c>
      <c r="C4873" s="13" t="inlineStr">
        <is>
          <t>CPR</t>
        </is>
      </c>
      <c r="D4873" s="13" t="n">
        <v>32</v>
      </c>
      <c r="E4873" s="10">
        <f>IF(D4873&gt;0,VLOOKUP(OPERAC[[#This Row],[COD CART]],[1]!MatrizCortoLargoCyl[#All],3,0),"")</f>
        <v/>
      </c>
      <c r="F4873" s="13" t="inlineStr">
        <is>
          <t>AMC/CYL/16,00/14-04-22</t>
        </is>
      </c>
      <c r="G4873" s="6" t="n">
        <v>100</v>
      </c>
      <c r="H4873" s="6" t="n">
        <v>-1460.8686</v>
      </c>
      <c r="I4873" s="7">
        <f>-H4873/G4873</f>
        <v/>
      </c>
      <c r="J4873" s="11" t="n">
        <v>44648</v>
      </c>
      <c r="K4873" s="6">
        <f>+OPERAC[[#This Row],[cantidad]]</f>
        <v/>
      </c>
      <c r="L4873" s="6" t="n">
        <v>1581.776</v>
      </c>
      <c r="M4873" s="7">
        <f>IF(N4873=0,+L4873+H4873,0)</f>
        <v/>
      </c>
      <c r="N4873" s="7">
        <f>IF((+G4873-K4873)=0,0,+G4873-K4873)</f>
        <v/>
      </c>
      <c r="O4873" s="7">
        <f>IF(N4873=0,0,(L4873+H4873)/-N4873)</f>
        <v/>
      </c>
      <c r="P4873" s="7">
        <f>VLOOKUP(OPERAC[[#This Row],[especie]],[1]!ESPECIES[#All],6,0)</f>
        <v/>
      </c>
      <c r="Q4873" s="7">
        <f>IF(N4873&lt;&gt;0,P4873*N4873,0)</f>
        <v/>
      </c>
      <c r="R4873" s="8">
        <f>IF(Q4873&lt;&gt;0,Q4873+H4873+L4873,0)</f>
        <v/>
      </c>
      <c r="S4873" s="9">
        <f>VLOOKUP(OPERAC[[#This Row],[especie]],[1]!ESPECIES[#Data],9,FALSE)</f>
        <v/>
      </c>
    </row>
    <row r="4874">
      <c r="A4874" s="4" t="n">
        <v>1800</v>
      </c>
      <c r="B4874" s="5" t="n">
        <v>44622</v>
      </c>
      <c r="C4874" s="13" t="inlineStr">
        <is>
          <t>CPR</t>
        </is>
      </c>
      <c r="D4874" s="13" t="n">
        <v>32</v>
      </c>
      <c r="E4874" s="10">
        <f>IF(D4874&gt;0,VLOOKUP(OPERAC[[#This Row],[COD CART]],[1]!MatrizCortoLargoCyl[#All],3,0),"")</f>
        <v/>
      </c>
      <c r="F4874" s="13" t="inlineStr">
        <is>
          <t>AMC/CYL/16,00/14-04-22</t>
        </is>
      </c>
      <c r="G4874" s="6" t="n">
        <v>100</v>
      </c>
      <c r="H4874" s="6" t="n">
        <v>-1460.8686</v>
      </c>
      <c r="I4874" s="7">
        <f>-H4874/G4874</f>
        <v/>
      </c>
      <c r="J4874" s="11" t="n">
        <v>44648</v>
      </c>
      <c r="K4874" s="6">
        <f>+OPERAC[[#This Row],[cantidad]]</f>
        <v/>
      </c>
      <c r="L4874" s="6" t="n">
        <v>1581.776</v>
      </c>
      <c r="M4874" s="7">
        <f>IF(N4874=0,+L4874+H4874,0)</f>
        <v/>
      </c>
      <c r="N4874" s="7">
        <f>IF((+G4874-K4874)=0,0,+G4874-K4874)</f>
        <v/>
      </c>
      <c r="O4874" s="7">
        <f>IF(N4874=0,0,(L4874+H4874)/-N4874)</f>
        <v/>
      </c>
      <c r="P4874" s="7">
        <f>VLOOKUP(OPERAC[[#This Row],[especie]],[1]!ESPECIES[#All],6,0)</f>
        <v/>
      </c>
      <c r="Q4874" s="7">
        <f>IF(N4874&lt;&gt;0,P4874*N4874,0)</f>
        <v/>
      </c>
      <c r="R4874" s="8">
        <f>IF(Q4874&lt;&gt;0,Q4874+H4874+L4874,0)</f>
        <v/>
      </c>
      <c r="S4874" s="9">
        <f>VLOOKUP(OPERAC[[#This Row],[especie]],[1]!ESPECIES[#Data],9,FALSE)</f>
        <v/>
      </c>
    </row>
    <row r="4875">
      <c r="A4875" s="4" t="n">
        <v>2194</v>
      </c>
      <c r="B4875" s="5" t="n">
        <v>44622</v>
      </c>
      <c r="C4875" s="13" t="inlineStr">
        <is>
          <t>CPR</t>
        </is>
      </c>
      <c r="D4875" s="13" t="n">
        <v>32</v>
      </c>
      <c r="E4875" s="10">
        <f>IF(D4875&gt;0,VLOOKUP(OPERAC[[#This Row],[COD CART]],[1]!MatrizCortoLargoCyl[#All],3,0),"")</f>
        <v/>
      </c>
      <c r="F4875" s="13" t="inlineStr">
        <is>
          <t>AMC/CYL/16,00/14-04-22</t>
        </is>
      </c>
      <c r="G4875" s="6" t="n">
        <v>100</v>
      </c>
      <c r="H4875" s="6" t="n">
        <v>-1460.8686</v>
      </c>
      <c r="I4875" s="7">
        <f>-H4875/G4875</f>
        <v/>
      </c>
      <c r="J4875" s="11" t="n">
        <v>44648</v>
      </c>
      <c r="K4875" s="6">
        <f>+OPERAC[[#This Row],[cantidad]]</f>
        <v/>
      </c>
      <c r="L4875" s="6" t="n">
        <v>1581.776</v>
      </c>
      <c r="M4875" s="7">
        <f>IF(N4875=0,+L4875+H4875,0)</f>
        <v/>
      </c>
      <c r="N4875" s="7">
        <f>IF((+G4875-K4875)=0,0,+G4875-K4875)</f>
        <v/>
      </c>
      <c r="O4875" s="7">
        <f>IF(N4875=0,0,(L4875+H4875)/-N4875)</f>
        <v/>
      </c>
      <c r="P4875" s="7">
        <f>VLOOKUP(OPERAC[[#This Row],[especie]],[1]!ESPECIES[#All],6,0)</f>
        <v/>
      </c>
      <c r="Q4875" s="7">
        <f>IF(N4875&lt;&gt;0,P4875*N4875,0)</f>
        <v/>
      </c>
      <c r="R4875" s="8">
        <f>IF(Q4875&lt;&gt;0,Q4875+H4875+L4875,0)</f>
        <v/>
      </c>
      <c r="S4875" s="9">
        <f>VLOOKUP(OPERAC[[#This Row],[especie]],[1]!ESPECIES[#Data],9,FALSE)</f>
        <v/>
      </c>
    </row>
    <row r="4876">
      <c r="A4876" s="4" t="n">
        <v>2257</v>
      </c>
      <c r="B4876" s="5" t="n">
        <v>44622</v>
      </c>
      <c r="C4876" s="13" t="inlineStr">
        <is>
          <t>CPR</t>
        </is>
      </c>
      <c r="D4876" s="13" t="n">
        <v>32</v>
      </c>
      <c r="E4876" s="10">
        <f>IF(D4876&gt;0,VLOOKUP(OPERAC[[#This Row],[COD CART]],[1]!MatrizCortoLargoCyl[#All],3,0),"")</f>
        <v/>
      </c>
      <c r="F4876" s="13" t="inlineStr">
        <is>
          <t>AMC/CYL/16,00/14-04-22</t>
        </is>
      </c>
      <c r="G4876" s="6" t="n">
        <v>100</v>
      </c>
      <c r="H4876" s="6" t="n">
        <v>-1460.8686</v>
      </c>
      <c r="I4876" s="7">
        <f>-H4876/G4876</f>
        <v/>
      </c>
      <c r="J4876" s="11" t="n">
        <v>44648</v>
      </c>
      <c r="K4876" s="6">
        <f>+OPERAC[[#This Row],[cantidad]]</f>
        <v/>
      </c>
      <c r="L4876" s="6" t="n">
        <v>1581.776</v>
      </c>
      <c r="M4876" s="7">
        <f>IF(N4876=0,+L4876+H4876,0)</f>
        <v/>
      </c>
      <c r="N4876" s="7">
        <f>IF((+G4876-K4876)=0,0,+G4876-K4876)</f>
        <v/>
      </c>
      <c r="O4876" s="7">
        <f>IF(N4876=0,0,(L4876+H4876)/-N4876)</f>
        <v/>
      </c>
      <c r="P4876" s="7">
        <f>VLOOKUP(OPERAC[[#This Row],[especie]],[1]!ESPECIES[#All],6,0)</f>
        <v/>
      </c>
      <c r="Q4876" s="7">
        <f>IF(N4876&lt;&gt;0,P4876*N4876,0)</f>
        <v/>
      </c>
      <c r="R4876" s="8">
        <f>IF(Q4876&lt;&gt;0,Q4876+H4876+L4876,0)</f>
        <v/>
      </c>
      <c r="S4876" s="9">
        <f>VLOOKUP(OPERAC[[#This Row],[especie]],[1]!ESPECIES[#Data],9,FALSE)</f>
        <v/>
      </c>
    </row>
    <row r="4877">
      <c r="A4877" s="4" t="n">
        <v>4561</v>
      </c>
      <c r="B4877" s="5" t="n">
        <v>44622</v>
      </c>
      <c r="C4877" s="13" t="inlineStr">
        <is>
          <t>CPR</t>
        </is>
      </c>
      <c r="D4877" s="13" t="n">
        <v>32</v>
      </c>
      <c r="E4877" s="10">
        <f>IF(D4877&gt;0,VLOOKUP(OPERAC[[#This Row],[COD CART]],[1]!MatrizCortoLargoCyl[#All],3,0),"")</f>
        <v/>
      </c>
      <c r="F4877" s="13" t="inlineStr">
        <is>
          <t>AMC/CYL/16,00/14-04-22</t>
        </is>
      </c>
      <c r="G4877" s="6" t="n">
        <v>100</v>
      </c>
      <c r="H4877" s="6" t="n">
        <v>-1460.8686</v>
      </c>
      <c r="I4877" s="7">
        <f>-H4877/G4877</f>
        <v/>
      </c>
      <c r="J4877" s="11" t="n">
        <v>44648</v>
      </c>
      <c r="K4877" s="6">
        <f>+OPERAC[[#This Row],[cantidad]]</f>
        <v/>
      </c>
      <c r="L4877" s="6" t="n">
        <v>1581.776</v>
      </c>
      <c r="M4877" s="7">
        <f>IF(N4877=0,+L4877+H4877,0)</f>
        <v/>
      </c>
      <c r="N4877" s="7">
        <f>IF((+G4877-K4877)=0,0,+G4877-K4877)</f>
        <v/>
      </c>
      <c r="O4877" s="7">
        <f>IF(N4877=0,0,(L4877+H4877)/-N4877)</f>
        <v/>
      </c>
      <c r="P4877" s="7">
        <f>VLOOKUP(OPERAC[[#This Row],[especie]],[1]!ESPECIES[#All],6,0)</f>
        <v/>
      </c>
      <c r="Q4877" s="7">
        <f>IF(N4877&lt;&gt;0,P4877*N4877,0)</f>
        <v/>
      </c>
      <c r="R4877" s="8">
        <f>IF(Q4877&lt;&gt;0,Q4877+H4877+L4877,0)</f>
        <v/>
      </c>
      <c r="S4877" s="9">
        <f>VLOOKUP(OPERAC[[#This Row],[especie]],[1]!ESPECIES[#Data],9,FALSE)</f>
        <v/>
      </c>
    </row>
    <row r="4878">
      <c r="A4878" s="4" t="n">
        <v>7916</v>
      </c>
      <c r="B4878" s="5" t="n">
        <v>44622</v>
      </c>
      <c r="C4878" s="13" t="inlineStr">
        <is>
          <t>CPR</t>
        </is>
      </c>
      <c r="D4878" s="13" t="n">
        <v>32</v>
      </c>
      <c r="E4878" s="10">
        <f>IF(D4878&gt;0,VLOOKUP(OPERAC[[#This Row],[COD CART]],[1]!MatrizCortoLargoCyl[#All],3,0),"")</f>
        <v/>
      </c>
      <c r="F4878" s="13" t="inlineStr">
        <is>
          <t>AMC/CYL/16,00/14-04-22</t>
        </is>
      </c>
      <c r="G4878" s="6" t="n">
        <v>100</v>
      </c>
      <c r="H4878" s="6" t="n">
        <v>-1460.8686</v>
      </c>
      <c r="I4878" s="7">
        <f>-H4878/G4878</f>
        <v/>
      </c>
      <c r="J4878" s="11" t="n">
        <v>44648</v>
      </c>
      <c r="K4878" s="6">
        <f>+OPERAC[[#This Row],[cantidad]]</f>
        <v/>
      </c>
      <c r="L4878" s="6" t="n">
        <v>1581.776</v>
      </c>
      <c r="M4878" s="7">
        <f>IF(N4878=0,+L4878+H4878,0)</f>
        <v/>
      </c>
      <c r="N4878" s="7">
        <f>IF((+G4878-K4878)=0,0,+G4878-K4878)</f>
        <v/>
      </c>
      <c r="O4878" s="7">
        <f>IF(N4878=0,0,(L4878+H4878)/-N4878)</f>
        <v/>
      </c>
      <c r="P4878" s="7">
        <f>VLOOKUP(OPERAC[[#This Row],[especie]],[1]!ESPECIES[#All],6,0)</f>
        <v/>
      </c>
      <c r="Q4878" s="7">
        <f>IF(N4878&lt;&gt;0,P4878*N4878,0)</f>
        <v/>
      </c>
      <c r="R4878" s="8">
        <f>IF(Q4878&lt;&gt;0,Q4878+H4878+L4878,0)</f>
        <v/>
      </c>
      <c r="S4878" s="9">
        <f>VLOOKUP(OPERAC[[#This Row],[especie]],[1]!ESPECIES[#Data],9,FALSE)</f>
        <v/>
      </c>
    </row>
    <row r="4879">
      <c r="A4879" s="4" t="n">
        <v>12022</v>
      </c>
      <c r="B4879" s="5" t="n">
        <v>44622</v>
      </c>
      <c r="C4879" s="13" t="inlineStr">
        <is>
          <t>CPR</t>
        </is>
      </c>
      <c r="D4879" s="13" t="n">
        <v>32</v>
      </c>
      <c r="E4879" s="10">
        <f>IF(D4879&gt;0,VLOOKUP(OPERAC[[#This Row],[COD CART]],[1]!MatrizCortoLargoCyl[#All],3,0),"")</f>
        <v/>
      </c>
      <c r="F4879" s="13" t="inlineStr">
        <is>
          <t>AMC/CYL/16,00/14-04-22</t>
        </is>
      </c>
      <c r="G4879" s="6" t="n">
        <v>100</v>
      </c>
      <c r="H4879" s="6" t="n">
        <v>-1460.8686</v>
      </c>
      <c r="I4879" s="7">
        <f>-H4879/G4879</f>
        <v/>
      </c>
      <c r="J4879" s="11" t="n">
        <v>44648</v>
      </c>
      <c r="K4879" s="6">
        <f>+OPERAC[[#This Row],[cantidad]]</f>
        <v/>
      </c>
      <c r="L4879" s="6" t="n">
        <v>1581.776</v>
      </c>
      <c r="M4879" s="7">
        <f>IF(N4879=0,+L4879+H4879,0)</f>
        <v/>
      </c>
      <c r="N4879" s="7">
        <f>IF((+G4879-K4879)=0,0,+G4879-K4879)</f>
        <v/>
      </c>
      <c r="O4879" s="7">
        <f>IF(N4879=0,0,(L4879+H4879)/-N4879)</f>
        <v/>
      </c>
      <c r="P4879" s="7">
        <f>VLOOKUP(OPERAC[[#This Row],[especie]],[1]!ESPECIES[#All],6,0)</f>
        <v/>
      </c>
      <c r="Q4879" s="7">
        <f>IF(N4879&lt;&gt;0,P4879*N4879,0)</f>
        <v/>
      </c>
      <c r="R4879" s="8">
        <f>IF(Q4879&lt;&gt;0,Q4879+H4879+L4879,0)</f>
        <v/>
      </c>
      <c r="S4879" s="9">
        <f>VLOOKUP(OPERAC[[#This Row],[especie]],[1]!ESPECIES[#Data],9,FALSE)</f>
        <v/>
      </c>
    </row>
    <row r="4880">
      <c r="A4880" s="4" t="n">
        <v>12690</v>
      </c>
      <c r="B4880" s="5" t="n">
        <v>44622</v>
      </c>
      <c r="C4880" s="13" t="inlineStr">
        <is>
          <t>CPR</t>
        </is>
      </c>
      <c r="D4880" s="13" t="n">
        <v>32</v>
      </c>
      <c r="E4880" s="10">
        <f>IF(D4880&gt;0,VLOOKUP(OPERAC[[#This Row],[COD CART]],[1]!MatrizCortoLargoCyl[#All],3,0),"")</f>
        <v/>
      </c>
      <c r="F4880" s="13" t="inlineStr">
        <is>
          <t>AMC/CYL/16,00/14-04-22</t>
        </is>
      </c>
      <c r="G4880" s="6" t="n">
        <v>100</v>
      </c>
      <c r="H4880" s="6" t="n">
        <v>-1460.8686</v>
      </c>
      <c r="I4880" s="7">
        <f>-H4880/G4880</f>
        <v/>
      </c>
      <c r="J4880" s="11" t="n">
        <v>44648</v>
      </c>
      <c r="K4880" s="6">
        <f>+OPERAC[[#This Row],[cantidad]]</f>
        <v/>
      </c>
      <c r="L4880" s="6" t="n">
        <v>1581.776</v>
      </c>
      <c r="M4880" s="7">
        <f>IF(N4880=0,+L4880+H4880,0)</f>
        <v/>
      </c>
      <c r="N4880" s="7">
        <f>IF((+G4880-K4880)=0,0,+G4880-K4880)</f>
        <v/>
      </c>
      <c r="O4880" s="7">
        <f>IF(N4880=0,0,(L4880+H4880)/-N4880)</f>
        <v/>
      </c>
      <c r="P4880" s="7">
        <f>VLOOKUP(OPERAC[[#This Row],[especie]],[1]!ESPECIES[#All],6,0)</f>
        <v/>
      </c>
      <c r="Q4880" s="7">
        <f>IF(N4880&lt;&gt;0,P4880*N4880,0)</f>
        <v/>
      </c>
      <c r="R4880" s="8">
        <f>IF(Q4880&lt;&gt;0,Q4880+H4880+L4880,0)</f>
        <v/>
      </c>
      <c r="S4880" s="9">
        <f>VLOOKUP(OPERAC[[#This Row],[especie]],[1]!ESPECIES[#Data],9,FALSE)</f>
        <v/>
      </c>
    </row>
    <row r="4881">
      <c r="A4881" s="4" t="n">
        <v>13180</v>
      </c>
      <c r="B4881" s="5" t="n">
        <v>44622</v>
      </c>
      <c r="C4881" s="13" t="inlineStr">
        <is>
          <t>CPR</t>
        </is>
      </c>
      <c r="D4881" s="13" t="n">
        <v>32</v>
      </c>
      <c r="E4881" s="10">
        <f>IF(D4881&gt;0,VLOOKUP(OPERAC[[#This Row],[COD CART]],[1]!MatrizCortoLargoCyl[#All],3,0),"")</f>
        <v/>
      </c>
      <c r="F4881" s="13" t="inlineStr">
        <is>
          <t>AMC/CYL/16,00/14-04-22</t>
        </is>
      </c>
      <c r="G4881" s="6" t="n">
        <v>100</v>
      </c>
      <c r="H4881" s="6" t="n">
        <v>-1460.8686</v>
      </c>
      <c r="I4881" s="7">
        <f>-H4881/G4881</f>
        <v/>
      </c>
      <c r="J4881" s="11" t="n">
        <v>44648</v>
      </c>
      <c r="K4881" s="6">
        <f>+OPERAC[[#This Row],[cantidad]]</f>
        <v/>
      </c>
      <c r="L4881" s="6" t="n">
        <v>1581.776</v>
      </c>
      <c r="M4881" s="7">
        <f>IF(N4881=0,+L4881+H4881,0)</f>
        <v/>
      </c>
      <c r="N4881" s="7">
        <f>IF((+G4881-K4881)=0,0,+G4881-K4881)</f>
        <v/>
      </c>
      <c r="O4881" s="7">
        <f>IF(N4881=0,0,(L4881+H4881)/-N4881)</f>
        <v/>
      </c>
      <c r="P4881" s="7">
        <f>VLOOKUP(OPERAC[[#This Row],[especie]],[1]!ESPECIES[#All],6,0)</f>
        <v/>
      </c>
      <c r="Q4881" s="7">
        <f>IF(N4881&lt;&gt;0,P4881*N4881,0)</f>
        <v/>
      </c>
      <c r="R4881" s="8">
        <f>IF(Q4881&lt;&gt;0,Q4881+H4881+L4881,0)</f>
        <v/>
      </c>
      <c r="S4881" s="9">
        <f>VLOOKUP(OPERAC[[#This Row],[especie]],[1]!ESPECIES[#Data],9,FALSE)</f>
        <v/>
      </c>
    </row>
    <row r="4882">
      <c r="A4882" s="4" t="n">
        <v>13185</v>
      </c>
      <c r="B4882" s="5" t="n">
        <v>44622</v>
      </c>
      <c r="C4882" s="13" t="inlineStr">
        <is>
          <t>CPR</t>
        </is>
      </c>
      <c r="D4882" s="13" t="n">
        <v>32</v>
      </c>
      <c r="E4882" s="10">
        <f>IF(D4882&gt;0,VLOOKUP(OPERAC[[#This Row],[COD CART]],[1]!MatrizCortoLargoCyl[#All],3,0),"")</f>
        <v/>
      </c>
      <c r="F4882" s="13" t="inlineStr">
        <is>
          <t>AMC/CYL/16,00/14-04-22</t>
        </is>
      </c>
      <c r="G4882" s="6" t="n">
        <v>100</v>
      </c>
      <c r="H4882" s="6" t="n">
        <v>-1460.8686</v>
      </c>
      <c r="I4882" s="7">
        <f>-H4882/G4882</f>
        <v/>
      </c>
      <c r="J4882" s="11" t="n">
        <v>44648</v>
      </c>
      <c r="K4882" s="6">
        <f>+OPERAC[[#This Row],[cantidad]]</f>
        <v/>
      </c>
      <c r="L4882" s="6" t="n">
        <v>1581.776</v>
      </c>
      <c r="M4882" s="7">
        <f>IF(N4882=0,+L4882+H4882,0)</f>
        <v/>
      </c>
      <c r="N4882" s="7">
        <f>IF((+G4882-K4882)=0,0,+G4882-K4882)</f>
        <v/>
      </c>
      <c r="O4882" s="7">
        <f>IF(N4882=0,0,(L4882+H4882)/-N4882)</f>
        <v/>
      </c>
      <c r="P4882" s="7">
        <f>VLOOKUP(OPERAC[[#This Row],[especie]],[1]!ESPECIES[#All],6,0)</f>
        <v/>
      </c>
      <c r="Q4882" s="7">
        <f>IF(N4882&lt;&gt;0,P4882*N4882,0)</f>
        <v/>
      </c>
      <c r="R4882" s="8">
        <f>IF(Q4882&lt;&gt;0,Q4882+H4882+L4882,0)</f>
        <v/>
      </c>
      <c r="S4882" s="9">
        <f>VLOOKUP(OPERAC[[#This Row],[especie]],[1]!ESPECIES[#Data],9,FALSE)</f>
        <v/>
      </c>
    </row>
    <row r="4883">
      <c r="A4883" s="4" t="n">
        <v>13240</v>
      </c>
      <c r="B4883" s="5" t="n">
        <v>44622</v>
      </c>
      <c r="C4883" s="13" t="inlineStr">
        <is>
          <t>CPR</t>
        </is>
      </c>
      <c r="D4883" s="13" t="n">
        <v>32</v>
      </c>
      <c r="E4883" s="10">
        <f>IF(D4883&gt;0,VLOOKUP(OPERAC[[#This Row],[COD CART]],[1]!MatrizCortoLargoCyl[#All],3,0),"")</f>
        <v/>
      </c>
      <c r="F4883" s="13" t="inlineStr">
        <is>
          <t>AMC/CYL/16,00/14-04-22</t>
        </is>
      </c>
      <c r="G4883" s="6" t="n">
        <v>100</v>
      </c>
      <c r="H4883" s="6" t="n">
        <v>-1460.8686</v>
      </c>
      <c r="I4883" s="7">
        <f>-H4883/G4883</f>
        <v/>
      </c>
      <c r="J4883" s="11" t="n">
        <v>44648</v>
      </c>
      <c r="K4883" s="6">
        <f>+OPERAC[[#This Row],[cantidad]]</f>
        <v/>
      </c>
      <c r="L4883" s="6" t="n">
        <v>1581.776</v>
      </c>
      <c r="M4883" s="7">
        <f>IF(N4883=0,+L4883+H4883,0)</f>
        <v/>
      </c>
      <c r="N4883" s="7">
        <f>IF((+G4883-K4883)=0,0,+G4883-K4883)</f>
        <v/>
      </c>
      <c r="O4883" s="7">
        <f>IF(N4883=0,0,(L4883+H4883)/-N4883)</f>
        <v/>
      </c>
      <c r="P4883" s="7">
        <f>VLOOKUP(OPERAC[[#This Row],[especie]],[1]!ESPECIES[#All],6,0)</f>
        <v/>
      </c>
      <c r="Q4883" s="7">
        <f>IF(N4883&lt;&gt;0,P4883*N4883,0)</f>
        <v/>
      </c>
      <c r="R4883" s="8">
        <f>IF(Q4883&lt;&gt;0,Q4883+H4883+L4883,0)</f>
        <v/>
      </c>
      <c r="S4883" s="9">
        <f>VLOOKUP(OPERAC[[#This Row],[especie]],[1]!ESPECIES[#Data],9,FALSE)</f>
        <v/>
      </c>
    </row>
    <row r="4884">
      <c r="A4884" s="4" t="n">
        <v>18651</v>
      </c>
      <c r="B4884" s="5" t="n">
        <v>44622</v>
      </c>
      <c r="C4884" s="13" t="inlineStr">
        <is>
          <t>CPR</t>
        </is>
      </c>
      <c r="D4884" s="13" t="n">
        <v>32</v>
      </c>
      <c r="E4884" s="10">
        <f>IF(D4884&gt;0,VLOOKUP(OPERAC[[#This Row],[COD CART]],[1]!MatrizCortoLargoCyl[#All],3,0),"")</f>
        <v/>
      </c>
      <c r="F4884" s="13" t="inlineStr">
        <is>
          <t>AMC/CYL/16,00/14-04-22</t>
        </is>
      </c>
      <c r="G4884" s="6" t="n">
        <v>100</v>
      </c>
      <c r="H4884" s="6" t="n">
        <v>-1460.8686</v>
      </c>
      <c r="I4884" s="7">
        <f>-H4884/G4884</f>
        <v/>
      </c>
      <c r="J4884" s="11" t="n">
        <v>44648</v>
      </c>
      <c r="K4884" s="6">
        <f>+OPERAC[[#This Row],[cantidad]]</f>
        <v/>
      </c>
      <c r="L4884" s="6" t="n">
        <v>1581.776</v>
      </c>
      <c r="M4884" s="7">
        <f>IF(N4884=0,+L4884+H4884,0)</f>
        <v/>
      </c>
      <c r="N4884" s="7">
        <f>IF((+G4884-K4884)=0,0,+G4884-K4884)</f>
        <v/>
      </c>
      <c r="O4884" s="7">
        <f>IF(N4884=0,0,(L4884+H4884)/-N4884)</f>
        <v/>
      </c>
      <c r="P4884" s="7">
        <f>VLOOKUP(OPERAC[[#This Row],[especie]],[1]!ESPECIES[#All],6,0)</f>
        <v/>
      </c>
      <c r="Q4884" s="7">
        <f>IF(N4884&lt;&gt;0,P4884*N4884,0)</f>
        <v/>
      </c>
      <c r="R4884" s="8">
        <f>IF(Q4884&lt;&gt;0,Q4884+H4884+L4884,0)</f>
        <v/>
      </c>
      <c r="S4884" s="9">
        <f>VLOOKUP(OPERAC[[#This Row],[especie]],[1]!ESPECIES[#Data],9,FALSE)</f>
        <v/>
      </c>
    </row>
    <row r="4885">
      <c r="A4885" s="4" t="n">
        <v>19867</v>
      </c>
      <c r="B4885" s="5" t="n">
        <v>44622</v>
      </c>
      <c r="C4885" s="13" t="inlineStr">
        <is>
          <t>CPR</t>
        </is>
      </c>
      <c r="D4885" s="13" t="n">
        <v>32</v>
      </c>
      <c r="E4885" s="10">
        <f>IF(D4885&gt;0,VLOOKUP(OPERAC[[#This Row],[COD CART]],[1]!MatrizCortoLargoCyl[#All],3,0),"")</f>
        <v/>
      </c>
      <c r="F4885" s="13" t="inlineStr">
        <is>
          <t>AMC/CYL/16,00/14-04-22</t>
        </is>
      </c>
      <c r="G4885" s="6" t="n">
        <v>100</v>
      </c>
      <c r="H4885" s="6" t="n">
        <v>-1460.8686</v>
      </c>
      <c r="I4885" s="7">
        <f>-H4885/G4885</f>
        <v/>
      </c>
      <c r="J4885" s="11" t="n">
        <v>44648</v>
      </c>
      <c r="K4885" s="6">
        <f>+OPERAC[[#This Row],[cantidad]]</f>
        <v/>
      </c>
      <c r="L4885" s="6" t="n">
        <v>1581.776</v>
      </c>
      <c r="M4885" s="7">
        <f>IF(N4885=0,+L4885+H4885,0)</f>
        <v/>
      </c>
      <c r="N4885" s="7">
        <f>IF((+G4885-K4885)=0,0,+G4885-K4885)</f>
        <v/>
      </c>
      <c r="O4885" s="7">
        <f>IF(N4885=0,0,(L4885+H4885)/-N4885)</f>
        <v/>
      </c>
      <c r="P4885" s="7">
        <f>VLOOKUP(OPERAC[[#This Row],[especie]],[1]!ESPECIES[#All],6,0)</f>
        <v/>
      </c>
      <c r="Q4885" s="7">
        <f>IF(N4885&lt;&gt;0,P4885*N4885,0)</f>
        <v/>
      </c>
      <c r="R4885" s="8">
        <f>IF(Q4885&lt;&gt;0,Q4885+H4885+L4885,0)</f>
        <v/>
      </c>
      <c r="S4885" s="9">
        <f>VLOOKUP(OPERAC[[#This Row],[especie]],[1]!ESPECIES[#Data],9,FALSE)</f>
        <v/>
      </c>
    </row>
    <row r="4886">
      <c r="A4886" s="4" t="n">
        <v>22393</v>
      </c>
      <c r="B4886" s="5" t="n">
        <v>44622</v>
      </c>
      <c r="C4886" s="13" t="inlineStr">
        <is>
          <t>CPR</t>
        </is>
      </c>
      <c r="D4886" s="13" t="n">
        <v>32</v>
      </c>
      <c r="E4886" s="10">
        <f>IF(D4886&gt;0,VLOOKUP(OPERAC[[#This Row],[COD CART]],[1]!MatrizCortoLargoCyl[#All],3,0),"")</f>
        <v/>
      </c>
      <c r="F4886" s="13" t="inlineStr">
        <is>
          <t>AMC/CYL/16,00/14-04-22</t>
        </is>
      </c>
      <c r="G4886" s="6" t="n">
        <v>100</v>
      </c>
      <c r="H4886" s="6" t="n">
        <v>-1460.8686</v>
      </c>
      <c r="I4886" s="7">
        <f>-H4886/G4886</f>
        <v/>
      </c>
      <c r="J4886" s="11" t="n">
        <v>44648</v>
      </c>
      <c r="K4886" s="6">
        <f>+OPERAC[[#This Row],[cantidad]]</f>
        <v/>
      </c>
      <c r="L4886" s="6" t="n">
        <v>1581.776</v>
      </c>
      <c r="M4886" s="7">
        <f>IF(N4886=0,+L4886+H4886,0)</f>
        <v/>
      </c>
      <c r="N4886" s="7">
        <f>IF((+G4886-K4886)=0,0,+G4886-K4886)</f>
        <v/>
      </c>
      <c r="O4886" s="7">
        <f>IF(N4886=0,0,(L4886+H4886)/-N4886)</f>
        <v/>
      </c>
      <c r="P4886" s="7">
        <f>VLOOKUP(OPERAC[[#This Row],[especie]],[1]!ESPECIES[#All],6,0)</f>
        <v/>
      </c>
      <c r="Q4886" s="7">
        <f>IF(N4886&lt;&gt;0,P4886*N4886,0)</f>
        <v/>
      </c>
      <c r="R4886" s="8">
        <f>IF(Q4886&lt;&gt;0,Q4886+H4886+L4886,0)</f>
        <v/>
      </c>
      <c r="S4886" s="9">
        <f>VLOOKUP(OPERAC[[#This Row],[especie]],[1]!ESPECIES[#Data],9,FALSE)</f>
        <v/>
      </c>
    </row>
    <row r="4887">
      <c r="A4887" s="4" t="n">
        <v>22407</v>
      </c>
      <c r="B4887" s="5" t="n">
        <v>44622</v>
      </c>
      <c r="C4887" s="13" t="inlineStr">
        <is>
          <t>CPR</t>
        </is>
      </c>
      <c r="D4887" s="13" t="n">
        <v>32</v>
      </c>
      <c r="E4887" s="10">
        <f>IF(D4887&gt;0,VLOOKUP(OPERAC[[#This Row],[COD CART]],[1]!MatrizCortoLargoCyl[#All],3,0),"")</f>
        <v/>
      </c>
      <c r="F4887" s="13" t="inlineStr">
        <is>
          <t>AMC/CYL/16,00/14-04-22</t>
        </is>
      </c>
      <c r="G4887" s="6" t="n">
        <v>100</v>
      </c>
      <c r="H4887" s="6" t="n">
        <v>-1460.8686</v>
      </c>
      <c r="I4887" s="7">
        <f>-H4887/G4887</f>
        <v/>
      </c>
      <c r="J4887" s="11" t="n">
        <v>44648</v>
      </c>
      <c r="K4887" s="6">
        <f>+OPERAC[[#This Row],[cantidad]]</f>
        <v/>
      </c>
      <c r="L4887" s="6" t="n">
        <v>1581.776</v>
      </c>
      <c r="M4887" s="7">
        <f>IF(N4887=0,+L4887+H4887,0)</f>
        <v/>
      </c>
      <c r="N4887" s="7">
        <f>IF((+G4887-K4887)=0,0,+G4887-K4887)</f>
        <v/>
      </c>
      <c r="O4887" s="7">
        <f>IF(N4887=0,0,(L4887+H4887)/-N4887)</f>
        <v/>
      </c>
      <c r="P4887" s="7">
        <f>VLOOKUP(OPERAC[[#This Row],[especie]],[1]!ESPECIES[#All],6,0)</f>
        <v/>
      </c>
      <c r="Q4887" s="7">
        <f>IF(N4887&lt;&gt;0,P4887*N4887,0)</f>
        <v/>
      </c>
      <c r="R4887" s="8">
        <f>IF(Q4887&lt;&gt;0,Q4887+H4887+L4887,0)</f>
        <v/>
      </c>
      <c r="S4887" s="9">
        <f>VLOOKUP(OPERAC[[#This Row],[especie]],[1]!ESPECIES[#Data],9,FALSE)</f>
        <v/>
      </c>
    </row>
    <row r="4888">
      <c r="A4888" s="4" t="n">
        <v>22433</v>
      </c>
      <c r="B4888" s="5" t="n">
        <v>44622</v>
      </c>
      <c r="C4888" s="13" t="inlineStr">
        <is>
          <t>CPR</t>
        </is>
      </c>
      <c r="D4888" s="13" t="n">
        <v>32</v>
      </c>
      <c r="E4888" s="10">
        <f>IF(D4888&gt;0,VLOOKUP(OPERAC[[#This Row],[COD CART]],[1]!MatrizCortoLargoCyl[#All],3,0),"")</f>
        <v/>
      </c>
      <c r="F4888" s="13" t="inlineStr">
        <is>
          <t>AMC/CYL/16,00/14-04-22</t>
        </is>
      </c>
      <c r="G4888" s="6" t="n">
        <v>100</v>
      </c>
      <c r="H4888" s="6" t="n">
        <v>-1460.8686</v>
      </c>
      <c r="I4888" s="7">
        <f>-H4888/G4888</f>
        <v/>
      </c>
      <c r="J4888" s="11" t="n">
        <v>44648</v>
      </c>
      <c r="K4888" s="6">
        <f>+OPERAC[[#This Row],[cantidad]]</f>
        <v/>
      </c>
      <c r="L4888" s="6" t="n">
        <v>1581.776</v>
      </c>
      <c r="M4888" s="7">
        <f>IF(N4888=0,+L4888+H4888,0)</f>
        <v/>
      </c>
      <c r="N4888" s="7">
        <f>IF((+G4888-K4888)=0,0,+G4888-K4888)</f>
        <v/>
      </c>
      <c r="O4888" s="7">
        <f>IF(N4888=0,0,(L4888+H4888)/-N4888)</f>
        <v/>
      </c>
      <c r="P4888" s="7">
        <f>VLOOKUP(OPERAC[[#This Row],[especie]],[1]!ESPECIES[#All],6,0)</f>
        <v/>
      </c>
      <c r="Q4888" s="7">
        <f>IF(N4888&lt;&gt;0,P4888*N4888,0)</f>
        <v/>
      </c>
      <c r="R4888" s="8">
        <f>IF(Q4888&lt;&gt;0,Q4888+H4888+L4888,0)</f>
        <v/>
      </c>
      <c r="S4888" s="9">
        <f>VLOOKUP(OPERAC[[#This Row],[especie]],[1]!ESPECIES[#Data],9,FALSE)</f>
        <v/>
      </c>
    </row>
    <row r="4889">
      <c r="A4889" s="4" t="n">
        <v>7493</v>
      </c>
      <c r="B4889" s="5" t="n">
        <v>44622</v>
      </c>
      <c r="C4889" s="13" t="inlineStr">
        <is>
          <t>CPR</t>
        </is>
      </c>
      <c r="D4889" s="13" t="n">
        <v>32</v>
      </c>
      <c r="E4889" s="10">
        <f>IF(D4889&gt;0,VLOOKUP(OPERAC[[#This Row],[COD CART]],[1]!MatrizCortoLargoCyl[#All],3,0),"")</f>
        <v/>
      </c>
      <c r="F4889" s="13" t="inlineStr">
        <is>
          <t>AMC/CYL/16,00/14-04-22</t>
        </is>
      </c>
      <c r="G4889" s="6" t="n">
        <v>100</v>
      </c>
      <c r="H4889" s="6" t="n">
        <v>-1460.8686</v>
      </c>
      <c r="I4889" s="7">
        <f>-H4889/G4889</f>
        <v/>
      </c>
      <c r="J4889" s="11" t="n">
        <v>44648</v>
      </c>
      <c r="K4889" s="6">
        <f>+OPERAC[[#This Row],[cantidad]]</f>
        <v/>
      </c>
      <c r="L4889" s="6" t="n">
        <v>1581.776</v>
      </c>
      <c r="M4889" s="7">
        <f>IF(N4889=0,+L4889+H4889,0)</f>
        <v/>
      </c>
      <c r="N4889" s="7">
        <f>IF((+G4889-K4889)=0,0,+G4889-K4889)</f>
        <v/>
      </c>
      <c r="O4889" s="7">
        <f>IF(N4889=0,0,(L4889+H4889)/-N4889)</f>
        <v/>
      </c>
      <c r="P4889" s="7">
        <f>VLOOKUP(OPERAC[[#This Row],[especie]],[1]!ESPECIES[#All],6,0)</f>
        <v/>
      </c>
      <c r="Q4889" s="7">
        <f>IF(N4889&lt;&gt;0,P4889*N4889,0)</f>
        <v/>
      </c>
      <c r="R4889" s="8">
        <f>IF(Q4889&lt;&gt;0,Q4889+H4889+L4889,0)</f>
        <v/>
      </c>
      <c r="S4889" s="9">
        <f>VLOOKUP(OPERAC[[#This Row],[especie]],[1]!ESPECIES[#Data],9,FALSE)</f>
        <v/>
      </c>
    </row>
    <row r="4890">
      <c r="A4890" s="4" t="n">
        <v>25070</v>
      </c>
      <c r="B4890" s="5" t="n">
        <v>44622</v>
      </c>
      <c r="C4890" s="13" t="inlineStr">
        <is>
          <t>CPR</t>
        </is>
      </c>
      <c r="D4890" s="13" t="n">
        <v>32</v>
      </c>
      <c r="E4890" s="10">
        <f>IF(D4890&gt;0,VLOOKUP(OPERAC[[#This Row],[COD CART]],[1]!MatrizCortoLargoCyl[#All],3,0),"")</f>
        <v/>
      </c>
      <c r="F4890" s="13" t="inlineStr">
        <is>
          <t>AMC/CYL/16,00/14-04-22</t>
        </is>
      </c>
      <c r="G4890" s="6" t="n">
        <v>100</v>
      </c>
      <c r="H4890" s="6" t="n">
        <v>-1460.8686</v>
      </c>
      <c r="I4890" s="7">
        <f>-H4890/G4890</f>
        <v/>
      </c>
      <c r="J4890" s="11" t="n">
        <v>44648</v>
      </c>
      <c r="K4890" s="6">
        <f>+OPERAC[[#This Row],[cantidad]]</f>
        <v/>
      </c>
      <c r="L4890" s="6" t="n">
        <v>1581.776</v>
      </c>
      <c r="M4890" s="7">
        <f>IF(N4890=0,+L4890+H4890,0)</f>
        <v/>
      </c>
      <c r="N4890" s="7">
        <f>IF((+G4890-K4890)=0,0,+G4890-K4890)</f>
        <v/>
      </c>
      <c r="O4890" s="7">
        <f>IF(N4890=0,0,(L4890+H4890)/-N4890)</f>
        <v/>
      </c>
      <c r="P4890" s="7">
        <f>VLOOKUP(OPERAC[[#This Row],[especie]],[1]!ESPECIES[#All],6,0)</f>
        <v/>
      </c>
      <c r="Q4890" s="7">
        <f>IF(N4890&lt;&gt;0,P4890*N4890,0)</f>
        <v/>
      </c>
      <c r="R4890" s="8">
        <f>IF(Q4890&lt;&gt;0,Q4890+H4890+L4890,0)</f>
        <v/>
      </c>
      <c r="S4890" s="9">
        <f>VLOOKUP(OPERAC[[#This Row],[especie]],[1]!ESPECIES[#Data],9,FALSE)</f>
        <v/>
      </c>
    </row>
    <row r="4891">
      <c r="A4891" s="4" t="n">
        <v>16780</v>
      </c>
      <c r="B4891" s="5" t="n">
        <v>44550</v>
      </c>
      <c r="C4891" s="13" t="inlineStr">
        <is>
          <t>CPR</t>
        </is>
      </c>
      <c r="D4891" s="13" t="n">
        <v>40</v>
      </c>
      <c r="E4891" s="10">
        <f>IF(D4891&gt;0,VLOOKUP(OPERAC[[#This Row],[COD CART]],[1]!MatrizCortoLargoCyl[#All],3,0),"")</f>
        <v/>
      </c>
      <c r="F4891" s="13" t="inlineStr">
        <is>
          <t>SMH</t>
        </is>
      </c>
      <c r="G4891" s="6" t="n">
        <v>5</v>
      </c>
      <c r="H4891" s="6" t="n">
        <v>-1464.0326</v>
      </c>
      <c r="I4891" s="7">
        <f>-H4891/G4891</f>
        <v/>
      </c>
      <c r="J4891" s="11" t="n">
        <v>44574</v>
      </c>
      <c r="K4891" s="6">
        <f>+OPERAC[[#This Row],[cantidad]]</f>
        <v/>
      </c>
      <c r="L4891" s="6">
        <f>+OPERAC[[#This Row],[cantidad venta]]*306.843</f>
        <v/>
      </c>
      <c r="M4891" s="7">
        <f>IF(N4891=0,+L4891+H4891,0)</f>
        <v/>
      </c>
      <c r="N4891" s="7">
        <f>IF((+G4891-K4891)=0,0,+G4891-K4891)</f>
        <v/>
      </c>
      <c r="O4891" s="7">
        <f>IF(N4891=0,0,(L4891+H4891)/-N4891)</f>
        <v/>
      </c>
      <c r="P4891" s="7">
        <f>VLOOKUP(OPERAC[[#This Row],[especie]],[1]!ESPECIES[#All],6,0)</f>
        <v/>
      </c>
      <c r="Q4891" s="7">
        <f>IF(N4891&lt;&gt;0,P4891*N4891,0)</f>
        <v/>
      </c>
      <c r="R4891" s="8">
        <f>IF(Q4891&lt;&gt;0,Q4891+H4891+L4891,0)</f>
        <v/>
      </c>
      <c r="S4891" s="9">
        <f>VLOOKUP(OPERAC[[#This Row],[especie]],[1]!ESPECIES[#Data],9,FALSE)</f>
        <v/>
      </c>
    </row>
    <row r="4892">
      <c r="A4892" s="4" t="n">
        <v>16795</v>
      </c>
      <c r="B4892" s="5" t="n">
        <v>44550</v>
      </c>
      <c r="C4892" s="13" t="inlineStr">
        <is>
          <t>CPR</t>
        </is>
      </c>
      <c r="D4892" s="13" t="n">
        <v>40</v>
      </c>
      <c r="E4892" s="10">
        <f>IF(D4892&gt;0,VLOOKUP(OPERAC[[#This Row],[COD CART]],[1]!MatrizCortoLargoCyl[#All],3,0),"")</f>
        <v/>
      </c>
      <c r="F4892" s="13" t="inlineStr">
        <is>
          <t>SMH</t>
        </is>
      </c>
      <c r="G4892" s="6" t="n">
        <v>5</v>
      </c>
      <c r="H4892" s="6" t="n">
        <v>-1464.0326</v>
      </c>
      <c r="I4892" s="7">
        <f>-H4892/G4892</f>
        <v/>
      </c>
      <c r="J4892" s="11" t="n">
        <v>44574</v>
      </c>
      <c r="K4892" s="6">
        <f>+OPERAC[[#This Row],[cantidad]]</f>
        <v/>
      </c>
      <c r="L4892" s="6">
        <f>+OPERAC[[#This Row],[cantidad venta]]*306.843</f>
        <v/>
      </c>
      <c r="M4892" s="7">
        <f>IF(N4892=0,+L4892+H4892,0)</f>
        <v/>
      </c>
      <c r="N4892" s="7">
        <f>IF((+G4892-K4892)=0,0,+G4892-K4892)</f>
        <v/>
      </c>
      <c r="O4892" s="7">
        <f>IF(N4892=0,0,(L4892+H4892)/-N4892)</f>
        <v/>
      </c>
      <c r="P4892" s="7">
        <f>VLOOKUP(OPERAC[[#This Row],[especie]],[1]!ESPECIES[#All],6,0)</f>
        <v/>
      </c>
      <c r="Q4892" s="7">
        <f>IF(N4892&lt;&gt;0,P4892*N4892,0)</f>
        <v/>
      </c>
      <c r="R4892" s="8">
        <f>IF(Q4892&lt;&gt;0,Q4892+H4892+L4892,0)</f>
        <v/>
      </c>
      <c r="S4892" s="9">
        <f>VLOOKUP(OPERAC[[#This Row],[especie]],[1]!ESPECIES[#Data],9,FALSE)</f>
        <v/>
      </c>
    </row>
    <row r="4893">
      <c r="A4893" s="4" t="n">
        <v>18651</v>
      </c>
      <c r="B4893" s="5" t="n">
        <v>44550</v>
      </c>
      <c r="C4893" s="13" t="inlineStr">
        <is>
          <t>CPR</t>
        </is>
      </c>
      <c r="D4893" s="13" t="n">
        <v>40</v>
      </c>
      <c r="E4893" s="10">
        <f>IF(D4893&gt;0,VLOOKUP(OPERAC[[#This Row],[COD CART]],[1]!MatrizCortoLargoCyl[#All],3,0),"")</f>
        <v/>
      </c>
      <c r="F4893" s="13" t="inlineStr">
        <is>
          <t>SMH</t>
        </is>
      </c>
      <c r="G4893" s="6" t="n">
        <v>5</v>
      </c>
      <c r="H4893" s="6" t="n">
        <v>-1464.0326</v>
      </c>
      <c r="I4893" s="7">
        <f>-H4893/G4893</f>
        <v/>
      </c>
      <c r="J4893" s="11" t="n">
        <v>44574</v>
      </c>
      <c r="K4893" s="6">
        <f>+OPERAC[[#This Row],[cantidad]]</f>
        <v/>
      </c>
      <c r="L4893" s="6">
        <f>+OPERAC[[#This Row],[cantidad venta]]*306.843</f>
        <v/>
      </c>
      <c r="M4893" s="7">
        <f>IF(N4893=0,+L4893+H4893,0)</f>
        <v/>
      </c>
      <c r="N4893" s="7">
        <f>IF((+G4893-K4893)=0,0,+G4893-K4893)</f>
        <v/>
      </c>
      <c r="O4893" s="7">
        <f>IF(N4893=0,0,(L4893+H4893)/-N4893)</f>
        <v/>
      </c>
      <c r="P4893" s="7">
        <f>VLOOKUP(OPERAC[[#This Row],[especie]],[1]!ESPECIES[#All],6,0)</f>
        <v/>
      </c>
      <c r="Q4893" s="7">
        <f>IF(N4893&lt;&gt;0,P4893*N4893,0)</f>
        <v/>
      </c>
      <c r="R4893" s="8">
        <f>IF(Q4893&lt;&gt;0,Q4893+H4893+L4893,0)</f>
        <v/>
      </c>
      <c r="S4893" s="9">
        <f>VLOOKUP(OPERAC[[#This Row],[especie]],[1]!ESPECIES[#Data],9,FALSE)</f>
        <v/>
      </c>
    </row>
    <row r="4894">
      <c r="A4894" s="4" t="n">
        <v>2194</v>
      </c>
      <c r="B4894" s="5" t="n">
        <v>44550</v>
      </c>
      <c r="C4894" s="13" t="inlineStr">
        <is>
          <t>CPR</t>
        </is>
      </c>
      <c r="D4894" s="13" t="n">
        <v>40</v>
      </c>
      <c r="E4894" s="10">
        <f>IF(D4894&gt;0,VLOOKUP(OPERAC[[#This Row],[COD CART]],[1]!MatrizCortoLargoCyl[#All],3,0),"")</f>
        <v/>
      </c>
      <c r="F4894" s="13" t="inlineStr">
        <is>
          <t>SMH</t>
        </is>
      </c>
      <c r="G4894" s="6" t="n">
        <v>5</v>
      </c>
      <c r="H4894" s="6" t="n">
        <v>-1469.8652</v>
      </c>
      <c r="I4894" s="7">
        <f>-H4894/G4894</f>
        <v/>
      </c>
      <c r="J4894" s="11" t="n">
        <v>44574</v>
      </c>
      <c r="K4894" s="6">
        <f>+OPERAC[[#This Row],[cantidad]]</f>
        <v/>
      </c>
      <c r="L4894" s="6">
        <f>+OPERAC[[#This Row],[cantidad venta]]*306.843</f>
        <v/>
      </c>
      <c r="M4894" s="7">
        <f>IF(N4894=0,+L4894+H4894,0)</f>
        <v/>
      </c>
      <c r="N4894" s="7">
        <f>IF((+G4894-K4894)=0,0,+G4894-K4894)</f>
        <v/>
      </c>
      <c r="O4894" s="7">
        <f>IF(N4894=0,0,(L4894+H4894)/-N4894)</f>
        <v/>
      </c>
      <c r="P4894" s="7">
        <f>VLOOKUP(OPERAC[[#This Row],[especie]],[1]!ESPECIES[#All],6,0)</f>
        <v/>
      </c>
      <c r="Q4894" s="7">
        <f>IF(N4894&lt;&gt;0,P4894*N4894,0)</f>
        <v/>
      </c>
      <c r="R4894" s="8">
        <f>IF(Q4894&lt;&gt;0,Q4894+H4894+L4894,0)</f>
        <v/>
      </c>
      <c r="S4894" s="9">
        <f>VLOOKUP(OPERAC[[#This Row],[especie]],[1]!ESPECIES[#Data],9,FALSE)</f>
        <v/>
      </c>
    </row>
    <row r="4895">
      <c r="A4895" s="4" t="n">
        <v>10079</v>
      </c>
      <c r="B4895" s="5" t="n">
        <v>44550</v>
      </c>
      <c r="C4895" s="13" t="inlineStr">
        <is>
          <t>CPR</t>
        </is>
      </c>
      <c r="D4895" s="13" t="n">
        <v>40</v>
      </c>
      <c r="E4895" s="10">
        <f>IF(D4895&gt;0,VLOOKUP(OPERAC[[#This Row],[COD CART]],[1]!MatrizCortoLargoCyl[#All],3,0),"")</f>
        <v/>
      </c>
      <c r="F4895" s="13" t="inlineStr">
        <is>
          <t>SMH</t>
        </is>
      </c>
      <c r="G4895" s="6" t="n">
        <v>5</v>
      </c>
      <c r="H4895" s="6" t="n">
        <v>-1469.8652</v>
      </c>
      <c r="I4895" s="7">
        <f>-H4895/G4895</f>
        <v/>
      </c>
      <c r="J4895" s="11" t="n">
        <v>44574</v>
      </c>
      <c r="K4895" s="6">
        <f>+OPERAC[[#This Row],[cantidad]]</f>
        <v/>
      </c>
      <c r="L4895" s="6">
        <f>+OPERAC[[#This Row],[cantidad venta]]*306.843</f>
        <v/>
      </c>
      <c r="M4895" s="7">
        <f>IF(N4895=0,+L4895+H4895,0)</f>
        <v/>
      </c>
      <c r="N4895" s="7">
        <f>IF((+G4895-K4895)=0,0,+G4895-K4895)</f>
        <v/>
      </c>
      <c r="O4895" s="7">
        <f>IF(N4895=0,0,(L4895+H4895)/-N4895)</f>
        <v/>
      </c>
      <c r="P4895" s="7">
        <f>VLOOKUP(OPERAC[[#This Row],[especie]],[1]!ESPECIES[#All],6,0)</f>
        <v/>
      </c>
      <c r="Q4895" s="7">
        <f>IF(N4895&lt;&gt;0,P4895*N4895,0)</f>
        <v/>
      </c>
      <c r="R4895" s="8">
        <f>IF(Q4895&lt;&gt;0,Q4895+H4895+L4895,0)</f>
        <v/>
      </c>
      <c r="S4895" s="9">
        <f>VLOOKUP(OPERAC[[#This Row],[especie]],[1]!ESPECIES[#Data],9,FALSE)</f>
        <v/>
      </c>
    </row>
    <row r="4896">
      <c r="A4896" s="4" t="n">
        <v>12674</v>
      </c>
      <c r="B4896" s="5" t="n">
        <v>44550</v>
      </c>
      <c r="C4896" s="13" t="inlineStr">
        <is>
          <t>CPR</t>
        </is>
      </c>
      <c r="D4896" s="13" t="n">
        <v>40</v>
      </c>
      <c r="E4896" s="10">
        <f>IF(D4896&gt;0,VLOOKUP(OPERAC[[#This Row],[COD CART]],[1]!MatrizCortoLargoCyl[#All],3,0),"")</f>
        <v/>
      </c>
      <c r="F4896" s="13" t="inlineStr">
        <is>
          <t>SMH</t>
        </is>
      </c>
      <c r="G4896" s="6" t="n">
        <v>5</v>
      </c>
      <c r="H4896" s="6" t="n">
        <v>-1469.8652</v>
      </c>
      <c r="I4896" s="7">
        <f>-H4896/G4896</f>
        <v/>
      </c>
      <c r="J4896" s="11" t="n">
        <v>44574</v>
      </c>
      <c r="K4896" s="6">
        <f>+OPERAC[[#This Row],[cantidad]]</f>
        <v/>
      </c>
      <c r="L4896" s="6">
        <f>+OPERAC[[#This Row],[cantidad venta]]*306.843</f>
        <v/>
      </c>
      <c r="M4896" s="7">
        <f>IF(N4896=0,+L4896+H4896,0)</f>
        <v/>
      </c>
      <c r="N4896" s="7">
        <f>IF((+G4896-K4896)=0,0,+G4896-K4896)</f>
        <v/>
      </c>
      <c r="O4896" s="7">
        <f>IF(N4896=0,0,(L4896+H4896)/-N4896)</f>
        <v/>
      </c>
      <c r="P4896" s="7">
        <f>VLOOKUP(OPERAC[[#This Row],[especie]],[1]!ESPECIES[#All],6,0)</f>
        <v/>
      </c>
      <c r="Q4896" s="7">
        <f>IF(N4896&lt;&gt;0,P4896*N4896,0)</f>
        <v/>
      </c>
      <c r="R4896" s="8">
        <f>IF(Q4896&lt;&gt;0,Q4896+H4896+L4896,0)</f>
        <v/>
      </c>
      <c r="S4896" s="9">
        <f>VLOOKUP(OPERAC[[#This Row],[especie]],[1]!ESPECIES[#Data],9,FALSE)</f>
        <v/>
      </c>
    </row>
    <row r="4897">
      <c r="A4897" s="4" t="n">
        <v>15194</v>
      </c>
      <c r="B4897" s="5" t="n">
        <v>44550</v>
      </c>
      <c r="C4897" s="13" t="inlineStr">
        <is>
          <t>CPR</t>
        </is>
      </c>
      <c r="D4897" s="13" t="n">
        <v>40</v>
      </c>
      <c r="E4897" s="10">
        <f>IF(D4897&gt;0,VLOOKUP(OPERAC[[#This Row],[COD CART]],[1]!MatrizCortoLargoCyl[#All],3,0),"")</f>
        <v/>
      </c>
      <c r="F4897" s="13" t="inlineStr">
        <is>
          <t>SMH</t>
        </is>
      </c>
      <c r="G4897" s="6" t="n">
        <v>5</v>
      </c>
      <c r="H4897" s="6" t="n">
        <v>-1469.8652</v>
      </c>
      <c r="I4897" s="7">
        <f>-H4897/G4897</f>
        <v/>
      </c>
      <c r="J4897" s="11" t="n">
        <v>44574</v>
      </c>
      <c r="K4897" s="6">
        <f>+OPERAC[[#This Row],[cantidad]]</f>
        <v/>
      </c>
      <c r="L4897" s="6">
        <f>+OPERAC[[#This Row],[cantidad venta]]*306.843</f>
        <v/>
      </c>
      <c r="M4897" s="7">
        <f>IF(N4897=0,+L4897+H4897,0)</f>
        <v/>
      </c>
      <c r="N4897" s="7">
        <f>IF((+G4897-K4897)=0,0,+G4897-K4897)</f>
        <v/>
      </c>
      <c r="O4897" s="7">
        <f>IF(N4897=0,0,(L4897+H4897)/-N4897)</f>
        <v/>
      </c>
      <c r="P4897" s="7">
        <f>VLOOKUP(OPERAC[[#This Row],[especie]],[1]!ESPECIES[#All],6,0)</f>
        <v/>
      </c>
      <c r="Q4897" s="7">
        <f>IF(N4897&lt;&gt;0,P4897*N4897,0)</f>
        <v/>
      </c>
      <c r="R4897" s="8">
        <f>IF(Q4897&lt;&gt;0,Q4897+H4897+L4897,0)</f>
        <v/>
      </c>
      <c r="S4897" s="9">
        <f>VLOOKUP(OPERAC[[#This Row],[especie]],[1]!ESPECIES[#Data],9,FALSE)</f>
        <v/>
      </c>
    </row>
    <row r="4898">
      <c r="A4898" s="4" t="n">
        <v>16783</v>
      </c>
      <c r="B4898" s="5" t="n">
        <v>44550</v>
      </c>
      <c r="C4898" s="13" t="inlineStr">
        <is>
          <t>CPR</t>
        </is>
      </c>
      <c r="D4898" s="13" t="n">
        <v>40</v>
      </c>
      <c r="E4898" s="10">
        <f>IF(D4898&gt;0,VLOOKUP(OPERAC[[#This Row],[COD CART]],[1]!MatrizCortoLargoCyl[#All],3,0),"")</f>
        <v/>
      </c>
      <c r="F4898" s="13" t="inlineStr">
        <is>
          <t>SMH</t>
        </is>
      </c>
      <c r="G4898" s="6" t="n">
        <v>5</v>
      </c>
      <c r="H4898" s="6" t="n">
        <v>-1469.8652</v>
      </c>
      <c r="I4898" s="7">
        <f>-H4898/G4898</f>
        <v/>
      </c>
      <c r="J4898" s="11" t="n">
        <v>44574</v>
      </c>
      <c r="K4898" s="6">
        <f>+OPERAC[[#This Row],[cantidad]]</f>
        <v/>
      </c>
      <c r="L4898" s="6">
        <f>+OPERAC[[#This Row],[cantidad venta]]*306.843</f>
        <v/>
      </c>
      <c r="M4898" s="7">
        <f>IF(N4898=0,+L4898+H4898,0)</f>
        <v/>
      </c>
      <c r="N4898" s="7">
        <f>IF((+G4898-K4898)=0,0,+G4898-K4898)</f>
        <v/>
      </c>
      <c r="O4898" s="7">
        <f>IF(N4898=0,0,(L4898+H4898)/-N4898)</f>
        <v/>
      </c>
      <c r="P4898" s="7">
        <f>VLOOKUP(OPERAC[[#This Row],[especie]],[1]!ESPECIES[#All],6,0)</f>
        <v/>
      </c>
      <c r="Q4898" s="7">
        <f>IF(N4898&lt;&gt;0,P4898*N4898,0)</f>
        <v/>
      </c>
      <c r="R4898" s="8">
        <f>IF(Q4898&lt;&gt;0,Q4898+H4898+L4898,0)</f>
        <v/>
      </c>
      <c r="S4898" s="9">
        <f>VLOOKUP(OPERAC[[#This Row],[especie]],[1]!ESPECIES[#Data],9,FALSE)</f>
        <v/>
      </c>
    </row>
    <row r="4899">
      <c r="A4899" s="4" t="n">
        <v>16824</v>
      </c>
      <c r="B4899" s="5" t="n">
        <v>44550</v>
      </c>
      <c r="C4899" s="13" t="inlineStr">
        <is>
          <t>CPR</t>
        </is>
      </c>
      <c r="D4899" s="13" t="n">
        <v>40</v>
      </c>
      <c r="E4899" s="10">
        <f>IF(D4899&gt;0,VLOOKUP(OPERAC[[#This Row],[COD CART]],[1]!MatrizCortoLargoCyl[#All],3,0),"")</f>
        <v/>
      </c>
      <c r="F4899" s="13" t="inlineStr">
        <is>
          <t>SMH</t>
        </is>
      </c>
      <c r="G4899" s="6" t="n">
        <v>5</v>
      </c>
      <c r="H4899" s="6" t="n">
        <v>-1469.8652</v>
      </c>
      <c r="I4899" s="7">
        <f>-H4899/G4899</f>
        <v/>
      </c>
      <c r="J4899" s="11" t="n">
        <v>44551</v>
      </c>
      <c r="K4899" s="6">
        <f>3+2</f>
        <v/>
      </c>
      <c r="L4899" s="6">
        <f>885.342+613.686</f>
        <v/>
      </c>
      <c r="M4899" s="7">
        <f>IF(N4899=0,+L4899+H4899,0)</f>
        <v/>
      </c>
      <c r="N4899" s="7">
        <f>IF((+G4899-K4899)=0,0,+G4899-K4899)</f>
        <v/>
      </c>
      <c r="O4899" s="7">
        <f>IF(N4899=0,0,(L4899+H4899)/-N4899)</f>
        <v/>
      </c>
      <c r="P4899" s="7">
        <f>VLOOKUP(OPERAC[[#This Row],[especie]],[1]!ESPECIES[#All],6,0)</f>
        <v/>
      </c>
      <c r="Q4899" s="7">
        <f>IF(N4899&lt;&gt;0,P4899*N4899,0)</f>
        <v/>
      </c>
      <c r="R4899" s="8">
        <f>IF(Q4899&lt;&gt;0,Q4899+H4899+L4899,0)</f>
        <v/>
      </c>
      <c r="S4899" s="9">
        <f>VLOOKUP(OPERAC[[#This Row],[especie]],[1]!ESPECIES[#Data],9,FALSE)</f>
        <v/>
      </c>
    </row>
    <row r="4900">
      <c r="A4900" s="4" t="n">
        <v>22393</v>
      </c>
      <c r="B4900" s="5" t="n">
        <v>44550</v>
      </c>
      <c r="C4900" s="13" t="inlineStr">
        <is>
          <t>CPR</t>
        </is>
      </c>
      <c r="D4900" s="13" t="n">
        <v>40</v>
      </c>
      <c r="E4900" s="10">
        <f>IF(D4900&gt;0,VLOOKUP(OPERAC[[#This Row],[COD CART]],[1]!MatrizCortoLargoCyl[#All],3,0),"")</f>
        <v/>
      </c>
      <c r="F4900" s="13" t="inlineStr">
        <is>
          <t>SMH</t>
        </is>
      </c>
      <c r="G4900" s="6" t="n">
        <v>5</v>
      </c>
      <c r="H4900" s="6" t="n">
        <v>-1469.8652</v>
      </c>
      <c r="I4900" s="7">
        <f>-H4900/G4900</f>
        <v/>
      </c>
      <c r="J4900" s="11" t="n">
        <v>44574</v>
      </c>
      <c r="K4900" s="6">
        <f>+OPERAC[[#This Row],[cantidad]]</f>
        <v/>
      </c>
      <c r="L4900" s="6">
        <f>+OPERAC[[#This Row],[cantidad venta]]*306.843</f>
        <v/>
      </c>
      <c r="M4900" s="7">
        <f>IF(N4900=0,+L4900+H4900,0)</f>
        <v/>
      </c>
      <c r="N4900" s="7">
        <f>IF((+G4900-K4900)=0,0,+G4900-K4900)</f>
        <v/>
      </c>
      <c r="O4900" s="7">
        <f>IF(N4900=0,0,(L4900+H4900)/-N4900)</f>
        <v/>
      </c>
      <c r="P4900" s="7">
        <f>VLOOKUP(OPERAC[[#This Row],[especie]],[1]!ESPECIES[#All],6,0)</f>
        <v/>
      </c>
      <c r="Q4900" s="7">
        <f>IF(N4900&lt;&gt;0,P4900*N4900,0)</f>
        <v/>
      </c>
      <c r="R4900" s="8">
        <f>IF(Q4900&lt;&gt;0,Q4900+H4900+L4900,0)</f>
        <v/>
      </c>
      <c r="S4900" s="9">
        <f>VLOOKUP(OPERAC[[#This Row],[especie]],[1]!ESPECIES[#Data],9,FALSE)</f>
        <v/>
      </c>
    </row>
    <row r="4901">
      <c r="A4901" s="4" t="n">
        <v>16783</v>
      </c>
      <c r="B4901" s="5" t="n">
        <v>44536</v>
      </c>
      <c r="C4901" s="13" t="inlineStr">
        <is>
          <t>CPR</t>
        </is>
      </c>
      <c r="D4901" s="13" t="n">
        <v>43</v>
      </c>
      <c r="E4901" s="10">
        <f>IF(D4901&gt;0,VLOOKUP(OPERAC[[#This Row],[COD CART]],[1]!MatrizCortoLargoCyl[#All],3,0),"")</f>
        <v/>
      </c>
      <c r="F4901" s="13" t="inlineStr">
        <is>
          <t>XSPA/CYL-PUT/1,50/20-01-23</t>
        </is>
      </c>
      <c r="G4901" s="6" t="n">
        <v>3300</v>
      </c>
      <c r="H4901" s="6">
        <f>-0.4462*OPERAC[[#This Row],[cantidad]]</f>
        <v/>
      </c>
      <c r="I4901" s="7">
        <f>-H4901/G4901</f>
        <v/>
      </c>
      <c r="J4901" s="11" t="n"/>
      <c r="K4901" s="6" t="n"/>
      <c r="L4901" s="6" t="n"/>
      <c r="M4901" s="7">
        <f>IF(N4901=0,+L4901+H4901,0)</f>
        <v/>
      </c>
      <c r="N4901" s="7">
        <f>IF((+G4901-K4901)=0,0,+G4901-K4901)</f>
        <v/>
      </c>
      <c r="O4901" s="7">
        <f>IF(N4901=0,0,(L4901+H4901)/-N4901)</f>
        <v/>
      </c>
      <c r="P4901" s="7">
        <f>VLOOKUP(OPERAC[[#This Row],[especie]],[1]!ESPECIES[#All],6,0)</f>
        <v/>
      </c>
      <c r="Q4901" s="7">
        <f>IF(N4901&lt;&gt;0,P4901*N4901,0)</f>
        <v/>
      </c>
      <c r="R4901" s="8">
        <f>IF(Q4901&lt;&gt;0,Q4901+H4901+L4901,0)</f>
        <v/>
      </c>
      <c r="S4901" s="9">
        <f>VLOOKUP(OPERAC[[#This Row],[especie]],[1]!ESPECIES[#Data],9,FALSE)</f>
        <v/>
      </c>
    </row>
    <row r="4902">
      <c r="A4902" s="4" t="n">
        <v>22393</v>
      </c>
      <c r="B4902" s="5" t="n">
        <v>44511</v>
      </c>
      <c r="C4902" s="13" t="inlineStr">
        <is>
          <t>CPR</t>
        </is>
      </c>
      <c r="D4902" s="13" t="n">
        <v>41</v>
      </c>
      <c r="E4902" s="10">
        <f>IF(D4902&gt;0,VLOOKUP(OPERAC[[#This Row],[COD CART]],[1]!MatrizCortoLargoCyl[#All],3,0),"")</f>
        <v/>
      </c>
      <c r="F4902" s="13" t="inlineStr">
        <is>
          <t>UNG/CYL/16,00/04-03-22</t>
        </is>
      </c>
      <c r="G4902" s="6" t="n">
        <v>100</v>
      </c>
      <c r="H4902" s="6">
        <f>-1664.64+26.711+83.053+33.03+49.27</f>
        <v/>
      </c>
      <c r="I4902" s="7">
        <f>-H4902/G4902</f>
        <v/>
      </c>
      <c r="J4902" s="11" t="n">
        <v>44624</v>
      </c>
      <c r="K4902" s="6" t="n">
        <v>100</v>
      </c>
      <c r="L4902" s="6" t="n">
        <v>1587.2</v>
      </c>
      <c r="M4902" s="7">
        <f>IF(N4902=0,+L4902+H4902,0)</f>
        <v/>
      </c>
      <c r="N4902" s="7">
        <f>IF((+G4902-K4902)=0,0,+G4902-K4902)</f>
        <v/>
      </c>
      <c r="O4902" s="7" t="n">
        <v>14.29</v>
      </c>
      <c r="P4902" s="7">
        <f>VLOOKUP(OPERAC[[#This Row],[especie]],[1]!ESPECIES[#All],6,0)</f>
        <v/>
      </c>
      <c r="Q4902" s="7">
        <f>IF(N4902&lt;&gt;0,P4902*N4902,0)</f>
        <v/>
      </c>
      <c r="R4902" s="8">
        <f>IF(Q4902&lt;&gt;0,Q4902+H4902+L4902,0)</f>
        <v/>
      </c>
      <c r="S4902" s="9">
        <f>VLOOKUP(OPERAC[[#This Row],[especie]],[1]!ESPECIES[#Data],9,FALSE)</f>
        <v/>
      </c>
    </row>
    <row r="4903">
      <c r="A4903" s="4" t="n">
        <v>16780</v>
      </c>
      <c r="B4903" s="5" t="n">
        <v>44673</v>
      </c>
      <c r="C4903" s="13" t="inlineStr">
        <is>
          <t>CPR</t>
        </is>
      </c>
      <c r="D4903" s="13" t="n">
        <v>43</v>
      </c>
      <c r="E4903" s="10">
        <f>IF(D4903&gt;0,VLOOKUP(OPERAC[[#This Row],[COD CART]],[1]!MatrizCortoLargoCyl[#All],3,0),"")</f>
        <v/>
      </c>
      <c r="F4903" s="13" t="inlineStr">
        <is>
          <t>PCT/CYL-PUT/5,00/19-01-24</t>
        </is>
      </c>
      <c r="G4903" s="6" t="n">
        <v>1000</v>
      </c>
      <c r="H4903" s="6" t="n">
        <v>-1473.67</v>
      </c>
      <c r="I4903" s="7">
        <f>-H4903/G4903</f>
        <v/>
      </c>
      <c r="J4903" s="11" t="n"/>
      <c r="K4903" s="6" t="n"/>
      <c r="L4903" s="6" t="n"/>
      <c r="M4903" s="7">
        <f>IF(N4903=0,+L4903+H4903,0)</f>
        <v/>
      </c>
      <c r="N4903" s="7">
        <f>IF((+G4903-K4903)=0,0,+G4903-K4903)</f>
        <v/>
      </c>
      <c r="O4903" s="7">
        <f>IF(N4903=0,0,(L4903+H4903)/-N4903)</f>
        <v/>
      </c>
      <c r="P4903" s="7">
        <f>VLOOKUP(OPERAC[[#This Row],[especie]],[1]!ESPECIES[#All],6,0)</f>
        <v/>
      </c>
      <c r="Q4903" s="7">
        <f>IF(N4903&lt;&gt;0,P4903*N4903,0)</f>
        <v/>
      </c>
      <c r="R4903" s="8">
        <f>IF(Q4903&lt;&gt;0,Q4903+H4903+L4903,0)</f>
        <v/>
      </c>
      <c r="S4903" s="9">
        <f>VLOOKUP(OPERAC[[#This Row],[especie]],[1]!ESPECIES[#Data],9,FALSE)</f>
        <v/>
      </c>
    </row>
    <row r="4904">
      <c r="A4904" s="4" t="n">
        <v>3021</v>
      </c>
      <c r="B4904" s="5" t="n">
        <v>44481</v>
      </c>
      <c r="C4904" s="13" t="inlineStr">
        <is>
          <t>CPR</t>
        </is>
      </c>
      <c r="D4904" s="13" t="n">
        <v>40</v>
      </c>
      <c r="E4904" s="10">
        <f>IF(D4904&gt;0,VLOOKUP(OPERAC[[#This Row],[COD CART]],[1]!MatrizCortoLargoCyl[#All],3,0),"")</f>
        <v/>
      </c>
      <c r="F4904" s="13" t="inlineStr">
        <is>
          <t>MELI</t>
        </is>
      </c>
      <c r="G4904" s="6" t="n">
        <v>1</v>
      </c>
      <c r="H4904" s="6" t="n">
        <v>-1478.70623</v>
      </c>
      <c r="I4904" s="7">
        <f>-H4904/G4904</f>
        <v/>
      </c>
      <c r="J4904" s="11" t="n">
        <v>44606</v>
      </c>
      <c r="K4904" s="6" t="n">
        <v>1</v>
      </c>
      <c r="L4904" s="6" t="n">
        <v>1083.37</v>
      </c>
      <c r="M4904" s="7">
        <f>IF(N4904=0,+L4904+H4904,0)</f>
        <v/>
      </c>
      <c r="N4904" s="7">
        <f>IF((+G4904-K4904)=0,0,+G4904-K4904)</f>
        <v/>
      </c>
      <c r="O4904" s="7">
        <f>IF(N4904=0,0,(L4904+H4904)/-N4904)</f>
        <v/>
      </c>
      <c r="P4904" s="7">
        <f>VLOOKUP(OPERAC[[#This Row],[especie]],[1]!ESPECIES[#All],6,0)</f>
        <v/>
      </c>
      <c r="Q4904" s="7">
        <f>IF(N4904&lt;&gt;0,P4904*N4904,0)</f>
        <v/>
      </c>
      <c r="R4904" s="8">
        <f>IF(Q4904&lt;&gt;0,Q4904+H4904+L4904,0)</f>
        <v/>
      </c>
      <c r="S4904" s="9">
        <f>VLOOKUP(OPERAC[[#This Row],[especie]],[1]!ESPECIES[#Data],9,FALSE)</f>
        <v/>
      </c>
    </row>
    <row r="4905">
      <c r="A4905" s="4" t="n">
        <v>3021</v>
      </c>
      <c r="B4905" s="5" t="n">
        <v>44650</v>
      </c>
      <c r="C4905" s="13" t="inlineStr">
        <is>
          <t>CPR</t>
        </is>
      </c>
      <c r="D4905" s="13" t="n">
        <v>32</v>
      </c>
      <c r="E4905" s="10">
        <f>IF(D4905&gt;0,VLOOKUP(OPERAC[[#This Row],[COD CART]],[1]!MatrizCortoLargoCyl[#All],3,0),"")</f>
        <v/>
      </c>
      <c r="F4905" s="13" t="inlineStr">
        <is>
          <t>UUUU/CYL/8,00/20-05-22</t>
        </is>
      </c>
      <c r="G4905" s="6" t="n">
        <v>200</v>
      </c>
      <c r="H4905" s="6" t="n">
        <v>-1480.5176</v>
      </c>
      <c r="I4905" s="7">
        <f>-H4905/G4905</f>
        <v/>
      </c>
      <c r="J4905" s="11" t="n">
        <v>44665</v>
      </c>
      <c r="K4905" s="6" t="n">
        <v>200</v>
      </c>
      <c r="L4905" s="6">
        <f>7.76*200</f>
        <v/>
      </c>
      <c r="M4905" s="7">
        <f>IF(N4905=0,+L4905+H4905,0)</f>
        <v/>
      </c>
      <c r="N4905" s="7">
        <f>IF((+G4905-K4905)=0,0,+G4905-K4905)</f>
        <v/>
      </c>
      <c r="O4905" s="7">
        <f>IF(N4905=0,0,(L4905+H4905)/-N4905)</f>
        <v/>
      </c>
      <c r="P4905" s="7">
        <f>VLOOKUP(OPERAC[[#This Row],[especie]],[1]!ESPECIES[#All],6,0)</f>
        <v/>
      </c>
      <c r="Q4905" s="7">
        <f>IF(N4905&lt;&gt;0,P4905*N4905,0)</f>
        <v/>
      </c>
      <c r="R4905" s="8">
        <f>IF(Q4905&lt;&gt;0,Q4905+H4905+L4905,0)</f>
        <v/>
      </c>
      <c r="S4905" s="9">
        <f>VLOOKUP(OPERAC[[#This Row],[especie]],[1]!ESPECIES[#Data],9,FALSE)</f>
        <v/>
      </c>
    </row>
    <row r="4906">
      <c r="A4906" s="4" t="n">
        <v>19920</v>
      </c>
      <c r="B4906" s="5" t="n">
        <v>44664</v>
      </c>
      <c r="C4906" s="13" t="inlineStr">
        <is>
          <t>CPR</t>
        </is>
      </c>
      <c r="D4906" s="13" t="n">
        <v>42</v>
      </c>
      <c r="E4906" s="10">
        <f>IF(D4906&gt;0,VLOOKUP(OPERAC[[#This Row],[COD CART]],[1]!MatrizCortoLargoCyl[#All],3,0),"")</f>
        <v/>
      </c>
      <c r="F4906" s="13" t="inlineStr">
        <is>
          <t>AMD</t>
        </is>
      </c>
      <c r="G4906" s="6" t="n">
        <v>15</v>
      </c>
      <c r="H4906" s="6" t="n">
        <v>-1481.55981795</v>
      </c>
      <c r="I4906" s="7">
        <f>-H4906/G4906</f>
        <v/>
      </c>
      <c r="J4906" s="11" t="n">
        <v>44693</v>
      </c>
      <c r="K4906" s="6">
        <f>+OPERAC[[#This Row],[cantidad]]</f>
        <v/>
      </c>
      <c r="L4906" s="6">
        <f>+OPERAC[[#This Row],[cantidad venta]]*85.26</f>
        <v/>
      </c>
      <c r="M4906" s="7">
        <f>IF(N4906=0,+L4906+H4906,0)</f>
        <v/>
      </c>
      <c r="N4906" s="7">
        <f>IF((+G4906-K4906)=0,0,+G4906-K4906)</f>
        <v/>
      </c>
      <c r="O4906" s="7">
        <f>IF(N4906=0,0,(L4906+H4906)/-N4906)</f>
        <v/>
      </c>
      <c r="P4906" s="7">
        <f>VLOOKUP(OPERAC[[#This Row],[especie]],[1]!ESPECIES[#All],6,0)</f>
        <v/>
      </c>
      <c r="Q4906" s="7">
        <f>IF(N4906&lt;&gt;0,P4906*N4906,0)</f>
        <v/>
      </c>
      <c r="R4906" s="8">
        <f>IF(Q4906&lt;&gt;0,Q4906+H4906+L4906,0)</f>
        <v/>
      </c>
      <c r="S4906" s="9">
        <f>VLOOKUP(OPERAC[[#This Row],[especie]],[1]!ESPECIES[#Data],9,FALSE)</f>
        <v/>
      </c>
    </row>
    <row r="4907">
      <c r="A4907" s="4" t="n">
        <v>15194</v>
      </c>
      <c r="B4907" s="5" t="n">
        <v>44641</v>
      </c>
      <c r="C4907" s="13" t="inlineStr">
        <is>
          <t>CPR</t>
        </is>
      </c>
      <c r="D4907" s="13" t="n">
        <v>42</v>
      </c>
      <c r="E4907" s="10">
        <f>IF(D4907&gt;0,VLOOKUP(OPERAC[[#This Row],[COD CART]],[1]!MatrizCortoLargoCyl[#All],3,0),"")</f>
        <v/>
      </c>
      <c r="F4907" s="13" t="inlineStr">
        <is>
          <t>FB</t>
        </is>
      </c>
      <c r="G4907" s="6" t="n">
        <v>7</v>
      </c>
      <c r="H4907" s="6" t="n">
        <v>-1485.09466</v>
      </c>
      <c r="I4907" s="7">
        <f>-H4907/G4907</f>
        <v/>
      </c>
      <c r="J4907" s="11" t="n">
        <v>44671</v>
      </c>
      <c r="K4907" s="6">
        <f>+OPERAC[[#This Row],[cantidad]]</f>
        <v/>
      </c>
      <c r="L4907" s="6">
        <f>+OPERAC[[#This Row],[cantidad venta]]*213.173</f>
        <v/>
      </c>
      <c r="M4907" s="7">
        <f>IF(N4907=0,+L4907+H4907,0)</f>
        <v/>
      </c>
      <c r="N4907" s="7">
        <f>IF((+G4907-K4907)=0,0,+G4907-K4907)</f>
        <v/>
      </c>
      <c r="O4907" s="7">
        <f>IF(N4907=0,0,(L4907+H4907)/-N4907)</f>
        <v/>
      </c>
      <c r="P4907" s="7">
        <f>VLOOKUP(OPERAC[[#This Row],[especie]],[1]!ESPECIES[#All],6,0)</f>
        <v/>
      </c>
      <c r="Q4907" s="7">
        <f>IF(N4907&lt;&gt;0,P4907*N4907,0)</f>
        <v/>
      </c>
      <c r="R4907" s="8">
        <f>IF(Q4907&lt;&gt;0,Q4907+H4907+L4907,0)</f>
        <v/>
      </c>
      <c r="S4907" s="9">
        <f>VLOOKUP(OPERAC[[#This Row],[especie]],[1]!ESPECIES[#Data],9,FALSE)</f>
        <v/>
      </c>
    </row>
    <row r="4908">
      <c r="A4908" s="4" t="n">
        <v>2194</v>
      </c>
      <c r="B4908" s="5" t="n">
        <v>44662</v>
      </c>
      <c r="C4908" s="13" t="inlineStr">
        <is>
          <t>CPR</t>
        </is>
      </c>
      <c r="D4908" s="13" t="n">
        <v>42</v>
      </c>
      <c r="E4908" s="10">
        <f>IF(D4908&gt;0,VLOOKUP(OPERAC[[#This Row],[COD CART]],[1]!MatrizCortoLargoCyl[#All],3,0),"")</f>
        <v/>
      </c>
      <c r="F4908" s="13" t="inlineStr">
        <is>
          <t>HYDR</t>
        </is>
      </c>
      <c r="G4908" s="6" t="n">
        <v>80</v>
      </c>
      <c r="H4908" s="6" t="n">
        <v>-1485.62752</v>
      </c>
      <c r="I4908" s="7">
        <f>-H4908/G4908</f>
        <v/>
      </c>
      <c r="J4908" s="11" t="n">
        <v>44677</v>
      </c>
      <c r="K4908" s="6">
        <f>30+50</f>
        <v/>
      </c>
      <c r="L4908" s="6">
        <f>481.869+782.294</f>
        <v/>
      </c>
      <c r="M4908" s="7">
        <f>IF(N4908=0,+L4908+H4908,0)</f>
        <v/>
      </c>
      <c r="N4908" s="7">
        <f>IF((+G4908-K4908)=0,0,+G4908-K4908)</f>
        <v/>
      </c>
      <c r="O4908" s="7">
        <f>IF(N4908=0,0,(L4908+H4908)/-N4908)</f>
        <v/>
      </c>
      <c r="P4908" s="7">
        <f>VLOOKUP(OPERAC[[#This Row],[especie]],[1]!ESPECIES[#All],6,0)</f>
        <v/>
      </c>
      <c r="Q4908" s="7">
        <f>IF(N4908&lt;&gt;0,P4908*N4908,0)</f>
        <v/>
      </c>
      <c r="R4908" s="8">
        <f>IF(Q4908&lt;&gt;0,Q4908+H4908+L4908,0)</f>
        <v/>
      </c>
      <c r="S4908" s="9">
        <f>VLOOKUP(OPERAC[[#This Row],[especie]],[1]!ESPECIES[#Data],9,FALSE)</f>
        <v/>
      </c>
    </row>
    <row r="4909">
      <c r="A4909" s="4" t="n">
        <v>13246</v>
      </c>
      <c r="B4909" s="5" t="n">
        <v>44662</v>
      </c>
      <c r="C4909" s="13" t="inlineStr">
        <is>
          <t>CPR</t>
        </is>
      </c>
      <c r="D4909" s="13" t="n">
        <v>42</v>
      </c>
      <c r="E4909" s="10">
        <f>IF(D4909&gt;0,VLOOKUP(OPERAC[[#This Row],[COD CART]],[1]!MatrizCortoLargoCyl[#All],3,0),"")</f>
        <v/>
      </c>
      <c r="F4909" s="13" t="inlineStr">
        <is>
          <t>HYDR</t>
        </is>
      </c>
      <c r="G4909" s="6" t="n">
        <v>80</v>
      </c>
      <c r="H4909" s="6" t="n">
        <v>-1485.62752</v>
      </c>
      <c r="I4909" s="7">
        <f>-H4909/G4909</f>
        <v/>
      </c>
      <c r="J4909" s="11" t="n">
        <v>44693</v>
      </c>
      <c r="K4909" s="6">
        <f>+OPERAC[[#This Row],[cantidad]]</f>
        <v/>
      </c>
      <c r="L4909" s="6">
        <f>+OPERAC[[#This Row],[cantidad venta]]*12.027</f>
        <v/>
      </c>
      <c r="M4909" s="7">
        <f>IF(N4909=0,+L4909+H4909,0)</f>
        <v/>
      </c>
      <c r="N4909" s="7">
        <f>IF((+G4909-K4909)=0,0,+G4909-K4909)</f>
        <v/>
      </c>
      <c r="O4909" s="7">
        <f>IF(N4909=0,0,(L4909+H4909)/-N4909)</f>
        <v/>
      </c>
      <c r="P4909" s="7">
        <f>VLOOKUP(OPERAC[[#This Row],[especie]],[1]!ESPECIES[#All],6,0)</f>
        <v/>
      </c>
      <c r="Q4909" s="7">
        <f>IF(N4909&lt;&gt;0,P4909*N4909,0)</f>
        <v/>
      </c>
      <c r="R4909" s="8">
        <f>IF(Q4909&lt;&gt;0,Q4909+H4909+L4909,0)</f>
        <v/>
      </c>
      <c r="S4909" s="9">
        <f>VLOOKUP(OPERAC[[#This Row],[especie]],[1]!ESPECIES[#Data],9,FALSE)</f>
        <v/>
      </c>
    </row>
    <row r="4910">
      <c r="A4910" s="4" t="n">
        <v>13253</v>
      </c>
      <c r="B4910" s="5" t="n">
        <v>44638</v>
      </c>
      <c r="C4910" s="13" t="inlineStr">
        <is>
          <t>CPR</t>
        </is>
      </c>
      <c r="D4910" s="13" t="n">
        <v>41</v>
      </c>
      <c r="E4910" s="10">
        <f>IF(D4910&gt;0,VLOOKUP(OPERAC[[#This Row],[COD CART]],[1]!MatrizCortoLargoCyl[#All],3,0),"")</f>
        <v/>
      </c>
      <c r="F4910" s="13" t="inlineStr">
        <is>
          <t>MSFT</t>
        </is>
      </c>
      <c r="G4910" s="6" t="n">
        <v>5</v>
      </c>
      <c r="H4910" s="6" t="n">
        <v>-1487.85</v>
      </c>
      <c r="I4910" s="7">
        <f>-H4910/G4910</f>
        <v/>
      </c>
      <c r="J4910" s="11" t="n"/>
      <c r="K4910" s="6" t="n"/>
      <c r="L4910" s="6" t="n"/>
      <c r="M4910" s="7">
        <f>IF(N4910=0,+L4910+H4910,0)</f>
        <v/>
      </c>
      <c r="N4910" s="7">
        <f>IF((+G4910-K4910)=0,0,+G4910-K4910)</f>
        <v/>
      </c>
      <c r="O4910" s="7">
        <f>IF(N4910=0,0,(L4910+H4910)/-N4910)</f>
        <v/>
      </c>
      <c r="P4910" s="7">
        <f>VLOOKUP(OPERAC[[#This Row],[especie]],[1]!ESPECIES[#All],6,0)</f>
        <v/>
      </c>
      <c r="Q4910" s="7">
        <f>IF(N4910&lt;&gt;0,P4910*N4910,0)</f>
        <v/>
      </c>
      <c r="R4910" s="8">
        <f>IF(Q4910&lt;&gt;0,Q4910+H4910+L4910,0)</f>
        <v/>
      </c>
      <c r="S4910" s="9">
        <f>VLOOKUP(OPERAC[[#This Row],[especie]],[1]!ESPECIES[#Data],9,FALSE)</f>
        <v/>
      </c>
    </row>
    <row r="4911">
      <c r="A4911" s="4" t="n">
        <v>19920</v>
      </c>
      <c r="B4911" s="5" t="n">
        <v>44615</v>
      </c>
      <c r="C4911" s="13" t="inlineStr">
        <is>
          <t>CPR</t>
        </is>
      </c>
      <c r="D4911" s="13" t="n">
        <v>32</v>
      </c>
      <c r="E4911" s="10">
        <f>IF(D4911&gt;0,VLOOKUP(OPERAC[[#This Row],[COD CART]],[1]!MatrizCortoLargoCyl[#All],3,0),"")</f>
        <v/>
      </c>
      <c r="F4911" s="13" t="inlineStr">
        <is>
          <t>SPWR/CYL/20,00/14-04-22</t>
        </is>
      </c>
      <c r="G4911" s="6" t="n">
        <v>100</v>
      </c>
      <c r="H4911" s="6" t="n">
        <v>-1488.526</v>
      </c>
      <c r="I4911" s="7">
        <f>-H4911/G4911</f>
        <v/>
      </c>
      <c r="J4911" s="11" t="n">
        <v>44663</v>
      </c>
      <c r="K4911" s="6" t="n">
        <v>100</v>
      </c>
      <c r="L4911" s="6" t="n">
        <v>1970.87</v>
      </c>
      <c r="M4911" s="7">
        <f>IF(N4911=0,+L4911+H4911,0)</f>
        <v/>
      </c>
      <c r="N4911" s="7">
        <f>IF((+G4911-K4911)=0,0,+G4911-K4911)</f>
        <v/>
      </c>
      <c r="O4911" s="7">
        <f>IF(N4911=0,0,(L4911+H4911)/-N4911)</f>
        <v/>
      </c>
      <c r="P4911" s="7">
        <f>VLOOKUP(OPERAC[[#This Row],[especie]],[1]!ESPECIES[#All],6,0)</f>
        <v/>
      </c>
      <c r="Q4911" s="7">
        <f>IF(N4911&lt;&gt;0,P4911*N4911,0)</f>
        <v/>
      </c>
      <c r="R4911" s="8">
        <f>IF(Q4911&lt;&gt;0,Q4911+H4911+L4911,0)</f>
        <v/>
      </c>
      <c r="S4911" s="9">
        <f>VLOOKUP(OPERAC[[#This Row],[especie]],[1]!ESPECIES[#Data],9,FALSE)</f>
        <v/>
      </c>
    </row>
    <row r="4912">
      <c r="A4912" s="4" t="n">
        <v>13185</v>
      </c>
      <c r="B4912" s="5" t="n">
        <v>44649</v>
      </c>
      <c r="C4912" s="13" t="inlineStr">
        <is>
          <t>CPR</t>
        </is>
      </c>
      <c r="D4912" s="13" t="n">
        <v>32</v>
      </c>
      <c r="E4912" s="10">
        <f>IF(D4912&gt;0,VLOOKUP(OPERAC[[#This Row],[COD CART]],[1]!MatrizCortoLargoCyl[#All],3,0),"")</f>
        <v/>
      </c>
      <c r="F4912" s="13" t="inlineStr">
        <is>
          <t>DDD/CYL/20,00/19-08-22</t>
        </is>
      </c>
      <c r="G4912" s="6" t="n">
        <v>100</v>
      </c>
      <c r="H4912" s="6">
        <f>-1498.949+5.949</f>
        <v/>
      </c>
      <c r="I4912" s="7">
        <f>-H4912/G4912</f>
        <v/>
      </c>
      <c r="J4912" s="11" t="n"/>
      <c r="K4912" s="6" t="n"/>
      <c r="L4912" s="6" t="n"/>
      <c r="M4912" s="7">
        <f>IF(N4912=0,+L4912+H4912,0)</f>
        <v/>
      </c>
      <c r="N4912" s="7">
        <f>IF((+G4912-K4912)=0,0,+G4912-K4912)</f>
        <v/>
      </c>
      <c r="O4912" s="7">
        <f>IF(N4912=0,0,(L4912+H4912)/-N4912)</f>
        <v/>
      </c>
      <c r="P4912" s="7">
        <f>VLOOKUP(OPERAC[[#This Row],[especie]],[1]!ESPECIES[#All],6,0)</f>
        <v/>
      </c>
      <c r="Q4912" s="7">
        <f>IF(N4912&lt;&gt;0,P4912*N4912,0)</f>
        <v/>
      </c>
      <c r="R4912" s="8">
        <f>IF(Q4912&lt;&gt;0,Q4912+H4912+L4912,0)</f>
        <v/>
      </c>
      <c r="S4912" s="9">
        <f>VLOOKUP(OPERAC[[#This Row],[especie]],[1]!ESPECIES[#Data],9,FALSE)</f>
        <v/>
      </c>
    </row>
    <row r="4913">
      <c r="A4913" s="4" t="n">
        <v>3021</v>
      </c>
      <c r="B4913" s="5" t="n">
        <v>44558</v>
      </c>
      <c r="C4913" s="13" t="inlineStr">
        <is>
          <t>CPR</t>
        </is>
      </c>
      <c r="D4913" s="13" t="n">
        <v>40</v>
      </c>
      <c r="E4913" s="10">
        <f>IF(D4913&gt;0,VLOOKUP(OPERAC[[#This Row],[COD CART]],[1]!MatrizCortoLargoCyl[#All],3,0),"")</f>
        <v/>
      </c>
      <c r="F4913" s="13" t="inlineStr">
        <is>
          <t>UPST</t>
        </is>
      </c>
      <c r="G4913" s="6" t="n">
        <v>10</v>
      </c>
      <c r="H4913" s="6" t="n">
        <v>-1495.544</v>
      </c>
      <c r="I4913" s="7">
        <f>-H4913/G4913</f>
        <v/>
      </c>
      <c r="J4913" s="11" t="n">
        <v>44606</v>
      </c>
      <c r="K4913" s="6">
        <f>+OPERAC[[#This Row],[cantidad]]</f>
        <v/>
      </c>
      <c r="L4913" s="6">
        <f>+OPERAC[[#This Row],[cantidad venta]]*98.994</f>
        <v/>
      </c>
      <c r="M4913" s="7">
        <f>IF(N4913=0,+L4913+H4913,0)</f>
        <v/>
      </c>
      <c r="N4913" s="7">
        <f>IF((+G4913-K4913)=0,0,+G4913-K4913)</f>
        <v/>
      </c>
      <c r="O4913" s="7">
        <f>IF(N4913=0,0,(L4913+H4913)/-N4913)</f>
        <v/>
      </c>
      <c r="P4913" s="7">
        <f>VLOOKUP(OPERAC[[#This Row],[especie]],[1]!ESPECIES[#All],6,0)</f>
        <v/>
      </c>
      <c r="Q4913" s="7">
        <f>IF(N4913&lt;&gt;0,P4913*N4913,0)</f>
        <v/>
      </c>
      <c r="R4913" s="8">
        <f>IF(Q4913&lt;&gt;0,Q4913+H4913+L4913,0)</f>
        <v/>
      </c>
      <c r="S4913" s="9">
        <f>VLOOKUP(OPERAC[[#This Row],[especie]],[1]!ESPECIES[#Data],9,FALSE)</f>
        <v/>
      </c>
    </row>
    <row r="4914">
      <c r="A4914" s="4" t="n">
        <v>15195</v>
      </c>
      <c r="B4914" s="5" t="n">
        <v>44650</v>
      </c>
      <c r="C4914" s="13" t="inlineStr">
        <is>
          <t>CPR</t>
        </is>
      </c>
      <c r="D4914" s="13" t="n">
        <v>32</v>
      </c>
      <c r="E4914" s="10">
        <f>IF(D4914&gt;0,VLOOKUP(OPERAC[[#This Row],[COD CART]],[1]!MatrizCortoLargoCyl[#All],3,0),"")</f>
        <v/>
      </c>
      <c r="F4914" s="13" t="inlineStr">
        <is>
          <t>UUUU/CYL/8,00/20-05-22</t>
        </is>
      </c>
      <c r="G4914" s="6" t="n">
        <v>200</v>
      </c>
      <c r="H4914" s="6" t="n">
        <v>-1496.0408</v>
      </c>
      <c r="I4914" s="7">
        <f>-H4914/G4914</f>
        <v/>
      </c>
      <c r="J4914" s="11" t="n">
        <v>44665</v>
      </c>
      <c r="K4914" s="6" t="n">
        <v>200</v>
      </c>
      <c r="L4914" s="6" t="n">
        <v>1552</v>
      </c>
      <c r="M4914" s="7">
        <f>IF(N4914=0,+L4914+H4914,0)</f>
        <v/>
      </c>
      <c r="N4914" s="7">
        <f>IF((+G4914-K4914)=0,0,+G4914-K4914)</f>
        <v/>
      </c>
      <c r="O4914" s="7">
        <f>IF(N4914=0,0,(L4914+H4914)/-N4914)</f>
        <v/>
      </c>
      <c r="P4914" s="7">
        <f>VLOOKUP(OPERAC[[#This Row],[especie]],[1]!ESPECIES[#All],6,0)</f>
        <v/>
      </c>
      <c r="Q4914" s="7">
        <f>IF(N4914&lt;&gt;0,P4914*N4914,0)</f>
        <v/>
      </c>
      <c r="R4914" s="8">
        <f>IF(Q4914&lt;&gt;0,Q4914+H4914+L4914,0)</f>
        <v/>
      </c>
      <c r="S4914" s="9">
        <f>VLOOKUP(OPERAC[[#This Row],[especie]],[1]!ESPECIES[#Data],9,FALSE)</f>
        <v/>
      </c>
    </row>
    <row r="4915">
      <c r="A4915" s="4" t="n">
        <v>22407</v>
      </c>
      <c r="B4915" s="5" t="n">
        <v>44650</v>
      </c>
      <c r="C4915" s="13" t="inlineStr">
        <is>
          <t>CPR</t>
        </is>
      </c>
      <c r="D4915" s="13" t="n">
        <v>32</v>
      </c>
      <c r="E4915" s="10">
        <f>IF(D4915&gt;0,VLOOKUP(OPERAC[[#This Row],[COD CART]],[1]!MatrizCortoLargoCyl[#All],3,0),"")</f>
        <v/>
      </c>
      <c r="F4915" s="13" t="inlineStr">
        <is>
          <t>UUUU/CYL/8,00/20-05-22</t>
        </is>
      </c>
      <c r="G4915" s="6" t="n">
        <v>200</v>
      </c>
      <c r="H4915" s="6" t="n">
        <v>-1496.0408</v>
      </c>
      <c r="I4915" s="7">
        <f>-H4915/G4915</f>
        <v/>
      </c>
      <c r="J4915" s="11" t="n">
        <v>44665</v>
      </c>
      <c r="K4915" s="6" t="n">
        <v>200</v>
      </c>
      <c r="L4915" s="6" t="n">
        <v>1552</v>
      </c>
      <c r="M4915" s="7">
        <f>IF(N4915=0,+L4915+H4915,0)</f>
        <v/>
      </c>
      <c r="N4915" s="7">
        <f>IF((+G4915-K4915)=0,0,+G4915-K4915)</f>
        <v/>
      </c>
      <c r="O4915" s="7">
        <f>IF(N4915=0,0,(L4915+H4915)/-N4915)</f>
        <v/>
      </c>
      <c r="P4915" s="7">
        <f>VLOOKUP(OPERAC[[#This Row],[especie]],[1]!ESPECIES[#All],6,0)</f>
        <v/>
      </c>
      <c r="Q4915" s="7">
        <f>IF(N4915&lt;&gt;0,P4915*N4915,0)</f>
        <v/>
      </c>
      <c r="R4915" s="8">
        <f>IF(Q4915&lt;&gt;0,Q4915+H4915+L4915,0)</f>
        <v/>
      </c>
      <c r="S4915" s="9">
        <f>VLOOKUP(OPERAC[[#This Row],[especie]],[1]!ESPECIES[#Data],9,FALSE)</f>
        <v/>
      </c>
    </row>
    <row r="4916">
      <c r="A4916" s="4" t="n">
        <v>25070</v>
      </c>
      <c r="B4916" s="5" t="n">
        <v>44650</v>
      </c>
      <c r="C4916" s="13" t="inlineStr">
        <is>
          <t>CPR</t>
        </is>
      </c>
      <c r="D4916" s="13" t="n">
        <v>32</v>
      </c>
      <c r="E4916" s="10">
        <f>IF(D4916&gt;0,VLOOKUP(OPERAC[[#This Row],[COD CART]],[1]!MatrizCortoLargoCyl[#All],3,0),"")</f>
        <v/>
      </c>
      <c r="F4916" s="13" t="inlineStr">
        <is>
          <t>UUUU/CYL/8,00/20-05-22</t>
        </is>
      </c>
      <c r="G4916" s="6" t="n">
        <v>200</v>
      </c>
      <c r="H4916" s="6" t="n">
        <v>-1496.0408</v>
      </c>
      <c r="I4916" s="7">
        <f>-H4916/G4916</f>
        <v/>
      </c>
      <c r="J4916" s="11" t="n">
        <v>44665</v>
      </c>
      <c r="K4916" s="6" t="n">
        <v>200</v>
      </c>
      <c r="L4916" s="6" t="n">
        <v>1552</v>
      </c>
      <c r="M4916" s="7">
        <f>IF(N4916=0,+L4916+H4916,0)</f>
        <v/>
      </c>
      <c r="N4916" s="7">
        <f>IF((+G4916-K4916)=0,0,+G4916-K4916)</f>
        <v/>
      </c>
      <c r="O4916" s="7">
        <f>IF(N4916=0,0,(L4916+H4916)/-N4916)</f>
        <v/>
      </c>
      <c r="P4916" s="7">
        <f>VLOOKUP(OPERAC[[#This Row],[especie]],[1]!ESPECIES[#All],6,0)</f>
        <v/>
      </c>
      <c r="Q4916" s="7">
        <f>IF(N4916&lt;&gt;0,P4916*N4916,0)</f>
        <v/>
      </c>
      <c r="R4916" s="8">
        <f>IF(Q4916&lt;&gt;0,Q4916+H4916+L4916,0)</f>
        <v/>
      </c>
      <c r="S4916" s="9">
        <f>VLOOKUP(OPERAC[[#This Row],[especie]],[1]!ESPECIES[#Data],9,FALSE)</f>
        <v/>
      </c>
    </row>
    <row r="4917">
      <c r="A4917" s="4" t="n">
        <v>2218</v>
      </c>
      <c r="B4917" s="5" t="n">
        <v>44680</v>
      </c>
      <c r="C4917" s="13" t="inlineStr">
        <is>
          <t>CPR</t>
        </is>
      </c>
      <c r="D4917" s="13" t="n">
        <v>32</v>
      </c>
      <c r="E4917" s="10">
        <f>IF(D4917&gt;0,VLOOKUP(OPERAC[[#This Row],[COD CART]],[1]!MatrizCortoLargoCyl[#All],3,0),"")</f>
        <v/>
      </c>
      <c r="F4917" s="13" t="inlineStr">
        <is>
          <t>COTY/CYL/8,00/17-06-22</t>
        </is>
      </c>
      <c r="G4917" s="6" t="n">
        <v>200</v>
      </c>
      <c r="H4917" s="6">
        <f>-1512.41+13.986</f>
        <v/>
      </c>
      <c r="I4917" s="7">
        <f>-H4917/G4917</f>
        <v/>
      </c>
      <c r="J4917" s="11" t="n"/>
      <c r="K4917" s="6" t="n"/>
      <c r="L4917" s="6" t="n"/>
      <c r="M4917" s="7">
        <f>IF(N4917=0,+L4917+H4917,0)</f>
        <v/>
      </c>
      <c r="N4917" s="7">
        <f>IF((+G4917-K4917)=0,0,+G4917-K4917)</f>
        <v/>
      </c>
      <c r="O4917" s="7">
        <f>IF(N4917=0,0,(L4917+H4917)/-N4917)</f>
        <v/>
      </c>
      <c r="P4917" s="7">
        <f>VLOOKUP(OPERAC[[#This Row],[especie]],[1]!ESPECIES[#All],6,0)</f>
        <v/>
      </c>
      <c r="Q4917" s="7">
        <f>IF(N4917&lt;&gt;0,P4917*N4917,0)</f>
        <v/>
      </c>
      <c r="R4917" s="8">
        <f>IF(Q4917&lt;&gt;0,Q4917+H4917+L4917,0)</f>
        <v/>
      </c>
      <c r="S4917" s="9">
        <f>VLOOKUP(OPERAC[[#This Row],[especie]],[1]!ESPECIES[#Data],9,FALSE)</f>
        <v/>
      </c>
    </row>
    <row r="4918">
      <c r="A4918" s="4" t="n">
        <v>3728</v>
      </c>
      <c r="B4918" s="5" t="n">
        <v>44680</v>
      </c>
      <c r="C4918" s="13" t="inlineStr">
        <is>
          <t>CPR</t>
        </is>
      </c>
      <c r="D4918" s="13" t="n">
        <v>32</v>
      </c>
      <c r="E4918" s="10">
        <f>IF(D4918&gt;0,VLOOKUP(OPERAC[[#This Row],[COD CART]],[1]!MatrizCortoLargoCyl[#All],3,0),"")</f>
        <v/>
      </c>
      <c r="F4918" s="13" t="inlineStr">
        <is>
          <t>COTY/CYL/8,00/17-06-22</t>
        </is>
      </c>
      <c r="G4918" s="6" t="n">
        <v>200</v>
      </c>
      <c r="H4918" s="6">
        <f>-1512.41+13.986</f>
        <v/>
      </c>
      <c r="I4918" s="7">
        <f>-H4918/G4918</f>
        <v/>
      </c>
      <c r="J4918" s="11" t="n"/>
      <c r="K4918" s="6" t="n"/>
      <c r="L4918" s="6" t="n"/>
      <c r="M4918" s="7">
        <f>IF(N4918=0,+L4918+H4918,0)</f>
        <v/>
      </c>
      <c r="N4918" s="7">
        <f>IF((+G4918-K4918)=0,0,+G4918-K4918)</f>
        <v/>
      </c>
      <c r="O4918" s="7">
        <f>IF(N4918=0,0,(L4918+H4918)/-N4918)</f>
        <v/>
      </c>
      <c r="P4918" s="7">
        <f>VLOOKUP(OPERAC[[#This Row],[especie]],[1]!ESPECIES[#All],6,0)</f>
        <v/>
      </c>
      <c r="Q4918" s="7">
        <f>IF(N4918&lt;&gt;0,P4918*N4918,0)</f>
        <v/>
      </c>
      <c r="R4918" s="8">
        <f>IF(Q4918&lt;&gt;0,Q4918+H4918+L4918,0)</f>
        <v/>
      </c>
      <c r="S4918" s="9">
        <f>VLOOKUP(OPERAC[[#This Row],[especie]],[1]!ESPECIES[#Data],9,FALSE)</f>
        <v/>
      </c>
    </row>
    <row r="4919">
      <c r="A4919" s="4" t="n">
        <v>12627</v>
      </c>
      <c r="B4919" s="5" t="n">
        <v>44680</v>
      </c>
      <c r="C4919" s="13" t="inlineStr">
        <is>
          <t>CPR</t>
        </is>
      </c>
      <c r="D4919" s="13" t="n">
        <v>32</v>
      </c>
      <c r="E4919" s="10">
        <f>IF(D4919&gt;0,VLOOKUP(OPERAC[[#This Row],[COD CART]],[1]!MatrizCortoLargoCyl[#All],3,0),"")</f>
        <v/>
      </c>
      <c r="F4919" s="13" t="inlineStr">
        <is>
          <t>COTY/CYL/8,00/17-06-22</t>
        </is>
      </c>
      <c r="G4919" s="6" t="n">
        <v>200</v>
      </c>
      <c r="H4919" s="6">
        <f>-1512.41+13.881</f>
        <v/>
      </c>
      <c r="I4919" s="7">
        <f>-H4919/G4919</f>
        <v/>
      </c>
      <c r="J4919" s="11" t="n"/>
      <c r="K4919" s="6" t="n"/>
      <c r="L4919" s="6" t="n"/>
      <c r="M4919" s="7">
        <f>IF(N4919=0,+L4919+H4919,0)</f>
        <v/>
      </c>
      <c r="N4919" s="7">
        <f>IF((+G4919-K4919)=0,0,+G4919-K4919)</f>
        <v/>
      </c>
      <c r="O4919" s="7">
        <f>IF(N4919=0,0,(L4919+H4919)/-N4919)</f>
        <v/>
      </c>
      <c r="P4919" s="7">
        <f>VLOOKUP(OPERAC[[#This Row],[especie]],[1]!ESPECIES[#All],6,0)</f>
        <v/>
      </c>
      <c r="Q4919" s="7">
        <f>IF(N4919&lt;&gt;0,P4919*N4919,0)</f>
        <v/>
      </c>
      <c r="R4919" s="8">
        <f>IF(Q4919&lt;&gt;0,Q4919+H4919+L4919,0)</f>
        <v/>
      </c>
      <c r="S4919" s="9">
        <f>VLOOKUP(OPERAC[[#This Row],[especie]],[1]!ESPECIES[#Data],9,FALSE)</f>
        <v/>
      </c>
    </row>
    <row r="4920">
      <c r="A4920" s="4" t="n">
        <v>18724</v>
      </c>
      <c r="B4920" s="5" t="n">
        <v>44680</v>
      </c>
      <c r="C4920" s="13" t="inlineStr">
        <is>
          <t>CPR</t>
        </is>
      </c>
      <c r="D4920" s="13" t="n">
        <v>32</v>
      </c>
      <c r="E4920" s="10">
        <f>IF(D4920&gt;0,VLOOKUP(OPERAC[[#This Row],[COD CART]],[1]!MatrizCortoLargoCyl[#All],3,0),"")</f>
        <v/>
      </c>
      <c r="F4920" s="13" t="inlineStr">
        <is>
          <t>COTY/CYL/8,00/17-06-22</t>
        </is>
      </c>
      <c r="G4920" s="6" t="n">
        <v>200</v>
      </c>
      <c r="H4920" s="6">
        <f>-1512.41+13.881</f>
        <v/>
      </c>
      <c r="I4920" s="7">
        <f>-H4920/G4920</f>
        <v/>
      </c>
      <c r="J4920" s="11" t="n"/>
      <c r="K4920" s="6" t="n"/>
      <c r="L4920" s="6" t="n"/>
      <c r="M4920" s="7">
        <f>IF(N4920=0,+L4920+H4920,0)</f>
        <v/>
      </c>
      <c r="N4920" s="7">
        <f>IF((+G4920-K4920)=0,0,+G4920-K4920)</f>
        <v/>
      </c>
      <c r="O4920" s="7">
        <f>IF(N4920=0,0,(L4920+H4920)/-N4920)</f>
        <v/>
      </c>
      <c r="P4920" s="7">
        <f>VLOOKUP(OPERAC[[#This Row],[especie]],[1]!ESPECIES[#All],6,0)</f>
        <v/>
      </c>
      <c r="Q4920" s="7">
        <f>IF(N4920&lt;&gt;0,P4920*N4920,0)</f>
        <v/>
      </c>
      <c r="R4920" s="8">
        <f>IF(Q4920&lt;&gt;0,Q4920+H4920+L4920,0)</f>
        <v/>
      </c>
      <c r="S4920" s="9">
        <f>VLOOKUP(OPERAC[[#This Row],[especie]],[1]!ESPECIES[#Data],9,FALSE)</f>
        <v/>
      </c>
    </row>
    <row r="4921">
      <c r="A4921" s="4" t="n">
        <v>16824</v>
      </c>
      <c r="B4921" s="5" t="n">
        <v>44680</v>
      </c>
      <c r="C4921" s="13" t="inlineStr">
        <is>
          <t>CPR</t>
        </is>
      </c>
      <c r="D4921" s="13" t="n">
        <v>32</v>
      </c>
      <c r="E4921" s="10">
        <f>IF(D4921&gt;0,VLOOKUP(OPERAC[[#This Row],[COD CART]],[1]!MatrizCortoLargoCyl[#All],3,0),"")</f>
        <v/>
      </c>
      <c r="F4921" s="13" t="inlineStr">
        <is>
          <t>COTY/CYL/8,00/17-06-22</t>
        </is>
      </c>
      <c r="G4921" s="6" t="n">
        <v>200</v>
      </c>
      <c r="H4921" s="6">
        <f>-1512.41+13.88</f>
        <v/>
      </c>
      <c r="I4921" s="7">
        <f>-H4921/G4921</f>
        <v/>
      </c>
      <c r="J4921" s="11" t="n"/>
      <c r="K4921" s="6" t="n"/>
      <c r="L4921" s="6" t="n"/>
      <c r="M4921" s="7">
        <f>IF(N4921=0,+L4921+H4921,0)</f>
        <v/>
      </c>
      <c r="N4921" s="7">
        <f>IF((+G4921-K4921)=0,0,+G4921-K4921)</f>
        <v/>
      </c>
      <c r="O4921" s="7">
        <f>IF(N4921=0,0,(L4921+H4921)/-N4921)</f>
        <v/>
      </c>
      <c r="P4921" s="7">
        <f>VLOOKUP(OPERAC[[#This Row],[especie]],[1]!ESPECIES[#All],6,0)</f>
        <v/>
      </c>
      <c r="Q4921" s="7">
        <f>IF(N4921&lt;&gt;0,P4921*N4921,0)</f>
        <v/>
      </c>
      <c r="R4921" s="8">
        <f>IF(Q4921&lt;&gt;0,Q4921+H4921+L4921,0)</f>
        <v/>
      </c>
      <c r="S4921" s="9">
        <f>VLOOKUP(OPERAC[[#This Row],[especie]],[1]!ESPECIES[#Data],9,FALSE)</f>
        <v/>
      </c>
    </row>
    <row r="4922">
      <c r="A4922" s="4" t="n">
        <v>1807</v>
      </c>
      <c r="B4922" s="5" t="n">
        <v>44649</v>
      </c>
      <c r="C4922" s="13" t="inlineStr">
        <is>
          <t>CPR</t>
        </is>
      </c>
      <c r="D4922" s="13" t="n">
        <v>32</v>
      </c>
      <c r="E4922" s="10">
        <f>IF(D4922&gt;0,VLOOKUP(OPERAC[[#This Row],[COD CART]],[1]!MatrizCortoLargoCyl[#All],3,0),"")</f>
        <v/>
      </c>
      <c r="F4922" s="13" t="inlineStr">
        <is>
          <t>DDD</t>
        </is>
      </c>
      <c r="G4922" s="6" t="n">
        <v>100</v>
      </c>
      <c r="H4922" s="6" t="n">
        <v>-1498.949</v>
      </c>
      <c r="I4922" s="7">
        <f>-H4922/G4922</f>
        <v/>
      </c>
      <c r="J4922" s="11" t="n">
        <v>44704</v>
      </c>
      <c r="K4922" s="6" t="n">
        <v>100</v>
      </c>
      <c r="L4922" s="6" t="n">
        <v>1001.601</v>
      </c>
      <c r="M4922" s="7">
        <f>IF(N4922=0,+L4922+H4922,0)</f>
        <v/>
      </c>
      <c r="N4922" s="7">
        <f>IF((+G4922-K4922)=0,0,+G4922-K4922)</f>
        <v/>
      </c>
      <c r="O4922" s="7">
        <f>IF(N4922=0,0,(L4922+H4922)/-N4922)</f>
        <v/>
      </c>
      <c r="P4922" s="7">
        <f>VLOOKUP(OPERAC[[#This Row],[especie]],[1]!ESPECIES[#All],6,0)</f>
        <v/>
      </c>
      <c r="Q4922" s="7">
        <f>IF(N4922&lt;&gt;0,P4922*N4922,0)</f>
        <v/>
      </c>
      <c r="R4922" s="8">
        <f>IF(Q4922&lt;&gt;0,Q4922+H4922+L4922,0)</f>
        <v/>
      </c>
      <c r="S4922" s="9">
        <f>VLOOKUP(OPERAC[[#This Row],[especie]],[1]!ESPECIES[#Data],9,FALSE)</f>
        <v/>
      </c>
    </row>
    <row r="4923">
      <c r="A4923" s="4" t="n">
        <v>13188</v>
      </c>
      <c r="B4923" s="5" t="n">
        <v>44649</v>
      </c>
      <c r="C4923" s="13" t="inlineStr">
        <is>
          <t>CPR</t>
        </is>
      </c>
      <c r="D4923" s="13" t="n">
        <v>32</v>
      </c>
      <c r="E4923" s="10">
        <f>IF(D4923&gt;0,VLOOKUP(OPERAC[[#This Row],[COD CART]],[1]!MatrizCortoLargoCyl[#All],3,0),"")</f>
        <v/>
      </c>
      <c r="F4923" s="13" t="inlineStr">
        <is>
          <t>DDD</t>
        </is>
      </c>
      <c r="G4923" s="6" t="n">
        <v>100</v>
      </c>
      <c r="H4923" s="6" t="n">
        <v>-1498.949</v>
      </c>
      <c r="I4923" s="7">
        <f>-H4923/G4923</f>
        <v/>
      </c>
      <c r="J4923" s="11" t="n">
        <v>44712</v>
      </c>
      <c r="K4923" s="6" t="n">
        <v>100</v>
      </c>
      <c r="L4923" s="6" t="n">
        <v>1115.438</v>
      </c>
      <c r="M4923" s="7">
        <f>IF(N4923=0,+L4923+H4923,0)</f>
        <v/>
      </c>
      <c r="N4923" s="7">
        <f>IF((+G4923-K4923)=0,0,+G4923-K4923)</f>
        <v/>
      </c>
      <c r="O4923" s="7">
        <f>IF(N4923=0,0,(L4923+H4923)/-N4923)</f>
        <v/>
      </c>
      <c r="P4923" s="7">
        <f>VLOOKUP(OPERAC[[#This Row],[especie]],[1]!ESPECIES[#All],6,0)</f>
        <v/>
      </c>
      <c r="Q4923" s="7">
        <f>IF(N4923&lt;&gt;0,P4923*N4923,0)</f>
        <v/>
      </c>
      <c r="R4923" s="8">
        <f>IF(Q4923&lt;&gt;0,Q4923+H4923+L4923,0)</f>
        <v/>
      </c>
      <c r="S4923" s="9">
        <f>VLOOKUP(OPERAC[[#This Row],[especie]],[1]!ESPECIES[#Data],9,FALSE)</f>
        <v/>
      </c>
    </row>
    <row r="4924">
      <c r="A4924" s="4" t="n">
        <v>15189</v>
      </c>
      <c r="B4924" s="5" t="n">
        <v>44649</v>
      </c>
      <c r="C4924" s="13" t="inlineStr">
        <is>
          <t>CPR</t>
        </is>
      </c>
      <c r="D4924" s="13" t="n">
        <v>32</v>
      </c>
      <c r="E4924" s="10">
        <f>IF(D4924&gt;0,VLOOKUP(OPERAC[[#This Row],[COD CART]],[1]!MatrizCortoLargoCyl[#All],3,0),"")</f>
        <v/>
      </c>
      <c r="F4924" s="13" t="inlineStr">
        <is>
          <t>DDD</t>
        </is>
      </c>
      <c r="G4924" s="6" t="n">
        <v>100</v>
      </c>
      <c r="H4924" s="6" t="n">
        <v>-1498.949</v>
      </c>
      <c r="I4924" s="7">
        <f>-H4924/G4924</f>
        <v/>
      </c>
      <c r="J4924" s="11" t="n">
        <v>44704</v>
      </c>
      <c r="K4924" s="6" t="n">
        <v>100</v>
      </c>
      <c r="L4924" s="6" t="n">
        <v>1023.496</v>
      </c>
      <c r="M4924" s="7">
        <f>IF(N4924=0,+L4924+H4924,0)</f>
        <v/>
      </c>
      <c r="N4924" s="7">
        <f>IF((+G4924-K4924)=0,0,+G4924-K4924)</f>
        <v/>
      </c>
      <c r="O4924" s="7">
        <f>IF(N4924=0,0,(L4924+H4924)/-N4924)</f>
        <v/>
      </c>
      <c r="P4924" s="7">
        <f>VLOOKUP(OPERAC[[#This Row],[especie]],[1]!ESPECIES[#All],6,0)</f>
        <v/>
      </c>
      <c r="Q4924" s="7">
        <f>IF(N4924&lt;&gt;0,P4924*N4924,0)</f>
        <v/>
      </c>
      <c r="R4924" s="8">
        <f>IF(Q4924&lt;&gt;0,Q4924+H4924+L4924,0)</f>
        <v/>
      </c>
      <c r="S4924" s="9">
        <f>VLOOKUP(OPERAC[[#This Row],[especie]],[1]!ESPECIES[#Data],9,FALSE)</f>
        <v/>
      </c>
    </row>
    <row r="4925">
      <c r="A4925" s="4" t="n">
        <v>19867</v>
      </c>
      <c r="B4925" s="5" t="n">
        <v>44649</v>
      </c>
      <c r="C4925" s="13" t="inlineStr">
        <is>
          <t>CPR</t>
        </is>
      </c>
      <c r="D4925" s="13" t="n">
        <v>32</v>
      </c>
      <c r="E4925" s="10">
        <f>IF(D4925&gt;0,VLOOKUP(OPERAC[[#This Row],[COD CART]],[1]!MatrizCortoLargoCyl[#All],3,0),"")</f>
        <v/>
      </c>
      <c r="F4925" s="13" t="inlineStr">
        <is>
          <t>DDD</t>
        </is>
      </c>
      <c r="G4925" s="6" t="n">
        <v>100</v>
      </c>
      <c r="H4925" s="6" t="n">
        <v>-1498.949</v>
      </c>
      <c r="I4925" s="7">
        <f>-H4925/G4925</f>
        <v/>
      </c>
      <c r="J4925" s="11" t="n"/>
      <c r="K4925" s="6" t="n"/>
      <c r="L4925" s="6" t="n"/>
      <c r="M4925" s="7">
        <f>IF(N4925=0,+L4925+H4925,0)</f>
        <v/>
      </c>
      <c r="N4925" s="7">
        <f>IF((+G4925-K4925)=0,0,+G4925-K4925)</f>
        <v/>
      </c>
      <c r="O4925" s="7">
        <f>IF(N4925=0,0,(L4925+H4925)/-N4925)</f>
        <v/>
      </c>
      <c r="P4925" s="7">
        <f>VLOOKUP(OPERAC[[#This Row],[especie]],[1]!ESPECIES[#All],6,0)</f>
        <v/>
      </c>
      <c r="Q4925" s="7">
        <f>IF(N4925&lt;&gt;0,P4925*N4925,0)</f>
        <v/>
      </c>
      <c r="R4925" s="8">
        <f>IF(Q4925&lt;&gt;0,Q4925+H4925+L4925,0)</f>
        <v/>
      </c>
      <c r="S4925" s="9">
        <f>VLOOKUP(OPERAC[[#This Row],[especie]],[1]!ESPECIES[#Data],9,FALSE)</f>
        <v/>
      </c>
    </row>
    <row r="4926">
      <c r="A4926" s="4" t="n">
        <v>19920</v>
      </c>
      <c r="B4926" s="5" t="n">
        <v>44649</v>
      </c>
      <c r="C4926" s="13" t="inlineStr">
        <is>
          <t>CPR</t>
        </is>
      </c>
      <c r="D4926" s="13" t="n">
        <v>32</v>
      </c>
      <c r="E4926" s="10">
        <f>IF(D4926&gt;0,VLOOKUP(OPERAC[[#This Row],[COD CART]],[1]!MatrizCortoLargoCyl[#All],3,0),"")</f>
        <v/>
      </c>
      <c r="F4926" s="13" t="inlineStr">
        <is>
          <t>DDD</t>
        </is>
      </c>
      <c r="G4926" s="6" t="n">
        <v>100</v>
      </c>
      <c r="H4926" s="6" t="n">
        <v>-1498.949</v>
      </c>
      <c r="I4926" s="7">
        <f>-H4926/G4926</f>
        <v/>
      </c>
      <c r="J4926" s="11" t="n"/>
      <c r="K4926" s="6" t="n"/>
      <c r="L4926" s="6" t="n"/>
      <c r="M4926" s="7">
        <f>IF(N4926=0,+L4926+H4926,0)</f>
        <v/>
      </c>
      <c r="N4926" s="7">
        <f>IF((+G4926-K4926)=0,0,+G4926-K4926)</f>
        <v/>
      </c>
      <c r="O4926" s="7">
        <f>IF(N4926=0,0,(L4926+H4926)/-N4926)</f>
        <v/>
      </c>
      <c r="P4926" s="7">
        <f>VLOOKUP(OPERAC[[#This Row],[especie]],[1]!ESPECIES[#All],6,0)</f>
        <v/>
      </c>
      <c r="Q4926" s="7">
        <f>IF(N4926&lt;&gt;0,P4926*N4926,0)</f>
        <v/>
      </c>
      <c r="R4926" s="8">
        <f>IF(Q4926&lt;&gt;0,Q4926+H4926+L4926,0)</f>
        <v/>
      </c>
      <c r="S4926" s="9">
        <f>VLOOKUP(OPERAC[[#This Row],[especie]],[1]!ESPECIES[#Data],9,FALSE)</f>
        <v/>
      </c>
    </row>
    <row r="4927">
      <c r="A4927" s="4" t="n">
        <v>1792</v>
      </c>
      <c r="B4927" s="5" t="n">
        <v>44649</v>
      </c>
      <c r="C4927" s="13" t="inlineStr">
        <is>
          <t>CPR</t>
        </is>
      </c>
      <c r="D4927" s="13" t="n">
        <v>32</v>
      </c>
      <c r="E4927" s="10">
        <f>IF(D4927&gt;0,VLOOKUP(OPERAC[[#This Row],[COD CART]],[1]!MatrizCortoLargoCyl[#All],3,0),"")</f>
        <v/>
      </c>
      <c r="F4927" s="13" t="inlineStr">
        <is>
          <t>DDD</t>
        </is>
      </c>
      <c r="G4927" s="6" t="n">
        <v>100</v>
      </c>
      <c r="H4927" s="6" t="n">
        <v>-1498.949</v>
      </c>
      <c r="I4927" s="7">
        <f>-H4927/G4927</f>
        <v/>
      </c>
      <c r="J4927" s="11" t="n">
        <v>44704</v>
      </c>
      <c r="K4927" s="6" t="n">
        <v>100</v>
      </c>
      <c r="L4927" s="6" t="n">
        <v>1001.6</v>
      </c>
      <c r="M4927" s="7">
        <f>IF(N4927=0,+L4927+H4927,0)</f>
        <v/>
      </c>
      <c r="N4927" s="7">
        <f>IF((+G4927-K4927)=0,0,+G4927-K4927)</f>
        <v/>
      </c>
      <c r="O4927" s="7">
        <f>IF(N4927=0,0,(L4927+H4927)/-N4927)</f>
        <v/>
      </c>
      <c r="P4927" s="7">
        <f>VLOOKUP(OPERAC[[#This Row],[especie]],[1]!ESPECIES[#All],6,0)</f>
        <v/>
      </c>
      <c r="Q4927" s="7">
        <f>IF(N4927&lt;&gt;0,P4927*N4927,0)</f>
        <v/>
      </c>
      <c r="R4927" s="8">
        <f>IF(Q4927&lt;&gt;0,Q4927+H4927+L4927,0)</f>
        <v/>
      </c>
      <c r="S4927" s="9">
        <f>VLOOKUP(OPERAC[[#This Row],[especie]],[1]!ESPECIES[#Data],9,FALSE)</f>
        <v/>
      </c>
    </row>
    <row r="4928">
      <c r="A4928" s="4" t="n">
        <v>10079</v>
      </c>
      <c r="B4928" s="5" t="n">
        <v>44649</v>
      </c>
      <c r="C4928" s="13" t="inlineStr">
        <is>
          <t>CPR</t>
        </is>
      </c>
      <c r="D4928" s="13" t="n">
        <v>32</v>
      </c>
      <c r="E4928" s="10">
        <f>IF(D4928&gt;0,VLOOKUP(OPERAC[[#This Row],[COD CART]],[1]!MatrizCortoLargoCyl[#All],3,0),"")</f>
        <v/>
      </c>
      <c r="F4928" s="13" t="inlineStr">
        <is>
          <t>DDD</t>
        </is>
      </c>
      <c r="G4928" s="6" t="n">
        <v>100</v>
      </c>
      <c r="H4928" s="6" t="n">
        <v>-1498.949</v>
      </c>
      <c r="I4928" s="7">
        <f>-H4928/G4928</f>
        <v/>
      </c>
      <c r="J4928" s="11" t="n">
        <v>44704</v>
      </c>
      <c r="K4928" s="6" t="n">
        <v>100</v>
      </c>
      <c r="L4928" s="6">
        <f>+OPERAC[[#This Row],[cantidad venta]]*10.016</f>
        <v/>
      </c>
      <c r="M4928" s="7">
        <f>IF(N4928=0,+L4928+H4928,0)</f>
        <v/>
      </c>
      <c r="N4928" s="7">
        <f>IF((+G4928-K4928)=0,0,+G4928-K4928)</f>
        <v/>
      </c>
      <c r="O4928" s="7">
        <f>IF(N4928=0,0,(L4928+H4928)/-N4928)</f>
        <v/>
      </c>
      <c r="P4928" s="7">
        <f>VLOOKUP(OPERAC[[#This Row],[especie]],[1]!ESPECIES[#All],6,0)</f>
        <v/>
      </c>
      <c r="Q4928" s="7">
        <f>IF(N4928&lt;&gt;0,P4928*N4928,0)</f>
        <v/>
      </c>
      <c r="R4928" s="8">
        <f>IF(Q4928&lt;&gt;0,Q4928+H4928+L4928,0)</f>
        <v/>
      </c>
      <c r="S4928" s="9">
        <f>VLOOKUP(OPERAC[[#This Row],[especie]],[1]!ESPECIES[#Data],9,FALSE)</f>
        <v/>
      </c>
    </row>
    <row r="4929">
      <c r="A4929" s="4" t="n">
        <v>12655</v>
      </c>
      <c r="B4929" s="5" t="n">
        <v>44649</v>
      </c>
      <c r="C4929" s="13" t="inlineStr">
        <is>
          <t>CPR</t>
        </is>
      </c>
      <c r="D4929" s="13" t="n">
        <v>32</v>
      </c>
      <c r="E4929" s="10">
        <f>IF(D4929&gt;0,VLOOKUP(OPERAC[[#This Row],[COD CART]],[1]!MatrizCortoLargoCyl[#All],3,0),"")</f>
        <v/>
      </c>
      <c r="F4929" s="13" t="inlineStr">
        <is>
          <t>DDD</t>
        </is>
      </c>
      <c r="G4929" s="6" t="n">
        <v>100</v>
      </c>
      <c r="H4929" s="6" t="n">
        <v>-1498.949</v>
      </c>
      <c r="I4929" s="7">
        <f>-H4929/G4929</f>
        <v/>
      </c>
      <c r="J4929" s="11" t="n"/>
      <c r="K4929" s="6" t="n"/>
      <c r="L4929" s="6" t="n"/>
      <c r="M4929" s="7">
        <f>IF(N4929=0,+L4929+H4929,0)</f>
        <v/>
      </c>
      <c r="N4929" s="7">
        <f>IF((+G4929-K4929)=0,0,+G4929-K4929)</f>
        <v/>
      </c>
      <c r="O4929" s="7">
        <f>IF(N4929=0,0,(L4929+H4929)/-N4929)</f>
        <v/>
      </c>
      <c r="P4929" s="7">
        <f>VLOOKUP(OPERAC[[#This Row],[especie]],[1]!ESPECIES[#All],6,0)</f>
        <v/>
      </c>
      <c r="Q4929" s="7">
        <f>IF(N4929&lt;&gt;0,P4929*N4929,0)</f>
        <v/>
      </c>
      <c r="R4929" s="8">
        <f>IF(Q4929&lt;&gt;0,Q4929+H4929+L4929,0)</f>
        <v/>
      </c>
      <c r="S4929" s="9">
        <f>VLOOKUP(OPERAC[[#This Row],[especie]],[1]!ESPECIES[#Data],9,FALSE)</f>
        <v/>
      </c>
    </row>
    <row r="4930">
      <c r="A4930" s="4" t="n">
        <v>12662</v>
      </c>
      <c r="B4930" s="5" t="n">
        <v>44649</v>
      </c>
      <c r="C4930" s="13" t="inlineStr">
        <is>
          <t>CPR</t>
        </is>
      </c>
      <c r="D4930" s="13" t="n">
        <v>32</v>
      </c>
      <c r="E4930" s="10">
        <f>IF(D4930&gt;0,VLOOKUP(OPERAC[[#This Row],[COD CART]],[1]!MatrizCortoLargoCyl[#All],3,0),"")</f>
        <v/>
      </c>
      <c r="F4930" s="13" t="inlineStr">
        <is>
          <t>DDD</t>
        </is>
      </c>
      <c r="G4930" s="6" t="n">
        <v>100</v>
      </c>
      <c r="H4930" s="6" t="n">
        <v>-1498.949</v>
      </c>
      <c r="I4930" s="7">
        <f>-H4930/G4930</f>
        <v/>
      </c>
      <c r="J4930" s="11" t="n"/>
      <c r="K4930" s="6" t="n"/>
      <c r="L4930" s="6" t="n"/>
      <c r="M4930" s="7">
        <f>IF(N4930=0,+L4930+H4930,0)</f>
        <v/>
      </c>
      <c r="N4930" s="7">
        <f>IF((+G4930-K4930)=0,0,+G4930-K4930)</f>
        <v/>
      </c>
      <c r="O4930" s="7">
        <f>IF(N4930=0,0,(L4930+H4930)/-N4930)</f>
        <v/>
      </c>
      <c r="P4930" s="7">
        <f>VLOOKUP(OPERAC[[#This Row],[especie]],[1]!ESPECIES[#All],6,0)</f>
        <v/>
      </c>
      <c r="Q4930" s="7">
        <f>IF(N4930&lt;&gt;0,P4930*N4930,0)</f>
        <v/>
      </c>
      <c r="R4930" s="8">
        <f>IF(Q4930&lt;&gt;0,Q4930+H4930+L4930,0)</f>
        <v/>
      </c>
      <c r="S4930" s="9">
        <f>VLOOKUP(OPERAC[[#This Row],[especie]],[1]!ESPECIES[#Data],9,FALSE)</f>
        <v/>
      </c>
    </row>
    <row r="4931">
      <c r="A4931" s="4" t="n">
        <v>15195</v>
      </c>
      <c r="B4931" s="5" t="n">
        <v>44649</v>
      </c>
      <c r="C4931" s="13" t="inlineStr">
        <is>
          <t>CPR</t>
        </is>
      </c>
      <c r="D4931" s="13" t="n">
        <v>32</v>
      </c>
      <c r="E4931" s="10">
        <f>IF(D4931&gt;0,VLOOKUP(OPERAC[[#This Row],[COD CART]],[1]!MatrizCortoLargoCyl[#All],3,0),"")</f>
        <v/>
      </c>
      <c r="F4931" s="13" t="inlineStr">
        <is>
          <t>DDD</t>
        </is>
      </c>
      <c r="G4931" s="6" t="n">
        <v>100</v>
      </c>
      <c r="H4931" s="6" t="n">
        <v>-1498.949</v>
      </c>
      <c r="I4931" s="7">
        <f>-H4931/G4931</f>
        <v/>
      </c>
      <c r="J4931" s="11" t="n">
        <v>44704</v>
      </c>
      <c r="K4931" s="6" t="n">
        <v>100</v>
      </c>
      <c r="L4931" s="6" t="n">
        <v>1023.496</v>
      </c>
      <c r="M4931" s="7">
        <f>IF(N4931=0,+L4931+H4931,0)</f>
        <v/>
      </c>
      <c r="N4931" s="7">
        <f>IF((+G4931-K4931)=0,0,+G4931-K4931)</f>
        <v/>
      </c>
      <c r="O4931" s="7">
        <f>IF(N4931=0,0,(L4931+H4931)/-N4931)</f>
        <v/>
      </c>
      <c r="P4931" s="7">
        <f>VLOOKUP(OPERAC[[#This Row],[especie]],[1]!ESPECIES[#All],6,0)</f>
        <v/>
      </c>
      <c r="Q4931" s="7">
        <f>IF(N4931&lt;&gt;0,P4931*N4931,0)</f>
        <v/>
      </c>
      <c r="R4931" s="8">
        <f>IF(Q4931&lt;&gt;0,Q4931+H4931+L4931,0)</f>
        <v/>
      </c>
      <c r="S4931" s="9">
        <f>VLOOKUP(OPERAC[[#This Row],[especie]],[1]!ESPECIES[#Data],9,FALSE)</f>
        <v/>
      </c>
    </row>
    <row r="4932">
      <c r="A4932" s="4" t="n">
        <v>16783</v>
      </c>
      <c r="B4932" s="5" t="n">
        <v>44649</v>
      </c>
      <c r="C4932" s="13" t="inlineStr">
        <is>
          <t>CPR</t>
        </is>
      </c>
      <c r="D4932" s="13" t="n">
        <v>32</v>
      </c>
      <c r="E4932" s="10">
        <f>IF(D4932&gt;0,VLOOKUP(OPERAC[[#This Row],[COD CART]],[1]!MatrizCortoLargoCyl[#All],3,0),"")</f>
        <v/>
      </c>
      <c r="F4932" s="13" t="inlineStr">
        <is>
          <t>DDD</t>
        </is>
      </c>
      <c r="G4932" s="6" t="n">
        <v>100</v>
      </c>
      <c r="H4932" s="6" t="n">
        <v>-1498.949</v>
      </c>
      <c r="I4932" s="7">
        <f>-H4932/G4932</f>
        <v/>
      </c>
      <c r="J4932" s="11" t="n"/>
      <c r="K4932" s="6" t="n"/>
      <c r="L4932" s="6" t="n"/>
      <c r="M4932" s="7">
        <f>IF(N4932=0,+L4932+H4932,0)</f>
        <v/>
      </c>
      <c r="N4932" s="7">
        <f>IF((+G4932-K4932)=0,0,+G4932-K4932)</f>
        <v/>
      </c>
      <c r="O4932" s="7">
        <f>IF(N4932=0,0,(L4932+H4932)/-N4932)</f>
        <v/>
      </c>
      <c r="P4932" s="7">
        <f>VLOOKUP(OPERAC[[#This Row],[especie]],[1]!ESPECIES[#All],6,0)</f>
        <v/>
      </c>
      <c r="Q4932" s="7">
        <f>IF(N4932&lt;&gt;0,P4932*N4932,0)</f>
        <v/>
      </c>
      <c r="R4932" s="8">
        <f>IF(Q4932&lt;&gt;0,Q4932+H4932+L4932,0)</f>
        <v/>
      </c>
      <c r="S4932" s="9">
        <f>VLOOKUP(OPERAC[[#This Row],[especie]],[1]!ESPECIES[#Data],9,FALSE)</f>
        <v/>
      </c>
    </row>
    <row r="4933">
      <c r="A4933" s="4" t="n">
        <v>18690</v>
      </c>
      <c r="B4933" s="5" t="n">
        <v>44649</v>
      </c>
      <c r="C4933" s="13" t="inlineStr">
        <is>
          <t>CPR</t>
        </is>
      </c>
      <c r="D4933" s="13" t="n">
        <v>32</v>
      </c>
      <c r="E4933" s="10">
        <f>IF(D4933&gt;0,VLOOKUP(OPERAC[[#This Row],[COD CART]],[1]!MatrizCortoLargoCyl[#All],3,0),"")</f>
        <v/>
      </c>
      <c r="F4933" s="13" t="inlineStr">
        <is>
          <t>DDD</t>
        </is>
      </c>
      <c r="G4933" s="6" t="n">
        <v>100</v>
      </c>
      <c r="H4933" s="6" t="n">
        <v>-1498.949</v>
      </c>
      <c r="I4933" s="7">
        <f>-H4933/G4933</f>
        <v/>
      </c>
      <c r="J4933" s="11" t="n">
        <v>44705</v>
      </c>
      <c r="K4933" s="6" t="n">
        <v>100</v>
      </c>
      <c r="L4933" s="6" t="n">
        <v>995.48</v>
      </c>
      <c r="M4933" s="7">
        <f>IF(N4933=0,+L4933+H4933,0)</f>
        <v/>
      </c>
      <c r="N4933" s="7">
        <f>IF((+G4933-K4933)=0,0,+G4933-K4933)</f>
        <v/>
      </c>
      <c r="O4933" s="7">
        <f>IF(N4933=0,0,(L4933+H4933)/-N4933)</f>
        <v/>
      </c>
      <c r="P4933" s="7">
        <f>VLOOKUP(OPERAC[[#This Row],[especie]],[1]!ESPECIES[#All],6,0)</f>
        <v/>
      </c>
      <c r="Q4933" s="7">
        <f>IF(N4933&lt;&gt;0,P4933*N4933,0)</f>
        <v/>
      </c>
      <c r="R4933" s="8">
        <f>IF(Q4933&lt;&gt;0,Q4933+H4933+L4933,0)</f>
        <v/>
      </c>
      <c r="S4933" s="9">
        <f>VLOOKUP(OPERAC[[#This Row],[especie]],[1]!ESPECIES[#Data],9,FALSE)</f>
        <v/>
      </c>
    </row>
    <row r="4934">
      <c r="A4934" s="4" t="n">
        <v>16783</v>
      </c>
      <c r="B4934" s="5" t="n">
        <v>44558</v>
      </c>
      <c r="C4934" s="13" t="inlineStr">
        <is>
          <t>CPR</t>
        </is>
      </c>
      <c r="D4934" s="13" t="n">
        <v>40</v>
      </c>
      <c r="E4934" s="10">
        <f>IF(D4934&gt;0,VLOOKUP(OPERAC[[#This Row],[COD CART]],[1]!MatrizCortoLargoCyl[#All],3,0),"")</f>
        <v/>
      </c>
      <c r="F4934" s="13" t="inlineStr">
        <is>
          <t>UPST</t>
        </is>
      </c>
      <c r="G4934" s="6" t="n">
        <v>10</v>
      </c>
      <c r="H4934" s="6" t="n">
        <v>-1500.026</v>
      </c>
      <c r="I4934" s="7">
        <f>-H4934/G4934</f>
        <v/>
      </c>
      <c r="J4934" s="11" t="n">
        <v>44606</v>
      </c>
      <c r="K4934" s="6">
        <f>+OPERAC[[#This Row],[cantidad]]</f>
        <v/>
      </c>
      <c r="L4934" s="6">
        <f>+OPERAC[[#This Row],[cantidad venta]]*98.994</f>
        <v/>
      </c>
      <c r="M4934" s="7">
        <f>IF(N4934=0,+L4934+H4934,0)</f>
        <v/>
      </c>
      <c r="N4934" s="7">
        <f>IF((+G4934-K4934)=0,0,+G4934-K4934)</f>
        <v/>
      </c>
      <c r="O4934" s="7">
        <f>IF(N4934=0,0,(L4934+H4934)/-N4934)</f>
        <v/>
      </c>
      <c r="P4934" s="7">
        <f>VLOOKUP(OPERAC[[#This Row],[especie]],[1]!ESPECIES[#All],6,0)</f>
        <v/>
      </c>
      <c r="Q4934" s="7">
        <f>IF(N4934&lt;&gt;0,P4934*N4934,0)</f>
        <v/>
      </c>
      <c r="R4934" s="8">
        <f>IF(Q4934&lt;&gt;0,Q4934+H4934+L4934,0)</f>
        <v/>
      </c>
      <c r="S4934" s="9">
        <f>VLOOKUP(OPERAC[[#This Row],[especie]],[1]!ESPECIES[#Data],9,FALSE)</f>
        <v/>
      </c>
    </row>
    <row r="4935">
      <c r="A4935" s="4" t="n">
        <v>3728</v>
      </c>
      <c r="B4935" s="5" t="n">
        <v>44116</v>
      </c>
      <c r="C4935" s="13" t="inlineStr">
        <is>
          <t>CPR</t>
        </is>
      </c>
      <c r="D4935" s="13" t="n">
        <v>31</v>
      </c>
      <c r="E4935" s="10">
        <f>IF(D4935&gt;0,VLOOKUP(OPERAC[[#This Row],[COD CART]],[1]!MatrizCortoLargoCyl[#All],3,0),"")</f>
        <v/>
      </c>
      <c r="F4935" s="13" t="inlineStr">
        <is>
          <t>HEOFF</t>
        </is>
      </c>
      <c r="G4935" s="6" t="n">
        <v>1000</v>
      </c>
      <c r="H4935" s="6" t="n">
        <v>-1502</v>
      </c>
      <c r="I4935" s="7">
        <f>-H4935/G4935</f>
        <v/>
      </c>
      <c r="J4935" s="11" t="n"/>
      <c r="K4935" s="6" t="n"/>
      <c r="L4935" s="6" t="n"/>
      <c r="M4935" s="7">
        <f>IF(N4935=0,+L4935+H4935,0)</f>
        <v/>
      </c>
      <c r="N4935" s="7">
        <f>IF((+G4935-K4935)=0,0,+G4935-K4935)</f>
        <v/>
      </c>
      <c r="O4935" s="7">
        <f>IF(N4935=0,0,(L4935+H4935)/-N4935)</f>
        <v/>
      </c>
      <c r="P4935" s="7">
        <f>VLOOKUP(OPERAC[[#This Row],[especie]],[1]!ESPECIES[#All],6,0)</f>
        <v/>
      </c>
      <c r="Q4935" s="7">
        <f>IF(N4935&lt;&gt;0,P4935*N4935,0)</f>
        <v/>
      </c>
      <c r="R4935" s="8">
        <f>IF(Q4935&lt;&gt;0,Q4935+H4935+L4935,0)</f>
        <v/>
      </c>
      <c r="S4935" s="9">
        <f>VLOOKUP(OPERAC[[#This Row],[especie]],[1]!ESPECIES[#Data],9,FALSE)</f>
        <v/>
      </c>
    </row>
    <row r="4936">
      <c r="A4936" s="4" t="n">
        <v>6578</v>
      </c>
      <c r="B4936" s="5" t="n">
        <v>44579</v>
      </c>
      <c r="C4936" s="13" t="inlineStr">
        <is>
          <t>CPR</t>
        </is>
      </c>
      <c r="D4936" s="13" t="n">
        <v>40</v>
      </c>
      <c r="E4936" s="10">
        <f>IF(D4936&gt;0,VLOOKUP(OPERAC[[#This Row],[COD CART]],[1]!MatrizCortoLargoCyl[#All],3,0),"")</f>
        <v/>
      </c>
      <c r="F4936" s="13" t="inlineStr">
        <is>
          <t>VLY</t>
        </is>
      </c>
      <c r="G4936" s="6" t="n">
        <v>100</v>
      </c>
      <c r="H4936" s="6" t="n">
        <v>-1504.44</v>
      </c>
      <c r="I4936" s="7">
        <f>-H4936/G4936</f>
        <v/>
      </c>
      <c r="J4936" s="11" t="n">
        <v>44606</v>
      </c>
      <c r="K4936" s="6">
        <f>+OPERAC[[#This Row],[cantidad]]</f>
        <v/>
      </c>
      <c r="L4936" s="6">
        <f>+OPERAC[[#This Row],[cantidad venta]]*14.121</f>
        <v/>
      </c>
      <c r="M4936" s="7">
        <f>IF(N4936=0,+L4936+H4936,0)</f>
        <v/>
      </c>
      <c r="N4936" s="7">
        <f>IF((+G4936-K4936)=0,0,+G4936-K4936)</f>
        <v/>
      </c>
      <c r="O4936" s="7">
        <f>IF(N4936=0,0,(L4936+H4936)/-N4936)</f>
        <v/>
      </c>
      <c r="P4936" s="7">
        <f>VLOOKUP(OPERAC[[#This Row],[especie]],[1]!ESPECIES[#All],6,0)</f>
        <v/>
      </c>
      <c r="Q4936" s="7">
        <f>IF(N4936&lt;&gt;0,P4936*N4936,0)</f>
        <v/>
      </c>
      <c r="R4936" s="8">
        <f>IF(Q4936&lt;&gt;0,Q4936+H4936+L4936,0)</f>
        <v/>
      </c>
      <c r="S4936" s="9">
        <f>VLOOKUP(OPERAC[[#This Row],[especie]],[1]!ESPECIES[#Data],9,FALSE)</f>
        <v/>
      </c>
    </row>
    <row r="4937">
      <c r="A4937" s="4" t="n">
        <v>15194</v>
      </c>
      <c r="B4937" s="5" t="n">
        <v>44579</v>
      </c>
      <c r="C4937" s="13" t="inlineStr">
        <is>
          <t>CPR</t>
        </is>
      </c>
      <c r="D4937" s="13" t="n">
        <v>40</v>
      </c>
      <c r="E4937" s="10">
        <f>IF(D4937&gt;0,VLOOKUP(OPERAC[[#This Row],[COD CART]],[1]!MatrizCortoLargoCyl[#All],3,0),"")</f>
        <v/>
      </c>
      <c r="F4937" s="13" t="inlineStr">
        <is>
          <t>VLY</t>
        </is>
      </c>
      <c r="G4937" s="6" t="n">
        <v>100</v>
      </c>
      <c r="H4937" s="6" t="n">
        <v>-1504.44</v>
      </c>
      <c r="I4937" s="7">
        <f>-H4937/G4937</f>
        <v/>
      </c>
      <c r="J4937" s="11" t="n">
        <v>44606</v>
      </c>
      <c r="K4937" s="6">
        <f>+OPERAC[[#This Row],[cantidad]]</f>
        <v/>
      </c>
      <c r="L4937" s="6">
        <f>+OPERAC[[#This Row],[cantidad venta]]*14.121</f>
        <v/>
      </c>
      <c r="M4937" s="7">
        <f>IF(N4937=0,+L4937+H4937,0)</f>
        <v/>
      </c>
      <c r="N4937" s="7">
        <f>IF((+G4937-K4937)=0,0,+G4937-K4937)</f>
        <v/>
      </c>
      <c r="O4937" s="7">
        <f>IF(N4937=0,0,(L4937+H4937)/-N4937)</f>
        <v/>
      </c>
      <c r="P4937" s="7">
        <f>VLOOKUP(OPERAC[[#This Row],[especie]],[1]!ESPECIES[#All],6,0)</f>
        <v/>
      </c>
      <c r="Q4937" s="7">
        <f>IF(N4937&lt;&gt;0,P4937*N4937,0)</f>
        <v/>
      </c>
      <c r="R4937" s="8">
        <f>IF(Q4937&lt;&gt;0,Q4937+H4937+L4937,0)</f>
        <v/>
      </c>
      <c r="S4937" s="9">
        <f>VLOOKUP(OPERAC[[#This Row],[especie]],[1]!ESPECIES[#Data],9,FALSE)</f>
        <v/>
      </c>
    </row>
    <row r="4938">
      <c r="A4938" s="4" t="n">
        <v>12022</v>
      </c>
      <c r="B4938" s="5" t="n">
        <v>44680</v>
      </c>
      <c r="C4938" s="13" t="inlineStr">
        <is>
          <t>CPR</t>
        </is>
      </c>
      <c r="D4938" s="13" t="n">
        <v>32</v>
      </c>
      <c r="E4938" s="10">
        <f>IF(D4938&gt;0,VLOOKUP(OPERAC[[#This Row],[COD CART]],[1]!MatrizCortoLargoCyl[#All],3,0),"")</f>
        <v/>
      </c>
      <c r="F4938" s="13" t="inlineStr">
        <is>
          <t>COTY/CYL/8,00/24-06-22</t>
        </is>
      </c>
      <c r="G4938" s="6" t="n">
        <v>200</v>
      </c>
      <c r="H4938" s="6">
        <f>-1512.41+7.932</f>
        <v/>
      </c>
      <c r="I4938" s="7">
        <f>-H4938/G4938</f>
        <v/>
      </c>
      <c r="J4938" s="11" t="n"/>
      <c r="K4938" s="6" t="n"/>
      <c r="L4938" s="6" t="n"/>
      <c r="M4938" s="7">
        <f>IF(N4938=0,+L4938+H4938,0)</f>
        <v/>
      </c>
      <c r="N4938" s="7">
        <f>IF((+G4938-K4938)=0,0,+G4938-K4938)</f>
        <v/>
      </c>
      <c r="O4938" s="7">
        <f>IF(N4938=0,0,(L4938+H4938)/-N4938)</f>
        <v/>
      </c>
      <c r="P4938" s="7">
        <f>VLOOKUP(OPERAC[[#This Row],[especie]],[1]!ESPECIES[#All],6,0)</f>
        <v/>
      </c>
      <c r="Q4938" s="7">
        <f>IF(N4938&lt;&gt;0,P4938*N4938,0)</f>
        <v/>
      </c>
      <c r="R4938" s="8">
        <f>IF(Q4938&lt;&gt;0,Q4938+H4938+L4938,0)</f>
        <v/>
      </c>
      <c r="S4938" s="9">
        <f>VLOOKUP(OPERAC[[#This Row],[especie]],[1]!ESPECIES[#Data],9,FALSE)</f>
        <v/>
      </c>
    </row>
    <row r="4939">
      <c r="A4939" s="4" t="n">
        <v>2257</v>
      </c>
      <c r="B4939" s="5" t="n">
        <v>44680</v>
      </c>
      <c r="C4939" s="13" t="inlineStr">
        <is>
          <t>CPR</t>
        </is>
      </c>
      <c r="D4939" s="13" t="n">
        <v>32</v>
      </c>
      <c r="E4939" s="10">
        <f>IF(D4939&gt;0,VLOOKUP(OPERAC[[#This Row],[COD CART]],[1]!MatrizCortoLargoCyl[#All],3,0),"")</f>
        <v/>
      </c>
      <c r="F4939" s="13" t="inlineStr">
        <is>
          <t>COTY/CYL/8,00/24-06-22</t>
        </is>
      </c>
      <c r="G4939" s="6" t="n">
        <v>200</v>
      </c>
      <c r="H4939" s="6">
        <f>-1512.41+7.932</f>
        <v/>
      </c>
      <c r="I4939" s="7">
        <f>-H4939/G4939</f>
        <v/>
      </c>
      <c r="J4939" s="11" t="n"/>
      <c r="K4939" s="6" t="n"/>
      <c r="L4939" s="6" t="n"/>
      <c r="M4939" s="7">
        <f>IF(N4939=0,+L4939+H4939,0)</f>
        <v/>
      </c>
      <c r="N4939" s="7">
        <f>IF((+G4939-K4939)=0,0,+G4939-K4939)</f>
        <v/>
      </c>
      <c r="O4939" s="7">
        <f>IF(N4939=0,0,(L4939+H4939)/-N4939)</f>
        <v/>
      </c>
      <c r="P4939" s="7">
        <f>VLOOKUP(OPERAC[[#This Row],[especie]],[1]!ESPECIES[#All],6,0)</f>
        <v/>
      </c>
      <c r="Q4939" s="7">
        <f>IF(N4939&lt;&gt;0,P4939*N4939,0)</f>
        <v/>
      </c>
      <c r="R4939" s="8">
        <f>IF(Q4939&lt;&gt;0,Q4939+H4939+L4939,0)</f>
        <v/>
      </c>
      <c r="S4939" s="9">
        <f>VLOOKUP(OPERAC[[#This Row],[especie]],[1]!ESPECIES[#Data],9,FALSE)</f>
        <v/>
      </c>
    </row>
    <row r="4940">
      <c r="A4940" s="4" t="n">
        <v>12662</v>
      </c>
      <c r="B4940" s="5" t="n">
        <v>44680</v>
      </c>
      <c r="C4940" s="13" t="inlineStr">
        <is>
          <t>CPR</t>
        </is>
      </c>
      <c r="D4940" s="13" t="n">
        <v>32</v>
      </c>
      <c r="E4940" s="10">
        <f>IF(D4940&gt;0,VLOOKUP(OPERAC[[#This Row],[COD CART]],[1]!MatrizCortoLargoCyl[#All],3,0),"")</f>
        <v/>
      </c>
      <c r="F4940" s="13" t="inlineStr">
        <is>
          <t>COTY/CYL/8,00/24-06-22</t>
        </is>
      </c>
      <c r="G4940" s="6" t="n">
        <v>200</v>
      </c>
      <c r="H4940" s="6">
        <f>-1512.41+7.932</f>
        <v/>
      </c>
      <c r="I4940" s="7">
        <f>-H4940/G4940</f>
        <v/>
      </c>
      <c r="J4940" s="11" t="n"/>
      <c r="K4940" s="6" t="n"/>
      <c r="L4940" s="6" t="n"/>
      <c r="M4940" s="7">
        <f>IF(N4940=0,+L4940+H4940,0)</f>
        <v/>
      </c>
      <c r="N4940" s="7">
        <f>IF((+G4940-K4940)=0,0,+G4940-K4940)</f>
        <v/>
      </c>
      <c r="O4940" s="7">
        <f>IF(N4940=0,0,(L4940+H4940)/-N4940)</f>
        <v/>
      </c>
      <c r="P4940" s="7">
        <f>VLOOKUP(OPERAC[[#This Row],[especie]],[1]!ESPECIES[#All],6,0)</f>
        <v/>
      </c>
      <c r="Q4940" s="7">
        <f>IF(N4940&lt;&gt;0,P4940*N4940,0)</f>
        <v/>
      </c>
      <c r="R4940" s="8">
        <f>IF(Q4940&lt;&gt;0,Q4940+H4940+L4940,0)</f>
        <v/>
      </c>
      <c r="S4940" s="9">
        <f>VLOOKUP(OPERAC[[#This Row],[especie]],[1]!ESPECIES[#Data],9,FALSE)</f>
        <v/>
      </c>
    </row>
    <row r="4941">
      <c r="A4941" s="4" t="n">
        <v>13246</v>
      </c>
      <c r="B4941" s="5" t="n">
        <v>44680</v>
      </c>
      <c r="C4941" s="13" t="inlineStr">
        <is>
          <t>CPR</t>
        </is>
      </c>
      <c r="D4941" s="13" t="n">
        <v>32</v>
      </c>
      <c r="E4941" s="10">
        <f>IF(D4941&gt;0,VLOOKUP(OPERAC[[#This Row],[COD CART]],[1]!MatrizCortoLargoCyl[#All],3,0),"")</f>
        <v/>
      </c>
      <c r="F4941" s="13" t="inlineStr">
        <is>
          <t>COTY/CYL/9,00/17-06-22</t>
        </is>
      </c>
      <c r="G4941" s="6" t="n">
        <v>200</v>
      </c>
      <c r="H4941" s="6">
        <f>-1512.41+7.932</f>
        <v/>
      </c>
      <c r="I4941" s="7">
        <f>-H4941/G4941</f>
        <v/>
      </c>
      <c r="J4941" s="11" t="n"/>
      <c r="K4941" s="6" t="n"/>
      <c r="L4941" s="6" t="n"/>
      <c r="M4941" s="7">
        <f>IF(N4941=0,+L4941+H4941,0)</f>
        <v/>
      </c>
      <c r="N4941" s="7">
        <f>IF((+G4941-K4941)=0,0,+G4941-K4941)</f>
        <v/>
      </c>
      <c r="O4941" s="7">
        <f>IF(N4941=0,0,(L4941+H4941)/-N4941)</f>
        <v/>
      </c>
      <c r="P4941" s="7">
        <f>VLOOKUP(OPERAC[[#This Row],[especie]],[1]!ESPECIES[#All],6,0)</f>
        <v/>
      </c>
      <c r="Q4941" s="7">
        <f>IF(N4941&lt;&gt;0,P4941*N4941,0)</f>
        <v/>
      </c>
      <c r="R4941" s="8">
        <f>IF(Q4941&lt;&gt;0,Q4941+H4941+L4941,0)</f>
        <v/>
      </c>
      <c r="S4941" s="9">
        <f>VLOOKUP(OPERAC[[#This Row],[especie]],[1]!ESPECIES[#Data],9,FALSE)</f>
        <v/>
      </c>
    </row>
    <row r="4942">
      <c r="A4942" s="4" t="n">
        <v>2255</v>
      </c>
      <c r="B4942" s="5" t="n">
        <v>44259</v>
      </c>
      <c r="C4942" s="13" t="inlineStr">
        <is>
          <t>CPR</t>
        </is>
      </c>
      <c r="D4942" s="13" t="n">
        <v>41</v>
      </c>
      <c r="E4942" s="10">
        <f>IF(D4942&gt;0,VLOOKUP(OPERAC[[#This Row],[COD CART]],[1]!MatrizCortoLargoCyl[#All],3,0),"")</f>
        <v/>
      </c>
      <c r="F4942" s="13" t="inlineStr">
        <is>
          <t>MELI</t>
        </is>
      </c>
      <c r="G4942" s="6" t="n">
        <v>1</v>
      </c>
      <c r="H4942" s="6" t="n">
        <v>-1505.025</v>
      </c>
      <c r="I4942" s="7">
        <f>-H4942/G4942</f>
        <v/>
      </c>
      <c r="J4942" s="11" t="n"/>
      <c r="K4942" s="6" t="n"/>
      <c r="L4942" s="6" t="n"/>
      <c r="M4942" s="7">
        <f>IF(N4942=0,+L4942+H4942,0)</f>
        <v/>
      </c>
      <c r="N4942" s="7">
        <f>IF((+G4942-K4942)=0,0,+G4942-K4942)</f>
        <v/>
      </c>
      <c r="O4942" s="7">
        <f>IF(N4942=0,0,(L4942+H4942)/-N4942)</f>
        <v/>
      </c>
      <c r="P4942" s="7">
        <f>VLOOKUP(OPERAC[[#This Row],[especie]],[1]!ESPECIES[#All],6,0)</f>
        <v/>
      </c>
      <c r="Q4942" s="7">
        <f>IF(N4942&lt;&gt;0,P4942*N4942,0)</f>
        <v/>
      </c>
      <c r="R4942" s="8">
        <f>IF(Q4942&lt;&gt;0,Q4942+H4942+L4942,0)</f>
        <v/>
      </c>
      <c r="S4942" s="9">
        <f>VLOOKUP(OPERAC[[#This Row],[especie]],[1]!ESPECIES[#Data],9,FALSE)</f>
        <v/>
      </c>
    </row>
    <row r="4943">
      <c r="A4943" s="4" t="n">
        <v>13188</v>
      </c>
      <c r="B4943" s="5" t="n">
        <v>44259</v>
      </c>
      <c r="C4943" s="13" t="inlineStr">
        <is>
          <t>CPR</t>
        </is>
      </c>
      <c r="D4943" s="13" t="n">
        <v>41</v>
      </c>
      <c r="E4943" s="10">
        <f>IF(D4943&gt;0,VLOOKUP(OPERAC[[#This Row],[COD CART]],[1]!MatrizCortoLargoCyl[#All],3,0),"")</f>
        <v/>
      </c>
      <c r="F4943" s="13" t="inlineStr">
        <is>
          <t>MELI</t>
        </is>
      </c>
      <c r="G4943" s="6" t="n">
        <v>1</v>
      </c>
      <c r="H4943" s="6" t="n">
        <v>-1505.025</v>
      </c>
      <c r="I4943" s="7">
        <f>-H4943/G4943</f>
        <v/>
      </c>
      <c r="J4943" s="11" t="n"/>
      <c r="K4943" s="6" t="n"/>
      <c r="L4943" s="6" t="n"/>
      <c r="M4943" s="7">
        <f>IF(N4943=0,+L4943+H4943,0)</f>
        <v/>
      </c>
      <c r="N4943" s="7">
        <f>IF((+G4943-K4943)=0,0,+G4943-K4943)</f>
        <v/>
      </c>
      <c r="O4943" s="7">
        <f>IF(N4943=0,0,(L4943+H4943)/-N4943)</f>
        <v/>
      </c>
      <c r="P4943" s="7">
        <f>VLOOKUP(OPERAC[[#This Row],[especie]],[1]!ESPECIES[#All],6,0)</f>
        <v/>
      </c>
      <c r="Q4943" s="7">
        <f>IF(N4943&lt;&gt;0,P4943*N4943,0)</f>
        <v/>
      </c>
      <c r="R4943" s="8">
        <f>IF(Q4943&lt;&gt;0,Q4943+H4943+L4943,0)</f>
        <v/>
      </c>
      <c r="S4943" s="9">
        <f>VLOOKUP(OPERAC[[#This Row],[especie]],[1]!ESPECIES[#Data],9,FALSE)</f>
        <v/>
      </c>
    </row>
    <row r="4944">
      <c r="A4944" s="4" t="n">
        <v>15194</v>
      </c>
      <c r="B4944" s="5" t="n">
        <v>44558</v>
      </c>
      <c r="C4944" s="13" t="inlineStr">
        <is>
          <t>CPR</t>
        </is>
      </c>
      <c r="D4944" s="13" t="n">
        <v>40</v>
      </c>
      <c r="E4944" s="10">
        <f>IF(D4944&gt;0,VLOOKUP(OPERAC[[#This Row],[COD CART]],[1]!MatrizCortoLargoCyl[#All],3,0),"")</f>
        <v/>
      </c>
      <c r="F4944" s="13" t="inlineStr">
        <is>
          <t>UPST</t>
        </is>
      </c>
      <c r="G4944" s="6" t="n">
        <v>10</v>
      </c>
      <c r="H4944" s="6" t="n">
        <v>-1506.002</v>
      </c>
      <c r="I4944" s="7">
        <f>-H4944/G4944</f>
        <v/>
      </c>
      <c r="J4944" s="11" t="n">
        <v>44606</v>
      </c>
      <c r="K4944" s="6">
        <f>+OPERAC[[#This Row],[cantidad]]</f>
        <v/>
      </c>
      <c r="L4944" s="6">
        <f>+OPERAC[[#This Row],[cantidad venta]]*98.994</f>
        <v/>
      </c>
      <c r="M4944" s="7">
        <f>IF(N4944=0,+L4944+H4944,0)</f>
        <v/>
      </c>
      <c r="N4944" s="7">
        <f>IF((+G4944-K4944)=0,0,+G4944-K4944)</f>
        <v/>
      </c>
      <c r="O4944" s="7">
        <f>IF(N4944=0,0,(L4944+H4944)/-N4944)</f>
        <v/>
      </c>
      <c r="P4944" s="7">
        <f>VLOOKUP(OPERAC[[#This Row],[especie]],[1]!ESPECIES[#All],6,0)</f>
        <v/>
      </c>
      <c r="Q4944" s="7">
        <f>IF(N4944&lt;&gt;0,P4944*N4944,0)</f>
        <v/>
      </c>
      <c r="R4944" s="8">
        <f>IF(Q4944&lt;&gt;0,Q4944+H4944+L4944,0)</f>
        <v/>
      </c>
      <c r="S4944" s="9">
        <f>VLOOKUP(OPERAC[[#This Row],[especie]],[1]!ESPECIES[#Data],9,FALSE)</f>
        <v/>
      </c>
    </row>
    <row r="4945">
      <c r="A4945" s="4" t="n">
        <v>2253</v>
      </c>
      <c r="B4945" s="5" t="n">
        <v>44680</v>
      </c>
      <c r="C4945" s="13" t="inlineStr">
        <is>
          <t>CPR</t>
        </is>
      </c>
      <c r="D4945" s="13" t="n">
        <v>32</v>
      </c>
      <c r="E4945" s="10">
        <f>IF(D4945&gt;0,VLOOKUP(OPERAC[[#This Row],[COD CART]],[1]!MatrizCortoLargoCyl[#All],3,0),"")</f>
        <v/>
      </c>
      <c r="F4945" s="13" t="inlineStr">
        <is>
          <t>COTY/CYL/8,00/24-06-22</t>
        </is>
      </c>
      <c r="G4945" s="6" t="n">
        <v>200</v>
      </c>
      <c r="H4945" s="6">
        <f>-1512.41+3.966+1.98</f>
        <v/>
      </c>
      <c r="I4945" s="7">
        <f>-H4945/G4945</f>
        <v/>
      </c>
      <c r="J4945" s="11" t="n"/>
      <c r="K4945" s="6" t="n"/>
      <c r="L4945" s="6" t="n"/>
      <c r="M4945" s="7">
        <f>IF(N4945=0,+L4945+H4945,0)</f>
        <v/>
      </c>
      <c r="N4945" s="7">
        <f>IF((+G4945-K4945)=0,0,+G4945-K4945)</f>
        <v/>
      </c>
      <c r="O4945" s="7">
        <f>IF(N4945=0,0,(L4945+H4945)/-N4945)</f>
        <v/>
      </c>
      <c r="P4945" s="7">
        <f>VLOOKUP(OPERAC[[#This Row],[especie]],[1]!ESPECIES[#All],6,0)</f>
        <v/>
      </c>
      <c r="Q4945" s="7">
        <f>IF(N4945&lt;&gt;0,P4945*N4945,0)</f>
        <v/>
      </c>
      <c r="R4945" s="8">
        <f>IF(Q4945&lt;&gt;0,Q4945+H4945+L4945,0)</f>
        <v/>
      </c>
      <c r="S4945" s="9">
        <f>VLOOKUP(OPERAC[[#This Row],[especie]],[1]!ESPECIES[#Data],9,FALSE)</f>
        <v/>
      </c>
    </row>
    <row r="4946">
      <c r="A4946" s="4" t="n">
        <v>2255</v>
      </c>
      <c r="B4946" s="5" t="n">
        <v>44720</v>
      </c>
      <c r="C4946" s="13" t="inlineStr">
        <is>
          <t>CPR</t>
        </is>
      </c>
      <c r="D4946" s="13" t="n">
        <v>42</v>
      </c>
      <c r="E4946" s="10">
        <f>IF(D4946&gt;0,VLOOKUP(OPERAC[[#This Row],[COD CART]],[1]!MatrizCortoLargoCyl[#All],3,0),"")</f>
        <v/>
      </c>
      <c r="F4946" s="13" t="inlineStr">
        <is>
          <t>HYDR</t>
        </is>
      </c>
      <c r="G4946" s="6" t="n">
        <v>100</v>
      </c>
      <c r="H4946" s="6" t="n">
        <v>-1506.75</v>
      </c>
      <c r="I4946" s="7">
        <f>-H4946/G4946</f>
        <v/>
      </c>
      <c r="J4946" s="5" t="n"/>
      <c r="K4946" s="6" t="n"/>
      <c r="L4946" s="6" t="n"/>
      <c r="M4946" s="7">
        <f>IF(N4946=0,+L4946+H4946,0)</f>
        <v/>
      </c>
      <c r="N4946" s="7">
        <f>IF((+G4946-K4946)=0,0,+G4946-K4946)</f>
        <v/>
      </c>
      <c r="O4946" s="7">
        <f>IF(N4946=0,0,(L4946+H4946)/-N4946)</f>
        <v/>
      </c>
      <c r="P4946" s="7">
        <f>VLOOKUP(OPERAC[[#This Row],[especie]],[1]!ESPECIES[#All],6,0)</f>
        <v/>
      </c>
      <c r="Q4946" s="7">
        <f>IF(N4946&lt;&gt;0,P4946*N4946,0)</f>
        <v/>
      </c>
      <c r="R4946" s="8">
        <f>IF(Q4946&lt;&gt;0,Q4946+H4946+L4946,0)</f>
        <v/>
      </c>
      <c r="S4946" s="9">
        <f>VLOOKUP(OPERAC[[#This Row],[especie]],[1]!ESPECIES[#Data],9,FALSE)</f>
        <v/>
      </c>
    </row>
    <row r="4947">
      <c r="A4947" s="4" t="n">
        <v>16783</v>
      </c>
      <c r="B4947" s="5" t="n">
        <v>44720</v>
      </c>
      <c r="C4947" s="13" t="inlineStr">
        <is>
          <t>CPR</t>
        </is>
      </c>
      <c r="D4947" s="13" t="n">
        <v>42</v>
      </c>
      <c r="E4947" s="10">
        <f>IF(D4947&gt;0,VLOOKUP(OPERAC[[#This Row],[COD CART]],[1]!MatrizCortoLargoCyl[#All],3,0),"")</f>
        <v/>
      </c>
      <c r="F4947" s="13" t="inlineStr">
        <is>
          <t>HYDR</t>
        </is>
      </c>
      <c r="G4947" s="6" t="n">
        <v>100</v>
      </c>
      <c r="H4947" s="6" t="n">
        <v>-1506.75</v>
      </c>
      <c r="I4947" s="7">
        <f>-H4947/G4947</f>
        <v/>
      </c>
      <c r="J4947" s="5" t="n"/>
      <c r="K4947" s="6" t="n"/>
      <c r="L4947" s="6" t="n"/>
      <c r="M4947" s="7">
        <f>IF(N4947=0,+L4947+H4947,0)</f>
        <v/>
      </c>
      <c r="N4947" s="7">
        <f>IF((+G4947-K4947)=0,0,+G4947-K4947)</f>
        <v/>
      </c>
      <c r="O4947" s="7">
        <f>IF(N4947=0,0,(L4947+H4947)/-N4947)</f>
        <v/>
      </c>
      <c r="P4947" s="7">
        <f>VLOOKUP(OPERAC[[#This Row],[especie]],[1]!ESPECIES[#All],6,0)</f>
        <v/>
      </c>
      <c r="Q4947" s="7">
        <f>IF(N4947&lt;&gt;0,P4947*N4947,0)</f>
        <v/>
      </c>
      <c r="R4947" s="8">
        <f>IF(Q4947&lt;&gt;0,Q4947+H4947+L4947,0)</f>
        <v/>
      </c>
      <c r="S4947" s="9">
        <f>VLOOKUP(OPERAC[[#This Row],[especie]],[1]!ESPECIES[#Data],9,FALSE)</f>
        <v/>
      </c>
    </row>
    <row r="4948">
      <c r="A4948" s="4" t="n">
        <v>18663</v>
      </c>
      <c r="B4948" s="5" t="n">
        <v>44516</v>
      </c>
      <c r="C4948" s="13" t="inlineStr">
        <is>
          <t>CPR</t>
        </is>
      </c>
      <c r="D4948" s="13" t="n">
        <v>41</v>
      </c>
      <c r="E4948" s="10">
        <f>IF(D4948&gt;0,VLOOKUP(OPERAC[[#This Row],[COD CART]],[1]!MatrizCortoLargoCyl[#All],3,0),"")</f>
        <v/>
      </c>
      <c r="F4948" s="13" t="inlineStr">
        <is>
          <t>CSDOO</t>
        </is>
      </c>
      <c r="G4948" s="6" t="n">
        <v>1617</v>
      </c>
      <c r="H4948" s="6" t="n">
        <v>-1507.27</v>
      </c>
      <c r="I4948" s="7">
        <f>-H4948/G4948</f>
        <v/>
      </c>
      <c r="J4948" s="11" t="n"/>
      <c r="K4948" s="6" t="n"/>
      <c r="L4948" s="6" t="n"/>
      <c r="M4948" s="7">
        <f>IF(N4948=0,+L4948+H4948,0)</f>
        <v/>
      </c>
      <c r="N4948" s="7">
        <f>IF((+G4948-K4948)=0,0,+G4948-K4948)</f>
        <v/>
      </c>
      <c r="O4948" s="7">
        <f>IF(N4948=0,0,(L4948+H4948)/-N4948)</f>
        <v/>
      </c>
      <c r="P4948" s="7">
        <f>VLOOKUP(OPERAC[[#This Row],[especie]],[1]!ESPECIES[#All],6,0)</f>
        <v/>
      </c>
      <c r="Q4948" s="7">
        <f>IF(N4948&lt;&gt;0,P4948*N4948,0)</f>
        <v/>
      </c>
      <c r="R4948" s="8">
        <f>IF(Q4948&lt;&gt;0,Q4948+H4948+L4948,0)</f>
        <v/>
      </c>
      <c r="S4948" s="9">
        <f>VLOOKUP(OPERAC[[#This Row],[especie]],[1]!ESPECIES[#Data],9,FALSE)</f>
        <v/>
      </c>
    </row>
    <row r="4949">
      <c r="A4949" s="4" t="n">
        <v>2257</v>
      </c>
      <c r="B4949" s="5" t="n">
        <v>44494</v>
      </c>
      <c r="C4949" s="13" t="inlineStr">
        <is>
          <t>CPR</t>
        </is>
      </c>
      <c r="D4949" s="13" t="n">
        <v>40</v>
      </c>
      <c r="E4949" s="10">
        <f>IF(D4949&gt;0,VLOOKUP(OPERAC[[#This Row],[COD CART]],[1]!MatrizCortoLargoCyl[#All],3,0),"")</f>
        <v/>
      </c>
      <c r="F4949" s="13" t="inlineStr">
        <is>
          <t>YPF</t>
        </is>
      </c>
      <c r="G4949" s="6" t="n">
        <v>324</v>
      </c>
      <c r="H4949" s="6" t="n">
        <v>-1507.48128</v>
      </c>
      <c r="I4949" s="7">
        <f>-H4949/G4949</f>
        <v/>
      </c>
      <c r="J4949" s="11" t="n">
        <v>44606</v>
      </c>
      <c r="K4949" s="6">
        <f>+OPERAC[[#This Row],[cantidad]]</f>
        <v/>
      </c>
      <c r="L4949" s="6">
        <f>+OPERAC[[#This Row],[cantidad venta]]*4.161</f>
        <v/>
      </c>
      <c r="M4949" s="7">
        <f>IF(N4949=0,+L4949+H4949,0)</f>
        <v/>
      </c>
      <c r="N4949" s="7">
        <f>IF((+G4949-K4949)=0,0,+G4949-K4949)</f>
        <v/>
      </c>
      <c r="O4949" s="7">
        <f>IF(N4949=0,0,(L4949+H4949)/-N4949)</f>
        <v/>
      </c>
      <c r="P4949" s="7">
        <f>VLOOKUP(OPERAC[[#This Row],[especie]],[1]!ESPECIES[#All],6,0)</f>
        <v/>
      </c>
      <c r="Q4949" s="7">
        <f>IF(N4949&lt;&gt;0,P4949*N4949,0)</f>
        <v/>
      </c>
      <c r="R4949" s="8">
        <f>IF(Q4949&lt;&gt;0,Q4949+H4949+L4949,0)</f>
        <v/>
      </c>
      <c r="S4949" s="9">
        <f>VLOOKUP(OPERAC[[#This Row],[especie]],[1]!ESPECIES[#Data],9,FALSE)</f>
        <v/>
      </c>
    </row>
    <row r="4950">
      <c r="A4950" s="4" t="n">
        <v>13269</v>
      </c>
      <c r="B4950" s="5" t="n">
        <v>44489</v>
      </c>
      <c r="C4950" s="13" t="inlineStr">
        <is>
          <t>CPR</t>
        </is>
      </c>
      <c r="D4950" s="13" t="n">
        <v>43</v>
      </c>
      <c r="E4950" s="10">
        <f>IF(D4950&gt;0,VLOOKUP(OPERAC[[#This Row],[COD CART]],[1]!MatrizCortoLargoCyl[#All],3,0),"")</f>
        <v/>
      </c>
      <c r="F4950" s="13" t="inlineStr">
        <is>
          <t>SESN/CYL-PUT/1,00/19-01-24</t>
        </is>
      </c>
      <c r="G4950" s="6" t="n">
        <v>8000</v>
      </c>
      <c r="H4950" s="6">
        <f>-0.1885*OPERAC[[#This Row],[cantidad]]</f>
        <v/>
      </c>
      <c r="I4950" s="7">
        <f>-H4950/G4950</f>
        <v/>
      </c>
      <c r="J4950" s="11" t="n">
        <v>44616</v>
      </c>
      <c r="K4950" s="6" t="n">
        <v>2000</v>
      </c>
      <c r="L4950" s="6" t="n">
        <v>643.54</v>
      </c>
      <c r="M4950" s="7">
        <f>IF(N4950=0,+L4950+H4950,0)</f>
        <v/>
      </c>
      <c r="N4950" s="7">
        <f>IF((+G4950-K4950)=0,0,+G4950-K4950)</f>
        <v/>
      </c>
      <c r="O4950" s="7">
        <f>IF(N4950=0,0,(L4950+H4950)/-N4950)</f>
        <v/>
      </c>
      <c r="P4950" s="7">
        <f>VLOOKUP(OPERAC[[#This Row],[especie]],[1]!ESPECIES[#All],6,0)</f>
        <v/>
      </c>
      <c r="Q4950" s="7">
        <f>IF(N4950&lt;&gt;0,P4950*N4950,0)</f>
        <v/>
      </c>
      <c r="R4950" s="8">
        <f>IF(Q4950&lt;&gt;0,Q4950+H4950+L4950,0)</f>
        <v/>
      </c>
      <c r="S4950" s="9">
        <f>VLOOKUP(OPERAC[[#This Row],[especie]],[1]!ESPECIES[#Data],9,FALSE)</f>
        <v/>
      </c>
    </row>
    <row r="4951">
      <c r="A4951" s="4" t="n">
        <v>15189</v>
      </c>
      <c r="B4951" s="5" t="n">
        <v>44489</v>
      </c>
      <c r="C4951" s="13" t="inlineStr">
        <is>
          <t>CPR</t>
        </is>
      </c>
      <c r="D4951" s="13" t="n">
        <v>43</v>
      </c>
      <c r="E4951" s="10">
        <f>IF(D4951&gt;0,VLOOKUP(OPERAC[[#This Row],[COD CART]],[1]!MatrizCortoLargoCyl[#All],3,0),"")</f>
        <v/>
      </c>
      <c r="F4951" s="13" t="inlineStr">
        <is>
          <t>SESN/CYL-PUT/1,00/19-01-24</t>
        </is>
      </c>
      <c r="G4951" s="6" t="n">
        <v>8000</v>
      </c>
      <c r="H4951" s="6">
        <f>-0.1885*OPERAC[[#This Row],[cantidad]]</f>
        <v/>
      </c>
      <c r="I4951" s="7">
        <f>-H4951/G4951</f>
        <v/>
      </c>
      <c r="J4951" s="11" t="n"/>
      <c r="K4951" s="6" t="n"/>
      <c r="L4951" s="6" t="n"/>
      <c r="M4951" s="7">
        <f>IF(N4951=0,+L4951+H4951,0)</f>
        <v/>
      </c>
      <c r="N4951" s="7">
        <f>IF((+G4951-K4951)=0,0,+G4951-K4951)</f>
        <v/>
      </c>
      <c r="O4951" s="7">
        <f>IF(N4951=0,0,(L4951+H4951)/-N4951)</f>
        <v/>
      </c>
      <c r="P4951" s="7">
        <f>VLOOKUP(OPERAC[[#This Row],[especie]],[1]!ESPECIES[#All],6,0)</f>
        <v/>
      </c>
      <c r="Q4951" s="7">
        <f>IF(N4951&lt;&gt;0,P4951*N4951,0)</f>
        <v/>
      </c>
      <c r="R4951" s="8">
        <f>IF(Q4951&lt;&gt;0,Q4951+H4951+L4951,0)</f>
        <v/>
      </c>
      <c r="S4951" s="9">
        <f>VLOOKUP(OPERAC[[#This Row],[especie]],[1]!ESPECIES[#Data],9,FALSE)</f>
        <v/>
      </c>
    </row>
    <row r="4952">
      <c r="A4952" s="4" t="n">
        <v>19878</v>
      </c>
      <c r="B4952" s="5" t="n">
        <v>44489</v>
      </c>
      <c r="C4952" s="13" t="inlineStr">
        <is>
          <t>CPR</t>
        </is>
      </c>
      <c r="D4952" s="13" t="n">
        <v>43</v>
      </c>
      <c r="E4952" s="10">
        <f>IF(D4952&gt;0,VLOOKUP(OPERAC[[#This Row],[COD CART]],[1]!MatrizCortoLargoCyl[#All],3,0),"")</f>
        <v/>
      </c>
      <c r="F4952" s="13" t="inlineStr">
        <is>
          <t>SESN/CYL-PUT/1,00/19-01-24</t>
        </is>
      </c>
      <c r="G4952" s="6" t="n">
        <v>8000</v>
      </c>
      <c r="H4952" s="6">
        <f>-0.1885*OPERAC[[#This Row],[cantidad]]</f>
        <v/>
      </c>
      <c r="I4952" s="7">
        <f>-H4952/G4952</f>
        <v/>
      </c>
      <c r="J4952" s="11" t="n">
        <v>44614</v>
      </c>
      <c r="K4952" s="6" t="n">
        <v>3000</v>
      </c>
      <c r="L4952" s="6" t="n">
        <v>798.204</v>
      </c>
      <c r="M4952" s="7">
        <f>IF(N4952=0,+L4952+H4952,0)</f>
        <v/>
      </c>
      <c r="N4952" s="7">
        <f>IF((+G4952-K4952)=0,0,+G4952-K4952)</f>
        <v/>
      </c>
      <c r="O4952" s="7">
        <f>IF(N4952=0,0,(L4952+H4952)/-N4952)</f>
        <v/>
      </c>
      <c r="P4952" s="7">
        <f>VLOOKUP(OPERAC[[#This Row],[especie]],[1]!ESPECIES[#All],6,0)</f>
        <v/>
      </c>
      <c r="Q4952" s="7">
        <f>IF(N4952&lt;&gt;0,P4952*N4952,0)</f>
        <v/>
      </c>
      <c r="R4952" s="8">
        <f>IF(Q4952&lt;&gt;0,Q4952+H4952+L4952,0)</f>
        <v/>
      </c>
      <c r="S4952" s="9">
        <f>VLOOKUP(OPERAC[[#This Row],[especie]],[1]!ESPECIES[#Data],9,FALSE)</f>
        <v/>
      </c>
    </row>
    <row r="4953">
      <c r="A4953" s="4" t="n">
        <v>22393</v>
      </c>
      <c r="B4953" s="5" t="n">
        <v>44489</v>
      </c>
      <c r="C4953" s="13" t="inlineStr">
        <is>
          <t>CPR</t>
        </is>
      </c>
      <c r="D4953" s="13" t="n">
        <v>43</v>
      </c>
      <c r="E4953" s="10">
        <f>IF(D4953&gt;0,VLOOKUP(OPERAC[[#This Row],[COD CART]],[1]!MatrizCortoLargoCyl[#All],3,0),"")</f>
        <v/>
      </c>
      <c r="F4953" s="13" t="inlineStr">
        <is>
          <t>SESN/CYL-PUT/1,00/19-01-24</t>
        </is>
      </c>
      <c r="G4953" s="6" t="n">
        <v>8000</v>
      </c>
      <c r="H4953" s="6">
        <f>-0.1885*OPERAC[[#This Row],[cantidad]]</f>
        <v/>
      </c>
      <c r="I4953" s="7">
        <f>-H4953/G4953</f>
        <v/>
      </c>
      <c r="J4953" s="11" t="n"/>
      <c r="K4953" s="6" t="n"/>
      <c r="L4953" s="6" t="n"/>
      <c r="M4953" s="7">
        <f>IF(N4953=0,+L4953+H4953,0)</f>
        <v/>
      </c>
      <c r="N4953" s="7">
        <f>IF((+G4953-K4953)=0,0,+G4953-K4953)</f>
        <v/>
      </c>
      <c r="O4953" s="7">
        <f>IF(N4953=0,0,(L4953+H4953)/-N4953)</f>
        <v/>
      </c>
      <c r="P4953" s="7">
        <f>VLOOKUP(OPERAC[[#This Row],[especie]],[1]!ESPECIES[#All],6,0)</f>
        <v/>
      </c>
      <c r="Q4953" s="7">
        <f>IF(N4953&lt;&gt;0,P4953*N4953,0)</f>
        <v/>
      </c>
      <c r="R4953" s="8">
        <f>IF(Q4953&lt;&gt;0,Q4953+H4953+L4953,0)</f>
        <v/>
      </c>
      <c r="S4953" s="9">
        <f>VLOOKUP(OPERAC[[#This Row],[especie]],[1]!ESPECIES[#Data],9,FALSE)</f>
        <v/>
      </c>
    </row>
    <row r="4954">
      <c r="A4954" s="4" t="n">
        <v>22393</v>
      </c>
      <c r="B4954" s="5" t="n">
        <v>44336</v>
      </c>
      <c r="C4954" s="13" t="inlineStr">
        <is>
          <t>CPR</t>
        </is>
      </c>
      <c r="D4954" s="13" t="n">
        <v>31</v>
      </c>
      <c r="E4954" s="10">
        <f>IF(D4954&gt;0,VLOOKUP(OPERAC[[#This Row],[COD CART]],[1]!MatrizCortoLargoCyl[#All],3,0),"")</f>
        <v/>
      </c>
      <c r="F4954" s="13" t="inlineStr">
        <is>
          <t>JEPI</t>
        </is>
      </c>
      <c r="G4954" s="6" t="n">
        <v>25</v>
      </c>
      <c r="H4954" s="6" t="n">
        <v>-1510.95</v>
      </c>
      <c r="I4954" s="7">
        <f>-H4954/G4954</f>
        <v/>
      </c>
      <c r="J4954" s="11" t="n"/>
      <c r="K4954" s="6" t="n"/>
      <c r="L4954" s="6" t="n"/>
      <c r="M4954" s="7">
        <f>IF(N4954=0,+L4954+H4954,0)</f>
        <v/>
      </c>
      <c r="N4954" s="7">
        <f>IF((+G4954-K4954)=0,0,+G4954-K4954)</f>
        <v/>
      </c>
      <c r="O4954" s="7">
        <f>IF(N4954=0,0,(L4954+H4954)/-N4954)</f>
        <v/>
      </c>
      <c r="P4954" s="7">
        <f>VLOOKUP(OPERAC[[#This Row],[especie]],[1]!ESPECIES[#All],6,0)</f>
        <v/>
      </c>
      <c r="Q4954" s="7">
        <f>IF(N4954&lt;&gt;0,P4954*N4954,0)</f>
        <v/>
      </c>
      <c r="R4954" s="8">
        <f>IF(Q4954&lt;&gt;0,Q4954+H4954+L4954,0)</f>
        <v/>
      </c>
      <c r="S4954" s="9">
        <f>VLOOKUP(OPERAC[[#This Row],[especie]],[1]!ESPECIES[#Data],9,FALSE)</f>
        <v/>
      </c>
    </row>
    <row r="4955">
      <c r="A4955" s="4" t="n">
        <v>15195</v>
      </c>
      <c r="B4955" s="5" t="n">
        <v>44536</v>
      </c>
      <c r="C4955" s="13" t="inlineStr">
        <is>
          <t>CPR</t>
        </is>
      </c>
      <c r="D4955" s="13" t="n">
        <v>43</v>
      </c>
      <c r="E4955" s="10">
        <f>IF(D4955&gt;0,VLOOKUP(OPERAC[[#This Row],[COD CART]],[1]!MatrizCortoLargoCyl[#All],3,0),"")</f>
        <v/>
      </c>
      <c r="F4955" s="13" t="inlineStr">
        <is>
          <t>NNDM/CYL-PUT/2,50/19-01-24</t>
        </is>
      </c>
      <c r="G4955" s="6" t="n">
        <v>1400</v>
      </c>
      <c r="H4955" s="6">
        <f>-1.08*OPERAC[[#This Row],[cantidad]]</f>
        <v/>
      </c>
      <c r="I4955" s="7">
        <f>-H4955/G4955</f>
        <v/>
      </c>
      <c r="J4955" s="11" t="n"/>
      <c r="K4955" s="6" t="n"/>
      <c r="L4955" s="6" t="n"/>
      <c r="M4955" s="7">
        <f>IF(N4955=0,+L4955+H4955,0)</f>
        <v/>
      </c>
      <c r="N4955" s="7">
        <f>IF((+G4955-K4955)=0,0,+G4955-K4955)</f>
        <v/>
      </c>
      <c r="O4955" s="7">
        <f>IF(N4955=0,0,(L4955+H4955)/-N4955)</f>
        <v/>
      </c>
      <c r="P4955" s="7">
        <f>VLOOKUP(OPERAC[[#This Row],[especie]],[1]!ESPECIES[#All],6,0)</f>
        <v/>
      </c>
      <c r="Q4955" s="7">
        <f>IF(N4955&lt;&gt;0,P4955*N4955,0)</f>
        <v/>
      </c>
      <c r="R4955" s="8">
        <f>IF(Q4955&lt;&gt;0,Q4955+H4955+L4955,0)</f>
        <v/>
      </c>
      <c r="S4955" s="9">
        <f>VLOOKUP(OPERAC[[#This Row],[especie]],[1]!ESPECIES[#Data],9,FALSE)</f>
        <v/>
      </c>
    </row>
    <row r="4956">
      <c r="A4956" s="4" t="n">
        <v>2255</v>
      </c>
      <c r="B4956" s="5" t="n">
        <v>44536</v>
      </c>
      <c r="C4956" s="13" t="inlineStr">
        <is>
          <t>CPR</t>
        </is>
      </c>
      <c r="D4956" s="13" t="n">
        <v>43</v>
      </c>
      <c r="E4956" s="10">
        <f>IF(D4956&gt;0,VLOOKUP(OPERAC[[#This Row],[COD CART]],[1]!MatrizCortoLargoCyl[#All],3,0),"")</f>
        <v/>
      </c>
      <c r="F4956" s="13" t="inlineStr">
        <is>
          <t>NNDM/CYL-PUT/2,50/19-01-24</t>
        </is>
      </c>
      <c r="G4956" s="6" t="n">
        <v>1400</v>
      </c>
      <c r="H4956" s="6">
        <f>-1.08*OPERAC[[#This Row],[cantidad]]</f>
        <v/>
      </c>
      <c r="I4956" s="7">
        <f>-H4956/G4956</f>
        <v/>
      </c>
      <c r="J4956" s="11" t="n"/>
      <c r="K4956" s="6" t="n"/>
      <c r="L4956" s="6" t="n"/>
      <c r="M4956" s="7">
        <f>IF(N4956=0,+L4956+H4956,0)</f>
        <v/>
      </c>
      <c r="N4956" s="7">
        <f>IF((+G4956-K4956)=0,0,+G4956-K4956)</f>
        <v/>
      </c>
      <c r="O4956" s="7">
        <f>IF(N4956=0,0,(L4956+H4956)/-N4956)</f>
        <v/>
      </c>
      <c r="P4956" s="7">
        <f>VLOOKUP(OPERAC[[#This Row],[especie]],[1]!ESPECIES[#All],6,0)</f>
        <v/>
      </c>
      <c r="Q4956" s="7">
        <f>IF(N4956&lt;&gt;0,P4956*N4956,0)</f>
        <v/>
      </c>
      <c r="R4956" s="8">
        <f>IF(Q4956&lt;&gt;0,Q4956+H4956+L4956,0)</f>
        <v/>
      </c>
      <c r="S4956" s="9">
        <f>VLOOKUP(OPERAC[[#This Row],[especie]],[1]!ESPECIES[#Data],9,FALSE)</f>
        <v/>
      </c>
    </row>
    <row r="4957">
      <c r="A4957" s="4" t="n">
        <v>13185</v>
      </c>
      <c r="B4957" s="5" t="n">
        <v>44536</v>
      </c>
      <c r="C4957" s="13" t="inlineStr">
        <is>
          <t>CPR</t>
        </is>
      </c>
      <c r="D4957" s="13" t="n">
        <v>43</v>
      </c>
      <c r="E4957" s="10">
        <f>IF(D4957&gt;0,VLOOKUP(OPERAC[[#This Row],[COD CART]],[1]!MatrizCortoLargoCyl[#All],3,0),"")</f>
        <v/>
      </c>
      <c r="F4957" s="13" t="inlineStr">
        <is>
          <t>NNDM/CYL-PUT/2,50/19-01-24</t>
        </is>
      </c>
      <c r="G4957" s="6" t="n">
        <v>1400</v>
      </c>
      <c r="H4957" s="6">
        <f>-1.08*OPERAC[[#This Row],[cantidad]]</f>
        <v/>
      </c>
      <c r="I4957" s="7">
        <f>-H4957/G4957</f>
        <v/>
      </c>
      <c r="J4957" s="11" t="n"/>
      <c r="K4957" s="6" t="n"/>
      <c r="L4957" s="6" t="n"/>
      <c r="M4957" s="7">
        <f>IF(N4957=0,+L4957+H4957,0)</f>
        <v/>
      </c>
      <c r="N4957" s="7">
        <f>IF((+G4957-K4957)=0,0,+G4957-K4957)</f>
        <v/>
      </c>
      <c r="O4957" s="7">
        <f>IF(N4957=0,0,(L4957+H4957)/-N4957)</f>
        <v/>
      </c>
      <c r="P4957" s="7">
        <f>VLOOKUP(OPERAC[[#This Row],[especie]],[1]!ESPECIES[#All],6,0)</f>
        <v/>
      </c>
      <c r="Q4957" s="7">
        <f>IF(N4957&lt;&gt;0,P4957*N4957,0)</f>
        <v/>
      </c>
      <c r="R4957" s="8">
        <f>IF(Q4957&lt;&gt;0,Q4957+H4957+L4957,0)</f>
        <v/>
      </c>
      <c r="S4957" s="9">
        <f>VLOOKUP(OPERAC[[#This Row],[especie]],[1]!ESPECIES[#Data],9,FALSE)</f>
        <v/>
      </c>
    </row>
    <row r="4958">
      <c r="A4958" s="4" t="n">
        <v>6628</v>
      </c>
      <c r="B4958" s="5" t="n">
        <v>44680</v>
      </c>
      <c r="C4958" s="13" t="inlineStr">
        <is>
          <t>CPR</t>
        </is>
      </c>
      <c r="D4958" s="13" t="n">
        <v>32</v>
      </c>
      <c r="E4958" s="10">
        <f>IF(D4958&gt;0,VLOOKUP(OPERAC[[#This Row],[COD CART]],[1]!MatrizCortoLargoCyl[#All],3,0),"")</f>
        <v/>
      </c>
      <c r="F4958" s="13" t="inlineStr">
        <is>
          <t>COTY</t>
        </is>
      </c>
      <c r="G4958" s="6" t="n">
        <v>200</v>
      </c>
      <c r="H4958" s="6" t="n">
        <v>-1512.41</v>
      </c>
      <c r="I4958" s="7">
        <f>-H4958/G4958</f>
        <v/>
      </c>
      <c r="J4958" s="11" t="n">
        <v>44704</v>
      </c>
      <c r="K4958" s="6" t="n">
        <v>200</v>
      </c>
      <c r="L4958" s="6" t="n">
        <v>1240.367</v>
      </c>
      <c r="M4958" s="7">
        <f>IF(N4958=0,+L4958+H4958,0)</f>
        <v/>
      </c>
      <c r="N4958" s="7">
        <f>IF((+G4958-K4958)=0,0,+G4958-K4958)</f>
        <v/>
      </c>
      <c r="O4958" s="7">
        <f>IF(N4958=0,0,(L4958+H4958)/-N4958)</f>
        <v/>
      </c>
      <c r="P4958" s="7">
        <f>VLOOKUP(OPERAC[[#This Row],[especie]],[1]!ESPECIES[#All],6,0)</f>
        <v/>
      </c>
      <c r="Q4958" s="7">
        <f>IF(N4958&lt;&gt;0,P4958*N4958,0)</f>
        <v/>
      </c>
      <c r="R4958" s="8">
        <f>IF(Q4958&lt;&gt;0,Q4958+H4958+L4958,0)</f>
        <v/>
      </c>
      <c r="S4958" s="9">
        <f>VLOOKUP(OPERAC[[#This Row],[especie]],[1]!ESPECIES[#Data],9,FALSE)</f>
        <v/>
      </c>
    </row>
    <row r="4959">
      <c r="A4959" s="4" t="n">
        <v>13180</v>
      </c>
      <c r="B4959" s="5" t="n">
        <v>44680</v>
      </c>
      <c r="C4959" s="13" t="inlineStr">
        <is>
          <t>CPR</t>
        </is>
      </c>
      <c r="D4959" s="13" t="n">
        <v>32</v>
      </c>
      <c r="E4959" s="10">
        <f>IF(D4959&gt;0,VLOOKUP(OPERAC[[#This Row],[COD CART]],[1]!MatrizCortoLargoCyl[#All],3,0),"")</f>
        <v/>
      </c>
      <c r="F4959" s="13" t="inlineStr">
        <is>
          <t>COTY</t>
        </is>
      </c>
      <c r="G4959" s="6" t="n">
        <v>200</v>
      </c>
      <c r="H4959" s="6" t="n">
        <v>-1512.41</v>
      </c>
      <c r="I4959" s="7">
        <f>-H4959/G4959</f>
        <v/>
      </c>
      <c r="J4959" s="11" t="n">
        <v>44704</v>
      </c>
      <c r="K4959" s="6" t="n">
        <v>200</v>
      </c>
      <c r="L4959" s="6" t="n">
        <v>1247.561</v>
      </c>
      <c r="M4959" s="7">
        <f>IF(N4959=0,+L4959+H4959,0)</f>
        <v/>
      </c>
      <c r="N4959" s="7">
        <f>IF((+G4959-K4959)=0,0,+G4959-K4959)</f>
        <v/>
      </c>
      <c r="O4959" s="7">
        <f>IF(N4959=0,0,(L4959+H4959)/-N4959)</f>
        <v/>
      </c>
      <c r="P4959" s="7">
        <f>VLOOKUP(OPERAC[[#This Row],[especie]],[1]!ESPECIES[#All],6,0)</f>
        <v/>
      </c>
      <c r="Q4959" s="7">
        <f>IF(N4959&lt;&gt;0,P4959*N4959,0)</f>
        <v/>
      </c>
      <c r="R4959" s="8">
        <f>IF(Q4959&lt;&gt;0,Q4959+H4959+L4959,0)</f>
        <v/>
      </c>
      <c r="S4959" s="9">
        <f>VLOOKUP(OPERAC[[#This Row],[especie]],[1]!ESPECIES[#Data],9,FALSE)</f>
        <v/>
      </c>
    </row>
    <row r="4960">
      <c r="A4960" s="4" t="n">
        <v>13185</v>
      </c>
      <c r="B4960" s="5" t="n">
        <v>44680</v>
      </c>
      <c r="C4960" s="13" t="inlineStr">
        <is>
          <t>CPR</t>
        </is>
      </c>
      <c r="D4960" s="13" t="n">
        <v>32</v>
      </c>
      <c r="E4960" s="10">
        <f>IF(D4960&gt;0,VLOOKUP(OPERAC[[#This Row],[COD CART]],[1]!MatrizCortoLargoCyl[#All],3,0),"")</f>
        <v/>
      </c>
      <c r="F4960" s="13" t="inlineStr">
        <is>
          <t>COTY</t>
        </is>
      </c>
      <c r="G4960" s="6" t="n">
        <v>200</v>
      </c>
      <c r="H4960" s="6" t="n">
        <v>-1512.41</v>
      </c>
      <c r="I4960" s="7">
        <f>-H4960/G4960</f>
        <v/>
      </c>
      <c r="J4960" s="11" t="n">
        <v>44704</v>
      </c>
      <c r="K4960" s="6" t="n">
        <v>200</v>
      </c>
      <c r="L4960" s="6" t="n">
        <v>1247.561</v>
      </c>
      <c r="M4960" s="7">
        <f>IF(N4960=0,+L4960+H4960,0)</f>
        <v/>
      </c>
      <c r="N4960" s="7">
        <f>IF((+G4960-K4960)=0,0,+G4960-K4960)</f>
        <v/>
      </c>
      <c r="O4960" s="7">
        <f>IF(N4960=0,0,(L4960+H4960)/-N4960)</f>
        <v/>
      </c>
      <c r="P4960" s="7">
        <f>VLOOKUP(OPERAC[[#This Row],[especie]],[1]!ESPECIES[#All],6,0)</f>
        <v/>
      </c>
      <c r="Q4960" s="7">
        <f>IF(N4960&lt;&gt;0,P4960*N4960,0)</f>
        <v/>
      </c>
      <c r="R4960" s="8">
        <f>IF(Q4960&lt;&gt;0,Q4960+H4960+L4960,0)</f>
        <v/>
      </c>
      <c r="S4960" s="9">
        <f>VLOOKUP(OPERAC[[#This Row],[especie]],[1]!ESPECIES[#Data],9,FALSE)</f>
        <v/>
      </c>
    </row>
    <row r="4961">
      <c r="A4961" s="4" t="n">
        <v>16795</v>
      </c>
      <c r="B4961" s="5" t="n">
        <v>44680</v>
      </c>
      <c r="C4961" s="13" t="inlineStr">
        <is>
          <t>CPR</t>
        </is>
      </c>
      <c r="D4961" s="13" t="n">
        <v>32</v>
      </c>
      <c r="E4961" s="10">
        <f>IF(D4961&gt;0,VLOOKUP(OPERAC[[#This Row],[COD CART]],[1]!MatrizCortoLargoCyl[#All],3,0),"")</f>
        <v/>
      </c>
      <c r="F4961" s="13" t="inlineStr">
        <is>
          <t>COTY</t>
        </is>
      </c>
      <c r="G4961" s="6" t="n">
        <v>200</v>
      </c>
      <c r="H4961" s="6" t="n">
        <v>-1512.41</v>
      </c>
      <c r="I4961" s="7">
        <f>-H4961/G4961</f>
        <v/>
      </c>
      <c r="J4961" s="11" t="n">
        <v>44705</v>
      </c>
      <c r="K4961" s="6" t="n">
        <v>200</v>
      </c>
      <c r="L4961" s="6" t="n">
        <v>1197.88</v>
      </c>
      <c r="M4961" s="7">
        <f>IF(N4961=0,+L4961+H4961,0)</f>
        <v/>
      </c>
      <c r="N4961" s="7">
        <f>IF((+G4961-K4961)=0,0,+G4961-K4961)</f>
        <v/>
      </c>
      <c r="O4961" s="7">
        <f>IF(N4961=0,0,(L4961+H4961)/-N4961)</f>
        <v/>
      </c>
      <c r="P4961" s="7">
        <f>VLOOKUP(OPERAC[[#This Row],[especie]],[1]!ESPECIES[#All],6,0)</f>
        <v/>
      </c>
      <c r="Q4961" s="7">
        <f>IF(N4961&lt;&gt;0,P4961*N4961,0)</f>
        <v/>
      </c>
      <c r="R4961" s="8">
        <f>IF(Q4961&lt;&gt;0,Q4961+H4961+L4961,0)</f>
        <v/>
      </c>
      <c r="S4961" s="9">
        <f>VLOOKUP(OPERAC[[#This Row],[especie]],[1]!ESPECIES[#Data],9,FALSE)</f>
        <v/>
      </c>
    </row>
    <row r="4962">
      <c r="A4962" s="4" t="n">
        <v>1800</v>
      </c>
      <c r="B4962" s="5" t="n">
        <v>44720</v>
      </c>
      <c r="C4962" s="13" t="inlineStr">
        <is>
          <t>CPR</t>
        </is>
      </c>
      <c r="D4962" s="13" t="n">
        <v>42</v>
      </c>
      <c r="E4962" s="10">
        <f>IF(D4962&gt;0,VLOOKUP(OPERAC[[#This Row],[COD CART]],[1]!MatrizCortoLargoCyl[#All],3,0),"")</f>
        <v/>
      </c>
      <c r="F4962" s="13" t="inlineStr">
        <is>
          <t>HYDR</t>
        </is>
      </c>
      <c r="G4962" s="6" t="n">
        <v>100</v>
      </c>
      <c r="H4962" s="6" t="n">
        <v>-1512.75</v>
      </c>
      <c r="I4962" s="7">
        <f>-H4962/G4962</f>
        <v/>
      </c>
      <c r="J4962" s="5" t="n"/>
      <c r="K4962" s="6" t="n"/>
      <c r="L4962" s="6" t="n"/>
      <c r="M4962" s="7">
        <f>IF(N4962=0,+L4962+H4962,0)</f>
        <v/>
      </c>
      <c r="N4962" s="7">
        <f>IF((+G4962-K4962)=0,0,+G4962-K4962)</f>
        <v/>
      </c>
      <c r="O4962" s="7">
        <f>IF(N4962=0,0,(L4962+H4962)/-N4962)</f>
        <v/>
      </c>
      <c r="P4962" s="7">
        <f>VLOOKUP(OPERAC[[#This Row],[especie]],[1]!ESPECIES[#All],6,0)</f>
        <v/>
      </c>
      <c r="Q4962" s="7">
        <f>IF(N4962&lt;&gt;0,P4962*N4962,0)</f>
        <v/>
      </c>
      <c r="R4962" s="8">
        <f>IF(Q4962&lt;&gt;0,Q4962+H4962+L4962,0)</f>
        <v/>
      </c>
      <c r="S4962" s="9">
        <f>VLOOKUP(OPERAC[[#This Row],[especie]],[1]!ESPECIES[#Data],9,FALSE)</f>
        <v/>
      </c>
    </row>
    <row r="4963">
      <c r="A4963" s="4" t="n">
        <v>2253</v>
      </c>
      <c r="B4963" s="5" t="n">
        <v>44720</v>
      </c>
      <c r="C4963" s="13" t="inlineStr">
        <is>
          <t>CPR</t>
        </is>
      </c>
      <c r="D4963" s="13" t="n">
        <v>42</v>
      </c>
      <c r="E4963" s="10">
        <f>IF(D4963&gt;0,VLOOKUP(OPERAC[[#This Row],[COD CART]],[1]!MatrizCortoLargoCyl[#All],3,0),"")</f>
        <v/>
      </c>
      <c r="F4963" s="13" t="inlineStr">
        <is>
          <t>HYDR</t>
        </is>
      </c>
      <c r="G4963" s="6" t="n">
        <v>100</v>
      </c>
      <c r="H4963" s="6" t="n">
        <v>-1512.75</v>
      </c>
      <c r="I4963" s="7">
        <f>-H4963/G4963</f>
        <v/>
      </c>
      <c r="J4963" s="5" t="n"/>
      <c r="K4963" s="6" t="n"/>
      <c r="L4963" s="6" t="n"/>
      <c r="M4963" s="7">
        <f>IF(N4963=0,+L4963+H4963,0)</f>
        <v/>
      </c>
      <c r="N4963" s="7">
        <f>IF((+G4963-K4963)=0,0,+G4963-K4963)</f>
        <v/>
      </c>
      <c r="O4963" s="7">
        <f>IF(N4963=0,0,(L4963+H4963)/-N4963)</f>
        <v/>
      </c>
      <c r="P4963" s="7">
        <f>VLOOKUP(OPERAC[[#This Row],[especie]],[1]!ESPECIES[#All],6,0)</f>
        <v/>
      </c>
      <c r="Q4963" s="7">
        <f>IF(N4963&lt;&gt;0,P4963*N4963,0)</f>
        <v/>
      </c>
      <c r="R4963" s="8">
        <f>IF(Q4963&lt;&gt;0,Q4963+H4963+L4963,0)</f>
        <v/>
      </c>
      <c r="S4963" s="9">
        <f>VLOOKUP(OPERAC[[#This Row],[especie]],[1]!ESPECIES[#Data],9,FALSE)</f>
        <v/>
      </c>
    </row>
    <row r="4964">
      <c r="A4964" s="4" t="n">
        <v>7867</v>
      </c>
      <c r="B4964" s="5" t="n">
        <v>44720</v>
      </c>
      <c r="C4964" s="13" t="inlineStr">
        <is>
          <t>CPR</t>
        </is>
      </c>
      <c r="D4964" s="13" t="n">
        <v>42</v>
      </c>
      <c r="E4964" s="10">
        <f>IF(D4964&gt;0,VLOOKUP(OPERAC[[#This Row],[COD CART]],[1]!MatrizCortoLargoCyl[#All],3,0),"")</f>
        <v/>
      </c>
      <c r="F4964" s="13" t="inlineStr">
        <is>
          <t>HYDR</t>
        </is>
      </c>
      <c r="G4964" s="6" t="n">
        <v>100</v>
      </c>
      <c r="H4964" s="6" t="n">
        <v>-1512.75</v>
      </c>
      <c r="I4964" s="7">
        <f>-H4964/G4964</f>
        <v/>
      </c>
      <c r="J4964" s="5" t="n"/>
      <c r="K4964" s="6" t="n"/>
      <c r="L4964" s="6" t="n"/>
      <c r="M4964" s="7">
        <f>IF(N4964=0,+L4964+H4964,0)</f>
        <v/>
      </c>
      <c r="N4964" s="7">
        <f>IF((+G4964-K4964)=0,0,+G4964-K4964)</f>
        <v/>
      </c>
      <c r="O4964" s="7">
        <f>IF(N4964=0,0,(L4964+H4964)/-N4964)</f>
        <v/>
      </c>
      <c r="P4964" s="7">
        <f>VLOOKUP(OPERAC[[#This Row],[especie]],[1]!ESPECIES[#All],6,0)</f>
        <v/>
      </c>
      <c r="Q4964" s="7">
        <f>IF(N4964&lt;&gt;0,P4964*N4964,0)</f>
        <v/>
      </c>
      <c r="R4964" s="8">
        <f>IF(Q4964&lt;&gt;0,Q4964+H4964+L4964,0)</f>
        <v/>
      </c>
      <c r="S4964" s="9">
        <f>VLOOKUP(OPERAC[[#This Row],[especie]],[1]!ESPECIES[#Data],9,FALSE)</f>
        <v/>
      </c>
    </row>
    <row r="4965">
      <c r="A4965" s="4" t="n">
        <v>11168</v>
      </c>
      <c r="B4965" s="5" t="n">
        <v>44720</v>
      </c>
      <c r="C4965" s="13" t="inlineStr">
        <is>
          <t>CPR</t>
        </is>
      </c>
      <c r="D4965" s="13" t="n">
        <v>42</v>
      </c>
      <c r="E4965" s="10">
        <f>IF(D4965&gt;0,VLOOKUP(OPERAC[[#This Row],[COD CART]],[1]!MatrizCortoLargoCyl[#All],3,0),"")</f>
        <v/>
      </c>
      <c r="F4965" s="13" t="inlineStr">
        <is>
          <t>HYDR</t>
        </is>
      </c>
      <c r="G4965" s="6" t="n">
        <v>100</v>
      </c>
      <c r="H4965" s="6" t="n">
        <v>-1512.75</v>
      </c>
      <c r="I4965" s="7">
        <f>-H4965/G4965</f>
        <v/>
      </c>
      <c r="J4965" s="5" t="n"/>
      <c r="K4965" s="6" t="n"/>
      <c r="L4965" s="6" t="n"/>
      <c r="M4965" s="7">
        <f>IF(N4965=0,+L4965+H4965,0)</f>
        <v/>
      </c>
      <c r="N4965" s="7">
        <f>IF((+G4965-K4965)=0,0,+G4965-K4965)</f>
        <v/>
      </c>
      <c r="O4965" s="7">
        <f>IF(N4965=0,0,(L4965+H4965)/-N4965)</f>
        <v/>
      </c>
      <c r="P4965" s="7">
        <f>VLOOKUP(OPERAC[[#This Row],[especie]],[1]!ESPECIES[#All],6,0)</f>
        <v/>
      </c>
      <c r="Q4965" s="7">
        <f>IF(N4965&lt;&gt;0,P4965*N4965,0)</f>
        <v/>
      </c>
      <c r="R4965" s="8">
        <f>IF(Q4965&lt;&gt;0,Q4965+H4965+L4965,0)</f>
        <v/>
      </c>
      <c r="S4965" s="9">
        <f>VLOOKUP(OPERAC[[#This Row],[especie]],[1]!ESPECIES[#Data],9,FALSE)</f>
        <v/>
      </c>
    </row>
    <row r="4966">
      <c r="A4966" s="4" t="n">
        <v>12022</v>
      </c>
      <c r="B4966" s="5" t="n">
        <v>44720</v>
      </c>
      <c r="C4966" s="13" t="inlineStr">
        <is>
          <t>CPR</t>
        </is>
      </c>
      <c r="D4966" s="13" t="n">
        <v>42</v>
      </c>
      <c r="E4966" s="10">
        <f>IF(D4966&gt;0,VLOOKUP(OPERAC[[#This Row],[COD CART]],[1]!MatrizCortoLargoCyl[#All],3,0),"")</f>
        <v/>
      </c>
      <c r="F4966" s="13" t="inlineStr">
        <is>
          <t>HYDR</t>
        </is>
      </c>
      <c r="G4966" s="6" t="n">
        <v>100</v>
      </c>
      <c r="H4966" s="6" t="n">
        <v>-1512.75</v>
      </c>
      <c r="I4966" s="7">
        <f>-H4966/G4966</f>
        <v/>
      </c>
      <c r="J4966" s="5" t="n"/>
      <c r="K4966" s="6" t="n"/>
      <c r="L4966" s="6" t="n"/>
      <c r="M4966" s="7">
        <f>IF(N4966=0,+L4966+H4966,0)</f>
        <v/>
      </c>
      <c r="N4966" s="7">
        <f>IF((+G4966-K4966)=0,0,+G4966-K4966)</f>
        <v/>
      </c>
      <c r="O4966" s="7">
        <f>IF(N4966=0,0,(L4966+H4966)/-N4966)</f>
        <v/>
      </c>
      <c r="P4966" s="7">
        <f>VLOOKUP(OPERAC[[#This Row],[especie]],[1]!ESPECIES[#All],6,0)</f>
        <v/>
      </c>
      <c r="Q4966" s="7">
        <f>IF(N4966&lt;&gt;0,P4966*N4966,0)</f>
        <v/>
      </c>
      <c r="R4966" s="8">
        <f>IF(Q4966&lt;&gt;0,Q4966+H4966+L4966,0)</f>
        <v/>
      </c>
      <c r="S4966" s="9">
        <f>VLOOKUP(OPERAC[[#This Row],[especie]],[1]!ESPECIES[#Data],9,FALSE)</f>
        <v/>
      </c>
    </row>
    <row r="4967">
      <c r="A4967" s="4" t="n">
        <v>12672</v>
      </c>
      <c r="B4967" s="5" t="n">
        <v>44720</v>
      </c>
      <c r="C4967" s="13" t="inlineStr">
        <is>
          <t>CPR</t>
        </is>
      </c>
      <c r="D4967" s="13" t="n">
        <v>42</v>
      </c>
      <c r="E4967" s="10">
        <f>IF(D4967&gt;0,VLOOKUP(OPERAC[[#This Row],[COD CART]],[1]!MatrizCortoLargoCyl[#All],3,0),"")</f>
        <v/>
      </c>
      <c r="F4967" s="13" t="inlineStr">
        <is>
          <t>HYDR</t>
        </is>
      </c>
      <c r="G4967" s="6" t="n">
        <v>100</v>
      </c>
      <c r="H4967" s="6" t="n">
        <v>-1512.75</v>
      </c>
      <c r="I4967" s="7">
        <f>-H4967/G4967</f>
        <v/>
      </c>
      <c r="J4967" s="5" t="n"/>
      <c r="K4967" s="6" t="n"/>
      <c r="L4967" s="6" t="n"/>
      <c r="M4967" s="7">
        <f>IF(N4967=0,+L4967+H4967,0)</f>
        <v/>
      </c>
      <c r="N4967" s="7">
        <f>IF((+G4967-K4967)=0,0,+G4967-K4967)</f>
        <v/>
      </c>
      <c r="O4967" s="7">
        <f>IF(N4967=0,0,(L4967+H4967)/-N4967)</f>
        <v/>
      </c>
      <c r="P4967" s="7">
        <f>VLOOKUP(OPERAC[[#This Row],[especie]],[1]!ESPECIES[#All],6,0)</f>
        <v/>
      </c>
      <c r="Q4967" s="7">
        <f>IF(N4967&lt;&gt;0,P4967*N4967,0)</f>
        <v/>
      </c>
      <c r="R4967" s="8">
        <f>IF(Q4967&lt;&gt;0,Q4967+H4967+L4967,0)</f>
        <v/>
      </c>
      <c r="S4967" s="9">
        <f>VLOOKUP(OPERAC[[#This Row],[especie]],[1]!ESPECIES[#Data],9,FALSE)</f>
        <v/>
      </c>
    </row>
    <row r="4968">
      <c r="A4968" s="4" t="n">
        <v>13190</v>
      </c>
      <c r="B4968" s="5" t="n">
        <v>44720</v>
      </c>
      <c r="C4968" s="13" t="inlineStr">
        <is>
          <t>CPR</t>
        </is>
      </c>
      <c r="D4968" s="13" t="n">
        <v>42</v>
      </c>
      <c r="E4968" s="10">
        <f>IF(D4968&gt;0,VLOOKUP(OPERAC[[#This Row],[COD CART]],[1]!MatrizCortoLargoCyl[#All],3,0),"")</f>
        <v/>
      </c>
      <c r="F4968" s="13" t="inlineStr">
        <is>
          <t>HYDR</t>
        </is>
      </c>
      <c r="G4968" s="6" t="n">
        <v>100</v>
      </c>
      <c r="H4968" s="6" t="n">
        <v>-1512.75</v>
      </c>
      <c r="I4968" s="7">
        <f>-H4968/G4968</f>
        <v/>
      </c>
      <c r="J4968" s="5" t="n"/>
      <c r="K4968" s="6" t="n"/>
      <c r="L4968" s="6" t="n"/>
      <c r="M4968" s="7">
        <f>IF(N4968=0,+L4968+H4968,0)</f>
        <v/>
      </c>
      <c r="N4968" s="7">
        <f>IF((+G4968-K4968)=0,0,+G4968-K4968)</f>
        <v/>
      </c>
      <c r="O4968" s="7">
        <f>IF(N4968=0,0,(L4968+H4968)/-N4968)</f>
        <v/>
      </c>
      <c r="P4968" s="7">
        <f>VLOOKUP(OPERAC[[#This Row],[especie]],[1]!ESPECIES[#All],6,0)</f>
        <v/>
      </c>
      <c r="Q4968" s="7">
        <f>IF(N4968&lt;&gt;0,P4968*N4968,0)</f>
        <v/>
      </c>
      <c r="R4968" s="8">
        <f>IF(Q4968&lt;&gt;0,Q4968+H4968+L4968,0)</f>
        <v/>
      </c>
      <c r="S4968" s="9">
        <f>VLOOKUP(OPERAC[[#This Row],[especie]],[1]!ESPECIES[#Data],9,FALSE)</f>
        <v/>
      </c>
    </row>
    <row r="4969">
      <c r="A4969" s="4" t="n">
        <v>16786</v>
      </c>
      <c r="B4969" s="5" t="n">
        <v>44720</v>
      </c>
      <c r="C4969" s="13" t="inlineStr">
        <is>
          <t>CPR</t>
        </is>
      </c>
      <c r="D4969" s="13" t="n">
        <v>42</v>
      </c>
      <c r="E4969" s="10">
        <f>IF(D4969&gt;0,VLOOKUP(OPERAC[[#This Row],[COD CART]],[1]!MatrizCortoLargoCyl[#All],3,0),"")</f>
        <v/>
      </c>
      <c r="F4969" s="13" t="inlineStr">
        <is>
          <t>HYDR</t>
        </is>
      </c>
      <c r="G4969" s="6" t="n">
        <v>100</v>
      </c>
      <c r="H4969" s="6" t="n">
        <v>-1512.75</v>
      </c>
      <c r="I4969" s="7">
        <f>-H4969/G4969</f>
        <v/>
      </c>
      <c r="J4969" s="5" t="n"/>
      <c r="K4969" s="6" t="n"/>
      <c r="L4969" s="6" t="n"/>
      <c r="M4969" s="7">
        <f>IF(N4969=0,+L4969+H4969,0)</f>
        <v/>
      </c>
      <c r="N4969" s="7">
        <f>IF((+G4969-K4969)=0,0,+G4969-K4969)</f>
        <v/>
      </c>
      <c r="O4969" s="7">
        <f>IF(N4969=0,0,(L4969+H4969)/-N4969)</f>
        <v/>
      </c>
      <c r="P4969" s="7">
        <f>VLOOKUP(OPERAC[[#This Row],[especie]],[1]!ESPECIES[#All],6,0)</f>
        <v/>
      </c>
      <c r="Q4969" s="7">
        <f>IF(N4969&lt;&gt;0,P4969*N4969,0)</f>
        <v/>
      </c>
      <c r="R4969" s="8">
        <f>IF(Q4969&lt;&gt;0,Q4969+H4969+L4969,0)</f>
        <v/>
      </c>
      <c r="S4969" s="9">
        <f>VLOOKUP(OPERAC[[#This Row],[especie]],[1]!ESPECIES[#Data],9,FALSE)</f>
        <v/>
      </c>
    </row>
    <row r="4970">
      <c r="A4970" s="4" t="n">
        <v>6578</v>
      </c>
      <c r="B4970" s="5" t="n">
        <v>44720</v>
      </c>
      <c r="C4970" s="13" t="inlineStr">
        <is>
          <t>CPR</t>
        </is>
      </c>
      <c r="D4970" s="13" t="n">
        <v>42</v>
      </c>
      <c r="E4970" s="10">
        <f>IF(D4970&gt;0,VLOOKUP(OPERAC[[#This Row],[COD CART]],[1]!MatrizCortoLargoCyl[#All],3,0),"")</f>
        <v/>
      </c>
      <c r="F4970" s="13" t="inlineStr">
        <is>
          <t>HYDR</t>
        </is>
      </c>
      <c r="G4970" s="6" t="n">
        <v>100</v>
      </c>
      <c r="H4970" s="6" t="n">
        <v>-1512.75</v>
      </c>
      <c r="I4970" s="7">
        <f>-H4970/G4970</f>
        <v/>
      </c>
      <c r="J4970" s="5" t="n"/>
      <c r="K4970" s="6" t="n"/>
      <c r="L4970" s="6" t="n"/>
      <c r="M4970" s="7">
        <f>IF(N4970=0,+L4970+H4970,0)</f>
        <v/>
      </c>
      <c r="N4970" s="7">
        <f>IF((+G4970-K4970)=0,0,+G4970-K4970)</f>
        <v/>
      </c>
      <c r="O4970" s="7">
        <f>IF(N4970=0,0,(L4970+H4970)/-N4970)</f>
        <v/>
      </c>
      <c r="P4970" s="7">
        <f>VLOOKUP(OPERAC[[#This Row],[especie]],[1]!ESPECIES[#All],6,0)</f>
        <v/>
      </c>
      <c r="Q4970" s="7">
        <f>IF(N4970&lt;&gt;0,P4970*N4970,0)</f>
        <v/>
      </c>
      <c r="R4970" s="8">
        <f>IF(Q4970&lt;&gt;0,Q4970+H4970+L4970,0)</f>
        <v/>
      </c>
      <c r="S4970" s="9">
        <f>VLOOKUP(OPERAC[[#This Row],[especie]],[1]!ESPECIES[#Data],9,FALSE)</f>
        <v/>
      </c>
    </row>
    <row r="4971">
      <c r="A4971" s="4" t="n">
        <v>13180</v>
      </c>
      <c r="B4971" s="5" t="n">
        <v>44720</v>
      </c>
      <c r="C4971" s="13" t="inlineStr">
        <is>
          <t>CPR</t>
        </is>
      </c>
      <c r="D4971" s="13" t="n">
        <v>42</v>
      </c>
      <c r="E4971" s="10">
        <f>IF(D4971&gt;0,VLOOKUP(OPERAC[[#This Row],[COD CART]],[1]!MatrizCortoLargoCyl[#All],3,0),"")</f>
        <v/>
      </c>
      <c r="F4971" s="13" t="inlineStr">
        <is>
          <t>HYDR</t>
        </is>
      </c>
      <c r="G4971" s="6" t="n">
        <v>100</v>
      </c>
      <c r="H4971" s="6" t="n">
        <v>-1512.75</v>
      </c>
      <c r="I4971" s="7">
        <f>-H4971/G4971</f>
        <v/>
      </c>
      <c r="J4971" s="5" t="n"/>
      <c r="K4971" s="6" t="n"/>
      <c r="L4971" s="6" t="n"/>
      <c r="M4971" s="7">
        <f>IF(N4971=0,+L4971+H4971,0)</f>
        <v/>
      </c>
      <c r="N4971" s="7">
        <f>IF((+G4971-K4971)=0,0,+G4971-K4971)</f>
        <v/>
      </c>
      <c r="O4971" s="7">
        <f>IF(N4971=0,0,(L4971+H4971)/-N4971)</f>
        <v/>
      </c>
      <c r="P4971" s="7">
        <f>VLOOKUP(OPERAC[[#This Row],[especie]],[1]!ESPECIES[#All],6,0)</f>
        <v/>
      </c>
      <c r="Q4971" s="7">
        <f>IF(N4971&lt;&gt;0,P4971*N4971,0)</f>
        <v/>
      </c>
      <c r="R4971" s="8">
        <f>IF(Q4971&lt;&gt;0,Q4971+H4971+L4971,0)</f>
        <v/>
      </c>
      <c r="S4971" s="9">
        <f>VLOOKUP(OPERAC[[#This Row],[especie]],[1]!ESPECIES[#Data],9,FALSE)</f>
        <v/>
      </c>
    </row>
    <row r="4972">
      <c r="A4972" s="4" t="n">
        <v>18651</v>
      </c>
      <c r="B4972" s="5" t="n">
        <v>44643</v>
      </c>
      <c r="C4972" s="13" t="inlineStr">
        <is>
          <t>CPR</t>
        </is>
      </c>
      <c r="D4972" s="13" t="n">
        <v>42</v>
      </c>
      <c r="E4972" s="10">
        <f>IF(D4972&gt;0,VLOOKUP(OPERAC[[#This Row],[COD CART]],[1]!MatrizCortoLargoCyl[#All],3,0),"")</f>
        <v/>
      </c>
      <c r="F4972" s="13" t="inlineStr">
        <is>
          <t>FB</t>
        </is>
      </c>
      <c r="G4972" s="6" t="n">
        <v>7</v>
      </c>
      <c r="H4972" s="6" t="n">
        <v>-1512.86282</v>
      </c>
      <c r="I4972" s="7">
        <f>-H4972/G4972</f>
        <v/>
      </c>
      <c r="J4972" s="11" t="n">
        <v>44671</v>
      </c>
      <c r="K4972" s="6">
        <f>+OPERAC[[#This Row],[cantidad]]</f>
        <v/>
      </c>
      <c r="L4972" s="6">
        <f>+OPERAC[[#This Row],[cantidad venta]]*213.173</f>
        <v/>
      </c>
      <c r="M4972" s="7">
        <f>IF(N4972=0,+L4972+H4972,0)</f>
        <v/>
      </c>
      <c r="N4972" s="7">
        <f>IF((+G4972-K4972)=0,0,+G4972-K4972)</f>
        <v/>
      </c>
      <c r="O4972" s="7">
        <f>IF(N4972=0,0,(L4972+H4972)/-N4972)</f>
        <v/>
      </c>
      <c r="P4972" s="7">
        <f>VLOOKUP(OPERAC[[#This Row],[especie]],[1]!ESPECIES[#All],6,0)</f>
        <v/>
      </c>
      <c r="Q4972" s="7">
        <f>IF(N4972&lt;&gt;0,P4972*N4972,0)</f>
        <v/>
      </c>
      <c r="R4972" s="8">
        <f>IF(Q4972&lt;&gt;0,Q4972+H4972+L4972,0)</f>
        <v/>
      </c>
      <c r="S4972" s="9">
        <f>VLOOKUP(OPERAC[[#This Row],[especie]],[1]!ESPECIES[#Data],9,FALSE)</f>
        <v/>
      </c>
    </row>
    <row r="4973">
      <c r="A4973" s="4" t="n">
        <v>19932</v>
      </c>
      <c r="B4973" s="5" t="n">
        <v>44643</v>
      </c>
      <c r="C4973" s="13" t="inlineStr">
        <is>
          <t>CPR</t>
        </is>
      </c>
      <c r="D4973" s="13" t="n">
        <v>42</v>
      </c>
      <c r="E4973" s="10">
        <f>IF(D4973&gt;0,VLOOKUP(OPERAC[[#This Row],[COD CART]],[1]!MatrizCortoLargoCyl[#All],3,0),"")</f>
        <v/>
      </c>
      <c r="F4973" s="13" t="inlineStr">
        <is>
          <t>FB</t>
        </is>
      </c>
      <c r="G4973" s="6" t="n">
        <v>7</v>
      </c>
      <c r="H4973" s="6" t="n">
        <v>-1512.86282</v>
      </c>
      <c r="I4973" s="7">
        <f>-H4973/G4973</f>
        <v/>
      </c>
      <c r="J4973" s="11" t="n">
        <v>44671</v>
      </c>
      <c r="K4973" s="6">
        <f>+OPERAC[[#This Row],[cantidad]]</f>
        <v/>
      </c>
      <c r="L4973" s="6">
        <f>+OPERAC[[#This Row],[cantidad venta]]*213.173</f>
        <v/>
      </c>
      <c r="M4973" s="7">
        <f>IF(N4973=0,+L4973+H4973,0)</f>
        <v/>
      </c>
      <c r="N4973" s="7">
        <f>IF((+G4973-K4973)=0,0,+G4973-K4973)</f>
        <v/>
      </c>
      <c r="O4973" s="7">
        <f>IF(N4973=0,0,(L4973+H4973)/-N4973)</f>
        <v/>
      </c>
      <c r="P4973" s="7">
        <f>VLOOKUP(OPERAC[[#This Row],[especie]],[1]!ESPECIES[#All],6,0)</f>
        <v/>
      </c>
      <c r="Q4973" s="7">
        <f>IF(N4973&lt;&gt;0,P4973*N4973,0)</f>
        <v/>
      </c>
      <c r="R4973" s="8">
        <f>IF(Q4973&lt;&gt;0,Q4973+H4973+L4973,0)</f>
        <v/>
      </c>
      <c r="S4973" s="9">
        <f>VLOOKUP(OPERAC[[#This Row],[especie]],[1]!ESPECIES[#Data],9,FALSE)</f>
        <v/>
      </c>
    </row>
    <row r="4974">
      <c r="A4974" s="4" t="n">
        <v>2218</v>
      </c>
      <c r="B4974" s="5" t="n">
        <v>44551</v>
      </c>
      <c r="C4974" s="13" t="inlineStr">
        <is>
          <t>CPR</t>
        </is>
      </c>
      <c r="D4974" s="13" t="n">
        <v>40</v>
      </c>
      <c r="E4974" s="10">
        <f>IF(D4974&gt;0,VLOOKUP(OPERAC[[#This Row],[COD CART]],[1]!MatrizCortoLargoCyl[#All],3,0),"")</f>
        <v/>
      </c>
      <c r="F4974" s="13" t="inlineStr">
        <is>
          <t>EDIT</t>
        </is>
      </c>
      <c r="G4974" s="6" t="n">
        <v>50</v>
      </c>
      <c r="H4974" s="6" t="n">
        <v>-1516.765</v>
      </c>
      <c r="I4974" s="7">
        <f>-H4974/G4974</f>
        <v/>
      </c>
      <c r="J4974" s="11" t="n">
        <v>44606</v>
      </c>
      <c r="K4974" s="6" t="n">
        <v>50</v>
      </c>
      <c r="L4974" s="6" t="n">
        <v>808.929</v>
      </c>
      <c r="M4974" s="7">
        <f>IF(N4974=0,+L4974+H4974,0)</f>
        <v/>
      </c>
      <c r="N4974" s="7">
        <f>IF((+G4974-K4974)=0,0,+G4974-K4974)</f>
        <v/>
      </c>
      <c r="O4974" s="7">
        <f>IF(N4974=0,0,(L4974+H4974)/-N4974)</f>
        <v/>
      </c>
      <c r="P4974" s="7">
        <f>VLOOKUP(OPERAC[[#This Row],[especie]],[1]!ESPECIES[#All],6,0)</f>
        <v/>
      </c>
      <c r="Q4974" s="7">
        <f>IF(N4974&lt;&gt;0,P4974*N4974,0)</f>
        <v/>
      </c>
      <c r="R4974" s="8">
        <f>IF(Q4974&lt;&gt;0,Q4974+H4974+L4974,0)</f>
        <v/>
      </c>
      <c r="S4974" s="9">
        <f>VLOOKUP(OPERAC[[#This Row],[especie]],[1]!ESPECIES[#Data],9,FALSE)</f>
        <v/>
      </c>
    </row>
    <row r="4975">
      <c r="A4975" s="4" t="n">
        <v>2194</v>
      </c>
      <c r="B4975" s="5" t="n">
        <v>44587</v>
      </c>
      <c r="C4975" s="13" t="inlineStr">
        <is>
          <t>CPR</t>
        </is>
      </c>
      <c r="D4975" s="13" t="n">
        <v>40</v>
      </c>
      <c r="E4975" s="10">
        <f>IF(D4975&gt;0,VLOOKUP(OPERAC[[#This Row],[COD CART]],[1]!MatrizCortoLargoCyl[#All],3,0),"")</f>
        <v/>
      </c>
      <c r="F4975" s="13" t="inlineStr">
        <is>
          <t>MSFT</t>
        </is>
      </c>
      <c r="G4975" s="6" t="n">
        <v>5</v>
      </c>
      <c r="H4975" s="6" t="n">
        <v>-1517.0563</v>
      </c>
      <c r="I4975" s="7">
        <f>-H4975/G4975</f>
        <v/>
      </c>
      <c r="J4975" s="11" t="n">
        <v>44606</v>
      </c>
      <c r="K4975" s="6">
        <f>+OPERAC[[#This Row],[cantidad]]</f>
        <v/>
      </c>
      <c r="L4975" s="6">
        <f>+OPERAC[[#This Row],[cantidad venta]]*290.091</f>
        <v/>
      </c>
      <c r="M4975" s="7">
        <f>IF(N4975=0,+L4975+H4975,0)</f>
        <v/>
      </c>
      <c r="N4975" s="7">
        <f>IF((+G4975-K4975)=0,0,+G4975-K4975)</f>
        <v/>
      </c>
      <c r="O4975" s="7">
        <f>IF(N4975=0,0,(L4975+H4975)/-N4975)</f>
        <v/>
      </c>
      <c r="P4975" s="7">
        <f>VLOOKUP(OPERAC[[#This Row],[especie]],[1]!ESPECIES[#All],6,0)</f>
        <v/>
      </c>
      <c r="Q4975" s="7">
        <f>IF(N4975&lt;&gt;0,P4975*N4975,0)</f>
        <v/>
      </c>
      <c r="R4975" s="8">
        <f>IF(Q4975&lt;&gt;0,Q4975+H4975+L4975,0)</f>
        <v/>
      </c>
      <c r="S4975" s="9">
        <f>VLOOKUP(OPERAC[[#This Row],[especie]],[1]!ESPECIES[#Data],9,FALSE)</f>
        <v/>
      </c>
    </row>
    <row r="4976">
      <c r="A4976" s="4" t="n">
        <v>3853</v>
      </c>
      <c r="B4976" s="5" t="n">
        <v>44587</v>
      </c>
      <c r="C4976" s="13" t="inlineStr">
        <is>
          <t>CPR</t>
        </is>
      </c>
      <c r="D4976" s="13" t="n">
        <v>40</v>
      </c>
      <c r="E4976" s="10">
        <f>IF(D4976&gt;0,VLOOKUP(OPERAC[[#This Row],[COD CART]],[1]!MatrizCortoLargoCyl[#All],3,0),"")</f>
        <v/>
      </c>
      <c r="F4976" s="13" t="inlineStr">
        <is>
          <t>MSFT</t>
        </is>
      </c>
      <c r="G4976" s="6" t="n">
        <v>5</v>
      </c>
      <c r="H4976" s="6" t="n">
        <v>-1517.0563</v>
      </c>
      <c r="I4976" s="7">
        <f>-H4976/G4976</f>
        <v/>
      </c>
      <c r="J4976" s="11" t="n">
        <v>44606</v>
      </c>
      <c r="K4976" s="6">
        <f>+OPERAC[[#This Row],[cantidad]]</f>
        <v/>
      </c>
      <c r="L4976" s="6">
        <f>+OPERAC[[#This Row],[cantidad venta]]*290.091</f>
        <v/>
      </c>
      <c r="M4976" s="7">
        <f>IF(N4976=0,+L4976+H4976,0)</f>
        <v/>
      </c>
      <c r="N4976" s="7">
        <f>IF((+G4976-K4976)=0,0,+G4976-K4976)</f>
        <v/>
      </c>
      <c r="O4976" s="7">
        <f>IF(N4976=0,0,(L4976+H4976)/-N4976)</f>
        <v/>
      </c>
      <c r="P4976" s="7">
        <f>VLOOKUP(OPERAC[[#This Row],[especie]],[1]!ESPECIES[#All],6,0)</f>
        <v/>
      </c>
      <c r="Q4976" s="7">
        <f>IF(N4976&lt;&gt;0,P4976*N4976,0)</f>
        <v/>
      </c>
      <c r="R4976" s="8">
        <f>IF(Q4976&lt;&gt;0,Q4976+H4976+L4976,0)</f>
        <v/>
      </c>
      <c r="S4976" s="9">
        <f>VLOOKUP(OPERAC[[#This Row],[especie]],[1]!ESPECIES[#Data],9,FALSE)</f>
        <v/>
      </c>
    </row>
    <row r="4977">
      <c r="A4977" s="4" t="n">
        <v>3867</v>
      </c>
      <c r="B4977" s="5" t="n">
        <v>44587</v>
      </c>
      <c r="C4977" s="13" t="inlineStr">
        <is>
          <t>CPR</t>
        </is>
      </c>
      <c r="D4977" s="13" t="n">
        <v>40</v>
      </c>
      <c r="E4977" s="10">
        <f>IF(D4977&gt;0,VLOOKUP(OPERAC[[#This Row],[COD CART]],[1]!MatrizCortoLargoCyl[#All],3,0),"")</f>
        <v/>
      </c>
      <c r="F4977" s="13" t="inlineStr">
        <is>
          <t>MSFT</t>
        </is>
      </c>
      <c r="G4977" s="6" t="n">
        <v>5</v>
      </c>
      <c r="H4977" s="6" t="n">
        <v>-1517.0563</v>
      </c>
      <c r="I4977" s="7">
        <f>-H4977/G4977</f>
        <v/>
      </c>
      <c r="J4977" s="11" t="n">
        <v>44606</v>
      </c>
      <c r="K4977" s="6">
        <f>+OPERAC[[#This Row],[cantidad]]</f>
        <v/>
      </c>
      <c r="L4977" s="6">
        <f>+OPERAC[[#This Row],[cantidad venta]]*290.091</f>
        <v/>
      </c>
      <c r="M4977" s="7">
        <f>IF(N4977=0,+L4977+H4977,0)</f>
        <v/>
      </c>
      <c r="N4977" s="7">
        <f>IF((+G4977-K4977)=0,0,+G4977-K4977)</f>
        <v/>
      </c>
      <c r="O4977" s="7">
        <f>IF(N4977=0,0,(L4977+H4977)/-N4977)</f>
        <v/>
      </c>
      <c r="P4977" s="7">
        <f>VLOOKUP(OPERAC[[#This Row],[especie]],[1]!ESPECIES[#All],6,0)</f>
        <v/>
      </c>
      <c r="Q4977" s="7">
        <f>IF(N4977&lt;&gt;0,P4977*N4977,0)</f>
        <v/>
      </c>
      <c r="R4977" s="8">
        <f>IF(Q4977&lt;&gt;0,Q4977+H4977+L4977,0)</f>
        <v/>
      </c>
      <c r="S4977" s="9">
        <f>VLOOKUP(OPERAC[[#This Row],[especie]],[1]!ESPECIES[#Data],9,FALSE)</f>
        <v/>
      </c>
    </row>
    <row r="4978">
      <c r="A4978" s="4" t="n">
        <v>6578</v>
      </c>
      <c r="B4978" s="5" t="n">
        <v>44587</v>
      </c>
      <c r="C4978" s="13" t="inlineStr">
        <is>
          <t>CPR</t>
        </is>
      </c>
      <c r="D4978" s="13" t="n">
        <v>40</v>
      </c>
      <c r="E4978" s="10">
        <f>IF(D4978&gt;0,VLOOKUP(OPERAC[[#This Row],[COD CART]],[1]!MatrizCortoLargoCyl[#All],3,0),"")</f>
        <v/>
      </c>
      <c r="F4978" s="13" t="inlineStr">
        <is>
          <t>MSFT</t>
        </is>
      </c>
      <c r="G4978" s="6" t="n">
        <v>5</v>
      </c>
      <c r="H4978" s="6" t="n">
        <v>-1517.0563</v>
      </c>
      <c r="I4978" s="7">
        <f>-H4978/G4978</f>
        <v/>
      </c>
      <c r="J4978" s="11" t="n">
        <v>44606</v>
      </c>
      <c r="K4978" s="6">
        <f>+OPERAC[[#This Row],[cantidad]]</f>
        <v/>
      </c>
      <c r="L4978" s="6">
        <f>+OPERAC[[#This Row],[cantidad venta]]*290.091</f>
        <v/>
      </c>
      <c r="M4978" s="7">
        <f>IF(N4978=0,+L4978+H4978,0)</f>
        <v/>
      </c>
      <c r="N4978" s="7">
        <f>IF((+G4978-K4978)=0,0,+G4978-K4978)</f>
        <v/>
      </c>
      <c r="O4978" s="7">
        <f>IF(N4978=0,0,(L4978+H4978)/-N4978)</f>
        <v/>
      </c>
      <c r="P4978" s="7">
        <f>VLOOKUP(OPERAC[[#This Row],[especie]],[1]!ESPECIES[#All],6,0)</f>
        <v/>
      </c>
      <c r="Q4978" s="7">
        <f>IF(N4978&lt;&gt;0,P4978*N4978,0)</f>
        <v/>
      </c>
      <c r="R4978" s="8">
        <f>IF(Q4978&lt;&gt;0,Q4978+H4978+L4978,0)</f>
        <v/>
      </c>
      <c r="S4978" s="9">
        <f>VLOOKUP(OPERAC[[#This Row],[especie]],[1]!ESPECIES[#Data],9,FALSE)</f>
        <v/>
      </c>
    </row>
    <row r="4979">
      <c r="A4979" s="4" t="n">
        <v>12672</v>
      </c>
      <c r="B4979" s="5" t="n">
        <v>44587</v>
      </c>
      <c r="C4979" s="13" t="inlineStr">
        <is>
          <t>CPR</t>
        </is>
      </c>
      <c r="D4979" s="13" t="n">
        <v>40</v>
      </c>
      <c r="E4979" s="10">
        <f>IF(D4979&gt;0,VLOOKUP(OPERAC[[#This Row],[COD CART]],[1]!MatrizCortoLargoCyl[#All],3,0),"")</f>
        <v/>
      </c>
      <c r="F4979" s="13" t="inlineStr">
        <is>
          <t>MSFT</t>
        </is>
      </c>
      <c r="G4979" s="6" t="n">
        <v>5</v>
      </c>
      <c r="H4979" s="6" t="n">
        <v>-1517.0563</v>
      </c>
      <c r="I4979" s="7">
        <f>-H4979/G4979</f>
        <v/>
      </c>
      <c r="J4979" s="11" t="n">
        <v>44606</v>
      </c>
      <c r="K4979" s="6">
        <f>+OPERAC[[#This Row],[cantidad]]</f>
        <v/>
      </c>
      <c r="L4979" s="6">
        <f>+OPERAC[[#This Row],[cantidad venta]]*290.091</f>
        <v/>
      </c>
      <c r="M4979" s="7">
        <f>IF(N4979=0,+L4979+H4979,0)</f>
        <v/>
      </c>
      <c r="N4979" s="7">
        <f>IF((+G4979-K4979)=0,0,+G4979-K4979)</f>
        <v/>
      </c>
      <c r="O4979" s="7">
        <f>IF(N4979=0,0,(L4979+H4979)/-N4979)</f>
        <v/>
      </c>
      <c r="P4979" s="7">
        <f>VLOOKUP(OPERAC[[#This Row],[especie]],[1]!ESPECIES[#All],6,0)</f>
        <v/>
      </c>
      <c r="Q4979" s="7">
        <f>IF(N4979&lt;&gt;0,P4979*N4979,0)</f>
        <v/>
      </c>
      <c r="R4979" s="8">
        <f>IF(Q4979&lt;&gt;0,Q4979+H4979+L4979,0)</f>
        <v/>
      </c>
      <c r="S4979" s="9">
        <f>VLOOKUP(OPERAC[[#This Row],[especie]],[1]!ESPECIES[#Data],9,FALSE)</f>
        <v/>
      </c>
    </row>
    <row r="4980">
      <c r="A4980" s="4" t="n">
        <v>12674</v>
      </c>
      <c r="B4980" s="5" t="n">
        <v>44587</v>
      </c>
      <c r="C4980" s="13" t="inlineStr">
        <is>
          <t>CPR</t>
        </is>
      </c>
      <c r="D4980" s="13" t="n">
        <v>40</v>
      </c>
      <c r="E4980" s="10">
        <f>IF(D4980&gt;0,VLOOKUP(OPERAC[[#This Row],[COD CART]],[1]!MatrizCortoLargoCyl[#All],3,0),"")</f>
        <v/>
      </c>
      <c r="F4980" s="13" t="inlineStr">
        <is>
          <t>MSFT</t>
        </is>
      </c>
      <c r="G4980" s="6" t="n">
        <v>5</v>
      </c>
      <c r="H4980" s="6" t="n">
        <v>-1517.0563</v>
      </c>
      <c r="I4980" s="7">
        <f>-H4980/G4980</f>
        <v/>
      </c>
      <c r="J4980" s="11" t="n">
        <v>44592</v>
      </c>
      <c r="K4980" s="6" t="n">
        <v>5</v>
      </c>
      <c r="L4980" s="6" t="n">
        <v>1538.872</v>
      </c>
      <c r="M4980" s="7">
        <f>IF(N4980=0,+L4980+H4980,0)</f>
        <v/>
      </c>
      <c r="N4980" s="7">
        <f>IF((+G4980-K4980)=0,0,+G4980-K4980)</f>
        <v/>
      </c>
      <c r="O4980" s="7">
        <f>IF(N4980=0,0,(L4980+H4980)/-N4980)</f>
        <v/>
      </c>
      <c r="P4980" s="7">
        <f>VLOOKUP(OPERAC[[#This Row],[especie]],[1]!ESPECIES[#All],6,0)</f>
        <v/>
      </c>
      <c r="Q4980" s="7">
        <f>IF(N4980&lt;&gt;0,P4980*N4980,0)</f>
        <v/>
      </c>
      <c r="R4980" s="8">
        <f>IF(Q4980&lt;&gt;0,Q4980+H4980+L4980,0)</f>
        <v/>
      </c>
      <c r="S4980" s="9">
        <f>VLOOKUP(OPERAC[[#This Row],[especie]],[1]!ESPECIES[#Data],9,FALSE)</f>
        <v/>
      </c>
    </row>
    <row r="4981">
      <c r="A4981" s="4" t="n">
        <v>13230</v>
      </c>
      <c r="B4981" s="5" t="n">
        <v>44587</v>
      </c>
      <c r="C4981" s="13" t="inlineStr">
        <is>
          <t>CPR</t>
        </is>
      </c>
      <c r="D4981" s="13" t="n">
        <v>40</v>
      </c>
      <c r="E4981" s="10">
        <f>IF(D4981&gt;0,VLOOKUP(OPERAC[[#This Row],[COD CART]],[1]!MatrizCortoLargoCyl[#All],3,0),"")</f>
        <v/>
      </c>
      <c r="F4981" s="13" t="inlineStr">
        <is>
          <t>MSFT</t>
        </is>
      </c>
      <c r="G4981" s="6" t="n">
        <v>5</v>
      </c>
      <c r="H4981" s="6" t="n">
        <v>-1517.0563</v>
      </c>
      <c r="I4981" s="7">
        <f>-H4981/G4981</f>
        <v/>
      </c>
      <c r="J4981" s="11" t="n">
        <v>44606</v>
      </c>
      <c r="K4981" s="6">
        <f>+OPERAC[[#This Row],[cantidad]]</f>
        <v/>
      </c>
      <c r="L4981" s="6">
        <f>+OPERAC[[#This Row],[cantidad venta]]*290.091</f>
        <v/>
      </c>
      <c r="M4981" s="7">
        <f>IF(N4981=0,+L4981+H4981,0)</f>
        <v/>
      </c>
      <c r="N4981" s="7">
        <f>IF((+G4981-K4981)=0,0,+G4981-K4981)</f>
        <v/>
      </c>
      <c r="O4981" s="7">
        <f>IF(N4981=0,0,(L4981+H4981)/-N4981)</f>
        <v/>
      </c>
      <c r="P4981" s="7">
        <f>VLOOKUP(OPERAC[[#This Row],[especie]],[1]!ESPECIES[#All],6,0)</f>
        <v/>
      </c>
      <c r="Q4981" s="7">
        <f>IF(N4981&lt;&gt;0,P4981*N4981,0)</f>
        <v/>
      </c>
      <c r="R4981" s="8">
        <f>IF(Q4981&lt;&gt;0,Q4981+H4981+L4981,0)</f>
        <v/>
      </c>
      <c r="S4981" s="9">
        <f>VLOOKUP(OPERAC[[#This Row],[especie]],[1]!ESPECIES[#Data],9,FALSE)</f>
        <v/>
      </c>
    </row>
    <row r="4982">
      <c r="A4982" s="4" t="n">
        <v>13240</v>
      </c>
      <c r="B4982" s="5" t="n">
        <v>44587</v>
      </c>
      <c r="C4982" s="13" t="inlineStr">
        <is>
          <t>CPR</t>
        </is>
      </c>
      <c r="D4982" s="13" t="n">
        <v>40</v>
      </c>
      <c r="E4982" s="10">
        <f>IF(D4982&gt;0,VLOOKUP(OPERAC[[#This Row],[COD CART]],[1]!MatrizCortoLargoCyl[#All],3,0),"")</f>
        <v/>
      </c>
      <c r="F4982" s="13" t="inlineStr">
        <is>
          <t>MSFT</t>
        </is>
      </c>
      <c r="G4982" s="6" t="n">
        <v>5</v>
      </c>
      <c r="H4982" s="6" t="n">
        <v>-1517.0563</v>
      </c>
      <c r="I4982" s="7">
        <f>-H4982/G4982</f>
        <v/>
      </c>
      <c r="J4982" s="11" t="n">
        <v>44606</v>
      </c>
      <c r="K4982" s="6">
        <f>+OPERAC[[#This Row],[cantidad]]</f>
        <v/>
      </c>
      <c r="L4982" s="6">
        <f>+OPERAC[[#This Row],[cantidad venta]]*290.091</f>
        <v/>
      </c>
      <c r="M4982" s="7">
        <f>IF(N4982=0,+L4982+H4982,0)</f>
        <v/>
      </c>
      <c r="N4982" s="7">
        <f>IF((+G4982-K4982)=0,0,+G4982-K4982)</f>
        <v/>
      </c>
      <c r="O4982" s="7">
        <f>IF(N4982=0,0,(L4982+H4982)/-N4982)</f>
        <v/>
      </c>
      <c r="P4982" s="7">
        <f>VLOOKUP(OPERAC[[#This Row],[especie]],[1]!ESPECIES[#All],6,0)</f>
        <v/>
      </c>
      <c r="Q4982" s="7">
        <f>IF(N4982&lt;&gt;0,P4982*N4982,0)</f>
        <v/>
      </c>
      <c r="R4982" s="8">
        <f>IF(Q4982&lt;&gt;0,Q4982+H4982+L4982,0)</f>
        <v/>
      </c>
      <c r="S4982" s="9">
        <f>VLOOKUP(OPERAC[[#This Row],[especie]],[1]!ESPECIES[#Data],9,FALSE)</f>
        <v/>
      </c>
    </row>
    <row r="4983">
      <c r="A4983" s="4" t="n">
        <v>13246</v>
      </c>
      <c r="B4983" s="5" t="n">
        <v>44587</v>
      </c>
      <c r="C4983" s="13" t="inlineStr">
        <is>
          <t>CPR</t>
        </is>
      </c>
      <c r="D4983" s="13" t="n">
        <v>40</v>
      </c>
      <c r="E4983" s="10">
        <f>IF(D4983&gt;0,VLOOKUP(OPERAC[[#This Row],[COD CART]],[1]!MatrizCortoLargoCyl[#All],3,0),"")</f>
        <v/>
      </c>
      <c r="F4983" s="13" t="inlineStr">
        <is>
          <t>MSFT</t>
        </is>
      </c>
      <c r="G4983" s="6" t="n">
        <v>5</v>
      </c>
      <c r="H4983" s="6" t="n">
        <v>-1517.0563</v>
      </c>
      <c r="I4983" s="7">
        <f>-H4983/G4983</f>
        <v/>
      </c>
      <c r="J4983" s="11" t="n">
        <v>44606</v>
      </c>
      <c r="K4983" s="6">
        <f>+OPERAC[[#This Row],[cantidad]]</f>
        <v/>
      </c>
      <c r="L4983" s="6">
        <f>+OPERAC[[#This Row],[cantidad venta]]*290.091</f>
        <v/>
      </c>
      <c r="M4983" s="7">
        <f>IF(N4983=0,+L4983+H4983,0)</f>
        <v/>
      </c>
      <c r="N4983" s="7">
        <f>IF((+G4983-K4983)=0,0,+G4983-K4983)</f>
        <v/>
      </c>
      <c r="O4983" s="7">
        <f>IF(N4983=0,0,(L4983+H4983)/-N4983)</f>
        <v/>
      </c>
      <c r="P4983" s="7">
        <f>VLOOKUP(OPERAC[[#This Row],[especie]],[1]!ESPECIES[#All],6,0)</f>
        <v/>
      </c>
      <c r="Q4983" s="7">
        <f>IF(N4983&lt;&gt;0,P4983*N4983,0)</f>
        <v/>
      </c>
      <c r="R4983" s="8">
        <f>IF(Q4983&lt;&gt;0,Q4983+H4983+L4983,0)</f>
        <v/>
      </c>
      <c r="S4983" s="9">
        <f>VLOOKUP(OPERAC[[#This Row],[especie]],[1]!ESPECIES[#Data],9,FALSE)</f>
        <v/>
      </c>
    </row>
    <row r="4984">
      <c r="A4984" s="4" t="n">
        <v>16795</v>
      </c>
      <c r="B4984" s="5" t="n">
        <v>44587</v>
      </c>
      <c r="C4984" s="13" t="inlineStr">
        <is>
          <t>CPR</t>
        </is>
      </c>
      <c r="D4984" s="13" t="n">
        <v>40</v>
      </c>
      <c r="E4984" s="10">
        <f>IF(D4984&gt;0,VLOOKUP(OPERAC[[#This Row],[COD CART]],[1]!MatrizCortoLargoCyl[#All],3,0),"")</f>
        <v/>
      </c>
      <c r="F4984" s="13" t="inlineStr">
        <is>
          <t>MSFT</t>
        </is>
      </c>
      <c r="G4984" s="6" t="n">
        <v>5</v>
      </c>
      <c r="H4984" s="6" t="n">
        <v>-1517.0563</v>
      </c>
      <c r="I4984" s="7">
        <f>-H4984/G4984</f>
        <v/>
      </c>
      <c r="J4984" s="11" t="n">
        <v>44606</v>
      </c>
      <c r="K4984" s="6">
        <f>+OPERAC[[#This Row],[cantidad]]</f>
        <v/>
      </c>
      <c r="L4984" s="6">
        <f>+OPERAC[[#This Row],[cantidad venta]]*290.091</f>
        <v/>
      </c>
      <c r="M4984" s="7">
        <f>IF(N4984=0,+L4984+H4984,0)</f>
        <v/>
      </c>
      <c r="N4984" s="7">
        <f>IF((+G4984-K4984)=0,0,+G4984-K4984)</f>
        <v/>
      </c>
      <c r="O4984" s="7">
        <f>IF(N4984=0,0,(L4984+H4984)/-N4984)</f>
        <v/>
      </c>
      <c r="P4984" s="7">
        <f>VLOOKUP(OPERAC[[#This Row],[especie]],[1]!ESPECIES[#All],6,0)</f>
        <v/>
      </c>
      <c r="Q4984" s="7">
        <f>IF(N4984&lt;&gt;0,P4984*N4984,0)</f>
        <v/>
      </c>
      <c r="R4984" s="8">
        <f>IF(Q4984&lt;&gt;0,Q4984+H4984+L4984,0)</f>
        <v/>
      </c>
      <c r="S4984" s="9">
        <f>VLOOKUP(OPERAC[[#This Row],[especie]],[1]!ESPECIES[#Data],9,FALSE)</f>
        <v/>
      </c>
    </row>
    <row r="4985">
      <c r="A4985" s="4" t="n">
        <v>22407</v>
      </c>
      <c r="B4985" s="5" t="n">
        <v>44587</v>
      </c>
      <c r="C4985" s="13" t="inlineStr">
        <is>
          <t>CPR</t>
        </is>
      </c>
      <c r="D4985" s="13" t="n">
        <v>40</v>
      </c>
      <c r="E4985" s="10">
        <f>IF(D4985&gt;0,VLOOKUP(OPERAC[[#This Row],[COD CART]],[1]!MatrizCortoLargoCyl[#All],3,0),"")</f>
        <v/>
      </c>
      <c r="F4985" s="13" t="inlineStr">
        <is>
          <t>MSFT</t>
        </is>
      </c>
      <c r="G4985" s="6" t="n">
        <v>5</v>
      </c>
      <c r="H4985" s="6" t="n">
        <v>-1517.0563</v>
      </c>
      <c r="I4985" s="7">
        <f>-H4985/G4985</f>
        <v/>
      </c>
      <c r="J4985" s="11" t="n">
        <v>44606</v>
      </c>
      <c r="K4985" s="6">
        <f>+OPERAC[[#This Row],[cantidad]]</f>
        <v/>
      </c>
      <c r="L4985" s="6">
        <f>+OPERAC[[#This Row],[cantidad venta]]*290.091</f>
        <v/>
      </c>
      <c r="M4985" s="7">
        <f>IF(N4985=0,+L4985+H4985,0)</f>
        <v/>
      </c>
      <c r="N4985" s="7">
        <f>IF((+G4985-K4985)=0,0,+G4985-K4985)</f>
        <v/>
      </c>
      <c r="O4985" s="7">
        <f>IF(N4985=0,0,(L4985+H4985)/-N4985)</f>
        <v/>
      </c>
      <c r="P4985" s="7">
        <f>VLOOKUP(OPERAC[[#This Row],[especie]],[1]!ESPECIES[#All],6,0)</f>
        <v/>
      </c>
      <c r="Q4985" s="7">
        <f>IF(N4985&lt;&gt;0,P4985*N4985,0)</f>
        <v/>
      </c>
      <c r="R4985" s="8">
        <f>IF(Q4985&lt;&gt;0,Q4985+H4985+L4985,0)</f>
        <v/>
      </c>
      <c r="S4985" s="9">
        <f>VLOOKUP(OPERAC[[#This Row],[especie]],[1]!ESPECIES[#Data],9,FALSE)</f>
        <v/>
      </c>
    </row>
    <row r="4986">
      <c r="A4986" s="4" t="n">
        <v>2218</v>
      </c>
      <c r="B4986" s="5" t="n">
        <v>44536</v>
      </c>
      <c r="C4986" s="13" t="inlineStr">
        <is>
          <t>CPR</t>
        </is>
      </c>
      <c r="D4986" s="13" t="n">
        <v>43</v>
      </c>
      <c r="E4986" s="10">
        <f>IF(D4986&gt;0,VLOOKUP(OPERAC[[#This Row],[COD CART]],[1]!MatrizCortoLargoCyl[#All],3,0),"")</f>
        <v/>
      </c>
      <c r="F4986" s="13" t="inlineStr">
        <is>
          <t>XSPA/CYL-PUT/1,50/20-01-23</t>
        </is>
      </c>
      <c r="G4986" s="6" t="n">
        <v>3400</v>
      </c>
      <c r="H4986" s="6">
        <f>-0.4462*OPERAC[[#This Row],[cantidad]]</f>
        <v/>
      </c>
      <c r="I4986" s="7">
        <f>-H4986/G4986</f>
        <v/>
      </c>
      <c r="J4986" s="11" t="n"/>
      <c r="K4986" s="6" t="n"/>
      <c r="L4986" s="6" t="n"/>
      <c r="M4986" s="7">
        <f>IF(N4986=0,+L4986+H4986,0)</f>
        <v/>
      </c>
      <c r="N4986" s="7">
        <f>IF((+G4986-K4986)=0,0,+G4986-K4986)</f>
        <v/>
      </c>
      <c r="O4986" s="7">
        <f>IF(N4986=0,0,(L4986+H4986)/-N4986)</f>
        <v/>
      </c>
      <c r="P4986" s="7">
        <f>VLOOKUP(OPERAC[[#This Row],[especie]],[1]!ESPECIES[#All],6,0)</f>
        <v/>
      </c>
      <c r="Q4986" s="7">
        <f>IF(N4986&lt;&gt;0,P4986*N4986,0)</f>
        <v/>
      </c>
      <c r="R4986" s="8">
        <f>IF(Q4986&lt;&gt;0,Q4986+H4986+L4986,0)</f>
        <v/>
      </c>
      <c r="S4986" s="9">
        <f>VLOOKUP(OPERAC[[#This Row],[especie]],[1]!ESPECIES[#Data],9,FALSE)</f>
        <v/>
      </c>
    </row>
    <row r="4987">
      <c r="A4987" s="4" t="n">
        <v>12690</v>
      </c>
      <c r="B4987" s="5" t="n">
        <v>44552</v>
      </c>
      <c r="C4987" s="13" t="inlineStr">
        <is>
          <t>CPR</t>
        </is>
      </c>
      <c r="D4987" s="13" t="n">
        <v>32</v>
      </c>
      <c r="E4987" s="10">
        <f>IF(D4987&gt;0,VLOOKUP(OPERAC[[#This Row],[COD CART]],[1]!MatrizCortoLargoCyl[#All],3,0),"")</f>
        <v/>
      </c>
      <c r="F4987" s="13" t="inlineStr">
        <is>
          <t>HMY/CYL/4,00/21-01-22</t>
        </is>
      </c>
      <c r="G4987" s="6" t="n">
        <v>400</v>
      </c>
      <c r="H4987" s="6">
        <f>-3.8*OPERAC[[#This Row],[cantidad]]</f>
        <v/>
      </c>
      <c r="I4987" s="7">
        <f>-H4987/G4987</f>
        <v/>
      </c>
      <c r="J4987" s="11" t="n">
        <v>44580</v>
      </c>
      <c r="K4987" s="6" t="n">
        <v>400</v>
      </c>
      <c r="L4987" s="6" t="n">
        <v>1575.71</v>
      </c>
      <c r="M4987" s="7">
        <f>IF(N4987=0,+L4987+H4987,0)</f>
        <v/>
      </c>
      <c r="N4987" s="7">
        <f>IF((+G4987-K4987)=0,0,+G4987-K4987)</f>
        <v/>
      </c>
      <c r="O4987" s="7">
        <f>IF(N4987=0,0,(L4987+H4987)/-N4987)</f>
        <v/>
      </c>
      <c r="P4987" s="7">
        <f>VLOOKUP(OPERAC[[#This Row],[especie]],[1]!ESPECIES[#All],6,0)</f>
        <v/>
      </c>
      <c r="Q4987" s="7">
        <f>IF(N4987&lt;&gt;0,P4987*N4987,0)</f>
        <v/>
      </c>
      <c r="R4987" s="8">
        <f>IF(Q4987&lt;&gt;0,Q4987+H4987+L4987,0)</f>
        <v/>
      </c>
      <c r="S4987" s="9">
        <f>VLOOKUP(OPERAC[[#This Row],[especie]],[1]!ESPECIES[#Data],9,FALSE)</f>
        <v/>
      </c>
    </row>
    <row r="4988">
      <c r="A4988" s="4" t="n">
        <v>15194</v>
      </c>
      <c r="B4988" s="5" t="n">
        <v>44643</v>
      </c>
      <c r="C4988" s="13" t="inlineStr">
        <is>
          <t>CPR</t>
        </is>
      </c>
      <c r="D4988" s="13" t="n">
        <v>32</v>
      </c>
      <c r="E4988" s="10">
        <f>IF(D4988&gt;0,VLOOKUP(OPERAC[[#This Row],[COD CART]],[1]!MatrizCortoLargoCyl[#All],3,0),"")</f>
        <v/>
      </c>
      <c r="F4988" s="13" t="inlineStr">
        <is>
          <t>AMC/CYL/16,00/14-04-22</t>
        </is>
      </c>
      <c r="G4988" s="6" t="n">
        <v>100</v>
      </c>
      <c r="H4988" s="6" t="n">
        <v>-1520.614</v>
      </c>
      <c r="I4988" s="7">
        <f>-H4988/G4988</f>
        <v/>
      </c>
      <c r="J4988" s="11" t="n">
        <v>44648</v>
      </c>
      <c r="K4988" s="6">
        <f>+OPERAC[[#This Row],[cantidad]]</f>
        <v/>
      </c>
      <c r="L4988" s="6" t="n">
        <v>1581.776</v>
      </c>
      <c r="M4988" s="7">
        <f>IF(N4988=0,+L4988+H4988,0)</f>
        <v/>
      </c>
      <c r="N4988" s="7">
        <f>IF((+G4988-K4988)=0,0,+G4988-K4988)</f>
        <v/>
      </c>
      <c r="O4988" s="7">
        <f>IF(N4988=0,0,(L4988+H4988)/-N4988)</f>
        <v/>
      </c>
      <c r="P4988" s="7">
        <f>VLOOKUP(OPERAC[[#This Row],[especie]],[1]!ESPECIES[#All],6,0)</f>
        <v/>
      </c>
      <c r="Q4988" s="7">
        <f>IF(N4988&lt;&gt;0,P4988*N4988,0)</f>
        <v/>
      </c>
      <c r="R4988" s="8">
        <f>IF(Q4988&lt;&gt;0,Q4988+H4988+L4988,0)</f>
        <v/>
      </c>
      <c r="S4988" s="9">
        <f>VLOOKUP(OPERAC[[#This Row],[especie]],[1]!ESPECIES[#Data],9,FALSE)</f>
        <v/>
      </c>
    </row>
    <row r="4989">
      <c r="A4989" s="4" t="n">
        <v>18690</v>
      </c>
      <c r="B4989" s="5" t="n">
        <v>44551</v>
      </c>
      <c r="C4989" s="13" t="inlineStr">
        <is>
          <t>VTA</t>
        </is>
      </c>
      <c r="D4989" s="13" t="n">
        <v>40</v>
      </c>
      <c r="E4989" s="10">
        <f>IF(D4989&gt;0,VLOOKUP(OPERAC[[#This Row],[COD CART]],[1]!MatrizCortoLargoCyl[#All],3,0),"")</f>
        <v/>
      </c>
      <c r="F4989" s="13" t="inlineStr">
        <is>
          <t>EDIT</t>
        </is>
      </c>
      <c r="G4989" s="6" t="n">
        <v>50</v>
      </c>
      <c r="H4989" s="6" t="n">
        <v>-1521.31</v>
      </c>
      <c r="I4989" s="7">
        <f>-H4989/G4989</f>
        <v/>
      </c>
      <c r="J4989" s="11" t="n">
        <v>44606</v>
      </c>
      <c r="K4989" s="6" t="n">
        <v>50</v>
      </c>
      <c r="L4989" s="6" t="n">
        <v>803.259</v>
      </c>
      <c r="M4989" s="7">
        <f>IF(N4989=0,+L4989+H4989,0)</f>
        <v/>
      </c>
      <c r="N4989" s="7">
        <f>IF((+G4989-K4989)=0,0,+G4989-K4989)</f>
        <v/>
      </c>
      <c r="O4989" s="7">
        <f>IF(N4989=0,0,(L4989+H4989)/-N4989)</f>
        <v/>
      </c>
      <c r="P4989" s="7">
        <f>VLOOKUP(OPERAC[[#This Row],[especie]],[1]!ESPECIES[#All],6,0)</f>
        <v/>
      </c>
      <c r="Q4989" s="7">
        <f>IF(N4989&lt;&gt;0,P4989*N4989,0)</f>
        <v/>
      </c>
      <c r="R4989" s="8">
        <f>IF(Q4989&lt;&gt;0,Q4989+H4989+L4989,0)</f>
        <v/>
      </c>
      <c r="S4989" s="9">
        <f>VLOOKUP(OPERAC[[#This Row],[especie]],[1]!ESPECIES[#Data],9,FALSE)</f>
        <v/>
      </c>
    </row>
    <row r="4990">
      <c r="A4990" s="4" t="n">
        <v>3835</v>
      </c>
      <c r="B4990" s="5" t="n">
        <v>44615</v>
      </c>
      <c r="C4990" s="13" t="inlineStr">
        <is>
          <t>VTA</t>
        </is>
      </c>
      <c r="D4990" s="13" t="n">
        <v>39</v>
      </c>
      <c r="E4990" s="10">
        <f>IF(D4990&gt;0,VLOOKUP(OPERAC[[#This Row],[COD CART]],[1]!MatrizCortoLargoCyl[#All],3,0),"")</f>
        <v/>
      </c>
      <c r="F4990" s="13" t="inlineStr">
        <is>
          <t>HEXO/C/0,50/20-01-23</t>
        </is>
      </c>
      <c r="G4990" s="6" t="n">
        <v>5000</v>
      </c>
      <c r="H4990" s="6" t="n">
        <v>-1521.46</v>
      </c>
      <c r="I4990" s="7">
        <f>-H4990/G4990</f>
        <v/>
      </c>
      <c r="J4990" s="11" t="n">
        <v>44645</v>
      </c>
      <c r="K4990" s="6" t="n">
        <v>5000</v>
      </c>
      <c r="L4990" s="6" t="n">
        <v>1863.02</v>
      </c>
      <c r="M4990" s="7">
        <f>IF(N4990=0,+L4990+H4990,0)</f>
        <v/>
      </c>
      <c r="N4990" s="7">
        <f>IF((+G4990-K4990)=0,0,+G4990-K4990)</f>
        <v/>
      </c>
      <c r="O4990" s="7">
        <f>IF(N4990=0,0,(L4990+H4990)/-N4990)</f>
        <v/>
      </c>
      <c r="P4990" s="7">
        <f>VLOOKUP(OPERAC[[#This Row],[especie]],[1]!ESPECIES[#All],6,0)</f>
        <v/>
      </c>
      <c r="Q4990" s="7">
        <f>IF(N4990&lt;&gt;0,P4990*N4990,0)</f>
        <v/>
      </c>
      <c r="R4990" s="8">
        <f>IF(Q4990&lt;&gt;0,Q4990+H4990+L4990,0)</f>
        <v/>
      </c>
      <c r="S4990" s="9">
        <f>VLOOKUP(OPERAC[[#This Row],[especie]],[1]!ESPECIES[#Data],9,FALSE)</f>
        <v/>
      </c>
    </row>
    <row r="4991">
      <c r="A4991" s="4" t="n">
        <v>15195</v>
      </c>
      <c r="B4991" s="5" t="n">
        <v>44586</v>
      </c>
      <c r="C4991" s="13" t="inlineStr">
        <is>
          <t>VTA</t>
        </is>
      </c>
      <c r="D4991" s="13" t="n">
        <v>43</v>
      </c>
      <c r="E4991" s="10">
        <f>IF(D4991&gt;0,VLOOKUP(OPERAC[[#This Row],[COD CART]],[1]!MatrizCortoLargoCyl[#All],3,0),"")</f>
        <v/>
      </c>
      <c r="F4991" s="13" t="inlineStr">
        <is>
          <t>GMBL/CYL-PUT/2,50/20-01-23</t>
        </is>
      </c>
      <c r="G4991" s="6" t="n">
        <v>1500</v>
      </c>
      <c r="H4991" s="6" t="n">
        <v>-1524.062300000001</v>
      </c>
      <c r="I4991" s="7">
        <f>-H4991/G4991</f>
        <v/>
      </c>
      <c r="J4991" s="11" t="n">
        <v>44636</v>
      </c>
      <c r="K4991" s="6" t="n">
        <v>1500</v>
      </c>
      <c r="L4991" s="6">
        <f>-1.36*OPERAC[[#This Row],[cantidad venta]]</f>
        <v/>
      </c>
      <c r="M4991" s="7">
        <f>IF(N4991=0,+L4991+H4991,0)</f>
        <v/>
      </c>
      <c r="N4991" s="7">
        <f>IF((+G4991-K4991)=0,0,+G4991-K4991)</f>
        <v/>
      </c>
      <c r="O4991" s="7">
        <f>IF(N4991=0,0,(L4991+H4991)/-N4991)</f>
        <v/>
      </c>
      <c r="P4991" s="7">
        <f>VLOOKUP(OPERAC[[#This Row],[especie]],[1]!ESPECIES[#All],6,0)</f>
        <v/>
      </c>
      <c r="Q4991" s="7">
        <f>IF(N4991&lt;&gt;0,P4991*N4991,0)</f>
        <v/>
      </c>
      <c r="R4991" s="8">
        <f>IF(Q4991&lt;&gt;0,Q4991+H4991+L4991,0)</f>
        <v/>
      </c>
      <c r="S4991" s="9">
        <f>VLOOKUP(OPERAC[[#This Row],[especie]],[1]!ESPECIES[#Data],9,FALSE)</f>
        <v/>
      </c>
    </row>
    <row r="4992">
      <c r="A4992" s="4" t="n">
        <v>16824</v>
      </c>
      <c r="B4992" s="5" t="n">
        <v>44586</v>
      </c>
      <c r="C4992" s="13" t="inlineStr">
        <is>
          <t>VTA</t>
        </is>
      </c>
      <c r="D4992" s="13" t="n">
        <v>43</v>
      </c>
      <c r="E4992" s="10">
        <f>IF(D4992&gt;0,VLOOKUP(OPERAC[[#This Row],[COD CART]],[1]!MatrizCortoLargoCyl[#All],3,0),"")</f>
        <v/>
      </c>
      <c r="F4992" s="13" t="inlineStr">
        <is>
          <t>GMBL/CYL-PUT/2,50/20-01-23</t>
        </is>
      </c>
      <c r="G4992" s="6" t="n">
        <v>1500</v>
      </c>
      <c r="H4992" s="6" t="n">
        <v>-1524.062300000001</v>
      </c>
      <c r="I4992" s="7">
        <f>-H4992/G4992</f>
        <v/>
      </c>
      <c r="J4992" s="11" t="n">
        <v>44636</v>
      </c>
      <c r="K4992" s="6" t="n">
        <v>1500</v>
      </c>
      <c r="L4992" s="6">
        <f>-1.36*OPERAC[[#This Row],[cantidad venta]]</f>
        <v/>
      </c>
      <c r="M4992" s="7">
        <f>IF(N4992=0,+L4992+H4992,0)</f>
        <v/>
      </c>
      <c r="N4992" s="7">
        <f>IF((+G4992-K4992)=0,0,+G4992-K4992)</f>
        <v/>
      </c>
      <c r="O4992" s="7">
        <f>IF(N4992=0,0,(L4992+H4992)/-N4992)</f>
        <v/>
      </c>
      <c r="P4992" s="7">
        <f>VLOOKUP(OPERAC[[#This Row],[especie]],[1]!ESPECIES[#All],6,0)</f>
        <v/>
      </c>
      <c r="Q4992" s="7">
        <f>IF(N4992&lt;&gt;0,P4992*N4992,0)</f>
        <v/>
      </c>
      <c r="R4992" s="8">
        <f>IF(Q4992&lt;&gt;0,Q4992+H4992+L4992,0)</f>
        <v/>
      </c>
      <c r="S4992" s="9">
        <f>VLOOKUP(OPERAC[[#This Row],[especie]],[1]!ESPECIES[#Data],9,FALSE)</f>
        <v/>
      </c>
    </row>
    <row r="4993">
      <c r="A4993" s="4" t="n">
        <v>19878</v>
      </c>
      <c r="B4993" s="5" t="n">
        <v>44586</v>
      </c>
      <c r="C4993" s="13" t="inlineStr">
        <is>
          <t>VTA</t>
        </is>
      </c>
      <c r="D4993" s="13" t="n">
        <v>43</v>
      </c>
      <c r="E4993" s="10">
        <f>IF(D4993&gt;0,VLOOKUP(OPERAC[[#This Row],[COD CART]],[1]!MatrizCortoLargoCyl[#All],3,0),"")</f>
        <v/>
      </c>
      <c r="F4993" s="13" t="inlineStr">
        <is>
          <t>GMBL/CYL-PUT/2,50/20-01-23</t>
        </is>
      </c>
      <c r="G4993" s="6" t="n">
        <v>1500</v>
      </c>
      <c r="H4993" s="6" t="n">
        <v>-1524.062300000001</v>
      </c>
      <c r="I4993" s="7">
        <f>-H4993/G4993</f>
        <v/>
      </c>
      <c r="J4993" s="11" t="n"/>
      <c r="K4993" s="6" t="n"/>
      <c r="L4993" s="6" t="n"/>
      <c r="M4993" s="7">
        <f>IF(N4993=0,+L4993+H4993,0)</f>
        <v/>
      </c>
      <c r="N4993" s="7">
        <f>IF((+G4993-K4993)=0,0,+G4993-K4993)</f>
        <v/>
      </c>
      <c r="O4993" s="7">
        <f>IF(N4993=0,0,(L4993+H4993)/-N4993)</f>
        <v/>
      </c>
      <c r="P4993" s="7">
        <f>VLOOKUP(OPERAC[[#This Row],[especie]],[1]!ESPECIES[#All],6,0)</f>
        <v/>
      </c>
      <c r="Q4993" s="7">
        <f>IF(N4993&lt;&gt;0,P4993*N4993,0)</f>
        <v/>
      </c>
      <c r="R4993" s="8">
        <f>IF(Q4993&lt;&gt;0,Q4993+H4993+L4993,0)</f>
        <v/>
      </c>
      <c r="S4993" s="9">
        <f>VLOOKUP(OPERAC[[#This Row],[especie]],[1]!ESPECIES[#Data],9,FALSE)</f>
        <v/>
      </c>
    </row>
    <row r="4994">
      <c r="A4994" s="4" t="n">
        <v>22407</v>
      </c>
      <c r="B4994" s="5" t="n">
        <v>44586</v>
      </c>
      <c r="C4994" s="13" t="inlineStr">
        <is>
          <t>VTA</t>
        </is>
      </c>
      <c r="D4994" s="13" t="n">
        <v>43</v>
      </c>
      <c r="E4994" s="10">
        <f>IF(D4994&gt;0,VLOOKUP(OPERAC[[#This Row],[COD CART]],[1]!MatrizCortoLargoCyl[#All],3,0),"")</f>
        <v/>
      </c>
      <c r="F4994" s="13" t="inlineStr">
        <is>
          <t>GMBL/CYL-PUT/2,50/20-01-23</t>
        </is>
      </c>
      <c r="G4994" s="6" t="n">
        <v>1500</v>
      </c>
      <c r="H4994" s="6" t="n">
        <v>-1524.062300000001</v>
      </c>
      <c r="I4994" s="7">
        <f>-H4994/G4994</f>
        <v/>
      </c>
      <c r="J4994" s="11" t="n"/>
      <c r="K4994" s="6" t="n"/>
      <c r="L4994" s="6" t="n"/>
      <c r="M4994" s="7">
        <f>IF(N4994=0,+L4994+H4994,0)</f>
        <v/>
      </c>
      <c r="N4994" s="7">
        <f>IF((+G4994-K4994)=0,0,+G4994-K4994)</f>
        <v/>
      </c>
      <c r="O4994" s="7">
        <f>IF(N4994=0,0,(L4994+H4994)/-N4994)</f>
        <v/>
      </c>
      <c r="P4994" s="7">
        <f>VLOOKUP(OPERAC[[#This Row],[especie]],[1]!ESPECIES[#All],6,0)</f>
        <v/>
      </c>
      <c r="Q4994" s="7">
        <f>IF(N4994&lt;&gt;0,P4994*N4994,0)</f>
        <v/>
      </c>
      <c r="R4994" s="8">
        <f>IF(Q4994&lt;&gt;0,Q4994+H4994+L4994,0)</f>
        <v/>
      </c>
      <c r="S4994" s="9">
        <f>VLOOKUP(OPERAC[[#This Row],[especie]],[1]!ESPECIES[#Data],9,FALSE)</f>
        <v/>
      </c>
    </row>
    <row r="4995">
      <c r="A4995" s="4" t="n">
        <v>26140</v>
      </c>
      <c r="B4995" s="5" t="n">
        <v>44586</v>
      </c>
      <c r="C4995" s="13" t="inlineStr">
        <is>
          <t>VTA</t>
        </is>
      </c>
      <c r="D4995" s="13" t="n">
        <v>43</v>
      </c>
      <c r="E4995" s="10">
        <f>IF(D4995&gt;0,VLOOKUP(OPERAC[[#This Row],[COD CART]],[1]!MatrizCortoLargoCyl[#All],3,0),"")</f>
        <v/>
      </c>
      <c r="F4995" s="13" t="inlineStr">
        <is>
          <t>GMBL/CYL-PUT/2,50/20-01-23</t>
        </is>
      </c>
      <c r="G4995" s="6" t="n">
        <v>1500</v>
      </c>
      <c r="H4995" s="6" t="n">
        <v>-1524.062300000001</v>
      </c>
      <c r="I4995" s="7">
        <f>-H4995/G4995</f>
        <v/>
      </c>
      <c r="J4995" s="11" t="n">
        <v>44636</v>
      </c>
      <c r="K4995" s="6" t="n">
        <v>1500</v>
      </c>
      <c r="L4995" s="6">
        <f>-1.36*OPERAC[[#This Row],[cantidad venta]]</f>
        <v/>
      </c>
      <c r="M4995" s="7">
        <f>IF(N4995=0,+L4995+H4995,0)</f>
        <v/>
      </c>
      <c r="N4995" s="7">
        <f>IF((+G4995-K4995)=0,0,+G4995-K4995)</f>
        <v/>
      </c>
      <c r="O4995" s="7">
        <f>IF(N4995=0,0,(L4995+H4995)/-N4995)</f>
        <v/>
      </c>
      <c r="P4995" s="7">
        <f>VLOOKUP(OPERAC[[#This Row],[especie]],[1]!ESPECIES[#All],6,0)</f>
        <v/>
      </c>
      <c r="Q4995" s="7">
        <f>IF(N4995&lt;&gt;0,P4995*N4995,0)</f>
        <v/>
      </c>
      <c r="R4995" s="8">
        <f>IF(Q4995&lt;&gt;0,Q4995+H4995+L4995,0)</f>
        <v/>
      </c>
      <c r="S4995" s="9">
        <f>VLOOKUP(OPERAC[[#This Row],[especie]],[1]!ESPECIES[#Data],9,FALSE)</f>
        <v/>
      </c>
    </row>
    <row r="4996">
      <c r="A4996" s="4" t="n">
        <v>13240</v>
      </c>
      <c r="B4996" s="5" t="n">
        <v>44616</v>
      </c>
      <c r="C4996" s="13" t="inlineStr">
        <is>
          <t>VTA</t>
        </is>
      </c>
      <c r="D4996" s="13" t="n">
        <v>32</v>
      </c>
      <c r="E4996" s="10">
        <f>IF(D4996&gt;0,VLOOKUP(OPERAC[[#This Row],[COD CART]],[1]!MatrizCortoLargoCyl[#All],3,0),"")</f>
        <v/>
      </c>
      <c r="F4996" s="13" t="inlineStr">
        <is>
          <t>TEVA/CYL/8,00/18-03-22</t>
        </is>
      </c>
      <c r="G4996" s="6" t="n">
        <v>200</v>
      </c>
      <c r="H4996" s="6" t="n">
        <v>-1524.5108</v>
      </c>
      <c r="I4996" s="7">
        <f>-H4996/G4996</f>
        <v/>
      </c>
      <c r="J4996" s="11" t="n">
        <v>44638</v>
      </c>
      <c r="K4996" s="6" t="n">
        <v>200</v>
      </c>
      <c r="L4996" s="6">
        <f>7.8242*OPERAC[[#This Row],[cantidad venta]]</f>
        <v/>
      </c>
      <c r="M4996" s="7">
        <f>IF(N4996=0,+L4996+H4996,0)</f>
        <v/>
      </c>
      <c r="N4996" s="7">
        <f>IF((+G4996-K4996)=0,0,+G4996-K4996)</f>
        <v/>
      </c>
      <c r="O4996" s="7">
        <f>IF(N4996=0,0,(L4996+H4996)/-N4996)</f>
        <v/>
      </c>
      <c r="P4996" s="7">
        <f>VLOOKUP(OPERAC[[#This Row],[especie]],[1]!ESPECIES[#All],6,0)</f>
        <v/>
      </c>
      <c r="Q4996" s="7">
        <f>IF(N4996&lt;&gt;0,P4996*N4996,0)</f>
        <v/>
      </c>
      <c r="R4996" s="8">
        <f>IF(Q4996&lt;&gt;0,Q4996+H4996+L4996,0)</f>
        <v/>
      </c>
      <c r="S4996" s="9">
        <f>VLOOKUP(OPERAC[[#This Row],[especie]],[1]!ESPECIES[#Data],9,FALSE)</f>
        <v/>
      </c>
    </row>
    <row r="4997">
      <c r="A4997" s="4" t="n">
        <v>3867</v>
      </c>
      <c r="B4997" s="5" t="n">
        <v>44655</v>
      </c>
      <c r="C4997" s="13" t="inlineStr">
        <is>
          <t>VTA</t>
        </is>
      </c>
      <c r="D4997" s="13" t="n">
        <v>32</v>
      </c>
      <c r="E4997" s="10">
        <f>IF(D4997&gt;0,VLOOKUP(OPERAC[[#This Row],[COD CART]],[1]!MatrizCortoLargoCyl[#All],3,0),"")</f>
        <v/>
      </c>
      <c r="F4997" s="13" t="inlineStr">
        <is>
          <t>F/CYL/16,00/15-07-22</t>
        </is>
      </c>
      <c r="G4997" s="6" t="n">
        <v>100</v>
      </c>
      <c r="H4997" s="6">
        <f>-1535.73+10.907</f>
        <v/>
      </c>
      <c r="I4997" s="7">
        <f>-H4997/G4997</f>
        <v/>
      </c>
      <c r="J4997" s="11" t="n"/>
      <c r="K4997" s="6" t="n"/>
      <c r="L4997" s="6" t="n"/>
      <c r="M4997" s="7">
        <f>IF(N4997=0,+L4997+H4997,0)</f>
        <v/>
      </c>
      <c r="N4997" s="7">
        <f>IF((+G4997-K4997)=0,0,+G4997-K4997)</f>
        <v/>
      </c>
      <c r="O4997" s="7">
        <f>IF(N4997=0,0,(L4997+H4997)/-N4997)</f>
        <v/>
      </c>
      <c r="P4997" s="7">
        <f>VLOOKUP(OPERAC[[#This Row],[especie]],[1]!ESPECIES[#All],6,0)</f>
        <v/>
      </c>
      <c r="Q4997" s="7">
        <f>IF(N4997&lt;&gt;0,P4997*N4997,0)</f>
        <v/>
      </c>
      <c r="R4997" s="8">
        <f>IF(Q4997&lt;&gt;0,Q4997+H4997+L4997,0)</f>
        <v/>
      </c>
      <c r="S4997" s="9">
        <f>VLOOKUP(OPERAC[[#This Row],[especie]],[1]!ESPECIES[#Data],9,FALSE)</f>
        <v/>
      </c>
    </row>
    <row r="4998">
      <c r="A4998" s="4" t="n">
        <v>3728</v>
      </c>
      <c r="B4998" s="5" t="n">
        <v>44575</v>
      </c>
      <c r="C4998" s="13" t="inlineStr">
        <is>
          <t>VTA</t>
        </is>
      </c>
      <c r="D4998" s="13" t="n">
        <v>40</v>
      </c>
      <c r="E4998" s="10">
        <f>IF(D4998&gt;0,VLOOKUP(OPERAC[[#This Row],[COD CART]],[1]!MatrizCortoLargoCyl[#All],3,0),"")</f>
        <v/>
      </c>
      <c r="F4998" s="13" t="inlineStr">
        <is>
          <t>GBTC</t>
        </is>
      </c>
      <c r="G4998" s="6" t="n">
        <v>50</v>
      </c>
      <c r="H4998" s="6" t="n">
        <v>-1529.778</v>
      </c>
      <c r="I4998" s="7">
        <f>-H4998/G4998</f>
        <v/>
      </c>
      <c r="J4998" s="11" t="n">
        <v>44651</v>
      </c>
      <c r="K4998" s="6">
        <f>+OPERAC[[#This Row],[cantidad]]</f>
        <v/>
      </c>
      <c r="L4998" s="6">
        <f>+OPERAC[[#This Row],[cantidad venta]]*31.332</f>
        <v/>
      </c>
      <c r="M4998" s="7">
        <f>IF(N4998=0,+L4998+H4998,0)</f>
        <v/>
      </c>
      <c r="N4998" s="7">
        <f>IF((+G4998-K4998)=0,0,+G4998-K4998)</f>
        <v/>
      </c>
      <c r="O4998" s="7">
        <f>IF(N4998=0,0,(L4998+H4998)/-N4998)</f>
        <v/>
      </c>
      <c r="P4998" s="7">
        <f>VLOOKUP(OPERAC[[#This Row],[especie]],[1]!ESPECIES[#All],6,0)</f>
        <v/>
      </c>
      <c r="Q4998" s="7">
        <f>IF(N4998&lt;&gt;0,P4998*N4998,0)</f>
        <v/>
      </c>
      <c r="R4998" s="8">
        <f>IF(Q4998&lt;&gt;0,Q4998+H4998+L4998,0)</f>
        <v/>
      </c>
      <c r="S4998" s="9">
        <f>VLOOKUP(OPERAC[[#This Row],[especie]],[1]!ESPECIES[#Data],9,FALSE)</f>
        <v/>
      </c>
    </row>
    <row r="4999">
      <c r="A4999" s="4" t="n">
        <v>18651</v>
      </c>
      <c r="B4999" s="5" t="n">
        <v>44537</v>
      </c>
      <c r="C4999" s="13" t="inlineStr">
        <is>
          <t>VTA</t>
        </is>
      </c>
      <c r="D4999" s="13" t="n">
        <v>43</v>
      </c>
      <c r="E4999" s="10">
        <f>IF(D4999&gt;0,VLOOKUP(OPERAC[[#This Row],[COD CART]],[1]!MatrizCortoLargoCyl[#All],3,0),"")</f>
        <v/>
      </c>
      <c r="F4999" s="13" t="inlineStr">
        <is>
          <t>HEXO/CYL-PUT/1,00/20-01-23</t>
        </is>
      </c>
      <c r="G4999" s="6" t="n">
        <v>8500</v>
      </c>
      <c r="H4999" s="6">
        <f>-0.18*OPERAC[[#This Row],[cantidad]]</f>
        <v/>
      </c>
      <c r="I4999" s="7">
        <f>-H4999/G4999</f>
        <v/>
      </c>
      <c r="J4999" s="11" t="n">
        <v>44615</v>
      </c>
      <c r="K4999" s="6" t="n">
        <v>8500</v>
      </c>
      <c r="L4999" s="6" t="n">
        <v>2787.43</v>
      </c>
      <c r="M4999" s="7">
        <f>IF(N4999=0,+L4999+H4999,0)</f>
        <v/>
      </c>
      <c r="N4999" s="7">
        <f>IF((+G4999-K4999)=0,0,+G4999-K4999)</f>
        <v/>
      </c>
      <c r="O4999" s="7">
        <f>IF(N4999=0,0,(L4999+H4999)/-N4999)</f>
        <v/>
      </c>
      <c r="P4999" s="7">
        <f>VLOOKUP(OPERAC[[#This Row],[especie]],[1]!ESPECIES[#All],6,0)</f>
        <v/>
      </c>
      <c r="Q4999" s="7">
        <f>IF(N4999&lt;&gt;0,P4999*N4999,0)</f>
        <v/>
      </c>
      <c r="R4999" s="8">
        <f>IF(Q4999&lt;&gt;0,Q4999+H4999+L4999,0)</f>
        <v/>
      </c>
      <c r="S4999" s="9">
        <f>VLOOKUP(OPERAC[[#This Row],[especie]],[1]!ESPECIES[#Data],9,FALSE)</f>
        <v/>
      </c>
    </row>
    <row r="5000">
      <c r="A5000" s="4" t="n">
        <v>2253</v>
      </c>
      <c r="B5000" s="5" t="n">
        <v>44533</v>
      </c>
      <c r="C5000" s="13" t="inlineStr">
        <is>
          <t>VTA</t>
        </is>
      </c>
      <c r="D5000" s="13" t="n">
        <v>32</v>
      </c>
      <c r="E5000" s="10">
        <f>IF(D5000&gt;0,VLOOKUP(OPERAC[[#This Row],[COD CART]],[1]!MatrizCortoLargoCyl[#All],3,0),"")</f>
        <v/>
      </c>
      <c r="F5000" s="13" t="inlineStr">
        <is>
          <t>AAL/CYL/20,00/14-04-22</t>
        </is>
      </c>
      <c r="G5000" s="6" t="n">
        <v>100</v>
      </c>
      <c r="H5000" s="6">
        <f>-1601.578+10.412+37.074+21.543</f>
        <v/>
      </c>
      <c r="I5000" s="7">
        <f>-H5000/G5000</f>
        <v/>
      </c>
      <c r="J5000" s="11" t="n">
        <v>44665</v>
      </c>
      <c r="K5000" s="6" t="n">
        <v>100</v>
      </c>
      <c r="L5000" s="6" t="n">
        <v>1935</v>
      </c>
      <c r="M5000" s="7">
        <f>IF(N5000=0,+L5000+H5000,0)</f>
        <v/>
      </c>
      <c r="N5000" s="7">
        <f>IF((+G5000-K5000)=0,0,+G5000-K5000)</f>
        <v/>
      </c>
      <c r="O5000" s="7">
        <f>IF(N5000=0,0,(L5000+H5000)/-N5000)</f>
        <v/>
      </c>
      <c r="P5000" s="7">
        <f>VLOOKUP(OPERAC[[#This Row],[especie]],[1]!ESPECIES[#All],6,0)</f>
        <v/>
      </c>
      <c r="Q5000" s="7">
        <f>IF(N5000&lt;&gt;0,P5000*N5000,0)</f>
        <v/>
      </c>
      <c r="R5000" s="8">
        <f>IF(Q5000&lt;&gt;0,Q5000+H5000+L5000,0)</f>
        <v/>
      </c>
      <c r="S5000" s="9">
        <f>VLOOKUP(OPERAC[[#This Row],[especie]],[1]!ESPECIES[#Data],9,FALSE)</f>
        <v/>
      </c>
    </row>
    <row r="5001">
      <c r="A5001" s="4" t="n">
        <v>2257</v>
      </c>
      <c r="B5001" s="5" t="n">
        <v>44533</v>
      </c>
      <c r="C5001" s="13" t="inlineStr">
        <is>
          <t>VTA</t>
        </is>
      </c>
      <c r="D5001" s="13" t="n">
        <v>32</v>
      </c>
      <c r="E5001" s="10">
        <f>IF(D5001&gt;0,VLOOKUP(OPERAC[[#This Row],[COD CART]],[1]!MatrizCortoLargoCyl[#All],3,0),"")</f>
        <v/>
      </c>
      <c r="F5001" s="13" t="inlineStr">
        <is>
          <t>AAL/CYL/20,00/14-04-22</t>
        </is>
      </c>
      <c r="G5001" s="6" t="n">
        <v>100</v>
      </c>
      <c r="H5001" s="6">
        <f>-16.02*OPERAC[[#This Row],[cantidad]]+10.412+37.074+21.543</f>
        <v/>
      </c>
      <c r="I5001" s="7">
        <f>-H5001/G5001</f>
        <v/>
      </c>
      <c r="J5001" s="11" t="n">
        <v>44665</v>
      </c>
      <c r="K5001" s="6" t="n">
        <v>100</v>
      </c>
      <c r="L5001" s="6" t="n">
        <v>1935</v>
      </c>
      <c r="M5001" s="7">
        <f>IF(N5001=0,+L5001+H5001,0)</f>
        <v/>
      </c>
      <c r="N5001" s="7">
        <f>IF((+G5001-K5001)=0,0,+G5001-K5001)</f>
        <v/>
      </c>
      <c r="O5001" s="7">
        <f>IF(N5001=0,0,(L5001+H5001)/-N5001)</f>
        <v/>
      </c>
      <c r="P5001" s="7">
        <f>VLOOKUP(OPERAC[[#This Row],[especie]],[1]!ESPECIES[#All],6,0)</f>
        <v/>
      </c>
      <c r="Q5001" s="7">
        <f>IF(N5001&lt;&gt;0,P5001*N5001,0)</f>
        <v/>
      </c>
      <c r="R5001" s="8">
        <f>IF(Q5001&lt;&gt;0,Q5001+H5001+L5001,0)</f>
        <v/>
      </c>
      <c r="S5001" s="9">
        <f>VLOOKUP(OPERAC[[#This Row],[especie]],[1]!ESPECIES[#Data],9,FALSE)</f>
        <v/>
      </c>
    </row>
    <row r="5002">
      <c r="A5002" s="4" t="n">
        <v>16795</v>
      </c>
      <c r="B5002" s="5" t="n">
        <v>44533</v>
      </c>
      <c r="C5002" s="13" t="inlineStr">
        <is>
          <t>VTA</t>
        </is>
      </c>
      <c r="D5002" s="13" t="n">
        <v>32</v>
      </c>
      <c r="E5002" s="10">
        <f>IF(D5002&gt;0,VLOOKUP(OPERAC[[#This Row],[COD CART]],[1]!MatrizCortoLargoCyl[#All],3,0),"")</f>
        <v/>
      </c>
      <c r="F5002" s="13" t="inlineStr">
        <is>
          <t>AAL/CYL/20,00/14-04-22</t>
        </is>
      </c>
      <c r="G5002" s="6" t="n">
        <v>100</v>
      </c>
      <c r="H5002" s="6">
        <f>-16.02*OPERAC[[#This Row],[cantidad]]+10.412+37.074+21.543</f>
        <v/>
      </c>
      <c r="I5002" s="7">
        <f>-H5002/G5002</f>
        <v/>
      </c>
      <c r="J5002" s="11" t="n">
        <v>44665</v>
      </c>
      <c r="K5002" s="6" t="n">
        <v>100</v>
      </c>
      <c r="L5002" s="6" t="n">
        <v>1935</v>
      </c>
      <c r="M5002" s="7">
        <f>IF(N5002=0,+L5002+H5002,0)</f>
        <v/>
      </c>
      <c r="N5002" s="7">
        <f>IF((+G5002-K5002)=0,0,+G5002-K5002)</f>
        <v/>
      </c>
      <c r="O5002" s="7">
        <f>IF(N5002=0,0,(L5002+H5002)/-N5002)</f>
        <v/>
      </c>
      <c r="P5002" s="7">
        <f>VLOOKUP(OPERAC[[#This Row],[especie]],[1]!ESPECIES[#All],6,0)</f>
        <v/>
      </c>
      <c r="Q5002" s="7">
        <f>IF(N5002&lt;&gt;0,P5002*N5002,0)</f>
        <v/>
      </c>
      <c r="R5002" s="8">
        <f>IF(Q5002&lt;&gt;0,Q5002+H5002+L5002,0)</f>
        <v/>
      </c>
      <c r="S5002" s="9">
        <f>VLOOKUP(OPERAC[[#This Row],[especie]],[1]!ESPECIES[#Data],9,FALSE)</f>
        <v/>
      </c>
    </row>
    <row r="5003">
      <c r="A5003" s="4" t="n">
        <v>13246</v>
      </c>
      <c r="B5003" s="5" t="n">
        <v>44616</v>
      </c>
      <c r="C5003" s="13" t="inlineStr">
        <is>
          <t>VTA</t>
        </is>
      </c>
      <c r="D5003" s="13" t="n">
        <v>32</v>
      </c>
      <c r="E5003" s="10">
        <f>IF(D5003&gt;0,VLOOKUP(OPERAC[[#This Row],[COD CART]],[1]!MatrizCortoLargoCyl[#All],3,0),"")</f>
        <v/>
      </c>
      <c r="F5003" s="13" t="inlineStr">
        <is>
          <t>HMY/CYL/4,00/18-03-22</t>
        </is>
      </c>
      <c r="G5003" s="6" t="n">
        <v>400</v>
      </c>
      <c r="H5003" s="6" t="n">
        <v>-1534.82</v>
      </c>
      <c r="I5003" s="7">
        <f>-H5003/G5003</f>
        <v/>
      </c>
      <c r="J5003" s="11" t="n">
        <v>44622</v>
      </c>
      <c r="K5003" s="6" t="n">
        <v>400</v>
      </c>
      <c r="L5003" s="6" t="n">
        <v>1575.8</v>
      </c>
      <c r="M5003" s="7">
        <f>IF(N5003=0,+L5003+H5003,0)</f>
        <v/>
      </c>
      <c r="N5003" s="7">
        <f>IF((+G5003-K5003)=0,0,+G5003-K5003)</f>
        <v/>
      </c>
      <c r="O5003" s="7">
        <f>IF(N5003=0,0,(L5003+H5003)/-N5003)</f>
        <v/>
      </c>
      <c r="P5003" s="7">
        <f>VLOOKUP(OPERAC[[#This Row],[especie]],[1]!ESPECIES[#All],6,0)</f>
        <v/>
      </c>
      <c r="Q5003" s="7">
        <f>IF(N5003&lt;&gt;0,P5003*N5003,0)</f>
        <v/>
      </c>
      <c r="R5003" s="8">
        <f>IF(Q5003&lt;&gt;0,Q5003+H5003+L5003,0)</f>
        <v/>
      </c>
      <c r="S5003" s="9">
        <f>VLOOKUP(OPERAC[[#This Row],[especie]],[1]!ESPECIES[#Data],9,FALSE)</f>
        <v/>
      </c>
    </row>
    <row r="5004">
      <c r="A5004" s="4" t="n">
        <v>26137</v>
      </c>
      <c r="B5004" s="5" t="n">
        <v>44616</v>
      </c>
      <c r="C5004" s="13" t="inlineStr">
        <is>
          <t>VTA</t>
        </is>
      </c>
      <c r="D5004" s="13" t="n">
        <v>32</v>
      </c>
      <c r="E5004" s="10">
        <f>IF(D5004&gt;0,VLOOKUP(OPERAC[[#This Row],[COD CART]],[1]!MatrizCortoLargoCyl[#All],3,0),"")</f>
        <v/>
      </c>
      <c r="F5004" s="13" t="inlineStr">
        <is>
          <t>HMY/CYL/4,00/18-03-22</t>
        </is>
      </c>
      <c r="G5004" s="6" t="n">
        <v>400</v>
      </c>
      <c r="H5004" s="6" t="n">
        <v>-1534.82</v>
      </c>
      <c r="I5004" s="7">
        <f>-H5004/G5004</f>
        <v/>
      </c>
      <c r="J5004" s="11" t="n">
        <v>44622</v>
      </c>
      <c r="K5004" s="6" t="n">
        <v>400</v>
      </c>
      <c r="L5004" s="6" t="n">
        <v>1575.8</v>
      </c>
      <c r="M5004" s="7">
        <f>IF(N5004=0,+L5004+H5004,0)</f>
        <v/>
      </c>
      <c r="N5004" s="7">
        <f>IF((+G5004-K5004)=0,0,+G5004-K5004)</f>
        <v/>
      </c>
      <c r="O5004" s="7">
        <f>IF(N5004=0,0,(L5004+H5004)/-N5004)</f>
        <v/>
      </c>
      <c r="P5004" s="7">
        <f>VLOOKUP(OPERAC[[#This Row],[especie]],[1]!ESPECIES[#All],6,0)</f>
        <v/>
      </c>
      <c r="Q5004" s="7">
        <f>IF(N5004&lt;&gt;0,P5004*N5004,0)</f>
        <v/>
      </c>
      <c r="R5004" s="8">
        <f>IF(Q5004&lt;&gt;0,Q5004+H5004+L5004,0)</f>
        <v/>
      </c>
      <c r="S5004" s="9">
        <f>VLOOKUP(OPERAC[[#This Row],[especie]],[1]!ESPECIES[#Data],9,FALSE)</f>
        <v/>
      </c>
    </row>
    <row r="5005">
      <c r="A5005" s="4" t="n">
        <v>3728</v>
      </c>
      <c r="B5005" s="5" t="n">
        <v>44649</v>
      </c>
      <c r="C5005" s="13" t="inlineStr">
        <is>
          <t>VTA</t>
        </is>
      </c>
      <c r="D5005" s="13" t="n">
        <v>32</v>
      </c>
      <c r="E5005" s="10">
        <f>IF(D5005&gt;0,VLOOKUP(OPERAC[[#This Row],[COD CART]],[1]!MatrizCortoLargoCyl[#All],3,0),"")</f>
        <v/>
      </c>
      <c r="F5005" s="13" t="inlineStr">
        <is>
          <t>LIND</t>
        </is>
      </c>
      <c r="G5005" s="6" t="n">
        <v>100</v>
      </c>
      <c r="H5005" s="6" t="n">
        <v>-1535.033</v>
      </c>
      <c r="I5005" s="7">
        <f>-H5005/G5005</f>
        <v/>
      </c>
      <c r="J5005" s="11" t="n">
        <v>44656</v>
      </c>
      <c r="K5005" s="6" t="n">
        <v>100</v>
      </c>
      <c r="L5005" s="6">
        <f>+OPERAC[[#This Row],[cantidad venta]]*15.682</f>
        <v/>
      </c>
      <c r="M5005" s="7">
        <f>IF(N5005=0,+L5005+H5005,0)</f>
        <v/>
      </c>
      <c r="N5005" s="7">
        <f>IF((+G5005-K5005)=0,0,+G5005-K5005)</f>
        <v/>
      </c>
      <c r="O5005" s="7">
        <f>IF(N5005=0,0,(L5005+H5005)/-N5005)</f>
        <v/>
      </c>
      <c r="P5005" s="7">
        <f>VLOOKUP(OPERAC[[#This Row],[especie]],[1]!ESPECIES[#All],6,0)</f>
        <v/>
      </c>
      <c r="Q5005" s="7">
        <f>IF(N5005&lt;&gt;0,P5005*N5005,0)</f>
        <v/>
      </c>
      <c r="R5005" s="8">
        <f>IF(Q5005&lt;&gt;0,Q5005+H5005+L5005,0)</f>
        <v/>
      </c>
      <c r="S5005" s="9">
        <f>VLOOKUP(OPERAC[[#This Row],[especie]],[1]!ESPECIES[#Data],9,FALSE)</f>
        <v/>
      </c>
    </row>
    <row r="5006">
      <c r="A5006" s="4" t="n">
        <v>22393</v>
      </c>
      <c r="B5006" s="5" t="n">
        <v>44476</v>
      </c>
      <c r="C5006" s="13" t="inlineStr">
        <is>
          <t>VTA</t>
        </is>
      </c>
      <c r="D5006" s="13" t="n">
        <v>41</v>
      </c>
      <c r="E5006" s="10">
        <f>IF(D5006&gt;0,VLOOKUP(OPERAC[[#This Row],[COD CART]],[1]!MatrizCortoLargoCyl[#All],3,0),"")</f>
        <v/>
      </c>
      <c r="F5006" s="13" t="inlineStr">
        <is>
          <t>DOLE</t>
        </is>
      </c>
      <c r="G5006" s="6" t="n">
        <v>100</v>
      </c>
      <c r="H5006" s="6" t="n">
        <v>-1535.68</v>
      </c>
      <c r="I5006" s="7">
        <f>-H5006/G5006</f>
        <v/>
      </c>
      <c r="J5006" s="11" t="n"/>
      <c r="K5006" s="6" t="n"/>
      <c r="L5006" s="6" t="n"/>
      <c r="M5006" s="7">
        <f>IF(N5006=0,+L5006+H5006,0)</f>
        <v/>
      </c>
      <c r="N5006" s="7">
        <f>IF((+G5006-K5006)=0,0,+G5006-K5006)</f>
        <v/>
      </c>
      <c r="O5006" s="7">
        <f>IF(N5006=0,0,(L5006+H5006)/-N5006)</f>
        <v/>
      </c>
      <c r="P5006" s="7">
        <f>VLOOKUP(OPERAC[[#This Row],[especie]],[1]!ESPECIES[#All],6,0)</f>
        <v/>
      </c>
      <c r="Q5006" s="7">
        <f>IF(N5006&lt;&gt;0,P5006*N5006,0)</f>
        <v/>
      </c>
      <c r="R5006" s="8">
        <f>IF(Q5006&lt;&gt;0,Q5006+H5006+L5006,0)</f>
        <v/>
      </c>
      <c r="S5006" s="9">
        <f>VLOOKUP(OPERAC[[#This Row],[especie]],[1]!ESPECIES[#Data],9,FALSE)</f>
        <v/>
      </c>
    </row>
    <row r="5007">
      <c r="A5007" s="4" t="n">
        <v>15189</v>
      </c>
      <c r="B5007" s="5" t="n">
        <v>44575</v>
      </c>
      <c r="C5007" s="13" t="inlineStr">
        <is>
          <t>VTA</t>
        </is>
      </c>
      <c r="D5007" s="13" t="n">
        <v>40</v>
      </c>
      <c r="E5007" s="10">
        <f>IF(D5007&gt;0,VLOOKUP(OPERAC[[#This Row],[COD CART]],[1]!MatrizCortoLargoCyl[#All],3,0),"")</f>
        <v/>
      </c>
      <c r="F5007" s="13" t="inlineStr">
        <is>
          <t>GBTC</t>
        </is>
      </c>
      <c r="G5007" s="6" t="n">
        <v>50</v>
      </c>
      <c r="H5007" s="6" t="n">
        <v>-1540.474</v>
      </c>
      <c r="I5007" s="7">
        <f>-H5007/G5007</f>
        <v/>
      </c>
      <c r="J5007" s="11" t="n">
        <v>44651</v>
      </c>
      <c r="K5007" s="6">
        <f>+OPERAC[[#This Row],[cantidad]]</f>
        <v/>
      </c>
      <c r="L5007" s="6">
        <f>+OPERAC[[#This Row],[cantidad venta]]*31.332</f>
        <v/>
      </c>
      <c r="M5007" s="7">
        <f>IF(N5007=0,+L5007+H5007,0)</f>
        <v/>
      </c>
      <c r="N5007" s="7">
        <f>IF((+G5007-K5007)=0,0,+G5007-K5007)</f>
        <v/>
      </c>
      <c r="O5007" s="7">
        <f>IF(N5007=0,0,(L5007+H5007)/-N5007)</f>
        <v/>
      </c>
      <c r="P5007" s="7">
        <f>VLOOKUP(OPERAC[[#This Row],[especie]],[1]!ESPECIES[#All],6,0)</f>
        <v/>
      </c>
      <c r="Q5007" s="7">
        <f>IF(N5007&lt;&gt;0,P5007*N5007,0)</f>
        <v/>
      </c>
      <c r="R5007" s="8">
        <f>IF(Q5007&lt;&gt;0,Q5007+H5007+L5007,0)</f>
        <v/>
      </c>
      <c r="S5007" s="9">
        <f>VLOOKUP(OPERAC[[#This Row],[especie]],[1]!ESPECIES[#Data],9,FALSE)</f>
        <v/>
      </c>
    </row>
    <row r="5008">
      <c r="A5008" s="4" t="n">
        <v>15195</v>
      </c>
      <c r="B5008" s="5" t="n">
        <v>44575</v>
      </c>
      <c r="C5008" s="13" t="inlineStr">
        <is>
          <t>VTA</t>
        </is>
      </c>
      <c r="D5008" s="13" t="n">
        <v>40</v>
      </c>
      <c r="E5008" s="10">
        <f>IF(D5008&gt;0,VLOOKUP(OPERAC[[#This Row],[COD CART]],[1]!MatrizCortoLargoCyl[#All],3,0),"")</f>
        <v/>
      </c>
      <c r="F5008" s="13" t="inlineStr">
        <is>
          <t>GBTC</t>
        </is>
      </c>
      <c r="G5008" s="6" t="n">
        <v>50</v>
      </c>
      <c r="H5008" s="6" t="n">
        <v>-1540.474</v>
      </c>
      <c r="I5008" s="7">
        <f>-H5008/G5008</f>
        <v/>
      </c>
      <c r="J5008" s="11" t="n">
        <v>44651</v>
      </c>
      <c r="K5008" s="6">
        <f>+OPERAC[[#This Row],[cantidad]]</f>
        <v/>
      </c>
      <c r="L5008" s="6">
        <f>+OPERAC[[#This Row],[cantidad venta]]*31.332</f>
        <v/>
      </c>
      <c r="M5008" s="7">
        <f>IF(N5008=0,+L5008+H5008,0)</f>
        <v/>
      </c>
      <c r="N5008" s="7">
        <f>IF((+G5008-K5008)=0,0,+G5008-K5008)</f>
        <v/>
      </c>
      <c r="O5008" s="7">
        <f>IF(N5008=0,0,(L5008+H5008)/-N5008)</f>
        <v/>
      </c>
      <c r="P5008" s="7">
        <f>VLOOKUP(OPERAC[[#This Row],[especie]],[1]!ESPECIES[#All],6,0)</f>
        <v/>
      </c>
      <c r="Q5008" s="7">
        <f>IF(N5008&lt;&gt;0,P5008*N5008,0)</f>
        <v/>
      </c>
      <c r="R5008" s="8">
        <f>IF(Q5008&lt;&gt;0,Q5008+H5008+L5008,0)</f>
        <v/>
      </c>
      <c r="S5008" s="9">
        <f>VLOOKUP(OPERAC[[#This Row],[especie]],[1]!ESPECIES[#Data],9,FALSE)</f>
        <v/>
      </c>
    </row>
    <row r="5009">
      <c r="A5009" s="4" t="n">
        <v>16795</v>
      </c>
      <c r="B5009" s="5" t="n">
        <v>44575</v>
      </c>
      <c r="C5009" s="13" t="inlineStr">
        <is>
          <t>VTA</t>
        </is>
      </c>
      <c r="D5009" s="13" t="n">
        <v>40</v>
      </c>
      <c r="E5009" s="10">
        <f>IF(D5009&gt;0,VLOOKUP(OPERAC[[#This Row],[COD CART]],[1]!MatrizCortoLargoCyl[#All],3,0),"")</f>
        <v/>
      </c>
      <c r="F5009" s="13" t="inlineStr">
        <is>
          <t>GBTC</t>
        </is>
      </c>
      <c r="G5009" s="6" t="n">
        <v>50</v>
      </c>
      <c r="H5009" s="6" t="n">
        <v>-1540.474</v>
      </c>
      <c r="I5009" s="7">
        <f>-H5009/G5009</f>
        <v/>
      </c>
      <c r="J5009" s="11" t="n">
        <v>44651</v>
      </c>
      <c r="K5009" s="6">
        <f>+OPERAC[[#This Row],[cantidad]]</f>
        <v/>
      </c>
      <c r="L5009" s="6">
        <f>+OPERAC[[#This Row],[cantidad venta]]*31.332</f>
        <v/>
      </c>
      <c r="M5009" s="7">
        <f>IF(N5009=0,+L5009+H5009,0)</f>
        <v/>
      </c>
      <c r="N5009" s="7">
        <f>IF((+G5009-K5009)=0,0,+G5009-K5009)</f>
        <v/>
      </c>
      <c r="O5009" s="7">
        <f>IF(N5009=0,0,(L5009+H5009)/-N5009)</f>
        <v/>
      </c>
      <c r="P5009" s="7">
        <f>VLOOKUP(OPERAC[[#This Row],[especie]],[1]!ESPECIES[#All],6,0)</f>
        <v/>
      </c>
      <c r="Q5009" s="7">
        <f>IF(N5009&lt;&gt;0,P5009*N5009,0)</f>
        <v/>
      </c>
      <c r="R5009" s="8">
        <f>IF(Q5009&lt;&gt;0,Q5009+H5009+L5009,0)</f>
        <v/>
      </c>
      <c r="S5009" s="9">
        <f>VLOOKUP(OPERAC[[#This Row],[especie]],[1]!ESPECIES[#Data],9,FALSE)</f>
        <v/>
      </c>
    </row>
    <row r="5010">
      <c r="A5010" s="4" t="n">
        <v>12671</v>
      </c>
      <c r="B5010" s="5" t="n">
        <v>44649</v>
      </c>
      <c r="C5010" s="13" t="inlineStr">
        <is>
          <t>VTA</t>
        </is>
      </c>
      <c r="D5010" s="13" t="n">
        <v>32</v>
      </c>
      <c r="E5010" s="10">
        <f>IF(D5010&gt;0,VLOOKUP(OPERAC[[#This Row],[COD CART]],[1]!MatrizCortoLargoCyl[#All],3,0),"")</f>
        <v/>
      </c>
      <c r="F5010" s="13" t="inlineStr">
        <is>
          <t>LIND</t>
        </is>
      </c>
      <c r="G5010" s="6" t="n">
        <v>100</v>
      </c>
      <c r="H5010" s="6" t="n">
        <v>-1542.698</v>
      </c>
      <c r="I5010" s="7">
        <f>-H5010/G5010</f>
        <v/>
      </c>
      <c r="J5010" s="11" t="n">
        <v>44656</v>
      </c>
      <c r="K5010" s="6" t="n">
        <v>100</v>
      </c>
      <c r="L5010" s="6">
        <f>+OPERAC[[#This Row],[cantidad venta]]*15.682</f>
        <v/>
      </c>
      <c r="M5010" s="7">
        <f>IF(N5010=0,+L5010+H5010,0)</f>
        <v/>
      </c>
      <c r="N5010" s="7">
        <f>IF((+G5010-K5010)=0,0,+G5010-K5010)</f>
        <v/>
      </c>
      <c r="O5010" s="7">
        <f>IF(N5010=0,0,(L5010+H5010)/-N5010)</f>
        <v/>
      </c>
      <c r="P5010" s="7">
        <f>VLOOKUP(OPERAC[[#This Row],[especie]],[1]!ESPECIES[#All],6,0)</f>
        <v/>
      </c>
      <c r="Q5010" s="7">
        <f>IF(N5010&lt;&gt;0,P5010*N5010,0)</f>
        <v/>
      </c>
      <c r="R5010" s="8">
        <f>IF(Q5010&lt;&gt;0,Q5010+H5010+L5010,0)</f>
        <v/>
      </c>
      <c r="S5010" s="9">
        <f>VLOOKUP(OPERAC[[#This Row],[especie]],[1]!ESPECIES[#Data],9,FALSE)</f>
        <v/>
      </c>
    </row>
    <row r="5011">
      <c r="A5011" s="4" t="n">
        <v>13188</v>
      </c>
      <c r="B5011" s="5" t="n">
        <v>44557</v>
      </c>
      <c r="C5011" s="13" t="inlineStr">
        <is>
          <t>VTA</t>
        </is>
      </c>
      <c r="D5011" s="13" t="n">
        <v>40</v>
      </c>
      <c r="E5011" s="10">
        <f>IF(D5011&gt;0,VLOOKUP(OPERAC[[#This Row],[COD CART]],[1]!MatrizCortoLargoCyl[#All],3,0),"")</f>
        <v/>
      </c>
      <c r="F5011" s="13" t="inlineStr">
        <is>
          <t>TLRY</t>
        </is>
      </c>
      <c r="G5011" s="6" t="n">
        <v>200</v>
      </c>
      <c r="H5011" s="6" t="n">
        <v>-1543.24</v>
      </c>
      <c r="I5011" s="7">
        <f>-H5011/G5011</f>
        <v/>
      </c>
      <c r="J5011" s="11" t="n">
        <v>44585</v>
      </c>
      <c r="K5011" s="6">
        <f>+OPERAC[[#This Row],[cantidad]]</f>
        <v/>
      </c>
      <c r="L5011" s="6">
        <f>+OPERAC[[#This Row],[cantidad venta]]*5.263</f>
        <v/>
      </c>
      <c r="M5011" s="7">
        <f>IF(N5011=0,+L5011+H5011,0)</f>
        <v/>
      </c>
      <c r="N5011" s="7">
        <f>IF((+G5011-K5011)=0,0,+G5011-K5011)</f>
        <v/>
      </c>
      <c r="O5011" s="7">
        <f>IF(N5011=0,0,(L5011+H5011)/-N5011)</f>
        <v/>
      </c>
      <c r="P5011" s="7">
        <f>VLOOKUP(OPERAC[[#This Row],[especie]],[1]!ESPECIES[#All],6,0)</f>
        <v/>
      </c>
      <c r="Q5011" s="7">
        <f>IF(N5011&lt;&gt;0,P5011*N5011,0)</f>
        <v/>
      </c>
      <c r="R5011" s="8">
        <f>IF(Q5011&lt;&gt;0,Q5011+H5011+L5011,0)</f>
        <v/>
      </c>
      <c r="S5011" s="9">
        <f>VLOOKUP(OPERAC[[#This Row],[especie]],[1]!ESPECIES[#Data],9,FALSE)</f>
        <v/>
      </c>
    </row>
    <row r="5012">
      <c r="A5012" s="4" t="n">
        <v>18690</v>
      </c>
      <c r="B5012" s="5" t="n">
        <v>44533</v>
      </c>
      <c r="C5012" s="13" t="inlineStr">
        <is>
          <t>VTA</t>
        </is>
      </c>
      <c r="D5012" s="13" t="n">
        <v>32</v>
      </c>
      <c r="E5012" s="10">
        <f>IF(D5012&gt;0,VLOOKUP(OPERAC[[#This Row],[COD CART]],[1]!MatrizCortoLargoCyl[#All],3,0),"")</f>
        <v/>
      </c>
      <c r="F5012" s="13" t="inlineStr">
        <is>
          <t>SKLZ/CYL/10,00/21-01-22</t>
        </is>
      </c>
      <c r="G5012" s="6" t="n">
        <v>200</v>
      </c>
      <c r="H5012" s="6">
        <f>-7.94*OPERAC[[#This Row],[cantidad]]+44.585</f>
        <v/>
      </c>
      <c r="I5012" s="7">
        <f>-H5012/G5012</f>
        <v/>
      </c>
      <c r="J5012" s="11" t="n">
        <v>44579</v>
      </c>
      <c r="K5012" s="6">
        <f>+OPERAC[[#This Row],[cantidad]]</f>
        <v/>
      </c>
      <c r="L5012" s="6">
        <f>+OPERAC[[#This Row],[cantidad venta]]*5.679</f>
        <v/>
      </c>
      <c r="M5012" s="7">
        <f>IF(N5012=0,+L5012+H5012,0)</f>
        <v/>
      </c>
      <c r="N5012" s="7">
        <f>IF((+G5012-K5012)=0,0,+G5012-K5012)</f>
        <v/>
      </c>
      <c r="O5012" s="7">
        <f>IF(N5012=0,0,(L5012+H5012)/-N5012)</f>
        <v/>
      </c>
      <c r="P5012" s="7">
        <f>VLOOKUP(OPERAC[[#This Row],[especie]],[1]!ESPECIES[#All],6,0)</f>
        <v/>
      </c>
      <c r="Q5012" s="7">
        <f>IF(N5012&lt;&gt;0,P5012*N5012,0)</f>
        <v/>
      </c>
      <c r="R5012" s="8">
        <f>IF(Q5012&lt;&gt;0,Q5012+H5012+L5012,0)</f>
        <v/>
      </c>
      <c r="S5012" s="9">
        <f>VLOOKUP(OPERAC[[#This Row],[especie]],[1]!ESPECIES[#Data],9,FALSE)</f>
        <v/>
      </c>
    </row>
    <row r="5013">
      <c r="A5013" s="4" t="n">
        <v>19867</v>
      </c>
      <c r="B5013" s="5" t="n">
        <v>44643</v>
      </c>
      <c r="C5013" s="13" t="inlineStr">
        <is>
          <t>VTA</t>
        </is>
      </c>
      <c r="D5013" s="13" t="n">
        <v>31</v>
      </c>
      <c r="E5013" s="10">
        <f>IF(D5013&gt;0,VLOOKUP(OPERAC[[#This Row],[COD CART]],[1]!MatrizCortoLargoCyl[#All],3,0),"")</f>
        <v/>
      </c>
      <c r="F5013" s="13" t="inlineStr">
        <is>
          <t>QCOM</t>
        </is>
      </c>
      <c r="G5013" s="6" t="n">
        <v>10</v>
      </c>
      <c r="H5013" s="6" t="n">
        <v>-1544.4496</v>
      </c>
      <c r="I5013" s="7">
        <f>-H5013/G5013</f>
        <v/>
      </c>
      <c r="J5013" s="11" t="n"/>
      <c r="K5013" s="6" t="n"/>
      <c r="L5013" s="6" t="n"/>
      <c r="M5013" s="7">
        <f>IF(N5013=0,+L5013+H5013,0)</f>
        <v/>
      </c>
      <c r="N5013" s="7">
        <f>IF((+G5013-K5013)=0,0,+G5013-K5013)</f>
        <v/>
      </c>
      <c r="O5013" s="7">
        <f>IF(N5013=0,0,(L5013+H5013)/-N5013)</f>
        <v/>
      </c>
      <c r="P5013" s="7">
        <f>VLOOKUP(OPERAC[[#This Row],[especie]],[1]!ESPECIES[#All],6,0)</f>
        <v/>
      </c>
      <c r="Q5013" s="7">
        <f>IF(N5013&lt;&gt;0,P5013*N5013,0)</f>
        <v/>
      </c>
      <c r="R5013" s="8">
        <f>IF(Q5013&lt;&gt;0,Q5013+H5013+L5013,0)</f>
        <v/>
      </c>
      <c r="S5013" s="9">
        <f>VLOOKUP(OPERAC[[#This Row],[especie]],[1]!ESPECIES[#Data],9,FALSE)</f>
        <v/>
      </c>
    </row>
    <row r="5014">
      <c r="A5014" s="4" t="n">
        <v>2203</v>
      </c>
      <c r="B5014" s="5" t="n">
        <v>44649</v>
      </c>
      <c r="C5014" s="13" t="inlineStr">
        <is>
          <t>VTA</t>
        </is>
      </c>
      <c r="D5014" s="13" t="n">
        <v>32</v>
      </c>
      <c r="E5014" s="10">
        <f>IF(D5014&gt;0,VLOOKUP(OPERAC[[#This Row],[COD CART]],[1]!MatrizCortoLargoCyl[#All],3,0),"")</f>
        <v/>
      </c>
      <c r="F5014" s="13" t="inlineStr">
        <is>
          <t>LIND</t>
        </is>
      </c>
      <c r="G5014" s="6" t="n">
        <v>100</v>
      </c>
      <c r="H5014" s="6" t="n">
        <v>-1545.764</v>
      </c>
      <c r="I5014" s="7">
        <f>-H5014/G5014</f>
        <v/>
      </c>
      <c r="J5014" s="11" t="n">
        <v>44656</v>
      </c>
      <c r="K5014" s="6" t="n">
        <v>100</v>
      </c>
      <c r="L5014" s="6">
        <f>+OPERAC[[#This Row],[cantidad venta]]*15.682</f>
        <v/>
      </c>
      <c r="M5014" s="7">
        <f>IF(N5014=0,+L5014+H5014,0)</f>
        <v/>
      </c>
      <c r="N5014" s="7">
        <f>IF((+G5014-K5014)=0,0,+G5014-K5014)</f>
        <v/>
      </c>
      <c r="O5014" s="7">
        <f>IF(N5014=0,0,(L5014+H5014)/-N5014)</f>
        <v/>
      </c>
      <c r="P5014" s="7">
        <f>VLOOKUP(OPERAC[[#This Row],[especie]],[1]!ESPECIES[#All],6,0)</f>
        <v/>
      </c>
      <c r="Q5014" s="7">
        <f>IF(N5014&lt;&gt;0,P5014*N5014,0)</f>
        <v/>
      </c>
      <c r="R5014" s="8">
        <f>IF(Q5014&lt;&gt;0,Q5014+H5014+L5014,0)</f>
        <v/>
      </c>
      <c r="S5014" s="9">
        <f>VLOOKUP(OPERAC[[#This Row],[especie]],[1]!ESPECIES[#Data],9,FALSE)</f>
        <v/>
      </c>
    </row>
    <row r="5015">
      <c r="A5015" s="4" t="n">
        <v>7895</v>
      </c>
      <c r="B5015" s="5" t="n">
        <v>44649</v>
      </c>
      <c r="C5015" s="13" t="inlineStr">
        <is>
          <t>VTA</t>
        </is>
      </c>
      <c r="D5015" s="13" t="n">
        <v>32</v>
      </c>
      <c r="E5015" s="10">
        <f>IF(D5015&gt;0,VLOOKUP(OPERAC[[#This Row],[COD CART]],[1]!MatrizCortoLargoCyl[#All],3,0),"")</f>
        <v/>
      </c>
      <c r="F5015" s="13" t="inlineStr">
        <is>
          <t>LIND</t>
        </is>
      </c>
      <c r="G5015" s="6" t="n">
        <v>100</v>
      </c>
      <c r="H5015" s="6" t="n">
        <v>-1545.764</v>
      </c>
      <c r="I5015" s="7">
        <f>-H5015/G5015</f>
        <v/>
      </c>
      <c r="J5015" s="11" t="n">
        <v>44656</v>
      </c>
      <c r="K5015" s="6" t="n">
        <v>100</v>
      </c>
      <c r="L5015" s="6">
        <f>+OPERAC[[#This Row],[cantidad venta]]*15.682</f>
        <v/>
      </c>
      <c r="M5015" s="7">
        <f>IF(N5015=0,+L5015+H5015,0)</f>
        <v/>
      </c>
      <c r="N5015" s="7">
        <f>IF((+G5015-K5015)=0,0,+G5015-K5015)</f>
        <v/>
      </c>
      <c r="O5015" s="7">
        <f>IF(N5015=0,0,(L5015+H5015)/-N5015)</f>
        <v/>
      </c>
      <c r="P5015" s="7">
        <f>VLOOKUP(OPERAC[[#This Row],[especie]],[1]!ESPECIES[#All],6,0)</f>
        <v/>
      </c>
      <c r="Q5015" s="7">
        <f>IF(N5015&lt;&gt;0,P5015*N5015,0)</f>
        <v/>
      </c>
      <c r="R5015" s="8">
        <f>IF(Q5015&lt;&gt;0,Q5015+H5015+L5015,0)</f>
        <v/>
      </c>
      <c r="S5015" s="9">
        <f>VLOOKUP(OPERAC[[#This Row],[especie]],[1]!ESPECIES[#Data],9,FALSE)</f>
        <v/>
      </c>
    </row>
    <row r="5016">
      <c r="A5016" s="4" t="n">
        <v>11168</v>
      </c>
      <c r="B5016" s="5" t="n">
        <v>44649</v>
      </c>
      <c r="C5016" s="13" t="inlineStr">
        <is>
          <t>VTA</t>
        </is>
      </c>
      <c r="D5016" s="13" t="n">
        <v>32</v>
      </c>
      <c r="E5016" s="10">
        <f>IF(D5016&gt;0,VLOOKUP(OPERAC[[#This Row],[COD CART]],[1]!MatrizCortoLargoCyl[#All],3,0),"")</f>
        <v/>
      </c>
      <c r="F5016" s="13" t="inlineStr">
        <is>
          <t>LIND</t>
        </is>
      </c>
      <c r="G5016" s="6" t="n">
        <v>100</v>
      </c>
      <c r="H5016" s="6" t="n">
        <v>-1545.764</v>
      </c>
      <c r="I5016" s="7">
        <f>-H5016/G5016</f>
        <v/>
      </c>
      <c r="J5016" s="11" t="n">
        <v>44656</v>
      </c>
      <c r="K5016" s="6" t="n">
        <v>100</v>
      </c>
      <c r="L5016" s="6">
        <f>+OPERAC[[#This Row],[cantidad venta]]*15.682</f>
        <v/>
      </c>
      <c r="M5016" s="7">
        <f>IF(N5016=0,+L5016+H5016,0)</f>
        <v/>
      </c>
      <c r="N5016" s="7">
        <f>IF((+G5016-K5016)=0,0,+G5016-K5016)</f>
        <v/>
      </c>
      <c r="O5016" s="7">
        <f>IF(N5016=0,0,(L5016+H5016)/-N5016)</f>
        <v/>
      </c>
      <c r="P5016" s="7">
        <f>VLOOKUP(OPERAC[[#This Row],[especie]],[1]!ESPECIES[#All],6,0)</f>
        <v/>
      </c>
      <c r="Q5016" s="7">
        <f>IF(N5016&lt;&gt;0,P5016*N5016,0)</f>
        <v/>
      </c>
      <c r="R5016" s="8">
        <f>IF(Q5016&lt;&gt;0,Q5016+H5016+L5016,0)</f>
        <v/>
      </c>
      <c r="S5016" s="9">
        <f>VLOOKUP(OPERAC[[#This Row],[especie]],[1]!ESPECIES[#Data],9,FALSE)</f>
        <v/>
      </c>
    </row>
    <row r="5017">
      <c r="A5017" s="4" t="n">
        <v>12690</v>
      </c>
      <c r="B5017" s="5" t="n">
        <v>44649</v>
      </c>
      <c r="C5017" s="13" t="inlineStr">
        <is>
          <t>VTA</t>
        </is>
      </c>
      <c r="D5017" s="13" t="n">
        <v>32</v>
      </c>
      <c r="E5017" s="10">
        <f>IF(D5017&gt;0,VLOOKUP(OPERAC[[#This Row],[COD CART]],[1]!MatrizCortoLargoCyl[#All],3,0),"")</f>
        <v/>
      </c>
      <c r="F5017" s="13" t="inlineStr">
        <is>
          <t>LIND</t>
        </is>
      </c>
      <c r="G5017" s="6" t="n">
        <v>100</v>
      </c>
      <c r="H5017" s="6" t="n">
        <v>-1545.764</v>
      </c>
      <c r="I5017" s="7">
        <f>-H5017/G5017</f>
        <v/>
      </c>
      <c r="J5017" s="11" t="n">
        <v>44656</v>
      </c>
      <c r="K5017" s="6" t="n">
        <v>100</v>
      </c>
      <c r="L5017" s="6">
        <f>+OPERAC[[#This Row],[cantidad venta]]*15.682</f>
        <v/>
      </c>
      <c r="M5017" s="7">
        <f>IF(N5017=0,+L5017+H5017,0)</f>
        <v/>
      </c>
      <c r="N5017" s="7">
        <f>IF((+G5017-K5017)=0,0,+G5017-K5017)</f>
        <v/>
      </c>
      <c r="O5017" s="7">
        <f>IF(N5017=0,0,(L5017+H5017)/-N5017)</f>
        <v/>
      </c>
      <c r="P5017" s="7">
        <f>VLOOKUP(OPERAC[[#This Row],[especie]],[1]!ESPECIES[#All],6,0)</f>
        <v/>
      </c>
      <c r="Q5017" s="7">
        <f>IF(N5017&lt;&gt;0,P5017*N5017,0)</f>
        <v/>
      </c>
      <c r="R5017" s="8">
        <f>IF(Q5017&lt;&gt;0,Q5017+H5017+L5017,0)</f>
        <v/>
      </c>
      <c r="S5017" s="9">
        <f>VLOOKUP(OPERAC[[#This Row],[especie]],[1]!ESPECIES[#Data],9,FALSE)</f>
        <v/>
      </c>
    </row>
    <row r="5018">
      <c r="A5018" s="4" t="n">
        <v>22393</v>
      </c>
      <c r="B5018" s="5" t="n">
        <v>44649</v>
      </c>
      <c r="C5018" s="13" t="inlineStr">
        <is>
          <t>VTA</t>
        </is>
      </c>
      <c r="D5018" s="13" t="n">
        <v>32</v>
      </c>
      <c r="E5018" s="10">
        <f>IF(D5018&gt;0,VLOOKUP(OPERAC[[#This Row],[COD CART]],[1]!MatrizCortoLargoCyl[#All],3,0),"")</f>
        <v/>
      </c>
      <c r="F5018" s="13" t="inlineStr">
        <is>
          <t>LIND</t>
        </is>
      </c>
      <c r="G5018" s="6" t="n">
        <v>100</v>
      </c>
      <c r="H5018" s="6" t="n">
        <v>-1545.764</v>
      </c>
      <c r="I5018" s="7">
        <f>-H5018/G5018</f>
        <v/>
      </c>
      <c r="J5018" s="11" t="n">
        <v>44656</v>
      </c>
      <c r="K5018" s="6" t="n">
        <v>100</v>
      </c>
      <c r="L5018" s="6">
        <f>+OPERAC[[#This Row],[cantidad venta]]*15.682</f>
        <v/>
      </c>
      <c r="M5018" s="7">
        <f>IF(N5018=0,+L5018+H5018,0)</f>
        <v/>
      </c>
      <c r="N5018" s="7">
        <f>IF((+G5018-K5018)=0,0,+G5018-K5018)</f>
        <v/>
      </c>
      <c r="O5018" s="7">
        <f>IF(N5018=0,0,(L5018+H5018)/-N5018)</f>
        <v/>
      </c>
      <c r="P5018" s="7">
        <f>VLOOKUP(OPERAC[[#This Row],[especie]],[1]!ESPECIES[#All],6,0)</f>
        <v/>
      </c>
      <c r="Q5018" s="7">
        <f>IF(N5018&lt;&gt;0,P5018*N5018,0)</f>
        <v/>
      </c>
      <c r="R5018" s="8">
        <f>IF(Q5018&lt;&gt;0,Q5018+H5018+L5018,0)</f>
        <v/>
      </c>
      <c r="S5018" s="9">
        <f>VLOOKUP(OPERAC[[#This Row],[especie]],[1]!ESPECIES[#Data],9,FALSE)</f>
        <v/>
      </c>
    </row>
    <row r="5019">
      <c r="A5019" s="4" t="n">
        <v>22393</v>
      </c>
      <c r="B5019" s="5" t="n">
        <v>44721</v>
      </c>
      <c r="C5019" s="13" t="inlineStr">
        <is>
          <t>VTA</t>
        </is>
      </c>
      <c r="D5019" s="13" t="n">
        <v>41</v>
      </c>
      <c r="E5019" s="10">
        <f>IF(D5019&gt;0,VLOOKUP(OPERAC[[#This Row],[COD CART]],[1]!MatrizCortoLargoCyl[#All],3,0),"")</f>
        <v/>
      </c>
      <c r="F5019" s="13" t="inlineStr">
        <is>
          <t>MELI</t>
        </is>
      </c>
      <c r="G5019" s="6" t="n">
        <v>2</v>
      </c>
      <c r="H5019" s="6" t="n">
        <v>-1545.984</v>
      </c>
      <c r="I5019" s="7">
        <f>-H5019/G5019</f>
        <v/>
      </c>
      <c r="J5019" s="5" t="n"/>
      <c r="K5019" s="6" t="n"/>
      <c r="L5019" s="6" t="n"/>
      <c r="M5019" s="7">
        <f>IF(N5019=0,+L5019+H5019,0)</f>
        <v/>
      </c>
      <c r="N5019" s="7">
        <f>IF((+G5019-K5019)=0,0,+G5019-K5019)</f>
        <v/>
      </c>
      <c r="O5019" s="7">
        <f>IF(N5019=0,0,(L5019+H5019)/-N5019)</f>
        <v/>
      </c>
      <c r="P5019" s="7">
        <f>VLOOKUP(OPERAC[[#This Row],[especie]],[1]!ESPECIES[#All],6,0)</f>
        <v/>
      </c>
      <c r="Q5019" s="7">
        <f>IF(N5019&lt;&gt;0,P5019*N5019,0)</f>
        <v/>
      </c>
      <c r="R5019" s="8">
        <f>IF(Q5019&lt;&gt;0,Q5019+H5019+L5019,0)</f>
        <v/>
      </c>
      <c r="S5019" s="9">
        <f>VLOOKUP(OPERAC[[#This Row],[especie]],[1]!ESPECIES[#Data],9,FALSE)</f>
        <v/>
      </c>
    </row>
    <row r="5020">
      <c r="A5020" s="4" t="n">
        <v>1760</v>
      </c>
      <c r="B5020" s="5" t="n">
        <v>44693</v>
      </c>
      <c r="C5020" s="13" t="inlineStr">
        <is>
          <t>VTA</t>
        </is>
      </c>
      <c r="D5020" s="13" t="n">
        <v>42</v>
      </c>
      <c r="E5020" s="10">
        <f>IF(D5020&gt;0,VLOOKUP(OPERAC[[#This Row],[COD CART]],[1]!MatrizCortoLargoCyl[#All],3,0),"")</f>
        <v/>
      </c>
      <c r="F5020" s="13" t="inlineStr">
        <is>
          <t>TLT</t>
        </is>
      </c>
      <c r="G5020" s="6" t="n">
        <v>13</v>
      </c>
      <c r="H5020" s="6" t="n">
        <v>-1549.678</v>
      </c>
      <c r="I5020" s="7">
        <f>-H5020/G5020</f>
        <v/>
      </c>
      <c r="J5020" s="11" t="n">
        <v>44704</v>
      </c>
      <c r="K5020" s="6" t="n">
        <v>13</v>
      </c>
      <c r="L5020" s="6">
        <f>+OPERAC[[#This Row],[cantidad venta]]*116.581</f>
        <v/>
      </c>
      <c r="M5020" s="7">
        <f>IF(N5020=0,+L5020+H5020,0)</f>
        <v/>
      </c>
      <c r="N5020" s="7">
        <f>IF((+G5020-K5020)=0,0,+G5020-K5020)</f>
        <v/>
      </c>
      <c r="O5020" s="7">
        <f>IF(N5020=0,0,(L5020+H5020)/-N5020)</f>
        <v/>
      </c>
      <c r="P5020" s="7">
        <f>VLOOKUP(OPERAC[[#This Row],[especie]],[1]!ESPECIES[#All],6,0)</f>
        <v/>
      </c>
      <c r="Q5020" s="7">
        <f>IF(N5020&lt;&gt;0,P5020*N5020,0)</f>
        <v/>
      </c>
      <c r="R5020" s="8">
        <f>IF(Q5020&lt;&gt;0,Q5020+H5020+L5020,0)</f>
        <v/>
      </c>
      <c r="S5020" s="9">
        <f>VLOOKUP(OPERAC[[#This Row],[especie]],[1]!ESPECIES[#Data],9,FALSE)</f>
        <v/>
      </c>
    </row>
    <row r="5021">
      <c r="A5021" s="4" t="n">
        <v>2203</v>
      </c>
      <c r="B5021" s="5" t="n">
        <v>44607</v>
      </c>
      <c r="C5021" s="13" t="inlineStr">
        <is>
          <t>VTA</t>
        </is>
      </c>
      <c r="D5021" s="13" t="n">
        <v>32</v>
      </c>
      <c r="E5021" s="10">
        <f>IF(D5021&gt;0,VLOOKUP(OPERAC[[#This Row],[COD CART]],[1]!MatrizCortoLargoCyl[#All],3,0),"")</f>
        <v/>
      </c>
      <c r="F5021" s="13" t="inlineStr">
        <is>
          <t>DDD/CYL/16,00/18-03-22</t>
        </is>
      </c>
      <c r="G5021" s="6" t="n">
        <v>100</v>
      </c>
      <c r="H5021" s="6" t="n">
        <v>-1552.775</v>
      </c>
      <c r="I5021" s="7">
        <f>-H5021/G5021</f>
        <v/>
      </c>
      <c r="J5021" s="11" t="n">
        <v>44638</v>
      </c>
      <c r="K5021" s="6" t="n">
        <v>100</v>
      </c>
      <c r="L5021" s="6">
        <f>15.866*OPERAC[[#This Row],[cantidad venta]]</f>
        <v/>
      </c>
      <c r="M5021" s="7">
        <f>IF(N5021=0,+L5021+H5021,0)</f>
        <v/>
      </c>
      <c r="N5021" s="7">
        <f>IF((+G5021-K5021)=0,0,+G5021-K5021)</f>
        <v/>
      </c>
      <c r="O5021" s="7">
        <f>IF(N5021=0,0,(L5021+H5021)/-N5021)</f>
        <v/>
      </c>
      <c r="P5021" s="7">
        <f>VLOOKUP(OPERAC[[#This Row],[especie]],[1]!ESPECIES[#All],6,0)</f>
        <v/>
      </c>
      <c r="Q5021" s="7">
        <f>IF(N5021&lt;&gt;0,P5021*N5021,0)</f>
        <v/>
      </c>
      <c r="R5021" s="8">
        <f>IF(Q5021&lt;&gt;0,Q5021+H5021+L5021,0)</f>
        <v/>
      </c>
      <c r="S5021" s="9">
        <f>VLOOKUP(OPERAC[[#This Row],[especie]],[1]!ESPECIES[#Data],9,FALSE)</f>
        <v/>
      </c>
    </row>
    <row r="5022">
      <c r="A5022" s="4" t="n">
        <v>2255</v>
      </c>
      <c r="B5022" s="5" t="n">
        <v>44607</v>
      </c>
      <c r="C5022" s="13" t="inlineStr">
        <is>
          <t>VTA</t>
        </is>
      </c>
      <c r="D5022" s="13" t="n">
        <v>32</v>
      </c>
      <c r="E5022" s="10">
        <f>IF(D5022&gt;0,VLOOKUP(OPERAC[[#This Row],[COD CART]],[1]!MatrizCortoLargoCyl[#All],3,0),"")</f>
        <v/>
      </c>
      <c r="F5022" s="13" t="inlineStr">
        <is>
          <t>DDD/CYL/16,00/18-03-22</t>
        </is>
      </c>
      <c r="G5022" s="6" t="n">
        <v>100</v>
      </c>
      <c r="H5022" s="6" t="n">
        <v>-1552.775</v>
      </c>
      <c r="I5022" s="7">
        <f>-H5022/G5022</f>
        <v/>
      </c>
      <c r="J5022" s="11" t="n">
        <v>44638</v>
      </c>
      <c r="K5022" s="6" t="n">
        <v>100</v>
      </c>
      <c r="L5022" s="6">
        <f>15.866*OPERAC[[#This Row],[cantidad venta]]</f>
        <v/>
      </c>
      <c r="M5022" s="7">
        <f>IF(N5022=0,+L5022+H5022,0)</f>
        <v/>
      </c>
      <c r="N5022" s="7">
        <f>IF((+G5022-K5022)=0,0,+G5022-K5022)</f>
        <v/>
      </c>
      <c r="O5022" s="7">
        <f>IF(N5022=0,0,(L5022+H5022)/-N5022)</f>
        <v/>
      </c>
      <c r="P5022" s="7">
        <f>VLOOKUP(OPERAC[[#This Row],[especie]],[1]!ESPECIES[#All],6,0)</f>
        <v/>
      </c>
      <c r="Q5022" s="7">
        <f>IF(N5022&lt;&gt;0,P5022*N5022,0)</f>
        <v/>
      </c>
      <c r="R5022" s="8">
        <f>IF(Q5022&lt;&gt;0,Q5022+H5022+L5022,0)</f>
        <v/>
      </c>
      <c r="S5022" s="9">
        <f>VLOOKUP(OPERAC[[#This Row],[especie]],[1]!ESPECIES[#Data],9,FALSE)</f>
        <v/>
      </c>
    </row>
    <row r="5023">
      <c r="A5023" s="4" t="n">
        <v>2257</v>
      </c>
      <c r="B5023" s="5" t="n">
        <v>44607</v>
      </c>
      <c r="C5023" s="13" t="inlineStr">
        <is>
          <t>VTA</t>
        </is>
      </c>
      <c r="D5023" s="13" t="n">
        <v>32</v>
      </c>
      <c r="E5023" s="10">
        <f>IF(D5023&gt;0,VLOOKUP(OPERAC[[#This Row],[COD CART]],[1]!MatrizCortoLargoCyl[#All],3,0),"")</f>
        <v/>
      </c>
      <c r="F5023" s="13" t="inlineStr">
        <is>
          <t>DDD/CYL/16,00/18-03-22</t>
        </is>
      </c>
      <c r="G5023" s="6" t="n">
        <v>100</v>
      </c>
      <c r="H5023" s="6" t="n">
        <v>-1552.775</v>
      </c>
      <c r="I5023" s="7">
        <f>-H5023/G5023</f>
        <v/>
      </c>
      <c r="J5023" s="11" t="n">
        <v>44638</v>
      </c>
      <c r="K5023" s="6" t="n">
        <v>100</v>
      </c>
      <c r="L5023" s="6">
        <f>15.866*OPERAC[[#This Row],[cantidad venta]]</f>
        <v/>
      </c>
      <c r="M5023" s="7">
        <f>IF(N5023=0,+L5023+H5023,0)</f>
        <v/>
      </c>
      <c r="N5023" s="7">
        <f>IF((+G5023-K5023)=0,0,+G5023-K5023)</f>
        <v/>
      </c>
      <c r="O5023" s="7">
        <f>IF(N5023=0,0,(L5023+H5023)/-N5023)</f>
        <v/>
      </c>
      <c r="P5023" s="7">
        <f>VLOOKUP(OPERAC[[#This Row],[especie]],[1]!ESPECIES[#All],6,0)</f>
        <v/>
      </c>
      <c r="Q5023" s="7">
        <f>IF(N5023&lt;&gt;0,P5023*N5023,0)</f>
        <v/>
      </c>
      <c r="R5023" s="8">
        <f>IF(Q5023&lt;&gt;0,Q5023+H5023+L5023,0)</f>
        <v/>
      </c>
      <c r="S5023" s="9">
        <f>VLOOKUP(OPERAC[[#This Row],[especie]],[1]!ESPECIES[#Data],9,FALSE)</f>
        <v/>
      </c>
    </row>
    <row r="5024">
      <c r="A5024" s="4" t="n">
        <v>3853</v>
      </c>
      <c r="B5024" s="5" t="n">
        <v>44607</v>
      </c>
      <c r="C5024" s="13" t="inlineStr">
        <is>
          <t>VTA</t>
        </is>
      </c>
      <c r="D5024" s="13" t="n">
        <v>32</v>
      </c>
      <c r="E5024" s="10">
        <f>IF(D5024&gt;0,VLOOKUP(OPERAC[[#This Row],[COD CART]],[1]!MatrizCortoLargoCyl[#All],3,0),"")</f>
        <v/>
      </c>
      <c r="F5024" s="13" t="inlineStr">
        <is>
          <t>DDD/CYL/16,00/18-03-22</t>
        </is>
      </c>
      <c r="G5024" s="6" t="n">
        <v>100</v>
      </c>
      <c r="H5024" s="6" t="n">
        <v>-1552.775</v>
      </c>
      <c r="I5024" s="7">
        <f>-H5024/G5024</f>
        <v/>
      </c>
      <c r="J5024" s="11" t="n">
        <v>44638</v>
      </c>
      <c r="K5024" s="6" t="n">
        <v>100</v>
      </c>
      <c r="L5024" s="6">
        <f>15.866*OPERAC[[#This Row],[cantidad venta]]</f>
        <v/>
      </c>
      <c r="M5024" s="7">
        <f>IF(N5024=0,+L5024+H5024,0)</f>
        <v/>
      </c>
      <c r="N5024" s="7">
        <f>IF((+G5024-K5024)=0,0,+G5024-K5024)</f>
        <v/>
      </c>
      <c r="O5024" s="7">
        <f>IF(N5024=0,0,(L5024+H5024)/-N5024)</f>
        <v/>
      </c>
      <c r="P5024" s="7">
        <f>VLOOKUP(OPERAC[[#This Row],[especie]],[1]!ESPECIES[#All],6,0)</f>
        <v/>
      </c>
      <c r="Q5024" s="7">
        <f>IF(N5024&lt;&gt;0,P5024*N5024,0)</f>
        <v/>
      </c>
      <c r="R5024" s="8">
        <f>IF(Q5024&lt;&gt;0,Q5024+H5024+L5024,0)</f>
        <v/>
      </c>
      <c r="S5024" s="9">
        <f>VLOOKUP(OPERAC[[#This Row],[especie]],[1]!ESPECIES[#Data],9,FALSE)</f>
        <v/>
      </c>
    </row>
    <row r="5025">
      <c r="A5025" s="4" t="n">
        <v>3867</v>
      </c>
      <c r="B5025" s="5" t="n">
        <v>44607</v>
      </c>
      <c r="C5025" s="13" t="inlineStr">
        <is>
          <t>VTA</t>
        </is>
      </c>
      <c r="D5025" s="13" t="n">
        <v>32</v>
      </c>
      <c r="E5025" s="10">
        <f>IF(D5025&gt;0,VLOOKUP(OPERAC[[#This Row],[COD CART]],[1]!MatrizCortoLargoCyl[#All],3,0),"")</f>
        <v/>
      </c>
      <c r="F5025" s="13" t="inlineStr">
        <is>
          <t>DDD/CYL/16,00/18-03-22</t>
        </is>
      </c>
      <c r="G5025" s="6" t="n">
        <v>100</v>
      </c>
      <c r="H5025" s="6" t="n">
        <v>-1552.775</v>
      </c>
      <c r="I5025" s="7">
        <f>-H5025/G5025</f>
        <v/>
      </c>
      <c r="J5025" s="11" t="n">
        <v>44638</v>
      </c>
      <c r="K5025" s="6" t="n">
        <v>100</v>
      </c>
      <c r="L5025" s="6">
        <f>15.866*OPERAC[[#This Row],[cantidad venta]]</f>
        <v/>
      </c>
      <c r="M5025" s="7">
        <f>IF(N5025=0,+L5025+H5025,0)</f>
        <v/>
      </c>
      <c r="N5025" s="7">
        <f>IF((+G5025-K5025)=0,0,+G5025-K5025)</f>
        <v/>
      </c>
      <c r="O5025" s="7">
        <f>IF(N5025=0,0,(L5025+H5025)/-N5025)</f>
        <v/>
      </c>
      <c r="P5025" s="7">
        <f>VLOOKUP(OPERAC[[#This Row],[especie]],[1]!ESPECIES[#All],6,0)</f>
        <v/>
      </c>
      <c r="Q5025" s="7">
        <f>IF(N5025&lt;&gt;0,P5025*N5025,0)</f>
        <v/>
      </c>
      <c r="R5025" s="8">
        <f>IF(Q5025&lt;&gt;0,Q5025+H5025+L5025,0)</f>
        <v/>
      </c>
      <c r="S5025" s="9">
        <f>VLOOKUP(OPERAC[[#This Row],[especie]],[1]!ESPECIES[#Data],9,FALSE)</f>
        <v/>
      </c>
    </row>
    <row r="5026">
      <c r="A5026" s="4" t="n">
        <v>6578</v>
      </c>
      <c r="B5026" s="5" t="n">
        <v>44607</v>
      </c>
      <c r="C5026" s="13" t="inlineStr">
        <is>
          <t>VTA</t>
        </is>
      </c>
      <c r="D5026" s="13" t="n">
        <v>32</v>
      </c>
      <c r="E5026" s="10">
        <f>IF(D5026&gt;0,VLOOKUP(OPERAC[[#This Row],[COD CART]],[1]!MatrizCortoLargoCyl[#All],3,0),"")</f>
        <v/>
      </c>
      <c r="F5026" s="13" t="inlineStr">
        <is>
          <t>DDD/CYL/16,00/18-03-22</t>
        </is>
      </c>
      <c r="G5026" s="6" t="n">
        <v>100</v>
      </c>
      <c r="H5026" s="6" t="n">
        <v>-1552.775</v>
      </c>
      <c r="I5026" s="7">
        <f>-H5026/G5026</f>
        <v/>
      </c>
      <c r="J5026" s="11" t="n">
        <v>44638</v>
      </c>
      <c r="K5026" s="6" t="n">
        <v>100</v>
      </c>
      <c r="L5026" s="6">
        <f>15.866*OPERAC[[#This Row],[cantidad venta]]</f>
        <v/>
      </c>
      <c r="M5026" s="7">
        <f>IF(N5026=0,+L5026+H5026,0)</f>
        <v/>
      </c>
      <c r="N5026" s="7">
        <f>IF((+G5026-K5026)=0,0,+G5026-K5026)</f>
        <v/>
      </c>
      <c r="O5026" s="7">
        <f>IF(N5026=0,0,(L5026+H5026)/-N5026)</f>
        <v/>
      </c>
      <c r="P5026" s="7">
        <f>VLOOKUP(OPERAC[[#This Row],[especie]],[1]!ESPECIES[#All],6,0)</f>
        <v/>
      </c>
      <c r="Q5026" s="7">
        <f>IF(N5026&lt;&gt;0,P5026*N5026,0)</f>
        <v/>
      </c>
      <c r="R5026" s="8">
        <f>IF(Q5026&lt;&gt;0,Q5026+H5026+L5026,0)</f>
        <v/>
      </c>
      <c r="S5026" s="9">
        <f>VLOOKUP(OPERAC[[#This Row],[especie]],[1]!ESPECIES[#Data],9,FALSE)</f>
        <v/>
      </c>
    </row>
    <row r="5027">
      <c r="A5027" s="4" t="n">
        <v>6628</v>
      </c>
      <c r="B5027" s="5" t="n">
        <v>44607</v>
      </c>
      <c r="C5027" s="13" t="inlineStr">
        <is>
          <t>VTA</t>
        </is>
      </c>
      <c r="D5027" s="13" t="n">
        <v>32</v>
      </c>
      <c r="E5027" s="10">
        <f>IF(D5027&gt;0,VLOOKUP(OPERAC[[#This Row],[COD CART]],[1]!MatrizCortoLargoCyl[#All],3,0),"")</f>
        <v/>
      </c>
      <c r="F5027" s="13" t="inlineStr">
        <is>
          <t>DDD/CYL/16,00/18-03-22</t>
        </is>
      </c>
      <c r="G5027" s="6" t="n">
        <v>100</v>
      </c>
      <c r="H5027" s="6" t="n">
        <v>-1552.775</v>
      </c>
      <c r="I5027" s="7">
        <f>-H5027/G5027</f>
        <v/>
      </c>
      <c r="J5027" s="11" t="n">
        <v>44638</v>
      </c>
      <c r="K5027" s="6" t="n">
        <v>100</v>
      </c>
      <c r="L5027" s="6">
        <f>15.866*OPERAC[[#This Row],[cantidad venta]]</f>
        <v/>
      </c>
      <c r="M5027" s="7">
        <f>IF(N5027=0,+L5027+H5027,0)</f>
        <v/>
      </c>
      <c r="N5027" s="7">
        <f>IF((+G5027-K5027)=0,0,+G5027-K5027)</f>
        <v/>
      </c>
      <c r="O5027" s="7">
        <f>IF(N5027=0,0,(L5027+H5027)/-N5027)</f>
        <v/>
      </c>
      <c r="P5027" s="7">
        <f>VLOOKUP(OPERAC[[#This Row],[especie]],[1]!ESPECIES[#All],6,0)</f>
        <v/>
      </c>
      <c r="Q5027" s="7">
        <f>IF(N5027&lt;&gt;0,P5027*N5027,0)</f>
        <v/>
      </c>
      <c r="R5027" s="8">
        <f>IF(Q5027&lt;&gt;0,Q5027+H5027+L5027,0)</f>
        <v/>
      </c>
      <c r="S5027" s="9">
        <f>VLOOKUP(OPERAC[[#This Row],[especie]],[1]!ESPECIES[#Data],9,FALSE)</f>
        <v/>
      </c>
    </row>
    <row r="5028">
      <c r="A5028" s="4" t="n">
        <v>12652</v>
      </c>
      <c r="B5028" s="5" t="n">
        <v>44607</v>
      </c>
      <c r="C5028" s="13" t="inlineStr">
        <is>
          <t>VTA</t>
        </is>
      </c>
      <c r="D5028" s="13" t="n">
        <v>32</v>
      </c>
      <c r="E5028" s="10">
        <f>IF(D5028&gt;0,VLOOKUP(OPERAC[[#This Row],[COD CART]],[1]!MatrizCortoLargoCyl[#All],3,0),"")</f>
        <v/>
      </c>
      <c r="F5028" s="13" t="inlineStr">
        <is>
          <t>DDD/CYL/16,00/18-03-22</t>
        </is>
      </c>
      <c r="G5028" s="6" t="n">
        <v>100</v>
      </c>
      <c r="H5028" s="6" t="n">
        <v>-1552.775</v>
      </c>
      <c r="I5028" s="7">
        <f>-H5028/G5028</f>
        <v/>
      </c>
      <c r="J5028" s="11" t="n">
        <v>44638</v>
      </c>
      <c r="K5028" s="6" t="n">
        <v>100</v>
      </c>
      <c r="L5028" s="6">
        <f>15.866*OPERAC[[#This Row],[cantidad venta]]</f>
        <v/>
      </c>
      <c r="M5028" s="7">
        <f>IF(N5028=0,+L5028+H5028,0)</f>
        <v/>
      </c>
      <c r="N5028" s="7">
        <f>IF((+G5028-K5028)=0,0,+G5028-K5028)</f>
        <v/>
      </c>
      <c r="O5028" s="7">
        <f>IF(N5028=0,0,(L5028+H5028)/-N5028)</f>
        <v/>
      </c>
      <c r="P5028" s="7">
        <f>VLOOKUP(OPERAC[[#This Row],[especie]],[1]!ESPECIES[#All],6,0)</f>
        <v/>
      </c>
      <c r="Q5028" s="7">
        <f>IF(N5028&lt;&gt;0,P5028*N5028,0)</f>
        <v/>
      </c>
      <c r="R5028" s="8">
        <f>IF(Q5028&lt;&gt;0,Q5028+H5028+L5028,0)</f>
        <v/>
      </c>
      <c r="S5028" s="9">
        <f>VLOOKUP(OPERAC[[#This Row],[especie]],[1]!ESPECIES[#Data],9,FALSE)</f>
        <v/>
      </c>
    </row>
    <row r="5029">
      <c r="A5029" s="4" t="n">
        <v>12672</v>
      </c>
      <c r="B5029" s="5" t="n">
        <v>44607</v>
      </c>
      <c r="C5029" s="13" t="inlineStr">
        <is>
          <t>VTA</t>
        </is>
      </c>
      <c r="D5029" s="13" t="n">
        <v>32</v>
      </c>
      <c r="E5029" s="10">
        <f>IF(D5029&gt;0,VLOOKUP(OPERAC[[#This Row],[COD CART]],[1]!MatrizCortoLargoCyl[#All],3,0),"")</f>
        <v/>
      </c>
      <c r="F5029" s="13" t="inlineStr">
        <is>
          <t>DDD/CYL/16,00/18-03-22</t>
        </is>
      </c>
      <c r="G5029" s="6" t="n">
        <v>100</v>
      </c>
      <c r="H5029" s="6" t="n">
        <v>-1552.775</v>
      </c>
      <c r="I5029" s="7">
        <f>-H5029/G5029</f>
        <v/>
      </c>
      <c r="J5029" s="11" t="n">
        <v>44638</v>
      </c>
      <c r="K5029" s="6" t="n">
        <v>100</v>
      </c>
      <c r="L5029" s="6">
        <f>15.866*OPERAC[[#This Row],[cantidad venta]]</f>
        <v/>
      </c>
      <c r="M5029" s="7">
        <f>IF(N5029=0,+L5029+H5029,0)</f>
        <v/>
      </c>
      <c r="N5029" s="7">
        <f>IF((+G5029-K5029)=0,0,+G5029-K5029)</f>
        <v/>
      </c>
      <c r="O5029" s="7">
        <f>IF(N5029=0,0,(L5029+H5029)/-N5029)</f>
        <v/>
      </c>
      <c r="P5029" s="7">
        <f>VLOOKUP(OPERAC[[#This Row],[especie]],[1]!ESPECIES[#All],6,0)</f>
        <v/>
      </c>
      <c r="Q5029" s="7">
        <f>IF(N5029&lt;&gt;0,P5029*N5029,0)</f>
        <v/>
      </c>
      <c r="R5029" s="8">
        <f>IF(Q5029&lt;&gt;0,Q5029+H5029+L5029,0)</f>
        <v/>
      </c>
      <c r="S5029" s="9">
        <f>VLOOKUP(OPERAC[[#This Row],[especie]],[1]!ESPECIES[#Data],9,FALSE)</f>
        <v/>
      </c>
    </row>
    <row r="5030">
      <c r="A5030" s="4" t="n">
        <v>13185</v>
      </c>
      <c r="B5030" s="5" t="n">
        <v>44607</v>
      </c>
      <c r="C5030" s="13" t="inlineStr">
        <is>
          <t>VTA</t>
        </is>
      </c>
      <c r="D5030" s="13" t="n">
        <v>32</v>
      </c>
      <c r="E5030" s="10">
        <f>IF(D5030&gt;0,VLOOKUP(OPERAC[[#This Row],[COD CART]],[1]!MatrizCortoLargoCyl[#All],3,0),"")</f>
        <v/>
      </c>
      <c r="F5030" s="13" t="inlineStr">
        <is>
          <t>DDD/CYL/16,00/18-03-22</t>
        </is>
      </c>
      <c r="G5030" s="6" t="n">
        <v>100</v>
      </c>
      <c r="H5030" s="6" t="n">
        <v>-1552.775</v>
      </c>
      <c r="I5030" s="7">
        <f>-H5030/G5030</f>
        <v/>
      </c>
      <c r="J5030" s="11" t="n">
        <v>44638</v>
      </c>
      <c r="K5030" s="6" t="n">
        <v>100</v>
      </c>
      <c r="L5030" s="6">
        <f>15.866*OPERAC[[#This Row],[cantidad venta]]</f>
        <v/>
      </c>
      <c r="M5030" s="7">
        <f>IF(N5030=0,+L5030+H5030,0)</f>
        <v/>
      </c>
      <c r="N5030" s="7">
        <f>IF((+G5030-K5030)=0,0,+G5030-K5030)</f>
        <v/>
      </c>
      <c r="O5030" s="7">
        <f>IF(N5030=0,0,(L5030+H5030)/-N5030)</f>
        <v/>
      </c>
      <c r="P5030" s="7">
        <f>VLOOKUP(OPERAC[[#This Row],[especie]],[1]!ESPECIES[#All],6,0)</f>
        <v/>
      </c>
      <c r="Q5030" s="7">
        <f>IF(N5030&lt;&gt;0,P5030*N5030,0)</f>
        <v/>
      </c>
      <c r="R5030" s="8">
        <f>IF(Q5030&lt;&gt;0,Q5030+H5030+L5030,0)</f>
        <v/>
      </c>
      <c r="S5030" s="9">
        <f>VLOOKUP(OPERAC[[#This Row],[especie]],[1]!ESPECIES[#Data],9,FALSE)</f>
        <v/>
      </c>
    </row>
    <row r="5031">
      <c r="A5031" s="4" t="n">
        <v>2194</v>
      </c>
      <c r="B5031" s="5" t="n">
        <v>44718</v>
      </c>
      <c r="C5031" s="13" t="inlineStr">
        <is>
          <t>VTA</t>
        </is>
      </c>
      <c r="D5031" s="13" t="n">
        <v>42</v>
      </c>
      <c r="E5031" s="10">
        <f>IF(D5031&gt;0,VLOOKUP(OPERAC[[#This Row],[COD CART]],[1]!MatrizCortoLargoCyl[#All],3,0),"")</f>
        <v/>
      </c>
      <c r="F5031" s="13" t="inlineStr">
        <is>
          <t>KWEB</t>
        </is>
      </c>
      <c r="G5031" s="6" t="n">
        <v>50</v>
      </c>
      <c r="H5031" s="6" t="n">
        <v>-1554.1694</v>
      </c>
      <c r="I5031" s="7">
        <f>-H5031/G5031</f>
        <v/>
      </c>
      <c r="J5031" s="5" t="n"/>
      <c r="K5031" s="6" t="n"/>
      <c r="L5031" s="6" t="n"/>
      <c r="M5031" s="7">
        <f>IF(N5031=0,+L5031+H5031,0)</f>
        <v/>
      </c>
      <c r="N5031" s="7">
        <f>IF((+G5031-K5031)=0,0,+G5031-K5031)</f>
        <v/>
      </c>
      <c r="O5031" s="7">
        <f>IF(N5031=0,0,(L5031+H5031)/-N5031)</f>
        <v/>
      </c>
      <c r="P5031" s="7">
        <f>VLOOKUP(OPERAC[[#This Row],[especie]],[1]!ESPECIES[#All],6,0)</f>
        <v/>
      </c>
      <c r="Q5031" s="7">
        <f>IF(N5031&lt;&gt;0,P5031*N5031,0)</f>
        <v/>
      </c>
      <c r="R5031" s="8">
        <f>IF(Q5031&lt;&gt;0,Q5031+H5031+L5031,0)</f>
        <v/>
      </c>
      <c r="S5031" s="9">
        <f>VLOOKUP(OPERAC[[#This Row],[especie]],[1]!ESPECIES[#Data],9,FALSE)</f>
        <v/>
      </c>
    </row>
    <row r="5032">
      <c r="A5032" s="4" t="n">
        <v>13190</v>
      </c>
      <c r="B5032" s="5" t="n">
        <v>44718</v>
      </c>
      <c r="C5032" s="13" t="inlineStr">
        <is>
          <t>VTA</t>
        </is>
      </c>
      <c r="D5032" s="13" t="n">
        <v>42</v>
      </c>
      <c r="E5032" s="10">
        <f>IF(D5032&gt;0,VLOOKUP(OPERAC[[#This Row],[COD CART]],[1]!MatrizCortoLargoCyl[#All],3,0),"")</f>
        <v/>
      </c>
      <c r="F5032" s="13" t="inlineStr">
        <is>
          <t>KWEB</t>
        </is>
      </c>
      <c r="G5032" s="6" t="n">
        <v>50</v>
      </c>
      <c r="H5032" s="6" t="n">
        <v>-1554.1694</v>
      </c>
      <c r="I5032" s="7">
        <f>-H5032/G5032</f>
        <v/>
      </c>
      <c r="J5032" s="5" t="n"/>
      <c r="K5032" s="6" t="n"/>
      <c r="L5032" s="6" t="n"/>
      <c r="M5032" s="7">
        <f>IF(N5032=0,+L5032+H5032,0)</f>
        <v/>
      </c>
      <c r="N5032" s="7">
        <f>IF((+G5032-K5032)=0,0,+G5032-K5032)</f>
        <v/>
      </c>
      <c r="O5032" s="7">
        <f>IF(N5032=0,0,(L5032+H5032)/-N5032)</f>
        <v/>
      </c>
      <c r="P5032" s="7">
        <f>VLOOKUP(OPERAC[[#This Row],[especie]],[1]!ESPECIES[#All],6,0)</f>
        <v/>
      </c>
      <c r="Q5032" s="7">
        <f>IF(N5032&lt;&gt;0,P5032*N5032,0)</f>
        <v/>
      </c>
      <c r="R5032" s="8">
        <f>IF(Q5032&lt;&gt;0,Q5032+H5032+L5032,0)</f>
        <v/>
      </c>
      <c r="S5032" s="9">
        <f>VLOOKUP(OPERAC[[#This Row],[especie]],[1]!ESPECIES[#Data],9,FALSE)</f>
        <v/>
      </c>
    </row>
    <row r="5033">
      <c r="A5033" s="4" t="n">
        <v>13246</v>
      </c>
      <c r="B5033" s="5" t="n">
        <v>44718</v>
      </c>
      <c r="C5033" s="13" t="inlineStr">
        <is>
          <t>VTA</t>
        </is>
      </c>
      <c r="D5033" s="13" t="n">
        <v>42</v>
      </c>
      <c r="E5033" s="10">
        <f>IF(D5033&gt;0,VLOOKUP(OPERAC[[#This Row],[COD CART]],[1]!MatrizCortoLargoCyl[#All],3,0),"")</f>
        <v/>
      </c>
      <c r="F5033" s="13" t="inlineStr">
        <is>
          <t>KWEB</t>
        </is>
      </c>
      <c r="G5033" s="6" t="n">
        <v>50</v>
      </c>
      <c r="H5033" s="6" t="n">
        <v>-1554.1694</v>
      </c>
      <c r="I5033" s="7">
        <f>-H5033/G5033</f>
        <v/>
      </c>
      <c r="J5033" s="5" t="n"/>
      <c r="K5033" s="6" t="n"/>
      <c r="L5033" s="6" t="n"/>
      <c r="M5033" s="7">
        <f>IF(N5033=0,+L5033+H5033,0)</f>
        <v/>
      </c>
      <c r="N5033" s="7">
        <f>IF((+G5033-K5033)=0,0,+G5033-K5033)</f>
        <v/>
      </c>
      <c r="O5033" s="7">
        <f>IF(N5033=0,0,(L5033+H5033)/-N5033)</f>
        <v/>
      </c>
      <c r="P5033" s="7">
        <f>VLOOKUP(OPERAC[[#This Row],[especie]],[1]!ESPECIES[#All],6,0)</f>
        <v/>
      </c>
      <c r="Q5033" s="7">
        <f>IF(N5033&lt;&gt;0,P5033*N5033,0)</f>
        <v/>
      </c>
      <c r="R5033" s="8">
        <f>IF(Q5033&lt;&gt;0,Q5033+H5033+L5033,0)</f>
        <v/>
      </c>
      <c r="S5033" s="9">
        <f>VLOOKUP(OPERAC[[#This Row],[especie]],[1]!ESPECIES[#Data],9,FALSE)</f>
        <v/>
      </c>
    </row>
    <row r="5034">
      <c r="A5034" s="4" t="n">
        <v>18677</v>
      </c>
      <c r="B5034" s="5" t="n">
        <v>44718</v>
      </c>
      <c r="C5034" s="13" t="inlineStr">
        <is>
          <t>VTA</t>
        </is>
      </c>
      <c r="D5034" s="13" t="n">
        <v>42</v>
      </c>
      <c r="E5034" s="10">
        <f>IF(D5034&gt;0,VLOOKUP(OPERAC[[#This Row],[COD CART]],[1]!MatrizCortoLargoCyl[#All],3,0),"")</f>
        <v/>
      </c>
      <c r="F5034" s="13" t="inlineStr">
        <is>
          <t>KWEB</t>
        </is>
      </c>
      <c r="G5034" s="6" t="n">
        <v>50</v>
      </c>
      <c r="H5034" s="6" t="n">
        <v>-1554.1694</v>
      </c>
      <c r="I5034" s="7">
        <f>-H5034/G5034</f>
        <v/>
      </c>
      <c r="J5034" s="5" t="n"/>
      <c r="K5034" s="6" t="n"/>
      <c r="L5034" s="6" t="n"/>
      <c r="M5034" s="7">
        <f>IF(N5034=0,+L5034+H5034,0)</f>
        <v/>
      </c>
      <c r="N5034" s="7">
        <f>IF((+G5034-K5034)=0,0,+G5034-K5034)</f>
        <v/>
      </c>
      <c r="O5034" s="7">
        <f>IF(N5034=0,0,(L5034+H5034)/-N5034)</f>
        <v/>
      </c>
      <c r="P5034" s="7">
        <f>VLOOKUP(OPERAC[[#This Row],[especie]],[1]!ESPECIES[#All],6,0)</f>
        <v/>
      </c>
      <c r="Q5034" s="7">
        <f>IF(N5034&lt;&gt;0,P5034*N5034,0)</f>
        <v/>
      </c>
      <c r="R5034" s="8">
        <f>IF(Q5034&lt;&gt;0,Q5034+H5034+L5034,0)</f>
        <v/>
      </c>
      <c r="S5034" s="9">
        <f>VLOOKUP(OPERAC[[#This Row],[especie]],[1]!ESPECIES[#Data],9,FALSE)</f>
        <v/>
      </c>
    </row>
    <row r="5035">
      <c r="A5035" s="4" t="n">
        <v>18726</v>
      </c>
      <c r="B5035" s="5" t="n">
        <v>44718</v>
      </c>
      <c r="C5035" s="13" t="inlineStr">
        <is>
          <t>VTA</t>
        </is>
      </c>
      <c r="D5035" s="13" t="n">
        <v>42</v>
      </c>
      <c r="E5035" s="10">
        <f>IF(D5035&gt;0,VLOOKUP(OPERAC[[#This Row],[COD CART]],[1]!MatrizCortoLargoCyl[#All],3,0),"")</f>
        <v/>
      </c>
      <c r="F5035" s="13" t="inlineStr">
        <is>
          <t>KWEB</t>
        </is>
      </c>
      <c r="G5035" s="6" t="n">
        <v>50</v>
      </c>
      <c r="H5035" s="6" t="n">
        <v>-1554.1694</v>
      </c>
      <c r="I5035" s="7">
        <f>-H5035/G5035</f>
        <v/>
      </c>
      <c r="J5035" s="5" t="n"/>
      <c r="K5035" s="6" t="n"/>
      <c r="L5035" s="6" t="n"/>
      <c r="M5035" s="7">
        <f>IF(N5035=0,+L5035+H5035,0)</f>
        <v/>
      </c>
      <c r="N5035" s="7">
        <f>IF((+G5035-K5035)=0,0,+G5035-K5035)</f>
        <v/>
      </c>
      <c r="O5035" s="7">
        <f>IF(N5035=0,0,(L5035+H5035)/-N5035)</f>
        <v/>
      </c>
      <c r="P5035" s="7">
        <f>VLOOKUP(OPERAC[[#This Row],[especie]],[1]!ESPECIES[#All],6,0)</f>
        <v/>
      </c>
      <c r="Q5035" s="7">
        <f>IF(N5035&lt;&gt;0,P5035*N5035,0)</f>
        <v/>
      </c>
      <c r="R5035" s="8">
        <f>IF(Q5035&lt;&gt;0,Q5035+H5035+L5035,0)</f>
        <v/>
      </c>
      <c r="S5035" s="9">
        <f>VLOOKUP(OPERAC[[#This Row],[especie]],[1]!ESPECIES[#Data],9,FALSE)</f>
        <v/>
      </c>
    </row>
    <row r="5036">
      <c r="A5036" s="4" t="n">
        <v>13240</v>
      </c>
      <c r="B5036" s="5" t="n">
        <v>44501</v>
      </c>
      <c r="C5036" s="13" t="inlineStr">
        <is>
          <t>VTA</t>
        </is>
      </c>
      <c r="D5036" s="13" t="n">
        <v>40</v>
      </c>
      <c r="E5036" s="10">
        <f>IF(D5036&gt;0,VLOOKUP(OPERAC[[#This Row],[COD CART]],[1]!MatrizCortoLargoCyl[#All],3,0),"")</f>
        <v/>
      </c>
      <c r="F5036" s="13" t="inlineStr">
        <is>
          <t>SOLO</t>
        </is>
      </c>
      <c r="G5036" s="6" t="n">
        <v>500</v>
      </c>
      <c r="H5036" s="6">
        <f>-1675.624+114.435</f>
        <v/>
      </c>
      <c r="I5036" s="7">
        <f>-H5036/G5036</f>
        <v/>
      </c>
      <c r="J5036" s="11" t="n">
        <v>44606</v>
      </c>
      <c r="K5036" s="6" t="n">
        <v>500</v>
      </c>
      <c r="L5036" s="6" t="n">
        <v>1010.263</v>
      </c>
      <c r="M5036" s="7">
        <f>IF(N5036=0,+L5036+H5036,0)</f>
        <v/>
      </c>
      <c r="N5036" s="7">
        <f>IF((+G5036-K5036)=0,0,+G5036-K5036)</f>
        <v/>
      </c>
      <c r="O5036" s="7">
        <f>IF(N5036=0,0,(L5036+H5036)/-N5036)</f>
        <v/>
      </c>
      <c r="P5036" s="7">
        <f>VLOOKUP(OPERAC[[#This Row],[especie]],[1]!ESPECIES[#All],6,0)</f>
        <v/>
      </c>
      <c r="Q5036" s="7">
        <f>IF(N5036&lt;&gt;0,P5036*N5036,0)</f>
        <v/>
      </c>
      <c r="R5036" s="8">
        <f>IF(Q5036&lt;&gt;0,Q5036+H5036+L5036,0)</f>
        <v/>
      </c>
      <c r="S5036" s="9">
        <f>VLOOKUP(OPERAC[[#This Row],[especie]],[1]!ESPECIES[#Data],9,FALSE)</f>
        <v/>
      </c>
    </row>
    <row r="5037">
      <c r="A5037" s="4" t="n">
        <v>2257</v>
      </c>
      <c r="B5037" s="5" t="n">
        <v>44582</v>
      </c>
      <c r="C5037" s="13" t="inlineStr">
        <is>
          <t>VTA</t>
        </is>
      </c>
      <c r="D5037" s="13" t="n">
        <v>40</v>
      </c>
      <c r="E5037" s="10">
        <f>IF(D5037&gt;0,VLOOKUP(OPERAC[[#This Row],[COD CART]],[1]!MatrizCortoLargoCyl[#All],3,0),"")</f>
        <v/>
      </c>
      <c r="F5037" s="13" t="inlineStr">
        <is>
          <t>NFLX</t>
        </is>
      </c>
      <c r="G5037" s="6" t="n">
        <v>4</v>
      </c>
      <c r="H5037" s="6" t="n">
        <v>-1562.5484</v>
      </c>
      <c r="I5037" s="7">
        <f>-H5037/G5037</f>
        <v/>
      </c>
      <c r="J5037" s="11" t="n">
        <v>44593</v>
      </c>
      <c r="K5037" s="6">
        <f>+OPERAC[[#This Row],[cantidad]]</f>
        <v/>
      </c>
      <c r="L5037" s="6">
        <f>+OPERAC[[#This Row],[cantidad venta]]*448.602</f>
        <v/>
      </c>
      <c r="M5037" s="7">
        <f>IF(N5037=0,+L5037+H5037,0)</f>
        <v/>
      </c>
      <c r="N5037" s="7">
        <f>IF((+G5037-K5037)=0,0,+G5037-K5037)</f>
        <v/>
      </c>
      <c r="O5037" s="7">
        <f>IF(N5037=0,0,(L5037+H5037)/-N5037)</f>
        <v/>
      </c>
      <c r="P5037" s="7">
        <f>VLOOKUP(OPERAC[[#This Row],[especie]],[1]!ESPECIES[#All],6,0)</f>
        <v/>
      </c>
      <c r="Q5037" s="7">
        <f>IF(N5037&lt;&gt;0,P5037*N5037,0)</f>
        <v/>
      </c>
      <c r="R5037" s="8">
        <f>IF(Q5037&lt;&gt;0,Q5037+H5037+L5037,0)</f>
        <v/>
      </c>
      <c r="S5037" s="9">
        <f>VLOOKUP(OPERAC[[#This Row],[especie]],[1]!ESPECIES[#Data],9,FALSE)</f>
        <v/>
      </c>
    </row>
    <row r="5038">
      <c r="A5038" s="4" t="n">
        <v>6578</v>
      </c>
      <c r="B5038" s="5" t="n">
        <v>44582</v>
      </c>
      <c r="C5038" s="13" t="inlineStr">
        <is>
          <t>VTA</t>
        </is>
      </c>
      <c r="D5038" s="13" t="n">
        <v>40</v>
      </c>
      <c r="E5038" s="10">
        <f>IF(D5038&gt;0,VLOOKUP(OPERAC[[#This Row],[COD CART]],[1]!MatrizCortoLargoCyl[#All],3,0),"")</f>
        <v/>
      </c>
      <c r="F5038" s="13" t="inlineStr">
        <is>
          <t>NFLX</t>
        </is>
      </c>
      <c r="G5038" s="6" t="n">
        <v>4</v>
      </c>
      <c r="H5038" s="6" t="n">
        <v>-1562.5484</v>
      </c>
      <c r="I5038" s="7">
        <f>-H5038/G5038</f>
        <v/>
      </c>
      <c r="J5038" s="11" t="n">
        <v>44593</v>
      </c>
      <c r="K5038" s="6">
        <f>+OPERAC[[#This Row],[cantidad]]</f>
        <v/>
      </c>
      <c r="L5038" s="6">
        <f>+OPERAC[[#This Row],[cantidad venta]]*448.602</f>
        <v/>
      </c>
      <c r="M5038" s="7">
        <f>IF(N5038=0,+L5038+H5038,0)</f>
        <v/>
      </c>
      <c r="N5038" s="7">
        <f>IF((+G5038-K5038)=0,0,+G5038-K5038)</f>
        <v/>
      </c>
      <c r="O5038" s="7">
        <f>IF(N5038=0,0,(L5038+H5038)/-N5038)</f>
        <v/>
      </c>
      <c r="P5038" s="7">
        <f>VLOOKUP(OPERAC[[#This Row],[especie]],[1]!ESPECIES[#All],6,0)</f>
        <v/>
      </c>
      <c r="Q5038" s="7">
        <f>IF(N5038&lt;&gt;0,P5038*N5038,0)</f>
        <v/>
      </c>
      <c r="R5038" s="8">
        <f>IF(Q5038&lt;&gt;0,Q5038+H5038+L5038,0)</f>
        <v/>
      </c>
      <c r="S5038" s="9">
        <f>VLOOKUP(OPERAC[[#This Row],[especie]],[1]!ESPECIES[#Data],9,FALSE)</f>
        <v/>
      </c>
    </row>
    <row r="5039">
      <c r="A5039" s="4" t="n">
        <v>12655</v>
      </c>
      <c r="B5039" s="5" t="n">
        <v>44582</v>
      </c>
      <c r="C5039" s="13" t="inlineStr">
        <is>
          <t>VTA</t>
        </is>
      </c>
      <c r="D5039" s="13" t="n">
        <v>40</v>
      </c>
      <c r="E5039" s="10">
        <f>IF(D5039&gt;0,VLOOKUP(OPERAC[[#This Row],[COD CART]],[1]!MatrizCortoLargoCyl[#All],3,0),"")</f>
        <v/>
      </c>
      <c r="F5039" s="13" t="inlineStr">
        <is>
          <t>NFLX</t>
        </is>
      </c>
      <c r="G5039" s="6" t="n">
        <v>4</v>
      </c>
      <c r="H5039" s="6" t="n">
        <v>-1562.5484</v>
      </c>
      <c r="I5039" s="7">
        <f>-H5039/G5039</f>
        <v/>
      </c>
      <c r="J5039" s="11" t="n">
        <v>44593</v>
      </c>
      <c r="K5039" s="6">
        <f>+OPERAC[[#This Row],[cantidad]]</f>
        <v/>
      </c>
      <c r="L5039" s="6">
        <f>+OPERAC[[#This Row],[cantidad venta]]*448.602</f>
        <v/>
      </c>
      <c r="M5039" s="7">
        <f>IF(N5039=0,+L5039+H5039,0)</f>
        <v/>
      </c>
      <c r="N5039" s="7">
        <f>IF((+G5039-K5039)=0,0,+G5039-K5039)</f>
        <v/>
      </c>
      <c r="O5039" s="7">
        <f>IF(N5039=0,0,(L5039+H5039)/-N5039)</f>
        <v/>
      </c>
      <c r="P5039" s="7">
        <f>VLOOKUP(OPERAC[[#This Row],[especie]],[1]!ESPECIES[#All],6,0)</f>
        <v/>
      </c>
      <c r="Q5039" s="7">
        <f>IF(N5039&lt;&gt;0,P5039*N5039,0)</f>
        <v/>
      </c>
      <c r="R5039" s="8">
        <f>IF(Q5039&lt;&gt;0,Q5039+H5039+L5039,0)</f>
        <v/>
      </c>
      <c r="S5039" s="9">
        <f>VLOOKUP(OPERAC[[#This Row],[especie]],[1]!ESPECIES[#Data],9,FALSE)</f>
        <v/>
      </c>
    </row>
    <row r="5040">
      <c r="A5040" s="4" t="n">
        <v>13269</v>
      </c>
      <c r="B5040" s="5" t="n">
        <v>44582</v>
      </c>
      <c r="C5040" s="13" t="inlineStr">
        <is>
          <t>VTA</t>
        </is>
      </c>
      <c r="D5040" s="13" t="n">
        <v>40</v>
      </c>
      <c r="E5040" s="10">
        <f>IF(D5040&gt;0,VLOOKUP(OPERAC[[#This Row],[COD CART]],[1]!MatrizCortoLargoCyl[#All],3,0),"")</f>
        <v/>
      </c>
      <c r="F5040" s="13" t="inlineStr">
        <is>
          <t>NFLX</t>
        </is>
      </c>
      <c r="G5040" s="6" t="n">
        <v>4</v>
      </c>
      <c r="H5040" s="6" t="n">
        <v>-1562.5484</v>
      </c>
      <c r="I5040" s="7">
        <f>-H5040/G5040</f>
        <v/>
      </c>
      <c r="J5040" s="11" t="n">
        <v>44593</v>
      </c>
      <c r="K5040" s="6">
        <f>+OPERAC[[#This Row],[cantidad]]</f>
        <v/>
      </c>
      <c r="L5040" s="6">
        <f>+OPERAC[[#This Row],[cantidad venta]]*448.602</f>
        <v/>
      </c>
      <c r="M5040" s="7">
        <f>IF(N5040=0,+L5040+H5040,0)</f>
        <v/>
      </c>
      <c r="N5040" s="7">
        <f>IF((+G5040-K5040)=0,0,+G5040-K5040)</f>
        <v/>
      </c>
      <c r="O5040" s="7">
        <f>IF(N5040=0,0,(L5040+H5040)/-N5040)</f>
        <v/>
      </c>
      <c r="P5040" s="7">
        <f>VLOOKUP(OPERAC[[#This Row],[especie]],[1]!ESPECIES[#All],6,0)</f>
        <v/>
      </c>
      <c r="Q5040" s="7">
        <f>IF(N5040&lt;&gt;0,P5040*N5040,0)</f>
        <v/>
      </c>
      <c r="R5040" s="8">
        <f>IF(Q5040&lt;&gt;0,Q5040+H5040+L5040,0)</f>
        <v/>
      </c>
      <c r="S5040" s="9">
        <f>VLOOKUP(OPERAC[[#This Row],[especie]],[1]!ESPECIES[#Data],9,FALSE)</f>
        <v/>
      </c>
    </row>
    <row r="5041">
      <c r="A5041" s="4" t="n">
        <v>26138</v>
      </c>
      <c r="B5041" s="5" t="n">
        <v>44582</v>
      </c>
      <c r="C5041" s="13" t="inlineStr">
        <is>
          <t>VTA</t>
        </is>
      </c>
      <c r="D5041" s="13" t="n">
        <v>40</v>
      </c>
      <c r="E5041" s="10">
        <f>IF(D5041&gt;0,VLOOKUP(OPERAC[[#This Row],[COD CART]],[1]!MatrizCortoLargoCyl[#All],3,0),"")</f>
        <v/>
      </c>
      <c r="F5041" s="13" t="inlineStr">
        <is>
          <t>NFLX</t>
        </is>
      </c>
      <c r="G5041" s="6" t="n">
        <v>4</v>
      </c>
      <c r="H5041" s="6" t="n">
        <v>-1562.5484</v>
      </c>
      <c r="I5041" s="7">
        <f>-H5041/G5041</f>
        <v/>
      </c>
      <c r="J5041" s="11" t="n">
        <v>44593</v>
      </c>
      <c r="K5041" s="6">
        <f>+OPERAC[[#This Row],[cantidad]]</f>
        <v/>
      </c>
      <c r="L5041" s="6">
        <f>+OPERAC[[#This Row],[cantidad venta]]*448.602</f>
        <v/>
      </c>
      <c r="M5041" s="7">
        <f>IF(N5041=0,+L5041+H5041,0)</f>
        <v/>
      </c>
      <c r="N5041" s="7">
        <f>IF((+G5041-K5041)=0,0,+G5041-K5041)</f>
        <v/>
      </c>
      <c r="O5041" s="7">
        <f>IF(N5041=0,0,(L5041+H5041)/-N5041)</f>
        <v/>
      </c>
      <c r="P5041" s="7">
        <f>VLOOKUP(OPERAC[[#This Row],[especie]],[1]!ESPECIES[#All],6,0)</f>
        <v/>
      </c>
      <c r="Q5041" s="7">
        <f>IF(N5041&lt;&gt;0,P5041*N5041,0)</f>
        <v/>
      </c>
      <c r="R5041" s="8">
        <f>IF(Q5041&lt;&gt;0,Q5041+H5041+L5041,0)</f>
        <v/>
      </c>
      <c r="S5041" s="9">
        <f>VLOOKUP(OPERAC[[#This Row],[especie]],[1]!ESPECIES[#Data],9,FALSE)</f>
        <v/>
      </c>
    </row>
    <row r="5042">
      <c r="A5042" s="4" t="n">
        <v>18663</v>
      </c>
      <c r="B5042" s="5" t="n">
        <v>44356</v>
      </c>
      <c r="C5042" s="13" t="inlineStr">
        <is>
          <t>VTA</t>
        </is>
      </c>
      <c r="D5042" s="13" t="n">
        <v>41</v>
      </c>
      <c r="E5042" s="10">
        <f>IF(D5042&gt;0,VLOOKUP(OPERAC[[#This Row],[COD CART]],[1]!MatrizCortoLargoCyl[#All],3,0),"")</f>
        <v/>
      </c>
      <c r="F5042" s="13" t="inlineStr">
        <is>
          <t>TLRY</t>
        </is>
      </c>
      <c r="G5042" s="6" t="n">
        <v>100</v>
      </c>
      <c r="H5042" s="6">
        <f>-1759.376-7.056+142.138+12.256+9.06+17+22.328</f>
        <v/>
      </c>
      <c r="I5042" s="7">
        <f>-H5042/G5042</f>
        <v/>
      </c>
      <c r="J5042" s="11" t="n"/>
      <c r="K5042" s="6" t="n"/>
      <c r="L5042" s="6" t="n"/>
      <c r="M5042" s="7">
        <f>IF(N5042=0,+L5042+H5042,0)</f>
        <v/>
      </c>
      <c r="N5042" s="7">
        <f>IF((+G5042-K5042)=0,0,+G5042-K5042)</f>
        <v/>
      </c>
      <c r="O5042" s="7">
        <f>IF(N5042=0,0,(L5042+H5042)/-N5042)</f>
        <v/>
      </c>
      <c r="P5042" s="7">
        <f>VLOOKUP(OPERAC[[#This Row],[especie]],[1]!ESPECIES[#All],6,0)</f>
        <v/>
      </c>
      <c r="Q5042" s="7">
        <f>IF(N5042&lt;&gt;0,P5042*N5042,0)</f>
        <v/>
      </c>
      <c r="R5042" s="8">
        <f>IF(Q5042&lt;&gt;0,Q5042+H5042+L5042,0)</f>
        <v/>
      </c>
      <c r="S5042" s="9">
        <f>VLOOKUP(OPERAC[[#This Row],[especie]],[1]!ESPECIES[#Data],9,FALSE)</f>
        <v/>
      </c>
    </row>
    <row r="5043">
      <c r="A5043" s="4" t="n">
        <v>6628</v>
      </c>
      <c r="B5043" s="5" t="n">
        <v>44680</v>
      </c>
      <c r="C5043" s="13" t="inlineStr">
        <is>
          <t>VTA</t>
        </is>
      </c>
      <c r="D5043" s="13" t="n">
        <v>42</v>
      </c>
      <c r="E5043" s="10">
        <f>IF(D5043&gt;0,VLOOKUP(OPERAC[[#This Row],[COD CART]],[1]!MatrizCortoLargoCyl[#All],3,0),"")</f>
        <v/>
      </c>
      <c r="F5043" s="13" t="inlineStr">
        <is>
          <t>TS</t>
        </is>
      </c>
      <c r="G5043" s="6" t="n">
        <v>50</v>
      </c>
      <c r="H5043" s="6" t="n">
        <v>-1564.939875</v>
      </c>
      <c r="I5043" s="7">
        <f>-H5043/G5043</f>
        <v/>
      </c>
      <c r="J5043" s="11" t="n">
        <v>44693</v>
      </c>
      <c r="K5043" s="6">
        <f>+OPERAC[[#This Row],[cantidad]]</f>
        <v/>
      </c>
      <c r="L5043" s="6">
        <f>+OPERAC[[#This Row],[cantidad venta]]*29.07</f>
        <v/>
      </c>
      <c r="M5043" s="7">
        <f>IF(N5043=0,+L5043+H5043,0)</f>
        <v/>
      </c>
      <c r="N5043" s="7">
        <f>IF((+G5043-K5043)=0,0,+G5043-K5043)</f>
        <v/>
      </c>
      <c r="O5043" s="7">
        <f>IF(N5043=0,0,(L5043+H5043)/-N5043)</f>
        <v/>
      </c>
      <c r="P5043" s="7">
        <f>VLOOKUP(OPERAC[[#This Row],[especie]],[1]!ESPECIES[#All],6,0)</f>
        <v/>
      </c>
      <c r="Q5043" s="7">
        <f>IF(N5043&lt;&gt;0,P5043*N5043,0)</f>
        <v/>
      </c>
      <c r="R5043" s="8">
        <f>IF(Q5043&lt;&gt;0,Q5043+H5043+L5043,0)</f>
        <v/>
      </c>
      <c r="S5043" s="9">
        <f>VLOOKUP(OPERAC[[#This Row],[especie]],[1]!ESPECIES[#Data],9,FALSE)</f>
        <v/>
      </c>
    </row>
    <row r="5044">
      <c r="A5044" s="4" t="n">
        <v>1760</v>
      </c>
      <c r="B5044" s="5" t="n">
        <v>44680</v>
      </c>
      <c r="C5044" s="13" t="inlineStr">
        <is>
          <t>VTA</t>
        </is>
      </c>
      <c r="D5044" s="13" t="n">
        <v>42</v>
      </c>
      <c r="E5044" s="10">
        <f>IF(D5044&gt;0,VLOOKUP(OPERAC[[#This Row],[COD CART]],[1]!MatrizCortoLargoCyl[#All],3,0),"")</f>
        <v/>
      </c>
      <c r="F5044" s="13" t="inlineStr">
        <is>
          <t>TS</t>
        </is>
      </c>
      <c r="G5044" s="6" t="n">
        <v>50</v>
      </c>
      <c r="H5044" s="6" t="n">
        <v>-1564.939875</v>
      </c>
      <c r="I5044" s="7">
        <f>-H5044/G5044</f>
        <v/>
      </c>
      <c r="J5044" s="11" t="n">
        <v>44704</v>
      </c>
      <c r="K5044" s="6" t="n">
        <v>50</v>
      </c>
      <c r="L5044" s="6" t="n">
        <v>1616.39</v>
      </c>
      <c r="M5044" s="7">
        <f>IF(N5044=0,+L5044+H5044,0)</f>
        <v/>
      </c>
      <c r="N5044" s="7">
        <f>IF((+G5044-K5044)=0,0,+G5044-K5044)</f>
        <v/>
      </c>
      <c r="O5044" s="7">
        <f>IF(N5044=0,0,(L5044+H5044)/-N5044)</f>
        <v/>
      </c>
      <c r="P5044" s="7">
        <f>VLOOKUP(OPERAC[[#This Row],[especie]],[1]!ESPECIES[#All],6,0)</f>
        <v/>
      </c>
      <c r="Q5044" s="7">
        <f>IF(N5044&lt;&gt;0,P5044*N5044,0)</f>
        <v/>
      </c>
      <c r="R5044" s="8">
        <f>IF(Q5044&lt;&gt;0,Q5044+H5044+L5044,0)</f>
        <v/>
      </c>
      <c r="S5044" s="9">
        <f>VLOOKUP(OPERAC[[#This Row],[especie]],[1]!ESPECIES[#Data],9,FALSE)</f>
        <v/>
      </c>
    </row>
    <row r="5045">
      <c r="A5045" s="4" t="n">
        <v>12627</v>
      </c>
      <c r="B5045" s="5" t="n">
        <v>44680</v>
      </c>
      <c r="C5045" s="13" t="inlineStr">
        <is>
          <t>VTA</t>
        </is>
      </c>
      <c r="D5045" s="13" t="n">
        <v>42</v>
      </c>
      <c r="E5045" s="10">
        <f>IF(D5045&gt;0,VLOOKUP(OPERAC[[#This Row],[COD CART]],[1]!MatrizCortoLargoCyl[#All],3,0),"")</f>
        <v/>
      </c>
      <c r="F5045" s="13" t="inlineStr">
        <is>
          <t>TS</t>
        </is>
      </c>
      <c r="G5045" s="6" t="n">
        <v>50</v>
      </c>
      <c r="H5045" s="6" t="n">
        <v>-1564.939875</v>
      </c>
      <c r="I5045" s="7">
        <f>-H5045/G5045</f>
        <v/>
      </c>
      <c r="J5045" s="11" t="n">
        <v>44693</v>
      </c>
      <c r="K5045" s="6">
        <f>+OPERAC[[#This Row],[cantidad]]</f>
        <v/>
      </c>
      <c r="L5045" s="6">
        <f>+OPERAC[[#This Row],[cantidad venta]]*29.07</f>
        <v/>
      </c>
      <c r="M5045" s="7">
        <f>IF(N5045=0,+L5045+H5045,0)</f>
        <v/>
      </c>
      <c r="N5045" s="7">
        <f>IF((+G5045-K5045)=0,0,+G5045-K5045)</f>
        <v/>
      </c>
      <c r="O5045" s="7">
        <f>IF(N5045=0,0,(L5045+H5045)/-N5045)</f>
        <v/>
      </c>
      <c r="P5045" s="7">
        <f>VLOOKUP(OPERAC[[#This Row],[especie]],[1]!ESPECIES[#All],6,0)</f>
        <v/>
      </c>
      <c r="Q5045" s="7">
        <f>IF(N5045&lt;&gt;0,P5045*N5045,0)</f>
        <v/>
      </c>
      <c r="R5045" s="8">
        <f>IF(Q5045&lt;&gt;0,Q5045+H5045+L5045,0)</f>
        <v/>
      </c>
      <c r="S5045" s="9">
        <f>VLOOKUP(OPERAC[[#This Row],[especie]],[1]!ESPECIES[#Data],9,FALSE)</f>
        <v/>
      </c>
    </row>
    <row r="5046">
      <c r="A5046" s="4" t="n">
        <v>16795</v>
      </c>
      <c r="B5046" s="5" t="n">
        <v>44655</v>
      </c>
      <c r="C5046" s="13" t="inlineStr">
        <is>
          <t>VTA</t>
        </is>
      </c>
      <c r="D5046" s="13" t="n">
        <v>32</v>
      </c>
      <c r="E5046" s="10">
        <f>IF(D5046&gt;0,VLOOKUP(OPERAC[[#This Row],[COD CART]],[1]!MatrizCortoLargoCyl[#All],3,0),"")</f>
        <v/>
      </c>
      <c r="F5046" s="13" t="inlineStr">
        <is>
          <t>DDD</t>
        </is>
      </c>
      <c r="G5046" s="6" t="n">
        <v>100</v>
      </c>
      <c r="H5046" s="6" t="n">
        <v>-1568.308</v>
      </c>
      <c r="I5046" s="7">
        <f>-H5046/G5046</f>
        <v/>
      </c>
      <c r="J5046" s="11" t="n">
        <v>44705</v>
      </c>
      <c r="K5046" s="6" t="n">
        <v>100</v>
      </c>
      <c r="L5046" s="6" t="n">
        <v>995.48</v>
      </c>
      <c r="M5046" s="7">
        <f>IF(N5046=0,+L5046+H5046,0)</f>
        <v/>
      </c>
      <c r="N5046" s="7">
        <f>IF((+G5046-K5046)=0,0,+G5046-K5046)</f>
        <v/>
      </c>
      <c r="O5046" s="7">
        <f>IF(N5046=0,0,(L5046+H5046)/-N5046)</f>
        <v/>
      </c>
      <c r="P5046" s="7">
        <f>VLOOKUP(OPERAC[[#This Row],[especie]],[1]!ESPECIES[#All],6,0)</f>
        <v/>
      </c>
      <c r="Q5046" s="7">
        <f>IF(N5046&lt;&gt;0,P5046*N5046,0)</f>
        <v/>
      </c>
      <c r="R5046" s="8">
        <f>IF(Q5046&lt;&gt;0,Q5046+H5046+L5046,0)</f>
        <v/>
      </c>
      <c r="S5046" s="9">
        <f>VLOOKUP(OPERAC[[#This Row],[especie]],[1]!ESPECIES[#Data],9,FALSE)</f>
        <v/>
      </c>
    </row>
    <row r="5047">
      <c r="A5047" s="4" t="n">
        <v>16824</v>
      </c>
      <c r="B5047" s="5" t="n">
        <v>44461</v>
      </c>
      <c r="C5047" s="13" t="inlineStr">
        <is>
          <t>VTA</t>
        </is>
      </c>
      <c r="D5047" s="13" t="n">
        <v>40</v>
      </c>
      <c r="E5047" s="10">
        <f>IF(D5047&gt;0,VLOOKUP(OPERAC[[#This Row],[COD CART]],[1]!MatrizCortoLargoCyl[#All],3,0),"")</f>
        <v/>
      </c>
      <c r="F5047" s="13" t="inlineStr">
        <is>
          <t>EDU</t>
        </is>
      </c>
      <c r="G5047" s="6" t="n">
        <v>1500</v>
      </c>
      <c r="H5047" s="6">
        <f>-1.0864*OPERAC[[#This Row],[cantidad]]+0.04*OPERAC[[#This Row],[cantidad]]</f>
        <v/>
      </c>
      <c r="I5047" s="7">
        <f>-H5047/G5047</f>
        <v/>
      </c>
      <c r="J5047" s="11" t="n">
        <v>44630</v>
      </c>
      <c r="K5047" s="6" t="n">
        <v>1500</v>
      </c>
      <c r="L5047" s="6" t="n">
        <v>1704.984</v>
      </c>
      <c r="M5047" s="7">
        <f>IF(N5047=0,+L5047+H5047,0)</f>
        <v/>
      </c>
      <c r="N5047" s="7">
        <f>IF((+G5047-K5047)=0,0,+G5047-K5047)</f>
        <v/>
      </c>
      <c r="O5047" s="7">
        <f>IF(N5047=0,0,(L5047+H5047)/-N5047)</f>
        <v/>
      </c>
      <c r="P5047" s="7">
        <f>VLOOKUP(OPERAC[[#This Row],[especie]],[1]!ESPECIES[#All],6,0)</f>
        <v/>
      </c>
      <c r="Q5047" s="7">
        <f>IF(N5047&lt;&gt;0,P5047*N5047,0)</f>
        <v/>
      </c>
      <c r="R5047" s="8">
        <f>IF(Q5047&lt;&gt;0,Q5047+H5047+L5047,0)</f>
        <v/>
      </c>
      <c r="S5047" s="9">
        <f>VLOOKUP(OPERAC[[#This Row],[especie]],[1]!ESPECIES[#Data],9,FALSE)</f>
        <v/>
      </c>
    </row>
    <row r="5048">
      <c r="A5048" s="4" t="n">
        <v>13240</v>
      </c>
      <c r="B5048" s="5" t="n">
        <v>44648</v>
      </c>
      <c r="C5048" s="13" t="inlineStr">
        <is>
          <t>VTA</t>
        </is>
      </c>
      <c r="D5048" s="13" t="n">
        <v>32</v>
      </c>
      <c r="E5048" s="10">
        <f>IF(D5048&gt;0,VLOOKUP(OPERAC[[#This Row],[COD CART]],[1]!MatrizCortoLargoCyl[#All],3,0),"")</f>
        <v/>
      </c>
      <c r="F5048" s="13" t="inlineStr">
        <is>
          <t>F/CYL/18,00/17-06-22</t>
        </is>
      </c>
      <c r="G5048" s="6" t="n">
        <v>100</v>
      </c>
      <c r="H5048" s="6">
        <f>-1616.534+43.626</f>
        <v/>
      </c>
      <c r="I5048" s="7">
        <f>-H5048/G5048</f>
        <v/>
      </c>
      <c r="J5048" s="11" t="n"/>
      <c r="K5048" s="6" t="n"/>
      <c r="L5048" s="6" t="n"/>
      <c r="M5048" s="7">
        <f>IF(N5048=0,+L5048+H5048,0)</f>
        <v/>
      </c>
      <c r="N5048" s="7">
        <f>IF((+G5048-K5048)=0,0,+G5048-K5048)</f>
        <v/>
      </c>
      <c r="O5048" s="7">
        <f>IF(N5048=0,0,(L5048+H5048)/-N5048)</f>
        <v/>
      </c>
      <c r="P5048" s="7">
        <f>VLOOKUP(OPERAC[[#This Row],[especie]],[1]!ESPECIES[#All],6,0)</f>
        <v/>
      </c>
      <c r="Q5048" s="7">
        <f>IF(N5048&lt;&gt;0,P5048*N5048,0)</f>
        <v/>
      </c>
      <c r="R5048" s="8">
        <f>IF(Q5048&lt;&gt;0,Q5048+H5048+L5048,0)</f>
        <v/>
      </c>
      <c r="S5048" s="9">
        <f>VLOOKUP(OPERAC[[#This Row],[especie]],[1]!ESPECIES[#Data],9,FALSE)</f>
        <v/>
      </c>
    </row>
    <row r="5049">
      <c r="A5049" s="4" t="n">
        <v>4543</v>
      </c>
      <c r="B5049" s="5" t="n">
        <v>44616</v>
      </c>
      <c r="C5049" s="13" t="inlineStr">
        <is>
          <t>VTA</t>
        </is>
      </c>
      <c r="D5049" s="13" t="n">
        <v>32</v>
      </c>
      <c r="E5049" s="10">
        <f>IF(D5049&gt;0,VLOOKUP(OPERAC[[#This Row],[COD CART]],[1]!MatrizCortoLargoCyl[#All],3,0),"")</f>
        <v/>
      </c>
      <c r="F5049" s="13" t="inlineStr">
        <is>
          <t>SPWR/CYL/20,00/18-03-22</t>
        </is>
      </c>
      <c r="G5049" s="6" t="n">
        <v>100</v>
      </c>
      <c r="H5049" s="6" t="n">
        <v>-1573.0928</v>
      </c>
      <c r="I5049" s="7">
        <f>-H5049/G5049</f>
        <v/>
      </c>
      <c r="J5049" s="11" t="n">
        <v>44636</v>
      </c>
      <c r="K5049" s="6" t="n">
        <v>100</v>
      </c>
      <c r="L5049" s="6" t="n">
        <v>1911.85</v>
      </c>
      <c r="M5049" s="7">
        <f>IF(N5049=0,+L5049+H5049,0)</f>
        <v/>
      </c>
      <c r="N5049" s="7">
        <f>IF((+G5049-K5049)=0,0,+G5049-K5049)</f>
        <v/>
      </c>
      <c r="O5049" s="7">
        <f>IF(N5049=0,0,(L5049+H5049)/-N5049)</f>
        <v/>
      </c>
      <c r="P5049" s="7">
        <f>VLOOKUP(OPERAC[[#This Row],[especie]],[1]!ESPECIES[#All],6,0)</f>
        <v/>
      </c>
      <c r="Q5049" s="7">
        <f>IF(N5049&lt;&gt;0,P5049*N5049,0)</f>
        <v/>
      </c>
      <c r="R5049" s="8">
        <f>IF(Q5049&lt;&gt;0,Q5049+H5049+L5049,0)</f>
        <v/>
      </c>
      <c r="S5049" s="9">
        <f>VLOOKUP(OPERAC[[#This Row],[especie]],[1]!ESPECIES[#Data],9,FALSE)</f>
        <v/>
      </c>
    </row>
    <row r="5050">
      <c r="A5050" s="4" t="n">
        <v>4561</v>
      </c>
      <c r="B5050" s="5" t="n">
        <v>44616</v>
      </c>
      <c r="C5050" s="13" t="inlineStr">
        <is>
          <t>VTA</t>
        </is>
      </c>
      <c r="D5050" s="13" t="n">
        <v>32</v>
      </c>
      <c r="E5050" s="10">
        <f>IF(D5050&gt;0,VLOOKUP(OPERAC[[#This Row],[COD CART]],[1]!MatrizCortoLargoCyl[#All],3,0),"")</f>
        <v/>
      </c>
      <c r="F5050" s="13" t="inlineStr">
        <is>
          <t>SPWR/CYL/20,00/18-03-22</t>
        </is>
      </c>
      <c r="G5050" s="6" t="n">
        <v>100</v>
      </c>
      <c r="H5050" s="6" t="n">
        <v>-1573.0928</v>
      </c>
      <c r="I5050" s="7">
        <f>-H5050/G5050</f>
        <v/>
      </c>
      <c r="J5050" s="11" t="n">
        <v>44636</v>
      </c>
      <c r="K5050" s="6" t="n">
        <v>100</v>
      </c>
      <c r="L5050" s="6" t="n">
        <v>1911.85</v>
      </c>
      <c r="M5050" s="7">
        <f>IF(N5050=0,+L5050+H5050,0)</f>
        <v/>
      </c>
      <c r="N5050" s="7">
        <f>IF((+G5050-K5050)=0,0,+G5050-K5050)</f>
        <v/>
      </c>
      <c r="O5050" s="7">
        <f>IF(N5050=0,0,(L5050+H5050)/-N5050)</f>
        <v/>
      </c>
      <c r="P5050" s="7">
        <f>VLOOKUP(OPERAC[[#This Row],[especie]],[1]!ESPECIES[#All],6,0)</f>
        <v/>
      </c>
      <c r="Q5050" s="7">
        <f>IF(N5050&lt;&gt;0,P5050*N5050,0)</f>
        <v/>
      </c>
      <c r="R5050" s="8">
        <f>IF(Q5050&lt;&gt;0,Q5050+H5050+L5050,0)</f>
        <v/>
      </c>
      <c r="S5050" s="9">
        <f>VLOOKUP(OPERAC[[#This Row],[especie]],[1]!ESPECIES[#Data],9,FALSE)</f>
        <v/>
      </c>
    </row>
    <row r="5051">
      <c r="A5051" s="4" t="n">
        <v>7916</v>
      </c>
      <c r="B5051" s="5" t="n">
        <v>44616</v>
      </c>
      <c r="C5051" s="13" t="inlineStr">
        <is>
          <t>VTA</t>
        </is>
      </c>
      <c r="D5051" s="13" t="n">
        <v>32</v>
      </c>
      <c r="E5051" s="10">
        <f>IF(D5051&gt;0,VLOOKUP(OPERAC[[#This Row],[COD CART]],[1]!MatrizCortoLargoCyl[#All],3,0),"")</f>
        <v/>
      </c>
      <c r="F5051" s="13" t="inlineStr">
        <is>
          <t>SPWR/CYL/20,00/18-03-22</t>
        </is>
      </c>
      <c r="G5051" s="6" t="n">
        <v>100</v>
      </c>
      <c r="H5051" s="6" t="n">
        <v>-1573.0928</v>
      </c>
      <c r="I5051" s="7">
        <f>-H5051/G5051</f>
        <v/>
      </c>
      <c r="J5051" s="11" t="n">
        <v>44636</v>
      </c>
      <c r="K5051" s="6" t="n">
        <v>100</v>
      </c>
      <c r="L5051" s="6" t="n">
        <v>1911.85</v>
      </c>
      <c r="M5051" s="7">
        <f>IF(N5051=0,+L5051+H5051,0)</f>
        <v/>
      </c>
      <c r="N5051" s="7">
        <f>IF((+G5051-K5051)=0,0,+G5051-K5051)</f>
        <v/>
      </c>
      <c r="O5051" s="7">
        <f>IF(N5051=0,0,(L5051+H5051)/-N5051)</f>
        <v/>
      </c>
      <c r="P5051" s="7">
        <f>VLOOKUP(OPERAC[[#This Row],[especie]],[1]!ESPECIES[#All],6,0)</f>
        <v/>
      </c>
      <c r="Q5051" s="7">
        <f>IF(N5051&lt;&gt;0,P5051*N5051,0)</f>
        <v/>
      </c>
      <c r="R5051" s="8">
        <f>IF(Q5051&lt;&gt;0,Q5051+H5051+L5051,0)</f>
        <v/>
      </c>
      <c r="S5051" s="9">
        <f>VLOOKUP(OPERAC[[#This Row],[especie]],[1]!ESPECIES[#Data],9,FALSE)</f>
        <v/>
      </c>
    </row>
    <row r="5052">
      <c r="A5052" s="4" t="n">
        <v>18651</v>
      </c>
      <c r="B5052" s="5" t="n">
        <v>44616</v>
      </c>
      <c r="C5052" s="13" t="inlineStr">
        <is>
          <t>VTA</t>
        </is>
      </c>
      <c r="D5052" s="13" t="n">
        <v>32</v>
      </c>
      <c r="E5052" s="10">
        <f>IF(D5052&gt;0,VLOOKUP(OPERAC[[#This Row],[COD CART]],[1]!MatrizCortoLargoCyl[#All],3,0),"")</f>
        <v/>
      </c>
      <c r="F5052" s="13" t="inlineStr">
        <is>
          <t>SPWR/CYL/20,00/18-03-22</t>
        </is>
      </c>
      <c r="G5052" s="6" t="n">
        <v>100</v>
      </c>
      <c r="H5052" s="6" t="n">
        <v>-1573.0928</v>
      </c>
      <c r="I5052" s="7">
        <f>-H5052/G5052</f>
        <v/>
      </c>
      <c r="J5052" s="11" t="n">
        <v>44636</v>
      </c>
      <c r="K5052" s="6" t="n">
        <v>100</v>
      </c>
      <c r="L5052" s="6" t="n">
        <v>1911.85</v>
      </c>
      <c r="M5052" s="7">
        <f>IF(N5052=0,+L5052+H5052,0)</f>
        <v/>
      </c>
      <c r="N5052" s="7">
        <f>IF((+G5052-K5052)=0,0,+G5052-K5052)</f>
        <v/>
      </c>
      <c r="O5052" s="7">
        <f>IF(N5052=0,0,(L5052+H5052)/-N5052)</f>
        <v/>
      </c>
      <c r="P5052" s="7">
        <f>VLOOKUP(OPERAC[[#This Row],[especie]],[1]!ESPECIES[#All],6,0)</f>
        <v/>
      </c>
      <c r="Q5052" s="7">
        <f>IF(N5052&lt;&gt;0,P5052*N5052,0)</f>
        <v/>
      </c>
      <c r="R5052" s="8">
        <f>IF(Q5052&lt;&gt;0,Q5052+H5052+L5052,0)</f>
        <v/>
      </c>
      <c r="S5052" s="9">
        <f>VLOOKUP(OPERAC[[#This Row],[especie]],[1]!ESPECIES[#Data],9,FALSE)</f>
        <v/>
      </c>
    </row>
    <row r="5053">
      <c r="A5053" s="4" t="n">
        <v>19867</v>
      </c>
      <c r="B5053" s="5" t="n">
        <v>44616</v>
      </c>
      <c r="C5053" s="13" t="inlineStr">
        <is>
          <t>VTA</t>
        </is>
      </c>
      <c r="D5053" s="13" t="n">
        <v>32</v>
      </c>
      <c r="E5053" s="10">
        <f>IF(D5053&gt;0,VLOOKUP(OPERAC[[#This Row],[COD CART]],[1]!MatrizCortoLargoCyl[#All],3,0),"")</f>
        <v/>
      </c>
      <c r="F5053" s="13" t="inlineStr">
        <is>
          <t>SPWR/CYL/20,00/18-03-22</t>
        </is>
      </c>
      <c r="G5053" s="6" t="n">
        <v>100</v>
      </c>
      <c r="H5053" s="6" t="n">
        <v>-1573.0928</v>
      </c>
      <c r="I5053" s="7">
        <f>-H5053/G5053</f>
        <v/>
      </c>
      <c r="J5053" s="11" t="n">
        <v>44636</v>
      </c>
      <c r="K5053" s="6" t="n">
        <v>100</v>
      </c>
      <c r="L5053" s="6" t="n">
        <v>1911.85</v>
      </c>
      <c r="M5053" s="7">
        <f>IF(N5053=0,+L5053+H5053,0)</f>
        <v/>
      </c>
      <c r="N5053" s="7">
        <f>IF((+G5053-K5053)=0,0,+G5053-K5053)</f>
        <v/>
      </c>
      <c r="O5053" s="7">
        <f>IF(N5053=0,0,(L5053+H5053)/-N5053)</f>
        <v/>
      </c>
      <c r="P5053" s="7">
        <f>VLOOKUP(OPERAC[[#This Row],[especie]],[1]!ESPECIES[#All],6,0)</f>
        <v/>
      </c>
      <c r="Q5053" s="7">
        <f>IF(N5053&lt;&gt;0,P5053*N5053,0)</f>
        <v/>
      </c>
      <c r="R5053" s="8">
        <f>IF(Q5053&lt;&gt;0,Q5053+H5053+L5053,0)</f>
        <v/>
      </c>
      <c r="S5053" s="9">
        <f>VLOOKUP(OPERAC[[#This Row],[especie]],[1]!ESPECIES[#Data],9,FALSE)</f>
        <v/>
      </c>
    </row>
    <row r="5054">
      <c r="A5054" s="4" t="n">
        <v>19867</v>
      </c>
      <c r="B5054" s="5" t="n">
        <v>44616</v>
      </c>
      <c r="C5054" s="13" t="inlineStr">
        <is>
          <t>VTA</t>
        </is>
      </c>
      <c r="D5054" s="13" t="n">
        <v>32</v>
      </c>
      <c r="E5054" s="10">
        <f>IF(D5054&gt;0,VLOOKUP(OPERAC[[#This Row],[COD CART]],[1]!MatrizCortoLargoCyl[#All],3,0),"")</f>
        <v/>
      </c>
      <c r="F5054" s="13" t="inlineStr">
        <is>
          <t>SPWR/CYL/20,00/18-03-22</t>
        </is>
      </c>
      <c r="G5054" s="6" t="n">
        <v>100</v>
      </c>
      <c r="H5054" s="6" t="n">
        <v>-1573.0928</v>
      </c>
      <c r="I5054" s="7">
        <f>-H5054/G5054</f>
        <v/>
      </c>
      <c r="J5054" s="11" t="n">
        <v>44636</v>
      </c>
      <c r="K5054" s="6" t="n">
        <v>100</v>
      </c>
      <c r="L5054" s="6" t="n">
        <v>1911.85</v>
      </c>
      <c r="M5054" s="7">
        <f>IF(N5054=0,+L5054+H5054,0)</f>
        <v/>
      </c>
      <c r="N5054" s="7">
        <f>IF((+G5054-K5054)=0,0,+G5054-K5054)</f>
        <v/>
      </c>
      <c r="O5054" s="7">
        <f>IF(N5054=0,0,(L5054+H5054)/-N5054)</f>
        <v/>
      </c>
      <c r="P5054" s="7">
        <f>VLOOKUP(OPERAC[[#This Row],[especie]],[1]!ESPECIES[#All],6,0)</f>
        <v/>
      </c>
      <c r="Q5054" s="7">
        <f>IF(N5054&lt;&gt;0,P5054*N5054,0)</f>
        <v/>
      </c>
      <c r="R5054" s="8">
        <f>IF(Q5054&lt;&gt;0,Q5054+H5054+L5054,0)</f>
        <v/>
      </c>
      <c r="S5054" s="9">
        <f>VLOOKUP(OPERAC[[#This Row],[especie]],[1]!ESPECIES[#Data],9,FALSE)</f>
        <v/>
      </c>
    </row>
    <row r="5055">
      <c r="A5055" s="4" t="n">
        <v>19934</v>
      </c>
      <c r="B5055" s="5" t="n">
        <v>44616</v>
      </c>
      <c r="C5055" s="13" t="inlineStr">
        <is>
          <t>VTA</t>
        </is>
      </c>
      <c r="D5055" s="13" t="n">
        <v>32</v>
      </c>
      <c r="E5055" s="10">
        <f>IF(D5055&gt;0,VLOOKUP(OPERAC[[#This Row],[COD CART]],[1]!MatrizCortoLargoCyl[#All],3,0),"")</f>
        <v/>
      </c>
      <c r="F5055" s="13" t="inlineStr">
        <is>
          <t>SPWR/CYL/20,00/18-03-22</t>
        </is>
      </c>
      <c r="G5055" s="6" t="n">
        <v>100</v>
      </c>
      <c r="H5055" s="6" t="n">
        <v>-1573.0928</v>
      </c>
      <c r="I5055" s="7">
        <f>-H5055/G5055</f>
        <v/>
      </c>
      <c r="J5055" s="11" t="n">
        <v>44636</v>
      </c>
      <c r="K5055" s="6" t="n">
        <v>100</v>
      </c>
      <c r="L5055" s="6" t="n">
        <v>1911.85</v>
      </c>
      <c r="M5055" s="7">
        <f>IF(N5055=0,+L5055+H5055,0)</f>
        <v/>
      </c>
      <c r="N5055" s="7">
        <f>IF((+G5055-K5055)=0,0,+G5055-K5055)</f>
        <v/>
      </c>
      <c r="O5055" s="7">
        <f>IF(N5055=0,0,(L5055+H5055)/-N5055)</f>
        <v/>
      </c>
      <c r="P5055" s="7">
        <f>VLOOKUP(OPERAC[[#This Row],[especie]],[1]!ESPECIES[#All],6,0)</f>
        <v/>
      </c>
      <c r="Q5055" s="7">
        <f>IF(N5055&lt;&gt;0,P5055*N5055,0)</f>
        <v/>
      </c>
      <c r="R5055" s="8">
        <f>IF(Q5055&lt;&gt;0,Q5055+H5055+L5055,0)</f>
        <v/>
      </c>
      <c r="S5055" s="9">
        <f>VLOOKUP(OPERAC[[#This Row],[especie]],[1]!ESPECIES[#Data],9,FALSE)</f>
        <v/>
      </c>
    </row>
    <row r="5056">
      <c r="A5056" s="4" t="n">
        <v>20317</v>
      </c>
      <c r="B5056" s="5" t="n">
        <v>44616</v>
      </c>
      <c r="C5056" s="13" t="inlineStr">
        <is>
          <t>VTA</t>
        </is>
      </c>
      <c r="D5056" s="13" t="n">
        <v>32</v>
      </c>
      <c r="E5056" s="10">
        <f>IF(D5056&gt;0,VLOOKUP(OPERAC[[#This Row],[COD CART]],[1]!MatrizCortoLargoCyl[#All],3,0),"")</f>
        <v/>
      </c>
      <c r="F5056" s="13" t="inlineStr">
        <is>
          <t>SPWR/CYL/20,00/18-03-22</t>
        </is>
      </c>
      <c r="G5056" s="6" t="n">
        <v>100</v>
      </c>
      <c r="H5056" s="6" t="n">
        <v>-1573.0928</v>
      </c>
      <c r="I5056" s="7">
        <f>-H5056/G5056</f>
        <v/>
      </c>
      <c r="J5056" s="11" t="n">
        <v>44636</v>
      </c>
      <c r="K5056" s="6" t="n">
        <v>100</v>
      </c>
      <c r="L5056" s="6" t="n">
        <v>1911.85</v>
      </c>
      <c r="M5056" s="7">
        <f>IF(N5056=0,+L5056+H5056,0)</f>
        <v/>
      </c>
      <c r="N5056" s="7">
        <f>IF((+G5056-K5056)=0,0,+G5056-K5056)</f>
        <v/>
      </c>
      <c r="O5056" s="7">
        <f>IF(N5056=0,0,(L5056+H5056)/-N5056)</f>
        <v/>
      </c>
      <c r="P5056" s="7">
        <f>VLOOKUP(OPERAC[[#This Row],[especie]],[1]!ESPECIES[#All],6,0)</f>
        <v/>
      </c>
      <c r="Q5056" s="7">
        <f>IF(N5056&lt;&gt;0,P5056*N5056,0)</f>
        <v/>
      </c>
      <c r="R5056" s="8">
        <f>IF(Q5056&lt;&gt;0,Q5056+H5056+L5056,0)</f>
        <v/>
      </c>
      <c r="S5056" s="9">
        <f>VLOOKUP(OPERAC[[#This Row],[especie]],[1]!ESPECIES[#Data],9,FALSE)</f>
        <v/>
      </c>
    </row>
    <row r="5057">
      <c r="A5057" s="4" t="n">
        <v>19888</v>
      </c>
      <c r="B5057" s="5" t="n">
        <v>44616</v>
      </c>
      <c r="C5057" s="13" t="inlineStr">
        <is>
          <t>VTA</t>
        </is>
      </c>
      <c r="D5057" s="13" t="n">
        <v>32</v>
      </c>
      <c r="E5057" s="10">
        <f>IF(D5057&gt;0,VLOOKUP(OPERAC[[#This Row],[COD CART]],[1]!MatrizCortoLargoCyl[#All],3,0),"")</f>
        <v/>
      </c>
      <c r="F5057" s="13" t="inlineStr">
        <is>
          <t>SPWR/CYL/20,00/18-03-22</t>
        </is>
      </c>
      <c r="G5057" s="6" t="n">
        <v>100</v>
      </c>
      <c r="H5057" s="6" t="n">
        <v>-1573.0928</v>
      </c>
      <c r="I5057" s="7">
        <f>-H5057/G5057</f>
        <v/>
      </c>
      <c r="J5057" s="11" t="n">
        <v>44636</v>
      </c>
      <c r="K5057" s="6" t="n">
        <v>100</v>
      </c>
      <c r="L5057" s="6" t="n">
        <v>1911.85</v>
      </c>
      <c r="M5057" s="7">
        <f>IF(N5057=0,+L5057+H5057,0)</f>
        <v/>
      </c>
      <c r="N5057" s="7">
        <f>IF((+G5057-K5057)=0,0,+G5057-K5057)</f>
        <v/>
      </c>
      <c r="O5057" s="7">
        <f>IF(N5057=0,0,(L5057+H5057)/-N5057)</f>
        <v/>
      </c>
      <c r="P5057" s="7">
        <f>VLOOKUP(OPERAC[[#This Row],[especie]],[1]!ESPECIES[#All],6,0)</f>
        <v/>
      </c>
      <c r="Q5057" s="7">
        <f>IF(N5057&lt;&gt;0,P5057*N5057,0)</f>
        <v/>
      </c>
      <c r="R5057" s="8">
        <f>IF(Q5057&lt;&gt;0,Q5057+H5057+L5057,0)</f>
        <v/>
      </c>
      <c r="S5057" s="9">
        <f>VLOOKUP(OPERAC[[#This Row],[especie]],[1]!ESPECIES[#Data],9,FALSE)</f>
        <v/>
      </c>
    </row>
    <row r="5058">
      <c r="A5058" s="4" t="n">
        <v>1760</v>
      </c>
      <c r="B5058" s="5" t="n">
        <v>44649</v>
      </c>
      <c r="C5058" s="13" t="inlineStr">
        <is>
          <t>VTA</t>
        </is>
      </c>
      <c r="D5058" s="13" t="n">
        <v>42</v>
      </c>
      <c r="E5058" s="10">
        <f>IF(D5058&gt;0,VLOOKUP(OPERAC[[#This Row],[COD CART]],[1]!MatrizCortoLargoCyl[#All],3,0),"")</f>
        <v/>
      </c>
      <c r="F5058" s="13" t="inlineStr">
        <is>
          <t>MSFT</t>
        </is>
      </c>
      <c r="G5058" s="6" t="n">
        <v>5</v>
      </c>
      <c r="H5058" s="6" t="n">
        <v>-1574.192</v>
      </c>
      <c r="I5058" s="7">
        <f>-H5058/G5058</f>
        <v/>
      </c>
      <c r="J5058" s="11" t="n">
        <v>44662</v>
      </c>
      <c r="K5058" s="6">
        <f>+OPERAC[[#This Row],[cantidad]]</f>
        <v/>
      </c>
      <c r="L5058" s="6">
        <f>287.546*OPERAC[[#This Row],[cantidad venta]]</f>
        <v/>
      </c>
      <c r="M5058" s="7">
        <f>IF(N5058=0,+L5058+H5058,0)</f>
        <v/>
      </c>
      <c r="N5058" s="7">
        <f>IF((+G5058-K5058)=0,0,+G5058-K5058)</f>
        <v/>
      </c>
      <c r="O5058" s="7">
        <f>IF(N5058=0,0,(L5058+H5058)/-N5058)</f>
        <v/>
      </c>
      <c r="P5058" s="7">
        <f>VLOOKUP(OPERAC[[#This Row],[especie]],[1]!ESPECIES[#All],6,0)</f>
        <v/>
      </c>
      <c r="Q5058" s="7">
        <f>IF(N5058&lt;&gt;0,P5058*N5058,0)</f>
        <v/>
      </c>
      <c r="R5058" s="8">
        <f>IF(Q5058&lt;&gt;0,Q5058+H5058+L5058,0)</f>
        <v/>
      </c>
      <c r="S5058" s="9">
        <f>VLOOKUP(OPERAC[[#This Row],[especie]],[1]!ESPECIES[#Data],9,FALSE)</f>
        <v/>
      </c>
    </row>
    <row r="5059">
      <c r="A5059" s="4" t="n">
        <v>18651</v>
      </c>
      <c r="B5059" s="5" t="n">
        <v>44649</v>
      </c>
      <c r="C5059" s="13" t="inlineStr">
        <is>
          <t>VTA</t>
        </is>
      </c>
      <c r="D5059" s="13" t="n">
        <v>42</v>
      </c>
      <c r="E5059" s="10">
        <f>IF(D5059&gt;0,VLOOKUP(OPERAC[[#This Row],[COD CART]],[1]!MatrizCortoLargoCyl[#All],3,0),"")</f>
        <v/>
      </c>
      <c r="F5059" s="13" t="inlineStr">
        <is>
          <t>MSFT</t>
        </is>
      </c>
      <c r="G5059" s="6" t="n">
        <v>5</v>
      </c>
      <c r="H5059" s="6" t="n">
        <v>-1574.192</v>
      </c>
      <c r="I5059" s="7">
        <f>-H5059/G5059</f>
        <v/>
      </c>
      <c r="J5059" s="11" t="n">
        <v>44662</v>
      </c>
      <c r="K5059" s="6">
        <f>+OPERAC[[#This Row],[cantidad]]</f>
        <v/>
      </c>
      <c r="L5059" s="6">
        <f>287.546*OPERAC[[#This Row],[cantidad venta]]</f>
        <v/>
      </c>
      <c r="M5059" s="7">
        <f>IF(N5059=0,+L5059+H5059,0)</f>
        <v/>
      </c>
      <c r="N5059" s="7">
        <f>IF((+G5059-K5059)=0,0,+G5059-K5059)</f>
        <v/>
      </c>
      <c r="O5059" s="7">
        <f>IF(N5059=0,0,(L5059+H5059)/-N5059)</f>
        <v/>
      </c>
      <c r="P5059" s="7">
        <f>VLOOKUP(OPERAC[[#This Row],[especie]],[1]!ESPECIES[#All],6,0)</f>
        <v/>
      </c>
      <c r="Q5059" s="7">
        <f>IF(N5059&lt;&gt;0,P5059*N5059,0)</f>
        <v/>
      </c>
      <c r="R5059" s="8">
        <f>IF(Q5059&lt;&gt;0,Q5059+H5059+L5059,0)</f>
        <v/>
      </c>
      <c r="S5059" s="9">
        <f>VLOOKUP(OPERAC[[#This Row],[especie]],[1]!ESPECIES[#Data],9,FALSE)</f>
        <v/>
      </c>
    </row>
    <row r="5060">
      <c r="A5060" s="4" t="n">
        <v>12690</v>
      </c>
      <c r="B5060" s="5" t="n">
        <v>44648</v>
      </c>
      <c r="C5060" s="13" t="inlineStr">
        <is>
          <t>VTA</t>
        </is>
      </c>
      <c r="D5060" s="13" t="n">
        <v>32</v>
      </c>
      <c r="E5060" s="10">
        <f>IF(D5060&gt;0,VLOOKUP(OPERAC[[#This Row],[COD CART]],[1]!MatrizCortoLargoCyl[#All],3,0),"")</f>
        <v/>
      </c>
      <c r="F5060" s="13" t="inlineStr">
        <is>
          <t>F</t>
        </is>
      </c>
      <c r="G5060" s="6" t="n">
        <v>100</v>
      </c>
      <c r="H5060" s="6">
        <f>-1616.534+38.669</f>
        <v/>
      </c>
      <c r="I5060" s="7">
        <f>-H5060/G5060</f>
        <v/>
      </c>
      <c r="J5060" s="11" t="n"/>
      <c r="K5060" s="6" t="n"/>
      <c r="L5060" s="6" t="n"/>
      <c r="M5060" s="7">
        <f>IF(N5060=0,+L5060+H5060,0)</f>
        <v/>
      </c>
      <c r="N5060" s="7">
        <f>IF((+G5060-K5060)=0,0,+G5060-K5060)</f>
        <v/>
      </c>
      <c r="O5060" s="7">
        <f>IF(N5060=0,0,(L5060+H5060)/-N5060)</f>
        <v/>
      </c>
      <c r="P5060" s="7">
        <f>VLOOKUP(OPERAC[[#This Row],[especie]],[1]!ESPECIES[#All],6,0)</f>
        <v/>
      </c>
      <c r="Q5060" s="7">
        <f>IF(N5060&lt;&gt;0,P5060*N5060,0)</f>
        <v/>
      </c>
      <c r="R5060" s="8">
        <f>IF(Q5060&lt;&gt;0,Q5060+H5060+L5060,0)</f>
        <v/>
      </c>
      <c r="S5060" s="9">
        <f>VLOOKUP(OPERAC[[#This Row],[especie]],[1]!ESPECIES[#Data],9,FALSE)</f>
        <v/>
      </c>
    </row>
    <row r="5061">
      <c r="A5061" s="4" t="n">
        <v>18690</v>
      </c>
      <c r="B5061" s="5" t="n">
        <v>44662</v>
      </c>
      <c r="C5061" s="13" t="inlineStr">
        <is>
          <t>VTA</t>
        </is>
      </c>
      <c r="D5061" s="13" t="n">
        <v>42</v>
      </c>
      <c r="E5061" s="10">
        <f>IF(D5061&gt;0,VLOOKUP(OPERAC[[#This Row],[COD CART]],[1]!MatrizCortoLargoCyl[#All],3,0),"")</f>
        <v/>
      </c>
      <c r="F5061" s="13" t="inlineStr">
        <is>
          <t>HYDR</t>
        </is>
      </c>
      <c r="G5061" s="6" t="n">
        <v>85</v>
      </c>
      <c r="H5061" s="6" t="n">
        <v>-1578.47924</v>
      </c>
      <c r="I5061" s="7">
        <f>-H5061/G5061</f>
        <v/>
      </c>
      <c r="J5061" s="11" t="n">
        <v>44693</v>
      </c>
      <c r="K5061" s="6">
        <f>+OPERAC[[#This Row],[cantidad]]</f>
        <v/>
      </c>
      <c r="L5061" s="6">
        <f>+OPERAC[[#This Row],[cantidad venta]]*11.986</f>
        <v/>
      </c>
      <c r="M5061" s="7">
        <f>IF(N5061=0,+L5061+H5061,0)</f>
        <v/>
      </c>
      <c r="N5061" s="7">
        <f>IF((+G5061-K5061)=0,0,+G5061-K5061)</f>
        <v/>
      </c>
      <c r="O5061" s="7">
        <f>IF(N5061=0,0,(L5061+H5061)/-N5061)</f>
        <v/>
      </c>
      <c r="P5061" s="7">
        <f>VLOOKUP(OPERAC[[#This Row],[especie]],[1]!ESPECIES[#All],6,0)</f>
        <v/>
      </c>
      <c r="Q5061" s="7">
        <f>IF(N5061&lt;&gt;0,P5061*N5061,0)</f>
        <v/>
      </c>
      <c r="R5061" s="8">
        <f>IF(Q5061&lt;&gt;0,Q5061+H5061+L5061,0)</f>
        <v/>
      </c>
      <c r="S5061" s="9">
        <f>VLOOKUP(OPERAC[[#This Row],[especie]],[1]!ESPECIES[#Data],9,FALSE)</f>
        <v/>
      </c>
    </row>
    <row r="5062">
      <c r="A5062" s="4" t="n">
        <v>22407</v>
      </c>
      <c r="B5062" s="5" t="n">
        <v>44662</v>
      </c>
      <c r="C5062" s="13" t="inlineStr">
        <is>
          <t>VTA</t>
        </is>
      </c>
      <c r="D5062" s="13" t="n">
        <v>42</v>
      </c>
      <c r="E5062" s="10">
        <f>IF(D5062&gt;0,VLOOKUP(OPERAC[[#This Row],[COD CART]],[1]!MatrizCortoLargoCyl[#All],3,0),"")</f>
        <v/>
      </c>
      <c r="F5062" s="13" t="inlineStr">
        <is>
          <t>HYDR</t>
        </is>
      </c>
      <c r="G5062" s="6" t="n">
        <v>85</v>
      </c>
      <c r="H5062" s="6" t="n">
        <v>-1578.47924</v>
      </c>
      <c r="I5062" s="7">
        <f>-H5062/G5062</f>
        <v/>
      </c>
      <c r="J5062" s="11" t="n"/>
      <c r="K5062" s="6" t="n"/>
      <c r="L5062" s="6" t="n"/>
      <c r="M5062" s="7">
        <f>IF(N5062=0,+L5062+H5062,0)</f>
        <v/>
      </c>
      <c r="N5062" s="7">
        <f>IF((+G5062-K5062)=0,0,+G5062-K5062)</f>
        <v/>
      </c>
      <c r="O5062" s="7">
        <f>IF(N5062=0,0,(L5062+H5062)/-N5062)</f>
        <v/>
      </c>
      <c r="P5062" s="7">
        <f>VLOOKUP(OPERAC[[#This Row],[especie]],[1]!ESPECIES[#All],6,0)</f>
        <v/>
      </c>
      <c r="Q5062" s="7">
        <f>IF(N5062&lt;&gt;0,P5062*N5062,0)</f>
        <v/>
      </c>
      <c r="R5062" s="8">
        <f>IF(Q5062&lt;&gt;0,Q5062+H5062+L5062,0)</f>
        <v/>
      </c>
      <c r="S5062" s="9">
        <f>VLOOKUP(OPERAC[[#This Row],[especie]],[1]!ESPECIES[#Data],9,FALSE)</f>
        <v/>
      </c>
    </row>
    <row r="5063">
      <c r="A5063" s="4" t="n">
        <v>2218</v>
      </c>
      <c r="B5063" s="5" t="n">
        <v>44638</v>
      </c>
      <c r="C5063" s="13" t="inlineStr">
        <is>
          <t>VTA</t>
        </is>
      </c>
      <c r="D5063" s="13" t="n">
        <v>32</v>
      </c>
      <c r="E5063" s="10">
        <f>IF(D5063&gt;0,VLOOKUP(OPERAC[[#This Row],[COD CART]],[1]!MatrizCortoLargoCyl[#All],3,0),"")</f>
        <v/>
      </c>
      <c r="F5063" s="13" t="inlineStr">
        <is>
          <t>DDD/CYL/17,00/01-04-22</t>
        </is>
      </c>
      <c r="G5063" s="6" t="n">
        <v>100</v>
      </c>
      <c r="H5063" s="6">
        <f>-1595.24+16.45</f>
        <v/>
      </c>
      <c r="I5063" s="7">
        <f>-H5063/G5063</f>
        <v/>
      </c>
      <c r="J5063" s="11" t="n">
        <v>44649</v>
      </c>
      <c r="K5063" s="6" t="n">
        <v>100</v>
      </c>
      <c r="L5063" s="6" t="n">
        <v>1661.98</v>
      </c>
      <c r="M5063" s="7">
        <f>IF(N5063=0,+L5063+H5063,0)</f>
        <v/>
      </c>
      <c r="N5063" s="7">
        <f>IF((+G5063-K5063)=0,0,+G5063-K5063)</f>
        <v/>
      </c>
      <c r="O5063" s="7">
        <f>IF(N5063=0,0,(L5063+H5063)/-N5063)</f>
        <v/>
      </c>
      <c r="P5063" s="7">
        <f>VLOOKUP(OPERAC[[#This Row],[especie]],[1]!ESPECIES[#All],6,0)</f>
        <v/>
      </c>
      <c r="Q5063" s="7">
        <f>IF(N5063&lt;&gt;0,P5063*N5063,0)</f>
        <v/>
      </c>
      <c r="R5063" s="8">
        <f>IF(Q5063&lt;&gt;0,Q5063+H5063+L5063,0)</f>
        <v/>
      </c>
      <c r="S5063" s="9">
        <f>VLOOKUP(OPERAC[[#This Row],[especie]],[1]!ESPECIES[#Data],9,FALSE)</f>
        <v/>
      </c>
    </row>
    <row r="5064">
      <c r="A5064" s="4" t="n">
        <v>20339</v>
      </c>
      <c r="B5064" s="5" t="n">
        <v>44715</v>
      </c>
      <c r="C5064" s="13" t="inlineStr">
        <is>
          <t>VTA</t>
        </is>
      </c>
      <c r="D5064" s="13" t="n">
        <v>32</v>
      </c>
      <c r="E5064" s="10">
        <f>IF(D5064&gt;0,VLOOKUP(OPERAC[[#This Row],[COD CART]],[1]!MatrizCortoLargoCyl[#All],3,0),"")</f>
        <v/>
      </c>
      <c r="F5064" s="13" t="inlineStr">
        <is>
          <t>AAL/CYL/16,50/17-06-22</t>
        </is>
      </c>
      <c r="G5064" s="6" t="n">
        <v>100</v>
      </c>
      <c r="H5064" s="6" t="n">
        <v>-1580.215</v>
      </c>
      <c r="I5064" s="7">
        <f>-H5064/G5064</f>
        <v/>
      </c>
      <c r="J5064" s="5" t="n"/>
      <c r="K5064" s="6" t="n"/>
      <c r="L5064" s="6" t="n"/>
      <c r="M5064" s="7">
        <f>IF(N5064=0,+L5064+H5064,0)</f>
        <v/>
      </c>
      <c r="N5064" s="7">
        <f>IF((+G5064-K5064)=0,0,+G5064-K5064)</f>
        <v/>
      </c>
      <c r="O5064" s="7">
        <f>IF(N5064=0,0,(L5064+H5064)/-N5064)</f>
        <v/>
      </c>
      <c r="P5064" s="7">
        <f>VLOOKUP(OPERAC[[#This Row],[especie]],[1]!ESPECIES[#All],6,0)</f>
        <v/>
      </c>
      <c r="Q5064" s="7">
        <f>IF(N5064&lt;&gt;0,P5064*N5064,0)</f>
        <v/>
      </c>
      <c r="R5064" s="8">
        <f>IF(Q5064&lt;&gt;0,Q5064+H5064+L5064,0)</f>
        <v/>
      </c>
      <c r="S5064" s="9">
        <f>VLOOKUP(OPERAC[[#This Row],[especie]],[1]!ESPECIES[#Data],9,FALSE)</f>
        <v/>
      </c>
    </row>
    <row r="5065">
      <c r="A5065" s="4" t="n">
        <v>19878</v>
      </c>
      <c r="B5065" s="5" t="n">
        <v>44715</v>
      </c>
      <c r="C5065" s="13" t="inlineStr">
        <is>
          <t>VTA</t>
        </is>
      </c>
      <c r="D5065" s="13" t="n">
        <v>32</v>
      </c>
      <c r="E5065" s="10">
        <f>IF(D5065&gt;0,VLOOKUP(OPERAC[[#This Row],[COD CART]],[1]!MatrizCortoLargoCyl[#All],3,0),"")</f>
        <v/>
      </c>
      <c r="F5065" s="13" t="inlineStr">
        <is>
          <t>AAL/CYL/16,50/17-06-22</t>
        </is>
      </c>
      <c r="G5065" s="6" t="n">
        <v>100</v>
      </c>
      <c r="H5065" s="6" t="n">
        <v>-1580.215</v>
      </c>
      <c r="I5065" s="7">
        <f>-H5065/G5065</f>
        <v/>
      </c>
      <c r="J5065" s="5" t="n"/>
      <c r="K5065" s="6" t="n"/>
      <c r="L5065" s="6" t="n"/>
      <c r="M5065" s="7">
        <f>IF(N5065=0,+L5065+H5065,0)</f>
        <v/>
      </c>
      <c r="N5065" s="7">
        <f>IF((+G5065-K5065)=0,0,+G5065-K5065)</f>
        <v/>
      </c>
      <c r="O5065" s="7">
        <f>IF(N5065=0,0,(L5065+H5065)/-N5065)</f>
        <v/>
      </c>
      <c r="P5065" s="7">
        <f>VLOOKUP(OPERAC[[#This Row],[especie]],[1]!ESPECIES[#All],6,0)</f>
        <v/>
      </c>
      <c r="Q5065" s="7">
        <f>IF(N5065&lt;&gt;0,P5065*N5065,0)</f>
        <v/>
      </c>
      <c r="R5065" s="8">
        <f>IF(Q5065&lt;&gt;0,Q5065+H5065+L5065,0)</f>
        <v/>
      </c>
      <c r="S5065" s="9">
        <f>VLOOKUP(OPERAC[[#This Row],[especie]],[1]!ESPECIES[#Data],9,FALSE)</f>
        <v/>
      </c>
    </row>
    <row r="5066">
      <c r="A5066" s="4" t="n">
        <v>19867</v>
      </c>
      <c r="B5066" s="5" t="n">
        <v>44715</v>
      </c>
      <c r="C5066" s="13" t="inlineStr">
        <is>
          <t>VTA</t>
        </is>
      </c>
      <c r="D5066" s="13" t="n">
        <v>32</v>
      </c>
      <c r="E5066" s="10">
        <f>IF(D5066&gt;0,VLOOKUP(OPERAC[[#This Row],[COD CART]],[1]!MatrizCortoLargoCyl[#All],3,0),"")</f>
        <v/>
      </c>
      <c r="F5066" s="13" t="inlineStr">
        <is>
          <t>AAL/CYL/16,50/17-06-22</t>
        </is>
      </c>
      <c r="G5066" s="6" t="n">
        <v>100</v>
      </c>
      <c r="H5066" s="6" t="n">
        <v>-1580.215</v>
      </c>
      <c r="I5066" s="7">
        <f>-H5066/G5066</f>
        <v/>
      </c>
      <c r="J5066" s="5" t="n"/>
      <c r="K5066" s="6" t="n"/>
      <c r="L5066" s="6" t="n"/>
      <c r="M5066" s="7">
        <f>IF(N5066=0,+L5066+H5066,0)</f>
        <v/>
      </c>
      <c r="N5066" s="7">
        <f>IF((+G5066-K5066)=0,0,+G5066-K5066)</f>
        <v/>
      </c>
      <c r="O5066" s="7">
        <f>IF(N5066=0,0,(L5066+H5066)/-N5066)</f>
        <v/>
      </c>
      <c r="P5066" s="7">
        <f>VLOOKUP(OPERAC[[#This Row],[especie]],[1]!ESPECIES[#All],6,0)</f>
        <v/>
      </c>
      <c r="Q5066" s="7">
        <f>IF(N5066&lt;&gt;0,P5066*N5066,0)</f>
        <v/>
      </c>
      <c r="R5066" s="8">
        <f>IF(Q5066&lt;&gt;0,Q5066+H5066+L5066,0)</f>
        <v/>
      </c>
      <c r="S5066" s="9">
        <f>VLOOKUP(OPERAC[[#This Row],[especie]],[1]!ESPECIES[#Data],9,FALSE)</f>
        <v/>
      </c>
    </row>
    <row r="5067">
      <c r="A5067" s="4" t="n">
        <v>18724</v>
      </c>
      <c r="B5067" s="5" t="n">
        <v>44715</v>
      </c>
      <c r="C5067" s="13" t="inlineStr">
        <is>
          <t>VTA</t>
        </is>
      </c>
      <c r="D5067" s="13" t="n">
        <v>32</v>
      </c>
      <c r="E5067" s="10">
        <f>IF(D5067&gt;0,VLOOKUP(OPERAC[[#This Row],[COD CART]],[1]!MatrizCortoLargoCyl[#All],3,0),"")</f>
        <v/>
      </c>
      <c r="F5067" s="13" t="inlineStr">
        <is>
          <t>AAL/CYL/16,50/17-06-22</t>
        </is>
      </c>
      <c r="G5067" s="6" t="n">
        <v>100</v>
      </c>
      <c r="H5067" s="6" t="n">
        <v>-1580.215</v>
      </c>
      <c r="I5067" s="7">
        <f>-H5067/G5067</f>
        <v/>
      </c>
      <c r="J5067" s="5" t="n"/>
      <c r="K5067" s="6" t="n"/>
      <c r="L5067" s="6" t="n"/>
      <c r="M5067" s="7">
        <f>IF(N5067=0,+L5067+H5067,0)</f>
        <v/>
      </c>
      <c r="N5067" s="7">
        <f>IF((+G5067-K5067)=0,0,+G5067-K5067)</f>
        <v/>
      </c>
      <c r="O5067" s="7">
        <f>IF(N5067=0,0,(L5067+H5067)/-N5067)</f>
        <v/>
      </c>
      <c r="P5067" s="7">
        <f>VLOOKUP(OPERAC[[#This Row],[especie]],[1]!ESPECIES[#All],6,0)</f>
        <v/>
      </c>
      <c r="Q5067" s="7">
        <f>IF(N5067&lt;&gt;0,P5067*N5067,0)</f>
        <v/>
      </c>
      <c r="R5067" s="8">
        <f>IF(Q5067&lt;&gt;0,Q5067+H5067+L5067,0)</f>
        <v/>
      </c>
      <c r="S5067" s="9">
        <f>VLOOKUP(OPERAC[[#This Row],[especie]],[1]!ESPECIES[#Data],9,FALSE)</f>
        <v/>
      </c>
    </row>
    <row r="5068">
      <c r="A5068" s="4" t="n">
        <v>18651</v>
      </c>
      <c r="B5068" s="5" t="n">
        <v>44715</v>
      </c>
      <c r="C5068" s="13" t="inlineStr">
        <is>
          <t>VTA</t>
        </is>
      </c>
      <c r="D5068" s="13" t="n">
        <v>32</v>
      </c>
      <c r="E5068" s="10">
        <f>IF(D5068&gt;0,VLOOKUP(OPERAC[[#This Row],[COD CART]],[1]!MatrizCortoLargoCyl[#All],3,0),"")</f>
        <v/>
      </c>
      <c r="F5068" s="13" t="inlineStr">
        <is>
          <t>AAL/CYL/16,50/17-06-22</t>
        </is>
      </c>
      <c r="G5068" s="6" t="n">
        <v>100</v>
      </c>
      <c r="H5068" s="6" t="n">
        <v>-1580.215</v>
      </c>
      <c r="I5068" s="7">
        <f>-H5068/G5068</f>
        <v/>
      </c>
      <c r="J5068" s="5" t="n"/>
      <c r="K5068" s="6" t="n"/>
      <c r="L5068" s="6" t="n"/>
      <c r="M5068" s="7">
        <f>IF(N5068=0,+L5068+H5068,0)</f>
        <v/>
      </c>
      <c r="N5068" s="7">
        <f>IF((+G5068-K5068)=0,0,+G5068-K5068)</f>
        <v/>
      </c>
      <c r="O5068" s="7">
        <f>IF(N5068=0,0,(L5068+H5068)/-N5068)</f>
        <v/>
      </c>
      <c r="P5068" s="7">
        <f>VLOOKUP(OPERAC[[#This Row],[especie]],[1]!ESPECIES[#All],6,0)</f>
        <v/>
      </c>
      <c r="Q5068" s="7">
        <f>IF(N5068&lt;&gt;0,P5068*N5068,0)</f>
        <v/>
      </c>
      <c r="R5068" s="8">
        <f>IF(Q5068&lt;&gt;0,Q5068+H5068+L5068,0)</f>
        <v/>
      </c>
      <c r="S5068" s="9">
        <f>VLOOKUP(OPERAC[[#This Row],[especie]],[1]!ESPECIES[#Data],9,FALSE)</f>
        <v/>
      </c>
    </row>
    <row r="5069">
      <c r="A5069" s="4" t="n">
        <v>16783</v>
      </c>
      <c r="B5069" s="5" t="n">
        <v>44715</v>
      </c>
      <c r="C5069" s="13" t="inlineStr">
        <is>
          <t>VTA</t>
        </is>
      </c>
      <c r="D5069" s="13" t="n">
        <v>32</v>
      </c>
      <c r="E5069" s="10">
        <f>IF(D5069&gt;0,VLOOKUP(OPERAC[[#This Row],[COD CART]],[1]!MatrizCortoLargoCyl[#All],3,0),"")</f>
        <v/>
      </c>
      <c r="F5069" s="13" t="inlineStr">
        <is>
          <t>AAL/CYL/16,50/17-06-22</t>
        </is>
      </c>
      <c r="G5069" s="6" t="n">
        <v>100</v>
      </c>
      <c r="H5069" s="6" t="n">
        <v>-1580.215</v>
      </c>
      <c r="I5069" s="7">
        <f>-H5069/G5069</f>
        <v/>
      </c>
      <c r="J5069" s="5" t="n"/>
      <c r="K5069" s="6" t="n"/>
      <c r="L5069" s="6" t="n"/>
      <c r="M5069" s="7">
        <f>IF(N5069=0,+L5069+H5069,0)</f>
        <v/>
      </c>
      <c r="N5069" s="7">
        <f>IF((+G5069-K5069)=0,0,+G5069-K5069)</f>
        <v/>
      </c>
      <c r="O5069" s="7">
        <f>IF(N5069=0,0,(L5069+H5069)/-N5069)</f>
        <v/>
      </c>
      <c r="P5069" s="7">
        <f>VLOOKUP(OPERAC[[#This Row],[especie]],[1]!ESPECIES[#All],6,0)</f>
        <v/>
      </c>
      <c r="Q5069" s="7">
        <f>IF(N5069&lt;&gt;0,P5069*N5069,0)</f>
        <v/>
      </c>
      <c r="R5069" s="8">
        <f>IF(Q5069&lt;&gt;0,Q5069+H5069+L5069,0)</f>
        <v/>
      </c>
      <c r="S5069" s="9">
        <f>VLOOKUP(OPERAC[[#This Row],[especie]],[1]!ESPECIES[#Data],9,FALSE)</f>
        <v/>
      </c>
    </row>
    <row r="5070">
      <c r="A5070" s="4" t="n">
        <v>15189</v>
      </c>
      <c r="B5070" s="5" t="n">
        <v>44715</v>
      </c>
      <c r="C5070" s="13" t="inlineStr">
        <is>
          <t>VTA</t>
        </is>
      </c>
      <c r="D5070" s="13" t="n">
        <v>32</v>
      </c>
      <c r="E5070" s="10">
        <f>IF(D5070&gt;0,VLOOKUP(OPERAC[[#This Row],[COD CART]],[1]!MatrizCortoLargoCyl[#All],3,0),"")</f>
        <v/>
      </c>
      <c r="F5070" s="13" t="inlineStr">
        <is>
          <t>AAL/CYL/16,50/17-06-22</t>
        </is>
      </c>
      <c r="G5070" s="6" t="n">
        <v>100</v>
      </c>
      <c r="H5070" s="6" t="n">
        <v>-1580.215</v>
      </c>
      <c r="I5070" s="7">
        <f>-H5070/G5070</f>
        <v/>
      </c>
      <c r="J5070" s="5" t="n"/>
      <c r="K5070" s="6" t="n"/>
      <c r="L5070" s="6" t="n"/>
      <c r="M5070" s="7">
        <f>IF(N5070=0,+L5070+H5070,0)</f>
        <v/>
      </c>
      <c r="N5070" s="7">
        <f>IF((+G5070-K5070)=0,0,+G5070-K5070)</f>
        <v/>
      </c>
      <c r="O5070" s="7">
        <f>IF(N5070=0,0,(L5070+H5070)/-N5070)</f>
        <v/>
      </c>
      <c r="P5070" s="7">
        <f>VLOOKUP(OPERAC[[#This Row],[especie]],[1]!ESPECIES[#All],6,0)</f>
        <v/>
      </c>
      <c r="Q5070" s="7">
        <f>IF(N5070&lt;&gt;0,P5070*N5070,0)</f>
        <v/>
      </c>
      <c r="R5070" s="8">
        <f>IF(Q5070&lt;&gt;0,Q5070+H5070+L5070,0)</f>
        <v/>
      </c>
      <c r="S5070" s="9">
        <f>VLOOKUP(OPERAC[[#This Row],[especie]],[1]!ESPECIES[#Data],9,FALSE)</f>
        <v/>
      </c>
    </row>
    <row r="5071">
      <c r="A5071" s="4" t="n">
        <v>13269</v>
      </c>
      <c r="B5071" s="5" t="n">
        <v>44715</v>
      </c>
      <c r="C5071" s="13" t="inlineStr">
        <is>
          <t>VTA</t>
        </is>
      </c>
      <c r="D5071" s="13" t="n">
        <v>32</v>
      </c>
      <c r="E5071" s="10">
        <f>IF(D5071&gt;0,VLOOKUP(OPERAC[[#This Row],[COD CART]],[1]!MatrizCortoLargoCyl[#All],3,0),"")</f>
        <v/>
      </c>
      <c r="F5071" s="13" t="inlineStr">
        <is>
          <t>AAL/CYL/16,50/17-06-22</t>
        </is>
      </c>
      <c r="G5071" s="6" t="n">
        <v>100</v>
      </c>
      <c r="H5071" s="6" t="n">
        <v>-1580.215</v>
      </c>
      <c r="I5071" s="7">
        <f>-H5071/G5071</f>
        <v/>
      </c>
      <c r="J5071" s="5" t="n"/>
      <c r="K5071" s="6" t="n"/>
      <c r="L5071" s="6" t="n"/>
      <c r="M5071" s="7">
        <f>IF(N5071=0,+L5071+H5071,0)</f>
        <v/>
      </c>
      <c r="N5071" s="7">
        <f>IF((+G5071-K5071)=0,0,+G5071-K5071)</f>
        <v/>
      </c>
      <c r="O5071" s="7">
        <f>IF(N5071=0,0,(L5071+H5071)/-N5071)</f>
        <v/>
      </c>
      <c r="P5071" s="7">
        <f>VLOOKUP(OPERAC[[#This Row],[especie]],[1]!ESPECIES[#All],6,0)</f>
        <v/>
      </c>
      <c r="Q5071" s="7">
        <f>IF(N5071&lt;&gt;0,P5071*N5071,0)</f>
        <v/>
      </c>
      <c r="R5071" s="8">
        <f>IF(Q5071&lt;&gt;0,Q5071+H5071+L5071,0)</f>
        <v/>
      </c>
      <c r="S5071" s="9">
        <f>VLOOKUP(OPERAC[[#This Row],[especie]],[1]!ESPECIES[#Data],9,FALSE)</f>
        <v/>
      </c>
    </row>
    <row r="5072">
      <c r="A5072" s="4" t="n">
        <v>13185</v>
      </c>
      <c r="B5072" s="5" t="n">
        <v>44715</v>
      </c>
      <c r="C5072" s="13" t="inlineStr">
        <is>
          <t>VTA</t>
        </is>
      </c>
      <c r="D5072" s="13" t="n">
        <v>32</v>
      </c>
      <c r="E5072" s="10">
        <f>IF(D5072&gt;0,VLOOKUP(OPERAC[[#This Row],[COD CART]],[1]!MatrizCortoLargoCyl[#All],3,0),"")</f>
        <v/>
      </c>
      <c r="F5072" s="13" t="inlineStr">
        <is>
          <t>AAL/CYL/16,50/17-06-22</t>
        </is>
      </c>
      <c r="G5072" s="6" t="n">
        <v>100</v>
      </c>
      <c r="H5072" s="6" t="n">
        <v>-1580.215</v>
      </c>
      <c r="I5072" s="7">
        <f>-H5072/G5072</f>
        <v/>
      </c>
      <c r="J5072" s="5" t="n"/>
      <c r="K5072" s="6" t="n"/>
      <c r="L5072" s="6" t="n"/>
      <c r="M5072" s="7">
        <f>IF(N5072=0,+L5072+H5072,0)</f>
        <v/>
      </c>
      <c r="N5072" s="7">
        <f>IF((+G5072-K5072)=0,0,+G5072-K5072)</f>
        <v/>
      </c>
      <c r="O5072" s="7">
        <f>IF(N5072=0,0,(L5072+H5072)/-N5072)</f>
        <v/>
      </c>
      <c r="P5072" s="7">
        <f>VLOOKUP(OPERAC[[#This Row],[especie]],[1]!ESPECIES[#All],6,0)</f>
        <v/>
      </c>
      <c r="Q5072" s="7">
        <f>IF(N5072&lt;&gt;0,P5072*N5072,0)</f>
        <v/>
      </c>
      <c r="R5072" s="8">
        <f>IF(Q5072&lt;&gt;0,Q5072+H5072+L5072,0)</f>
        <v/>
      </c>
      <c r="S5072" s="9">
        <f>VLOOKUP(OPERAC[[#This Row],[especie]],[1]!ESPECIES[#Data],9,FALSE)</f>
        <v/>
      </c>
    </row>
    <row r="5073">
      <c r="A5073" s="4" t="n">
        <v>13180</v>
      </c>
      <c r="B5073" s="5" t="n">
        <v>44715</v>
      </c>
      <c r="C5073" s="13" t="inlineStr">
        <is>
          <t>VTA</t>
        </is>
      </c>
      <c r="D5073" s="13" t="n">
        <v>32</v>
      </c>
      <c r="E5073" s="10">
        <f>IF(D5073&gt;0,VLOOKUP(OPERAC[[#This Row],[COD CART]],[1]!MatrizCortoLargoCyl[#All],3,0),"")</f>
        <v/>
      </c>
      <c r="F5073" s="13" t="inlineStr">
        <is>
          <t>AAL/CYL/16,50/17-06-22</t>
        </is>
      </c>
      <c r="G5073" s="6" t="n">
        <v>100</v>
      </c>
      <c r="H5073" s="6" t="n">
        <v>-1580.215</v>
      </c>
      <c r="I5073" s="7">
        <f>-H5073/G5073</f>
        <v/>
      </c>
      <c r="J5073" s="5" t="n"/>
      <c r="K5073" s="6" t="n"/>
      <c r="L5073" s="6" t="n"/>
      <c r="M5073" s="7">
        <f>IF(N5073=0,+L5073+H5073,0)</f>
        <v/>
      </c>
      <c r="N5073" s="7">
        <f>IF((+G5073-K5073)=0,0,+G5073-K5073)</f>
        <v/>
      </c>
      <c r="O5073" s="7">
        <f>IF(N5073=0,0,(L5073+H5073)/-N5073)</f>
        <v/>
      </c>
      <c r="P5073" s="7">
        <f>VLOOKUP(OPERAC[[#This Row],[especie]],[1]!ESPECIES[#All],6,0)</f>
        <v/>
      </c>
      <c r="Q5073" s="7">
        <f>IF(N5073&lt;&gt;0,P5073*N5073,0)</f>
        <v/>
      </c>
      <c r="R5073" s="8">
        <f>IF(Q5073&lt;&gt;0,Q5073+H5073+L5073,0)</f>
        <v/>
      </c>
      <c r="S5073" s="9">
        <f>VLOOKUP(OPERAC[[#This Row],[especie]],[1]!ESPECIES[#Data],9,FALSE)</f>
        <v/>
      </c>
    </row>
    <row r="5074">
      <c r="A5074" s="4" t="n">
        <v>12672</v>
      </c>
      <c r="B5074" s="5" t="n">
        <v>44715</v>
      </c>
      <c r="C5074" s="13" t="inlineStr">
        <is>
          <t>VTA</t>
        </is>
      </c>
      <c r="D5074" s="13" t="n">
        <v>32</v>
      </c>
      <c r="E5074" s="10">
        <f>IF(D5074&gt;0,VLOOKUP(OPERAC[[#This Row],[COD CART]],[1]!MatrizCortoLargoCyl[#All],3,0),"")</f>
        <v/>
      </c>
      <c r="F5074" s="13" t="inlineStr">
        <is>
          <t>AAL/CYL/16,50/17-06-22</t>
        </is>
      </c>
      <c r="G5074" s="6" t="n">
        <v>100</v>
      </c>
      <c r="H5074" s="6" t="n">
        <v>-1580.215</v>
      </c>
      <c r="I5074" s="7">
        <f>-H5074/G5074</f>
        <v/>
      </c>
      <c r="J5074" s="5" t="n"/>
      <c r="K5074" s="6" t="n"/>
      <c r="L5074" s="6" t="n"/>
      <c r="M5074" s="7">
        <f>IF(N5074=0,+L5074+H5074,0)</f>
        <v/>
      </c>
      <c r="N5074" s="7">
        <f>IF((+G5074-K5074)=0,0,+G5074-K5074)</f>
        <v/>
      </c>
      <c r="O5074" s="7">
        <f>IF(N5074=0,0,(L5074+H5074)/-N5074)</f>
        <v/>
      </c>
      <c r="P5074" s="7">
        <f>VLOOKUP(OPERAC[[#This Row],[especie]],[1]!ESPECIES[#All],6,0)</f>
        <v/>
      </c>
      <c r="Q5074" s="7">
        <f>IF(N5074&lt;&gt;0,P5074*N5074,0)</f>
        <v/>
      </c>
      <c r="R5074" s="8">
        <f>IF(Q5074&lt;&gt;0,Q5074+H5074+L5074,0)</f>
        <v/>
      </c>
      <c r="S5074" s="9">
        <f>VLOOKUP(OPERAC[[#This Row],[especie]],[1]!ESPECIES[#Data],9,FALSE)</f>
        <v/>
      </c>
    </row>
    <row r="5075">
      <c r="A5075" s="4" t="n">
        <v>12671</v>
      </c>
      <c r="B5075" s="5" t="n">
        <v>44715</v>
      </c>
      <c r="C5075" s="13" t="inlineStr">
        <is>
          <t>VTA</t>
        </is>
      </c>
      <c r="D5075" s="13" t="n">
        <v>32</v>
      </c>
      <c r="E5075" s="10">
        <f>IF(D5075&gt;0,VLOOKUP(OPERAC[[#This Row],[COD CART]],[1]!MatrizCortoLargoCyl[#All],3,0),"")</f>
        <v/>
      </c>
      <c r="F5075" s="13" t="inlineStr">
        <is>
          <t>AAL/CYL/16,50/17-06-22</t>
        </is>
      </c>
      <c r="G5075" s="6" t="n">
        <v>100</v>
      </c>
      <c r="H5075" s="6" t="n">
        <v>-1580.215</v>
      </c>
      <c r="I5075" s="7">
        <f>-H5075/G5075</f>
        <v/>
      </c>
      <c r="J5075" s="5" t="n"/>
      <c r="K5075" s="6" t="n"/>
      <c r="L5075" s="6" t="n"/>
      <c r="M5075" s="7">
        <f>IF(N5075=0,+L5075+H5075,0)</f>
        <v/>
      </c>
      <c r="N5075" s="7">
        <f>IF((+G5075-K5075)=0,0,+G5075-K5075)</f>
        <v/>
      </c>
      <c r="O5075" s="7">
        <f>IF(N5075=0,0,(L5075+H5075)/-N5075)</f>
        <v/>
      </c>
      <c r="P5075" s="7">
        <f>VLOOKUP(OPERAC[[#This Row],[especie]],[1]!ESPECIES[#All],6,0)</f>
        <v/>
      </c>
      <c r="Q5075" s="7">
        <f>IF(N5075&lt;&gt;0,P5075*N5075,0)</f>
        <v/>
      </c>
      <c r="R5075" s="8">
        <f>IF(Q5075&lt;&gt;0,Q5075+H5075+L5075,0)</f>
        <v/>
      </c>
      <c r="S5075" s="9">
        <f>VLOOKUP(OPERAC[[#This Row],[especie]],[1]!ESPECIES[#Data],9,FALSE)</f>
        <v/>
      </c>
    </row>
    <row r="5076">
      <c r="A5076" s="4" t="n">
        <v>12022</v>
      </c>
      <c r="B5076" s="5" t="n">
        <v>44715</v>
      </c>
      <c r="C5076" s="13" t="inlineStr">
        <is>
          <t>VTA</t>
        </is>
      </c>
      <c r="D5076" s="13" t="n">
        <v>32</v>
      </c>
      <c r="E5076" s="10">
        <f>IF(D5076&gt;0,VLOOKUP(OPERAC[[#This Row],[COD CART]],[1]!MatrizCortoLargoCyl[#All],3,0),"")</f>
        <v/>
      </c>
      <c r="F5076" s="13" t="inlineStr">
        <is>
          <t>AAL/CYL/16,50/17-06-22</t>
        </is>
      </c>
      <c r="G5076" s="6" t="n">
        <v>100</v>
      </c>
      <c r="H5076" s="6" t="n">
        <v>-1580.215</v>
      </c>
      <c r="I5076" s="7">
        <f>-H5076/G5076</f>
        <v/>
      </c>
      <c r="J5076" s="5" t="n"/>
      <c r="K5076" s="6" t="n"/>
      <c r="L5076" s="6" t="n"/>
      <c r="M5076" s="7">
        <f>IF(N5076=0,+L5076+H5076,0)</f>
        <v/>
      </c>
      <c r="N5076" s="7">
        <f>IF((+G5076-K5076)=0,0,+G5076-K5076)</f>
        <v/>
      </c>
      <c r="O5076" s="7">
        <f>IF(N5076=0,0,(L5076+H5076)/-N5076)</f>
        <v/>
      </c>
      <c r="P5076" s="7">
        <f>VLOOKUP(OPERAC[[#This Row],[especie]],[1]!ESPECIES[#All],6,0)</f>
        <v/>
      </c>
      <c r="Q5076" s="7">
        <f>IF(N5076&lt;&gt;0,P5076*N5076,0)</f>
        <v/>
      </c>
      <c r="R5076" s="8">
        <f>IF(Q5076&lt;&gt;0,Q5076+H5076+L5076,0)</f>
        <v/>
      </c>
      <c r="S5076" s="9">
        <f>VLOOKUP(OPERAC[[#This Row],[especie]],[1]!ESPECIES[#Data],9,FALSE)</f>
        <v/>
      </c>
    </row>
    <row r="5077">
      <c r="A5077" s="4" t="n">
        <v>7916</v>
      </c>
      <c r="B5077" s="5" t="n">
        <v>44715</v>
      </c>
      <c r="C5077" s="13" t="inlineStr">
        <is>
          <t>VTA</t>
        </is>
      </c>
      <c r="D5077" s="13" t="n">
        <v>32</v>
      </c>
      <c r="E5077" s="10">
        <f>IF(D5077&gt;0,VLOOKUP(OPERAC[[#This Row],[COD CART]],[1]!MatrizCortoLargoCyl[#All],3,0),"")</f>
        <v/>
      </c>
      <c r="F5077" s="13" t="inlineStr">
        <is>
          <t>AAL/CYL/16,50/17-06-22</t>
        </is>
      </c>
      <c r="G5077" s="6" t="n">
        <v>100</v>
      </c>
      <c r="H5077" s="6" t="n">
        <v>-1580.215</v>
      </c>
      <c r="I5077" s="7">
        <f>-H5077/G5077</f>
        <v/>
      </c>
      <c r="J5077" s="5" t="n"/>
      <c r="K5077" s="6" t="n"/>
      <c r="L5077" s="6" t="n"/>
      <c r="M5077" s="7">
        <f>IF(N5077=0,+L5077+H5077,0)</f>
        <v/>
      </c>
      <c r="N5077" s="7">
        <f>IF((+G5077-K5077)=0,0,+G5077-K5077)</f>
        <v/>
      </c>
      <c r="O5077" s="7">
        <f>IF(N5077=0,0,(L5077+H5077)/-N5077)</f>
        <v/>
      </c>
      <c r="P5077" s="7">
        <f>VLOOKUP(OPERAC[[#This Row],[especie]],[1]!ESPECIES[#All],6,0)</f>
        <v/>
      </c>
      <c r="Q5077" s="7">
        <f>IF(N5077&lt;&gt;0,P5077*N5077,0)</f>
        <v/>
      </c>
      <c r="R5077" s="8">
        <f>IF(Q5077&lt;&gt;0,Q5077+H5077+L5077,0)</f>
        <v/>
      </c>
      <c r="S5077" s="9">
        <f>VLOOKUP(OPERAC[[#This Row],[especie]],[1]!ESPECIES[#Data],9,FALSE)</f>
        <v/>
      </c>
    </row>
    <row r="5078">
      <c r="A5078" s="4" t="n">
        <v>10079</v>
      </c>
      <c r="B5078" s="5" t="n">
        <v>44715</v>
      </c>
      <c r="C5078" s="13" t="inlineStr">
        <is>
          <t>VTA</t>
        </is>
      </c>
      <c r="D5078" s="13" t="n">
        <v>32</v>
      </c>
      <c r="E5078" s="10">
        <f>IF(D5078&gt;0,VLOOKUP(OPERAC[[#This Row],[COD CART]],[1]!MatrizCortoLargoCyl[#All],3,0),"")</f>
        <v/>
      </c>
      <c r="F5078" s="13" t="inlineStr">
        <is>
          <t>AAL/CYL/16,50/17-06-22</t>
        </is>
      </c>
      <c r="G5078" s="6" t="n">
        <v>100</v>
      </c>
      <c r="H5078" s="6" t="n">
        <v>-1580.215</v>
      </c>
      <c r="I5078" s="7">
        <f>-H5078/G5078</f>
        <v/>
      </c>
      <c r="J5078" s="5" t="n"/>
      <c r="K5078" s="6" t="n"/>
      <c r="L5078" s="6" t="n"/>
      <c r="M5078" s="7">
        <f>IF(N5078=0,+L5078+H5078,0)</f>
        <v/>
      </c>
      <c r="N5078" s="7">
        <f>IF((+G5078-K5078)=0,0,+G5078-K5078)</f>
        <v/>
      </c>
      <c r="O5078" s="7">
        <f>IF(N5078=0,0,(L5078+H5078)/-N5078)</f>
        <v/>
      </c>
      <c r="P5078" s="7">
        <f>VLOOKUP(OPERAC[[#This Row],[especie]],[1]!ESPECIES[#All],6,0)</f>
        <v/>
      </c>
      <c r="Q5078" s="7">
        <f>IF(N5078&lt;&gt;0,P5078*N5078,0)</f>
        <v/>
      </c>
      <c r="R5078" s="8">
        <f>IF(Q5078&lt;&gt;0,Q5078+H5078+L5078,0)</f>
        <v/>
      </c>
      <c r="S5078" s="9">
        <f>VLOOKUP(OPERAC[[#This Row],[especie]],[1]!ESPECIES[#Data],9,FALSE)</f>
        <v/>
      </c>
    </row>
    <row r="5079">
      <c r="A5079" s="4" t="n">
        <v>3728</v>
      </c>
      <c r="B5079" s="5" t="n">
        <v>44651</v>
      </c>
      <c r="C5079" s="13" t="inlineStr">
        <is>
          <t>VTA</t>
        </is>
      </c>
      <c r="D5079" s="13" t="n">
        <v>42</v>
      </c>
      <c r="E5079" s="10">
        <f>IF(D5079&gt;0,VLOOKUP(OPERAC[[#This Row],[COD CART]],[1]!MatrizCortoLargoCyl[#All],3,0),"")</f>
        <v/>
      </c>
      <c r="F5079" s="13" t="inlineStr">
        <is>
          <t>AMD</t>
        </is>
      </c>
      <c r="G5079" s="6" t="n">
        <v>14</v>
      </c>
      <c r="H5079" s="6" t="n">
        <v>-1583.51186</v>
      </c>
      <c r="I5079" s="7">
        <f>-H5079/G5079</f>
        <v/>
      </c>
      <c r="J5079" s="11" t="n">
        <v>44690</v>
      </c>
      <c r="K5079" s="6" t="n">
        <v>14</v>
      </c>
      <c r="L5079" s="6">
        <f>+OPERAC[[#This Row],[cantidad venta]]*86.206</f>
        <v/>
      </c>
      <c r="M5079" s="7">
        <f>IF(N5079=0,+L5079+H5079,0)</f>
        <v/>
      </c>
      <c r="N5079" s="7">
        <f>IF((+G5079-K5079)=0,0,+G5079-K5079)</f>
        <v/>
      </c>
      <c r="O5079" s="7">
        <f>IF(N5079=0,0,(L5079+H5079)/-N5079)</f>
        <v/>
      </c>
      <c r="P5079" s="7">
        <f>VLOOKUP(OPERAC[[#This Row],[especie]],[1]!ESPECIES[#All],6,0)</f>
        <v/>
      </c>
      <c r="Q5079" s="7">
        <f>IF(N5079&lt;&gt;0,P5079*N5079,0)</f>
        <v/>
      </c>
      <c r="R5079" s="8">
        <f>IF(Q5079&lt;&gt;0,Q5079+H5079+L5079,0)</f>
        <v/>
      </c>
      <c r="S5079" s="9">
        <f>VLOOKUP(OPERAC[[#This Row],[especie]],[1]!ESPECIES[#Data],9,FALSE)</f>
        <v/>
      </c>
    </row>
    <row r="5080">
      <c r="A5080" s="4" t="n">
        <v>1807</v>
      </c>
      <c r="B5080" s="5" t="n">
        <v>44607</v>
      </c>
      <c r="C5080" s="13" t="inlineStr">
        <is>
          <t>VTA</t>
        </is>
      </c>
      <c r="D5080" s="13" t="n">
        <v>32</v>
      </c>
      <c r="E5080" s="10">
        <f>IF(D5080&gt;0,VLOOKUP(OPERAC[[#This Row],[COD CART]],[1]!MatrizCortoLargoCyl[#All],3,0),"")</f>
        <v/>
      </c>
      <c r="F5080" s="13" t="inlineStr">
        <is>
          <t>DDD/CYL/17,00/01-04-22</t>
        </is>
      </c>
      <c r="G5080" s="6" t="n">
        <v>100</v>
      </c>
      <c r="H5080" s="6">
        <f>-1620.23+19.7+16.45</f>
        <v/>
      </c>
      <c r="I5080" s="7">
        <f>-H5080/G5080</f>
        <v/>
      </c>
      <c r="J5080" s="11" t="n">
        <v>44649</v>
      </c>
      <c r="K5080" s="6" t="n">
        <v>100</v>
      </c>
      <c r="L5080" s="6" t="n">
        <v>1661.98</v>
      </c>
      <c r="M5080" s="7">
        <f>IF(N5080=0,+L5080+H5080,0)</f>
        <v/>
      </c>
      <c r="N5080" s="7">
        <f>IF((+G5080-K5080)=0,0,+G5080-K5080)</f>
        <v/>
      </c>
      <c r="O5080" s="7">
        <f>IF(N5080=0,0,(L5080+H5080)/-N5080)</f>
        <v/>
      </c>
      <c r="P5080" s="7">
        <f>VLOOKUP(OPERAC[[#This Row],[especie]],[1]!ESPECIES[#All],6,0)</f>
        <v/>
      </c>
      <c r="Q5080" s="7">
        <f>IF(N5080&lt;&gt;0,P5080*N5080,0)</f>
        <v/>
      </c>
      <c r="R5080" s="8">
        <f>IF(Q5080&lt;&gt;0,Q5080+H5080+L5080,0)</f>
        <v/>
      </c>
      <c r="S5080" s="9">
        <f>VLOOKUP(OPERAC[[#This Row],[especie]],[1]!ESPECIES[#Data],9,FALSE)</f>
        <v/>
      </c>
    </row>
    <row r="5081">
      <c r="A5081" s="4" t="n">
        <v>2255</v>
      </c>
      <c r="B5081" s="5" t="n">
        <v>44607</v>
      </c>
      <c r="C5081" s="13" t="inlineStr">
        <is>
          <t>VTA</t>
        </is>
      </c>
      <c r="D5081" s="13" t="n">
        <v>32</v>
      </c>
      <c r="E5081" s="10">
        <f>IF(D5081&gt;0,VLOOKUP(OPERAC[[#This Row],[COD CART]],[1]!MatrizCortoLargoCyl[#All],3,0),"")</f>
        <v/>
      </c>
      <c r="F5081" s="13" t="inlineStr">
        <is>
          <t>DDD/CYL/17,00/01-04-22</t>
        </is>
      </c>
      <c r="G5081" s="6" t="n">
        <v>100</v>
      </c>
      <c r="H5081" s="6">
        <f>-1620.23+19.7+16.45</f>
        <v/>
      </c>
      <c r="I5081" s="7">
        <f>-H5081/G5081</f>
        <v/>
      </c>
      <c r="J5081" s="11" t="n">
        <v>44649</v>
      </c>
      <c r="K5081" s="6" t="n">
        <v>100</v>
      </c>
      <c r="L5081" s="6" t="n">
        <v>1661.98</v>
      </c>
      <c r="M5081" s="7">
        <f>IF(N5081=0,+L5081+H5081,0)</f>
        <v/>
      </c>
      <c r="N5081" s="7">
        <f>IF((+G5081-K5081)=0,0,+G5081-K5081)</f>
        <v/>
      </c>
      <c r="O5081" s="7">
        <f>IF(N5081=0,0,(L5081+H5081)/-N5081)</f>
        <v/>
      </c>
      <c r="P5081" s="7">
        <f>VLOOKUP(OPERAC[[#This Row],[especie]],[1]!ESPECIES[#All],6,0)</f>
        <v/>
      </c>
      <c r="Q5081" s="7">
        <f>IF(N5081&lt;&gt;0,P5081*N5081,0)</f>
        <v/>
      </c>
      <c r="R5081" s="8">
        <f>IF(Q5081&lt;&gt;0,Q5081+H5081+L5081,0)</f>
        <v/>
      </c>
      <c r="S5081" s="9">
        <f>VLOOKUP(OPERAC[[#This Row],[especie]],[1]!ESPECIES[#Data],9,FALSE)</f>
        <v/>
      </c>
    </row>
    <row r="5082">
      <c r="A5082" s="4" t="n">
        <v>4561</v>
      </c>
      <c r="B5082" s="5" t="n">
        <v>44607</v>
      </c>
      <c r="C5082" s="13" t="inlineStr">
        <is>
          <t>VTA</t>
        </is>
      </c>
      <c r="D5082" s="13" t="n">
        <v>32</v>
      </c>
      <c r="E5082" s="10">
        <f>IF(D5082&gt;0,VLOOKUP(OPERAC[[#This Row],[COD CART]],[1]!MatrizCortoLargoCyl[#All],3,0),"")</f>
        <v/>
      </c>
      <c r="F5082" s="13" t="inlineStr">
        <is>
          <t>DDD/CYL/17,00/01-04-22</t>
        </is>
      </c>
      <c r="G5082" s="6" t="n">
        <v>100</v>
      </c>
      <c r="H5082" s="6">
        <f>-1620.23+19.7+16.45</f>
        <v/>
      </c>
      <c r="I5082" s="7">
        <f>-H5082/G5082</f>
        <v/>
      </c>
      <c r="J5082" s="11" t="n">
        <v>44649</v>
      </c>
      <c r="K5082" s="6" t="n">
        <v>100</v>
      </c>
      <c r="L5082" s="6" t="n">
        <v>1661.98</v>
      </c>
      <c r="M5082" s="7">
        <f>IF(N5082=0,+L5082+H5082,0)</f>
        <v/>
      </c>
      <c r="N5082" s="7">
        <f>IF((+G5082-K5082)=0,0,+G5082-K5082)</f>
        <v/>
      </c>
      <c r="O5082" s="7">
        <f>IF(N5082=0,0,(L5082+H5082)/-N5082)</f>
        <v/>
      </c>
      <c r="P5082" s="7">
        <f>VLOOKUP(OPERAC[[#This Row],[especie]],[1]!ESPECIES[#All],6,0)</f>
        <v/>
      </c>
      <c r="Q5082" s="7">
        <f>IF(N5082&lt;&gt;0,P5082*N5082,0)</f>
        <v/>
      </c>
      <c r="R5082" s="8">
        <f>IF(Q5082&lt;&gt;0,Q5082+H5082+L5082,0)</f>
        <v/>
      </c>
      <c r="S5082" s="9">
        <f>VLOOKUP(OPERAC[[#This Row],[especie]],[1]!ESPECIES[#Data],9,FALSE)</f>
        <v/>
      </c>
    </row>
    <row r="5083">
      <c r="A5083" s="4" t="n">
        <v>6578</v>
      </c>
      <c r="B5083" s="5" t="n">
        <v>44607</v>
      </c>
      <c r="C5083" s="13" t="inlineStr">
        <is>
          <t>VTA</t>
        </is>
      </c>
      <c r="D5083" s="13" t="n">
        <v>32</v>
      </c>
      <c r="E5083" s="10">
        <f>IF(D5083&gt;0,VLOOKUP(OPERAC[[#This Row],[COD CART]],[1]!MatrizCortoLargoCyl[#All],3,0),"")</f>
        <v/>
      </c>
      <c r="F5083" s="13" t="inlineStr">
        <is>
          <t>DDD/CYL/17,00/01-04-22</t>
        </is>
      </c>
      <c r="G5083" s="6" t="n">
        <v>100</v>
      </c>
      <c r="H5083" s="6">
        <f>-1620.23+19.7+16.45</f>
        <v/>
      </c>
      <c r="I5083" s="7">
        <f>-H5083/G5083</f>
        <v/>
      </c>
      <c r="J5083" s="11" t="n">
        <v>44649</v>
      </c>
      <c r="K5083" s="6" t="n">
        <v>100</v>
      </c>
      <c r="L5083" s="6" t="n">
        <v>1661.98</v>
      </c>
      <c r="M5083" s="7">
        <f>IF(N5083=0,+L5083+H5083,0)</f>
        <v/>
      </c>
      <c r="N5083" s="7">
        <f>IF((+G5083-K5083)=0,0,+G5083-K5083)</f>
        <v/>
      </c>
      <c r="O5083" s="7">
        <f>IF(N5083=0,0,(L5083+H5083)/-N5083)</f>
        <v/>
      </c>
      <c r="P5083" s="7">
        <f>VLOOKUP(OPERAC[[#This Row],[especie]],[1]!ESPECIES[#All],6,0)</f>
        <v/>
      </c>
      <c r="Q5083" s="7">
        <f>IF(N5083&lt;&gt;0,P5083*N5083,0)</f>
        <v/>
      </c>
      <c r="R5083" s="8">
        <f>IF(Q5083&lt;&gt;0,Q5083+H5083+L5083,0)</f>
        <v/>
      </c>
      <c r="S5083" s="9">
        <f>VLOOKUP(OPERAC[[#This Row],[especie]],[1]!ESPECIES[#Data],9,FALSE)</f>
        <v/>
      </c>
    </row>
    <row r="5084">
      <c r="A5084" s="4" t="n">
        <v>12671</v>
      </c>
      <c r="B5084" s="5" t="n">
        <v>44607</v>
      </c>
      <c r="C5084" s="13" t="inlineStr">
        <is>
          <t>VTA</t>
        </is>
      </c>
      <c r="D5084" s="13" t="n">
        <v>32</v>
      </c>
      <c r="E5084" s="10">
        <f>IF(D5084&gt;0,VLOOKUP(OPERAC[[#This Row],[COD CART]],[1]!MatrizCortoLargoCyl[#All],3,0),"")</f>
        <v/>
      </c>
      <c r="F5084" s="13" t="inlineStr">
        <is>
          <t>DDD/CYL/17,00/01-04-22</t>
        </is>
      </c>
      <c r="G5084" s="6" t="n">
        <v>100</v>
      </c>
      <c r="H5084" s="6">
        <f>-1620.23+19.7+16.45</f>
        <v/>
      </c>
      <c r="I5084" s="7">
        <f>-H5084/G5084</f>
        <v/>
      </c>
      <c r="J5084" s="11" t="n">
        <v>44649</v>
      </c>
      <c r="K5084" s="6" t="n">
        <v>100</v>
      </c>
      <c r="L5084" s="6" t="n">
        <v>1661.98</v>
      </c>
      <c r="M5084" s="7">
        <f>IF(N5084=0,+L5084+H5084,0)</f>
        <v/>
      </c>
      <c r="N5084" s="7">
        <f>IF((+G5084-K5084)=0,0,+G5084-K5084)</f>
        <v/>
      </c>
      <c r="O5084" s="7">
        <f>IF(N5084=0,0,(L5084+H5084)/-N5084)</f>
        <v/>
      </c>
      <c r="P5084" s="7">
        <f>VLOOKUP(OPERAC[[#This Row],[especie]],[1]!ESPECIES[#All],6,0)</f>
        <v/>
      </c>
      <c r="Q5084" s="7">
        <f>IF(N5084&lt;&gt;0,P5084*N5084,0)</f>
        <v/>
      </c>
      <c r="R5084" s="8">
        <f>IF(Q5084&lt;&gt;0,Q5084+H5084+L5084,0)</f>
        <v/>
      </c>
      <c r="S5084" s="9">
        <f>VLOOKUP(OPERAC[[#This Row],[especie]],[1]!ESPECIES[#Data],9,FALSE)</f>
        <v/>
      </c>
    </row>
    <row r="5085">
      <c r="A5085" s="4" t="n">
        <v>13185</v>
      </c>
      <c r="B5085" s="5" t="n">
        <v>44607</v>
      </c>
      <c r="C5085" s="13" t="inlineStr">
        <is>
          <t>VTA</t>
        </is>
      </c>
      <c r="D5085" s="13" t="n">
        <v>32</v>
      </c>
      <c r="E5085" s="10">
        <f>IF(D5085&gt;0,VLOOKUP(OPERAC[[#This Row],[COD CART]],[1]!MatrizCortoLargoCyl[#All],3,0),"")</f>
        <v/>
      </c>
      <c r="F5085" s="13" t="inlineStr">
        <is>
          <t>DDD/CYL/17,00/01-04-22</t>
        </is>
      </c>
      <c r="G5085" s="6" t="n">
        <v>100</v>
      </c>
      <c r="H5085" s="6">
        <f>-1620.23+19.7+16.45</f>
        <v/>
      </c>
      <c r="I5085" s="7">
        <f>-H5085/G5085</f>
        <v/>
      </c>
      <c r="J5085" s="11" t="n">
        <v>44649</v>
      </c>
      <c r="K5085" s="6" t="n">
        <v>100</v>
      </c>
      <c r="L5085" s="6" t="n">
        <v>1661.98</v>
      </c>
      <c r="M5085" s="7">
        <f>IF(N5085=0,+L5085+H5085,0)</f>
        <v/>
      </c>
      <c r="N5085" s="7">
        <f>IF((+G5085-K5085)=0,0,+G5085-K5085)</f>
        <v/>
      </c>
      <c r="O5085" s="7">
        <f>IF(N5085=0,0,(L5085+H5085)/-N5085)</f>
        <v/>
      </c>
      <c r="P5085" s="7">
        <f>VLOOKUP(OPERAC[[#This Row],[especie]],[1]!ESPECIES[#All],6,0)</f>
        <v/>
      </c>
      <c r="Q5085" s="7">
        <f>IF(N5085&lt;&gt;0,P5085*N5085,0)</f>
        <v/>
      </c>
      <c r="R5085" s="8">
        <f>IF(Q5085&lt;&gt;0,Q5085+H5085+L5085,0)</f>
        <v/>
      </c>
      <c r="S5085" s="9">
        <f>VLOOKUP(OPERAC[[#This Row],[especie]],[1]!ESPECIES[#Data],9,FALSE)</f>
        <v/>
      </c>
    </row>
    <row r="5086">
      <c r="A5086" s="4" t="n">
        <v>13188</v>
      </c>
      <c r="B5086" s="5" t="n">
        <v>44607</v>
      </c>
      <c r="C5086" s="13" t="inlineStr">
        <is>
          <t>VTA</t>
        </is>
      </c>
      <c r="D5086" s="13" t="n">
        <v>32</v>
      </c>
      <c r="E5086" s="10">
        <f>IF(D5086&gt;0,VLOOKUP(OPERAC[[#This Row],[COD CART]],[1]!MatrizCortoLargoCyl[#All],3,0),"")</f>
        <v/>
      </c>
      <c r="F5086" s="13" t="inlineStr">
        <is>
          <t>DDD/CYL/17,00/01-04-22</t>
        </is>
      </c>
      <c r="G5086" s="6" t="n">
        <v>100</v>
      </c>
      <c r="H5086" s="6">
        <f>-1620.23+19.7+16.45</f>
        <v/>
      </c>
      <c r="I5086" s="7">
        <f>-H5086/G5086</f>
        <v/>
      </c>
      <c r="J5086" s="11" t="n">
        <v>44649</v>
      </c>
      <c r="K5086" s="6" t="n">
        <v>100</v>
      </c>
      <c r="L5086" s="6" t="n">
        <v>1661.98</v>
      </c>
      <c r="M5086" s="7">
        <f>IF(N5086=0,+L5086+H5086,0)</f>
        <v/>
      </c>
      <c r="N5086" s="7">
        <f>IF((+G5086-K5086)=0,0,+G5086-K5086)</f>
        <v/>
      </c>
      <c r="O5086" s="7">
        <f>IF(N5086=0,0,(L5086+H5086)/-N5086)</f>
        <v/>
      </c>
      <c r="P5086" s="7">
        <f>VLOOKUP(OPERAC[[#This Row],[especie]],[1]!ESPECIES[#All],6,0)</f>
        <v/>
      </c>
      <c r="Q5086" s="7">
        <f>IF(N5086&lt;&gt;0,P5086*N5086,0)</f>
        <v/>
      </c>
      <c r="R5086" s="8">
        <f>IF(Q5086&lt;&gt;0,Q5086+H5086+L5086,0)</f>
        <v/>
      </c>
      <c r="S5086" s="9">
        <f>VLOOKUP(OPERAC[[#This Row],[especie]],[1]!ESPECIES[#Data],9,FALSE)</f>
        <v/>
      </c>
    </row>
    <row r="5087">
      <c r="A5087" s="4" t="n">
        <v>15189</v>
      </c>
      <c r="B5087" s="5" t="n">
        <v>44607</v>
      </c>
      <c r="C5087" s="13" t="inlineStr">
        <is>
          <t>VTA</t>
        </is>
      </c>
      <c r="D5087" s="13" t="n">
        <v>32</v>
      </c>
      <c r="E5087" s="10">
        <f>IF(D5087&gt;0,VLOOKUP(OPERAC[[#This Row],[COD CART]],[1]!MatrizCortoLargoCyl[#All],3,0),"")</f>
        <v/>
      </c>
      <c r="F5087" s="13" t="inlineStr">
        <is>
          <t>DDD/CYL/17,00/01-04-22</t>
        </is>
      </c>
      <c r="G5087" s="6" t="n">
        <v>100</v>
      </c>
      <c r="H5087" s="6">
        <f>-1620.23+19.7+16.45</f>
        <v/>
      </c>
      <c r="I5087" s="7">
        <f>-H5087/G5087</f>
        <v/>
      </c>
      <c r="J5087" s="11" t="n">
        <v>44649</v>
      </c>
      <c r="K5087" s="6" t="n">
        <v>100</v>
      </c>
      <c r="L5087" s="6" t="n">
        <v>1661.98</v>
      </c>
      <c r="M5087" s="7">
        <f>IF(N5087=0,+L5087+H5087,0)</f>
        <v/>
      </c>
      <c r="N5087" s="7">
        <f>IF((+G5087-K5087)=0,0,+G5087-K5087)</f>
        <v/>
      </c>
      <c r="O5087" s="7">
        <f>IF(N5087=0,0,(L5087+H5087)/-N5087)</f>
        <v/>
      </c>
      <c r="P5087" s="7">
        <f>VLOOKUP(OPERAC[[#This Row],[especie]],[1]!ESPECIES[#All],6,0)</f>
        <v/>
      </c>
      <c r="Q5087" s="7">
        <f>IF(N5087&lt;&gt;0,P5087*N5087,0)</f>
        <v/>
      </c>
      <c r="R5087" s="8">
        <f>IF(Q5087&lt;&gt;0,Q5087+H5087+L5087,0)</f>
        <v/>
      </c>
      <c r="S5087" s="9">
        <f>VLOOKUP(OPERAC[[#This Row],[especie]],[1]!ESPECIES[#Data],9,FALSE)</f>
        <v/>
      </c>
    </row>
    <row r="5088">
      <c r="A5088" s="12" t="n">
        <v>15189</v>
      </c>
      <c r="B5088" s="5" t="n">
        <v>44377</v>
      </c>
      <c r="C5088" s="13" t="inlineStr">
        <is>
          <t>VTA</t>
        </is>
      </c>
      <c r="D5088" s="13" t="n">
        <v>40</v>
      </c>
      <c r="E5088" s="10">
        <f>IF(D5088&gt;0,VLOOKUP(OPERAC[[#This Row],[COD CART]],[1]!MatrizCortoLargoCyl[#All],3,0),"")</f>
        <v/>
      </c>
      <c r="F5088" s="13" t="inlineStr">
        <is>
          <t>HIMX</t>
        </is>
      </c>
      <c r="G5088" s="6" t="n">
        <v>100</v>
      </c>
      <c r="H5088" s="6" t="n">
        <v>-1585.0936</v>
      </c>
      <c r="I5088" s="7">
        <f>-H5088/G5088</f>
        <v/>
      </c>
      <c r="J5088" s="11" t="n">
        <v>44606</v>
      </c>
      <c r="K5088" s="6" t="n">
        <v>100</v>
      </c>
      <c r="L5088" s="6" t="n">
        <v>1103.82</v>
      </c>
      <c r="M5088" s="7">
        <f>IF(N5088=0,+L5088+H5088,0)</f>
        <v/>
      </c>
      <c r="N5088" s="7">
        <f>IF((+G5088-K5088)=0,0,+G5088-K5088)</f>
        <v/>
      </c>
      <c r="O5088" s="7">
        <f>IF(N5088=0,0,(L5088+H5088)/-N5088)</f>
        <v/>
      </c>
      <c r="P5088" s="7">
        <f>VLOOKUP(OPERAC[[#This Row],[especie]],[1]!ESPECIES[#All],6,0)</f>
        <v/>
      </c>
      <c r="Q5088" s="7">
        <f>IF(N5088&lt;&gt;0,P5088*N5088,0)</f>
        <v/>
      </c>
      <c r="R5088" s="8">
        <f>IF(Q5088&lt;&gt;0,Q5088+H5088+L5088,0)</f>
        <v/>
      </c>
      <c r="S5088" s="9">
        <f>VLOOKUP(OPERAC[[#This Row],[especie]],[1]!ESPECIES[#Data],9,FALSE)</f>
        <v/>
      </c>
    </row>
    <row r="5089">
      <c r="A5089" s="4" t="n">
        <v>12627</v>
      </c>
      <c r="B5089" s="5" t="n">
        <v>44490</v>
      </c>
      <c r="C5089" s="13" t="inlineStr">
        <is>
          <t>VTA</t>
        </is>
      </c>
      <c r="D5089" s="13" t="n">
        <v>40</v>
      </c>
      <c r="E5089" s="10">
        <f>IF(D5089&gt;0,VLOOKUP(OPERAC[[#This Row],[COD CART]],[1]!MatrizCortoLargoCyl[#All],3,0),"")</f>
        <v/>
      </c>
      <c r="F5089" s="13" t="inlineStr">
        <is>
          <t>MELI</t>
        </is>
      </c>
      <c r="G5089" s="6" t="n">
        <v>1</v>
      </c>
      <c r="H5089" s="6" t="n">
        <v>-1587.905</v>
      </c>
      <c r="I5089" s="7">
        <f>-H5089/G5089</f>
        <v/>
      </c>
      <c r="J5089" s="11" t="n">
        <v>44586</v>
      </c>
      <c r="K5089" s="6" t="n">
        <v>1</v>
      </c>
      <c r="L5089" s="6" t="n">
        <v>1019.203</v>
      </c>
      <c r="M5089" s="7">
        <f>IF(N5089=0,+L5089+H5089,0)</f>
        <v/>
      </c>
      <c r="N5089" s="7">
        <f>IF((+G5089-K5089)=0,0,+G5089-K5089)</f>
        <v/>
      </c>
      <c r="O5089" s="7">
        <f>IF(N5089=0,0,(L5089+H5089)/-N5089)</f>
        <v/>
      </c>
      <c r="P5089" s="7">
        <f>VLOOKUP(OPERAC[[#This Row],[especie]],[1]!ESPECIES[#All],6,0)</f>
        <v/>
      </c>
      <c r="Q5089" s="7">
        <f>IF(N5089&lt;&gt;0,P5089*N5089,0)</f>
        <v/>
      </c>
      <c r="R5089" s="8">
        <f>IF(Q5089&lt;&gt;0,Q5089+H5089+L5089,0)</f>
        <v/>
      </c>
      <c r="S5089" s="9">
        <f>VLOOKUP(OPERAC[[#This Row],[especie]],[1]!ESPECIES[#Data],9,FALSE)</f>
        <v/>
      </c>
    </row>
    <row r="5090">
      <c r="A5090" s="4" t="n">
        <v>13180</v>
      </c>
      <c r="B5090" s="5" t="n">
        <v>44490</v>
      </c>
      <c r="C5090" s="13" t="inlineStr">
        <is>
          <t>VTA</t>
        </is>
      </c>
      <c r="D5090" s="13" t="n">
        <v>40</v>
      </c>
      <c r="E5090" s="10">
        <f>IF(D5090&gt;0,VLOOKUP(OPERAC[[#This Row],[COD CART]],[1]!MatrizCortoLargoCyl[#All],3,0),"")</f>
        <v/>
      </c>
      <c r="F5090" s="13" t="inlineStr">
        <is>
          <t>MELI</t>
        </is>
      </c>
      <c r="G5090" s="6" t="n">
        <v>1</v>
      </c>
      <c r="H5090" s="6" t="n">
        <v>-1587.905</v>
      </c>
      <c r="I5090" s="7">
        <f>-H5090/G5090</f>
        <v/>
      </c>
      <c r="J5090" s="11" t="n"/>
      <c r="K5090" s="6" t="n"/>
      <c r="L5090" s="6" t="n"/>
      <c r="M5090" s="7">
        <f>IF(N5090=0,+L5090+H5090,0)</f>
        <v/>
      </c>
      <c r="N5090" s="7">
        <f>IF((+G5090-K5090)=0,0,+G5090-K5090)</f>
        <v/>
      </c>
      <c r="O5090" s="7">
        <f>IF(N5090=0,0,(L5090+H5090)/-N5090)</f>
        <v/>
      </c>
      <c r="P5090" s="7">
        <f>VLOOKUP(OPERAC[[#This Row],[especie]],[1]!ESPECIES[#All],6,0)</f>
        <v/>
      </c>
      <c r="Q5090" s="7">
        <f>IF(N5090&lt;&gt;0,P5090*N5090,0)</f>
        <v/>
      </c>
      <c r="R5090" s="8">
        <f>IF(Q5090&lt;&gt;0,Q5090+H5090+L5090,0)</f>
        <v/>
      </c>
      <c r="S5090" s="9">
        <f>VLOOKUP(OPERAC[[#This Row],[especie]],[1]!ESPECIES[#Data],9,FALSE)</f>
        <v/>
      </c>
    </row>
    <row r="5091">
      <c r="A5091" s="4" t="n">
        <v>13185</v>
      </c>
      <c r="B5091" s="5" t="n">
        <v>44490</v>
      </c>
      <c r="C5091" s="13" t="inlineStr">
        <is>
          <t>VTA</t>
        </is>
      </c>
      <c r="D5091" s="13" t="n">
        <v>40</v>
      </c>
      <c r="E5091" s="10">
        <f>IF(D5091&gt;0,VLOOKUP(OPERAC[[#This Row],[COD CART]],[1]!MatrizCortoLargoCyl[#All],3,0),"")</f>
        <v/>
      </c>
      <c r="F5091" s="13" t="inlineStr">
        <is>
          <t>MELI</t>
        </is>
      </c>
      <c r="G5091" s="6" t="n">
        <v>1</v>
      </c>
      <c r="H5091" s="6" t="n">
        <v>-1587.905</v>
      </c>
      <c r="I5091" s="7">
        <f>-H5091/G5091</f>
        <v/>
      </c>
      <c r="J5091" s="11" t="n">
        <v>44606</v>
      </c>
      <c r="K5091" s="6" t="n">
        <v>1</v>
      </c>
      <c r="L5091" s="6" t="n">
        <v>1073.609</v>
      </c>
      <c r="M5091" s="7">
        <f>IF(N5091=0,+L5091+H5091,0)</f>
        <v/>
      </c>
      <c r="N5091" s="7">
        <f>IF((+G5091-K5091)=0,0,+G5091-K5091)</f>
        <v/>
      </c>
      <c r="O5091" s="7">
        <f>IF(N5091=0,0,(L5091+H5091)/-N5091)</f>
        <v/>
      </c>
      <c r="P5091" s="7">
        <f>VLOOKUP(OPERAC[[#This Row],[especie]],[1]!ESPECIES[#All],6,0)</f>
        <v/>
      </c>
      <c r="Q5091" s="7">
        <f>IF(N5091&lt;&gt;0,P5091*N5091,0)</f>
        <v/>
      </c>
      <c r="R5091" s="8">
        <f>IF(Q5091&lt;&gt;0,Q5091+H5091+L5091,0)</f>
        <v/>
      </c>
      <c r="S5091" s="9">
        <f>VLOOKUP(OPERAC[[#This Row],[especie]],[1]!ESPECIES[#Data],9,FALSE)</f>
        <v/>
      </c>
    </row>
    <row r="5092">
      <c r="A5092" s="4" t="n">
        <v>18651</v>
      </c>
      <c r="B5092" s="5" t="n">
        <v>44490</v>
      </c>
      <c r="C5092" s="13" t="inlineStr">
        <is>
          <t>VTA</t>
        </is>
      </c>
      <c r="D5092" s="13" t="n">
        <v>40</v>
      </c>
      <c r="E5092" s="10">
        <f>IF(D5092&gt;0,VLOOKUP(OPERAC[[#This Row],[COD CART]],[1]!MatrizCortoLargoCyl[#All],3,0),"")</f>
        <v/>
      </c>
      <c r="F5092" s="13" t="inlineStr">
        <is>
          <t>MELI</t>
        </is>
      </c>
      <c r="G5092" s="6" t="n">
        <v>1</v>
      </c>
      <c r="H5092" s="6" t="n">
        <v>-1587.905</v>
      </c>
      <c r="I5092" s="7">
        <f>-H5092/G5092</f>
        <v/>
      </c>
      <c r="J5092" s="11" t="n">
        <v>44606</v>
      </c>
      <c r="K5092" s="6" t="n">
        <v>1</v>
      </c>
      <c r="L5092" s="6" t="n">
        <v>1073.609</v>
      </c>
      <c r="M5092" s="7">
        <f>IF(N5092=0,+L5092+H5092,0)</f>
        <v/>
      </c>
      <c r="N5092" s="7">
        <f>IF((+G5092-K5092)=0,0,+G5092-K5092)</f>
        <v/>
      </c>
      <c r="O5092" s="7">
        <f>IF(N5092=0,0,(L5092+H5092)/-N5092)</f>
        <v/>
      </c>
      <c r="P5092" s="7">
        <f>VLOOKUP(OPERAC[[#This Row],[especie]],[1]!ESPECIES[#All],6,0)</f>
        <v/>
      </c>
      <c r="Q5092" s="7">
        <f>IF(N5092&lt;&gt;0,P5092*N5092,0)</f>
        <v/>
      </c>
      <c r="R5092" s="8">
        <f>IF(Q5092&lt;&gt;0,Q5092+H5092+L5092,0)</f>
        <v/>
      </c>
      <c r="S5092" s="9">
        <f>VLOOKUP(OPERAC[[#This Row],[especie]],[1]!ESPECIES[#Data],9,FALSE)</f>
        <v/>
      </c>
    </row>
    <row r="5093">
      <c r="A5093" s="4" t="n">
        <v>19878</v>
      </c>
      <c r="B5093" s="5" t="n">
        <v>44490</v>
      </c>
      <c r="C5093" s="13" t="inlineStr">
        <is>
          <t>VTA</t>
        </is>
      </c>
      <c r="D5093" s="13" t="n">
        <v>40</v>
      </c>
      <c r="E5093" s="10">
        <f>IF(D5093&gt;0,VLOOKUP(OPERAC[[#This Row],[COD CART]],[1]!MatrizCortoLargoCyl[#All],3,0),"")</f>
        <v/>
      </c>
      <c r="F5093" s="13" t="inlineStr">
        <is>
          <t>MELI</t>
        </is>
      </c>
      <c r="G5093" s="6" t="n">
        <v>1</v>
      </c>
      <c r="H5093" s="6" t="n">
        <v>-1587.905</v>
      </c>
      <c r="I5093" s="7">
        <f>-H5093/G5093</f>
        <v/>
      </c>
      <c r="J5093" s="11" t="n">
        <v>44606</v>
      </c>
      <c r="K5093" s="6" t="n">
        <v>1</v>
      </c>
      <c r="L5093" s="6" t="n">
        <v>1073.609</v>
      </c>
      <c r="M5093" s="7">
        <f>IF(N5093=0,+L5093+H5093,0)</f>
        <v/>
      </c>
      <c r="N5093" s="7">
        <f>IF((+G5093-K5093)=0,0,+G5093-K5093)</f>
        <v/>
      </c>
      <c r="O5093" s="7">
        <f>IF(N5093=0,0,(L5093+H5093)/-N5093)</f>
        <v/>
      </c>
      <c r="P5093" s="7">
        <f>VLOOKUP(OPERAC[[#This Row],[especie]],[1]!ESPECIES[#All],6,0)</f>
        <v/>
      </c>
      <c r="Q5093" s="7">
        <f>IF(N5093&lt;&gt;0,P5093*N5093,0)</f>
        <v/>
      </c>
      <c r="R5093" s="8">
        <f>IF(Q5093&lt;&gt;0,Q5093+H5093+L5093,0)</f>
        <v/>
      </c>
      <c r="S5093" s="9">
        <f>VLOOKUP(OPERAC[[#This Row],[especie]],[1]!ESPECIES[#Data],9,FALSE)</f>
        <v/>
      </c>
    </row>
    <row r="5094">
      <c r="A5094" s="4" t="n">
        <v>19888</v>
      </c>
      <c r="B5094" s="5" t="n">
        <v>44490</v>
      </c>
      <c r="C5094" s="13" t="inlineStr">
        <is>
          <t>VTA</t>
        </is>
      </c>
      <c r="D5094" s="13" t="n">
        <v>40</v>
      </c>
      <c r="E5094" s="10">
        <f>IF(D5094&gt;0,VLOOKUP(OPERAC[[#This Row],[COD CART]],[1]!MatrizCortoLargoCyl[#All],3,0),"")</f>
        <v/>
      </c>
      <c r="F5094" s="13" t="inlineStr">
        <is>
          <t>MELI</t>
        </is>
      </c>
      <c r="G5094" s="6" t="n">
        <v>1</v>
      </c>
      <c r="H5094" s="6" t="n">
        <v>-1587.905</v>
      </c>
      <c r="I5094" s="7">
        <f>-H5094/G5094</f>
        <v/>
      </c>
      <c r="J5094" s="11" t="n">
        <v>44606</v>
      </c>
      <c r="K5094" s="6" t="n">
        <v>1</v>
      </c>
      <c r="L5094" s="6" t="n">
        <v>1073.609</v>
      </c>
      <c r="M5094" s="7">
        <f>IF(N5094=0,+L5094+H5094,0)</f>
        <v/>
      </c>
      <c r="N5094" s="7">
        <f>IF((+G5094-K5094)=0,0,+G5094-K5094)</f>
        <v/>
      </c>
      <c r="O5094" s="7">
        <f>IF(N5094=0,0,(L5094+H5094)/-N5094)</f>
        <v/>
      </c>
      <c r="P5094" s="7">
        <f>VLOOKUP(OPERAC[[#This Row],[especie]],[1]!ESPECIES[#All],6,0)</f>
        <v/>
      </c>
      <c r="Q5094" s="7">
        <f>IF(N5094&lt;&gt;0,P5094*N5094,0)</f>
        <v/>
      </c>
      <c r="R5094" s="8">
        <f>IF(Q5094&lt;&gt;0,Q5094+H5094+L5094,0)</f>
        <v/>
      </c>
      <c r="S5094" s="9">
        <f>VLOOKUP(OPERAC[[#This Row],[especie]],[1]!ESPECIES[#Data],9,FALSE)</f>
        <v/>
      </c>
    </row>
    <row r="5095">
      <c r="A5095" s="4" t="n">
        <v>19920</v>
      </c>
      <c r="B5095" s="5" t="n">
        <v>44490</v>
      </c>
      <c r="C5095" s="13" t="inlineStr">
        <is>
          <t>VTA</t>
        </is>
      </c>
      <c r="D5095" s="13" t="n">
        <v>40</v>
      </c>
      <c r="E5095" s="10">
        <f>IF(D5095&gt;0,VLOOKUP(OPERAC[[#This Row],[COD CART]],[1]!MatrizCortoLargoCyl[#All],3,0),"")</f>
        <v/>
      </c>
      <c r="F5095" s="13" t="inlineStr">
        <is>
          <t>MELI</t>
        </is>
      </c>
      <c r="G5095" s="6" t="n">
        <v>1</v>
      </c>
      <c r="H5095" s="6" t="n">
        <v>-1587.905</v>
      </c>
      <c r="I5095" s="7">
        <f>-H5095/G5095</f>
        <v/>
      </c>
      <c r="J5095" s="11" t="n">
        <v>44606</v>
      </c>
      <c r="K5095" s="6" t="n">
        <v>1</v>
      </c>
      <c r="L5095" s="6" t="n">
        <v>1073.609</v>
      </c>
      <c r="M5095" s="7">
        <f>IF(N5095=0,+L5095+H5095,0)</f>
        <v/>
      </c>
      <c r="N5095" s="7">
        <f>IF((+G5095-K5095)=0,0,+G5095-K5095)</f>
        <v/>
      </c>
      <c r="O5095" s="7">
        <f>IF(N5095=0,0,(L5095+H5095)/-N5095)</f>
        <v/>
      </c>
      <c r="P5095" s="7">
        <f>VLOOKUP(OPERAC[[#This Row],[especie]],[1]!ESPECIES[#All],6,0)</f>
        <v/>
      </c>
      <c r="Q5095" s="7">
        <f>IF(N5095&lt;&gt;0,P5095*N5095,0)</f>
        <v/>
      </c>
      <c r="R5095" s="8">
        <f>IF(Q5095&lt;&gt;0,Q5095+H5095+L5095,0)</f>
        <v/>
      </c>
      <c r="S5095" s="9">
        <f>VLOOKUP(OPERAC[[#This Row],[especie]],[1]!ESPECIES[#Data],9,FALSE)</f>
        <v/>
      </c>
    </row>
    <row r="5096">
      <c r="A5096" s="4" t="n">
        <v>26140</v>
      </c>
      <c r="B5096" s="5" t="n">
        <v>44490</v>
      </c>
      <c r="C5096" s="13" t="inlineStr">
        <is>
          <t>VTA</t>
        </is>
      </c>
      <c r="D5096" s="13" t="n">
        <v>40</v>
      </c>
      <c r="E5096" s="10">
        <f>IF(D5096&gt;0,VLOOKUP(OPERAC[[#This Row],[COD CART]],[1]!MatrizCortoLargoCyl[#All],3,0),"")</f>
        <v/>
      </c>
      <c r="F5096" s="13" t="inlineStr">
        <is>
          <t>MELI</t>
        </is>
      </c>
      <c r="G5096" s="6" t="n">
        <v>1</v>
      </c>
      <c r="H5096" s="6" t="n">
        <v>-1587.905</v>
      </c>
      <c r="I5096" s="7">
        <f>-H5096/G5096</f>
        <v/>
      </c>
      <c r="J5096" s="11" t="n">
        <v>44606</v>
      </c>
      <c r="K5096" s="6" t="n">
        <v>1</v>
      </c>
      <c r="L5096" s="6" t="n">
        <v>1073.609</v>
      </c>
      <c r="M5096" s="7">
        <f>IF(N5096=0,+L5096+H5096,0)</f>
        <v/>
      </c>
      <c r="N5096" s="7">
        <f>IF((+G5096-K5096)=0,0,+G5096-K5096)</f>
        <v/>
      </c>
      <c r="O5096" s="7">
        <f>IF(N5096=0,0,(L5096+H5096)/-N5096)</f>
        <v/>
      </c>
      <c r="P5096" s="7">
        <f>VLOOKUP(OPERAC[[#This Row],[especie]],[1]!ESPECIES[#All],6,0)</f>
        <v/>
      </c>
      <c r="Q5096" s="7">
        <f>IF(N5096&lt;&gt;0,P5096*N5096,0)</f>
        <v/>
      </c>
      <c r="R5096" s="8">
        <f>IF(Q5096&lt;&gt;0,Q5096+H5096+L5096,0)</f>
        <v/>
      </c>
      <c r="S5096" s="9">
        <f>VLOOKUP(OPERAC[[#This Row],[especie]],[1]!ESPECIES[#Data],9,FALSE)</f>
        <v/>
      </c>
    </row>
    <row r="5097">
      <c r="A5097" s="4" t="n">
        <v>1760</v>
      </c>
      <c r="B5097" s="5" t="n">
        <v>44608</v>
      </c>
      <c r="C5097" s="13" t="inlineStr">
        <is>
          <t>VTA</t>
        </is>
      </c>
      <c r="D5097" s="13" t="n">
        <v>32</v>
      </c>
      <c r="E5097" s="10">
        <f>IF(D5097&gt;0,VLOOKUP(OPERAC[[#This Row],[COD CART]],[1]!MatrizCortoLargoCyl[#All],3,0),"")</f>
        <v/>
      </c>
      <c r="F5097" s="13" t="inlineStr">
        <is>
          <t>DDD/CYL/17,00/01-04-22</t>
        </is>
      </c>
      <c r="G5097" s="6" t="n">
        <v>100</v>
      </c>
      <c r="H5097" s="6">
        <f>-1629.4234+19.7+16.45</f>
        <v/>
      </c>
      <c r="I5097" s="7">
        <f>-H5097/G5097</f>
        <v/>
      </c>
      <c r="J5097" s="11" t="n">
        <v>44649</v>
      </c>
      <c r="K5097" s="6" t="n">
        <v>100</v>
      </c>
      <c r="L5097" s="6" t="n">
        <v>1661.98</v>
      </c>
      <c r="M5097" s="7">
        <f>IF(N5097=0,+L5097+H5097,0)</f>
        <v/>
      </c>
      <c r="N5097" s="7">
        <f>IF((+G5097-K5097)=0,0,+G5097-K5097)</f>
        <v/>
      </c>
      <c r="O5097" s="7">
        <f>IF(N5097=0,0,(L5097+H5097)/-N5097)</f>
        <v/>
      </c>
      <c r="P5097" s="7">
        <f>VLOOKUP(OPERAC[[#This Row],[especie]],[1]!ESPECIES[#All],6,0)</f>
        <v/>
      </c>
      <c r="Q5097" s="7">
        <f>IF(N5097&lt;&gt;0,P5097*N5097,0)</f>
        <v/>
      </c>
      <c r="R5097" s="8">
        <f>IF(Q5097&lt;&gt;0,Q5097+H5097+L5097,0)</f>
        <v/>
      </c>
      <c r="S5097" s="9">
        <f>VLOOKUP(OPERAC[[#This Row],[especie]],[1]!ESPECIES[#Data],9,FALSE)</f>
        <v/>
      </c>
    </row>
    <row r="5098">
      <c r="A5098" s="4" t="n">
        <v>1792</v>
      </c>
      <c r="B5098" s="5" t="n">
        <v>44608</v>
      </c>
      <c r="C5098" s="13" t="inlineStr">
        <is>
          <t>VTA</t>
        </is>
      </c>
      <c r="D5098" s="13" t="n">
        <v>32</v>
      </c>
      <c r="E5098" s="10">
        <f>IF(D5098&gt;0,VLOOKUP(OPERAC[[#This Row],[COD CART]],[1]!MatrizCortoLargoCyl[#All],3,0),"")</f>
        <v/>
      </c>
      <c r="F5098" s="13" t="inlineStr">
        <is>
          <t>DDD/CYL/17,00/01-04-22</t>
        </is>
      </c>
      <c r="G5098" s="6" t="n">
        <v>100</v>
      </c>
      <c r="H5098" s="6">
        <f>-1629.4234+19.7+16.45</f>
        <v/>
      </c>
      <c r="I5098" s="7">
        <f>-H5098/G5098</f>
        <v/>
      </c>
      <c r="J5098" s="11" t="n">
        <v>44649</v>
      </c>
      <c r="K5098" s="6" t="n">
        <v>100</v>
      </c>
      <c r="L5098" s="6" t="n">
        <v>1661.98</v>
      </c>
      <c r="M5098" s="7">
        <f>IF(N5098=0,+L5098+H5098,0)</f>
        <v/>
      </c>
      <c r="N5098" s="7">
        <f>IF((+G5098-K5098)=0,0,+G5098-K5098)</f>
        <v/>
      </c>
      <c r="O5098" s="7">
        <f>IF(N5098=0,0,(L5098+H5098)/-N5098)</f>
        <v/>
      </c>
      <c r="P5098" s="7">
        <f>VLOOKUP(OPERAC[[#This Row],[especie]],[1]!ESPECIES[#All],6,0)</f>
        <v/>
      </c>
      <c r="Q5098" s="7">
        <f>IF(N5098&lt;&gt;0,P5098*N5098,0)</f>
        <v/>
      </c>
      <c r="R5098" s="8">
        <f>IF(Q5098&lt;&gt;0,Q5098+H5098+L5098,0)</f>
        <v/>
      </c>
      <c r="S5098" s="9">
        <f>VLOOKUP(OPERAC[[#This Row],[especie]],[1]!ESPECIES[#Data],9,FALSE)</f>
        <v/>
      </c>
    </row>
    <row r="5099">
      <c r="A5099" s="4" t="n">
        <v>2194</v>
      </c>
      <c r="B5099" s="5" t="n">
        <v>44608</v>
      </c>
      <c r="C5099" s="13" t="inlineStr">
        <is>
          <t>VTA</t>
        </is>
      </c>
      <c r="D5099" s="13" t="n">
        <v>32</v>
      </c>
      <c r="E5099" s="10">
        <f>IF(D5099&gt;0,VLOOKUP(OPERAC[[#This Row],[COD CART]],[1]!MatrizCortoLargoCyl[#All],3,0),"")</f>
        <v/>
      </c>
      <c r="F5099" s="13" t="inlineStr">
        <is>
          <t>DDD/CYL/17,00/01-04-22</t>
        </is>
      </c>
      <c r="G5099" s="6" t="n">
        <v>100</v>
      </c>
      <c r="H5099" s="6">
        <f>-1629.4234+19.7+16.45</f>
        <v/>
      </c>
      <c r="I5099" s="7">
        <f>-H5099/G5099</f>
        <v/>
      </c>
      <c r="J5099" s="11" t="n">
        <v>44649</v>
      </c>
      <c r="K5099" s="6" t="n">
        <v>100</v>
      </c>
      <c r="L5099" s="6" t="n">
        <v>1661.98</v>
      </c>
      <c r="M5099" s="7">
        <f>IF(N5099=0,+L5099+H5099,0)</f>
        <v/>
      </c>
      <c r="N5099" s="7">
        <f>IF((+G5099-K5099)=0,0,+G5099-K5099)</f>
        <v/>
      </c>
      <c r="O5099" s="7">
        <f>IF(N5099=0,0,(L5099+H5099)/-N5099)</f>
        <v/>
      </c>
      <c r="P5099" s="7">
        <f>VLOOKUP(OPERAC[[#This Row],[especie]],[1]!ESPECIES[#All],6,0)</f>
        <v/>
      </c>
      <c r="Q5099" s="7">
        <f>IF(N5099&lt;&gt;0,P5099*N5099,0)</f>
        <v/>
      </c>
      <c r="R5099" s="8">
        <f>IF(Q5099&lt;&gt;0,Q5099+H5099+L5099,0)</f>
        <v/>
      </c>
      <c r="S5099" s="9">
        <f>VLOOKUP(OPERAC[[#This Row],[especie]],[1]!ESPECIES[#Data],9,FALSE)</f>
        <v/>
      </c>
    </row>
    <row r="5100">
      <c r="A5100" s="4" t="n">
        <v>7493</v>
      </c>
      <c r="B5100" s="5" t="n">
        <v>44608</v>
      </c>
      <c r="C5100" s="13" t="inlineStr">
        <is>
          <t>VTA</t>
        </is>
      </c>
      <c r="D5100" s="13" t="n">
        <v>32</v>
      </c>
      <c r="E5100" s="10">
        <f>IF(D5100&gt;0,VLOOKUP(OPERAC[[#This Row],[COD CART]],[1]!MatrizCortoLargoCyl[#All],3,0),"")</f>
        <v/>
      </c>
      <c r="F5100" s="13" t="inlineStr">
        <is>
          <t>DDD/CYL/17,00/01-04-22</t>
        </is>
      </c>
      <c r="G5100" s="6" t="n">
        <v>100</v>
      </c>
      <c r="H5100" s="6">
        <f>-1629.4234+19.7+16.45</f>
        <v/>
      </c>
      <c r="I5100" s="7">
        <f>-H5100/G5100</f>
        <v/>
      </c>
      <c r="J5100" s="11" t="n">
        <v>44649</v>
      </c>
      <c r="K5100" s="6" t="n">
        <v>100</v>
      </c>
      <c r="L5100" s="6" t="n">
        <v>1661.98</v>
      </c>
      <c r="M5100" s="7">
        <f>IF(N5100=0,+L5100+H5100,0)</f>
        <v/>
      </c>
      <c r="N5100" s="7">
        <f>IF((+G5100-K5100)=0,0,+G5100-K5100)</f>
        <v/>
      </c>
      <c r="O5100" s="7">
        <f>IF(N5100=0,0,(L5100+H5100)/-N5100)</f>
        <v/>
      </c>
      <c r="P5100" s="7">
        <f>VLOOKUP(OPERAC[[#This Row],[especie]],[1]!ESPECIES[#All],6,0)</f>
        <v/>
      </c>
      <c r="Q5100" s="7">
        <f>IF(N5100&lt;&gt;0,P5100*N5100,0)</f>
        <v/>
      </c>
      <c r="R5100" s="8">
        <f>IF(Q5100&lt;&gt;0,Q5100+H5100+L5100,0)</f>
        <v/>
      </c>
      <c r="S5100" s="9">
        <f>VLOOKUP(OPERAC[[#This Row],[especie]],[1]!ESPECIES[#Data],9,FALSE)</f>
        <v/>
      </c>
    </row>
    <row r="5101">
      <c r="A5101" s="4" t="n">
        <v>7916</v>
      </c>
      <c r="B5101" s="5" t="n">
        <v>44608</v>
      </c>
      <c r="C5101" s="13" t="inlineStr">
        <is>
          <t>VTA</t>
        </is>
      </c>
      <c r="D5101" s="13" t="n">
        <v>32</v>
      </c>
      <c r="E5101" s="10">
        <f>IF(D5101&gt;0,VLOOKUP(OPERAC[[#This Row],[COD CART]],[1]!MatrizCortoLargoCyl[#All],3,0),"")</f>
        <v/>
      </c>
      <c r="F5101" s="13" t="inlineStr">
        <is>
          <t>DDD/CYL/17,00/01-04-22</t>
        </is>
      </c>
      <c r="G5101" s="6" t="n">
        <v>100</v>
      </c>
      <c r="H5101" s="6">
        <f>-1629.4234+19.7+16.45</f>
        <v/>
      </c>
      <c r="I5101" s="7">
        <f>-H5101/G5101</f>
        <v/>
      </c>
      <c r="J5101" s="11" t="n">
        <v>44649</v>
      </c>
      <c r="K5101" s="6" t="n">
        <v>100</v>
      </c>
      <c r="L5101" s="6" t="n">
        <v>1661.98</v>
      </c>
      <c r="M5101" s="7">
        <f>IF(N5101=0,+L5101+H5101,0)</f>
        <v/>
      </c>
      <c r="N5101" s="7">
        <f>IF((+G5101-K5101)=0,0,+G5101-K5101)</f>
        <v/>
      </c>
      <c r="O5101" s="7">
        <f>IF(N5101=0,0,(L5101+H5101)/-N5101)</f>
        <v/>
      </c>
      <c r="P5101" s="7">
        <f>VLOOKUP(OPERAC[[#This Row],[especie]],[1]!ESPECIES[#All],6,0)</f>
        <v/>
      </c>
      <c r="Q5101" s="7">
        <f>IF(N5101&lt;&gt;0,P5101*N5101,0)</f>
        <v/>
      </c>
      <c r="R5101" s="8">
        <f>IF(Q5101&lt;&gt;0,Q5101+H5101+L5101,0)</f>
        <v/>
      </c>
      <c r="S5101" s="9">
        <f>VLOOKUP(OPERAC[[#This Row],[especie]],[1]!ESPECIES[#Data],9,FALSE)</f>
        <v/>
      </c>
    </row>
    <row r="5102">
      <c r="A5102" s="4" t="n">
        <v>8066</v>
      </c>
      <c r="B5102" s="5" t="n">
        <v>44608</v>
      </c>
      <c r="C5102" s="13" t="inlineStr">
        <is>
          <t>VTA</t>
        </is>
      </c>
      <c r="D5102" s="13" t="n">
        <v>32</v>
      </c>
      <c r="E5102" s="10">
        <f>IF(D5102&gt;0,VLOOKUP(OPERAC[[#This Row],[COD CART]],[1]!MatrizCortoLargoCyl[#All],3,0),"")</f>
        <v/>
      </c>
      <c r="F5102" s="13" t="inlineStr">
        <is>
          <t>DDD/CYL/17,00/01-04-22</t>
        </is>
      </c>
      <c r="G5102" s="6" t="n">
        <v>100</v>
      </c>
      <c r="H5102" s="6">
        <f>-1629.4234+19.7+16.45</f>
        <v/>
      </c>
      <c r="I5102" s="7">
        <f>-H5102/G5102</f>
        <v/>
      </c>
      <c r="J5102" s="11" t="n">
        <v>44649</v>
      </c>
      <c r="K5102" s="6" t="n">
        <v>100</v>
      </c>
      <c r="L5102" s="6" t="n">
        <v>1661.98</v>
      </c>
      <c r="M5102" s="7">
        <f>IF(N5102=0,+L5102+H5102,0)</f>
        <v/>
      </c>
      <c r="N5102" s="7">
        <f>IF((+G5102-K5102)=0,0,+G5102-K5102)</f>
        <v/>
      </c>
      <c r="O5102" s="7">
        <f>IF(N5102=0,0,(L5102+H5102)/-N5102)</f>
        <v/>
      </c>
      <c r="P5102" s="7">
        <f>VLOOKUP(OPERAC[[#This Row],[especie]],[1]!ESPECIES[#All],6,0)</f>
        <v/>
      </c>
      <c r="Q5102" s="7">
        <f>IF(N5102&lt;&gt;0,P5102*N5102,0)</f>
        <v/>
      </c>
      <c r="R5102" s="8">
        <f>IF(Q5102&lt;&gt;0,Q5102+H5102+L5102,0)</f>
        <v/>
      </c>
      <c r="S5102" s="9">
        <f>VLOOKUP(OPERAC[[#This Row],[especie]],[1]!ESPECIES[#Data],9,FALSE)</f>
        <v/>
      </c>
    </row>
    <row r="5103">
      <c r="A5103" s="4" t="n">
        <v>12619</v>
      </c>
      <c r="B5103" s="5" t="n">
        <v>44608</v>
      </c>
      <c r="C5103" s="13" t="inlineStr">
        <is>
          <t>VTA</t>
        </is>
      </c>
      <c r="D5103" s="13" t="n">
        <v>32</v>
      </c>
      <c r="E5103" s="10">
        <f>IF(D5103&gt;0,VLOOKUP(OPERAC[[#This Row],[COD CART]],[1]!MatrizCortoLargoCyl[#All],3,0),"")</f>
        <v/>
      </c>
      <c r="F5103" s="13" t="inlineStr">
        <is>
          <t>DDD/CYL/17,00/01-04-22</t>
        </is>
      </c>
      <c r="G5103" s="6" t="n">
        <v>100</v>
      </c>
      <c r="H5103" s="6">
        <f>-1629.4234+19.7+16.45</f>
        <v/>
      </c>
      <c r="I5103" s="7">
        <f>-H5103/G5103</f>
        <v/>
      </c>
      <c r="J5103" s="11" t="n">
        <v>44649</v>
      </c>
      <c r="K5103" s="6" t="n">
        <v>100</v>
      </c>
      <c r="L5103" s="6" t="n">
        <v>1661.98</v>
      </c>
      <c r="M5103" s="7">
        <f>IF(N5103=0,+L5103+H5103,0)</f>
        <v/>
      </c>
      <c r="N5103" s="7">
        <f>IF((+G5103-K5103)=0,0,+G5103-K5103)</f>
        <v/>
      </c>
      <c r="O5103" s="7">
        <f>IF(N5103=0,0,(L5103+H5103)/-N5103)</f>
        <v/>
      </c>
      <c r="P5103" s="7">
        <f>VLOOKUP(OPERAC[[#This Row],[especie]],[1]!ESPECIES[#All],6,0)</f>
        <v/>
      </c>
      <c r="Q5103" s="7">
        <f>IF(N5103&lt;&gt;0,P5103*N5103,0)</f>
        <v/>
      </c>
      <c r="R5103" s="8">
        <f>IF(Q5103&lt;&gt;0,Q5103+H5103+L5103,0)</f>
        <v/>
      </c>
      <c r="S5103" s="9">
        <f>VLOOKUP(OPERAC[[#This Row],[especie]],[1]!ESPECIES[#Data],9,FALSE)</f>
        <v/>
      </c>
    </row>
    <row r="5104">
      <c r="A5104" s="4" t="n">
        <v>12655</v>
      </c>
      <c r="B5104" s="5" t="n">
        <v>44608</v>
      </c>
      <c r="C5104" s="13" t="inlineStr">
        <is>
          <t>VTA</t>
        </is>
      </c>
      <c r="D5104" s="13" t="n">
        <v>32</v>
      </c>
      <c r="E5104" s="10">
        <f>IF(D5104&gt;0,VLOOKUP(OPERAC[[#This Row],[COD CART]],[1]!MatrizCortoLargoCyl[#All],3,0),"")</f>
        <v/>
      </c>
      <c r="F5104" s="13" t="inlineStr">
        <is>
          <t>DDD/CYL/17,00/01-04-22</t>
        </is>
      </c>
      <c r="G5104" s="6" t="n">
        <v>100</v>
      </c>
      <c r="H5104" s="6">
        <f>-1629.4234+19.7+16.45</f>
        <v/>
      </c>
      <c r="I5104" s="7">
        <f>-H5104/G5104</f>
        <v/>
      </c>
      <c r="J5104" s="11" t="n">
        <v>44649</v>
      </c>
      <c r="K5104" s="6" t="n">
        <v>100</v>
      </c>
      <c r="L5104" s="6" t="n">
        <v>1661.98</v>
      </c>
      <c r="M5104" s="7">
        <f>IF(N5104=0,+L5104+H5104,0)</f>
        <v/>
      </c>
      <c r="N5104" s="7">
        <f>IF((+G5104-K5104)=0,0,+G5104-K5104)</f>
        <v/>
      </c>
      <c r="O5104" s="7">
        <f>IF(N5104=0,0,(L5104+H5104)/-N5104)</f>
        <v/>
      </c>
      <c r="P5104" s="7">
        <f>VLOOKUP(OPERAC[[#This Row],[especie]],[1]!ESPECIES[#All],6,0)</f>
        <v/>
      </c>
      <c r="Q5104" s="7">
        <f>IF(N5104&lt;&gt;0,P5104*N5104,0)</f>
        <v/>
      </c>
      <c r="R5104" s="8">
        <f>IF(Q5104&lt;&gt;0,Q5104+H5104+L5104,0)</f>
        <v/>
      </c>
      <c r="S5104" s="9">
        <f>VLOOKUP(OPERAC[[#This Row],[especie]],[1]!ESPECIES[#Data],9,FALSE)</f>
        <v/>
      </c>
    </row>
    <row r="5105">
      <c r="A5105" s="4" t="n">
        <v>12662</v>
      </c>
      <c r="B5105" s="5" t="n">
        <v>44608</v>
      </c>
      <c r="C5105" s="13" t="inlineStr">
        <is>
          <t>VTA</t>
        </is>
      </c>
      <c r="D5105" s="13" t="n">
        <v>32</v>
      </c>
      <c r="E5105" s="10">
        <f>IF(D5105&gt;0,VLOOKUP(OPERAC[[#This Row],[COD CART]],[1]!MatrizCortoLargoCyl[#All],3,0),"")</f>
        <v/>
      </c>
      <c r="F5105" s="13" t="inlineStr">
        <is>
          <t>DDD/CYL/17,00/01-04-22</t>
        </is>
      </c>
      <c r="G5105" s="6" t="n">
        <v>100</v>
      </c>
      <c r="H5105" s="6">
        <f>-1629.4234+19.7+16.45</f>
        <v/>
      </c>
      <c r="I5105" s="7">
        <f>-H5105/G5105</f>
        <v/>
      </c>
      <c r="J5105" s="11" t="n">
        <v>44649</v>
      </c>
      <c r="K5105" s="6" t="n">
        <v>100</v>
      </c>
      <c r="L5105" s="6" t="n">
        <v>1661.98</v>
      </c>
      <c r="M5105" s="7">
        <f>IF(N5105=0,+L5105+H5105,0)</f>
        <v/>
      </c>
      <c r="N5105" s="7">
        <f>IF((+G5105-K5105)=0,0,+G5105-K5105)</f>
        <v/>
      </c>
      <c r="O5105" s="7">
        <f>IF(N5105=0,0,(L5105+H5105)/-N5105)</f>
        <v/>
      </c>
      <c r="P5105" s="7">
        <f>VLOOKUP(OPERAC[[#This Row],[especie]],[1]!ESPECIES[#All],6,0)</f>
        <v/>
      </c>
      <c r="Q5105" s="7">
        <f>IF(N5105&lt;&gt;0,P5105*N5105,0)</f>
        <v/>
      </c>
      <c r="R5105" s="8">
        <f>IF(Q5105&lt;&gt;0,Q5105+H5105+L5105,0)</f>
        <v/>
      </c>
      <c r="S5105" s="9">
        <f>VLOOKUP(OPERAC[[#This Row],[especie]],[1]!ESPECIES[#Data],9,FALSE)</f>
        <v/>
      </c>
    </row>
    <row r="5106">
      <c r="A5106" s="4" t="n">
        <v>12674</v>
      </c>
      <c r="B5106" s="5" t="n">
        <v>44608</v>
      </c>
      <c r="C5106" s="13" t="inlineStr">
        <is>
          <t>VTA</t>
        </is>
      </c>
      <c r="D5106" s="13" t="n">
        <v>32</v>
      </c>
      <c r="E5106" s="10">
        <f>IF(D5106&gt;0,VLOOKUP(OPERAC[[#This Row],[COD CART]],[1]!MatrizCortoLargoCyl[#All],3,0),"")</f>
        <v/>
      </c>
      <c r="F5106" s="13" t="inlineStr">
        <is>
          <t>DDD/CYL/17,00/01-04-22</t>
        </is>
      </c>
      <c r="G5106" s="6" t="n">
        <v>100</v>
      </c>
      <c r="H5106" s="6">
        <f>-1629.4234+19.7+16.45</f>
        <v/>
      </c>
      <c r="I5106" s="7">
        <f>-H5106/G5106</f>
        <v/>
      </c>
      <c r="J5106" s="11" t="n">
        <v>44649</v>
      </c>
      <c r="K5106" s="6" t="n">
        <v>100</v>
      </c>
      <c r="L5106" s="6" t="n">
        <v>1661.98</v>
      </c>
      <c r="M5106" s="7">
        <f>IF(N5106=0,+L5106+H5106,0)</f>
        <v/>
      </c>
      <c r="N5106" s="7">
        <f>IF((+G5106-K5106)=0,0,+G5106-K5106)</f>
        <v/>
      </c>
      <c r="O5106" s="7">
        <f>IF(N5106=0,0,(L5106+H5106)/-N5106)</f>
        <v/>
      </c>
      <c r="P5106" s="7">
        <f>VLOOKUP(OPERAC[[#This Row],[especie]],[1]!ESPECIES[#All],6,0)</f>
        <v/>
      </c>
      <c r="Q5106" s="7">
        <f>IF(N5106&lt;&gt;0,P5106*N5106,0)</f>
        <v/>
      </c>
      <c r="R5106" s="8">
        <f>IF(Q5106&lt;&gt;0,Q5106+H5106+L5106,0)</f>
        <v/>
      </c>
      <c r="S5106" s="9">
        <f>VLOOKUP(OPERAC[[#This Row],[especie]],[1]!ESPECIES[#Data],9,FALSE)</f>
        <v/>
      </c>
    </row>
    <row r="5107">
      <c r="A5107" s="4" t="n">
        <v>13185</v>
      </c>
      <c r="B5107" s="5" t="n">
        <v>44608</v>
      </c>
      <c r="C5107" s="13" t="inlineStr">
        <is>
          <t>VTA</t>
        </is>
      </c>
      <c r="D5107" s="13" t="n">
        <v>32</v>
      </c>
      <c r="E5107" s="10">
        <f>IF(D5107&gt;0,VLOOKUP(OPERAC[[#This Row],[COD CART]],[1]!MatrizCortoLargoCyl[#All],3,0),"")</f>
        <v/>
      </c>
      <c r="F5107" s="13" t="inlineStr">
        <is>
          <t>DDD/CYL/17,00/01-04-22</t>
        </is>
      </c>
      <c r="G5107" s="6" t="n">
        <v>100</v>
      </c>
      <c r="H5107" s="6">
        <f>-1629.4234+19.7+16.45</f>
        <v/>
      </c>
      <c r="I5107" s="7">
        <f>-H5107/G5107</f>
        <v/>
      </c>
      <c r="J5107" s="11" t="n">
        <v>44649</v>
      </c>
      <c r="K5107" s="6" t="n">
        <v>100</v>
      </c>
      <c r="L5107" s="6" t="n">
        <v>1661.98</v>
      </c>
      <c r="M5107" s="7">
        <f>IF(N5107=0,+L5107+H5107,0)</f>
        <v/>
      </c>
      <c r="N5107" s="7">
        <f>IF((+G5107-K5107)=0,0,+G5107-K5107)</f>
        <v/>
      </c>
      <c r="O5107" s="7">
        <f>IF(N5107=0,0,(L5107+H5107)/-N5107)</f>
        <v/>
      </c>
      <c r="P5107" s="7">
        <f>VLOOKUP(OPERAC[[#This Row],[especie]],[1]!ESPECIES[#All],6,0)</f>
        <v/>
      </c>
      <c r="Q5107" s="7">
        <f>IF(N5107&lt;&gt;0,P5107*N5107,0)</f>
        <v/>
      </c>
      <c r="R5107" s="8">
        <f>IF(Q5107&lt;&gt;0,Q5107+H5107+L5107,0)</f>
        <v/>
      </c>
      <c r="S5107" s="9">
        <f>VLOOKUP(OPERAC[[#This Row],[especie]],[1]!ESPECIES[#Data],9,FALSE)</f>
        <v/>
      </c>
    </row>
    <row r="5108">
      <c r="A5108" s="4" t="n">
        <v>13230</v>
      </c>
      <c r="B5108" s="5" t="n">
        <v>44608</v>
      </c>
      <c r="C5108" s="13" t="inlineStr">
        <is>
          <t>VTA</t>
        </is>
      </c>
      <c r="D5108" s="13" t="n">
        <v>32</v>
      </c>
      <c r="E5108" s="10">
        <f>IF(D5108&gt;0,VLOOKUP(OPERAC[[#This Row],[COD CART]],[1]!MatrizCortoLargoCyl[#All],3,0),"")</f>
        <v/>
      </c>
      <c r="F5108" s="13" t="inlineStr">
        <is>
          <t>DDD/CYL/17,00/01-04-22</t>
        </is>
      </c>
      <c r="G5108" s="6" t="n">
        <v>100</v>
      </c>
      <c r="H5108" s="6">
        <f>-1629.4234+19.7+16.45</f>
        <v/>
      </c>
      <c r="I5108" s="7">
        <f>-H5108/G5108</f>
        <v/>
      </c>
      <c r="J5108" s="11" t="n">
        <v>44649</v>
      </c>
      <c r="K5108" s="6" t="n">
        <v>100</v>
      </c>
      <c r="L5108" s="6" t="n">
        <v>1661.98</v>
      </c>
      <c r="M5108" s="7">
        <f>IF(N5108=0,+L5108+H5108,0)</f>
        <v/>
      </c>
      <c r="N5108" s="7">
        <f>IF((+G5108-K5108)=0,0,+G5108-K5108)</f>
        <v/>
      </c>
      <c r="O5108" s="7">
        <f>IF(N5108=0,0,(L5108+H5108)/-N5108)</f>
        <v/>
      </c>
      <c r="P5108" s="7">
        <f>VLOOKUP(OPERAC[[#This Row],[especie]],[1]!ESPECIES[#All],6,0)</f>
        <v/>
      </c>
      <c r="Q5108" s="7">
        <f>IF(N5108&lt;&gt;0,P5108*N5108,0)</f>
        <v/>
      </c>
      <c r="R5108" s="8">
        <f>IF(Q5108&lt;&gt;0,Q5108+H5108+L5108,0)</f>
        <v/>
      </c>
      <c r="S5108" s="9">
        <f>VLOOKUP(OPERAC[[#This Row],[especie]],[1]!ESPECIES[#Data],9,FALSE)</f>
        <v/>
      </c>
    </row>
    <row r="5109">
      <c r="A5109" s="4" t="n">
        <v>13269</v>
      </c>
      <c r="B5109" s="5" t="n">
        <v>44608</v>
      </c>
      <c r="C5109" s="13" t="inlineStr">
        <is>
          <t>VTA</t>
        </is>
      </c>
      <c r="D5109" s="13" t="n">
        <v>32</v>
      </c>
      <c r="E5109" s="10">
        <f>IF(D5109&gt;0,VLOOKUP(OPERAC[[#This Row],[COD CART]],[1]!MatrizCortoLargoCyl[#All],3,0),"")</f>
        <v/>
      </c>
      <c r="F5109" s="13" t="inlineStr">
        <is>
          <t>DDD/CYL/17,00/01-04-22</t>
        </is>
      </c>
      <c r="G5109" s="6" t="n">
        <v>100</v>
      </c>
      <c r="H5109" s="6">
        <f>-1629.4234+19.7+16.45</f>
        <v/>
      </c>
      <c r="I5109" s="7">
        <f>-H5109/G5109</f>
        <v/>
      </c>
      <c r="J5109" s="11" t="n">
        <v>44649</v>
      </c>
      <c r="K5109" s="6" t="n">
        <v>100</v>
      </c>
      <c r="L5109" s="6" t="n">
        <v>1661.98</v>
      </c>
      <c r="M5109" s="7">
        <f>IF(N5109=0,+L5109+H5109,0)</f>
        <v/>
      </c>
      <c r="N5109" s="7">
        <f>IF((+G5109-K5109)=0,0,+G5109-K5109)</f>
        <v/>
      </c>
      <c r="O5109" s="7">
        <f>IF(N5109=0,0,(L5109+H5109)/-N5109)</f>
        <v/>
      </c>
      <c r="P5109" s="7">
        <f>VLOOKUP(OPERAC[[#This Row],[especie]],[1]!ESPECIES[#All],6,0)</f>
        <v/>
      </c>
      <c r="Q5109" s="7">
        <f>IF(N5109&lt;&gt;0,P5109*N5109,0)</f>
        <v/>
      </c>
      <c r="R5109" s="8">
        <f>IF(Q5109&lt;&gt;0,Q5109+H5109+L5109,0)</f>
        <v/>
      </c>
      <c r="S5109" s="9">
        <f>VLOOKUP(OPERAC[[#This Row],[especie]],[1]!ESPECIES[#Data],9,FALSE)</f>
        <v/>
      </c>
    </row>
    <row r="5110">
      <c r="A5110" s="4" t="n">
        <v>15189</v>
      </c>
      <c r="B5110" s="5" t="n">
        <v>44608</v>
      </c>
      <c r="C5110" s="13" t="inlineStr">
        <is>
          <t>VTA</t>
        </is>
      </c>
      <c r="D5110" s="13" t="n">
        <v>32</v>
      </c>
      <c r="E5110" s="10">
        <f>IF(D5110&gt;0,VLOOKUP(OPERAC[[#This Row],[COD CART]],[1]!MatrizCortoLargoCyl[#All],3,0),"")</f>
        <v/>
      </c>
      <c r="F5110" s="13" t="inlineStr">
        <is>
          <t>DDD/CYL/17,00/01-04-22</t>
        </is>
      </c>
      <c r="G5110" s="6" t="n">
        <v>100</v>
      </c>
      <c r="H5110" s="6">
        <f>-1629.4234+19.7+16.45</f>
        <v/>
      </c>
      <c r="I5110" s="7">
        <f>-H5110/G5110</f>
        <v/>
      </c>
      <c r="J5110" s="11" t="n">
        <v>44649</v>
      </c>
      <c r="K5110" s="6" t="n">
        <v>100</v>
      </c>
      <c r="L5110" s="6" t="n">
        <v>1661.98</v>
      </c>
      <c r="M5110" s="7">
        <f>IF(N5110=0,+L5110+H5110,0)</f>
        <v/>
      </c>
      <c r="N5110" s="7">
        <f>IF((+G5110-K5110)=0,0,+G5110-K5110)</f>
        <v/>
      </c>
      <c r="O5110" s="7">
        <f>IF(N5110=0,0,(L5110+H5110)/-N5110)</f>
        <v/>
      </c>
      <c r="P5110" s="7">
        <f>VLOOKUP(OPERAC[[#This Row],[especie]],[1]!ESPECIES[#All],6,0)</f>
        <v/>
      </c>
      <c r="Q5110" s="7">
        <f>IF(N5110&lt;&gt;0,P5110*N5110,0)</f>
        <v/>
      </c>
      <c r="R5110" s="8">
        <f>IF(Q5110&lt;&gt;0,Q5110+H5110+L5110,0)</f>
        <v/>
      </c>
      <c r="S5110" s="9">
        <f>VLOOKUP(OPERAC[[#This Row],[especie]],[1]!ESPECIES[#Data],9,FALSE)</f>
        <v/>
      </c>
    </row>
    <row r="5111">
      <c r="A5111" s="4" t="n">
        <v>15194</v>
      </c>
      <c r="B5111" s="5" t="n">
        <v>44608</v>
      </c>
      <c r="C5111" s="13" t="inlineStr">
        <is>
          <t>VTA</t>
        </is>
      </c>
      <c r="D5111" s="13" t="n">
        <v>32</v>
      </c>
      <c r="E5111" s="10">
        <f>IF(D5111&gt;0,VLOOKUP(OPERAC[[#This Row],[COD CART]],[1]!MatrizCortoLargoCyl[#All],3,0),"")</f>
        <v/>
      </c>
      <c r="F5111" s="13" t="inlineStr">
        <is>
          <t>DDD/CYL/17,00/01-04-22</t>
        </is>
      </c>
      <c r="G5111" s="6" t="n">
        <v>100</v>
      </c>
      <c r="H5111" s="6">
        <f>-1629.4234+19.7+16.45</f>
        <v/>
      </c>
      <c r="I5111" s="7">
        <f>-H5111/G5111</f>
        <v/>
      </c>
      <c r="J5111" s="11" t="n">
        <v>44649</v>
      </c>
      <c r="K5111" s="6" t="n">
        <v>100</v>
      </c>
      <c r="L5111" s="6" t="n">
        <v>1661.98</v>
      </c>
      <c r="M5111" s="7">
        <f>IF(N5111=0,+L5111+H5111,0)</f>
        <v/>
      </c>
      <c r="N5111" s="7">
        <f>IF((+G5111-K5111)=0,0,+G5111-K5111)</f>
        <v/>
      </c>
      <c r="O5111" s="7">
        <f>IF(N5111=0,0,(L5111+H5111)/-N5111)</f>
        <v/>
      </c>
      <c r="P5111" s="7">
        <f>VLOOKUP(OPERAC[[#This Row],[especie]],[1]!ESPECIES[#All],6,0)</f>
        <v/>
      </c>
      <c r="Q5111" s="7">
        <f>IF(N5111&lt;&gt;0,P5111*N5111,0)</f>
        <v/>
      </c>
      <c r="R5111" s="8">
        <f>IF(Q5111&lt;&gt;0,Q5111+H5111+L5111,0)</f>
        <v/>
      </c>
      <c r="S5111" s="9">
        <f>VLOOKUP(OPERAC[[#This Row],[especie]],[1]!ESPECIES[#Data],9,FALSE)</f>
        <v/>
      </c>
    </row>
    <row r="5112">
      <c r="A5112" s="4" t="n">
        <v>15195</v>
      </c>
      <c r="B5112" s="5" t="n">
        <v>44608</v>
      </c>
      <c r="C5112" s="13" t="inlineStr">
        <is>
          <t>VTA</t>
        </is>
      </c>
      <c r="D5112" s="13" t="n">
        <v>32</v>
      </c>
      <c r="E5112" s="10">
        <f>IF(D5112&gt;0,VLOOKUP(OPERAC[[#This Row],[COD CART]],[1]!MatrizCortoLargoCyl[#All],3,0),"")</f>
        <v/>
      </c>
      <c r="F5112" s="13" t="inlineStr">
        <is>
          <t>DDD/CYL/17,00/01-04-22</t>
        </is>
      </c>
      <c r="G5112" s="6" t="n">
        <v>100</v>
      </c>
      <c r="H5112" s="6">
        <f>-1629.4234+19.7+16.45</f>
        <v/>
      </c>
      <c r="I5112" s="7">
        <f>-H5112/G5112</f>
        <v/>
      </c>
      <c r="J5112" s="11" t="n">
        <v>44649</v>
      </c>
      <c r="K5112" s="6" t="n">
        <v>100</v>
      </c>
      <c r="L5112" s="6" t="n">
        <v>1661.98</v>
      </c>
      <c r="M5112" s="7">
        <f>IF(N5112=0,+L5112+H5112,0)</f>
        <v/>
      </c>
      <c r="N5112" s="7">
        <f>IF((+G5112-K5112)=0,0,+G5112-K5112)</f>
        <v/>
      </c>
      <c r="O5112" s="7">
        <f>IF(N5112=0,0,(L5112+H5112)/-N5112)</f>
        <v/>
      </c>
      <c r="P5112" s="7">
        <f>VLOOKUP(OPERAC[[#This Row],[especie]],[1]!ESPECIES[#All],6,0)</f>
        <v/>
      </c>
      <c r="Q5112" s="7">
        <f>IF(N5112&lt;&gt;0,P5112*N5112,0)</f>
        <v/>
      </c>
      <c r="R5112" s="8">
        <f>IF(Q5112&lt;&gt;0,Q5112+H5112+L5112,0)</f>
        <v/>
      </c>
      <c r="S5112" s="9">
        <f>VLOOKUP(OPERAC[[#This Row],[especie]],[1]!ESPECIES[#Data],9,FALSE)</f>
        <v/>
      </c>
    </row>
    <row r="5113">
      <c r="A5113" s="4" t="n">
        <v>16776</v>
      </c>
      <c r="B5113" s="5" t="n">
        <v>44608</v>
      </c>
      <c r="C5113" s="13" t="inlineStr">
        <is>
          <t>VTA</t>
        </is>
      </c>
      <c r="D5113" s="13" t="n">
        <v>32</v>
      </c>
      <c r="E5113" s="10">
        <f>IF(D5113&gt;0,VLOOKUP(OPERAC[[#This Row],[COD CART]],[1]!MatrizCortoLargoCyl[#All],3,0),"")</f>
        <v/>
      </c>
      <c r="F5113" s="13" t="inlineStr">
        <is>
          <t>DDD/CYL/17,00/01-04-22</t>
        </is>
      </c>
      <c r="G5113" s="6" t="n">
        <v>100</v>
      </c>
      <c r="H5113" s="6">
        <f>-1629.4234+19.7+16.45</f>
        <v/>
      </c>
      <c r="I5113" s="7">
        <f>-H5113/G5113</f>
        <v/>
      </c>
      <c r="J5113" s="11" t="n">
        <v>44649</v>
      </c>
      <c r="K5113" s="6" t="n">
        <v>100</v>
      </c>
      <c r="L5113" s="6" t="n">
        <v>1661.98</v>
      </c>
      <c r="M5113" s="7">
        <f>IF(N5113=0,+L5113+H5113,0)</f>
        <v/>
      </c>
      <c r="N5113" s="7">
        <f>IF((+G5113-K5113)=0,0,+G5113-K5113)</f>
        <v/>
      </c>
      <c r="O5113" s="7">
        <f>IF(N5113=0,0,(L5113+H5113)/-N5113)</f>
        <v/>
      </c>
      <c r="P5113" s="7">
        <f>VLOOKUP(OPERAC[[#This Row],[especie]],[1]!ESPECIES[#All],6,0)</f>
        <v/>
      </c>
      <c r="Q5113" s="7">
        <f>IF(N5113&lt;&gt;0,P5113*N5113,0)</f>
        <v/>
      </c>
      <c r="R5113" s="8">
        <f>IF(Q5113&lt;&gt;0,Q5113+H5113+L5113,0)</f>
        <v/>
      </c>
      <c r="S5113" s="9">
        <f>VLOOKUP(OPERAC[[#This Row],[especie]],[1]!ESPECIES[#Data],9,FALSE)</f>
        <v/>
      </c>
    </row>
    <row r="5114">
      <c r="A5114" s="4" t="n">
        <v>16795</v>
      </c>
      <c r="B5114" s="5" t="n">
        <v>44608</v>
      </c>
      <c r="C5114" s="13" t="inlineStr">
        <is>
          <t>VTA</t>
        </is>
      </c>
      <c r="D5114" s="13" t="n">
        <v>32</v>
      </c>
      <c r="E5114" s="10">
        <f>IF(D5114&gt;0,VLOOKUP(OPERAC[[#This Row],[COD CART]],[1]!MatrizCortoLargoCyl[#All],3,0),"")</f>
        <v/>
      </c>
      <c r="F5114" s="13" t="inlineStr">
        <is>
          <t>DDD/CYL/17,00/01-04-22</t>
        </is>
      </c>
      <c r="G5114" s="6" t="n">
        <v>100</v>
      </c>
      <c r="H5114" s="6">
        <f>-1629.4234+19.7+16.45</f>
        <v/>
      </c>
      <c r="I5114" s="7">
        <f>-H5114/G5114</f>
        <v/>
      </c>
      <c r="J5114" s="11" t="n">
        <v>44649</v>
      </c>
      <c r="K5114" s="6" t="n">
        <v>100</v>
      </c>
      <c r="L5114" s="6" t="n">
        <v>1661.98</v>
      </c>
      <c r="M5114" s="7">
        <f>IF(N5114=0,+L5114+H5114,0)</f>
        <v/>
      </c>
      <c r="N5114" s="7">
        <f>IF((+G5114-K5114)=0,0,+G5114-K5114)</f>
        <v/>
      </c>
      <c r="O5114" s="7">
        <f>IF(N5114=0,0,(L5114+H5114)/-N5114)</f>
        <v/>
      </c>
      <c r="P5114" s="7">
        <f>VLOOKUP(OPERAC[[#This Row],[especie]],[1]!ESPECIES[#All],6,0)</f>
        <v/>
      </c>
      <c r="Q5114" s="7">
        <f>IF(N5114&lt;&gt;0,P5114*N5114,0)</f>
        <v/>
      </c>
      <c r="R5114" s="8">
        <f>IF(Q5114&lt;&gt;0,Q5114+H5114+L5114,0)</f>
        <v/>
      </c>
      <c r="S5114" s="9">
        <f>VLOOKUP(OPERAC[[#This Row],[especie]],[1]!ESPECIES[#Data],9,FALSE)</f>
        <v/>
      </c>
    </row>
    <row r="5115">
      <c r="A5115" s="4" t="n">
        <v>16824</v>
      </c>
      <c r="B5115" s="5" t="n">
        <v>44608</v>
      </c>
      <c r="C5115" s="13" t="inlineStr">
        <is>
          <t>VTA</t>
        </is>
      </c>
      <c r="D5115" s="13" t="n">
        <v>32</v>
      </c>
      <c r="E5115" s="10">
        <f>IF(D5115&gt;0,VLOOKUP(OPERAC[[#This Row],[COD CART]],[1]!MatrizCortoLargoCyl[#All],3,0),"")</f>
        <v/>
      </c>
      <c r="F5115" s="13" t="inlineStr">
        <is>
          <t>DDD/CYL/17,00/01-04-22</t>
        </is>
      </c>
      <c r="G5115" s="6" t="n">
        <v>100</v>
      </c>
      <c r="H5115" s="6">
        <f>-1629.4234+19.7+16.45</f>
        <v/>
      </c>
      <c r="I5115" s="7">
        <f>-H5115/G5115</f>
        <v/>
      </c>
      <c r="J5115" s="11" t="n">
        <v>44649</v>
      </c>
      <c r="K5115" s="6" t="n">
        <v>100</v>
      </c>
      <c r="L5115" s="6" t="n">
        <v>1661.98</v>
      </c>
      <c r="M5115" s="7">
        <f>IF(N5115=0,+L5115+H5115,0)</f>
        <v/>
      </c>
      <c r="N5115" s="7">
        <f>IF((+G5115-K5115)=0,0,+G5115-K5115)</f>
        <v/>
      </c>
      <c r="O5115" s="7">
        <f>IF(N5115=0,0,(L5115+H5115)/-N5115)</f>
        <v/>
      </c>
      <c r="P5115" s="7">
        <f>VLOOKUP(OPERAC[[#This Row],[especie]],[1]!ESPECIES[#All],6,0)</f>
        <v/>
      </c>
      <c r="Q5115" s="7">
        <f>IF(N5115&lt;&gt;0,P5115*N5115,0)</f>
        <v/>
      </c>
      <c r="R5115" s="8">
        <f>IF(Q5115&lt;&gt;0,Q5115+H5115+L5115,0)</f>
        <v/>
      </c>
      <c r="S5115" s="9">
        <f>VLOOKUP(OPERAC[[#This Row],[especie]],[1]!ESPECIES[#Data],9,FALSE)</f>
        <v/>
      </c>
    </row>
    <row r="5116">
      <c r="A5116" s="4" t="n">
        <v>18662</v>
      </c>
      <c r="B5116" s="5" t="n">
        <v>44608</v>
      </c>
      <c r="C5116" s="13" t="inlineStr">
        <is>
          <t>VTA</t>
        </is>
      </c>
      <c r="D5116" s="13" t="n">
        <v>32</v>
      </c>
      <c r="E5116" s="10">
        <f>IF(D5116&gt;0,VLOOKUP(OPERAC[[#This Row],[COD CART]],[1]!MatrizCortoLargoCyl[#All],3,0),"")</f>
        <v/>
      </c>
      <c r="F5116" s="13" t="inlineStr">
        <is>
          <t>DDD/CYL/17,00/01-04-22</t>
        </is>
      </c>
      <c r="G5116" s="6" t="n">
        <v>100</v>
      </c>
      <c r="H5116" s="6">
        <f>-1629.4234+19.7+16.45</f>
        <v/>
      </c>
      <c r="I5116" s="7">
        <f>-H5116/G5116</f>
        <v/>
      </c>
      <c r="J5116" s="11" t="n">
        <v>44649</v>
      </c>
      <c r="K5116" s="6" t="n">
        <v>100</v>
      </c>
      <c r="L5116" s="6" t="n">
        <v>1661.98</v>
      </c>
      <c r="M5116" s="7">
        <f>IF(N5116=0,+L5116+H5116,0)</f>
        <v/>
      </c>
      <c r="N5116" s="7">
        <f>IF((+G5116-K5116)=0,0,+G5116-K5116)</f>
        <v/>
      </c>
      <c r="O5116" s="7">
        <f>IF(N5116=0,0,(L5116+H5116)/-N5116)</f>
        <v/>
      </c>
      <c r="P5116" s="7">
        <f>VLOOKUP(OPERAC[[#This Row],[especie]],[1]!ESPECIES[#All],6,0)</f>
        <v/>
      </c>
      <c r="Q5116" s="7">
        <f>IF(N5116&lt;&gt;0,P5116*N5116,0)</f>
        <v/>
      </c>
      <c r="R5116" s="8">
        <f>IF(Q5116&lt;&gt;0,Q5116+H5116+L5116,0)</f>
        <v/>
      </c>
      <c r="S5116" s="9">
        <f>VLOOKUP(OPERAC[[#This Row],[especie]],[1]!ESPECIES[#Data],9,FALSE)</f>
        <v/>
      </c>
    </row>
    <row r="5117">
      <c r="A5117" s="4" t="n">
        <v>18677</v>
      </c>
      <c r="B5117" s="5" t="n">
        <v>44608</v>
      </c>
      <c r="C5117" s="13" t="inlineStr">
        <is>
          <t>VTA</t>
        </is>
      </c>
      <c r="D5117" s="13" t="n">
        <v>32</v>
      </c>
      <c r="E5117" s="10">
        <f>IF(D5117&gt;0,VLOOKUP(OPERAC[[#This Row],[COD CART]],[1]!MatrizCortoLargoCyl[#All],3,0),"")</f>
        <v/>
      </c>
      <c r="F5117" s="13" t="inlineStr">
        <is>
          <t>DDD/CYL/17,00/01-04-22</t>
        </is>
      </c>
      <c r="G5117" s="6" t="n">
        <v>100</v>
      </c>
      <c r="H5117" s="6">
        <f>-1629.4234+19.7+16.45</f>
        <v/>
      </c>
      <c r="I5117" s="7">
        <f>-H5117/G5117</f>
        <v/>
      </c>
      <c r="J5117" s="11" t="n">
        <v>44649</v>
      </c>
      <c r="K5117" s="6" t="n">
        <v>100</v>
      </c>
      <c r="L5117" s="6" t="n">
        <v>1661.98</v>
      </c>
      <c r="M5117" s="7">
        <f>IF(N5117=0,+L5117+H5117,0)</f>
        <v/>
      </c>
      <c r="N5117" s="7">
        <f>IF((+G5117-K5117)=0,0,+G5117-K5117)</f>
        <v/>
      </c>
      <c r="O5117" s="7">
        <f>IF(N5117=0,0,(L5117+H5117)/-N5117)</f>
        <v/>
      </c>
      <c r="P5117" s="7">
        <f>VLOOKUP(OPERAC[[#This Row],[especie]],[1]!ESPECIES[#All],6,0)</f>
        <v/>
      </c>
      <c r="Q5117" s="7">
        <f>IF(N5117&lt;&gt;0,P5117*N5117,0)</f>
        <v/>
      </c>
      <c r="R5117" s="8">
        <f>IF(Q5117&lt;&gt;0,Q5117+H5117+L5117,0)</f>
        <v/>
      </c>
      <c r="S5117" s="9">
        <f>VLOOKUP(OPERAC[[#This Row],[especie]],[1]!ESPECIES[#Data],9,FALSE)</f>
        <v/>
      </c>
    </row>
    <row r="5118">
      <c r="A5118" s="4" t="n">
        <v>19932</v>
      </c>
      <c r="B5118" s="5" t="n">
        <v>44608</v>
      </c>
      <c r="C5118" s="13" t="inlineStr">
        <is>
          <t>VTA</t>
        </is>
      </c>
      <c r="D5118" s="13" t="n">
        <v>32</v>
      </c>
      <c r="E5118" s="10">
        <f>IF(D5118&gt;0,VLOOKUP(OPERAC[[#This Row],[COD CART]],[1]!MatrizCortoLargoCyl[#All],3,0),"")</f>
        <v/>
      </c>
      <c r="F5118" s="13" t="inlineStr">
        <is>
          <t>DDD/CYL/17,00/01-04-22</t>
        </is>
      </c>
      <c r="G5118" s="6" t="n">
        <v>100</v>
      </c>
      <c r="H5118" s="6">
        <f>-1629.4234+19.7+16.45</f>
        <v/>
      </c>
      <c r="I5118" s="7">
        <f>-H5118/G5118</f>
        <v/>
      </c>
      <c r="J5118" s="11" t="n">
        <v>44649</v>
      </c>
      <c r="K5118" s="6" t="n">
        <v>100</v>
      </c>
      <c r="L5118" s="6" t="n">
        <v>1661.98</v>
      </c>
      <c r="M5118" s="7">
        <f>IF(N5118=0,+L5118+H5118,0)</f>
        <v/>
      </c>
      <c r="N5118" s="7">
        <f>IF((+G5118-K5118)=0,0,+G5118-K5118)</f>
        <v/>
      </c>
      <c r="O5118" s="7">
        <f>IF(N5118=0,0,(L5118+H5118)/-N5118)</f>
        <v/>
      </c>
      <c r="P5118" s="7">
        <f>VLOOKUP(OPERAC[[#This Row],[especie]],[1]!ESPECIES[#All],6,0)</f>
        <v/>
      </c>
      <c r="Q5118" s="7">
        <f>IF(N5118&lt;&gt;0,P5118*N5118,0)</f>
        <v/>
      </c>
      <c r="R5118" s="8">
        <f>IF(Q5118&lt;&gt;0,Q5118+H5118+L5118,0)</f>
        <v/>
      </c>
      <c r="S5118" s="9">
        <f>VLOOKUP(OPERAC[[#This Row],[especie]],[1]!ESPECIES[#Data],9,FALSE)</f>
        <v/>
      </c>
    </row>
    <row r="5119">
      <c r="A5119" s="4" t="n">
        <v>19934</v>
      </c>
      <c r="B5119" s="5" t="n">
        <v>44608</v>
      </c>
      <c r="C5119" s="13" t="inlineStr">
        <is>
          <t>VTA</t>
        </is>
      </c>
      <c r="D5119" s="13" t="n">
        <v>32</v>
      </c>
      <c r="E5119" s="10">
        <f>IF(D5119&gt;0,VLOOKUP(OPERAC[[#This Row],[COD CART]],[1]!MatrizCortoLargoCyl[#All],3,0),"")</f>
        <v/>
      </c>
      <c r="F5119" s="13" t="inlineStr">
        <is>
          <t>DDD/CYL/17,00/01-04-22</t>
        </is>
      </c>
      <c r="G5119" s="6" t="n">
        <v>100</v>
      </c>
      <c r="H5119" s="6">
        <f>-1629.4234+19.7+16.45</f>
        <v/>
      </c>
      <c r="I5119" s="7">
        <f>-H5119/G5119</f>
        <v/>
      </c>
      <c r="J5119" s="11" t="n">
        <v>44649</v>
      </c>
      <c r="K5119" s="6" t="n">
        <v>100</v>
      </c>
      <c r="L5119" s="6" t="n">
        <v>1661.98</v>
      </c>
      <c r="M5119" s="7">
        <f>IF(N5119=0,+L5119+H5119,0)</f>
        <v/>
      </c>
      <c r="N5119" s="7">
        <f>IF((+G5119-K5119)=0,0,+G5119-K5119)</f>
        <v/>
      </c>
      <c r="O5119" s="7">
        <f>IF(N5119=0,0,(L5119+H5119)/-N5119)</f>
        <v/>
      </c>
      <c r="P5119" s="7">
        <f>VLOOKUP(OPERAC[[#This Row],[especie]],[1]!ESPECIES[#All],6,0)</f>
        <v/>
      </c>
      <c r="Q5119" s="7">
        <f>IF(N5119&lt;&gt;0,P5119*N5119,0)</f>
        <v/>
      </c>
      <c r="R5119" s="8">
        <f>IF(Q5119&lt;&gt;0,Q5119+H5119+L5119,0)</f>
        <v/>
      </c>
      <c r="S5119" s="9">
        <f>VLOOKUP(OPERAC[[#This Row],[especie]],[1]!ESPECIES[#Data],9,FALSE)</f>
        <v/>
      </c>
    </row>
    <row r="5120">
      <c r="A5120" s="4" t="n">
        <v>20234</v>
      </c>
      <c r="B5120" s="5" t="n">
        <v>44608</v>
      </c>
      <c r="C5120" s="13" t="inlineStr">
        <is>
          <t>VTA</t>
        </is>
      </c>
      <c r="D5120" s="13" t="n">
        <v>32</v>
      </c>
      <c r="E5120" s="10">
        <f>IF(D5120&gt;0,VLOOKUP(OPERAC[[#This Row],[COD CART]],[1]!MatrizCortoLargoCyl[#All],3,0),"")</f>
        <v/>
      </c>
      <c r="F5120" s="13" t="inlineStr">
        <is>
          <t>DDD/CYL/17,00/01-04-22</t>
        </is>
      </c>
      <c r="G5120" s="6" t="n">
        <v>100</v>
      </c>
      <c r="H5120" s="6">
        <f>-1629.4234+19.7+16.45</f>
        <v/>
      </c>
      <c r="I5120" s="7">
        <f>-H5120/G5120</f>
        <v/>
      </c>
      <c r="J5120" s="11" t="n">
        <v>44649</v>
      </c>
      <c r="K5120" s="6" t="n">
        <v>100</v>
      </c>
      <c r="L5120" s="6" t="n">
        <v>1661.98</v>
      </c>
      <c r="M5120" s="7">
        <f>IF(N5120=0,+L5120+H5120,0)</f>
        <v/>
      </c>
      <c r="N5120" s="7">
        <f>IF((+G5120-K5120)=0,0,+G5120-K5120)</f>
        <v/>
      </c>
      <c r="O5120" s="7">
        <f>IF(N5120=0,0,(L5120+H5120)/-N5120)</f>
        <v/>
      </c>
      <c r="P5120" s="7">
        <f>VLOOKUP(OPERAC[[#This Row],[especie]],[1]!ESPECIES[#All],6,0)</f>
        <v/>
      </c>
      <c r="Q5120" s="7">
        <f>IF(N5120&lt;&gt;0,P5120*N5120,0)</f>
        <v/>
      </c>
      <c r="R5120" s="8">
        <f>IF(Q5120&lt;&gt;0,Q5120+H5120+L5120,0)</f>
        <v/>
      </c>
      <c r="S5120" s="9">
        <f>VLOOKUP(OPERAC[[#This Row],[especie]],[1]!ESPECIES[#Data],9,FALSE)</f>
        <v/>
      </c>
    </row>
    <row r="5121">
      <c r="A5121" s="4" t="n">
        <v>20317</v>
      </c>
      <c r="B5121" s="5" t="n">
        <v>44608</v>
      </c>
      <c r="C5121" s="13" t="inlineStr">
        <is>
          <t>VTA</t>
        </is>
      </c>
      <c r="D5121" s="13" t="n">
        <v>32</v>
      </c>
      <c r="E5121" s="10">
        <f>IF(D5121&gt;0,VLOOKUP(OPERAC[[#This Row],[COD CART]],[1]!MatrizCortoLargoCyl[#All],3,0),"")</f>
        <v/>
      </c>
      <c r="F5121" s="13" t="inlineStr">
        <is>
          <t>DDD/CYL/17,00/01-04-22</t>
        </is>
      </c>
      <c r="G5121" s="6" t="n">
        <v>100</v>
      </c>
      <c r="H5121" s="6">
        <f>-1629.4234+19.7+16.45</f>
        <v/>
      </c>
      <c r="I5121" s="7">
        <f>-H5121/G5121</f>
        <v/>
      </c>
      <c r="J5121" s="11" t="n">
        <v>44649</v>
      </c>
      <c r="K5121" s="6" t="n">
        <v>100</v>
      </c>
      <c r="L5121" s="6" t="n">
        <v>1661.98</v>
      </c>
      <c r="M5121" s="7">
        <f>IF(N5121=0,+L5121+H5121,0)</f>
        <v/>
      </c>
      <c r="N5121" s="7">
        <f>IF((+G5121-K5121)=0,0,+G5121-K5121)</f>
        <v/>
      </c>
      <c r="O5121" s="7">
        <f>IF(N5121=0,0,(L5121+H5121)/-N5121)</f>
        <v/>
      </c>
      <c r="P5121" s="7">
        <f>VLOOKUP(OPERAC[[#This Row],[especie]],[1]!ESPECIES[#All],6,0)</f>
        <v/>
      </c>
      <c r="Q5121" s="7">
        <f>IF(N5121&lt;&gt;0,P5121*N5121,0)</f>
        <v/>
      </c>
      <c r="R5121" s="8">
        <f>IF(Q5121&lt;&gt;0,Q5121+H5121+L5121,0)</f>
        <v/>
      </c>
      <c r="S5121" s="9">
        <f>VLOOKUP(OPERAC[[#This Row],[especie]],[1]!ESPECIES[#Data],9,FALSE)</f>
        <v/>
      </c>
    </row>
    <row r="5122">
      <c r="A5122" s="4" t="n">
        <v>22393</v>
      </c>
      <c r="B5122" s="5" t="n">
        <v>44608</v>
      </c>
      <c r="C5122" s="13" t="inlineStr">
        <is>
          <t>VTA</t>
        </is>
      </c>
      <c r="D5122" s="13" t="n">
        <v>32</v>
      </c>
      <c r="E5122" s="10">
        <f>IF(D5122&gt;0,VLOOKUP(OPERAC[[#This Row],[COD CART]],[1]!MatrizCortoLargoCyl[#All],3,0),"")</f>
        <v/>
      </c>
      <c r="F5122" s="13" t="inlineStr">
        <is>
          <t>DDD/CYL/17,00/01-04-22</t>
        </is>
      </c>
      <c r="G5122" s="6" t="n">
        <v>100</v>
      </c>
      <c r="H5122" s="6">
        <f>-1629.4234+19.7+16.45</f>
        <v/>
      </c>
      <c r="I5122" s="7">
        <f>-H5122/G5122</f>
        <v/>
      </c>
      <c r="J5122" s="11" t="n">
        <v>44649</v>
      </c>
      <c r="K5122" s="6" t="n">
        <v>100</v>
      </c>
      <c r="L5122" s="6" t="n">
        <v>1661.98</v>
      </c>
      <c r="M5122" s="7">
        <f>IF(N5122=0,+L5122+H5122,0)</f>
        <v/>
      </c>
      <c r="N5122" s="7">
        <f>IF((+G5122-K5122)=0,0,+G5122-K5122)</f>
        <v/>
      </c>
      <c r="O5122" s="7">
        <f>IF(N5122=0,0,(L5122+H5122)/-N5122)</f>
        <v/>
      </c>
      <c r="P5122" s="7">
        <f>VLOOKUP(OPERAC[[#This Row],[especie]],[1]!ESPECIES[#All],6,0)</f>
        <v/>
      </c>
      <c r="Q5122" s="7">
        <f>IF(N5122&lt;&gt;0,P5122*N5122,0)</f>
        <v/>
      </c>
      <c r="R5122" s="8">
        <f>IF(Q5122&lt;&gt;0,Q5122+H5122+L5122,0)</f>
        <v/>
      </c>
      <c r="S5122" s="9">
        <f>VLOOKUP(OPERAC[[#This Row],[especie]],[1]!ESPECIES[#Data],9,FALSE)</f>
        <v/>
      </c>
    </row>
    <row r="5123">
      <c r="A5123" s="4" t="n">
        <v>22407</v>
      </c>
      <c r="B5123" s="5" t="n">
        <v>44608</v>
      </c>
      <c r="C5123" s="13" t="inlineStr">
        <is>
          <t>VTA</t>
        </is>
      </c>
      <c r="D5123" s="13" t="n">
        <v>32</v>
      </c>
      <c r="E5123" s="10">
        <f>IF(D5123&gt;0,VLOOKUP(OPERAC[[#This Row],[COD CART]],[1]!MatrizCortoLargoCyl[#All],3,0),"")</f>
        <v/>
      </c>
      <c r="F5123" s="13" t="inlineStr">
        <is>
          <t>DDD/CYL/17,00/01-04-22</t>
        </is>
      </c>
      <c r="G5123" s="6" t="n">
        <v>100</v>
      </c>
      <c r="H5123" s="6">
        <f>-1629.4234+19.7+16.45</f>
        <v/>
      </c>
      <c r="I5123" s="7">
        <f>-H5123/G5123</f>
        <v/>
      </c>
      <c r="J5123" s="11" t="n">
        <v>44649</v>
      </c>
      <c r="K5123" s="6" t="n">
        <v>100</v>
      </c>
      <c r="L5123" s="6" t="n">
        <v>1661.98</v>
      </c>
      <c r="M5123" s="7">
        <f>IF(N5123=0,+L5123+H5123,0)</f>
        <v/>
      </c>
      <c r="N5123" s="7">
        <f>IF((+G5123-K5123)=0,0,+G5123-K5123)</f>
        <v/>
      </c>
      <c r="O5123" s="7">
        <f>IF(N5123=0,0,(L5123+H5123)/-N5123)</f>
        <v/>
      </c>
      <c r="P5123" s="7">
        <f>VLOOKUP(OPERAC[[#This Row],[especie]],[1]!ESPECIES[#All],6,0)</f>
        <v/>
      </c>
      <c r="Q5123" s="7">
        <f>IF(N5123&lt;&gt;0,P5123*N5123,0)</f>
        <v/>
      </c>
      <c r="R5123" s="8">
        <f>IF(Q5123&lt;&gt;0,Q5123+H5123+L5123,0)</f>
        <v/>
      </c>
      <c r="S5123" s="9">
        <f>VLOOKUP(OPERAC[[#This Row],[especie]],[1]!ESPECIES[#Data],9,FALSE)</f>
        <v/>
      </c>
    </row>
    <row r="5124">
      <c r="A5124" s="4" t="n">
        <v>22433</v>
      </c>
      <c r="B5124" s="5" t="n">
        <v>44608</v>
      </c>
      <c r="C5124" s="13" t="inlineStr">
        <is>
          <t>VTA</t>
        </is>
      </c>
      <c r="D5124" s="13" t="n">
        <v>32</v>
      </c>
      <c r="E5124" s="10">
        <f>IF(D5124&gt;0,VLOOKUP(OPERAC[[#This Row],[COD CART]],[1]!MatrizCortoLargoCyl[#All],3,0),"")</f>
        <v/>
      </c>
      <c r="F5124" s="13" t="inlineStr">
        <is>
          <t>DDD/CYL/17,00/01-04-22</t>
        </is>
      </c>
      <c r="G5124" s="6" t="n">
        <v>100</v>
      </c>
      <c r="H5124" s="6">
        <f>-1629.4234+19.7+16.45</f>
        <v/>
      </c>
      <c r="I5124" s="7">
        <f>-H5124/G5124</f>
        <v/>
      </c>
      <c r="J5124" s="11" t="n">
        <v>44649</v>
      </c>
      <c r="K5124" s="6" t="n">
        <v>100</v>
      </c>
      <c r="L5124" s="6" t="n">
        <v>1661.98</v>
      </c>
      <c r="M5124" s="7">
        <f>IF(N5124=0,+L5124+H5124,0)</f>
        <v/>
      </c>
      <c r="N5124" s="7">
        <f>IF((+G5124-K5124)=0,0,+G5124-K5124)</f>
        <v/>
      </c>
      <c r="O5124" s="7">
        <f>IF(N5124=0,0,(L5124+H5124)/-N5124)</f>
        <v/>
      </c>
      <c r="P5124" s="7">
        <f>VLOOKUP(OPERAC[[#This Row],[especie]],[1]!ESPECIES[#All],6,0)</f>
        <v/>
      </c>
      <c r="Q5124" s="7">
        <f>IF(N5124&lt;&gt;0,P5124*N5124,0)</f>
        <v/>
      </c>
      <c r="R5124" s="8">
        <f>IF(Q5124&lt;&gt;0,Q5124+H5124+L5124,0)</f>
        <v/>
      </c>
      <c r="S5124" s="9">
        <f>VLOOKUP(OPERAC[[#This Row],[especie]],[1]!ESPECIES[#Data],9,FALSE)</f>
        <v/>
      </c>
    </row>
    <row r="5125">
      <c r="A5125" s="4" t="n">
        <v>19867</v>
      </c>
      <c r="B5125" s="5" t="n">
        <v>44671</v>
      </c>
      <c r="C5125" s="13" t="inlineStr">
        <is>
          <t>VTA</t>
        </is>
      </c>
      <c r="D5125" s="13" t="n">
        <v>42</v>
      </c>
      <c r="E5125" s="10">
        <f>IF(D5125&gt;0,VLOOKUP(OPERAC[[#This Row],[COD CART]],[1]!MatrizCortoLargoCyl[#All],3,0),"")</f>
        <v/>
      </c>
      <c r="F5125" s="13" t="inlineStr">
        <is>
          <t>TLT</t>
        </is>
      </c>
      <c r="G5125" s="6" t="n">
        <v>13</v>
      </c>
      <c r="H5125" s="6" t="n">
        <v>-1593.319065</v>
      </c>
      <c r="I5125" s="7">
        <f>-H5125/G5125</f>
        <v/>
      </c>
      <c r="J5125" s="11" t="n"/>
      <c r="K5125" s="6" t="n"/>
      <c r="L5125" s="6" t="n"/>
      <c r="M5125" s="7">
        <f>IF(N5125=0,+L5125+H5125,0)</f>
        <v/>
      </c>
      <c r="N5125" s="7">
        <f>IF((+G5125-K5125)=0,0,+G5125-K5125)</f>
        <v/>
      </c>
      <c r="O5125" s="7">
        <f>IF(N5125=0,0,(L5125+H5125)/-N5125)</f>
        <v/>
      </c>
      <c r="P5125" s="7">
        <f>VLOOKUP(OPERAC[[#This Row],[especie]],[1]!ESPECIES[#All],6,0)</f>
        <v/>
      </c>
      <c r="Q5125" s="7">
        <f>IF(N5125&lt;&gt;0,P5125*N5125,0)</f>
        <v/>
      </c>
      <c r="R5125" s="8">
        <f>IF(Q5125&lt;&gt;0,Q5125+H5125+L5125,0)</f>
        <v/>
      </c>
      <c r="S5125" s="9">
        <f>VLOOKUP(OPERAC[[#This Row],[especie]],[1]!ESPECIES[#Data],9,FALSE)</f>
        <v/>
      </c>
    </row>
    <row r="5126">
      <c r="A5126" s="4" t="n">
        <v>7493</v>
      </c>
      <c r="B5126" s="5" t="n">
        <v>44648</v>
      </c>
      <c r="C5126" s="13" t="inlineStr">
        <is>
          <t>VTA</t>
        </is>
      </c>
      <c r="D5126" s="13" t="n">
        <v>32</v>
      </c>
      <c r="E5126" s="10">
        <f>IF(D5126&gt;0,VLOOKUP(OPERAC[[#This Row],[COD CART]],[1]!MatrizCortoLargoCyl[#All],3,0),"")</f>
        <v/>
      </c>
      <c r="F5126" s="13" t="inlineStr">
        <is>
          <t>F/CYL/16,00/15-07-22</t>
        </is>
      </c>
      <c r="G5126" s="6" t="n">
        <v>100</v>
      </c>
      <c r="H5126" s="6">
        <f>-1616.534+11.898+10.907</f>
        <v/>
      </c>
      <c r="I5126" s="7">
        <f>-H5126/G5126</f>
        <v/>
      </c>
      <c r="J5126" s="11" t="n"/>
      <c r="K5126" s="6" t="n"/>
      <c r="L5126" s="6" t="n"/>
      <c r="M5126" s="7">
        <f>IF(N5126=0,+L5126+H5126,0)</f>
        <v/>
      </c>
      <c r="N5126" s="7">
        <f>IF((+G5126-K5126)=0,0,+G5126-K5126)</f>
        <v/>
      </c>
      <c r="O5126" s="7">
        <f>IF(N5126=0,0,(L5126+H5126)/-N5126)</f>
        <v/>
      </c>
      <c r="P5126" s="7">
        <f>VLOOKUP(OPERAC[[#This Row],[especie]],[1]!ESPECIES[#All],6,0)</f>
        <v/>
      </c>
      <c r="Q5126" s="7">
        <f>IF(N5126&lt;&gt;0,P5126*N5126,0)</f>
        <v/>
      </c>
      <c r="R5126" s="8">
        <f>IF(Q5126&lt;&gt;0,Q5126+H5126+L5126,0)</f>
        <v/>
      </c>
      <c r="S5126" s="9">
        <f>VLOOKUP(OPERAC[[#This Row],[especie]],[1]!ESPECIES[#Data],9,FALSE)</f>
        <v/>
      </c>
    </row>
    <row r="5127">
      <c r="A5127" s="4" t="n">
        <v>22393</v>
      </c>
      <c r="B5127" s="5" t="n">
        <v>44670</v>
      </c>
      <c r="C5127" s="13" t="inlineStr">
        <is>
          <t>VTA</t>
        </is>
      </c>
      <c r="D5127" s="13" t="n">
        <v>41</v>
      </c>
      <c r="E5127" s="10">
        <f>IF(D5127&gt;0,VLOOKUP(OPERAC[[#This Row],[COD CART]],[1]!MatrizCortoLargoCyl[#All],3,0),"")</f>
        <v/>
      </c>
      <c r="F5127" s="13" t="inlineStr">
        <is>
          <t>HPE/CYL/17,00/17-06-22</t>
        </is>
      </c>
      <c r="G5127" s="6" t="n">
        <v>100</v>
      </c>
      <c r="H5127" s="6">
        <f>-1613.923+19.87</f>
        <v/>
      </c>
      <c r="I5127" s="7">
        <f>-H5127/G5127</f>
        <v/>
      </c>
      <c r="J5127" s="11" t="n"/>
      <c r="K5127" s="6" t="n"/>
      <c r="L5127" s="6" t="n"/>
      <c r="M5127" s="7">
        <f>IF(N5127=0,+L5127+H5127,0)</f>
        <v/>
      </c>
      <c r="N5127" s="7">
        <f>IF((+G5127-K5127)=0,0,+G5127-K5127)</f>
        <v/>
      </c>
      <c r="O5127" s="7">
        <f>IF(N5127=0,0,(L5127+H5127)/-N5127)</f>
        <v/>
      </c>
      <c r="P5127" s="7">
        <f>VLOOKUP(OPERAC[[#This Row],[especie]],[1]!ESPECIES[#All],6,0)</f>
        <v/>
      </c>
      <c r="Q5127" s="7">
        <f>IF(N5127&lt;&gt;0,P5127*N5127,0)</f>
        <v/>
      </c>
      <c r="R5127" s="8">
        <f>IF(Q5127&lt;&gt;0,Q5127+H5127+L5127,0)</f>
        <v/>
      </c>
      <c r="S5127" s="9">
        <f>VLOOKUP(OPERAC[[#This Row],[especie]],[1]!ESPECIES[#Data],9,FALSE)</f>
        <v/>
      </c>
    </row>
    <row r="5128">
      <c r="A5128" s="4" t="n">
        <v>15189</v>
      </c>
      <c r="B5128" s="5" t="n">
        <v>44651</v>
      </c>
      <c r="C5128" s="13" t="inlineStr">
        <is>
          <t>VTA</t>
        </is>
      </c>
      <c r="D5128" s="13" t="n">
        <v>42</v>
      </c>
      <c r="E5128" s="10">
        <f>IF(D5128&gt;0,VLOOKUP(OPERAC[[#This Row],[COD CART]],[1]!MatrizCortoLargoCyl[#All],3,0),"")</f>
        <v/>
      </c>
      <c r="F5128" s="13" t="inlineStr">
        <is>
          <t>AMD</t>
        </is>
      </c>
      <c r="G5128" s="6" t="n">
        <v>14</v>
      </c>
      <c r="H5128" s="6" t="n">
        <v>-1594.58488</v>
      </c>
      <c r="I5128" s="7">
        <f>-H5128/G5128</f>
        <v/>
      </c>
      <c r="J5128" s="11" t="n">
        <v>44693</v>
      </c>
      <c r="K5128" s="6">
        <f>+OPERAC[[#This Row],[cantidad]]</f>
        <v/>
      </c>
      <c r="L5128" s="6">
        <f>+OPERAC[[#This Row],[cantidad venta]]*85.26</f>
        <v/>
      </c>
      <c r="M5128" s="7">
        <f>IF(N5128=0,+L5128+H5128,0)</f>
        <v/>
      </c>
      <c r="N5128" s="7">
        <f>IF((+G5128-K5128)=0,0,+G5128-K5128)</f>
        <v/>
      </c>
      <c r="O5128" s="7">
        <f>IF(N5128=0,0,(L5128+H5128)/-N5128)</f>
        <v/>
      </c>
      <c r="P5128" s="7">
        <f>VLOOKUP(OPERAC[[#This Row],[especie]],[1]!ESPECIES[#All],6,0)</f>
        <v/>
      </c>
      <c r="Q5128" s="7">
        <f>IF(N5128&lt;&gt;0,P5128*N5128,0)</f>
        <v/>
      </c>
      <c r="R5128" s="8">
        <f>IF(Q5128&lt;&gt;0,Q5128+H5128+L5128,0)</f>
        <v/>
      </c>
      <c r="S5128" s="9">
        <f>VLOOKUP(OPERAC[[#This Row],[especie]],[1]!ESPECIES[#Data],9,FALSE)</f>
        <v/>
      </c>
    </row>
    <row r="5129">
      <c r="A5129" s="4" t="n">
        <v>15195</v>
      </c>
      <c r="B5129" s="5" t="n">
        <v>44651</v>
      </c>
      <c r="C5129" s="13" t="inlineStr">
        <is>
          <t>VTA</t>
        </is>
      </c>
      <c r="D5129" s="13" t="n">
        <v>42</v>
      </c>
      <c r="E5129" s="10">
        <f>IF(D5129&gt;0,VLOOKUP(OPERAC[[#This Row],[COD CART]],[1]!MatrizCortoLargoCyl[#All],3,0),"")</f>
        <v/>
      </c>
      <c r="F5129" s="13" t="inlineStr">
        <is>
          <t>AMD</t>
        </is>
      </c>
      <c r="G5129" s="6" t="n">
        <v>14</v>
      </c>
      <c r="H5129" s="6" t="n">
        <v>-1594.58488</v>
      </c>
      <c r="I5129" s="7">
        <f>-H5129/G5129</f>
        <v/>
      </c>
      <c r="J5129" s="11" t="n">
        <v>44693</v>
      </c>
      <c r="K5129" s="6">
        <f>+OPERAC[[#This Row],[cantidad]]</f>
        <v/>
      </c>
      <c r="L5129" s="6">
        <f>+OPERAC[[#This Row],[cantidad venta]]*85.26</f>
        <v/>
      </c>
      <c r="M5129" s="7">
        <f>IF(N5129=0,+L5129+H5129,0)</f>
        <v/>
      </c>
      <c r="N5129" s="7">
        <f>IF((+G5129-K5129)=0,0,+G5129-K5129)</f>
        <v/>
      </c>
      <c r="O5129" s="7">
        <f>IF(N5129=0,0,(L5129+H5129)/-N5129)</f>
        <v/>
      </c>
      <c r="P5129" s="7">
        <f>VLOOKUP(OPERAC[[#This Row],[especie]],[1]!ESPECIES[#All],6,0)</f>
        <v/>
      </c>
      <c r="Q5129" s="7">
        <f>IF(N5129&lt;&gt;0,P5129*N5129,0)</f>
        <v/>
      </c>
      <c r="R5129" s="8">
        <f>IF(Q5129&lt;&gt;0,Q5129+H5129+L5129,0)</f>
        <v/>
      </c>
      <c r="S5129" s="9">
        <f>VLOOKUP(OPERAC[[#This Row],[especie]],[1]!ESPECIES[#Data],9,FALSE)</f>
        <v/>
      </c>
    </row>
    <row r="5130">
      <c r="A5130" s="4" t="n">
        <v>16795</v>
      </c>
      <c r="B5130" s="5" t="n">
        <v>44651</v>
      </c>
      <c r="C5130" s="13" t="inlineStr">
        <is>
          <t>VTA</t>
        </is>
      </c>
      <c r="D5130" s="13" t="n">
        <v>42</v>
      </c>
      <c r="E5130" s="10">
        <f>IF(D5130&gt;0,VLOOKUP(OPERAC[[#This Row],[COD CART]],[1]!MatrizCortoLargoCyl[#All],3,0),"")</f>
        <v/>
      </c>
      <c r="F5130" s="13" t="inlineStr">
        <is>
          <t>AMD</t>
        </is>
      </c>
      <c r="G5130" s="6" t="n">
        <v>14</v>
      </c>
      <c r="H5130" s="6" t="n">
        <v>-1594.58488</v>
      </c>
      <c r="I5130" s="7">
        <f>-H5130/G5130</f>
        <v/>
      </c>
      <c r="J5130" s="11" t="n">
        <v>44693</v>
      </c>
      <c r="K5130" s="6">
        <f>+OPERAC[[#This Row],[cantidad]]</f>
        <v/>
      </c>
      <c r="L5130" s="6">
        <f>+OPERAC[[#This Row],[cantidad venta]]*85.26</f>
        <v/>
      </c>
      <c r="M5130" s="7">
        <f>IF(N5130=0,+L5130+H5130,0)</f>
        <v/>
      </c>
      <c r="N5130" s="7">
        <f>IF((+G5130-K5130)=0,0,+G5130-K5130)</f>
        <v/>
      </c>
      <c r="O5130" s="7">
        <f>IF(N5130=0,0,(L5130+H5130)/-N5130)</f>
        <v/>
      </c>
      <c r="P5130" s="7">
        <f>VLOOKUP(OPERAC[[#This Row],[especie]],[1]!ESPECIES[#All],6,0)</f>
        <v/>
      </c>
      <c r="Q5130" s="7">
        <f>IF(N5130&lt;&gt;0,P5130*N5130,0)</f>
        <v/>
      </c>
      <c r="R5130" s="8">
        <f>IF(Q5130&lt;&gt;0,Q5130+H5130+L5130,0)</f>
        <v/>
      </c>
      <c r="S5130" s="9">
        <f>VLOOKUP(OPERAC[[#This Row],[especie]],[1]!ESPECIES[#Data],9,FALSE)</f>
        <v/>
      </c>
    </row>
    <row r="5131">
      <c r="A5131" s="4" t="n">
        <v>22393</v>
      </c>
      <c r="B5131" s="5" t="n">
        <v>44460</v>
      </c>
      <c r="C5131" s="13" t="inlineStr">
        <is>
          <t>VTA</t>
        </is>
      </c>
      <c r="D5131" s="13" t="n">
        <v>41</v>
      </c>
      <c r="E5131" s="10">
        <f>IF(D5131&gt;0,VLOOKUP(OPERAC[[#This Row],[COD CART]],[1]!MatrizCortoLargoCyl[#All],3,0),"")</f>
        <v/>
      </c>
      <c r="F5131" s="13" t="inlineStr">
        <is>
          <t>DOLE</t>
        </is>
      </c>
      <c r="G5131" s="6" t="n">
        <v>100</v>
      </c>
      <c r="H5131" s="6" t="n">
        <v>-1595.62</v>
      </c>
      <c r="I5131" s="7">
        <f>-H5131/G5131</f>
        <v/>
      </c>
      <c r="J5131" s="11" t="n">
        <v>44634</v>
      </c>
      <c r="K5131" s="6" t="n">
        <v>100</v>
      </c>
      <c r="L5131" s="6">
        <f>+OPERAC[[#This Row],[cantidad venta]]*13.21</f>
        <v/>
      </c>
      <c r="M5131" s="7">
        <f>IF(N5131=0,+L5131+H5131,0)</f>
        <v/>
      </c>
      <c r="N5131" s="7">
        <f>IF((+G5131-K5131)=0,0,+G5131-K5131)</f>
        <v/>
      </c>
      <c r="O5131" s="7">
        <f>IF(N5131=0,0,(L5131+H5131)/-N5131)</f>
        <v/>
      </c>
      <c r="P5131" s="7">
        <f>VLOOKUP(OPERAC[[#This Row],[especie]],[1]!ESPECIES[#All],6,0)</f>
        <v/>
      </c>
      <c r="Q5131" s="7">
        <f>IF(N5131&lt;&gt;0,P5131*N5131,0)</f>
        <v/>
      </c>
      <c r="R5131" s="8">
        <f>IF(Q5131&lt;&gt;0,Q5131+H5131+L5131,0)</f>
        <v/>
      </c>
      <c r="S5131" s="9">
        <f>VLOOKUP(OPERAC[[#This Row],[especie]],[1]!ESPECIES[#Data],9,FALSE)</f>
        <v/>
      </c>
    </row>
    <row r="5132">
      <c r="A5132" s="4" t="n">
        <v>22393</v>
      </c>
      <c r="B5132" s="5" t="n">
        <v>44446</v>
      </c>
      <c r="C5132" s="13" t="inlineStr">
        <is>
          <t>VTA</t>
        </is>
      </c>
      <c r="D5132" s="13" t="n">
        <v>41</v>
      </c>
      <c r="E5132" s="10">
        <f>IF(D5132&gt;0,VLOOKUP(OPERAC[[#This Row],[COD CART]],[1]!MatrizCortoLargoCyl[#All],3,0),"")</f>
        <v/>
      </c>
      <c r="F5132" s="13" t="inlineStr">
        <is>
          <t>DOLE</t>
        </is>
      </c>
      <c r="G5132" s="6" t="n">
        <v>100</v>
      </c>
      <c r="H5132" s="6" t="n">
        <v>-1595.656</v>
      </c>
      <c r="I5132" s="7">
        <f>-H5132/G5132</f>
        <v/>
      </c>
      <c r="J5132" s="11" t="n">
        <v>44634</v>
      </c>
      <c r="K5132" s="6" t="n">
        <v>100</v>
      </c>
      <c r="L5132" s="6">
        <f>+OPERAC[[#This Row],[cantidad venta]]*13.21</f>
        <v/>
      </c>
      <c r="M5132" s="7">
        <f>IF(N5132=0,+L5132+H5132,0)</f>
        <v/>
      </c>
      <c r="N5132" s="7">
        <f>IF((+G5132-K5132)=0,0,+G5132-K5132)</f>
        <v/>
      </c>
      <c r="O5132" s="7">
        <f>IF(N5132=0,0,(L5132+H5132)/-N5132)</f>
        <v/>
      </c>
      <c r="P5132" s="7">
        <f>VLOOKUP(OPERAC[[#This Row],[especie]],[1]!ESPECIES[#All],6,0)</f>
        <v/>
      </c>
      <c r="Q5132" s="7">
        <f>IF(N5132&lt;&gt;0,P5132*N5132,0)</f>
        <v/>
      </c>
      <c r="R5132" s="8">
        <f>IF(Q5132&lt;&gt;0,Q5132+H5132+L5132,0)</f>
        <v/>
      </c>
      <c r="S5132" s="9">
        <f>VLOOKUP(OPERAC[[#This Row],[especie]],[1]!ESPECIES[#Data],9,FALSE)</f>
        <v/>
      </c>
    </row>
    <row r="5133">
      <c r="A5133" s="4" t="n">
        <v>22433</v>
      </c>
      <c r="B5133" s="5" t="n">
        <v>44648</v>
      </c>
      <c r="C5133" s="13" t="inlineStr">
        <is>
          <t>VTA</t>
        </is>
      </c>
      <c r="D5133" s="13" t="n">
        <v>32</v>
      </c>
      <c r="E5133" s="10">
        <f>IF(D5133&gt;0,VLOOKUP(OPERAC[[#This Row],[COD CART]],[1]!MatrizCortoLargoCyl[#All],3,0),"")</f>
        <v/>
      </c>
      <c r="F5133" s="13" t="inlineStr">
        <is>
          <t>F/CYL/18,00/16-09-22</t>
        </is>
      </c>
      <c r="G5133" s="6" t="n">
        <v>100</v>
      </c>
      <c r="H5133" s="6">
        <f>-1616.534+19.88</f>
        <v/>
      </c>
      <c r="I5133" s="7">
        <f>-H5133/G5133</f>
        <v/>
      </c>
      <c r="J5133" s="11" t="n"/>
      <c r="K5133" s="6" t="n"/>
      <c r="L5133" s="6" t="n"/>
      <c r="M5133" s="7">
        <f>IF(N5133=0,+L5133+H5133,0)</f>
        <v/>
      </c>
      <c r="N5133" s="7">
        <f>IF((+G5133-K5133)=0,0,+G5133-K5133)</f>
        <v/>
      </c>
      <c r="O5133" s="7">
        <f>IF(N5133=0,0,(L5133+H5133)/-N5133)</f>
        <v/>
      </c>
      <c r="P5133" s="7">
        <f>VLOOKUP(OPERAC[[#This Row],[especie]],[1]!ESPECIES[#All],6,0)</f>
        <v/>
      </c>
      <c r="Q5133" s="7">
        <f>IF(N5133&lt;&gt;0,P5133*N5133,0)</f>
        <v/>
      </c>
      <c r="R5133" s="8">
        <f>IF(Q5133&lt;&gt;0,Q5133+H5133+L5133,0)</f>
        <v/>
      </c>
      <c r="S5133" s="9">
        <f>VLOOKUP(OPERAC[[#This Row],[especie]],[1]!ESPECIES[#Data],9,FALSE)</f>
        <v/>
      </c>
    </row>
    <row r="5134">
      <c r="A5134" s="4" t="n">
        <v>19867</v>
      </c>
      <c r="B5134" s="5" t="n">
        <v>44648</v>
      </c>
      <c r="C5134" s="13" t="inlineStr">
        <is>
          <t>VTA</t>
        </is>
      </c>
      <c r="D5134" s="13" t="n">
        <v>32</v>
      </c>
      <c r="E5134" s="10">
        <f>IF(D5134&gt;0,VLOOKUP(OPERAC[[#This Row],[COD CART]],[1]!MatrizCortoLargoCyl[#All],3,0),"")</f>
        <v/>
      </c>
      <c r="F5134" s="13" t="inlineStr">
        <is>
          <t>F/CYL/17,00/17-06-22</t>
        </is>
      </c>
      <c r="G5134" s="6" t="n">
        <v>100</v>
      </c>
      <c r="H5134" s="6">
        <f>-1616.534+17.847</f>
        <v/>
      </c>
      <c r="I5134" s="7">
        <f>-H5134/G5134</f>
        <v/>
      </c>
      <c r="J5134" s="11" t="n"/>
      <c r="K5134" s="6" t="n"/>
      <c r="L5134" s="6" t="n"/>
      <c r="M5134" s="7">
        <f>IF(N5134=0,+L5134+H5134,0)</f>
        <v/>
      </c>
      <c r="N5134" s="7">
        <f>IF((+G5134-K5134)=0,0,+G5134-K5134)</f>
        <v/>
      </c>
      <c r="O5134" s="7">
        <f>IF(N5134=0,0,(L5134+H5134)/-N5134)</f>
        <v/>
      </c>
      <c r="P5134" s="7">
        <f>VLOOKUP(OPERAC[[#This Row],[especie]],[1]!ESPECIES[#All],6,0)</f>
        <v/>
      </c>
      <c r="Q5134" s="7">
        <f>IF(N5134&lt;&gt;0,P5134*N5134,0)</f>
        <v/>
      </c>
      <c r="R5134" s="8">
        <f>IF(Q5134&lt;&gt;0,Q5134+H5134+L5134,0)</f>
        <v/>
      </c>
      <c r="S5134" s="9">
        <f>VLOOKUP(OPERAC[[#This Row],[especie]],[1]!ESPECIES[#Data],9,FALSE)</f>
        <v/>
      </c>
    </row>
    <row r="5135">
      <c r="A5135" s="4" t="n">
        <v>16783</v>
      </c>
      <c r="B5135" s="5" t="n">
        <v>44652</v>
      </c>
      <c r="C5135" s="13" t="inlineStr">
        <is>
          <t>VTA</t>
        </is>
      </c>
      <c r="D5135" s="13" t="n">
        <v>42</v>
      </c>
      <c r="E5135" s="10">
        <f>IF(D5135&gt;0,VLOOKUP(OPERAC[[#This Row],[COD CART]],[1]!MatrizCortoLargoCyl[#All],3,0),"")</f>
        <v/>
      </c>
      <c r="F5135" s="13" t="inlineStr">
        <is>
          <t>GBTC</t>
        </is>
      </c>
      <c r="G5135" s="6" t="n">
        <v>50</v>
      </c>
      <c r="H5135" s="6" t="n">
        <v>-1599.12</v>
      </c>
      <c r="I5135" s="7">
        <f>-H5135/G5135</f>
        <v/>
      </c>
      <c r="J5135" s="11" t="n">
        <v>44662</v>
      </c>
      <c r="K5135" s="6">
        <f>+OPERAC[[#This Row],[cantidad]]</f>
        <v/>
      </c>
      <c r="L5135" s="6">
        <f>27.99*OPERAC[[#This Row],[cantidad venta]]</f>
        <v/>
      </c>
      <c r="M5135" s="7">
        <f>IF(N5135=0,+L5135+H5135,0)</f>
        <v/>
      </c>
      <c r="N5135" s="7">
        <f>IF((+G5135-K5135)=0,0,+G5135-K5135)</f>
        <v/>
      </c>
      <c r="O5135" s="7">
        <f>IF(N5135=0,0,(L5135+H5135)/-N5135)</f>
        <v/>
      </c>
      <c r="P5135" s="7">
        <f>VLOOKUP(OPERAC[[#This Row],[especie]],[1]!ESPECIES[#All],6,0)</f>
        <v/>
      </c>
      <c r="Q5135" s="7">
        <f>IF(N5135&lt;&gt;0,P5135*N5135,0)</f>
        <v/>
      </c>
      <c r="R5135" s="8">
        <f>IF(Q5135&lt;&gt;0,Q5135+H5135+L5135,0)</f>
        <v/>
      </c>
      <c r="S5135" s="9">
        <f>VLOOKUP(OPERAC[[#This Row],[especie]],[1]!ESPECIES[#Data],9,FALSE)</f>
        <v/>
      </c>
    </row>
    <row r="5136">
      <c r="A5136" s="4" t="n">
        <v>9195</v>
      </c>
      <c r="B5136" s="5" t="n">
        <v>44523</v>
      </c>
      <c r="C5136" s="13" t="inlineStr">
        <is>
          <t>VTA</t>
        </is>
      </c>
      <c r="D5136" s="13" t="n">
        <v>32</v>
      </c>
      <c r="E5136" s="10">
        <f>IF(D5136&gt;0,VLOOKUP(OPERAC[[#This Row],[COD CART]],[1]!MatrizCortoLargoCyl[#All],3,0),"")</f>
        <v/>
      </c>
      <c r="F5136" s="13" t="inlineStr">
        <is>
          <t>GMBL</t>
        </is>
      </c>
      <c r="G5136" s="6" t="n">
        <v>400</v>
      </c>
      <c r="H5136" s="6">
        <f>-1637.772+36.427</f>
        <v/>
      </c>
      <c r="I5136" s="7">
        <f>-H5136/G5136</f>
        <v/>
      </c>
      <c r="J5136" s="11" t="n">
        <v>44641</v>
      </c>
      <c r="K5136" s="6" t="n">
        <v>400</v>
      </c>
      <c r="L5136" s="6" t="n">
        <v>314.798</v>
      </c>
      <c r="M5136" s="7">
        <f>IF(N5136=0,+L5136+H5136,0)</f>
        <v/>
      </c>
      <c r="N5136" s="7">
        <f>IF((+G5136-K5136)=0,0,+G5136-K5136)</f>
        <v/>
      </c>
      <c r="O5136" s="7">
        <f>IF(N5136=0,0,(L5136+H5136)/-N5136)</f>
        <v/>
      </c>
      <c r="P5136" s="7">
        <f>VLOOKUP(OPERAC[[#This Row],[especie]],[1]!ESPECIES[#All],6,0)</f>
        <v/>
      </c>
      <c r="Q5136" s="7">
        <f>IF(N5136&lt;&gt;0,P5136*N5136,0)</f>
        <v/>
      </c>
      <c r="R5136" s="8">
        <f>IF(Q5136&lt;&gt;0,Q5136+H5136+L5136,0)</f>
        <v/>
      </c>
      <c r="S5136" s="9">
        <f>VLOOKUP(OPERAC[[#This Row],[especie]],[1]!ESPECIES[#Data],9,FALSE)</f>
        <v/>
      </c>
    </row>
    <row r="5137">
      <c r="A5137" s="4" t="n">
        <v>19867</v>
      </c>
      <c r="B5137" s="5" t="n">
        <v>44643</v>
      </c>
      <c r="C5137" s="13" t="inlineStr">
        <is>
          <t>VTA</t>
        </is>
      </c>
      <c r="D5137" s="13" t="n">
        <v>42</v>
      </c>
      <c r="E5137" s="10">
        <f>IF(D5137&gt;0,VLOOKUP(OPERAC[[#This Row],[COD CART]],[1]!MatrizCortoLargoCyl[#All],3,0),"")</f>
        <v/>
      </c>
      <c r="F5137" s="13" t="inlineStr">
        <is>
          <t>SMH</t>
        </is>
      </c>
      <c r="G5137" s="6" t="n">
        <v>6</v>
      </c>
      <c r="H5137" s="6" t="n">
        <v>-1602.977388</v>
      </c>
      <c r="I5137" s="7">
        <f>-H5137/G5137</f>
        <v/>
      </c>
      <c r="J5137" s="11" t="n">
        <v>44663</v>
      </c>
      <c r="K5137" s="6">
        <f>+OPERAC[[#This Row],[cantidad]]</f>
        <v/>
      </c>
      <c r="L5137" s="6">
        <f>+OPERAC[[#This Row],[cantidad venta]]*238.066</f>
        <v/>
      </c>
      <c r="M5137" s="7">
        <f>IF(N5137=0,+L5137+H5137,0)</f>
        <v/>
      </c>
      <c r="N5137" s="7">
        <f>IF((+G5137-K5137)=0,0,+G5137-K5137)</f>
        <v/>
      </c>
      <c r="O5137" s="7">
        <f>IF(N5137=0,0,(L5137+H5137)/-N5137)</f>
        <v/>
      </c>
      <c r="P5137" s="7">
        <f>VLOOKUP(OPERAC[[#This Row],[especie]],[1]!ESPECIES[#All],6,0)</f>
        <v/>
      </c>
      <c r="Q5137" s="7">
        <f>IF(N5137&lt;&gt;0,P5137*N5137,0)</f>
        <v/>
      </c>
      <c r="R5137" s="8">
        <f>IF(Q5137&lt;&gt;0,Q5137+H5137+L5137,0)</f>
        <v/>
      </c>
      <c r="S5137" s="9">
        <f>VLOOKUP(OPERAC[[#This Row],[especie]],[1]!ESPECIES[#Data],9,FALSE)</f>
        <v/>
      </c>
    </row>
    <row r="5138">
      <c r="A5138" s="4" t="n">
        <v>16776</v>
      </c>
      <c r="B5138" s="5" t="n">
        <v>44630</v>
      </c>
      <c r="C5138" s="13" t="inlineStr">
        <is>
          <t>VTA</t>
        </is>
      </c>
      <c r="D5138" s="13" t="n">
        <v>32</v>
      </c>
      <c r="E5138" s="10">
        <f>IF(D5138&gt;0,VLOOKUP(OPERAC[[#This Row],[COD CART]],[1]!MatrizCortoLargoCyl[#All],3,0),"")</f>
        <v/>
      </c>
      <c r="F5138" s="13" t="inlineStr">
        <is>
          <t>F</t>
        </is>
      </c>
      <c r="G5138" s="6" t="n">
        <v>100</v>
      </c>
      <c r="H5138" s="6" t="n">
        <v>-1603</v>
      </c>
      <c r="I5138" s="7">
        <f>-H5138/G5138</f>
        <v/>
      </c>
      <c r="J5138" s="11" t="n"/>
      <c r="K5138" s="6" t="n"/>
      <c r="L5138" s="6" t="n"/>
      <c r="M5138" s="7">
        <f>IF(N5138=0,+L5138+H5138,0)</f>
        <v/>
      </c>
      <c r="N5138" s="7">
        <f>IF((+G5138-K5138)=0,0,+G5138-K5138)</f>
        <v/>
      </c>
      <c r="O5138" s="7">
        <f>IF(N5138=0,0,(L5138+H5138)/-N5138)</f>
        <v/>
      </c>
      <c r="P5138" s="7">
        <f>VLOOKUP(OPERAC[[#This Row],[especie]],[1]!ESPECIES[#All],6,0)</f>
        <v/>
      </c>
      <c r="Q5138" s="7">
        <f>IF(N5138&lt;&gt;0,P5138*N5138,0)</f>
        <v/>
      </c>
      <c r="R5138" s="8">
        <f>IF(Q5138&lt;&gt;0,Q5138+H5138+L5138,0)</f>
        <v/>
      </c>
      <c r="S5138" s="9">
        <f>VLOOKUP(OPERAC[[#This Row],[especie]],[1]!ESPECIES[#Data],9,FALSE)</f>
        <v/>
      </c>
    </row>
    <row r="5139">
      <c r="A5139" s="4" t="n">
        <v>2257</v>
      </c>
      <c r="B5139" s="5" t="n">
        <v>44487</v>
      </c>
      <c r="C5139" s="13" t="inlineStr">
        <is>
          <t>VTA</t>
        </is>
      </c>
      <c r="D5139" s="13" t="n">
        <v>40</v>
      </c>
      <c r="E5139" s="10">
        <f>IF(D5139&gt;0,VLOOKUP(OPERAC[[#This Row],[COD CART]],[1]!MatrizCortoLargoCyl[#All],3,0),"")</f>
        <v/>
      </c>
      <c r="F5139" s="13" t="inlineStr">
        <is>
          <t>MELI</t>
        </is>
      </c>
      <c r="G5139" s="6" t="n">
        <v>1</v>
      </c>
      <c r="H5139" s="6" t="n">
        <v>-1603.127</v>
      </c>
      <c r="I5139" s="7">
        <f>-H5139/G5139</f>
        <v/>
      </c>
      <c r="J5139" s="11" t="n">
        <v>44606</v>
      </c>
      <c r="K5139" s="6" t="n">
        <v>1</v>
      </c>
      <c r="L5139" s="6" t="n">
        <v>1073.609</v>
      </c>
      <c r="M5139" s="7">
        <f>IF(N5139=0,+L5139+H5139,0)</f>
        <v/>
      </c>
      <c r="N5139" s="7">
        <f>IF((+G5139-K5139)=0,0,+G5139-K5139)</f>
        <v/>
      </c>
      <c r="O5139" s="7">
        <f>IF(N5139=0,0,(L5139+H5139)/-N5139)</f>
        <v/>
      </c>
      <c r="P5139" s="7">
        <f>VLOOKUP(OPERAC[[#This Row],[especie]],[1]!ESPECIES[#All],6,0)</f>
        <v/>
      </c>
      <c r="Q5139" s="7">
        <f>IF(N5139&lt;&gt;0,P5139*N5139,0)</f>
        <v/>
      </c>
      <c r="R5139" s="8">
        <f>IF(Q5139&lt;&gt;0,Q5139+H5139+L5139,0)</f>
        <v/>
      </c>
      <c r="S5139" s="9">
        <f>VLOOKUP(OPERAC[[#This Row],[especie]],[1]!ESPECIES[#Data],9,FALSE)</f>
        <v/>
      </c>
    </row>
    <row r="5140">
      <c r="A5140" s="4" t="n">
        <v>6628</v>
      </c>
      <c r="B5140" s="5" t="n">
        <v>44487</v>
      </c>
      <c r="C5140" s="13" t="inlineStr">
        <is>
          <t>VTA</t>
        </is>
      </c>
      <c r="D5140" s="13" t="n">
        <v>40</v>
      </c>
      <c r="E5140" s="10">
        <f>IF(D5140&gt;0,VLOOKUP(OPERAC[[#This Row],[COD CART]],[1]!MatrizCortoLargoCyl[#All],3,0),"")</f>
        <v/>
      </c>
      <c r="F5140" s="13" t="inlineStr">
        <is>
          <t>MELI</t>
        </is>
      </c>
      <c r="G5140" s="6" t="n">
        <v>1</v>
      </c>
      <c r="H5140" s="6" t="n">
        <v>-1603.127</v>
      </c>
      <c r="I5140" s="7">
        <f>-H5140/G5140</f>
        <v/>
      </c>
      <c r="J5140" s="11" t="n">
        <v>44606</v>
      </c>
      <c r="K5140" s="6" t="n">
        <v>1</v>
      </c>
      <c r="L5140" s="6" t="n">
        <v>1073.609</v>
      </c>
      <c r="M5140" s="7">
        <f>IF(N5140=0,+L5140+H5140,0)</f>
        <v/>
      </c>
      <c r="N5140" s="7">
        <f>IF((+G5140-K5140)=0,0,+G5140-K5140)</f>
        <v/>
      </c>
      <c r="O5140" s="7">
        <f>IF(N5140=0,0,(L5140+H5140)/-N5140)</f>
        <v/>
      </c>
      <c r="P5140" s="7">
        <f>VLOOKUP(OPERAC[[#This Row],[especie]],[1]!ESPECIES[#All],6,0)</f>
        <v/>
      </c>
      <c r="Q5140" s="7">
        <f>IF(N5140&lt;&gt;0,P5140*N5140,0)</f>
        <v/>
      </c>
      <c r="R5140" s="8">
        <f>IF(Q5140&lt;&gt;0,Q5140+H5140+L5140,0)</f>
        <v/>
      </c>
      <c r="S5140" s="9">
        <f>VLOOKUP(OPERAC[[#This Row],[especie]],[1]!ESPECIES[#Data],9,FALSE)</f>
        <v/>
      </c>
    </row>
    <row r="5141">
      <c r="A5141" s="4" t="n">
        <v>12655</v>
      </c>
      <c r="B5141" s="5" t="n">
        <v>44487</v>
      </c>
      <c r="C5141" s="13" t="inlineStr">
        <is>
          <t>VTA</t>
        </is>
      </c>
      <c r="D5141" s="13" t="n">
        <v>40</v>
      </c>
      <c r="E5141" s="10">
        <f>IF(D5141&gt;0,VLOOKUP(OPERAC[[#This Row],[COD CART]],[1]!MatrizCortoLargoCyl[#All],3,0),"")</f>
        <v/>
      </c>
      <c r="F5141" s="13" t="inlineStr">
        <is>
          <t>MELI</t>
        </is>
      </c>
      <c r="G5141" s="6" t="n">
        <v>1</v>
      </c>
      <c r="H5141" s="6" t="n">
        <v>-1603.127</v>
      </c>
      <c r="I5141" s="7">
        <f>-H5141/G5141</f>
        <v/>
      </c>
      <c r="J5141" s="11" t="n">
        <v>44606</v>
      </c>
      <c r="K5141" s="6" t="n">
        <v>1</v>
      </c>
      <c r="L5141" s="6" t="n">
        <v>1073.609</v>
      </c>
      <c r="M5141" s="7">
        <f>IF(N5141=0,+L5141+H5141,0)</f>
        <v/>
      </c>
      <c r="N5141" s="7">
        <f>IF((+G5141-K5141)=0,0,+G5141-K5141)</f>
        <v/>
      </c>
      <c r="O5141" s="7">
        <f>IF(N5141=0,0,(L5141+H5141)/-N5141)</f>
        <v/>
      </c>
      <c r="P5141" s="7">
        <f>VLOOKUP(OPERAC[[#This Row],[especie]],[1]!ESPECIES[#All],6,0)</f>
        <v/>
      </c>
      <c r="Q5141" s="7">
        <f>IF(N5141&lt;&gt;0,P5141*N5141,0)</f>
        <v/>
      </c>
      <c r="R5141" s="8">
        <f>IF(Q5141&lt;&gt;0,Q5141+H5141+L5141,0)</f>
        <v/>
      </c>
      <c r="S5141" s="9">
        <f>VLOOKUP(OPERAC[[#This Row],[especie]],[1]!ESPECIES[#Data],9,FALSE)</f>
        <v/>
      </c>
    </row>
    <row r="5142">
      <c r="A5142" s="4" t="n">
        <v>12672</v>
      </c>
      <c r="B5142" s="5" t="n">
        <v>44487</v>
      </c>
      <c r="C5142" s="13" t="inlineStr">
        <is>
          <t>VTA</t>
        </is>
      </c>
      <c r="D5142" s="13" t="n">
        <v>40</v>
      </c>
      <c r="E5142" s="10">
        <f>IF(D5142&gt;0,VLOOKUP(OPERAC[[#This Row],[COD CART]],[1]!MatrizCortoLargoCyl[#All],3,0),"")</f>
        <v/>
      </c>
      <c r="F5142" s="13" t="inlineStr">
        <is>
          <t>MELI</t>
        </is>
      </c>
      <c r="G5142" s="6" t="n">
        <v>1</v>
      </c>
      <c r="H5142" s="6" t="n">
        <v>-1603.127</v>
      </c>
      <c r="I5142" s="7">
        <f>-H5142/G5142</f>
        <v/>
      </c>
      <c r="J5142" s="11" t="n">
        <v>44606</v>
      </c>
      <c r="K5142" s="6" t="n">
        <v>1</v>
      </c>
      <c r="L5142" s="6" t="n">
        <v>1073.609</v>
      </c>
      <c r="M5142" s="7">
        <f>IF(N5142=0,+L5142+H5142,0)</f>
        <v/>
      </c>
      <c r="N5142" s="7">
        <f>IF((+G5142-K5142)=0,0,+G5142-K5142)</f>
        <v/>
      </c>
      <c r="O5142" s="7">
        <f>IF(N5142=0,0,(L5142+H5142)/-N5142)</f>
        <v/>
      </c>
      <c r="P5142" s="7">
        <f>VLOOKUP(OPERAC[[#This Row],[especie]],[1]!ESPECIES[#All],6,0)</f>
        <v/>
      </c>
      <c r="Q5142" s="7">
        <f>IF(N5142&lt;&gt;0,P5142*N5142,0)</f>
        <v/>
      </c>
      <c r="R5142" s="8">
        <f>IF(Q5142&lt;&gt;0,Q5142+H5142+L5142,0)</f>
        <v/>
      </c>
      <c r="S5142" s="9">
        <f>VLOOKUP(OPERAC[[#This Row],[especie]],[1]!ESPECIES[#Data],9,FALSE)</f>
        <v/>
      </c>
    </row>
    <row r="5143">
      <c r="A5143" s="4" t="n">
        <v>15194</v>
      </c>
      <c r="B5143" s="5" t="n">
        <v>44487</v>
      </c>
      <c r="C5143" s="13" t="inlineStr">
        <is>
          <t>VTA</t>
        </is>
      </c>
      <c r="D5143" s="13" t="n">
        <v>40</v>
      </c>
      <c r="E5143" s="10">
        <f>IF(D5143&gt;0,VLOOKUP(OPERAC[[#This Row],[COD CART]],[1]!MatrizCortoLargoCyl[#All],3,0),"")</f>
        <v/>
      </c>
      <c r="F5143" s="13" t="inlineStr">
        <is>
          <t>MELI</t>
        </is>
      </c>
      <c r="G5143" s="6" t="n">
        <v>1</v>
      </c>
      <c r="H5143" s="6" t="n">
        <v>-1603.127</v>
      </c>
      <c r="I5143" s="7">
        <f>-H5143/G5143</f>
        <v/>
      </c>
      <c r="J5143" s="11" t="n">
        <v>44606</v>
      </c>
      <c r="K5143" s="6" t="n">
        <v>1</v>
      </c>
      <c r="L5143" s="6" t="n">
        <v>1073.609</v>
      </c>
      <c r="M5143" s="7">
        <f>IF(N5143=0,+L5143+H5143,0)</f>
        <v/>
      </c>
      <c r="N5143" s="7">
        <f>IF((+G5143-K5143)=0,0,+G5143-K5143)</f>
        <v/>
      </c>
      <c r="O5143" s="7">
        <f>IF(N5143=0,0,(L5143+H5143)/-N5143)</f>
        <v/>
      </c>
      <c r="P5143" s="7">
        <f>VLOOKUP(OPERAC[[#This Row],[especie]],[1]!ESPECIES[#All],6,0)</f>
        <v/>
      </c>
      <c r="Q5143" s="7">
        <f>IF(N5143&lt;&gt;0,P5143*N5143,0)</f>
        <v/>
      </c>
      <c r="R5143" s="8">
        <f>IF(Q5143&lt;&gt;0,Q5143+H5143+L5143,0)</f>
        <v/>
      </c>
      <c r="S5143" s="9">
        <f>VLOOKUP(OPERAC[[#This Row],[especie]],[1]!ESPECIES[#Data],9,FALSE)</f>
        <v/>
      </c>
    </row>
    <row r="5144">
      <c r="A5144" s="4" t="n">
        <v>15195</v>
      </c>
      <c r="B5144" s="5" t="n">
        <v>44487</v>
      </c>
      <c r="C5144" s="13" t="inlineStr">
        <is>
          <t>VTA</t>
        </is>
      </c>
      <c r="D5144" s="13" t="n">
        <v>40</v>
      </c>
      <c r="E5144" s="10">
        <f>IF(D5144&gt;0,VLOOKUP(OPERAC[[#This Row],[COD CART]],[1]!MatrizCortoLargoCyl[#All],3,0),"")</f>
        <v/>
      </c>
      <c r="F5144" s="13" t="inlineStr">
        <is>
          <t>MELI</t>
        </is>
      </c>
      <c r="G5144" s="6" t="n">
        <v>1</v>
      </c>
      <c r="H5144" s="6" t="n">
        <v>-1603.127</v>
      </c>
      <c r="I5144" s="7">
        <f>-H5144/G5144</f>
        <v/>
      </c>
      <c r="J5144" s="11" t="n">
        <v>44606</v>
      </c>
      <c r="K5144" s="6" t="n">
        <v>1</v>
      </c>
      <c r="L5144" s="6" t="n">
        <v>1073.609</v>
      </c>
      <c r="M5144" s="7">
        <f>IF(N5144=0,+L5144+H5144,0)</f>
        <v/>
      </c>
      <c r="N5144" s="7">
        <f>IF((+G5144-K5144)=0,0,+G5144-K5144)</f>
        <v/>
      </c>
      <c r="O5144" s="7">
        <f>IF(N5144=0,0,(L5144+H5144)/-N5144)</f>
        <v/>
      </c>
      <c r="P5144" s="7">
        <f>VLOOKUP(OPERAC[[#This Row],[especie]],[1]!ESPECIES[#All],6,0)</f>
        <v/>
      </c>
      <c r="Q5144" s="7">
        <f>IF(N5144&lt;&gt;0,P5144*N5144,0)</f>
        <v/>
      </c>
      <c r="R5144" s="8">
        <f>IF(Q5144&lt;&gt;0,Q5144+H5144+L5144,0)</f>
        <v/>
      </c>
      <c r="S5144" s="9">
        <f>VLOOKUP(OPERAC[[#This Row],[especie]],[1]!ESPECIES[#Data],9,FALSE)</f>
        <v/>
      </c>
    </row>
    <row r="5145">
      <c r="A5145" s="4" t="n">
        <v>12022</v>
      </c>
      <c r="B5145" s="5" t="n">
        <v>44652</v>
      </c>
      <c r="C5145" s="13" t="inlineStr">
        <is>
          <t>VTA</t>
        </is>
      </c>
      <c r="D5145" s="13" t="n">
        <v>42</v>
      </c>
      <c r="E5145" s="10">
        <f>IF(D5145&gt;0,VLOOKUP(OPERAC[[#This Row],[COD CART]],[1]!MatrizCortoLargoCyl[#All],3,0),"")</f>
        <v/>
      </c>
      <c r="F5145" s="13" t="inlineStr">
        <is>
          <t>GBTC</t>
        </is>
      </c>
      <c r="G5145" s="6" t="n">
        <v>50</v>
      </c>
      <c r="H5145" s="6" t="n">
        <v>-1605.49</v>
      </c>
      <c r="I5145" s="7">
        <f>-H5145/G5145</f>
        <v/>
      </c>
      <c r="J5145" s="11" t="n">
        <v>44662</v>
      </c>
      <c r="K5145" s="6">
        <f>+OPERAC[[#This Row],[cantidad]]</f>
        <v/>
      </c>
      <c r="L5145" s="6">
        <f>27.99*OPERAC[[#This Row],[cantidad venta]]</f>
        <v/>
      </c>
      <c r="M5145" s="7">
        <f>IF(N5145=0,+L5145+H5145,0)</f>
        <v/>
      </c>
      <c r="N5145" s="7">
        <f>IF((+G5145-K5145)=0,0,+G5145-K5145)</f>
        <v/>
      </c>
      <c r="O5145" s="7">
        <f>IF(N5145=0,0,(L5145+H5145)/-N5145)</f>
        <v/>
      </c>
      <c r="P5145" s="7">
        <f>VLOOKUP(OPERAC[[#This Row],[especie]],[1]!ESPECIES[#All],6,0)</f>
        <v/>
      </c>
      <c r="Q5145" s="7">
        <f>IF(N5145&lt;&gt;0,P5145*N5145,0)</f>
        <v/>
      </c>
      <c r="R5145" s="8">
        <f>IF(Q5145&lt;&gt;0,Q5145+H5145+L5145,0)</f>
        <v/>
      </c>
      <c r="S5145" s="9">
        <f>VLOOKUP(OPERAC[[#This Row],[especie]],[1]!ESPECIES[#Data],9,FALSE)</f>
        <v/>
      </c>
    </row>
    <row r="5146">
      <c r="A5146" s="4" t="n">
        <v>13185</v>
      </c>
      <c r="B5146" s="5" t="n">
        <v>44652</v>
      </c>
      <c r="C5146" s="13" t="inlineStr">
        <is>
          <t>VTA</t>
        </is>
      </c>
      <c r="D5146" s="13" t="n">
        <v>42</v>
      </c>
      <c r="E5146" s="10">
        <f>IF(D5146&gt;0,VLOOKUP(OPERAC[[#This Row],[COD CART]],[1]!MatrizCortoLargoCyl[#All],3,0),"")</f>
        <v/>
      </c>
      <c r="F5146" s="13" t="inlineStr">
        <is>
          <t>GBTC</t>
        </is>
      </c>
      <c r="G5146" s="6" t="n">
        <v>50</v>
      </c>
      <c r="H5146" s="6" t="n">
        <v>-1605.49</v>
      </c>
      <c r="I5146" s="7">
        <f>-H5146/G5146</f>
        <v/>
      </c>
      <c r="J5146" s="11" t="n">
        <v>44662</v>
      </c>
      <c r="K5146" s="6">
        <f>+OPERAC[[#This Row],[cantidad]]</f>
        <v/>
      </c>
      <c r="L5146" s="6">
        <f>27.99*OPERAC[[#This Row],[cantidad venta]]</f>
        <v/>
      </c>
      <c r="M5146" s="7">
        <f>IF(N5146=0,+L5146+H5146,0)</f>
        <v/>
      </c>
      <c r="N5146" s="7">
        <f>IF((+G5146-K5146)=0,0,+G5146-K5146)</f>
        <v/>
      </c>
      <c r="O5146" s="7">
        <f>IF(N5146=0,0,(L5146+H5146)/-N5146)</f>
        <v/>
      </c>
      <c r="P5146" s="7">
        <f>VLOOKUP(OPERAC[[#This Row],[especie]],[1]!ESPECIES[#All],6,0)</f>
        <v/>
      </c>
      <c r="Q5146" s="7">
        <f>IF(N5146&lt;&gt;0,P5146*N5146,0)</f>
        <v/>
      </c>
      <c r="R5146" s="8">
        <f>IF(Q5146&lt;&gt;0,Q5146+H5146+L5146,0)</f>
        <v/>
      </c>
      <c r="S5146" s="9">
        <f>VLOOKUP(OPERAC[[#This Row],[especie]],[1]!ESPECIES[#Data],9,FALSE)</f>
        <v/>
      </c>
    </row>
    <row r="5147">
      <c r="A5147" s="4" t="n">
        <v>13180</v>
      </c>
      <c r="B5147" s="5" t="n">
        <v>44652</v>
      </c>
      <c r="C5147" s="13" t="inlineStr">
        <is>
          <t>VTA</t>
        </is>
      </c>
      <c r="D5147" s="13" t="n">
        <v>42</v>
      </c>
      <c r="E5147" s="10">
        <f>IF(D5147&gt;0,VLOOKUP(OPERAC[[#This Row],[COD CART]],[1]!MatrizCortoLargoCyl[#All],3,0),"")</f>
        <v/>
      </c>
      <c r="F5147" s="13" t="inlineStr">
        <is>
          <t>GBTC</t>
        </is>
      </c>
      <c r="G5147" s="6" t="n">
        <v>50</v>
      </c>
      <c r="H5147" s="6" t="n">
        <v>-1605.49</v>
      </c>
      <c r="I5147" s="7">
        <f>-H5147/G5147</f>
        <v/>
      </c>
      <c r="J5147" s="11" t="n">
        <v>44662</v>
      </c>
      <c r="K5147" s="6">
        <f>+OPERAC[[#This Row],[cantidad]]</f>
        <v/>
      </c>
      <c r="L5147" s="6">
        <f>27.99*OPERAC[[#This Row],[cantidad venta]]</f>
        <v/>
      </c>
      <c r="M5147" s="7">
        <f>IF(N5147=0,+L5147+H5147,0)</f>
        <v/>
      </c>
      <c r="N5147" s="7">
        <f>IF((+G5147-K5147)=0,0,+G5147-K5147)</f>
        <v/>
      </c>
      <c r="O5147" s="7">
        <f>IF(N5147=0,0,(L5147+H5147)/-N5147)</f>
        <v/>
      </c>
      <c r="P5147" s="7">
        <f>VLOOKUP(OPERAC[[#This Row],[especie]],[1]!ESPECIES[#All],6,0)</f>
        <v/>
      </c>
      <c r="Q5147" s="7">
        <f>IF(N5147&lt;&gt;0,P5147*N5147,0)</f>
        <v/>
      </c>
      <c r="R5147" s="8">
        <f>IF(Q5147&lt;&gt;0,Q5147+H5147+L5147,0)</f>
        <v/>
      </c>
      <c r="S5147" s="9">
        <f>VLOOKUP(OPERAC[[#This Row],[especie]],[1]!ESPECIES[#Data],9,FALSE)</f>
        <v/>
      </c>
    </row>
    <row r="5148">
      <c r="A5148" s="4" t="n">
        <v>16786</v>
      </c>
      <c r="B5148" s="5" t="n">
        <v>44652</v>
      </c>
      <c r="C5148" s="13" t="inlineStr">
        <is>
          <t>VTA</t>
        </is>
      </c>
      <c r="D5148" s="13" t="n">
        <v>42</v>
      </c>
      <c r="E5148" s="10">
        <f>IF(D5148&gt;0,VLOOKUP(OPERAC[[#This Row],[COD CART]],[1]!MatrizCortoLargoCyl[#All],3,0),"")</f>
        <v/>
      </c>
      <c r="F5148" s="13" t="inlineStr">
        <is>
          <t>GBTC</t>
        </is>
      </c>
      <c r="G5148" s="6" t="n">
        <v>50</v>
      </c>
      <c r="H5148" s="6" t="n">
        <v>-1605.49</v>
      </c>
      <c r="I5148" s="7">
        <f>-H5148/G5148</f>
        <v/>
      </c>
      <c r="J5148" s="11" t="n">
        <v>44662</v>
      </c>
      <c r="K5148" s="6">
        <f>+OPERAC[[#This Row],[cantidad]]</f>
        <v/>
      </c>
      <c r="L5148" s="6">
        <f>27.99*OPERAC[[#This Row],[cantidad venta]]</f>
        <v/>
      </c>
      <c r="M5148" s="7">
        <f>IF(N5148=0,+L5148+H5148,0)</f>
        <v/>
      </c>
      <c r="N5148" s="7">
        <f>IF((+G5148-K5148)=0,0,+G5148-K5148)</f>
        <v/>
      </c>
      <c r="O5148" s="7">
        <f>IF(N5148=0,0,(L5148+H5148)/-N5148)</f>
        <v/>
      </c>
      <c r="P5148" s="7">
        <f>VLOOKUP(OPERAC[[#This Row],[especie]],[1]!ESPECIES[#All],6,0)</f>
        <v/>
      </c>
      <c r="Q5148" s="7">
        <f>IF(N5148&lt;&gt;0,P5148*N5148,0)</f>
        <v/>
      </c>
      <c r="R5148" s="8">
        <f>IF(Q5148&lt;&gt;0,Q5148+H5148+L5148,0)</f>
        <v/>
      </c>
      <c r="S5148" s="9">
        <f>VLOOKUP(OPERAC[[#This Row],[especie]],[1]!ESPECIES[#Data],9,FALSE)</f>
        <v/>
      </c>
    </row>
    <row r="5149">
      <c r="A5149" s="4" t="n">
        <v>18690</v>
      </c>
      <c r="B5149" s="5" t="n">
        <v>44652</v>
      </c>
      <c r="C5149" s="13" t="inlineStr">
        <is>
          <t>VTA</t>
        </is>
      </c>
      <c r="D5149" s="13" t="n">
        <v>42</v>
      </c>
      <c r="E5149" s="10">
        <f>IF(D5149&gt;0,VLOOKUP(OPERAC[[#This Row],[COD CART]],[1]!MatrizCortoLargoCyl[#All],3,0),"")</f>
        <v/>
      </c>
      <c r="F5149" s="13" t="inlineStr">
        <is>
          <t>GBTC</t>
        </is>
      </c>
      <c r="G5149" s="6" t="n">
        <v>50</v>
      </c>
      <c r="H5149" s="6" t="n">
        <v>-1605.49</v>
      </c>
      <c r="I5149" s="7">
        <f>-H5149/G5149</f>
        <v/>
      </c>
      <c r="J5149" s="11" t="n">
        <v>44662</v>
      </c>
      <c r="K5149" s="6">
        <f>+OPERAC[[#This Row],[cantidad]]</f>
        <v/>
      </c>
      <c r="L5149" s="6">
        <f>27.99*OPERAC[[#This Row],[cantidad venta]]</f>
        <v/>
      </c>
      <c r="M5149" s="7">
        <f>IF(N5149=0,+L5149+H5149,0)</f>
        <v/>
      </c>
      <c r="N5149" s="7">
        <f>IF((+G5149-K5149)=0,0,+G5149-K5149)</f>
        <v/>
      </c>
      <c r="O5149" s="7">
        <f>IF(N5149=0,0,(L5149+H5149)/-N5149)</f>
        <v/>
      </c>
      <c r="P5149" s="7">
        <f>VLOOKUP(OPERAC[[#This Row],[especie]],[1]!ESPECIES[#All],6,0)</f>
        <v/>
      </c>
      <c r="Q5149" s="7">
        <f>IF(N5149&lt;&gt;0,P5149*N5149,0)</f>
        <v/>
      </c>
      <c r="R5149" s="8">
        <f>IF(Q5149&lt;&gt;0,Q5149+H5149+L5149,0)</f>
        <v/>
      </c>
      <c r="S5149" s="9">
        <f>VLOOKUP(OPERAC[[#This Row],[especie]],[1]!ESPECIES[#Data],9,FALSE)</f>
        <v/>
      </c>
    </row>
    <row r="5150">
      <c r="A5150" s="4" t="n">
        <v>19888</v>
      </c>
      <c r="B5150" s="5" t="n">
        <v>44652</v>
      </c>
      <c r="C5150" s="13" t="inlineStr">
        <is>
          <t>VTA</t>
        </is>
      </c>
      <c r="D5150" s="13" t="n">
        <v>42</v>
      </c>
      <c r="E5150" s="10">
        <f>IF(D5150&gt;0,VLOOKUP(OPERAC[[#This Row],[COD CART]],[1]!MatrizCortoLargoCyl[#All],3,0),"")</f>
        <v/>
      </c>
      <c r="F5150" s="13" t="inlineStr">
        <is>
          <t>GBTC</t>
        </is>
      </c>
      <c r="G5150" s="6" t="n">
        <v>50</v>
      </c>
      <c r="H5150" s="6" t="n">
        <v>-1605.49</v>
      </c>
      <c r="I5150" s="7">
        <f>-H5150/G5150</f>
        <v/>
      </c>
      <c r="J5150" s="11" t="n">
        <v>44662</v>
      </c>
      <c r="K5150" s="6">
        <f>+OPERAC[[#This Row],[cantidad]]</f>
        <v/>
      </c>
      <c r="L5150" s="6">
        <f>27.99*OPERAC[[#This Row],[cantidad venta]]</f>
        <v/>
      </c>
      <c r="M5150" s="7">
        <f>IF(N5150=0,+L5150+H5150,0)</f>
        <v/>
      </c>
      <c r="N5150" s="7">
        <f>IF((+G5150-K5150)=0,0,+G5150-K5150)</f>
        <v/>
      </c>
      <c r="O5150" s="7">
        <f>IF(N5150=0,0,(L5150+H5150)/-N5150)</f>
        <v/>
      </c>
      <c r="P5150" s="7">
        <f>VLOOKUP(OPERAC[[#This Row],[especie]],[1]!ESPECIES[#All],6,0)</f>
        <v/>
      </c>
      <c r="Q5150" s="7">
        <f>IF(N5150&lt;&gt;0,P5150*N5150,0)</f>
        <v/>
      </c>
      <c r="R5150" s="8">
        <f>IF(Q5150&lt;&gt;0,Q5150+H5150+L5150,0)</f>
        <v/>
      </c>
      <c r="S5150" s="9">
        <f>VLOOKUP(OPERAC[[#This Row],[especie]],[1]!ESPECIES[#Data],9,FALSE)</f>
        <v/>
      </c>
    </row>
    <row r="5151">
      <c r="A5151" s="4" t="n">
        <v>6578</v>
      </c>
      <c r="B5151" s="5" t="n">
        <v>44533</v>
      </c>
      <c r="C5151" s="13" t="inlineStr">
        <is>
          <t>VTA</t>
        </is>
      </c>
      <c r="D5151" s="13" t="n">
        <v>32</v>
      </c>
      <c r="E5151" s="10">
        <f>IF(D5151&gt;0,VLOOKUP(OPERAC[[#This Row],[COD CART]],[1]!MatrizCortoLargoCyl[#All],3,0),"")</f>
        <v/>
      </c>
      <c r="F5151" s="13" t="inlineStr">
        <is>
          <t>TLRY/CYL/10,00/21-01-22</t>
        </is>
      </c>
      <c r="G5151" s="6" t="n">
        <v>200</v>
      </c>
      <c r="H5151" s="6" t="n">
        <v>-1607.24</v>
      </c>
      <c r="I5151" s="7">
        <f>-H5151/G5151</f>
        <v/>
      </c>
      <c r="J5151" s="11" t="n">
        <v>44572</v>
      </c>
      <c r="K5151" s="6" t="n">
        <v>200</v>
      </c>
      <c r="L5151" s="6" t="n">
        <v>1474.05</v>
      </c>
      <c r="M5151" s="7">
        <f>IF(N5151=0,+L5151+H5151,0)</f>
        <v/>
      </c>
      <c r="N5151" s="7">
        <f>IF((+G5151-K5151)=0,0,+G5151-K5151)</f>
        <v/>
      </c>
      <c r="O5151" s="7">
        <f>IF(N5151=0,0,(L5151+H5151)/-N5151)</f>
        <v/>
      </c>
      <c r="P5151" s="7">
        <f>VLOOKUP(OPERAC[[#This Row],[especie]],[1]!ESPECIES[#All],6,0)</f>
        <v/>
      </c>
      <c r="Q5151" s="7">
        <f>IF(N5151&lt;&gt;0,P5151*N5151,0)</f>
        <v/>
      </c>
      <c r="R5151" s="8">
        <f>IF(Q5151&lt;&gt;0,Q5151+H5151+L5151,0)</f>
        <v/>
      </c>
      <c r="S5151" s="9">
        <f>VLOOKUP(OPERAC[[#This Row],[especie]],[1]!ESPECIES[#Data],9,FALSE)</f>
        <v/>
      </c>
    </row>
    <row r="5152">
      <c r="A5152" s="4" t="n">
        <v>22393</v>
      </c>
      <c r="B5152" s="5" t="n">
        <v>44469</v>
      </c>
      <c r="C5152" s="13" t="inlineStr">
        <is>
          <t>VTA</t>
        </is>
      </c>
      <c r="D5152" s="13" t="n">
        <v>41</v>
      </c>
      <c r="E5152" s="10">
        <f>IF(D5152&gt;0,VLOOKUP(OPERAC[[#This Row],[COD CART]],[1]!MatrizCortoLargoCyl[#All],3,0),"")</f>
        <v/>
      </c>
      <c r="F5152" s="13" t="inlineStr">
        <is>
          <t>DOLE</t>
        </is>
      </c>
      <c r="G5152" s="6" t="n">
        <v>100</v>
      </c>
      <c r="H5152" s="6" t="n">
        <v>-1607.3</v>
      </c>
      <c r="I5152" s="7">
        <f>-H5152/G5152</f>
        <v/>
      </c>
      <c r="J5152" s="11" t="n">
        <v>44634</v>
      </c>
      <c r="K5152" s="6" t="n">
        <v>100</v>
      </c>
      <c r="L5152" s="6">
        <f>+OPERAC[[#This Row],[cantidad venta]]*13.21</f>
        <v/>
      </c>
      <c r="M5152" s="7">
        <f>IF(N5152=0,+L5152+H5152,0)</f>
        <v/>
      </c>
      <c r="N5152" s="7">
        <f>IF((+G5152-K5152)=0,0,+G5152-K5152)</f>
        <v/>
      </c>
      <c r="O5152" s="7">
        <f>IF(N5152=0,0,(L5152+H5152)/-N5152)</f>
        <v/>
      </c>
      <c r="P5152" s="7">
        <f>VLOOKUP(OPERAC[[#This Row],[especie]],[1]!ESPECIES[#All],6,0)</f>
        <v/>
      </c>
      <c r="Q5152" s="7">
        <f>IF(N5152&lt;&gt;0,P5152*N5152,0)</f>
        <v/>
      </c>
      <c r="R5152" s="8">
        <f>IF(Q5152&lt;&gt;0,Q5152+H5152+L5152,0)</f>
        <v/>
      </c>
      <c r="S5152" s="9">
        <f>VLOOKUP(OPERAC[[#This Row],[especie]],[1]!ESPECIES[#Data],9,FALSE)</f>
        <v/>
      </c>
    </row>
    <row r="5153">
      <c r="A5153" s="4" t="n">
        <v>13185</v>
      </c>
      <c r="B5153" s="5" t="n">
        <v>44687</v>
      </c>
      <c r="C5153" s="13" t="inlineStr">
        <is>
          <t>VTA</t>
        </is>
      </c>
      <c r="D5153" s="13" t="n">
        <v>43</v>
      </c>
      <c r="E5153" s="10">
        <f>IF(D5153&gt;0,VLOOKUP(OPERAC[[#This Row],[COD CART]],[1]!MatrizCortoLargoCyl[#All],3,0),"")</f>
        <v/>
      </c>
      <c r="F5153" s="13" t="inlineStr">
        <is>
          <t>SPWR/CYP/16,50-15,50/20-05-22</t>
        </is>
      </c>
      <c r="G5153" s="6" t="n">
        <v>100</v>
      </c>
      <c r="H5153" s="6" t="n">
        <v>-1607.83</v>
      </c>
      <c r="I5153" s="7">
        <f>-H5153/G5153</f>
        <v/>
      </c>
      <c r="J5153" s="11" t="n">
        <v>44701</v>
      </c>
      <c r="K5153" s="6" t="n">
        <v>100</v>
      </c>
      <c r="L5153" s="6" t="n">
        <v>1637.55</v>
      </c>
      <c r="M5153" s="7">
        <f>IF(N5153=0,+L5153+H5153,0)</f>
        <v/>
      </c>
      <c r="N5153" s="7">
        <f>IF((+G5153-K5153)=0,0,+G5153-K5153)</f>
        <v/>
      </c>
      <c r="O5153" s="7">
        <f>IF(N5153=0,0,(L5153+H5153)/-N5153)</f>
        <v/>
      </c>
      <c r="P5153" s="7">
        <f>VLOOKUP(OPERAC[[#This Row],[especie]],[1]!ESPECIES[#All],6,0)</f>
        <v/>
      </c>
      <c r="Q5153" s="7">
        <f>IF(N5153&lt;&gt;0,P5153*N5153,0)</f>
        <v/>
      </c>
      <c r="R5153" s="8">
        <f>IF(Q5153&lt;&gt;0,Q5153+H5153+L5153,0)</f>
        <v/>
      </c>
      <c r="S5153" s="9">
        <f>VLOOKUP(OPERAC[[#This Row],[especie]],[1]!ESPECIES[#Data],9,FALSE)</f>
        <v/>
      </c>
    </row>
    <row r="5154">
      <c r="A5154" s="4" t="n">
        <v>13240</v>
      </c>
      <c r="B5154" s="5" t="n">
        <v>44687</v>
      </c>
      <c r="C5154" s="13" t="inlineStr">
        <is>
          <t>VTA</t>
        </is>
      </c>
      <c r="D5154" s="13" t="n">
        <v>43</v>
      </c>
      <c r="E5154" s="10">
        <f>IF(D5154&gt;0,VLOOKUP(OPERAC[[#This Row],[COD CART]],[1]!MatrizCortoLargoCyl[#All],3,0),"")</f>
        <v/>
      </c>
      <c r="F5154" s="13" t="inlineStr">
        <is>
          <t>SPWR/CYP/16,50-15,50/20-05-22</t>
        </is>
      </c>
      <c r="G5154" s="6" t="n">
        <v>100</v>
      </c>
      <c r="H5154" s="6" t="n">
        <v>-1607.83</v>
      </c>
      <c r="I5154" s="7">
        <f>-H5154/G5154</f>
        <v/>
      </c>
      <c r="J5154" s="11" t="n">
        <v>44701</v>
      </c>
      <c r="K5154" s="6" t="n">
        <v>100</v>
      </c>
      <c r="L5154" s="6" t="n">
        <v>1637.55</v>
      </c>
      <c r="M5154" s="7">
        <f>IF(N5154=0,+L5154+H5154,0)</f>
        <v/>
      </c>
      <c r="N5154" s="7">
        <f>IF((+G5154-K5154)=0,0,+G5154-K5154)</f>
        <v/>
      </c>
      <c r="O5154" s="7">
        <f>IF(N5154=0,0,(L5154+H5154)/-N5154)</f>
        <v/>
      </c>
      <c r="P5154" s="7">
        <f>VLOOKUP(OPERAC[[#This Row],[especie]],[1]!ESPECIES[#All],6,0)</f>
        <v/>
      </c>
      <c r="Q5154" s="7">
        <f>IF(N5154&lt;&gt;0,P5154*N5154,0)</f>
        <v/>
      </c>
      <c r="R5154" s="8">
        <f>IF(Q5154&lt;&gt;0,Q5154+H5154+L5154,0)</f>
        <v/>
      </c>
      <c r="S5154" s="9">
        <f>VLOOKUP(OPERAC[[#This Row],[especie]],[1]!ESPECIES[#Data],9,FALSE)</f>
        <v/>
      </c>
    </row>
    <row r="5155">
      <c r="A5155" s="4" t="n">
        <v>15194</v>
      </c>
      <c r="B5155" s="5" t="n">
        <v>44687</v>
      </c>
      <c r="C5155" s="13" t="inlineStr">
        <is>
          <t>VTA</t>
        </is>
      </c>
      <c r="D5155" s="13" t="n">
        <v>43</v>
      </c>
      <c r="E5155" s="10">
        <f>IF(D5155&gt;0,VLOOKUP(OPERAC[[#This Row],[COD CART]],[1]!MatrizCortoLargoCyl[#All],3,0),"")</f>
        <v/>
      </c>
      <c r="F5155" s="13" t="inlineStr">
        <is>
          <t>SPWR/CYP/16,50-15,50/20-05-22</t>
        </is>
      </c>
      <c r="G5155" s="6" t="n">
        <v>100</v>
      </c>
      <c r="H5155" s="6" t="n">
        <v>-1607.83</v>
      </c>
      <c r="I5155" s="7">
        <f>-H5155/G5155</f>
        <v/>
      </c>
      <c r="J5155" s="11" t="n">
        <v>44701</v>
      </c>
      <c r="K5155" s="6" t="n">
        <v>100</v>
      </c>
      <c r="L5155" s="6" t="n">
        <v>1637.55</v>
      </c>
      <c r="M5155" s="7">
        <f>IF(N5155=0,+L5155+H5155,0)</f>
        <v/>
      </c>
      <c r="N5155" s="7">
        <f>IF((+G5155-K5155)=0,0,+G5155-K5155)</f>
        <v/>
      </c>
      <c r="O5155" s="7">
        <f>IF(N5155=0,0,(L5155+H5155)/-N5155)</f>
        <v/>
      </c>
      <c r="P5155" s="7">
        <f>VLOOKUP(OPERAC[[#This Row],[especie]],[1]!ESPECIES[#All],6,0)</f>
        <v/>
      </c>
      <c r="Q5155" s="7">
        <f>IF(N5155&lt;&gt;0,P5155*N5155,0)</f>
        <v/>
      </c>
      <c r="R5155" s="8">
        <f>IF(Q5155&lt;&gt;0,Q5155+H5155+L5155,0)</f>
        <v/>
      </c>
      <c r="S5155" s="9">
        <f>VLOOKUP(OPERAC[[#This Row],[especie]],[1]!ESPECIES[#Data],9,FALSE)</f>
        <v/>
      </c>
    </row>
    <row r="5156">
      <c r="A5156" s="4" t="n">
        <v>18651</v>
      </c>
      <c r="B5156" s="5" t="n">
        <v>44687</v>
      </c>
      <c r="C5156" s="13" t="inlineStr">
        <is>
          <t>VTA</t>
        </is>
      </c>
      <c r="D5156" s="13" t="n">
        <v>43</v>
      </c>
      <c r="E5156" s="10">
        <f>IF(D5156&gt;0,VLOOKUP(OPERAC[[#This Row],[COD CART]],[1]!MatrizCortoLargoCyl[#All],3,0),"")</f>
        <v/>
      </c>
      <c r="F5156" s="13" t="inlineStr">
        <is>
          <t>SPWR/CYP/16,50-15,50/20-05-22</t>
        </is>
      </c>
      <c r="G5156" s="6" t="n">
        <v>100</v>
      </c>
      <c r="H5156" s="6" t="n">
        <v>-1607.83</v>
      </c>
      <c r="I5156" s="7">
        <f>-H5156/G5156</f>
        <v/>
      </c>
      <c r="J5156" s="11" t="n">
        <v>44701</v>
      </c>
      <c r="K5156" s="6" t="n">
        <v>100</v>
      </c>
      <c r="L5156" s="6" t="n">
        <v>1637.55</v>
      </c>
      <c r="M5156" s="7">
        <f>IF(N5156=0,+L5156+H5156,0)</f>
        <v/>
      </c>
      <c r="N5156" s="7">
        <f>IF((+G5156-K5156)=0,0,+G5156-K5156)</f>
        <v/>
      </c>
      <c r="O5156" s="7">
        <f>IF(N5156=0,0,(L5156+H5156)/-N5156)</f>
        <v/>
      </c>
      <c r="P5156" s="7">
        <f>VLOOKUP(OPERAC[[#This Row],[especie]],[1]!ESPECIES[#All],6,0)</f>
        <v/>
      </c>
      <c r="Q5156" s="7">
        <f>IF(N5156&lt;&gt;0,P5156*N5156,0)</f>
        <v/>
      </c>
      <c r="R5156" s="8">
        <f>IF(Q5156&lt;&gt;0,Q5156+H5156+L5156,0)</f>
        <v/>
      </c>
      <c r="S5156" s="9">
        <f>VLOOKUP(OPERAC[[#This Row],[especie]],[1]!ESPECIES[#Data],9,FALSE)</f>
        <v/>
      </c>
    </row>
    <row r="5157">
      <c r="A5157" s="4" t="n">
        <v>18724</v>
      </c>
      <c r="B5157" s="5" t="n">
        <v>44687</v>
      </c>
      <c r="C5157" s="13" t="inlineStr">
        <is>
          <t>VTA</t>
        </is>
      </c>
      <c r="D5157" s="13" t="n">
        <v>43</v>
      </c>
      <c r="E5157" s="10">
        <f>IF(D5157&gt;0,VLOOKUP(OPERAC[[#This Row],[COD CART]],[1]!MatrizCortoLargoCyl[#All],3,0),"")</f>
        <v/>
      </c>
      <c r="F5157" s="13" t="inlineStr">
        <is>
          <t>SPWR/CYP/16,50-15,50/20-05-22</t>
        </is>
      </c>
      <c r="G5157" s="6" t="n">
        <v>100</v>
      </c>
      <c r="H5157" s="6" t="n">
        <v>-1607.83</v>
      </c>
      <c r="I5157" s="7">
        <f>-H5157/G5157</f>
        <v/>
      </c>
      <c r="J5157" s="11" t="n">
        <v>44701</v>
      </c>
      <c r="K5157" s="6" t="n">
        <v>100</v>
      </c>
      <c r="L5157" s="6" t="n">
        <v>1637.55</v>
      </c>
      <c r="M5157" s="7">
        <f>IF(N5157=0,+L5157+H5157,0)</f>
        <v/>
      </c>
      <c r="N5157" s="7">
        <f>IF((+G5157-K5157)=0,0,+G5157-K5157)</f>
        <v/>
      </c>
      <c r="O5157" s="7">
        <f>IF(N5157=0,0,(L5157+H5157)/-N5157)</f>
        <v/>
      </c>
      <c r="P5157" s="7">
        <f>VLOOKUP(OPERAC[[#This Row],[especie]],[1]!ESPECIES[#All],6,0)</f>
        <v/>
      </c>
      <c r="Q5157" s="7">
        <f>IF(N5157&lt;&gt;0,P5157*N5157,0)</f>
        <v/>
      </c>
      <c r="R5157" s="8">
        <f>IF(Q5157&lt;&gt;0,Q5157+H5157+L5157,0)</f>
        <v/>
      </c>
      <c r="S5157" s="9">
        <f>VLOOKUP(OPERAC[[#This Row],[especie]],[1]!ESPECIES[#Data],9,FALSE)</f>
        <v/>
      </c>
    </row>
    <row r="5158">
      <c r="A5158" s="4" t="n">
        <v>19867</v>
      </c>
      <c r="B5158" s="5" t="n">
        <v>44687</v>
      </c>
      <c r="C5158" s="13" t="inlineStr">
        <is>
          <t>VTA</t>
        </is>
      </c>
      <c r="D5158" s="13" t="n">
        <v>43</v>
      </c>
      <c r="E5158" s="10">
        <f>IF(D5158&gt;0,VLOOKUP(OPERAC[[#This Row],[COD CART]],[1]!MatrizCortoLargoCyl[#All],3,0),"")</f>
        <v/>
      </c>
      <c r="F5158" s="13" t="inlineStr">
        <is>
          <t>SPWR/CYP/16,50-15,50/20-05-22</t>
        </is>
      </c>
      <c r="G5158" s="6" t="n">
        <v>100</v>
      </c>
      <c r="H5158" s="6" t="n">
        <v>-1607.83</v>
      </c>
      <c r="I5158" s="7">
        <f>-H5158/G5158</f>
        <v/>
      </c>
      <c r="J5158" s="11" t="n">
        <v>44701</v>
      </c>
      <c r="K5158" s="6" t="n">
        <v>100</v>
      </c>
      <c r="L5158" s="6" t="n">
        <v>1637.55</v>
      </c>
      <c r="M5158" s="7">
        <f>IF(N5158=0,+L5158+H5158,0)</f>
        <v/>
      </c>
      <c r="N5158" s="7">
        <f>IF((+G5158-K5158)=0,0,+G5158-K5158)</f>
        <v/>
      </c>
      <c r="O5158" s="7">
        <f>IF(N5158=0,0,(L5158+H5158)/-N5158)</f>
        <v/>
      </c>
      <c r="P5158" s="7">
        <f>VLOOKUP(OPERAC[[#This Row],[especie]],[1]!ESPECIES[#All],6,0)</f>
        <v/>
      </c>
      <c r="Q5158" s="7">
        <f>IF(N5158&lt;&gt;0,P5158*N5158,0)</f>
        <v/>
      </c>
      <c r="R5158" s="8">
        <f>IF(Q5158&lt;&gt;0,Q5158+H5158+L5158,0)</f>
        <v/>
      </c>
      <c r="S5158" s="9">
        <f>VLOOKUP(OPERAC[[#This Row],[especie]],[1]!ESPECIES[#Data],9,FALSE)</f>
        <v/>
      </c>
    </row>
    <row r="5159">
      <c r="A5159" s="4" t="n">
        <v>19888</v>
      </c>
      <c r="B5159" s="5" t="n">
        <v>44687</v>
      </c>
      <c r="C5159" s="13" t="inlineStr">
        <is>
          <t>VTA</t>
        </is>
      </c>
      <c r="D5159" s="13" t="n">
        <v>43</v>
      </c>
      <c r="E5159" s="10">
        <f>IF(D5159&gt;0,VLOOKUP(OPERAC[[#This Row],[COD CART]],[1]!MatrizCortoLargoCyl[#All],3,0),"")</f>
        <v/>
      </c>
      <c r="F5159" s="13" t="inlineStr">
        <is>
          <t>SPWR/CYP/16,50-15,50/20-05-22</t>
        </is>
      </c>
      <c r="G5159" s="6" t="n">
        <v>100</v>
      </c>
      <c r="H5159" s="6" t="n">
        <v>-1607.83</v>
      </c>
      <c r="I5159" s="7">
        <f>-H5159/G5159</f>
        <v/>
      </c>
      <c r="J5159" s="11" t="n">
        <v>44701</v>
      </c>
      <c r="K5159" s="6" t="n">
        <v>100</v>
      </c>
      <c r="L5159" s="6" t="n">
        <v>1637.55</v>
      </c>
      <c r="M5159" s="7">
        <f>IF(N5159=0,+L5159+H5159,0)</f>
        <v/>
      </c>
      <c r="N5159" s="7">
        <f>IF((+G5159-K5159)=0,0,+G5159-K5159)</f>
        <v/>
      </c>
      <c r="O5159" s="7">
        <f>IF(N5159=0,0,(L5159+H5159)/-N5159)</f>
        <v/>
      </c>
      <c r="P5159" s="7">
        <f>VLOOKUP(OPERAC[[#This Row],[especie]],[1]!ESPECIES[#All],6,0)</f>
        <v/>
      </c>
      <c r="Q5159" s="7">
        <f>IF(N5159&lt;&gt;0,P5159*N5159,0)</f>
        <v/>
      </c>
      <c r="R5159" s="8">
        <f>IF(Q5159&lt;&gt;0,Q5159+H5159+L5159,0)</f>
        <v/>
      </c>
      <c r="S5159" s="9">
        <f>VLOOKUP(OPERAC[[#This Row],[especie]],[1]!ESPECIES[#Data],9,FALSE)</f>
        <v/>
      </c>
    </row>
    <row r="5160">
      <c r="A5160" s="4" t="n">
        <v>22393</v>
      </c>
      <c r="B5160" s="5" t="n">
        <v>44687</v>
      </c>
      <c r="C5160" s="13" t="inlineStr">
        <is>
          <t>VTA</t>
        </is>
      </c>
      <c r="D5160" s="13" t="n">
        <v>43</v>
      </c>
      <c r="E5160" s="10">
        <f>IF(D5160&gt;0,VLOOKUP(OPERAC[[#This Row],[COD CART]],[1]!MatrizCortoLargoCyl[#All],3,0),"")</f>
        <v/>
      </c>
      <c r="F5160" s="13" t="inlineStr">
        <is>
          <t>SPWR/CYP/16,50-15,50/20-05-22</t>
        </is>
      </c>
      <c r="G5160" s="6" t="n">
        <v>100</v>
      </c>
      <c r="H5160" s="6" t="n">
        <v>-1607.83</v>
      </c>
      <c r="I5160" s="7">
        <f>-H5160/G5160</f>
        <v/>
      </c>
      <c r="J5160" s="11" t="n">
        <v>44701</v>
      </c>
      <c r="K5160" s="6" t="n">
        <v>100</v>
      </c>
      <c r="L5160" s="6" t="n">
        <v>1637.55</v>
      </c>
      <c r="M5160" s="7">
        <f>IF(N5160=0,+L5160+H5160,0)</f>
        <v/>
      </c>
      <c r="N5160" s="7">
        <f>IF((+G5160-K5160)=0,0,+G5160-K5160)</f>
        <v/>
      </c>
      <c r="O5160" s="7">
        <f>IF(N5160=0,0,(L5160+H5160)/-N5160)</f>
        <v/>
      </c>
      <c r="P5160" s="7">
        <f>VLOOKUP(OPERAC[[#This Row],[especie]],[1]!ESPECIES[#All],6,0)</f>
        <v/>
      </c>
      <c r="Q5160" s="7">
        <f>IF(N5160&lt;&gt;0,P5160*N5160,0)</f>
        <v/>
      </c>
      <c r="R5160" s="8">
        <f>IF(Q5160&lt;&gt;0,Q5160+H5160+L5160,0)</f>
        <v/>
      </c>
      <c r="S5160" s="9">
        <f>VLOOKUP(OPERAC[[#This Row],[especie]],[1]!ESPECIES[#Data],9,FALSE)</f>
        <v/>
      </c>
    </row>
    <row r="5161">
      <c r="A5161" s="4" t="n">
        <v>25070</v>
      </c>
      <c r="B5161" s="5" t="n">
        <v>44687</v>
      </c>
      <c r="C5161" s="13" t="inlineStr">
        <is>
          <t>VTA</t>
        </is>
      </c>
      <c r="D5161" s="13" t="n">
        <v>43</v>
      </c>
      <c r="E5161" s="10">
        <f>IF(D5161&gt;0,VLOOKUP(OPERAC[[#This Row],[COD CART]],[1]!MatrizCortoLargoCyl[#All],3,0),"")</f>
        <v/>
      </c>
      <c r="F5161" s="13" t="inlineStr">
        <is>
          <t>SPWR/CYP/16,50-15,50/20-05-22</t>
        </is>
      </c>
      <c r="G5161" s="6" t="n">
        <v>100</v>
      </c>
      <c r="H5161" s="6" t="n">
        <v>-1607.83</v>
      </c>
      <c r="I5161" s="7">
        <f>-H5161/G5161</f>
        <v/>
      </c>
      <c r="J5161" s="11" t="n">
        <v>44701</v>
      </c>
      <c r="K5161" s="6" t="n">
        <v>100</v>
      </c>
      <c r="L5161" s="6" t="n">
        <v>1637.55</v>
      </c>
      <c r="M5161" s="7">
        <f>IF(N5161=0,+L5161+H5161,0)</f>
        <v/>
      </c>
      <c r="N5161" s="7">
        <f>IF((+G5161-K5161)=0,0,+G5161-K5161)</f>
        <v/>
      </c>
      <c r="O5161" s="7">
        <f>IF(N5161=0,0,(L5161+H5161)/-N5161)</f>
        <v/>
      </c>
      <c r="P5161" s="7">
        <f>VLOOKUP(OPERAC[[#This Row],[especie]],[1]!ESPECIES[#All],6,0)</f>
        <v/>
      </c>
      <c r="Q5161" s="7">
        <f>IF(N5161&lt;&gt;0,P5161*N5161,0)</f>
        <v/>
      </c>
      <c r="R5161" s="8">
        <f>IF(Q5161&lt;&gt;0,Q5161+H5161+L5161,0)</f>
        <v/>
      </c>
      <c r="S5161" s="9">
        <f>VLOOKUP(OPERAC[[#This Row],[especie]],[1]!ESPECIES[#Data],9,FALSE)</f>
        <v/>
      </c>
    </row>
    <row r="5162">
      <c r="A5162" s="4" t="n">
        <v>13240</v>
      </c>
      <c r="B5162" s="5" t="n">
        <v>44533</v>
      </c>
      <c r="C5162" s="13" t="inlineStr">
        <is>
          <t>VTA</t>
        </is>
      </c>
      <c r="D5162" s="13" t="n">
        <v>32</v>
      </c>
      <c r="E5162" s="10">
        <f>IF(D5162&gt;0,VLOOKUP(OPERAC[[#This Row],[COD CART]],[1]!MatrizCortoLargoCyl[#All],3,0),"")</f>
        <v/>
      </c>
      <c r="F5162" s="13" t="inlineStr">
        <is>
          <t>TLRY/CYL/10,00/21-01-22</t>
        </is>
      </c>
      <c r="G5162" s="6" t="n">
        <v>200</v>
      </c>
      <c r="H5162" s="6">
        <f>-8.04*OPERAC[[#This Row],[cantidad]]</f>
        <v/>
      </c>
      <c r="I5162" s="7">
        <f>-H5162/G5162</f>
        <v/>
      </c>
      <c r="J5162" s="11" t="n">
        <v>44564</v>
      </c>
      <c r="K5162" s="6" t="n">
        <v>200</v>
      </c>
      <c r="L5162" s="6" t="n">
        <v>1423.014</v>
      </c>
      <c r="M5162" s="7">
        <f>IF(N5162=0,+L5162+H5162,0)</f>
        <v/>
      </c>
      <c r="N5162" s="7">
        <f>IF((+G5162-K5162)=0,0,+G5162-K5162)</f>
        <v/>
      </c>
      <c r="O5162" s="7">
        <f>IF(N5162=0,0,(L5162+H5162)/-N5162)</f>
        <v/>
      </c>
      <c r="P5162" s="7">
        <f>VLOOKUP(OPERAC[[#This Row],[especie]],[1]!ESPECIES[#All],6,0)</f>
        <v/>
      </c>
      <c r="Q5162" s="7">
        <f>IF(N5162&lt;&gt;0,P5162*N5162,0)</f>
        <v/>
      </c>
      <c r="R5162" s="8">
        <f>IF(Q5162&lt;&gt;0,Q5162+H5162+L5162,0)</f>
        <v/>
      </c>
      <c r="S5162" s="9">
        <f>VLOOKUP(OPERAC[[#This Row],[especie]],[1]!ESPECIES[#Data],9,FALSE)</f>
        <v/>
      </c>
    </row>
    <row r="5163">
      <c r="A5163" s="4" t="n">
        <v>19932</v>
      </c>
      <c r="B5163" s="5" t="n">
        <v>44694</v>
      </c>
      <c r="C5163" s="13" t="inlineStr">
        <is>
          <t>VTA</t>
        </is>
      </c>
      <c r="D5163" s="13" t="n">
        <v>43</v>
      </c>
      <c r="E5163" s="10">
        <f>IF(D5163&gt;0,VLOOKUP(OPERAC[[#This Row],[COD CART]],[1]!MatrizCortoLargoCyl[#All],3,0),"")</f>
        <v/>
      </c>
      <c r="F5163" s="13" t="inlineStr">
        <is>
          <t>PCT/CYL-PUT/7,50/20-01-23</t>
        </is>
      </c>
      <c r="G5163" s="6" t="n">
        <v>500</v>
      </c>
      <c r="H5163" s="6" t="n">
        <v>-1609.819</v>
      </c>
      <c r="I5163" s="7">
        <f>-H5163/G5163</f>
        <v/>
      </c>
      <c r="J5163" s="11" t="n"/>
      <c r="K5163" s="6" t="n"/>
      <c r="L5163" s="6" t="n"/>
      <c r="M5163" s="7">
        <f>IF(N5163=0,+L5163+H5163,0)</f>
        <v/>
      </c>
      <c r="N5163" s="7">
        <f>IF((+G5163-K5163)=0,0,+G5163-K5163)</f>
        <v/>
      </c>
      <c r="O5163" s="7">
        <f>IF(N5163=0,0,(L5163+H5163)/-N5163)</f>
        <v/>
      </c>
      <c r="P5163" s="7">
        <f>VLOOKUP(OPERAC[[#This Row],[especie]],[1]!ESPECIES[#All],6,0)</f>
        <v/>
      </c>
      <c r="Q5163" s="7">
        <f>IF(N5163&lt;&gt;0,P5163*N5163,0)</f>
        <v/>
      </c>
      <c r="R5163" s="8">
        <f>IF(Q5163&lt;&gt;0,Q5163+H5163+L5163,0)</f>
        <v/>
      </c>
      <c r="S5163" s="9">
        <f>VLOOKUP(OPERAC[[#This Row],[especie]],[1]!ESPECIES[#Data],9,FALSE)</f>
        <v/>
      </c>
    </row>
    <row r="5164">
      <c r="A5164" s="4" t="n">
        <v>9195</v>
      </c>
      <c r="B5164" s="5" t="n">
        <v>44648</v>
      </c>
      <c r="C5164" s="13" t="inlineStr">
        <is>
          <t>VTA</t>
        </is>
      </c>
      <c r="D5164" s="13" t="n">
        <v>32</v>
      </c>
      <c r="E5164" s="10">
        <f>IF(D5164&gt;0,VLOOKUP(OPERAC[[#This Row],[COD CART]],[1]!MatrizCortoLargoCyl[#All],3,0),"")</f>
        <v/>
      </c>
      <c r="F5164" s="13" t="inlineStr">
        <is>
          <t>F</t>
        </is>
      </c>
      <c r="G5164" s="6" t="n">
        <v>100</v>
      </c>
      <c r="H5164" s="6" t="n">
        <v>-1609.832</v>
      </c>
      <c r="I5164" s="7">
        <f>-H5164/G5164</f>
        <v/>
      </c>
      <c r="J5164" s="11" t="n">
        <v>44677</v>
      </c>
      <c r="K5164" s="6" t="n">
        <v>100</v>
      </c>
      <c r="L5164" s="6" t="n">
        <v>1497.232</v>
      </c>
      <c r="M5164" s="7">
        <f>IF(N5164=0,+L5164+H5164,0)</f>
        <v/>
      </c>
      <c r="N5164" s="7">
        <f>IF((+G5164-K5164)=0,0,+G5164-K5164)</f>
        <v/>
      </c>
      <c r="O5164" s="7">
        <f>IF(N5164=0,0,(L5164+H5164)/-N5164)</f>
        <v/>
      </c>
      <c r="P5164" s="7">
        <f>VLOOKUP(OPERAC[[#This Row],[especie]],[1]!ESPECIES[#All],6,0)</f>
        <v/>
      </c>
      <c r="Q5164" s="7">
        <f>IF(N5164&lt;&gt;0,P5164*N5164,0)</f>
        <v/>
      </c>
      <c r="R5164" s="8">
        <f>IF(Q5164&lt;&gt;0,Q5164+H5164+L5164,0)</f>
        <v/>
      </c>
      <c r="S5164" s="9">
        <f>VLOOKUP(OPERAC[[#This Row],[especie]],[1]!ESPECIES[#Data],9,FALSE)</f>
        <v/>
      </c>
    </row>
    <row r="5165">
      <c r="A5165" s="4" t="n">
        <v>16783</v>
      </c>
      <c r="B5165" s="5" t="n">
        <v>44648</v>
      </c>
      <c r="C5165" s="13" t="inlineStr">
        <is>
          <t>VTA</t>
        </is>
      </c>
      <c r="D5165" s="13" t="n">
        <v>32</v>
      </c>
      <c r="E5165" s="10">
        <f>IF(D5165&gt;0,VLOOKUP(OPERAC[[#This Row],[COD CART]],[1]!MatrizCortoLargoCyl[#All],3,0),"")</f>
        <v/>
      </c>
      <c r="F5165" s="13" t="inlineStr">
        <is>
          <t>F</t>
        </is>
      </c>
      <c r="G5165" s="6" t="n">
        <v>100</v>
      </c>
      <c r="H5165" s="6" t="n">
        <v>-1609.832</v>
      </c>
      <c r="I5165" s="7">
        <f>-H5165/G5165</f>
        <v/>
      </c>
      <c r="J5165" s="11" t="n">
        <v>44677</v>
      </c>
      <c r="K5165" s="6" t="n">
        <v>100</v>
      </c>
      <c r="L5165" s="6" t="n">
        <v>1500.716</v>
      </c>
      <c r="M5165" s="7">
        <f>IF(N5165=0,+L5165+H5165,0)</f>
        <v/>
      </c>
      <c r="N5165" s="7">
        <f>IF((+G5165-K5165)=0,0,+G5165-K5165)</f>
        <v/>
      </c>
      <c r="O5165" s="7">
        <f>IF(N5165=0,0,(L5165+H5165)/-N5165)</f>
        <v/>
      </c>
      <c r="P5165" s="7">
        <f>VLOOKUP(OPERAC[[#This Row],[especie]],[1]!ESPECIES[#All],6,0)</f>
        <v/>
      </c>
      <c r="Q5165" s="7">
        <f>IF(N5165&lt;&gt;0,P5165*N5165,0)</f>
        <v/>
      </c>
      <c r="R5165" s="8">
        <f>IF(Q5165&lt;&gt;0,Q5165+H5165+L5165,0)</f>
        <v/>
      </c>
      <c r="S5165" s="9">
        <f>VLOOKUP(OPERAC[[#This Row],[especie]],[1]!ESPECIES[#Data],9,FALSE)</f>
        <v/>
      </c>
    </row>
    <row r="5166">
      <c r="A5166" s="4" t="n">
        <v>22393</v>
      </c>
      <c r="B5166" s="5" t="n">
        <v>44488</v>
      </c>
      <c r="C5166" s="13" t="inlineStr">
        <is>
          <t>VTA</t>
        </is>
      </c>
      <c r="D5166" s="13" t="n">
        <v>40</v>
      </c>
      <c r="E5166" s="10">
        <f>IF(D5166&gt;0,VLOOKUP(OPERAC[[#This Row],[COD CART]],[1]!MatrizCortoLargoCyl[#All],3,0),"")</f>
        <v/>
      </c>
      <c r="F5166" s="13" t="inlineStr">
        <is>
          <t>MELI</t>
        </is>
      </c>
      <c r="G5166" s="6" t="n">
        <v>1</v>
      </c>
      <c r="H5166" s="6" t="n">
        <v>-1610.282</v>
      </c>
      <c r="I5166" s="7">
        <f>-H5166/G5166</f>
        <v/>
      </c>
      <c r="J5166" s="11" t="n"/>
      <c r="K5166" s="6" t="n"/>
      <c r="L5166" s="6" t="n"/>
      <c r="M5166" s="7">
        <f>IF(N5166=0,+L5166+H5166,0)</f>
        <v/>
      </c>
      <c r="N5166" s="7">
        <f>IF((+G5166-K5166)=0,0,+G5166-K5166)</f>
        <v/>
      </c>
      <c r="O5166" s="7">
        <f>IF(N5166=0,0,(L5166+H5166)/-N5166)</f>
        <v/>
      </c>
      <c r="P5166" s="7">
        <f>VLOOKUP(OPERAC[[#This Row],[especie]],[1]!ESPECIES[#All],6,0)</f>
        <v/>
      </c>
      <c r="Q5166" s="7">
        <f>IF(N5166&lt;&gt;0,P5166*N5166,0)</f>
        <v/>
      </c>
      <c r="R5166" s="8">
        <f>IF(Q5166&lt;&gt;0,Q5166+H5166+L5166,0)</f>
        <v/>
      </c>
      <c r="S5166" s="9">
        <f>VLOOKUP(OPERAC[[#This Row],[especie]],[1]!ESPECIES[#Data],9,FALSE)</f>
        <v/>
      </c>
    </row>
    <row r="5167">
      <c r="A5167" s="4" t="n">
        <v>13180</v>
      </c>
      <c r="B5167" s="5" t="n">
        <v>44641</v>
      </c>
      <c r="C5167" s="13" t="inlineStr">
        <is>
          <t>VTA</t>
        </is>
      </c>
      <c r="D5167" s="13" t="n">
        <v>42</v>
      </c>
      <c r="E5167" s="10">
        <f>IF(D5167&gt;0,VLOOKUP(OPERAC[[#This Row],[COD CART]],[1]!MatrizCortoLargoCyl[#All],3,0),"")</f>
        <v/>
      </c>
      <c r="F5167" s="13" t="inlineStr">
        <is>
          <t>SMH</t>
        </is>
      </c>
      <c r="G5167" s="6" t="n">
        <v>6</v>
      </c>
      <c r="H5167" s="6" t="n">
        <v>-1613.7459</v>
      </c>
      <c r="I5167" s="7">
        <f>-H5167/G5167</f>
        <v/>
      </c>
      <c r="J5167" s="11" t="n">
        <v>44663</v>
      </c>
      <c r="K5167" s="6">
        <f>+OPERAC[[#This Row],[cantidad]]</f>
        <v/>
      </c>
      <c r="L5167" s="6">
        <f>+OPERAC[[#This Row],[cantidad venta]]*238.066</f>
        <v/>
      </c>
      <c r="M5167" s="7">
        <f>IF(N5167=0,+L5167+H5167,0)</f>
        <v/>
      </c>
      <c r="N5167" s="7">
        <f>IF((+G5167-K5167)=0,0,+G5167-K5167)</f>
        <v/>
      </c>
      <c r="O5167" s="7">
        <f>IF(N5167=0,0,(L5167+H5167)/-N5167)</f>
        <v/>
      </c>
      <c r="P5167" s="7">
        <f>VLOOKUP(OPERAC[[#This Row],[especie]],[1]!ESPECIES[#All],6,0)</f>
        <v/>
      </c>
      <c r="Q5167" s="7">
        <f>IF(N5167&lt;&gt;0,P5167*N5167,0)</f>
        <v/>
      </c>
      <c r="R5167" s="8">
        <f>IF(Q5167&lt;&gt;0,Q5167+H5167+L5167,0)</f>
        <v/>
      </c>
      <c r="S5167" s="9">
        <f>VLOOKUP(OPERAC[[#This Row],[especie]],[1]!ESPECIES[#Data],9,FALSE)</f>
        <v/>
      </c>
    </row>
    <row r="5168">
      <c r="A5168" s="4" t="n">
        <v>15194</v>
      </c>
      <c r="B5168" s="5" t="n">
        <v>44641</v>
      </c>
      <c r="C5168" s="13" t="inlineStr">
        <is>
          <t>VTA</t>
        </is>
      </c>
      <c r="D5168" s="13" t="n">
        <v>42</v>
      </c>
      <c r="E5168" s="10">
        <f>IF(D5168&gt;0,VLOOKUP(OPERAC[[#This Row],[COD CART]],[1]!MatrizCortoLargoCyl[#All],3,0),"")</f>
        <v/>
      </c>
      <c r="F5168" s="13" t="inlineStr">
        <is>
          <t>SMH</t>
        </is>
      </c>
      <c r="G5168" s="6" t="n">
        <v>6</v>
      </c>
      <c r="H5168" s="6" t="n">
        <v>-1613.7459</v>
      </c>
      <c r="I5168" s="7">
        <f>-H5168/G5168</f>
        <v/>
      </c>
      <c r="J5168" s="11" t="n">
        <v>44663</v>
      </c>
      <c r="K5168" s="6">
        <f>+OPERAC[[#This Row],[cantidad]]</f>
        <v/>
      </c>
      <c r="L5168" s="6">
        <f>+OPERAC[[#This Row],[cantidad venta]]*238.066</f>
        <v/>
      </c>
      <c r="M5168" s="7">
        <f>IF(N5168=0,+L5168+H5168,0)</f>
        <v/>
      </c>
      <c r="N5168" s="7">
        <f>IF((+G5168-K5168)=0,0,+G5168-K5168)</f>
        <v/>
      </c>
      <c r="O5168" s="7">
        <f>IF(N5168=0,0,(L5168+H5168)/-N5168)</f>
        <v/>
      </c>
      <c r="P5168" s="7">
        <f>VLOOKUP(OPERAC[[#This Row],[especie]],[1]!ESPECIES[#All],6,0)</f>
        <v/>
      </c>
      <c r="Q5168" s="7">
        <f>IF(N5168&lt;&gt;0,P5168*N5168,0)</f>
        <v/>
      </c>
      <c r="R5168" s="8">
        <f>IF(Q5168&lt;&gt;0,Q5168+H5168+L5168,0)</f>
        <v/>
      </c>
      <c r="S5168" s="9">
        <f>VLOOKUP(OPERAC[[#This Row],[especie]],[1]!ESPECIES[#Data],9,FALSE)</f>
        <v/>
      </c>
    </row>
    <row r="5169">
      <c r="A5169" s="4" t="n">
        <v>13240</v>
      </c>
      <c r="B5169" s="5" t="n">
        <v>44616</v>
      </c>
      <c r="C5169" s="13" t="inlineStr">
        <is>
          <t>VTA</t>
        </is>
      </c>
      <c r="D5169" s="13" t="n">
        <v>32</v>
      </c>
      <c r="E5169" s="10">
        <f>IF(D5169&gt;0,VLOOKUP(OPERAC[[#This Row],[COD CART]],[1]!MatrizCortoLargoCyl[#All],3,0),"")</f>
        <v/>
      </c>
      <c r="F5169" s="1" t="inlineStr">
        <is>
          <t>COTY/CYL/8,50/18-03-22</t>
        </is>
      </c>
      <c r="G5169" s="6" t="n">
        <v>200</v>
      </c>
      <c r="H5169" s="6" t="n">
        <v>-1614.2812</v>
      </c>
      <c r="I5169" s="7">
        <f>-H5169/G5169</f>
        <v/>
      </c>
      <c r="J5169" s="11" t="n">
        <v>44636</v>
      </c>
      <c r="K5169" s="6" t="n">
        <v>200</v>
      </c>
      <c r="L5169" s="6" t="n">
        <v>1675.159</v>
      </c>
      <c r="M5169" s="7">
        <f>IF(N5169=0,+L5169+H5169,0)</f>
        <v/>
      </c>
      <c r="N5169" s="7">
        <f>IF((+G5169-K5169)=0,0,+G5169-K5169)</f>
        <v/>
      </c>
      <c r="O5169" s="7">
        <f>IF(N5169=0,0,(L5169+H5169)/-N5169)</f>
        <v/>
      </c>
      <c r="P5169" s="7">
        <f>VLOOKUP(OPERAC[[#This Row],[especie]],[1]!ESPECIES[#All],6,0)</f>
        <v/>
      </c>
      <c r="Q5169" s="7">
        <f>IF(N5169&lt;&gt;0,P5169*N5169,0)</f>
        <v/>
      </c>
      <c r="R5169" s="8">
        <f>IF(Q5169&lt;&gt;0,Q5169+H5169+L5169,0)</f>
        <v/>
      </c>
      <c r="S5169" s="9">
        <f>VLOOKUP(OPERAC[[#This Row],[especie]],[1]!ESPECIES[#Data],9,FALSE)</f>
        <v/>
      </c>
    </row>
    <row r="5170">
      <c r="A5170" s="4" t="n">
        <v>2203</v>
      </c>
      <c r="B5170" s="5" t="n">
        <v>44704</v>
      </c>
      <c r="C5170" s="13" t="inlineStr">
        <is>
          <t>VTA</t>
        </is>
      </c>
      <c r="D5170" s="13" t="n">
        <v>32</v>
      </c>
      <c r="E5170" s="10">
        <f>IF(D5170&gt;0,VLOOKUP(OPERAC[[#This Row],[COD CART]],[1]!MatrizCortoLargoCyl[#All],3,0),"")</f>
        <v/>
      </c>
      <c r="F5170" s="13" t="inlineStr">
        <is>
          <t>PLUG/CYL/21,00/24-06-22</t>
        </is>
      </c>
      <c r="G5170" s="6" t="n">
        <v>100</v>
      </c>
      <c r="H5170" s="6" t="n">
        <v>-1615.895</v>
      </c>
      <c r="I5170" s="7">
        <f>-H5170/G5170</f>
        <v/>
      </c>
      <c r="J5170" s="5" t="n"/>
      <c r="K5170" s="6" t="n"/>
      <c r="L5170" s="6" t="n"/>
      <c r="M5170" s="7">
        <f>IF(N5170=0,+L5170+H5170,0)</f>
        <v/>
      </c>
      <c r="N5170" s="7">
        <f>IF((+G5170-K5170)=0,0,+G5170-K5170)</f>
        <v/>
      </c>
      <c r="O5170" s="7">
        <f>IF(N5170=0,0,(L5170+H5170)/-N5170)</f>
        <v/>
      </c>
      <c r="P5170" s="7">
        <f>VLOOKUP(OPERAC[[#This Row],[especie]],[1]!ESPECIES[#All],6,0)</f>
        <v/>
      </c>
      <c r="Q5170" s="7">
        <f>IF(N5170&lt;&gt;0,P5170*N5170,0)</f>
        <v/>
      </c>
      <c r="R5170" s="8">
        <f>IF(Q5170&lt;&gt;0,Q5170+H5170+L5170,0)</f>
        <v/>
      </c>
      <c r="S5170" s="9">
        <f>VLOOKUP(OPERAC[[#This Row],[especie]],[1]!ESPECIES[#Data],9,FALSE)</f>
        <v/>
      </c>
    </row>
    <row r="5171">
      <c r="A5171" s="4" t="n">
        <v>7916</v>
      </c>
      <c r="B5171" s="5" t="n">
        <v>44648</v>
      </c>
      <c r="C5171" s="13" t="inlineStr">
        <is>
          <t>VTA</t>
        </is>
      </c>
      <c r="D5171" s="13" t="n">
        <v>32</v>
      </c>
      <c r="E5171" s="10">
        <f>IF(D5171&gt;0,VLOOKUP(OPERAC[[#This Row],[COD CART]],[1]!MatrizCortoLargoCyl[#All],3,0),"")</f>
        <v/>
      </c>
      <c r="F5171" s="13" t="inlineStr">
        <is>
          <t>F</t>
        </is>
      </c>
      <c r="G5171" s="6" t="n">
        <v>100</v>
      </c>
      <c r="H5171" s="6" t="n">
        <v>-1616.534</v>
      </c>
      <c r="I5171" s="7">
        <f>-H5171/G5171</f>
        <v/>
      </c>
      <c r="J5171" s="11" t="n">
        <v>44693</v>
      </c>
      <c r="K5171" s="6" t="n">
        <v>100</v>
      </c>
      <c r="L5171" s="6">
        <f>+OPERAC[[#This Row],[cantidad venta]]*12.415</f>
        <v/>
      </c>
      <c r="M5171" s="7">
        <f>IF(N5171=0,+L5171+H5171,0)</f>
        <v/>
      </c>
      <c r="N5171" s="7">
        <f>IF((+G5171-K5171)=0,0,+G5171-K5171)</f>
        <v/>
      </c>
      <c r="O5171" s="7">
        <f>IF(N5171=0,0,(L5171+H5171)/-N5171)</f>
        <v/>
      </c>
      <c r="P5171" s="7">
        <f>VLOOKUP(OPERAC[[#This Row],[especie]],[1]!ESPECIES[#All],6,0)</f>
        <v/>
      </c>
      <c r="Q5171" s="7">
        <f>IF(N5171&lt;&gt;0,P5171*N5171,0)</f>
        <v/>
      </c>
      <c r="R5171" s="8">
        <f>IF(Q5171&lt;&gt;0,Q5171+H5171+L5171,0)</f>
        <v/>
      </c>
      <c r="S5171" s="9">
        <f>VLOOKUP(OPERAC[[#This Row],[especie]],[1]!ESPECIES[#Data],9,FALSE)</f>
        <v/>
      </c>
    </row>
    <row r="5172">
      <c r="A5172" s="4" t="n">
        <v>12022</v>
      </c>
      <c r="B5172" s="5" t="n">
        <v>44648</v>
      </c>
      <c r="C5172" s="13" t="inlineStr">
        <is>
          <t>VTA</t>
        </is>
      </c>
      <c r="D5172" s="13" t="n">
        <v>32</v>
      </c>
      <c r="E5172" s="10">
        <f>IF(D5172&gt;0,VLOOKUP(OPERAC[[#This Row],[COD CART]],[1]!MatrizCortoLargoCyl[#All],3,0),"")</f>
        <v/>
      </c>
      <c r="F5172" s="13" t="inlineStr">
        <is>
          <t>F</t>
        </is>
      </c>
      <c r="G5172" s="6" t="n">
        <v>100</v>
      </c>
      <c r="H5172" s="6" t="n">
        <v>-1616.534</v>
      </c>
      <c r="I5172" s="7">
        <f>-H5172/G5172</f>
        <v/>
      </c>
      <c r="J5172" s="11" t="n">
        <v>44693</v>
      </c>
      <c r="K5172" s="6" t="n">
        <v>100</v>
      </c>
      <c r="L5172" s="6">
        <f>+OPERAC[[#This Row],[cantidad venta]]*12.415</f>
        <v/>
      </c>
      <c r="M5172" s="7">
        <f>IF(N5172=0,+L5172+H5172,0)</f>
        <v/>
      </c>
      <c r="N5172" s="7">
        <f>IF((+G5172-K5172)=0,0,+G5172-K5172)</f>
        <v/>
      </c>
      <c r="O5172" s="7">
        <f>IF(N5172=0,0,(L5172+H5172)/-N5172)</f>
        <v/>
      </c>
      <c r="P5172" s="7">
        <f>VLOOKUP(OPERAC[[#This Row],[especie]],[1]!ESPECIES[#All],6,0)</f>
        <v/>
      </c>
      <c r="Q5172" s="7">
        <f>IF(N5172&lt;&gt;0,P5172*N5172,0)</f>
        <v/>
      </c>
      <c r="R5172" s="8">
        <f>IF(Q5172&lt;&gt;0,Q5172+H5172+L5172,0)</f>
        <v/>
      </c>
      <c r="S5172" s="9">
        <f>VLOOKUP(OPERAC[[#This Row],[especie]],[1]!ESPECIES[#Data],9,FALSE)</f>
        <v/>
      </c>
    </row>
    <row r="5173">
      <c r="A5173" s="4" t="n">
        <v>22393</v>
      </c>
      <c r="B5173" s="5" t="n">
        <v>44648</v>
      </c>
      <c r="C5173" s="13" t="inlineStr">
        <is>
          <t>VTA</t>
        </is>
      </c>
      <c r="D5173" s="13" t="n">
        <v>32</v>
      </c>
      <c r="E5173" s="10">
        <f>IF(D5173&gt;0,VLOOKUP(OPERAC[[#This Row],[COD CART]],[1]!MatrizCortoLargoCyl[#All],3,0),"")</f>
        <v/>
      </c>
      <c r="F5173" s="13" t="inlineStr">
        <is>
          <t>F</t>
        </is>
      </c>
      <c r="G5173" s="6" t="n">
        <v>100</v>
      </c>
      <c r="H5173" s="6" t="n">
        <v>-1616.534</v>
      </c>
      <c r="I5173" s="7">
        <f>-H5173/G5173</f>
        <v/>
      </c>
      <c r="J5173" s="11" t="n"/>
      <c r="K5173" s="6" t="n"/>
      <c r="L5173" s="6" t="n"/>
      <c r="M5173" s="7">
        <f>IF(N5173=0,+L5173+H5173,0)</f>
        <v/>
      </c>
      <c r="N5173" s="7">
        <f>IF((+G5173-K5173)=0,0,+G5173-K5173)</f>
        <v/>
      </c>
      <c r="O5173" s="7">
        <f>IF(N5173=0,0,(L5173+H5173)/-N5173)</f>
        <v/>
      </c>
      <c r="P5173" s="7">
        <f>VLOOKUP(OPERAC[[#This Row],[especie]],[1]!ESPECIES[#All],6,0)</f>
        <v/>
      </c>
      <c r="Q5173" s="7">
        <f>IF(N5173&lt;&gt;0,P5173*N5173,0)</f>
        <v/>
      </c>
      <c r="R5173" s="8">
        <f>IF(Q5173&lt;&gt;0,Q5173+H5173+L5173,0)</f>
        <v/>
      </c>
      <c r="S5173" s="9">
        <f>VLOOKUP(OPERAC[[#This Row],[especie]],[1]!ESPECIES[#Data],9,FALSE)</f>
        <v/>
      </c>
    </row>
    <row r="5174">
      <c r="A5174" s="4" t="n">
        <v>3728</v>
      </c>
      <c r="B5174" s="5" t="n">
        <v>44543</v>
      </c>
      <c r="C5174" s="13" t="inlineStr">
        <is>
          <t>VTA</t>
        </is>
      </c>
      <c r="D5174" s="13" t="n">
        <v>40</v>
      </c>
      <c r="E5174" s="10">
        <f>IF(D5174&gt;0,VLOOKUP(OPERAC[[#This Row],[COD CART]],[1]!MatrizCortoLargoCyl[#All],3,0),"")</f>
        <v/>
      </c>
      <c r="F5174" s="13" t="inlineStr">
        <is>
          <t>SITS</t>
        </is>
      </c>
      <c r="G5174" s="6" t="n">
        <v>20000</v>
      </c>
      <c r="H5174" s="6" t="n">
        <v>-1617.6</v>
      </c>
      <c r="I5174" s="7">
        <f>-H5174/G5174</f>
        <v/>
      </c>
      <c r="J5174" s="11" t="n"/>
      <c r="K5174" s="6" t="n"/>
      <c r="L5174" s="6" t="n"/>
      <c r="M5174" s="7">
        <f>IF(N5174=0,+L5174+H5174,0)</f>
        <v/>
      </c>
      <c r="N5174" s="7">
        <f>IF((+G5174-K5174)=0,0,+G5174-K5174)</f>
        <v/>
      </c>
      <c r="O5174" s="7">
        <f>IF(N5174=0,0,(L5174+H5174)/-N5174)</f>
        <v/>
      </c>
      <c r="P5174" s="7">
        <f>VLOOKUP(OPERAC[[#This Row],[especie]],[1]!ESPECIES[#All],6,0)</f>
        <v/>
      </c>
      <c r="Q5174" s="7">
        <f>IF(N5174&lt;&gt;0,P5174*N5174,0)</f>
        <v/>
      </c>
      <c r="R5174" s="8">
        <f>IF(Q5174&lt;&gt;0,Q5174+H5174+L5174,0)</f>
        <v/>
      </c>
      <c r="S5174" s="9">
        <f>VLOOKUP(OPERAC[[#This Row],[especie]],[1]!ESPECIES[#Data],9,FALSE)</f>
        <v/>
      </c>
    </row>
    <row r="5175">
      <c r="A5175" s="4" t="n">
        <v>3853</v>
      </c>
      <c r="B5175" s="5" t="n">
        <v>44643</v>
      </c>
      <c r="C5175" s="13" t="inlineStr">
        <is>
          <t>VTA</t>
        </is>
      </c>
      <c r="D5175" s="13" t="n">
        <v>32</v>
      </c>
      <c r="E5175" s="10">
        <f>IF(D5175&gt;0,VLOOKUP(OPERAC[[#This Row],[COD CART]],[1]!MatrizCortoLargoCyl[#All],3,0),"")</f>
        <v/>
      </c>
      <c r="F5175" s="13" t="inlineStr">
        <is>
          <t>AAL/CYL/18,00/14-04-22</t>
        </is>
      </c>
      <c r="G5175" s="6" t="n">
        <v>100</v>
      </c>
      <c r="H5175" s="6" t="n">
        <v>-1619.461</v>
      </c>
      <c r="I5175" s="7">
        <f>-H5175/G5175</f>
        <v/>
      </c>
      <c r="J5175" s="11" t="n">
        <v>44652</v>
      </c>
      <c r="K5175" s="6">
        <f>+OPERAC[[#This Row],[cantidad]]</f>
        <v/>
      </c>
      <c r="L5175" s="6" t="n">
        <v>1731.356</v>
      </c>
      <c r="M5175" s="7">
        <f>IF(N5175=0,+L5175+H5175,0)</f>
        <v/>
      </c>
      <c r="N5175" s="7">
        <f>IF((+G5175-K5175)=0,0,+G5175-K5175)</f>
        <v/>
      </c>
      <c r="O5175" s="7">
        <f>IF(N5175=0,0,(L5175+H5175)/-N5175)</f>
        <v/>
      </c>
      <c r="P5175" s="7">
        <f>VLOOKUP(OPERAC[[#This Row],[especie]],[1]!ESPECIES[#All],6,0)</f>
        <v/>
      </c>
      <c r="Q5175" s="7">
        <f>IF(N5175&lt;&gt;0,P5175*N5175,0)</f>
        <v/>
      </c>
      <c r="R5175" s="8">
        <f>IF(Q5175&lt;&gt;0,Q5175+H5175+L5175,0)</f>
        <v/>
      </c>
      <c r="S5175" s="9">
        <f>VLOOKUP(OPERAC[[#This Row],[especie]],[1]!ESPECIES[#Data],9,FALSE)</f>
        <v/>
      </c>
    </row>
    <row r="5176">
      <c r="A5176" s="4" t="n">
        <v>7493</v>
      </c>
      <c r="B5176" s="5" t="n">
        <v>44643</v>
      </c>
      <c r="C5176" s="13" t="inlineStr">
        <is>
          <t>VTA</t>
        </is>
      </c>
      <c r="D5176" s="13" t="n">
        <v>32</v>
      </c>
      <c r="E5176" s="10">
        <f>IF(D5176&gt;0,VLOOKUP(OPERAC[[#This Row],[COD CART]],[1]!MatrizCortoLargoCyl[#All],3,0),"")</f>
        <v/>
      </c>
      <c r="F5176" s="13" t="inlineStr">
        <is>
          <t>AAL/CYL/18,00/14-04-22</t>
        </is>
      </c>
      <c r="G5176" s="6" t="n">
        <v>100</v>
      </c>
      <c r="H5176" s="6" t="n">
        <v>-1619.461</v>
      </c>
      <c r="I5176" s="7">
        <f>-H5176/G5176</f>
        <v/>
      </c>
      <c r="J5176" s="11" t="n">
        <v>44652</v>
      </c>
      <c r="K5176" s="6">
        <f>+OPERAC[[#This Row],[cantidad]]</f>
        <v/>
      </c>
      <c r="L5176" s="6" t="n">
        <v>1731.356</v>
      </c>
      <c r="M5176" s="7">
        <f>IF(N5176=0,+L5176+H5176,0)</f>
        <v/>
      </c>
      <c r="N5176" s="7">
        <f>IF((+G5176-K5176)=0,0,+G5176-K5176)</f>
        <v/>
      </c>
      <c r="O5176" s="7">
        <f>IF(N5176=0,0,(L5176+H5176)/-N5176)</f>
        <v/>
      </c>
      <c r="P5176" s="7">
        <f>VLOOKUP(OPERAC[[#This Row],[especie]],[1]!ESPECIES[#All],6,0)</f>
        <v/>
      </c>
      <c r="Q5176" s="7">
        <f>IF(N5176&lt;&gt;0,P5176*N5176,0)</f>
        <v/>
      </c>
      <c r="R5176" s="8">
        <f>IF(Q5176&lt;&gt;0,Q5176+H5176+L5176,0)</f>
        <v/>
      </c>
      <c r="S5176" s="9">
        <f>VLOOKUP(OPERAC[[#This Row],[especie]],[1]!ESPECIES[#Data],9,FALSE)</f>
        <v/>
      </c>
    </row>
    <row r="5177">
      <c r="A5177" s="4" t="n">
        <v>16780</v>
      </c>
      <c r="B5177" s="5" t="n">
        <v>44643</v>
      </c>
      <c r="C5177" s="13" t="inlineStr">
        <is>
          <t>VTA</t>
        </is>
      </c>
      <c r="D5177" s="13" t="n">
        <v>32</v>
      </c>
      <c r="E5177" s="10">
        <f>IF(D5177&gt;0,VLOOKUP(OPERAC[[#This Row],[COD CART]],[1]!MatrizCortoLargoCyl[#All],3,0),"")</f>
        <v/>
      </c>
      <c r="F5177" s="13" t="inlineStr">
        <is>
          <t>AAL/CYL/18,00/14-04-22</t>
        </is>
      </c>
      <c r="G5177" s="6" t="n">
        <v>100</v>
      </c>
      <c r="H5177" s="6" t="n">
        <v>-1619.461</v>
      </c>
      <c r="I5177" s="7">
        <f>-H5177/G5177</f>
        <v/>
      </c>
      <c r="J5177" s="11" t="n">
        <v>44652</v>
      </c>
      <c r="K5177" s="6">
        <f>+OPERAC[[#This Row],[cantidad]]</f>
        <v/>
      </c>
      <c r="L5177" s="6" t="n">
        <v>1731.356</v>
      </c>
      <c r="M5177" s="7">
        <f>IF(N5177=0,+L5177+H5177,0)</f>
        <v/>
      </c>
      <c r="N5177" s="7">
        <f>IF((+G5177-K5177)=0,0,+G5177-K5177)</f>
        <v/>
      </c>
      <c r="O5177" s="7">
        <f>IF(N5177=0,0,(L5177+H5177)/-N5177)</f>
        <v/>
      </c>
      <c r="P5177" s="7">
        <f>VLOOKUP(OPERAC[[#This Row],[especie]],[1]!ESPECIES[#All],6,0)</f>
        <v/>
      </c>
      <c r="Q5177" s="7">
        <f>IF(N5177&lt;&gt;0,P5177*N5177,0)</f>
        <v/>
      </c>
      <c r="R5177" s="8">
        <f>IF(Q5177&lt;&gt;0,Q5177+H5177+L5177,0)</f>
        <v/>
      </c>
      <c r="S5177" s="9">
        <f>VLOOKUP(OPERAC[[#This Row],[especie]],[1]!ESPECIES[#Data],9,FALSE)</f>
        <v/>
      </c>
    </row>
    <row r="5178">
      <c r="A5178" s="4" t="n">
        <v>22393</v>
      </c>
      <c r="B5178" s="5" t="n">
        <v>44643</v>
      </c>
      <c r="C5178" s="13" t="inlineStr">
        <is>
          <t>VTA</t>
        </is>
      </c>
      <c r="D5178" s="13" t="n">
        <v>32</v>
      </c>
      <c r="E5178" s="10">
        <f>IF(D5178&gt;0,VLOOKUP(OPERAC[[#This Row],[COD CART]],[1]!MatrizCortoLargoCyl[#All],3,0),"")</f>
        <v/>
      </c>
      <c r="F5178" s="13" t="inlineStr">
        <is>
          <t>AAL/CYL/18,00/14-04-22</t>
        </is>
      </c>
      <c r="G5178" s="6" t="n">
        <v>100</v>
      </c>
      <c r="H5178" s="6" t="n">
        <v>-1619.461</v>
      </c>
      <c r="I5178" s="7">
        <f>-H5178/G5178</f>
        <v/>
      </c>
      <c r="J5178" s="11" t="n">
        <v>44652</v>
      </c>
      <c r="K5178" s="6">
        <f>+OPERAC[[#This Row],[cantidad]]</f>
        <v/>
      </c>
      <c r="L5178" s="6" t="n">
        <v>1731.356</v>
      </c>
      <c r="M5178" s="7">
        <f>IF(N5178=0,+L5178+H5178,0)</f>
        <v/>
      </c>
      <c r="N5178" s="7">
        <f>IF((+G5178-K5178)=0,0,+G5178-K5178)</f>
        <v/>
      </c>
      <c r="O5178" s="7">
        <f>IF(N5178=0,0,(L5178+H5178)/-N5178)</f>
        <v/>
      </c>
      <c r="P5178" s="7">
        <f>VLOOKUP(OPERAC[[#This Row],[especie]],[1]!ESPECIES[#All],6,0)</f>
        <v/>
      </c>
      <c r="Q5178" s="7">
        <f>IF(N5178&lt;&gt;0,P5178*N5178,0)</f>
        <v/>
      </c>
      <c r="R5178" s="8">
        <f>IF(Q5178&lt;&gt;0,Q5178+H5178+L5178,0)</f>
        <v/>
      </c>
      <c r="S5178" s="9">
        <f>VLOOKUP(OPERAC[[#This Row],[especie]],[1]!ESPECIES[#Data],9,FALSE)</f>
        <v/>
      </c>
    </row>
    <row r="5179">
      <c r="A5179" s="4" t="n">
        <v>3728</v>
      </c>
      <c r="B5179" s="5" t="n">
        <v>44643</v>
      </c>
      <c r="C5179" s="13" t="inlineStr">
        <is>
          <t>VTA</t>
        </is>
      </c>
      <c r="D5179" s="13" t="n">
        <v>32</v>
      </c>
      <c r="E5179" s="10">
        <f>IF(D5179&gt;0,VLOOKUP(OPERAC[[#This Row],[COD CART]],[1]!MatrizCortoLargoCyl[#All],3,0),"")</f>
        <v/>
      </c>
      <c r="F5179" s="13" t="inlineStr">
        <is>
          <t>AAL/CYL/18,00/14-04-22</t>
        </is>
      </c>
      <c r="G5179" s="6" t="n">
        <v>100</v>
      </c>
      <c r="H5179" s="6" t="n">
        <v>-1619.461</v>
      </c>
      <c r="I5179" s="7">
        <f>-H5179/G5179</f>
        <v/>
      </c>
      <c r="J5179" s="11" t="n">
        <v>44652</v>
      </c>
      <c r="K5179" s="6">
        <f>+OPERAC[[#This Row],[cantidad]]</f>
        <v/>
      </c>
      <c r="L5179" s="6" t="n">
        <v>1731.356</v>
      </c>
      <c r="M5179" s="7">
        <f>IF(N5179=0,+L5179+H5179,0)</f>
        <v/>
      </c>
      <c r="N5179" s="7">
        <f>IF((+G5179-K5179)=0,0,+G5179-K5179)</f>
        <v/>
      </c>
      <c r="O5179" s="7">
        <f>IF(N5179=0,0,(L5179+H5179)/-N5179)</f>
        <v/>
      </c>
      <c r="P5179" s="7">
        <f>VLOOKUP(OPERAC[[#This Row],[especie]],[1]!ESPECIES[#All],6,0)</f>
        <v/>
      </c>
      <c r="Q5179" s="7">
        <f>IF(N5179&lt;&gt;0,P5179*N5179,0)</f>
        <v/>
      </c>
      <c r="R5179" s="8">
        <f>IF(Q5179&lt;&gt;0,Q5179+H5179+L5179,0)</f>
        <v/>
      </c>
      <c r="S5179" s="9">
        <f>VLOOKUP(OPERAC[[#This Row],[especie]],[1]!ESPECIES[#Data],9,FALSE)</f>
        <v/>
      </c>
    </row>
    <row r="5180">
      <c r="A5180" s="4" t="n">
        <v>1760</v>
      </c>
      <c r="B5180" s="5" t="n">
        <v>44704</v>
      </c>
      <c r="C5180" s="13" t="inlineStr">
        <is>
          <t>VTA</t>
        </is>
      </c>
      <c r="D5180" s="13" t="n">
        <v>32</v>
      </c>
      <c r="E5180" s="10">
        <f>IF(D5180&gt;0,VLOOKUP(OPERAC[[#This Row],[COD CART]],[1]!MatrizCortoLargoCyl[#All],3,0),"")</f>
        <v/>
      </c>
      <c r="F5180" s="13" t="inlineStr">
        <is>
          <t>SPWR/CYL/20,00/24-06-22</t>
        </is>
      </c>
      <c r="G5180" s="6" t="n">
        <v>100</v>
      </c>
      <c r="H5180" s="6" t="n">
        <v>-1630.078</v>
      </c>
      <c r="I5180" s="7">
        <f>-H5180/G5180</f>
        <v/>
      </c>
      <c r="J5180" s="5" t="n"/>
      <c r="K5180" s="6" t="n"/>
      <c r="L5180" s="6" t="n"/>
      <c r="M5180" s="7">
        <f>IF(N5180=0,+L5180+H5180,0)</f>
        <v/>
      </c>
      <c r="N5180" s="7">
        <f>IF((+G5180-K5180)=0,0,+G5180-K5180)</f>
        <v/>
      </c>
      <c r="O5180" s="7">
        <f>IF(N5180=0,0,(L5180+H5180)/-N5180)</f>
        <v/>
      </c>
      <c r="P5180" s="7">
        <f>VLOOKUP(OPERAC[[#This Row],[especie]],[1]!ESPECIES[#All],6,0)</f>
        <v/>
      </c>
      <c r="Q5180" s="7">
        <f>IF(N5180&lt;&gt;0,P5180*N5180,0)</f>
        <v/>
      </c>
      <c r="R5180" s="8">
        <f>IF(Q5180&lt;&gt;0,Q5180+H5180+L5180,0)</f>
        <v/>
      </c>
      <c r="S5180" s="9">
        <f>VLOOKUP(OPERAC[[#This Row],[especie]],[1]!ESPECIES[#Data],9,FALSE)</f>
        <v/>
      </c>
    </row>
    <row r="5181">
      <c r="A5181" s="4" t="n">
        <v>1800</v>
      </c>
      <c r="B5181" s="5" t="n">
        <v>44704</v>
      </c>
      <c r="C5181" s="13" t="inlineStr">
        <is>
          <t>VTA</t>
        </is>
      </c>
      <c r="D5181" s="13" t="n">
        <v>32</v>
      </c>
      <c r="E5181" s="10">
        <f>IF(D5181&gt;0,VLOOKUP(OPERAC[[#This Row],[COD CART]],[1]!MatrizCortoLargoCyl[#All],3,0),"")</f>
        <v/>
      </c>
      <c r="F5181" s="13" t="inlineStr">
        <is>
          <t>SPWR/CYL/20,00/24-06-22</t>
        </is>
      </c>
      <c r="G5181" s="6" t="n">
        <v>100</v>
      </c>
      <c r="H5181" s="6" t="n">
        <v>-1630.078</v>
      </c>
      <c r="I5181" s="7">
        <f>-H5181/G5181</f>
        <v/>
      </c>
      <c r="J5181" s="5" t="n"/>
      <c r="K5181" s="6" t="n"/>
      <c r="L5181" s="6" t="n"/>
      <c r="M5181" s="7">
        <f>IF(N5181=0,+L5181+H5181,0)</f>
        <v/>
      </c>
      <c r="N5181" s="7">
        <f>IF((+G5181-K5181)=0,0,+G5181-K5181)</f>
        <v/>
      </c>
      <c r="O5181" s="7">
        <f>IF(N5181=0,0,(L5181+H5181)/-N5181)</f>
        <v/>
      </c>
      <c r="P5181" s="7">
        <f>VLOOKUP(OPERAC[[#This Row],[especie]],[1]!ESPECIES[#All],6,0)</f>
        <v/>
      </c>
      <c r="Q5181" s="7">
        <f>IF(N5181&lt;&gt;0,P5181*N5181,0)</f>
        <v/>
      </c>
      <c r="R5181" s="8">
        <f>IF(Q5181&lt;&gt;0,Q5181+H5181+L5181,0)</f>
        <v/>
      </c>
      <c r="S5181" s="9">
        <f>VLOOKUP(OPERAC[[#This Row],[especie]],[1]!ESPECIES[#Data],9,FALSE)</f>
        <v/>
      </c>
    </row>
    <row r="5182">
      <c r="A5182" s="4" t="n">
        <v>2194</v>
      </c>
      <c r="B5182" s="5" t="n">
        <v>44704</v>
      </c>
      <c r="C5182" s="13" t="inlineStr">
        <is>
          <t>VTA</t>
        </is>
      </c>
      <c r="D5182" s="13" t="n">
        <v>32</v>
      </c>
      <c r="E5182" s="10">
        <f>IF(D5182&gt;0,VLOOKUP(OPERAC[[#This Row],[COD CART]],[1]!MatrizCortoLargoCyl[#All],3,0),"")</f>
        <v/>
      </c>
      <c r="F5182" s="13" t="inlineStr">
        <is>
          <t>SPWR/CYL/20,00/24-06-22</t>
        </is>
      </c>
      <c r="G5182" s="6" t="n">
        <v>100</v>
      </c>
      <c r="H5182" s="6" t="n">
        <v>-1630.078</v>
      </c>
      <c r="I5182" s="7">
        <f>-H5182/G5182</f>
        <v/>
      </c>
      <c r="J5182" s="5" t="n"/>
      <c r="K5182" s="6" t="n"/>
      <c r="L5182" s="6" t="n"/>
      <c r="M5182" s="7">
        <f>IF(N5182=0,+L5182+H5182,0)</f>
        <v/>
      </c>
      <c r="N5182" s="7">
        <f>IF((+G5182-K5182)=0,0,+G5182-K5182)</f>
        <v/>
      </c>
      <c r="O5182" s="7">
        <f>IF(N5182=0,0,(L5182+H5182)/-N5182)</f>
        <v/>
      </c>
      <c r="P5182" s="7">
        <f>VLOOKUP(OPERAC[[#This Row],[especie]],[1]!ESPECIES[#All],6,0)</f>
        <v/>
      </c>
      <c r="Q5182" s="7">
        <f>IF(N5182&lt;&gt;0,P5182*N5182,0)</f>
        <v/>
      </c>
      <c r="R5182" s="8">
        <f>IF(Q5182&lt;&gt;0,Q5182+H5182+L5182,0)</f>
        <v/>
      </c>
      <c r="S5182" s="9">
        <f>VLOOKUP(OPERAC[[#This Row],[especie]],[1]!ESPECIES[#Data],9,FALSE)</f>
        <v/>
      </c>
    </row>
    <row r="5183">
      <c r="A5183" s="4" t="n">
        <v>2203</v>
      </c>
      <c r="B5183" s="5" t="n">
        <v>44704</v>
      </c>
      <c r="C5183" s="13" t="inlineStr">
        <is>
          <t>VTA</t>
        </is>
      </c>
      <c r="D5183" s="13" t="n">
        <v>32</v>
      </c>
      <c r="E5183" s="10">
        <f>IF(D5183&gt;0,VLOOKUP(OPERAC[[#This Row],[COD CART]],[1]!MatrizCortoLargoCyl[#All],3,0),"")</f>
        <v/>
      </c>
      <c r="F5183" s="13" t="inlineStr">
        <is>
          <t>SPWR/CYL/20,00/24-06-22</t>
        </is>
      </c>
      <c r="G5183" s="6" t="n">
        <v>100</v>
      </c>
      <c r="H5183" s="6" t="n">
        <v>-1630.078</v>
      </c>
      <c r="I5183" s="7">
        <f>-H5183/G5183</f>
        <v/>
      </c>
      <c r="J5183" s="5" t="n"/>
      <c r="K5183" s="6" t="n"/>
      <c r="L5183" s="6" t="n"/>
      <c r="M5183" s="7">
        <f>IF(N5183=0,+L5183+H5183,0)</f>
        <v/>
      </c>
      <c r="N5183" s="7">
        <f>IF((+G5183-K5183)=0,0,+G5183-K5183)</f>
        <v/>
      </c>
      <c r="O5183" s="7">
        <f>IF(N5183=0,0,(L5183+H5183)/-N5183)</f>
        <v/>
      </c>
      <c r="P5183" s="7">
        <f>VLOOKUP(OPERAC[[#This Row],[especie]],[1]!ESPECIES[#All],6,0)</f>
        <v/>
      </c>
      <c r="Q5183" s="7">
        <f>IF(N5183&lt;&gt;0,P5183*N5183,0)</f>
        <v/>
      </c>
      <c r="R5183" s="8">
        <f>IF(Q5183&lt;&gt;0,Q5183+H5183+L5183,0)</f>
        <v/>
      </c>
      <c r="S5183" s="9">
        <f>VLOOKUP(OPERAC[[#This Row],[especie]],[1]!ESPECIES[#Data],9,FALSE)</f>
        <v/>
      </c>
    </row>
    <row r="5184">
      <c r="A5184" s="4" t="n">
        <v>2257</v>
      </c>
      <c r="B5184" s="5" t="n">
        <v>44704</v>
      </c>
      <c r="C5184" s="13" t="inlineStr">
        <is>
          <t>VTA</t>
        </is>
      </c>
      <c r="D5184" s="13" t="n">
        <v>32</v>
      </c>
      <c r="E5184" s="10">
        <f>IF(D5184&gt;0,VLOOKUP(OPERAC[[#This Row],[COD CART]],[1]!MatrizCortoLargoCyl[#All],3,0),"")</f>
        <v/>
      </c>
      <c r="F5184" s="13" t="inlineStr">
        <is>
          <t>SPWR/CYL/20,00/24-06-22</t>
        </is>
      </c>
      <c r="G5184" s="6" t="n">
        <v>100</v>
      </c>
      <c r="H5184" s="6" t="n">
        <v>-1630.078</v>
      </c>
      <c r="I5184" s="7">
        <f>-H5184/G5184</f>
        <v/>
      </c>
      <c r="J5184" s="5" t="n"/>
      <c r="K5184" s="6" t="n"/>
      <c r="L5184" s="6" t="n"/>
      <c r="M5184" s="7">
        <f>IF(N5184=0,+L5184+H5184,0)</f>
        <v/>
      </c>
      <c r="N5184" s="7">
        <f>IF((+G5184-K5184)=0,0,+G5184-K5184)</f>
        <v/>
      </c>
      <c r="O5184" s="7">
        <f>IF(N5184=0,0,(L5184+H5184)/-N5184)</f>
        <v/>
      </c>
      <c r="P5184" s="7">
        <f>VLOOKUP(OPERAC[[#This Row],[especie]],[1]!ESPECIES[#All],6,0)</f>
        <v/>
      </c>
      <c r="Q5184" s="7">
        <f>IF(N5184&lt;&gt;0,P5184*N5184,0)</f>
        <v/>
      </c>
      <c r="R5184" s="8">
        <f>IF(Q5184&lt;&gt;0,Q5184+H5184+L5184,0)</f>
        <v/>
      </c>
      <c r="S5184" s="9">
        <f>VLOOKUP(OPERAC[[#This Row],[especie]],[1]!ESPECIES[#Data],9,FALSE)</f>
        <v/>
      </c>
    </row>
    <row r="5185">
      <c r="A5185" s="4" t="n">
        <v>4543</v>
      </c>
      <c r="B5185" s="5" t="n">
        <v>44704</v>
      </c>
      <c r="C5185" s="13" t="inlineStr">
        <is>
          <t>VTA</t>
        </is>
      </c>
      <c r="D5185" s="13" t="n">
        <v>32</v>
      </c>
      <c r="E5185" s="10">
        <f>IF(D5185&gt;0,VLOOKUP(OPERAC[[#This Row],[COD CART]],[1]!MatrizCortoLargoCyl[#All],3,0),"")</f>
        <v/>
      </c>
      <c r="F5185" s="13" t="inlineStr">
        <is>
          <t>SPWR/CYL/20,00/24-06-22</t>
        </is>
      </c>
      <c r="G5185" s="6" t="n">
        <v>100</v>
      </c>
      <c r="H5185" s="6" t="n">
        <v>-1630.078</v>
      </c>
      <c r="I5185" s="7">
        <f>-H5185/G5185</f>
        <v/>
      </c>
      <c r="J5185" s="5" t="n"/>
      <c r="K5185" s="6" t="n"/>
      <c r="L5185" s="6" t="n"/>
      <c r="M5185" s="7">
        <f>IF(N5185=0,+L5185+H5185,0)</f>
        <v/>
      </c>
      <c r="N5185" s="7">
        <f>IF((+G5185-K5185)=0,0,+G5185-K5185)</f>
        <v/>
      </c>
      <c r="O5185" s="7">
        <f>IF(N5185=0,0,(L5185+H5185)/-N5185)</f>
        <v/>
      </c>
      <c r="P5185" s="7">
        <f>VLOOKUP(OPERAC[[#This Row],[especie]],[1]!ESPECIES[#All],6,0)</f>
        <v/>
      </c>
      <c r="Q5185" s="7">
        <f>IF(N5185&lt;&gt;0,P5185*N5185,0)</f>
        <v/>
      </c>
      <c r="R5185" s="8">
        <f>IF(Q5185&lt;&gt;0,Q5185+H5185+L5185,0)</f>
        <v/>
      </c>
      <c r="S5185" s="9">
        <f>VLOOKUP(OPERAC[[#This Row],[especie]],[1]!ESPECIES[#Data],9,FALSE)</f>
        <v/>
      </c>
    </row>
    <row r="5186">
      <c r="A5186" s="4" t="n">
        <v>6578</v>
      </c>
      <c r="B5186" s="5" t="n">
        <v>44704</v>
      </c>
      <c r="C5186" s="13" t="inlineStr">
        <is>
          <t>VTA</t>
        </is>
      </c>
      <c r="D5186" s="13" t="n">
        <v>32</v>
      </c>
      <c r="E5186" s="10">
        <f>IF(D5186&gt;0,VLOOKUP(OPERAC[[#This Row],[COD CART]],[1]!MatrizCortoLargoCyl[#All],3,0),"")</f>
        <v/>
      </c>
      <c r="F5186" s="13" t="inlineStr">
        <is>
          <t>SPWR/CYL/20,00/24-06-22</t>
        </is>
      </c>
      <c r="G5186" s="6" t="n">
        <v>100</v>
      </c>
      <c r="H5186" s="6" t="n">
        <v>-1630.078</v>
      </c>
      <c r="I5186" s="7">
        <f>-H5186/G5186</f>
        <v/>
      </c>
      <c r="J5186" s="5" t="n"/>
      <c r="K5186" s="6" t="n"/>
      <c r="L5186" s="6" t="n"/>
      <c r="M5186" s="7">
        <f>IF(N5186=0,+L5186+H5186,0)</f>
        <v/>
      </c>
      <c r="N5186" s="7">
        <f>IF((+G5186-K5186)=0,0,+G5186-K5186)</f>
        <v/>
      </c>
      <c r="O5186" s="7">
        <f>IF(N5186=0,0,(L5186+H5186)/-N5186)</f>
        <v/>
      </c>
      <c r="P5186" s="7">
        <f>VLOOKUP(OPERAC[[#This Row],[especie]],[1]!ESPECIES[#All],6,0)</f>
        <v/>
      </c>
      <c r="Q5186" s="7">
        <f>IF(N5186&lt;&gt;0,P5186*N5186,0)</f>
        <v/>
      </c>
      <c r="R5186" s="8">
        <f>IF(Q5186&lt;&gt;0,Q5186+H5186+L5186,0)</f>
        <v/>
      </c>
      <c r="S5186" s="9">
        <f>VLOOKUP(OPERAC[[#This Row],[especie]],[1]!ESPECIES[#Data],9,FALSE)</f>
        <v/>
      </c>
    </row>
    <row r="5187">
      <c r="A5187" s="4" t="n">
        <v>6628</v>
      </c>
      <c r="B5187" s="5" t="n">
        <v>44704</v>
      </c>
      <c r="C5187" s="13" t="inlineStr">
        <is>
          <t>VTA</t>
        </is>
      </c>
      <c r="D5187" s="13" t="n">
        <v>32</v>
      </c>
      <c r="E5187" s="10">
        <f>IF(D5187&gt;0,VLOOKUP(OPERAC[[#This Row],[COD CART]],[1]!MatrizCortoLargoCyl[#All],3,0),"")</f>
        <v/>
      </c>
      <c r="F5187" s="13" t="inlineStr">
        <is>
          <t>SPWR/CYL/20,00/24-06-22</t>
        </is>
      </c>
      <c r="G5187" s="6" t="n">
        <v>100</v>
      </c>
      <c r="H5187" s="6" t="n">
        <v>-1630.078</v>
      </c>
      <c r="I5187" s="7">
        <f>-H5187/G5187</f>
        <v/>
      </c>
      <c r="J5187" s="5" t="n"/>
      <c r="K5187" s="6" t="n"/>
      <c r="L5187" s="6" t="n"/>
      <c r="M5187" s="7">
        <f>IF(N5187=0,+L5187+H5187,0)</f>
        <v/>
      </c>
      <c r="N5187" s="7">
        <f>IF((+G5187-K5187)=0,0,+G5187-K5187)</f>
        <v/>
      </c>
      <c r="O5187" s="7">
        <f>IF(N5187=0,0,(L5187+H5187)/-N5187)</f>
        <v/>
      </c>
      <c r="P5187" s="7">
        <f>VLOOKUP(OPERAC[[#This Row],[especie]],[1]!ESPECIES[#All],6,0)</f>
        <v/>
      </c>
      <c r="Q5187" s="7">
        <f>IF(N5187&lt;&gt;0,P5187*N5187,0)</f>
        <v/>
      </c>
      <c r="R5187" s="8">
        <f>IF(Q5187&lt;&gt;0,Q5187+H5187+L5187,0)</f>
        <v/>
      </c>
      <c r="S5187" s="9">
        <f>VLOOKUP(OPERAC[[#This Row],[especie]],[1]!ESPECIES[#Data],9,FALSE)</f>
        <v/>
      </c>
    </row>
    <row r="5188">
      <c r="A5188" s="4" t="n">
        <v>13188</v>
      </c>
      <c r="B5188" s="5" t="n">
        <v>43831</v>
      </c>
      <c r="C5188" s="13" t="inlineStr">
        <is>
          <t>VTA</t>
        </is>
      </c>
      <c r="D5188" s="13" t="n">
        <v>41</v>
      </c>
      <c r="E5188" s="10">
        <f>IF(D5188&gt;0,VLOOKUP(OPERAC[[#This Row],[COD CART]],[1]!MatrizCortoLargoCyl[#All],3,0),"")</f>
        <v/>
      </c>
      <c r="F5188" s="13" t="inlineStr">
        <is>
          <t>YPF</t>
        </is>
      </c>
      <c r="G5188" s="6" t="n">
        <v>150</v>
      </c>
      <c r="H5188" s="6" t="n">
        <v>-1635</v>
      </c>
      <c r="I5188" s="7" t="n">
        <v>10.9</v>
      </c>
      <c r="J5188" s="5" t="n"/>
      <c r="K5188" s="6" t="n"/>
      <c r="L5188" s="6" t="n"/>
      <c r="M5188" s="7">
        <f>IF(N5188=0,+L5188+H5188,0)</f>
        <v/>
      </c>
      <c r="N5188" s="7">
        <f>IF((+G5188-K5188)=0,0,+G5188-K5188)</f>
        <v/>
      </c>
      <c r="O5188" s="7">
        <f>IF(N5188=0,0,(L5188+H5188)/-N5188)</f>
        <v/>
      </c>
      <c r="P5188" s="7">
        <f>VLOOKUP(OPERAC[[#This Row],[especie]],[1]!ESPECIES[#All],6,0)</f>
        <v/>
      </c>
      <c r="Q5188" s="7">
        <f>IF(N5188&lt;&gt;0,P5188*N5188,0)</f>
        <v/>
      </c>
      <c r="R5188" s="8">
        <f>IF(Q5188&lt;&gt;0,Q5188+H5188+L5188,0)</f>
        <v/>
      </c>
      <c r="S5188" s="9">
        <f>VLOOKUP(OPERAC[[#This Row],[especie]],[1]!ESPECIES[#Data],9,FALSE)</f>
        <v/>
      </c>
    </row>
    <row r="5189">
      <c r="A5189" s="4" t="n">
        <v>3787</v>
      </c>
      <c r="B5189" s="5" t="n">
        <v>44704</v>
      </c>
      <c r="C5189" s="13" t="inlineStr">
        <is>
          <t>VTA</t>
        </is>
      </c>
      <c r="D5189" s="13" t="n">
        <v>43</v>
      </c>
      <c r="E5189" s="10">
        <f>IF(D5189&gt;0,VLOOKUP(OPERAC[[#This Row],[COD CART]],[1]!MatrizCortoLargoCyl[#All],3,0),"")</f>
        <v/>
      </c>
      <c r="F5189" s="13" t="inlineStr">
        <is>
          <t>AAL/CYP/16,50-15,00/10-06-22</t>
        </is>
      </c>
      <c r="G5189" s="6" t="n">
        <v>100</v>
      </c>
      <c r="H5189" s="6">
        <f>-1623.93-16.136</f>
        <v/>
      </c>
      <c r="I5189" s="7">
        <f>-H5189/G5189</f>
        <v/>
      </c>
      <c r="J5189" s="5" t="n">
        <v>44722</v>
      </c>
      <c r="K5189" s="6" t="n">
        <v>100</v>
      </c>
      <c r="L5189" s="6" t="n">
        <v>1635.975</v>
      </c>
      <c r="M5189" s="7">
        <f>IF(N5189=0,+L5189+H5189,0)</f>
        <v/>
      </c>
      <c r="N5189" s="7">
        <f>IF((+G5189-K5189)=0,0,+G5189-K5189)</f>
        <v/>
      </c>
      <c r="O5189" s="7">
        <f>IF(N5189=0,0,(L5189+H5189)/-N5189)</f>
        <v/>
      </c>
      <c r="P5189" s="7">
        <f>VLOOKUP(OPERAC[[#This Row],[especie]],[1]!ESPECIES[#All],6,0)</f>
        <v/>
      </c>
      <c r="Q5189" s="7">
        <f>IF(N5189&lt;&gt;0,P5189*N5189,0)</f>
        <v/>
      </c>
      <c r="R5189" s="8">
        <f>IF(Q5189&lt;&gt;0,Q5189+H5189+L5189,0)</f>
        <v/>
      </c>
      <c r="S5189" s="9">
        <f>VLOOKUP(OPERAC[[#This Row],[especie]],[1]!ESPECIES[#Data],9,FALSE)</f>
        <v/>
      </c>
    </row>
    <row r="5190">
      <c r="A5190" s="4" t="n">
        <v>6578</v>
      </c>
      <c r="B5190" s="5" t="n">
        <v>44704</v>
      </c>
      <c r="C5190" s="13" t="inlineStr">
        <is>
          <t>VTA</t>
        </is>
      </c>
      <c r="D5190" s="13" t="n">
        <v>43</v>
      </c>
      <c r="E5190" s="10">
        <f>IF(D5190&gt;0,VLOOKUP(OPERAC[[#This Row],[COD CART]],[1]!MatrizCortoLargoCyl[#All],3,0),"")</f>
        <v/>
      </c>
      <c r="F5190" s="13" t="inlineStr">
        <is>
          <t>AAL/CYP/16,50-15,00/10-06-22</t>
        </is>
      </c>
      <c r="G5190" s="6" t="n">
        <v>100</v>
      </c>
      <c r="H5190" s="6">
        <f>-1623.93-16.136</f>
        <v/>
      </c>
      <c r="I5190" s="7">
        <f>-H5190/G5190</f>
        <v/>
      </c>
      <c r="J5190" s="5" t="n">
        <v>44722</v>
      </c>
      <c r="K5190" s="6" t="n">
        <v>100</v>
      </c>
      <c r="L5190" s="6" t="n">
        <v>1635.98</v>
      </c>
      <c r="M5190" s="7">
        <f>IF(N5190=0,+L5190+H5190,0)</f>
        <v/>
      </c>
      <c r="N5190" s="7">
        <f>IF((+G5190-K5190)=0,0,+G5190-K5190)</f>
        <v/>
      </c>
      <c r="O5190" s="7">
        <f>IF(N5190=0,0,(L5190+H5190)/-N5190)</f>
        <v/>
      </c>
      <c r="P5190" s="7">
        <f>VLOOKUP(OPERAC[[#This Row],[especie]],[1]!ESPECIES[#All],6,0)</f>
        <v/>
      </c>
      <c r="Q5190" s="7">
        <f>IF(N5190&lt;&gt;0,P5190*N5190,0)</f>
        <v/>
      </c>
      <c r="R5190" s="8">
        <f>IF(Q5190&lt;&gt;0,Q5190+H5190+L5190,0)</f>
        <v/>
      </c>
      <c r="S5190" s="9">
        <f>VLOOKUP(OPERAC[[#This Row],[especie]],[1]!ESPECIES[#Data],9,FALSE)</f>
        <v/>
      </c>
    </row>
    <row r="5191">
      <c r="A5191" s="4" t="n">
        <v>13188</v>
      </c>
      <c r="B5191" s="5" t="n">
        <v>44515</v>
      </c>
      <c r="C5191" s="13" t="inlineStr">
        <is>
          <t>VTA</t>
        </is>
      </c>
      <c r="D5191" s="13" t="n">
        <v>40</v>
      </c>
      <c r="E5191" s="10">
        <f>IF(D5191&gt;0,VLOOKUP(OPERAC[[#This Row],[COD CART]],[1]!MatrizCortoLargoCyl[#All],3,0),"")</f>
        <v/>
      </c>
      <c r="F5191" s="13" t="inlineStr">
        <is>
          <t>MELI</t>
        </is>
      </c>
      <c r="G5191" s="6" t="n">
        <v>1</v>
      </c>
      <c r="H5191" s="6" t="n">
        <v>-1640.30032</v>
      </c>
      <c r="I5191" s="7">
        <f>-H5191/G5191</f>
        <v/>
      </c>
      <c r="J5191" s="11" t="n">
        <v>44606</v>
      </c>
      <c r="K5191" s="6" t="n">
        <v>1</v>
      </c>
      <c r="L5191" s="6" t="n">
        <v>1073.609</v>
      </c>
      <c r="M5191" s="7">
        <f>IF(N5191=0,+L5191+H5191,0)</f>
        <v/>
      </c>
      <c r="N5191" s="7">
        <f>IF((+G5191-K5191)=0,0,+G5191-K5191)</f>
        <v/>
      </c>
      <c r="O5191" s="7">
        <f>IF(N5191=0,0,(L5191+H5191)/-N5191)</f>
        <v/>
      </c>
      <c r="P5191" s="7">
        <f>VLOOKUP(OPERAC[[#This Row],[especie]],[1]!ESPECIES[#All],6,0)</f>
        <v/>
      </c>
      <c r="Q5191" s="7">
        <f>IF(N5191&lt;&gt;0,P5191*N5191,0)</f>
        <v/>
      </c>
      <c r="R5191" s="8">
        <f>IF(Q5191&lt;&gt;0,Q5191+H5191+L5191,0)</f>
        <v/>
      </c>
      <c r="S5191" s="9">
        <f>VLOOKUP(OPERAC[[#This Row],[especie]],[1]!ESPECIES[#Data],9,FALSE)</f>
        <v/>
      </c>
    </row>
    <row r="5192">
      <c r="A5192" s="4" t="n">
        <v>3853</v>
      </c>
      <c r="B5192" s="5" t="n">
        <v>44587</v>
      </c>
      <c r="C5192" s="13" t="inlineStr">
        <is>
          <t>VTA</t>
        </is>
      </c>
      <c r="D5192" s="13" t="n">
        <v>40</v>
      </c>
      <c r="E5192" s="10">
        <f>IF(D5192&gt;0,VLOOKUP(OPERAC[[#This Row],[COD CART]],[1]!MatrizCortoLargoCyl[#All],3,0),"")</f>
        <v/>
      </c>
      <c r="F5192" s="13" t="inlineStr">
        <is>
          <t>AAPL</t>
        </is>
      </c>
      <c r="G5192" s="6" t="n">
        <v>10</v>
      </c>
      <c r="H5192" s="6" t="n">
        <v>-1640.5442</v>
      </c>
      <c r="I5192" s="7">
        <f>-H5192/G5192</f>
        <v/>
      </c>
      <c r="J5192" s="11" t="n">
        <v>44601</v>
      </c>
      <c r="K5192" s="6" t="n">
        <v>10</v>
      </c>
      <c r="L5192" s="6">
        <f>175.66*OPERAC[[#This Row],[cantidad venta]]</f>
        <v/>
      </c>
      <c r="M5192" s="7">
        <f>IF(N5192=0,+L5192+H5192,0)</f>
        <v/>
      </c>
      <c r="N5192" s="7">
        <f>IF((+G5192-K5192)=0,0,+G5192-K5192)</f>
        <v/>
      </c>
      <c r="O5192" s="7">
        <f>IF(N5192=0,0,(L5192+H5192)/-N5192)</f>
        <v/>
      </c>
      <c r="P5192" s="7">
        <f>VLOOKUP(OPERAC[[#This Row],[especie]],[1]!ESPECIES[#All],6,0)</f>
        <v/>
      </c>
      <c r="Q5192" s="7">
        <f>IF(N5192&lt;&gt;0,P5192*N5192,0)</f>
        <v/>
      </c>
      <c r="R5192" s="8">
        <f>IF(Q5192&lt;&gt;0,Q5192+H5192+L5192,0)</f>
        <v/>
      </c>
      <c r="S5192" s="9">
        <f>VLOOKUP(OPERAC[[#This Row],[especie]],[1]!ESPECIES[#Data],9,FALSE)</f>
        <v/>
      </c>
    </row>
    <row r="5193">
      <c r="A5193" s="4" t="n">
        <v>3867</v>
      </c>
      <c r="B5193" s="5" t="n">
        <v>44587</v>
      </c>
      <c r="C5193" s="13" t="inlineStr">
        <is>
          <t>VTA</t>
        </is>
      </c>
      <c r="D5193" s="13" t="n">
        <v>40</v>
      </c>
      <c r="E5193" s="10">
        <f>IF(D5193&gt;0,VLOOKUP(OPERAC[[#This Row],[COD CART]],[1]!MatrizCortoLargoCyl[#All],3,0),"")</f>
        <v/>
      </c>
      <c r="F5193" s="13" t="inlineStr">
        <is>
          <t>AAPL</t>
        </is>
      </c>
      <c r="G5193" s="6" t="n">
        <v>10</v>
      </c>
      <c r="H5193" s="6" t="n">
        <v>-1640.5442</v>
      </c>
      <c r="I5193" s="7">
        <f>-H5193/G5193</f>
        <v/>
      </c>
      <c r="J5193" s="11" t="n">
        <v>44601</v>
      </c>
      <c r="K5193" s="6" t="n">
        <v>10</v>
      </c>
      <c r="L5193" s="6">
        <f>175.66*OPERAC[[#This Row],[cantidad venta]]</f>
        <v/>
      </c>
      <c r="M5193" s="7">
        <f>IF(N5193=0,+L5193+H5193,0)</f>
        <v/>
      </c>
      <c r="N5193" s="7">
        <f>IF((+G5193-K5193)=0,0,+G5193-K5193)</f>
        <v/>
      </c>
      <c r="O5193" s="7">
        <f>IF(N5193=0,0,(L5193+H5193)/-N5193)</f>
        <v/>
      </c>
      <c r="P5193" s="7">
        <f>VLOOKUP(OPERAC[[#This Row],[especie]],[1]!ESPECIES[#All],6,0)</f>
        <v/>
      </c>
      <c r="Q5193" s="7">
        <f>IF(N5193&lt;&gt;0,P5193*N5193,0)</f>
        <v/>
      </c>
      <c r="R5193" s="8">
        <f>IF(Q5193&lt;&gt;0,Q5193+H5193+L5193,0)</f>
        <v/>
      </c>
      <c r="S5193" s="9">
        <f>VLOOKUP(OPERAC[[#This Row],[especie]],[1]!ESPECIES[#Data],9,FALSE)</f>
        <v/>
      </c>
    </row>
    <row r="5194">
      <c r="A5194" s="4" t="n">
        <v>16795</v>
      </c>
      <c r="B5194" s="5" t="n">
        <v>44587</v>
      </c>
      <c r="C5194" s="13" t="inlineStr">
        <is>
          <t>VTA</t>
        </is>
      </c>
      <c r="D5194" s="13" t="n">
        <v>40</v>
      </c>
      <c r="E5194" s="10">
        <f>IF(D5194&gt;0,VLOOKUP(OPERAC[[#This Row],[COD CART]],[1]!MatrizCortoLargoCyl[#All],3,0),"")</f>
        <v/>
      </c>
      <c r="F5194" s="13" t="inlineStr">
        <is>
          <t>AAPL</t>
        </is>
      </c>
      <c r="G5194" s="6" t="n">
        <v>10</v>
      </c>
      <c r="H5194" s="6" t="n">
        <v>-1640.5442</v>
      </c>
      <c r="I5194" s="7">
        <f>-H5194/G5194</f>
        <v/>
      </c>
      <c r="J5194" s="11" t="n">
        <v>44601</v>
      </c>
      <c r="K5194" s="6" t="n">
        <v>10</v>
      </c>
      <c r="L5194" s="6">
        <f>175.66*OPERAC[[#This Row],[cantidad venta]]</f>
        <v/>
      </c>
      <c r="M5194" s="7">
        <f>IF(N5194=0,+L5194+H5194,0)</f>
        <v/>
      </c>
      <c r="N5194" s="7">
        <f>IF((+G5194-K5194)=0,0,+G5194-K5194)</f>
        <v/>
      </c>
      <c r="O5194" s="7">
        <f>IF(N5194=0,0,(L5194+H5194)/-N5194)</f>
        <v/>
      </c>
      <c r="P5194" s="7">
        <f>VLOOKUP(OPERAC[[#This Row],[especie]],[1]!ESPECIES[#All],6,0)</f>
        <v/>
      </c>
      <c r="Q5194" s="7">
        <f>IF(N5194&lt;&gt;0,P5194*N5194,0)</f>
        <v/>
      </c>
      <c r="R5194" s="8">
        <f>IF(Q5194&lt;&gt;0,Q5194+H5194+L5194,0)</f>
        <v/>
      </c>
      <c r="S5194" s="9">
        <f>VLOOKUP(OPERAC[[#This Row],[especie]],[1]!ESPECIES[#Data],9,FALSE)</f>
        <v/>
      </c>
    </row>
    <row r="5195">
      <c r="A5195" s="4" t="n">
        <v>15194</v>
      </c>
      <c r="B5195" s="5" t="n">
        <v>44649</v>
      </c>
      <c r="C5195" s="13" t="inlineStr">
        <is>
          <t>VTA</t>
        </is>
      </c>
      <c r="D5195" s="13" t="n">
        <v>32</v>
      </c>
      <c r="E5195" s="10">
        <f>IF(D5195&gt;0,VLOOKUP(OPERAC[[#This Row],[COD CART]],[1]!MatrizCortoLargoCyl[#All],3,0),"")</f>
        <v/>
      </c>
      <c r="F5195" s="13" t="inlineStr">
        <is>
          <t>EDIT/CYL/17,50/15-07-22</t>
        </is>
      </c>
      <c r="G5195" s="6" t="n">
        <v>100</v>
      </c>
      <c r="H5195" s="6">
        <f>-1661.88+19.83</f>
        <v/>
      </c>
      <c r="I5195" s="7">
        <f>-H5195/G5195</f>
        <v/>
      </c>
      <c r="J5195" s="11" t="n"/>
      <c r="K5195" s="6" t="n"/>
      <c r="L5195" s="6" t="n"/>
      <c r="M5195" s="7">
        <f>IF(N5195=0,+L5195+H5195,0)</f>
        <v/>
      </c>
      <c r="N5195" s="7">
        <f>IF((+G5195-K5195)=0,0,+G5195-K5195)</f>
        <v/>
      </c>
      <c r="O5195" s="7">
        <f>IF(N5195=0,0,(L5195+H5195)/-N5195)</f>
        <v/>
      </c>
      <c r="P5195" s="7">
        <f>VLOOKUP(OPERAC[[#This Row],[especie]],[1]!ESPECIES[#All],6,0)</f>
        <v/>
      </c>
      <c r="Q5195" s="7">
        <f>IF(N5195&lt;&gt;0,P5195*N5195,0)</f>
        <v/>
      </c>
      <c r="R5195" s="8">
        <f>IF(Q5195&lt;&gt;0,Q5195+H5195+L5195,0)</f>
        <v/>
      </c>
      <c r="S5195" s="9">
        <f>VLOOKUP(OPERAC[[#This Row],[especie]],[1]!ESPECIES[#Data],9,FALSE)</f>
        <v/>
      </c>
    </row>
    <row r="5196">
      <c r="A5196" s="4" t="n">
        <v>13180</v>
      </c>
      <c r="B5196" s="5" t="n">
        <v>44461</v>
      </c>
      <c r="C5196" s="13" t="inlineStr">
        <is>
          <t>VTA</t>
        </is>
      </c>
      <c r="D5196" s="13" t="n">
        <v>40</v>
      </c>
      <c r="E5196" s="10">
        <f>IF(D5196&gt;0,VLOOKUP(OPERAC[[#This Row],[COD CART]],[1]!MatrizCortoLargoCyl[#All],3,0),"")</f>
        <v/>
      </c>
      <c r="F5196" s="13" t="inlineStr">
        <is>
          <t>EDU</t>
        </is>
      </c>
      <c r="G5196" s="6" t="n">
        <v>1500</v>
      </c>
      <c r="H5196" s="6">
        <f>-3016.38+667.96+646.28+0.04*OPERAC[[#This Row],[cantidad]]</f>
        <v/>
      </c>
      <c r="I5196" s="7">
        <f>-H5196/G5196</f>
        <v/>
      </c>
      <c r="J5196" s="11" t="n">
        <v>44630</v>
      </c>
      <c r="K5196" s="6" t="n">
        <v>1500</v>
      </c>
      <c r="L5196" s="6" t="n">
        <v>1721.356</v>
      </c>
      <c r="M5196" s="7">
        <f>IF(N5196=0,+L5196+H5196,0)</f>
        <v/>
      </c>
      <c r="N5196" s="7">
        <f>IF((+G5196-K5196)=0,0,+G5196-K5196)</f>
        <v/>
      </c>
      <c r="O5196" s="7">
        <f>IF(N5196=0,0,(L5196+H5196)/-N5196)</f>
        <v/>
      </c>
      <c r="P5196" s="7">
        <f>VLOOKUP(OPERAC[[#This Row],[especie]],[1]!ESPECIES[#All],6,0)</f>
        <v/>
      </c>
      <c r="Q5196" s="7">
        <f>IF(N5196&lt;&gt;0,P5196*N5196,0)</f>
        <v/>
      </c>
      <c r="R5196" s="8">
        <f>IF(Q5196&lt;&gt;0,Q5196+H5196+L5196,0)</f>
        <v/>
      </c>
      <c r="S5196" s="9">
        <f>VLOOKUP(OPERAC[[#This Row],[especie]],[1]!ESPECIES[#Data],9,FALSE)</f>
        <v/>
      </c>
    </row>
    <row r="5197">
      <c r="A5197" s="4" t="n">
        <v>12662</v>
      </c>
      <c r="B5197" s="5" t="n">
        <v>44643</v>
      </c>
      <c r="C5197" s="13" t="inlineStr">
        <is>
          <t>VTA</t>
        </is>
      </c>
      <c r="D5197" s="13" t="n">
        <v>32</v>
      </c>
      <c r="E5197" s="10">
        <f>IF(D5197&gt;0,VLOOKUP(OPERAC[[#This Row],[COD CART]],[1]!MatrizCortoLargoCyl[#All],3,0),"")</f>
        <v/>
      </c>
      <c r="F5197" s="13" t="inlineStr">
        <is>
          <t>EDIT/CYL/17,00/14-04-22</t>
        </is>
      </c>
      <c r="G5197" s="6" t="n">
        <v>100</v>
      </c>
      <c r="H5197" s="6" t="n">
        <v>-1650.54</v>
      </c>
      <c r="I5197" s="7">
        <f>-H5197/G5197</f>
        <v/>
      </c>
      <c r="J5197" s="11" t="n">
        <v>44648</v>
      </c>
      <c r="K5197" s="6" t="n">
        <v>100</v>
      </c>
      <c r="L5197" s="6">
        <f>-202.298+1898.018</f>
        <v/>
      </c>
      <c r="M5197" s="7">
        <f>IF(N5197=0,+L5197+H5197,0)</f>
        <v/>
      </c>
      <c r="N5197" s="7">
        <f>IF((+G5197-K5197)=0,0,+G5197-K5197)</f>
        <v/>
      </c>
      <c r="O5197" s="7">
        <f>IF(N5197=0,0,(L5197+H5197)/-N5197)</f>
        <v/>
      </c>
      <c r="P5197" s="7">
        <f>VLOOKUP(OPERAC[[#This Row],[especie]],[1]!ESPECIES[#All],6,0)</f>
        <v/>
      </c>
      <c r="Q5197" s="7">
        <f>IF(N5197&lt;&gt;0,P5197*N5197,0)</f>
        <v/>
      </c>
      <c r="R5197" s="8">
        <f>IF(Q5197&lt;&gt;0,Q5197+H5197+L5197,0)</f>
        <v/>
      </c>
      <c r="S5197" s="9">
        <f>VLOOKUP(OPERAC[[#This Row],[especie]],[1]!ESPECIES[#Data],9,FALSE)</f>
        <v/>
      </c>
    </row>
    <row r="5198">
      <c r="A5198" s="4" t="n">
        <v>12690</v>
      </c>
      <c r="B5198" s="5" t="n">
        <v>44643</v>
      </c>
      <c r="C5198" s="13" t="inlineStr">
        <is>
          <t>VTA</t>
        </is>
      </c>
      <c r="D5198" s="13" t="n">
        <v>32</v>
      </c>
      <c r="E5198" s="10">
        <f>IF(D5198&gt;0,VLOOKUP(OPERAC[[#This Row],[COD CART]],[1]!MatrizCortoLargoCyl[#All],3,0),"")</f>
        <v/>
      </c>
      <c r="F5198" s="13" t="inlineStr">
        <is>
          <t>EDIT/CYL/17,00/14-04-22</t>
        </is>
      </c>
      <c r="G5198" s="6" t="n">
        <v>100</v>
      </c>
      <c r="H5198" s="6" t="n">
        <v>-1650.54</v>
      </c>
      <c r="I5198" s="7">
        <f>-H5198/G5198</f>
        <v/>
      </c>
      <c r="J5198" s="11" t="n">
        <v>44648</v>
      </c>
      <c r="K5198" s="6" t="n">
        <v>100</v>
      </c>
      <c r="L5198" s="6">
        <f>-202.298+1898.018</f>
        <v/>
      </c>
      <c r="M5198" s="7">
        <f>IF(N5198=0,+L5198+H5198,0)</f>
        <v/>
      </c>
      <c r="N5198" s="7">
        <f>IF((+G5198-K5198)=0,0,+G5198-K5198)</f>
        <v/>
      </c>
      <c r="O5198" s="7">
        <f>IF(N5198=0,0,(L5198+H5198)/-N5198)</f>
        <v/>
      </c>
      <c r="P5198" s="7">
        <f>VLOOKUP(OPERAC[[#This Row],[especie]],[1]!ESPECIES[#All],6,0)</f>
        <v/>
      </c>
      <c r="Q5198" s="7">
        <f>IF(N5198&lt;&gt;0,P5198*N5198,0)</f>
        <v/>
      </c>
      <c r="R5198" s="8">
        <f>IF(Q5198&lt;&gt;0,Q5198+H5198+L5198,0)</f>
        <v/>
      </c>
      <c r="S5198" s="9">
        <f>VLOOKUP(OPERAC[[#This Row],[especie]],[1]!ESPECIES[#Data],9,FALSE)</f>
        <v/>
      </c>
    </row>
    <row r="5199">
      <c r="A5199" s="4" t="n">
        <v>13190</v>
      </c>
      <c r="B5199" s="5" t="n">
        <v>44643</v>
      </c>
      <c r="C5199" s="13" t="inlineStr">
        <is>
          <t>VTA</t>
        </is>
      </c>
      <c r="D5199" s="13" t="n">
        <v>32</v>
      </c>
      <c r="E5199" s="10">
        <f>IF(D5199&gt;0,VLOOKUP(OPERAC[[#This Row],[COD CART]],[1]!MatrizCortoLargoCyl[#All],3,0),"")</f>
        <v/>
      </c>
      <c r="F5199" s="13" t="inlineStr">
        <is>
          <t>EDIT/CYL/17,00/14-04-22</t>
        </is>
      </c>
      <c r="G5199" s="6" t="n">
        <v>100</v>
      </c>
      <c r="H5199" s="6" t="n">
        <v>-1650.54</v>
      </c>
      <c r="I5199" s="7">
        <f>-H5199/G5199</f>
        <v/>
      </c>
      <c r="J5199" s="11" t="n">
        <v>44648</v>
      </c>
      <c r="K5199" s="6" t="n">
        <v>100</v>
      </c>
      <c r="L5199" s="6">
        <f>-202.298+1898.018</f>
        <v/>
      </c>
      <c r="M5199" s="7">
        <f>IF(N5199=0,+L5199+H5199,0)</f>
        <v/>
      </c>
      <c r="N5199" s="7">
        <f>IF((+G5199-K5199)=0,0,+G5199-K5199)</f>
        <v/>
      </c>
      <c r="O5199" s="7">
        <f>IF(N5199=0,0,(L5199+H5199)/-N5199)</f>
        <v/>
      </c>
      <c r="P5199" s="7">
        <f>VLOOKUP(OPERAC[[#This Row],[especie]],[1]!ESPECIES[#All],6,0)</f>
        <v/>
      </c>
      <c r="Q5199" s="7">
        <f>IF(N5199&lt;&gt;0,P5199*N5199,0)</f>
        <v/>
      </c>
      <c r="R5199" s="8">
        <f>IF(Q5199&lt;&gt;0,Q5199+H5199+L5199,0)</f>
        <v/>
      </c>
      <c r="S5199" s="9">
        <f>VLOOKUP(OPERAC[[#This Row],[especie]],[1]!ESPECIES[#Data],9,FALSE)</f>
        <v/>
      </c>
    </row>
    <row r="5200">
      <c r="A5200" s="4" t="n">
        <v>13246</v>
      </c>
      <c r="B5200" s="5" t="n">
        <v>44643</v>
      </c>
      <c r="C5200" s="13" t="inlineStr">
        <is>
          <t>VTA</t>
        </is>
      </c>
      <c r="D5200" s="13" t="n">
        <v>32</v>
      </c>
      <c r="E5200" s="10">
        <f>IF(D5200&gt;0,VLOOKUP(OPERAC[[#This Row],[COD CART]],[1]!MatrizCortoLargoCyl[#All],3,0),"")</f>
        <v/>
      </c>
      <c r="F5200" s="13" t="inlineStr">
        <is>
          <t>EDIT/CYL/17,00/14-04-22</t>
        </is>
      </c>
      <c r="G5200" s="6" t="n">
        <v>100</v>
      </c>
      <c r="H5200" s="6" t="n">
        <v>-1650.54</v>
      </c>
      <c r="I5200" s="7">
        <f>-H5200/G5200</f>
        <v/>
      </c>
      <c r="J5200" s="11" t="n">
        <v>44648</v>
      </c>
      <c r="K5200" s="6" t="n">
        <v>100</v>
      </c>
      <c r="L5200" s="6">
        <f>-202.298+1898.018</f>
        <v/>
      </c>
      <c r="M5200" s="7">
        <f>IF(N5200=0,+L5200+H5200,0)</f>
        <v/>
      </c>
      <c r="N5200" s="7">
        <f>IF((+G5200-K5200)=0,0,+G5200-K5200)</f>
        <v/>
      </c>
      <c r="O5200" s="7">
        <f>IF(N5200=0,0,(L5200+H5200)/-N5200)</f>
        <v/>
      </c>
      <c r="P5200" s="7">
        <f>VLOOKUP(OPERAC[[#This Row],[especie]],[1]!ESPECIES[#All],6,0)</f>
        <v/>
      </c>
      <c r="Q5200" s="7">
        <f>IF(N5200&lt;&gt;0,P5200*N5200,0)</f>
        <v/>
      </c>
      <c r="R5200" s="8">
        <f>IF(Q5200&lt;&gt;0,Q5200+H5200+L5200,0)</f>
        <v/>
      </c>
      <c r="S5200" s="9">
        <f>VLOOKUP(OPERAC[[#This Row],[especie]],[1]!ESPECIES[#Data],9,FALSE)</f>
        <v/>
      </c>
    </row>
    <row r="5201">
      <c r="A5201" s="4" t="n">
        <v>15194</v>
      </c>
      <c r="B5201" s="5" t="n">
        <v>44643</v>
      </c>
      <c r="C5201" s="13" t="inlineStr">
        <is>
          <t>VTA</t>
        </is>
      </c>
      <c r="D5201" s="13" t="n">
        <v>32</v>
      </c>
      <c r="E5201" s="10">
        <f>IF(D5201&gt;0,VLOOKUP(OPERAC[[#This Row],[COD CART]],[1]!MatrizCortoLargoCyl[#All],3,0),"")</f>
        <v/>
      </c>
      <c r="F5201" s="13" t="inlineStr">
        <is>
          <t>EDIT/CYL/17,00/14-04-22</t>
        </is>
      </c>
      <c r="G5201" s="6" t="n">
        <v>100</v>
      </c>
      <c r="H5201" s="6" t="n">
        <v>-1650.54</v>
      </c>
      <c r="I5201" s="7">
        <f>-H5201/G5201</f>
        <v/>
      </c>
      <c r="J5201" s="11" t="n">
        <v>44648</v>
      </c>
      <c r="K5201" s="6" t="n">
        <v>100</v>
      </c>
      <c r="L5201" s="6">
        <f>-202.298+1898.018</f>
        <v/>
      </c>
      <c r="M5201" s="7">
        <f>IF(N5201=0,+L5201+H5201,0)</f>
        <v/>
      </c>
      <c r="N5201" s="7">
        <f>IF((+G5201-K5201)=0,0,+G5201-K5201)</f>
        <v/>
      </c>
      <c r="O5201" s="7">
        <f>IF(N5201=0,0,(L5201+H5201)/-N5201)</f>
        <v/>
      </c>
      <c r="P5201" s="7">
        <f>VLOOKUP(OPERAC[[#This Row],[especie]],[1]!ESPECIES[#All],6,0)</f>
        <v/>
      </c>
      <c r="Q5201" s="7">
        <f>IF(N5201&lt;&gt;0,P5201*N5201,0)</f>
        <v/>
      </c>
      <c r="R5201" s="8">
        <f>IF(Q5201&lt;&gt;0,Q5201+H5201+L5201,0)</f>
        <v/>
      </c>
      <c r="S5201" s="9">
        <f>VLOOKUP(OPERAC[[#This Row],[especie]],[1]!ESPECIES[#Data],9,FALSE)</f>
        <v/>
      </c>
    </row>
    <row r="5202">
      <c r="A5202" s="4" t="n">
        <v>18724</v>
      </c>
      <c r="B5202" s="5" t="n">
        <v>44643</v>
      </c>
      <c r="C5202" s="13" t="inlineStr">
        <is>
          <t>VTA</t>
        </is>
      </c>
      <c r="D5202" s="13" t="n">
        <v>32</v>
      </c>
      <c r="E5202" s="10">
        <f>IF(D5202&gt;0,VLOOKUP(OPERAC[[#This Row],[COD CART]],[1]!MatrizCortoLargoCyl[#All],3,0),"")</f>
        <v/>
      </c>
      <c r="F5202" s="13" t="inlineStr">
        <is>
          <t>EDIT/CYL/17,00/14-04-22</t>
        </is>
      </c>
      <c r="G5202" s="6" t="n">
        <v>100</v>
      </c>
      <c r="H5202" s="6" t="n">
        <v>-1650.54</v>
      </c>
      <c r="I5202" s="7">
        <f>-H5202/G5202</f>
        <v/>
      </c>
      <c r="J5202" s="11" t="n">
        <v>44648</v>
      </c>
      <c r="K5202" s="6" t="n">
        <v>100</v>
      </c>
      <c r="L5202" s="6">
        <f>-202.298+1898.018</f>
        <v/>
      </c>
      <c r="M5202" s="7">
        <f>IF(N5202=0,+L5202+H5202,0)</f>
        <v/>
      </c>
      <c r="N5202" s="7">
        <f>IF((+G5202-K5202)=0,0,+G5202-K5202)</f>
        <v/>
      </c>
      <c r="O5202" s="7">
        <f>IF(N5202=0,0,(L5202+H5202)/-N5202)</f>
        <v/>
      </c>
      <c r="P5202" s="7">
        <f>VLOOKUP(OPERAC[[#This Row],[especie]],[1]!ESPECIES[#All],6,0)</f>
        <v/>
      </c>
      <c r="Q5202" s="7">
        <f>IF(N5202&lt;&gt;0,P5202*N5202,0)</f>
        <v/>
      </c>
      <c r="R5202" s="8">
        <f>IF(Q5202&lt;&gt;0,Q5202+H5202+L5202,0)</f>
        <v/>
      </c>
      <c r="S5202" s="9">
        <f>VLOOKUP(OPERAC[[#This Row],[especie]],[1]!ESPECIES[#Data],9,FALSE)</f>
        <v/>
      </c>
    </row>
    <row r="5203">
      <c r="A5203" s="4" t="n">
        <v>19888</v>
      </c>
      <c r="B5203" s="5" t="n">
        <v>44643</v>
      </c>
      <c r="C5203" s="13" t="inlineStr">
        <is>
          <t>VTA</t>
        </is>
      </c>
      <c r="D5203" s="13" t="n">
        <v>32</v>
      </c>
      <c r="E5203" s="10">
        <f>IF(D5203&gt;0,VLOOKUP(OPERAC[[#This Row],[COD CART]],[1]!MatrizCortoLargoCyl[#All],3,0),"")</f>
        <v/>
      </c>
      <c r="F5203" s="13" t="inlineStr">
        <is>
          <t>EDIT/CYL/17,00/14-04-22</t>
        </is>
      </c>
      <c r="G5203" s="6" t="n">
        <v>100</v>
      </c>
      <c r="H5203" s="6" t="n">
        <v>-1650.54</v>
      </c>
      <c r="I5203" s="7">
        <f>-H5203/G5203</f>
        <v/>
      </c>
      <c r="J5203" s="11" t="n">
        <v>44648</v>
      </c>
      <c r="K5203" s="6" t="n">
        <v>100</v>
      </c>
      <c r="L5203" s="6">
        <f>-202.298+1898.018</f>
        <v/>
      </c>
      <c r="M5203" s="7">
        <f>IF(N5203=0,+L5203+H5203,0)</f>
        <v/>
      </c>
      <c r="N5203" s="7">
        <f>IF((+G5203-K5203)=0,0,+G5203-K5203)</f>
        <v/>
      </c>
      <c r="O5203" s="7">
        <f>IF(N5203=0,0,(L5203+H5203)/-N5203)</f>
        <v/>
      </c>
      <c r="P5203" s="7">
        <f>VLOOKUP(OPERAC[[#This Row],[especie]],[1]!ESPECIES[#All],6,0)</f>
        <v/>
      </c>
      <c r="Q5203" s="7">
        <f>IF(N5203&lt;&gt;0,P5203*N5203,0)</f>
        <v/>
      </c>
      <c r="R5203" s="8">
        <f>IF(Q5203&lt;&gt;0,Q5203+H5203+L5203,0)</f>
        <v/>
      </c>
      <c r="S5203" s="9">
        <f>VLOOKUP(OPERAC[[#This Row],[especie]],[1]!ESPECIES[#Data],9,FALSE)</f>
        <v/>
      </c>
    </row>
    <row r="5204">
      <c r="A5204" s="4" t="n">
        <v>20234</v>
      </c>
      <c r="B5204" s="5" t="n">
        <v>44643</v>
      </c>
      <c r="C5204" s="13" t="inlineStr">
        <is>
          <t>VTA</t>
        </is>
      </c>
      <c r="D5204" s="13" t="n">
        <v>32</v>
      </c>
      <c r="E5204" s="10">
        <f>IF(D5204&gt;0,VLOOKUP(OPERAC[[#This Row],[COD CART]],[1]!MatrizCortoLargoCyl[#All],3,0),"")</f>
        <v/>
      </c>
      <c r="F5204" s="13" t="inlineStr">
        <is>
          <t>EDIT/CYL/17,00/14-04-22</t>
        </is>
      </c>
      <c r="G5204" s="6" t="n">
        <v>100</v>
      </c>
      <c r="H5204" s="6" t="n">
        <v>-1650.54</v>
      </c>
      <c r="I5204" s="7">
        <f>-H5204/G5204</f>
        <v/>
      </c>
      <c r="J5204" s="11" t="n">
        <v>44648</v>
      </c>
      <c r="K5204" s="6" t="n">
        <v>100</v>
      </c>
      <c r="L5204" s="6">
        <f>-202.298+1898.018</f>
        <v/>
      </c>
      <c r="M5204" s="7">
        <f>IF(N5204=0,+L5204+H5204,0)</f>
        <v/>
      </c>
      <c r="N5204" s="7">
        <f>IF((+G5204-K5204)=0,0,+G5204-K5204)</f>
        <v/>
      </c>
      <c r="O5204" s="7">
        <f>IF(N5204=0,0,(L5204+H5204)/-N5204)</f>
        <v/>
      </c>
      <c r="P5204" s="7">
        <f>VLOOKUP(OPERAC[[#This Row],[especie]],[1]!ESPECIES[#All],6,0)</f>
        <v/>
      </c>
      <c r="Q5204" s="7">
        <f>IF(N5204&lt;&gt;0,P5204*N5204,0)</f>
        <v/>
      </c>
      <c r="R5204" s="8">
        <f>IF(Q5204&lt;&gt;0,Q5204+H5204+L5204,0)</f>
        <v/>
      </c>
      <c r="S5204" s="9">
        <f>VLOOKUP(OPERAC[[#This Row],[especie]],[1]!ESPECIES[#Data],9,FALSE)</f>
        <v/>
      </c>
    </row>
    <row r="5205">
      <c r="A5205" s="4" t="n">
        <v>22393</v>
      </c>
      <c r="B5205" s="5" t="n">
        <v>44342</v>
      </c>
      <c r="C5205" s="13" t="inlineStr">
        <is>
          <t>VTA</t>
        </is>
      </c>
      <c r="D5205" s="13" t="n">
        <v>31</v>
      </c>
      <c r="E5205" s="10">
        <f>IF(D5205&gt;0,VLOOKUP(OPERAC[[#This Row],[COD CART]],[1]!MatrizCortoLargoCyl[#All],3,0),"")</f>
        <v/>
      </c>
      <c r="F5205" s="13" t="inlineStr">
        <is>
          <t>KGC</t>
        </is>
      </c>
      <c r="G5205" s="6" t="n">
        <v>200</v>
      </c>
      <c r="H5205" s="6" t="n">
        <v>-1652.104</v>
      </c>
      <c r="I5205" s="7">
        <f>-H5205/G5205</f>
        <v/>
      </c>
      <c r="J5205" s="11" t="n">
        <v>44628</v>
      </c>
      <c r="K5205" s="6" t="n">
        <v>200</v>
      </c>
      <c r="L5205" s="6">
        <f>+OPERAC[[#This Row],[cantidad venta]]*5.5</f>
        <v/>
      </c>
      <c r="M5205" s="7">
        <f>IF(N5205=0,+L5205+H5205,0)</f>
        <v/>
      </c>
      <c r="N5205" s="7">
        <f>IF((+G5205-K5205)=0,0,+G5205-K5205)</f>
        <v/>
      </c>
      <c r="O5205" s="7">
        <f>IF(N5205=0,0,(L5205+H5205)/-N5205)</f>
        <v/>
      </c>
      <c r="P5205" s="7">
        <f>VLOOKUP(OPERAC[[#This Row],[especie]],[1]!ESPECIES[#All],6,0)</f>
        <v/>
      </c>
      <c r="Q5205" s="7">
        <f>IF(N5205&lt;&gt;0,P5205*N5205,0)</f>
        <v/>
      </c>
      <c r="R5205" s="8">
        <f>IF(Q5205&lt;&gt;0,Q5205+H5205+L5205,0)</f>
        <v/>
      </c>
      <c r="S5205" s="9">
        <f>VLOOKUP(OPERAC[[#This Row],[especie]],[1]!ESPECIES[#Data],9,FALSE)</f>
        <v/>
      </c>
    </row>
    <row r="5206">
      <c r="A5206" s="4" t="n">
        <v>13246</v>
      </c>
      <c r="B5206" s="5" t="n">
        <v>44649</v>
      </c>
      <c r="C5206" s="13" t="inlineStr">
        <is>
          <t>VTA</t>
        </is>
      </c>
      <c r="D5206" s="13" t="n">
        <v>32</v>
      </c>
      <c r="E5206" s="10">
        <f>IF(D5206&gt;0,VLOOKUP(OPERAC[[#This Row],[COD CART]],[1]!MatrizCortoLargoCyl[#All],3,0),"")</f>
        <v/>
      </c>
      <c r="F5206" s="13" t="inlineStr">
        <is>
          <t>EDIT/CYL/20,00/15-07-22</t>
        </is>
      </c>
      <c r="G5206" s="6" t="n">
        <v>100</v>
      </c>
      <c r="H5206" s="6">
        <f>-1661.88+7.932</f>
        <v/>
      </c>
      <c r="I5206" s="7">
        <f>-H5206/G5206</f>
        <v/>
      </c>
      <c r="J5206" s="11" t="n"/>
      <c r="K5206" s="6" t="n"/>
      <c r="L5206" s="6" t="n"/>
      <c r="M5206" s="7">
        <f>IF(N5206=0,+L5206+H5206,0)</f>
        <v/>
      </c>
      <c r="N5206" s="7">
        <f>IF((+G5206-K5206)=0,0,+G5206-K5206)</f>
        <v/>
      </c>
      <c r="O5206" s="7">
        <f>IF(N5206=0,0,(L5206+H5206)/-N5206)</f>
        <v/>
      </c>
      <c r="P5206" s="7">
        <f>VLOOKUP(OPERAC[[#This Row],[especie]],[1]!ESPECIES[#All],6,0)</f>
        <v/>
      </c>
      <c r="Q5206" s="7">
        <f>IF(N5206&lt;&gt;0,P5206*N5206,0)</f>
        <v/>
      </c>
      <c r="R5206" s="8">
        <f>IF(Q5206&lt;&gt;0,Q5206+H5206+L5206,0)</f>
        <v/>
      </c>
      <c r="S5206" s="9">
        <f>VLOOKUP(OPERAC[[#This Row],[especie]],[1]!ESPECIES[#Data],9,FALSE)</f>
        <v/>
      </c>
    </row>
    <row r="5207">
      <c r="A5207" s="4" t="n">
        <v>16783</v>
      </c>
      <c r="B5207" s="5" t="n">
        <v>44649</v>
      </c>
      <c r="C5207" s="13" t="inlineStr">
        <is>
          <t>VTA</t>
        </is>
      </c>
      <c r="D5207" s="13" t="n">
        <v>32</v>
      </c>
      <c r="E5207" s="10">
        <f>IF(D5207&gt;0,VLOOKUP(OPERAC[[#This Row],[COD CART]],[1]!MatrizCortoLargoCyl[#All],3,0),"")</f>
        <v/>
      </c>
      <c r="F5207" s="13" t="inlineStr">
        <is>
          <t>ARLO</t>
        </is>
      </c>
      <c r="G5207" s="6" t="n">
        <v>200</v>
      </c>
      <c r="H5207" s="6" t="n">
        <v>-1654.82</v>
      </c>
      <c r="I5207" s="7">
        <f>-H5207/G5207</f>
        <v/>
      </c>
      <c r="J5207" s="11" t="n"/>
      <c r="K5207" s="6" t="n"/>
      <c r="L5207" s="6" t="n"/>
      <c r="M5207" s="7">
        <f>IF(N5207=0,+L5207+H5207,0)</f>
        <v/>
      </c>
      <c r="N5207" s="7">
        <f>IF((+G5207-K5207)=0,0,+G5207-K5207)</f>
        <v/>
      </c>
      <c r="O5207" s="7">
        <f>IF(N5207=0,0,(L5207+H5207)/-N5207)</f>
        <v/>
      </c>
      <c r="P5207" s="7">
        <f>VLOOKUP(OPERAC[[#This Row],[especie]],[1]!ESPECIES[#All],6,0)</f>
        <v/>
      </c>
      <c r="Q5207" s="7">
        <f>IF(N5207&lt;&gt;0,P5207*N5207,0)</f>
        <v/>
      </c>
      <c r="R5207" s="8">
        <f>IF(Q5207&lt;&gt;0,Q5207+H5207+L5207,0)</f>
        <v/>
      </c>
      <c r="S5207" s="9">
        <f>VLOOKUP(OPERAC[[#This Row],[especie]],[1]!ESPECIES[#Data],9,FALSE)</f>
        <v/>
      </c>
    </row>
    <row r="5208">
      <c r="A5208" s="4" t="n">
        <v>13253</v>
      </c>
      <c r="B5208" s="5" t="n">
        <v>44582</v>
      </c>
      <c r="C5208" s="13" t="inlineStr">
        <is>
          <t>VTA</t>
        </is>
      </c>
      <c r="D5208" s="13" t="n">
        <v>41</v>
      </c>
      <c r="E5208" s="10">
        <f>IF(D5208&gt;0,VLOOKUP(OPERAC[[#This Row],[COD CART]],[1]!MatrizCortoLargoCyl[#All],3,0),"")</f>
        <v/>
      </c>
      <c r="F5208" s="13" t="inlineStr">
        <is>
          <t>DDD</t>
        </is>
      </c>
      <c r="G5208" s="6" t="n">
        <v>100</v>
      </c>
      <c r="H5208" s="6">
        <f>-1799.272+35.964+52+34.7-23.196+43.626</f>
        <v/>
      </c>
      <c r="I5208" s="7">
        <f>-H5208/G5208</f>
        <v/>
      </c>
      <c r="J5208" s="11" t="n"/>
      <c r="K5208" s="6" t="n"/>
      <c r="L5208" s="6" t="n"/>
      <c r="M5208" s="7">
        <f>IF(N5208=0,+L5208+H5208,0)</f>
        <v/>
      </c>
      <c r="N5208" s="7">
        <f>IF((+G5208-K5208)=0,0,+G5208-K5208)</f>
        <v/>
      </c>
      <c r="O5208" s="7">
        <f>IF(N5208=0,0,(L5208+H5208)/-N5208)</f>
        <v/>
      </c>
      <c r="P5208" s="7">
        <f>VLOOKUP(OPERAC[[#This Row],[especie]],[1]!ESPECIES[#All],6,0)</f>
        <v/>
      </c>
      <c r="Q5208" s="7">
        <f>IF(N5208&lt;&gt;0,P5208*N5208,0)</f>
        <v/>
      </c>
      <c r="R5208" s="8">
        <f>IF(Q5208&lt;&gt;0,Q5208+H5208+L5208,0)</f>
        <v/>
      </c>
      <c r="S5208" s="9">
        <f>VLOOKUP(OPERAC[[#This Row],[especie]],[1]!ESPECIES[#Data],9,FALSE)</f>
        <v/>
      </c>
    </row>
    <row r="5209">
      <c r="A5209" s="4" t="n">
        <v>18690</v>
      </c>
      <c r="B5209" s="5" t="n">
        <v>44609</v>
      </c>
      <c r="C5209" s="13" t="inlineStr">
        <is>
          <t>VTA</t>
        </is>
      </c>
      <c r="D5209" s="13" t="n">
        <v>32</v>
      </c>
      <c r="E5209" s="10">
        <f>IF(D5209&gt;0,VLOOKUP(OPERAC[[#This Row],[COD CART]],[1]!MatrizCortoLargoCyl[#All],3,0),"")</f>
        <v/>
      </c>
      <c r="F5209" s="13" t="inlineStr">
        <is>
          <t>F</t>
        </is>
      </c>
      <c r="G5209" s="6" t="n">
        <v>100</v>
      </c>
      <c r="H5209" s="6">
        <f>-1715.2776+57.398</f>
        <v/>
      </c>
      <c r="I5209" s="7">
        <f>-H5209/G5209</f>
        <v/>
      </c>
      <c r="J5209" s="11" t="n">
        <v>44726</v>
      </c>
      <c r="K5209" s="6" t="n">
        <v>100</v>
      </c>
      <c r="L5209" s="6" t="n">
        <v>1169.5</v>
      </c>
      <c r="M5209" s="7">
        <f>IF(N5209=0,+L5209+H5209,0)</f>
        <v/>
      </c>
      <c r="N5209" s="7">
        <f>IF((+G5209-K5209)=0,0,+G5209-K5209)</f>
        <v/>
      </c>
      <c r="O5209" s="7">
        <f>IF(N5209=0,0,(L5209+H5209)/-N5209)</f>
        <v/>
      </c>
      <c r="P5209" s="7">
        <f>VLOOKUP(OPERAC[[#This Row],[especie]],[1]!ESPECIES[#All],6,0)</f>
        <v/>
      </c>
      <c r="Q5209" s="7">
        <f>IF(N5209&lt;&gt;0,P5209*N5209,0)</f>
        <v/>
      </c>
      <c r="R5209" s="8">
        <f>IF(Q5209&lt;&gt;0,Q5209+H5209+L5209,0)</f>
        <v/>
      </c>
      <c r="S5209" s="9">
        <f>VLOOKUP(OPERAC[[#This Row],[especie]],[1]!ESPECIES[#Data],9,FALSE)</f>
        <v/>
      </c>
    </row>
    <row r="5210">
      <c r="A5210" s="4" t="n">
        <v>1760</v>
      </c>
      <c r="B5210" s="5" t="n">
        <v>44607</v>
      </c>
      <c r="C5210" s="13" t="inlineStr">
        <is>
          <t>VTA</t>
        </is>
      </c>
      <c r="D5210" s="13" t="n">
        <v>32</v>
      </c>
      <c r="E5210" s="10">
        <f>IF(D5210&gt;0,VLOOKUP(OPERAC[[#This Row],[COD CART]],[1]!MatrizCortoLargoCyl[#All],3,0),"")</f>
        <v/>
      </c>
      <c r="F5210" s="13" t="inlineStr">
        <is>
          <t>F/CYL/17,00/18-03-22</t>
        </is>
      </c>
      <c r="G5210" s="6" t="n">
        <v>100</v>
      </c>
      <c r="H5210" s="6" t="n">
        <v>-1658.76</v>
      </c>
      <c r="I5210" s="7">
        <f>-H5210/G5210</f>
        <v/>
      </c>
      <c r="J5210" s="11" t="n">
        <v>44638</v>
      </c>
      <c r="K5210" s="6">
        <f>+OPERAC[[#This Row],[cantidad]]</f>
        <v/>
      </c>
      <c r="L5210" s="6">
        <f>+OPERAC[[#This Row],[cantidad venta]]*16.75</f>
        <v/>
      </c>
      <c r="M5210" s="7">
        <f>IF(N5210=0,+L5210+H5210,0)</f>
        <v/>
      </c>
      <c r="N5210" s="7">
        <f>IF((+G5210-K5210)=0,0,+G5210-K5210)</f>
        <v/>
      </c>
      <c r="O5210" s="7">
        <f>IF(N5210=0,0,(L5210+H5210)/-N5210)</f>
        <v/>
      </c>
      <c r="P5210" s="7">
        <f>VLOOKUP(OPERAC[[#This Row],[especie]],[1]!ESPECIES[#All],6,0)</f>
        <v/>
      </c>
      <c r="Q5210" s="7">
        <f>IF(N5210&lt;&gt;0,P5210*N5210,0)</f>
        <v/>
      </c>
      <c r="R5210" s="8">
        <f>IF(Q5210&lt;&gt;0,Q5210+H5210+L5210,0)</f>
        <v/>
      </c>
      <c r="S5210" s="9">
        <f>VLOOKUP(OPERAC[[#This Row],[especie]],[1]!ESPECIES[#Data],9,FALSE)</f>
        <v/>
      </c>
    </row>
    <row r="5211">
      <c r="A5211" s="4" t="n">
        <v>2218</v>
      </c>
      <c r="B5211" s="5" t="n">
        <v>44607</v>
      </c>
      <c r="C5211" s="13" t="inlineStr">
        <is>
          <t>VTA</t>
        </is>
      </c>
      <c r="D5211" s="13" t="n">
        <v>32</v>
      </c>
      <c r="E5211" s="10">
        <f>IF(D5211&gt;0,VLOOKUP(OPERAC[[#This Row],[COD CART]],[1]!MatrizCortoLargoCyl[#All],3,0),"")</f>
        <v/>
      </c>
      <c r="F5211" s="13" t="inlineStr">
        <is>
          <t>F/CYL/17,00/18-03-22</t>
        </is>
      </c>
      <c r="G5211" s="6" t="n">
        <v>100</v>
      </c>
      <c r="H5211" s="6" t="n">
        <v>-1658.76</v>
      </c>
      <c r="I5211" s="7">
        <f>-H5211/G5211</f>
        <v/>
      </c>
      <c r="J5211" s="11" t="n">
        <v>44638</v>
      </c>
      <c r="K5211" s="6">
        <f>+OPERAC[[#This Row],[cantidad]]</f>
        <v/>
      </c>
      <c r="L5211" s="6">
        <f>+OPERAC[[#This Row],[cantidad venta]]*16.75</f>
        <v/>
      </c>
      <c r="M5211" s="7">
        <f>IF(N5211=0,+L5211+H5211,0)</f>
        <v/>
      </c>
      <c r="N5211" s="7">
        <f>IF((+G5211-K5211)=0,0,+G5211-K5211)</f>
        <v/>
      </c>
      <c r="O5211" s="7">
        <f>IF(N5211=0,0,(L5211+H5211)/-N5211)</f>
        <v/>
      </c>
      <c r="P5211" s="7">
        <f>VLOOKUP(OPERAC[[#This Row],[especie]],[1]!ESPECIES[#All],6,0)</f>
        <v/>
      </c>
      <c r="Q5211" s="7">
        <f>IF(N5211&lt;&gt;0,P5211*N5211,0)</f>
        <v/>
      </c>
      <c r="R5211" s="8">
        <f>IF(Q5211&lt;&gt;0,Q5211+H5211+L5211,0)</f>
        <v/>
      </c>
      <c r="S5211" s="9">
        <f>VLOOKUP(OPERAC[[#This Row],[especie]],[1]!ESPECIES[#Data],9,FALSE)</f>
        <v/>
      </c>
    </row>
    <row r="5212">
      <c r="A5212" s="4" t="n">
        <v>3853</v>
      </c>
      <c r="B5212" s="5" t="n">
        <v>44607</v>
      </c>
      <c r="C5212" s="13" t="inlineStr">
        <is>
          <t>VTA</t>
        </is>
      </c>
      <c r="D5212" s="13" t="n">
        <v>32</v>
      </c>
      <c r="E5212" s="10">
        <f>IF(D5212&gt;0,VLOOKUP(OPERAC[[#This Row],[COD CART]],[1]!MatrizCortoLargoCyl[#All],3,0),"")</f>
        <v/>
      </c>
      <c r="F5212" s="13" t="inlineStr">
        <is>
          <t>F/CYL/17,00/18-03-22</t>
        </is>
      </c>
      <c r="G5212" s="6" t="n">
        <v>100</v>
      </c>
      <c r="H5212" s="6" t="n">
        <v>-1658.76</v>
      </c>
      <c r="I5212" s="7">
        <f>-H5212/G5212</f>
        <v/>
      </c>
      <c r="J5212" s="11" t="n">
        <v>44638</v>
      </c>
      <c r="K5212" s="6">
        <f>+OPERAC[[#This Row],[cantidad]]</f>
        <v/>
      </c>
      <c r="L5212" s="6">
        <f>+OPERAC[[#This Row],[cantidad venta]]*16.75</f>
        <v/>
      </c>
      <c r="M5212" s="7">
        <f>IF(N5212=0,+L5212+H5212,0)</f>
        <v/>
      </c>
      <c r="N5212" s="7">
        <f>IF((+G5212-K5212)=0,0,+G5212-K5212)</f>
        <v/>
      </c>
      <c r="O5212" s="7">
        <f>IF(N5212=0,0,(L5212+H5212)/-N5212)</f>
        <v/>
      </c>
      <c r="P5212" s="7">
        <f>VLOOKUP(OPERAC[[#This Row],[especie]],[1]!ESPECIES[#All],6,0)</f>
        <v/>
      </c>
      <c r="Q5212" s="7">
        <f>IF(N5212&lt;&gt;0,P5212*N5212,0)</f>
        <v/>
      </c>
      <c r="R5212" s="8">
        <f>IF(Q5212&lt;&gt;0,Q5212+H5212+L5212,0)</f>
        <v/>
      </c>
      <c r="S5212" s="9">
        <f>VLOOKUP(OPERAC[[#This Row],[especie]],[1]!ESPECIES[#Data],9,FALSE)</f>
        <v/>
      </c>
    </row>
    <row r="5213">
      <c r="A5213" s="4" t="n">
        <v>6628</v>
      </c>
      <c r="B5213" s="5" t="n">
        <v>44607</v>
      </c>
      <c r="C5213" s="13" t="inlineStr">
        <is>
          <t>VTA</t>
        </is>
      </c>
      <c r="D5213" s="13" t="n">
        <v>32</v>
      </c>
      <c r="E5213" s="10">
        <f>IF(D5213&gt;0,VLOOKUP(OPERAC[[#This Row],[COD CART]],[1]!MatrizCortoLargoCyl[#All],3,0),"")</f>
        <v/>
      </c>
      <c r="F5213" s="13" t="inlineStr">
        <is>
          <t>F/CYL/17,00/18-03-22</t>
        </is>
      </c>
      <c r="G5213" s="6" t="n">
        <v>100</v>
      </c>
      <c r="H5213" s="6" t="n">
        <v>-1658.76</v>
      </c>
      <c r="I5213" s="7">
        <f>-H5213/G5213</f>
        <v/>
      </c>
      <c r="J5213" s="11" t="n">
        <v>44638</v>
      </c>
      <c r="K5213" s="6">
        <f>+OPERAC[[#This Row],[cantidad]]</f>
        <v/>
      </c>
      <c r="L5213" s="6">
        <f>+OPERAC[[#This Row],[cantidad venta]]*16.75</f>
        <v/>
      </c>
      <c r="M5213" s="7">
        <f>IF(N5213=0,+L5213+H5213,0)</f>
        <v/>
      </c>
      <c r="N5213" s="7">
        <f>IF((+G5213-K5213)=0,0,+G5213-K5213)</f>
        <v/>
      </c>
      <c r="O5213" s="7">
        <f>IF(N5213=0,0,(L5213+H5213)/-N5213)</f>
        <v/>
      </c>
      <c r="P5213" s="7">
        <f>VLOOKUP(OPERAC[[#This Row],[especie]],[1]!ESPECIES[#All],6,0)</f>
        <v/>
      </c>
      <c r="Q5213" s="7">
        <f>IF(N5213&lt;&gt;0,P5213*N5213,0)</f>
        <v/>
      </c>
      <c r="R5213" s="8">
        <f>IF(Q5213&lt;&gt;0,Q5213+H5213+L5213,0)</f>
        <v/>
      </c>
      <c r="S5213" s="9">
        <f>VLOOKUP(OPERAC[[#This Row],[especie]],[1]!ESPECIES[#Data],9,FALSE)</f>
        <v/>
      </c>
    </row>
    <row r="5214">
      <c r="A5214" s="4" t="n">
        <v>12652</v>
      </c>
      <c r="B5214" s="5" t="n">
        <v>44607</v>
      </c>
      <c r="C5214" s="13" t="inlineStr">
        <is>
          <t>VTA</t>
        </is>
      </c>
      <c r="D5214" s="13" t="n">
        <v>32</v>
      </c>
      <c r="E5214" s="10">
        <f>IF(D5214&gt;0,VLOOKUP(OPERAC[[#This Row],[COD CART]],[1]!MatrizCortoLargoCyl[#All],3,0),"")</f>
        <v/>
      </c>
      <c r="F5214" s="13" t="inlineStr">
        <is>
          <t>F/CYL/17,00/18-03-22</t>
        </is>
      </c>
      <c r="G5214" s="6" t="n">
        <v>100</v>
      </c>
      <c r="H5214" s="6" t="n">
        <v>-1658.76</v>
      </c>
      <c r="I5214" s="7">
        <f>-H5214/G5214</f>
        <v/>
      </c>
      <c r="J5214" s="11" t="n">
        <v>44638</v>
      </c>
      <c r="K5214" s="6">
        <f>+OPERAC[[#This Row],[cantidad]]</f>
        <v/>
      </c>
      <c r="L5214" s="6">
        <f>+OPERAC[[#This Row],[cantidad venta]]*16.75</f>
        <v/>
      </c>
      <c r="M5214" s="7">
        <f>IF(N5214=0,+L5214+H5214,0)</f>
        <v/>
      </c>
      <c r="N5214" s="7">
        <f>IF((+G5214-K5214)=0,0,+G5214-K5214)</f>
        <v/>
      </c>
      <c r="O5214" s="7">
        <f>IF(N5214=0,0,(L5214+H5214)/-N5214)</f>
        <v/>
      </c>
      <c r="P5214" s="7">
        <f>VLOOKUP(OPERAC[[#This Row],[especie]],[1]!ESPECIES[#All],6,0)</f>
        <v/>
      </c>
      <c r="Q5214" s="7">
        <f>IF(N5214&lt;&gt;0,P5214*N5214,0)</f>
        <v/>
      </c>
      <c r="R5214" s="8">
        <f>IF(Q5214&lt;&gt;0,Q5214+H5214+L5214,0)</f>
        <v/>
      </c>
      <c r="S5214" s="9">
        <f>VLOOKUP(OPERAC[[#This Row],[especie]],[1]!ESPECIES[#Data],9,FALSE)</f>
        <v/>
      </c>
    </row>
    <row r="5215">
      <c r="A5215" s="4" t="n">
        <v>13230</v>
      </c>
      <c r="B5215" s="5" t="n">
        <v>44607</v>
      </c>
      <c r="C5215" s="13" t="inlineStr">
        <is>
          <t>VTA</t>
        </is>
      </c>
      <c r="D5215" s="13" t="n">
        <v>32</v>
      </c>
      <c r="E5215" s="10">
        <f>IF(D5215&gt;0,VLOOKUP(OPERAC[[#This Row],[COD CART]],[1]!MatrizCortoLargoCyl[#All],3,0),"")</f>
        <v/>
      </c>
      <c r="F5215" s="13" t="inlineStr">
        <is>
          <t>F/CYL/17,00/18-03-22</t>
        </is>
      </c>
      <c r="G5215" s="6" t="n">
        <v>100</v>
      </c>
      <c r="H5215" s="6" t="n">
        <v>-1658.76</v>
      </c>
      <c r="I5215" s="7">
        <f>-H5215/G5215</f>
        <v/>
      </c>
      <c r="J5215" s="11" t="n">
        <v>44638</v>
      </c>
      <c r="K5215" s="6">
        <f>+OPERAC[[#This Row],[cantidad]]</f>
        <v/>
      </c>
      <c r="L5215" s="6">
        <f>+OPERAC[[#This Row],[cantidad venta]]*16.75</f>
        <v/>
      </c>
      <c r="M5215" s="7">
        <f>IF(N5215=0,+L5215+H5215,0)</f>
        <v/>
      </c>
      <c r="N5215" s="7">
        <f>IF((+G5215-K5215)=0,0,+G5215-K5215)</f>
        <v/>
      </c>
      <c r="O5215" s="7">
        <f>IF(N5215=0,0,(L5215+H5215)/-N5215)</f>
        <v/>
      </c>
      <c r="P5215" s="7">
        <f>VLOOKUP(OPERAC[[#This Row],[especie]],[1]!ESPECIES[#All],6,0)</f>
        <v/>
      </c>
      <c r="Q5215" s="7">
        <f>IF(N5215&lt;&gt;0,P5215*N5215,0)</f>
        <v/>
      </c>
      <c r="R5215" s="8">
        <f>IF(Q5215&lt;&gt;0,Q5215+H5215+L5215,0)</f>
        <v/>
      </c>
      <c r="S5215" s="9">
        <f>VLOOKUP(OPERAC[[#This Row],[especie]],[1]!ESPECIES[#Data],9,FALSE)</f>
        <v/>
      </c>
    </row>
    <row r="5216">
      <c r="A5216" s="4" t="n">
        <v>13246</v>
      </c>
      <c r="B5216" s="5" t="n">
        <v>44607</v>
      </c>
      <c r="C5216" s="13" t="inlineStr">
        <is>
          <t>VTA</t>
        </is>
      </c>
      <c r="D5216" s="13" t="n">
        <v>32</v>
      </c>
      <c r="E5216" s="10">
        <f>IF(D5216&gt;0,VLOOKUP(OPERAC[[#This Row],[COD CART]],[1]!MatrizCortoLargoCyl[#All],3,0),"")</f>
        <v/>
      </c>
      <c r="F5216" s="13" t="inlineStr">
        <is>
          <t>F/CYL/17,00/18-03-22</t>
        </is>
      </c>
      <c r="G5216" s="6" t="n">
        <v>100</v>
      </c>
      <c r="H5216" s="6" t="n">
        <v>-1658.76</v>
      </c>
      <c r="I5216" s="7">
        <f>-H5216/G5216</f>
        <v/>
      </c>
      <c r="J5216" s="11" t="n">
        <v>44638</v>
      </c>
      <c r="K5216" s="6">
        <f>+OPERAC[[#This Row],[cantidad]]</f>
        <v/>
      </c>
      <c r="L5216" s="6">
        <f>+OPERAC[[#This Row],[cantidad venta]]*16.75</f>
        <v/>
      </c>
      <c r="M5216" s="7">
        <f>IF(N5216=0,+L5216+H5216,0)</f>
        <v/>
      </c>
      <c r="N5216" s="7">
        <f>IF((+G5216-K5216)=0,0,+G5216-K5216)</f>
        <v/>
      </c>
      <c r="O5216" s="7">
        <f>IF(N5216=0,0,(L5216+H5216)/-N5216)</f>
        <v/>
      </c>
      <c r="P5216" s="7">
        <f>VLOOKUP(OPERAC[[#This Row],[especie]],[1]!ESPECIES[#All],6,0)</f>
        <v/>
      </c>
      <c r="Q5216" s="7">
        <f>IF(N5216&lt;&gt;0,P5216*N5216,0)</f>
        <v/>
      </c>
      <c r="R5216" s="8">
        <f>IF(Q5216&lt;&gt;0,Q5216+H5216+L5216,0)</f>
        <v/>
      </c>
      <c r="S5216" s="9">
        <f>VLOOKUP(OPERAC[[#This Row],[especie]],[1]!ESPECIES[#Data],9,FALSE)</f>
        <v/>
      </c>
    </row>
    <row r="5217">
      <c r="A5217" s="4" t="n">
        <v>13269</v>
      </c>
      <c r="B5217" s="5" t="n">
        <v>44607</v>
      </c>
      <c r="C5217" s="13" t="inlineStr">
        <is>
          <t>VTA</t>
        </is>
      </c>
      <c r="D5217" s="13" t="n">
        <v>32</v>
      </c>
      <c r="E5217" s="10">
        <f>IF(D5217&gt;0,VLOOKUP(OPERAC[[#This Row],[COD CART]],[1]!MatrizCortoLargoCyl[#All],3,0),"")</f>
        <v/>
      </c>
      <c r="F5217" s="13" t="inlineStr">
        <is>
          <t>F/CYL/17,00/18-03-22</t>
        </is>
      </c>
      <c r="G5217" s="6" t="n">
        <v>100</v>
      </c>
      <c r="H5217" s="6" t="n">
        <v>-1658.76</v>
      </c>
      <c r="I5217" s="7">
        <f>-H5217/G5217</f>
        <v/>
      </c>
      <c r="J5217" s="11" t="n">
        <v>44638</v>
      </c>
      <c r="K5217" s="6">
        <f>+OPERAC[[#This Row],[cantidad]]</f>
        <v/>
      </c>
      <c r="L5217" s="6">
        <f>+OPERAC[[#This Row],[cantidad venta]]*16.75</f>
        <v/>
      </c>
      <c r="M5217" s="7">
        <f>IF(N5217=0,+L5217+H5217,0)</f>
        <v/>
      </c>
      <c r="N5217" s="7">
        <f>IF((+G5217-K5217)=0,0,+G5217-K5217)</f>
        <v/>
      </c>
      <c r="O5217" s="7">
        <f>IF(N5217=0,0,(L5217+H5217)/-N5217)</f>
        <v/>
      </c>
      <c r="P5217" s="7">
        <f>VLOOKUP(OPERAC[[#This Row],[especie]],[1]!ESPECIES[#All],6,0)</f>
        <v/>
      </c>
      <c r="Q5217" s="7">
        <f>IF(N5217&lt;&gt;0,P5217*N5217,0)</f>
        <v/>
      </c>
      <c r="R5217" s="8">
        <f>IF(Q5217&lt;&gt;0,Q5217+H5217+L5217,0)</f>
        <v/>
      </c>
      <c r="S5217" s="9">
        <f>VLOOKUP(OPERAC[[#This Row],[especie]],[1]!ESPECIES[#Data],9,FALSE)</f>
        <v/>
      </c>
    </row>
    <row r="5218">
      <c r="A5218" s="4" t="n">
        <v>15194</v>
      </c>
      <c r="B5218" s="5" t="n">
        <v>44607</v>
      </c>
      <c r="C5218" s="13" t="inlineStr">
        <is>
          <t>VTA</t>
        </is>
      </c>
      <c r="D5218" s="13" t="n">
        <v>32</v>
      </c>
      <c r="E5218" s="10">
        <f>IF(D5218&gt;0,VLOOKUP(OPERAC[[#This Row],[COD CART]],[1]!MatrizCortoLargoCyl[#All],3,0),"")</f>
        <v/>
      </c>
      <c r="F5218" s="13" t="inlineStr">
        <is>
          <t>F/CYL/17,00/18-03-22</t>
        </is>
      </c>
      <c r="G5218" s="6" t="n">
        <v>100</v>
      </c>
      <c r="H5218" s="6" t="n">
        <v>-1658.76</v>
      </c>
      <c r="I5218" s="7">
        <f>-H5218/G5218</f>
        <v/>
      </c>
      <c r="J5218" s="11" t="n">
        <v>44638</v>
      </c>
      <c r="K5218" s="6">
        <f>+OPERAC[[#This Row],[cantidad]]</f>
        <v/>
      </c>
      <c r="L5218" s="6">
        <f>+OPERAC[[#This Row],[cantidad venta]]*16.75</f>
        <v/>
      </c>
      <c r="M5218" s="7">
        <f>IF(N5218=0,+L5218+H5218,0)</f>
        <v/>
      </c>
      <c r="N5218" s="7">
        <f>IF((+G5218-K5218)=0,0,+G5218-K5218)</f>
        <v/>
      </c>
      <c r="O5218" s="7">
        <f>IF(N5218=0,0,(L5218+H5218)/-N5218)</f>
        <v/>
      </c>
      <c r="P5218" s="7">
        <f>VLOOKUP(OPERAC[[#This Row],[especie]],[1]!ESPECIES[#All],6,0)</f>
        <v/>
      </c>
      <c r="Q5218" s="7">
        <f>IF(N5218&lt;&gt;0,P5218*N5218,0)</f>
        <v/>
      </c>
      <c r="R5218" s="8">
        <f>IF(Q5218&lt;&gt;0,Q5218+H5218+L5218,0)</f>
        <v/>
      </c>
      <c r="S5218" s="9">
        <f>VLOOKUP(OPERAC[[#This Row],[especie]],[1]!ESPECIES[#Data],9,FALSE)</f>
        <v/>
      </c>
    </row>
    <row r="5219">
      <c r="A5219" s="4" t="n">
        <v>18703</v>
      </c>
      <c r="B5219" s="5" t="n">
        <v>44607</v>
      </c>
      <c r="C5219" s="13" t="inlineStr">
        <is>
          <t>VTA</t>
        </is>
      </c>
      <c r="D5219" s="13" t="n">
        <v>32</v>
      </c>
      <c r="E5219" s="10">
        <f>IF(D5219&gt;0,VLOOKUP(OPERAC[[#This Row],[COD CART]],[1]!MatrizCortoLargoCyl[#All],3,0),"")</f>
        <v/>
      </c>
      <c r="F5219" s="13" t="inlineStr">
        <is>
          <t>F/CYL/17,00/18-03-22</t>
        </is>
      </c>
      <c r="G5219" s="6" t="n">
        <v>100</v>
      </c>
      <c r="H5219" s="6" t="n">
        <v>-1658.76</v>
      </c>
      <c r="I5219" s="7">
        <f>-H5219/G5219</f>
        <v/>
      </c>
      <c r="J5219" s="11" t="n">
        <v>44638</v>
      </c>
      <c r="K5219" s="6">
        <f>+OPERAC[[#This Row],[cantidad]]</f>
        <v/>
      </c>
      <c r="L5219" s="6">
        <f>+OPERAC[[#This Row],[cantidad venta]]*16.75</f>
        <v/>
      </c>
      <c r="M5219" s="7">
        <f>IF(N5219=0,+L5219+H5219,0)</f>
        <v/>
      </c>
      <c r="N5219" s="7">
        <f>IF((+G5219-K5219)=0,0,+G5219-K5219)</f>
        <v/>
      </c>
      <c r="O5219" s="7">
        <f>IF(N5219=0,0,(L5219+H5219)/-N5219)</f>
        <v/>
      </c>
      <c r="P5219" s="7">
        <f>VLOOKUP(OPERAC[[#This Row],[especie]],[1]!ESPECIES[#All],6,0)</f>
        <v/>
      </c>
      <c r="Q5219" s="7">
        <f>IF(N5219&lt;&gt;0,P5219*N5219,0)</f>
        <v/>
      </c>
      <c r="R5219" s="8">
        <f>IF(Q5219&lt;&gt;0,Q5219+H5219+L5219,0)</f>
        <v/>
      </c>
      <c r="S5219" s="9">
        <f>VLOOKUP(OPERAC[[#This Row],[especie]],[1]!ESPECIES[#Data],9,FALSE)</f>
        <v/>
      </c>
    </row>
    <row r="5220">
      <c r="A5220" s="4" t="n">
        <v>18713</v>
      </c>
      <c r="B5220" s="5" t="n">
        <v>44607</v>
      </c>
      <c r="C5220" s="13" t="inlineStr">
        <is>
          <t>VTA</t>
        </is>
      </c>
      <c r="D5220" s="13" t="n">
        <v>32</v>
      </c>
      <c r="E5220" s="10">
        <f>IF(D5220&gt;0,VLOOKUP(OPERAC[[#This Row],[COD CART]],[1]!MatrizCortoLargoCyl[#All],3,0),"")</f>
        <v/>
      </c>
      <c r="F5220" s="13" t="inlineStr">
        <is>
          <t>F/CYL/17,00/18-03-22</t>
        </is>
      </c>
      <c r="G5220" s="6" t="n">
        <v>100</v>
      </c>
      <c r="H5220" s="6" t="n">
        <v>-1658.76</v>
      </c>
      <c r="I5220" s="7">
        <f>-H5220/G5220</f>
        <v/>
      </c>
      <c r="J5220" s="11" t="n">
        <v>44638</v>
      </c>
      <c r="K5220" s="6">
        <f>+OPERAC[[#This Row],[cantidad]]</f>
        <v/>
      </c>
      <c r="L5220" s="6">
        <f>+OPERAC[[#This Row],[cantidad venta]]*16.75</f>
        <v/>
      </c>
      <c r="M5220" s="7">
        <f>IF(N5220=0,+L5220+H5220,0)</f>
        <v/>
      </c>
      <c r="N5220" s="7">
        <f>IF((+G5220-K5220)=0,0,+G5220-K5220)</f>
        <v/>
      </c>
      <c r="O5220" s="7">
        <f>IF(N5220=0,0,(L5220+H5220)/-N5220)</f>
        <v/>
      </c>
      <c r="P5220" s="7">
        <f>VLOOKUP(OPERAC[[#This Row],[especie]],[1]!ESPECIES[#All],6,0)</f>
        <v/>
      </c>
      <c r="Q5220" s="7">
        <f>IF(N5220&lt;&gt;0,P5220*N5220,0)</f>
        <v/>
      </c>
      <c r="R5220" s="8">
        <f>IF(Q5220&lt;&gt;0,Q5220+H5220+L5220,0)</f>
        <v/>
      </c>
      <c r="S5220" s="9">
        <f>VLOOKUP(OPERAC[[#This Row],[especie]],[1]!ESPECIES[#Data],9,FALSE)</f>
        <v/>
      </c>
    </row>
    <row r="5221">
      <c r="A5221" s="4" t="n">
        <v>18716</v>
      </c>
      <c r="B5221" s="5" t="n">
        <v>44607</v>
      </c>
      <c r="C5221" s="13" t="inlineStr">
        <is>
          <t>VTA</t>
        </is>
      </c>
      <c r="D5221" s="13" t="n">
        <v>32</v>
      </c>
      <c r="E5221" s="10">
        <f>IF(D5221&gt;0,VLOOKUP(OPERAC[[#This Row],[COD CART]],[1]!MatrizCortoLargoCyl[#All],3,0),"")</f>
        <v/>
      </c>
      <c r="F5221" s="13" t="inlineStr">
        <is>
          <t>F/CYL/17,00/18-03-22</t>
        </is>
      </c>
      <c r="G5221" s="6" t="n">
        <v>100</v>
      </c>
      <c r="H5221" s="6" t="n">
        <v>-1658.76</v>
      </c>
      <c r="I5221" s="7">
        <f>-H5221/G5221</f>
        <v/>
      </c>
      <c r="J5221" s="11" t="n">
        <v>44638</v>
      </c>
      <c r="K5221" s="6">
        <f>+OPERAC[[#This Row],[cantidad]]</f>
        <v/>
      </c>
      <c r="L5221" s="6">
        <f>+OPERAC[[#This Row],[cantidad venta]]*16.75</f>
        <v/>
      </c>
      <c r="M5221" s="7">
        <f>IF(N5221=0,+L5221+H5221,0)</f>
        <v/>
      </c>
      <c r="N5221" s="7">
        <f>IF((+G5221-K5221)=0,0,+G5221-K5221)</f>
        <v/>
      </c>
      <c r="O5221" s="7">
        <f>IF(N5221=0,0,(L5221+H5221)/-N5221)</f>
        <v/>
      </c>
      <c r="P5221" s="7">
        <f>VLOOKUP(OPERAC[[#This Row],[especie]],[1]!ESPECIES[#All],6,0)</f>
        <v/>
      </c>
      <c r="Q5221" s="7">
        <f>IF(N5221&lt;&gt;0,P5221*N5221,0)</f>
        <v/>
      </c>
      <c r="R5221" s="8">
        <f>IF(Q5221&lt;&gt;0,Q5221+H5221+L5221,0)</f>
        <v/>
      </c>
      <c r="S5221" s="9">
        <f>VLOOKUP(OPERAC[[#This Row],[especie]],[1]!ESPECIES[#Data],9,FALSE)</f>
        <v/>
      </c>
    </row>
    <row r="5222">
      <c r="A5222" s="4" t="n">
        <v>20312</v>
      </c>
      <c r="B5222" s="5" t="n">
        <v>44607</v>
      </c>
      <c r="C5222" s="13" t="inlineStr">
        <is>
          <t>VTA</t>
        </is>
      </c>
      <c r="D5222" s="13" t="n">
        <v>32</v>
      </c>
      <c r="E5222" s="10">
        <f>IF(D5222&gt;0,VLOOKUP(OPERAC[[#This Row],[COD CART]],[1]!MatrizCortoLargoCyl[#All],3,0),"")</f>
        <v/>
      </c>
      <c r="F5222" s="13" t="inlineStr">
        <is>
          <t>F/CYL/17,00/18-03-22</t>
        </is>
      </c>
      <c r="G5222" s="6" t="n">
        <v>100</v>
      </c>
      <c r="H5222" s="6" t="n">
        <v>-1658.76</v>
      </c>
      <c r="I5222" s="7">
        <f>-H5222/G5222</f>
        <v/>
      </c>
      <c r="J5222" s="11" t="n">
        <v>44638</v>
      </c>
      <c r="K5222" s="6">
        <f>+OPERAC[[#This Row],[cantidad]]</f>
        <v/>
      </c>
      <c r="L5222" s="6">
        <f>+OPERAC[[#This Row],[cantidad venta]]*16.75</f>
        <v/>
      </c>
      <c r="M5222" s="7">
        <f>IF(N5222=0,+L5222+H5222,0)</f>
        <v/>
      </c>
      <c r="N5222" s="7">
        <f>IF((+G5222-K5222)=0,0,+G5222-K5222)</f>
        <v/>
      </c>
      <c r="O5222" s="7">
        <f>IF(N5222=0,0,(L5222+H5222)/-N5222)</f>
        <v/>
      </c>
      <c r="P5222" s="7">
        <f>VLOOKUP(OPERAC[[#This Row],[especie]],[1]!ESPECIES[#All],6,0)</f>
        <v/>
      </c>
      <c r="Q5222" s="7">
        <f>IF(N5222&lt;&gt;0,P5222*N5222,0)</f>
        <v/>
      </c>
      <c r="R5222" s="8">
        <f>IF(Q5222&lt;&gt;0,Q5222+H5222+L5222,0)</f>
        <v/>
      </c>
      <c r="S5222" s="9">
        <f>VLOOKUP(OPERAC[[#This Row],[especie]],[1]!ESPECIES[#Data],9,FALSE)</f>
        <v/>
      </c>
    </row>
    <row r="5223">
      <c r="A5223" s="4" t="n">
        <v>22439</v>
      </c>
      <c r="B5223" s="5" t="n">
        <v>44607</v>
      </c>
      <c r="C5223" s="13" t="inlineStr">
        <is>
          <t>VTA</t>
        </is>
      </c>
      <c r="D5223" s="13" t="n">
        <v>32</v>
      </c>
      <c r="E5223" s="10">
        <f>IF(D5223&gt;0,VLOOKUP(OPERAC[[#This Row],[COD CART]],[1]!MatrizCortoLargoCyl[#All],3,0),"")</f>
        <v/>
      </c>
      <c r="F5223" s="13" t="inlineStr">
        <is>
          <t>F/CYL/17,00/18-03-22</t>
        </is>
      </c>
      <c r="G5223" s="6" t="n">
        <v>100</v>
      </c>
      <c r="H5223" s="6" t="n">
        <v>-1658.76</v>
      </c>
      <c r="I5223" s="7">
        <f>-H5223/G5223</f>
        <v/>
      </c>
      <c r="J5223" s="11" t="n">
        <v>44638</v>
      </c>
      <c r="K5223" s="6">
        <f>+OPERAC[[#This Row],[cantidad]]</f>
        <v/>
      </c>
      <c r="L5223" s="6">
        <f>+OPERAC[[#This Row],[cantidad venta]]*16.75</f>
        <v/>
      </c>
      <c r="M5223" s="7">
        <f>IF(N5223=0,+L5223+H5223,0)</f>
        <v/>
      </c>
      <c r="N5223" s="7">
        <f>IF((+G5223-K5223)=0,0,+G5223-K5223)</f>
        <v/>
      </c>
      <c r="O5223" s="7">
        <f>IF(N5223=0,0,(L5223+H5223)/-N5223)</f>
        <v/>
      </c>
      <c r="P5223" s="7">
        <f>VLOOKUP(OPERAC[[#This Row],[especie]],[1]!ESPECIES[#All],6,0)</f>
        <v/>
      </c>
      <c r="Q5223" s="7">
        <f>IF(N5223&lt;&gt;0,P5223*N5223,0)</f>
        <v/>
      </c>
      <c r="R5223" s="8">
        <f>IF(Q5223&lt;&gt;0,Q5223+H5223+L5223,0)</f>
        <v/>
      </c>
      <c r="S5223" s="9">
        <f>VLOOKUP(OPERAC[[#This Row],[especie]],[1]!ESPECIES[#Data],9,FALSE)</f>
        <v/>
      </c>
    </row>
    <row r="5224">
      <c r="A5224" s="4" t="n">
        <v>15195</v>
      </c>
      <c r="B5224" s="5" t="n">
        <v>44634</v>
      </c>
      <c r="C5224" s="13" t="inlineStr">
        <is>
          <t>VTA</t>
        </is>
      </c>
      <c r="D5224" s="13" t="n">
        <v>42</v>
      </c>
      <c r="E5224" s="10">
        <f>IF(D5224&gt;0,VLOOKUP(OPERAC[[#This Row],[COD CART]],[1]!MatrizCortoLargoCyl[#All],3,0),"")</f>
        <v/>
      </c>
      <c r="F5224" s="13" t="inlineStr">
        <is>
          <t>INO</t>
        </is>
      </c>
      <c r="G5224" s="6" t="n">
        <v>500</v>
      </c>
      <c r="H5224" s="6" t="n">
        <v>-1660.408</v>
      </c>
      <c r="I5224" s="7">
        <f>-H5224/G5224</f>
        <v/>
      </c>
      <c r="J5224" s="11" t="n">
        <v>44634</v>
      </c>
      <c r="K5224" s="6" t="n">
        <v>500</v>
      </c>
      <c r="L5224" s="6" t="n">
        <v>1494.4275</v>
      </c>
      <c r="M5224" s="7">
        <f>IF(N5224=0,+L5224+H5224,0)</f>
        <v/>
      </c>
      <c r="N5224" s="7">
        <f>IF((+G5224-K5224)=0,0,+G5224-K5224)</f>
        <v/>
      </c>
      <c r="O5224" s="7">
        <f>IF(N5224=0,0,(L5224+H5224)/-N5224)</f>
        <v/>
      </c>
      <c r="P5224" s="7">
        <f>VLOOKUP(OPERAC[[#This Row],[especie]],[1]!ESPECIES[#All],6,0)</f>
        <v/>
      </c>
      <c r="Q5224" s="7">
        <f>IF(N5224&lt;&gt;0,P5224*N5224,0)</f>
        <v/>
      </c>
      <c r="R5224" s="8">
        <f>IF(Q5224&lt;&gt;0,Q5224+H5224+L5224,0)</f>
        <v/>
      </c>
      <c r="S5224" s="9">
        <f>VLOOKUP(OPERAC[[#This Row],[especie]],[1]!ESPECIES[#Data],9,FALSE)</f>
        <v/>
      </c>
    </row>
    <row r="5225">
      <c r="A5225" s="4" t="n">
        <v>16824</v>
      </c>
      <c r="B5225" s="5" t="n">
        <v>44634</v>
      </c>
      <c r="C5225" s="13" t="inlineStr">
        <is>
          <t>VTA</t>
        </is>
      </c>
      <c r="D5225" s="13" t="n">
        <v>42</v>
      </c>
      <c r="E5225" s="10">
        <f>IF(D5225&gt;0,VLOOKUP(OPERAC[[#This Row],[COD CART]],[1]!MatrizCortoLargoCyl[#All],3,0),"")</f>
        <v/>
      </c>
      <c r="F5225" s="13" t="inlineStr">
        <is>
          <t>INO</t>
        </is>
      </c>
      <c r="G5225" s="6" t="n">
        <v>500</v>
      </c>
      <c r="H5225" s="6" t="n">
        <v>-1660.408</v>
      </c>
      <c r="I5225" s="7">
        <f>-H5225/G5225</f>
        <v/>
      </c>
      <c r="J5225" s="11" t="n">
        <v>44634</v>
      </c>
      <c r="K5225" s="6" t="n">
        <v>500</v>
      </c>
      <c r="L5225" s="6" t="n">
        <v>1494.4275</v>
      </c>
      <c r="M5225" s="7">
        <f>IF(N5225=0,+L5225+H5225,0)</f>
        <v/>
      </c>
      <c r="N5225" s="7">
        <f>IF((+G5225-K5225)=0,0,+G5225-K5225)</f>
        <v/>
      </c>
      <c r="O5225" s="7">
        <f>IF(N5225=0,0,(L5225+H5225)/-N5225)</f>
        <v/>
      </c>
      <c r="P5225" s="7">
        <f>VLOOKUP(OPERAC[[#This Row],[especie]],[1]!ESPECIES[#All],6,0)</f>
        <v/>
      </c>
      <c r="Q5225" s="7">
        <f>IF(N5225&lt;&gt;0,P5225*N5225,0)</f>
        <v/>
      </c>
      <c r="R5225" s="8">
        <f>IF(Q5225&lt;&gt;0,Q5225+H5225+L5225,0)</f>
        <v/>
      </c>
      <c r="S5225" s="9">
        <f>VLOOKUP(OPERAC[[#This Row],[especie]],[1]!ESPECIES[#Data],9,FALSE)</f>
        <v/>
      </c>
    </row>
    <row r="5226">
      <c r="A5226" s="4" t="n">
        <v>18690</v>
      </c>
      <c r="B5226" s="5" t="n">
        <v>44634</v>
      </c>
      <c r="C5226" s="13" t="inlineStr">
        <is>
          <t>VTA</t>
        </is>
      </c>
      <c r="D5226" s="13" t="n">
        <v>42</v>
      </c>
      <c r="E5226" s="10">
        <f>IF(D5226&gt;0,VLOOKUP(OPERAC[[#This Row],[COD CART]],[1]!MatrizCortoLargoCyl[#All],3,0),"")</f>
        <v/>
      </c>
      <c r="F5226" s="13" t="inlineStr">
        <is>
          <t>INO</t>
        </is>
      </c>
      <c r="G5226" s="6" t="n">
        <v>500</v>
      </c>
      <c r="H5226" s="6" t="n">
        <v>-1660.408</v>
      </c>
      <c r="I5226" s="7">
        <f>-H5226/G5226</f>
        <v/>
      </c>
      <c r="J5226" s="11" t="n">
        <v>44634</v>
      </c>
      <c r="K5226" s="6" t="n">
        <v>500</v>
      </c>
      <c r="L5226" s="6" t="n">
        <v>1494.4275</v>
      </c>
      <c r="M5226" s="7">
        <f>IF(N5226=0,+L5226+H5226,0)</f>
        <v/>
      </c>
      <c r="N5226" s="7">
        <f>IF((+G5226-K5226)=0,0,+G5226-K5226)</f>
        <v/>
      </c>
      <c r="O5226" s="7">
        <f>IF(N5226=0,0,(L5226+H5226)/-N5226)</f>
        <v/>
      </c>
      <c r="P5226" s="7">
        <f>VLOOKUP(OPERAC[[#This Row],[especie]],[1]!ESPECIES[#All],6,0)</f>
        <v/>
      </c>
      <c r="Q5226" s="7">
        <f>IF(N5226&lt;&gt;0,P5226*N5226,0)</f>
        <v/>
      </c>
      <c r="R5226" s="8">
        <f>IF(Q5226&lt;&gt;0,Q5226+H5226+L5226,0)</f>
        <v/>
      </c>
      <c r="S5226" s="9">
        <f>VLOOKUP(OPERAC[[#This Row],[especie]],[1]!ESPECIES[#Data],9,FALSE)</f>
        <v/>
      </c>
    </row>
    <row r="5227">
      <c r="A5227" s="4" t="n">
        <v>18724</v>
      </c>
      <c r="B5227" s="5" t="n">
        <v>44634</v>
      </c>
      <c r="C5227" s="13" t="inlineStr">
        <is>
          <t>VTA</t>
        </is>
      </c>
      <c r="D5227" s="13" t="n">
        <v>42</v>
      </c>
      <c r="E5227" s="10">
        <f>IF(D5227&gt;0,VLOOKUP(OPERAC[[#This Row],[COD CART]],[1]!MatrizCortoLargoCyl[#All],3,0),"")</f>
        <v/>
      </c>
      <c r="F5227" s="13" t="inlineStr">
        <is>
          <t>INO</t>
        </is>
      </c>
      <c r="G5227" s="6" t="n">
        <v>500</v>
      </c>
      <c r="H5227" s="6" t="n">
        <v>-1660.408</v>
      </c>
      <c r="I5227" s="7">
        <f>-H5227/G5227</f>
        <v/>
      </c>
      <c r="J5227" s="11" t="n">
        <v>44634</v>
      </c>
      <c r="K5227" s="6" t="n">
        <v>500</v>
      </c>
      <c r="L5227" s="6" t="n">
        <v>1494.4275</v>
      </c>
      <c r="M5227" s="7">
        <f>IF(N5227=0,+L5227+H5227,0)</f>
        <v/>
      </c>
      <c r="N5227" s="7">
        <f>IF((+G5227-K5227)=0,0,+G5227-K5227)</f>
        <v/>
      </c>
      <c r="O5227" s="7">
        <f>IF(N5227=0,0,(L5227+H5227)/-N5227)</f>
        <v/>
      </c>
      <c r="P5227" s="7">
        <f>VLOOKUP(OPERAC[[#This Row],[especie]],[1]!ESPECIES[#All],6,0)</f>
        <v/>
      </c>
      <c r="Q5227" s="7">
        <f>IF(N5227&lt;&gt;0,P5227*N5227,0)</f>
        <v/>
      </c>
      <c r="R5227" s="8">
        <f>IF(Q5227&lt;&gt;0,Q5227+H5227+L5227,0)</f>
        <v/>
      </c>
      <c r="S5227" s="9">
        <f>VLOOKUP(OPERAC[[#This Row],[especie]],[1]!ESPECIES[#Data],9,FALSE)</f>
        <v/>
      </c>
    </row>
    <row r="5228">
      <c r="A5228" s="4" t="n">
        <v>19932</v>
      </c>
      <c r="B5228" s="5" t="n">
        <v>44634</v>
      </c>
      <c r="C5228" s="13" t="inlineStr">
        <is>
          <t>VTA</t>
        </is>
      </c>
      <c r="D5228" s="13" t="n">
        <v>42</v>
      </c>
      <c r="E5228" s="10">
        <f>IF(D5228&gt;0,VLOOKUP(OPERAC[[#This Row],[COD CART]],[1]!MatrizCortoLargoCyl[#All],3,0),"")</f>
        <v/>
      </c>
      <c r="F5228" s="13" t="inlineStr">
        <is>
          <t>INO</t>
        </is>
      </c>
      <c r="G5228" s="6" t="n">
        <v>500</v>
      </c>
      <c r="H5228" s="6" t="n">
        <v>-1660.408</v>
      </c>
      <c r="I5228" s="7">
        <f>-H5228/G5228</f>
        <v/>
      </c>
      <c r="J5228" s="11" t="n">
        <v>44634</v>
      </c>
      <c r="K5228" s="6" t="n">
        <v>500</v>
      </c>
      <c r="L5228" s="6" t="n">
        <v>1494.4275</v>
      </c>
      <c r="M5228" s="7">
        <f>IF(N5228=0,+L5228+H5228,0)</f>
        <v/>
      </c>
      <c r="N5228" s="7">
        <f>IF((+G5228-K5228)=0,0,+G5228-K5228)</f>
        <v/>
      </c>
      <c r="O5228" s="7">
        <f>IF(N5228=0,0,(L5228+H5228)/-N5228)</f>
        <v/>
      </c>
      <c r="P5228" s="7">
        <f>VLOOKUP(OPERAC[[#This Row],[especie]],[1]!ESPECIES[#All],6,0)</f>
        <v/>
      </c>
      <c r="Q5228" s="7">
        <f>IF(N5228&lt;&gt;0,P5228*N5228,0)</f>
        <v/>
      </c>
      <c r="R5228" s="8">
        <f>IF(Q5228&lt;&gt;0,Q5228+H5228+L5228,0)</f>
        <v/>
      </c>
      <c r="S5228" s="9">
        <f>VLOOKUP(OPERAC[[#This Row],[especie]],[1]!ESPECIES[#Data],9,FALSE)</f>
        <v/>
      </c>
    </row>
    <row r="5229">
      <c r="A5229" s="4" t="n">
        <v>20317</v>
      </c>
      <c r="B5229" s="5" t="n">
        <v>44634</v>
      </c>
      <c r="C5229" s="13" t="inlineStr">
        <is>
          <t>VTA</t>
        </is>
      </c>
      <c r="D5229" s="13" t="n">
        <v>42</v>
      </c>
      <c r="E5229" s="10">
        <f>IF(D5229&gt;0,VLOOKUP(OPERAC[[#This Row],[COD CART]],[1]!MatrizCortoLargoCyl[#All],3,0),"")</f>
        <v/>
      </c>
      <c r="F5229" s="13" t="inlineStr">
        <is>
          <t>INO</t>
        </is>
      </c>
      <c r="G5229" s="6" t="n">
        <v>500</v>
      </c>
      <c r="H5229" s="6" t="n">
        <v>-1660.408</v>
      </c>
      <c r="I5229" s="7">
        <f>-H5229/G5229</f>
        <v/>
      </c>
      <c r="J5229" s="11" t="n">
        <v>44634</v>
      </c>
      <c r="K5229" s="6" t="n">
        <v>500</v>
      </c>
      <c r="L5229" s="6" t="n">
        <v>1494.4275</v>
      </c>
      <c r="M5229" s="7">
        <f>IF(N5229=0,+L5229+H5229,0)</f>
        <v/>
      </c>
      <c r="N5229" s="7">
        <f>IF((+G5229-K5229)=0,0,+G5229-K5229)</f>
        <v/>
      </c>
      <c r="O5229" s="7">
        <f>IF(N5229=0,0,(L5229+H5229)/-N5229)</f>
        <v/>
      </c>
      <c r="P5229" s="7">
        <f>VLOOKUP(OPERAC[[#This Row],[especie]],[1]!ESPECIES[#All],6,0)</f>
        <v/>
      </c>
      <c r="Q5229" s="7">
        <f>IF(N5229&lt;&gt;0,P5229*N5229,0)</f>
        <v/>
      </c>
      <c r="R5229" s="8">
        <f>IF(Q5229&lt;&gt;0,Q5229+H5229+L5229,0)</f>
        <v/>
      </c>
      <c r="S5229" s="9">
        <f>VLOOKUP(OPERAC[[#This Row],[especie]],[1]!ESPECIES[#Data],9,FALSE)</f>
        <v/>
      </c>
    </row>
    <row r="5230">
      <c r="A5230" s="4" t="n">
        <v>21070</v>
      </c>
      <c r="B5230" s="5" t="n">
        <v>44634</v>
      </c>
      <c r="C5230" s="13" t="inlineStr">
        <is>
          <t>VTA</t>
        </is>
      </c>
      <c r="D5230" s="13" t="n">
        <v>42</v>
      </c>
      <c r="E5230" s="10">
        <f>IF(D5230&gt;0,VLOOKUP(OPERAC[[#This Row],[COD CART]],[1]!MatrizCortoLargoCyl[#All],3,0),"")</f>
        <v/>
      </c>
      <c r="F5230" s="13" t="inlineStr">
        <is>
          <t>INO</t>
        </is>
      </c>
      <c r="G5230" s="6" t="n">
        <v>500</v>
      </c>
      <c r="H5230" s="6" t="n">
        <v>-1660.408</v>
      </c>
      <c r="I5230" s="7">
        <f>-H5230/G5230</f>
        <v/>
      </c>
      <c r="J5230" s="11" t="n">
        <v>44634</v>
      </c>
      <c r="K5230" s="6" t="n">
        <v>500</v>
      </c>
      <c r="L5230" s="6" t="n">
        <v>1494.4275</v>
      </c>
      <c r="M5230" s="7">
        <f>IF(N5230=0,+L5230+H5230,0)</f>
        <v/>
      </c>
      <c r="N5230" s="7">
        <f>IF((+G5230-K5230)=0,0,+G5230-K5230)</f>
        <v/>
      </c>
      <c r="O5230" s="7">
        <f>IF(N5230=0,0,(L5230+H5230)/-N5230)</f>
        <v/>
      </c>
      <c r="P5230" s="7">
        <f>VLOOKUP(OPERAC[[#This Row],[especie]],[1]!ESPECIES[#All],6,0)</f>
        <v/>
      </c>
      <c r="Q5230" s="7">
        <f>IF(N5230&lt;&gt;0,P5230*N5230,0)</f>
        <v/>
      </c>
      <c r="R5230" s="8">
        <f>IF(Q5230&lt;&gt;0,Q5230+H5230+L5230,0)</f>
        <v/>
      </c>
      <c r="S5230" s="9">
        <f>VLOOKUP(OPERAC[[#This Row],[especie]],[1]!ESPECIES[#Data],9,FALSE)</f>
        <v/>
      </c>
    </row>
    <row r="5231">
      <c r="A5231" s="4" t="n">
        <v>22421</v>
      </c>
      <c r="B5231" s="5" t="n">
        <v>44634</v>
      </c>
      <c r="C5231" s="13" t="inlineStr">
        <is>
          <t>VTA</t>
        </is>
      </c>
      <c r="D5231" s="13" t="n">
        <v>42</v>
      </c>
      <c r="E5231" s="10">
        <f>IF(D5231&gt;0,VLOOKUP(OPERAC[[#This Row],[COD CART]],[1]!MatrizCortoLargoCyl[#All],3,0),"")</f>
        <v/>
      </c>
      <c r="F5231" s="13" t="inlineStr">
        <is>
          <t>INO</t>
        </is>
      </c>
      <c r="G5231" s="6" t="n">
        <v>500</v>
      </c>
      <c r="H5231" s="6" t="n">
        <v>-1660.408</v>
      </c>
      <c r="I5231" s="7">
        <f>-H5231/G5231</f>
        <v/>
      </c>
      <c r="J5231" s="11" t="n">
        <v>44634</v>
      </c>
      <c r="K5231" s="6" t="n">
        <v>500</v>
      </c>
      <c r="L5231" s="6" t="n">
        <v>1494.4275</v>
      </c>
      <c r="M5231" s="7">
        <f>IF(N5231=0,+L5231+H5231,0)</f>
        <v/>
      </c>
      <c r="N5231" s="7">
        <f>IF((+G5231-K5231)=0,0,+G5231-K5231)</f>
        <v/>
      </c>
      <c r="O5231" s="7">
        <f>IF(N5231=0,0,(L5231+H5231)/-N5231)</f>
        <v/>
      </c>
      <c r="P5231" s="7">
        <f>VLOOKUP(OPERAC[[#This Row],[especie]],[1]!ESPECIES[#All],6,0)</f>
        <v/>
      </c>
      <c r="Q5231" s="7">
        <f>IF(N5231&lt;&gt;0,P5231*N5231,0)</f>
        <v/>
      </c>
      <c r="R5231" s="8">
        <f>IF(Q5231&lt;&gt;0,Q5231+H5231+L5231,0)</f>
        <v/>
      </c>
      <c r="S5231" s="9">
        <f>VLOOKUP(OPERAC[[#This Row],[especie]],[1]!ESPECIES[#Data],9,FALSE)</f>
        <v/>
      </c>
    </row>
    <row r="5232">
      <c r="A5232" s="4" t="n">
        <v>12022</v>
      </c>
      <c r="B5232" s="5" t="n">
        <v>44649</v>
      </c>
      <c r="C5232" s="13" t="inlineStr">
        <is>
          <t>VTA</t>
        </is>
      </c>
      <c r="D5232" s="13" t="n">
        <v>32</v>
      </c>
      <c r="E5232" s="10">
        <f>IF(D5232&gt;0,VLOOKUP(OPERAC[[#This Row],[COD CART]],[1]!MatrizCortoLargoCyl[#All],3,0),"")</f>
        <v/>
      </c>
      <c r="F5232" s="13" t="inlineStr">
        <is>
          <t>EDIT</t>
        </is>
      </c>
      <c r="G5232" s="6" t="n">
        <v>100</v>
      </c>
      <c r="H5232" s="6" t="n">
        <v>-1661.88</v>
      </c>
      <c r="I5232" s="7">
        <f>-H5232/G5232</f>
        <v/>
      </c>
      <c r="J5232" s="11" t="n"/>
      <c r="K5232" s="6" t="n"/>
      <c r="L5232" s="6" t="n"/>
      <c r="M5232" s="7">
        <f>IF(N5232=0,+L5232+H5232,0)</f>
        <v/>
      </c>
      <c r="N5232" s="7">
        <f>IF((+G5232-K5232)=0,0,+G5232-K5232)</f>
        <v/>
      </c>
      <c r="O5232" s="7">
        <f>IF(N5232=0,0,(L5232+H5232)/-N5232)</f>
        <v/>
      </c>
      <c r="P5232" s="7">
        <f>VLOOKUP(OPERAC[[#This Row],[especie]],[1]!ESPECIES[#All],6,0)</f>
        <v/>
      </c>
      <c r="Q5232" s="7">
        <f>IF(N5232&lt;&gt;0,P5232*N5232,0)</f>
        <v/>
      </c>
      <c r="R5232" s="8">
        <f>IF(Q5232&lt;&gt;0,Q5232+H5232+L5232,0)</f>
        <v/>
      </c>
      <c r="S5232" s="9">
        <f>VLOOKUP(OPERAC[[#This Row],[especie]],[1]!ESPECIES[#Data],9,FALSE)</f>
        <v/>
      </c>
    </row>
    <row r="5233">
      <c r="A5233" s="4" t="n">
        <v>12662</v>
      </c>
      <c r="B5233" s="5" t="n">
        <v>44649</v>
      </c>
      <c r="C5233" s="13" t="inlineStr">
        <is>
          <t>VTA</t>
        </is>
      </c>
      <c r="D5233" s="13" t="n">
        <v>32</v>
      </c>
      <c r="E5233" s="10">
        <f>IF(D5233&gt;0,VLOOKUP(OPERAC[[#This Row],[COD CART]],[1]!MatrizCortoLargoCyl[#All],3,0),"")</f>
        <v/>
      </c>
      <c r="F5233" s="13" t="inlineStr">
        <is>
          <t>EDIT</t>
        </is>
      </c>
      <c r="G5233" s="6" t="n">
        <v>100</v>
      </c>
      <c r="H5233" s="6" t="n">
        <v>-1661.88</v>
      </c>
      <c r="I5233" s="7">
        <f>-H5233/G5233</f>
        <v/>
      </c>
      <c r="J5233" s="11" t="n"/>
      <c r="K5233" s="6" t="n"/>
      <c r="L5233" s="6" t="n"/>
      <c r="M5233" s="7">
        <f>IF(N5233=0,+L5233+H5233,0)</f>
        <v/>
      </c>
      <c r="N5233" s="7">
        <f>IF((+G5233-K5233)=0,0,+G5233-K5233)</f>
        <v/>
      </c>
      <c r="O5233" s="7">
        <f>IF(N5233=0,0,(L5233+H5233)/-N5233)</f>
        <v/>
      </c>
      <c r="P5233" s="7">
        <f>VLOOKUP(OPERAC[[#This Row],[especie]],[1]!ESPECIES[#All],6,0)</f>
        <v/>
      </c>
      <c r="Q5233" s="7">
        <f>IF(N5233&lt;&gt;0,P5233*N5233,0)</f>
        <v/>
      </c>
      <c r="R5233" s="8">
        <f>IF(Q5233&lt;&gt;0,Q5233+H5233+L5233,0)</f>
        <v/>
      </c>
      <c r="S5233" s="9">
        <f>VLOOKUP(OPERAC[[#This Row],[especie]],[1]!ESPECIES[#Data],9,FALSE)</f>
        <v/>
      </c>
    </row>
    <row r="5234">
      <c r="A5234" s="4" t="n">
        <v>13188</v>
      </c>
      <c r="B5234" s="5" t="n">
        <v>44649</v>
      </c>
      <c r="C5234" s="13" t="inlineStr">
        <is>
          <t>VTA</t>
        </is>
      </c>
      <c r="D5234" s="13" t="n">
        <v>32</v>
      </c>
      <c r="E5234" s="10">
        <f>IF(D5234&gt;0,VLOOKUP(OPERAC[[#This Row],[COD CART]],[1]!MatrizCortoLargoCyl[#All],3,0),"")</f>
        <v/>
      </c>
      <c r="F5234" s="13" t="inlineStr">
        <is>
          <t>EDIT</t>
        </is>
      </c>
      <c r="G5234" s="6" t="n">
        <v>100</v>
      </c>
      <c r="H5234" s="6" t="n">
        <v>-1661.88</v>
      </c>
      <c r="I5234" s="7">
        <f>-H5234/G5234</f>
        <v/>
      </c>
      <c r="J5234" s="11" t="n">
        <v>44712</v>
      </c>
      <c r="K5234" s="6" t="n">
        <v>100</v>
      </c>
      <c r="L5234" s="6" t="n">
        <v>1150.14</v>
      </c>
      <c r="M5234" s="7">
        <f>IF(N5234=0,+L5234+H5234,0)</f>
        <v/>
      </c>
      <c r="N5234" s="7">
        <f>IF((+G5234-K5234)=0,0,+G5234-K5234)</f>
        <v/>
      </c>
      <c r="O5234" s="7">
        <f>IF(N5234=0,0,(L5234+H5234)/-N5234)</f>
        <v/>
      </c>
      <c r="P5234" s="7">
        <f>VLOOKUP(OPERAC[[#This Row],[especie]],[1]!ESPECIES[#All],6,0)</f>
        <v/>
      </c>
      <c r="Q5234" s="7">
        <f>IF(N5234&lt;&gt;0,P5234*N5234,0)</f>
        <v/>
      </c>
      <c r="R5234" s="8">
        <f>IF(Q5234&lt;&gt;0,Q5234+H5234+L5234,0)</f>
        <v/>
      </c>
      <c r="S5234" s="9">
        <f>VLOOKUP(OPERAC[[#This Row],[especie]],[1]!ESPECIES[#Data],9,FALSE)</f>
        <v/>
      </c>
    </row>
    <row r="5235">
      <c r="A5235" s="4" t="n">
        <v>16776</v>
      </c>
      <c r="B5235" s="5" t="n">
        <v>44649</v>
      </c>
      <c r="C5235" s="13" t="inlineStr">
        <is>
          <t>VTA</t>
        </is>
      </c>
      <c r="D5235" s="13" t="n">
        <v>32</v>
      </c>
      <c r="E5235" s="10">
        <f>IF(D5235&gt;0,VLOOKUP(OPERAC[[#This Row],[COD CART]],[1]!MatrizCortoLargoCyl[#All],3,0),"")</f>
        <v/>
      </c>
      <c r="F5235" s="13" t="inlineStr">
        <is>
          <t>EDIT</t>
        </is>
      </c>
      <c r="G5235" s="6" t="n">
        <v>100</v>
      </c>
      <c r="H5235" s="6" t="n">
        <v>-1661.88</v>
      </c>
      <c r="I5235" s="7">
        <f>-H5235/G5235</f>
        <v/>
      </c>
      <c r="J5235" s="11" t="n"/>
      <c r="K5235" s="6" t="n"/>
      <c r="L5235" s="6" t="n"/>
      <c r="M5235" s="7">
        <f>IF(N5235=0,+L5235+H5235,0)</f>
        <v/>
      </c>
      <c r="N5235" s="7">
        <f>IF((+G5235-K5235)=0,0,+G5235-K5235)</f>
        <v/>
      </c>
      <c r="O5235" s="7">
        <f>IF(N5235=0,0,(L5235+H5235)/-N5235)</f>
        <v/>
      </c>
      <c r="P5235" s="7">
        <f>VLOOKUP(OPERAC[[#This Row],[especie]],[1]!ESPECIES[#All],6,0)</f>
        <v/>
      </c>
      <c r="Q5235" s="7">
        <f>IF(N5235&lt;&gt;0,P5235*N5235,0)</f>
        <v/>
      </c>
      <c r="R5235" s="8">
        <f>IF(Q5235&lt;&gt;0,Q5235+H5235+L5235,0)</f>
        <v/>
      </c>
      <c r="S5235" s="9">
        <f>VLOOKUP(OPERAC[[#This Row],[especie]],[1]!ESPECIES[#Data],9,FALSE)</f>
        <v/>
      </c>
    </row>
    <row r="5236">
      <c r="A5236" s="4" t="n">
        <v>19932</v>
      </c>
      <c r="B5236" s="5" t="n">
        <v>44649</v>
      </c>
      <c r="C5236" s="13" t="inlineStr">
        <is>
          <t>VTA</t>
        </is>
      </c>
      <c r="D5236" s="13" t="n">
        <v>32</v>
      </c>
      <c r="E5236" s="10">
        <f>IF(D5236&gt;0,VLOOKUP(OPERAC[[#This Row],[COD CART]],[1]!MatrizCortoLargoCyl[#All],3,0),"")</f>
        <v/>
      </c>
      <c r="F5236" s="13" t="inlineStr">
        <is>
          <t>EDIT</t>
        </is>
      </c>
      <c r="G5236" s="6" t="n">
        <v>100</v>
      </c>
      <c r="H5236" s="6" t="n">
        <v>-1661.88</v>
      </c>
      <c r="I5236" s="7">
        <f>-H5236/G5236</f>
        <v/>
      </c>
      <c r="J5236" s="11" t="n"/>
      <c r="K5236" s="6" t="n"/>
      <c r="L5236" s="6" t="n"/>
      <c r="M5236" s="7">
        <f>IF(N5236=0,+L5236+H5236,0)</f>
        <v/>
      </c>
      <c r="N5236" s="7">
        <f>IF((+G5236-K5236)=0,0,+G5236-K5236)</f>
        <v/>
      </c>
      <c r="O5236" s="7">
        <f>IF(N5236=0,0,(L5236+H5236)/-N5236)</f>
        <v/>
      </c>
      <c r="P5236" s="7">
        <f>VLOOKUP(OPERAC[[#This Row],[especie]],[1]!ESPECIES[#All],6,0)</f>
        <v/>
      </c>
      <c r="Q5236" s="7">
        <f>IF(N5236&lt;&gt;0,P5236*N5236,0)</f>
        <v/>
      </c>
      <c r="R5236" s="8">
        <f>IF(Q5236&lt;&gt;0,Q5236+H5236+L5236,0)</f>
        <v/>
      </c>
      <c r="S5236" s="9">
        <f>VLOOKUP(OPERAC[[#This Row],[especie]],[1]!ESPECIES[#Data],9,FALSE)</f>
        <v/>
      </c>
    </row>
    <row r="5237">
      <c r="A5237" s="4" t="n">
        <v>26140</v>
      </c>
      <c r="B5237" s="5" t="n">
        <v>44649</v>
      </c>
      <c r="C5237" s="13" t="inlineStr">
        <is>
          <t>VTA</t>
        </is>
      </c>
      <c r="D5237" s="13" t="n">
        <v>32</v>
      </c>
      <c r="E5237" s="10">
        <f>IF(D5237&gt;0,VLOOKUP(OPERAC[[#This Row],[COD CART]],[1]!MatrizCortoLargoCyl[#All],3,0),"")</f>
        <v/>
      </c>
      <c r="F5237" s="13" t="inlineStr">
        <is>
          <t>EDIT</t>
        </is>
      </c>
      <c r="G5237" s="6" t="n">
        <v>100</v>
      </c>
      <c r="H5237" s="6" t="n">
        <v>-1661.88</v>
      </c>
      <c r="I5237" s="7">
        <f>-H5237/G5237</f>
        <v/>
      </c>
      <c r="J5237" s="11" t="n"/>
      <c r="K5237" s="6" t="n"/>
      <c r="L5237" s="6" t="n"/>
      <c r="M5237" s="7">
        <f>IF(N5237=0,+L5237+H5237,0)</f>
        <v/>
      </c>
      <c r="N5237" s="7">
        <f>IF((+G5237-K5237)=0,0,+G5237-K5237)</f>
        <v/>
      </c>
      <c r="O5237" s="7">
        <f>IF(N5237=0,0,(L5237+H5237)/-N5237)</f>
        <v/>
      </c>
      <c r="P5237" s="7">
        <f>VLOOKUP(OPERAC[[#This Row],[especie]],[1]!ESPECIES[#All],6,0)</f>
        <v/>
      </c>
      <c r="Q5237" s="7">
        <f>IF(N5237&lt;&gt;0,P5237*N5237,0)</f>
        <v/>
      </c>
      <c r="R5237" s="8">
        <f>IF(Q5237&lt;&gt;0,Q5237+H5237+L5237,0)</f>
        <v/>
      </c>
      <c r="S5237" s="9">
        <f>VLOOKUP(OPERAC[[#This Row],[especie]],[1]!ESPECIES[#Data],9,FALSE)</f>
        <v/>
      </c>
    </row>
    <row r="5238">
      <c r="A5238" s="4" t="n">
        <v>18690</v>
      </c>
      <c r="B5238" s="5" t="n">
        <v>44607</v>
      </c>
      <c r="C5238" s="13" t="inlineStr">
        <is>
          <t>VTA</t>
        </is>
      </c>
      <c r="D5238" s="13" t="n">
        <v>32</v>
      </c>
      <c r="E5238" s="10">
        <f>IF(D5238&gt;0,VLOOKUP(OPERAC[[#This Row],[COD CART]],[1]!MatrizCortoLargoCyl[#All],3,0),"")</f>
        <v/>
      </c>
      <c r="F5238" s="13" t="inlineStr">
        <is>
          <t>F</t>
        </is>
      </c>
      <c r="G5238" s="6" t="n">
        <v>100</v>
      </c>
      <c r="H5238" s="6">
        <f>-1719.296+57.398</f>
        <v/>
      </c>
      <c r="I5238" s="7">
        <f>-H5238/G5238</f>
        <v/>
      </c>
      <c r="J5238" s="11" t="n">
        <v>44726</v>
      </c>
      <c r="K5238" s="6" t="n">
        <v>100</v>
      </c>
      <c r="L5238" s="6" t="n">
        <v>1169.5</v>
      </c>
      <c r="M5238" s="7">
        <f>IF(N5238=0,+L5238+H5238,0)</f>
        <v/>
      </c>
      <c r="N5238" s="7">
        <f>IF((+G5238-K5238)=0,0,+G5238-K5238)</f>
        <v/>
      </c>
      <c r="O5238" s="7">
        <f>IF(N5238=0,0,(L5238+H5238)/-N5238)</f>
        <v/>
      </c>
      <c r="P5238" s="7">
        <f>VLOOKUP(OPERAC[[#This Row],[especie]],[1]!ESPECIES[#All],6,0)</f>
        <v/>
      </c>
      <c r="Q5238" s="7">
        <f>IF(N5238&lt;&gt;0,P5238*N5238,0)</f>
        <v/>
      </c>
      <c r="R5238" s="8">
        <f>IF(Q5238&lt;&gt;0,Q5238+H5238+L5238,0)</f>
        <v/>
      </c>
      <c r="S5238" s="9">
        <f>VLOOKUP(OPERAC[[#This Row],[especie]],[1]!ESPECIES[#Data],9,FALSE)</f>
        <v/>
      </c>
    </row>
    <row r="5239">
      <c r="A5239" s="4" t="n">
        <v>16776</v>
      </c>
      <c r="B5239" s="5" t="n">
        <v>44651</v>
      </c>
      <c r="C5239" s="13" t="inlineStr">
        <is>
          <t>VTA</t>
        </is>
      </c>
      <c r="D5239" s="13" t="n">
        <v>32</v>
      </c>
      <c r="E5239" s="10">
        <f>IF(D5239&gt;0,VLOOKUP(OPERAC[[#This Row],[COD CART]],[1]!MatrizCortoLargoCyl[#All],3,0),"")</f>
        <v/>
      </c>
      <c r="F5239" s="13" t="inlineStr">
        <is>
          <t>F</t>
        </is>
      </c>
      <c r="G5239" s="6" t="n">
        <v>100</v>
      </c>
      <c r="H5239" s="6" t="n">
        <v>-1665.896</v>
      </c>
      <c r="I5239" s="7">
        <f>-H5239/G5239</f>
        <v/>
      </c>
      <c r="J5239" s="11" t="n"/>
      <c r="K5239" s="6" t="n"/>
      <c r="L5239" s="6" t="n"/>
      <c r="M5239" s="7">
        <f>IF(N5239=0,+L5239+H5239,0)</f>
        <v/>
      </c>
      <c r="N5239" s="7">
        <f>IF((+G5239-K5239)=0,0,+G5239-K5239)</f>
        <v/>
      </c>
      <c r="O5239" s="7">
        <f>IF(N5239=0,0,(L5239+H5239)/-N5239)</f>
        <v/>
      </c>
      <c r="P5239" s="7">
        <f>VLOOKUP(OPERAC[[#This Row],[especie]],[1]!ESPECIES[#All],6,0)</f>
        <v/>
      </c>
      <c r="Q5239" s="7">
        <f>IF(N5239&lt;&gt;0,P5239*N5239,0)</f>
        <v/>
      </c>
      <c r="R5239" s="8">
        <f>IF(Q5239&lt;&gt;0,Q5239+H5239+L5239,0)</f>
        <v/>
      </c>
      <c r="S5239" s="9">
        <f>VLOOKUP(OPERAC[[#This Row],[especie]],[1]!ESPECIES[#Data],9,FALSE)</f>
        <v/>
      </c>
    </row>
    <row r="5240">
      <c r="A5240" s="4" t="n">
        <v>12022</v>
      </c>
      <c r="B5240" s="5" t="n">
        <v>44705</v>
      </c>
      <c r="C5240" s="13" t="inlineStr">
        <is>
          <t>VTA</t>
        </is>
      </c>
      <c r="D5240" s="13" t="n">
        <v>32</v>
      </c>
      <c r="E5240" s="10">
        <f>IF(D5240&gt;0,VLOOKUP(OPERAC[[#This Row],[COD CART]],[1]!MatrizCortoLargoCyl[#All],3,0),"")</f>
        <v/>
      </c>
      <c r="F5240" s="13" t="inlineStr">
        <is>
          <t>HIMX/CYL/8,50/03-06-22</t>
        </is>
      </c>
      <c r="G5240" s="6" t="n">
        <v>200</v>
      </c>
      <c r="H5240" s="6" t="n">
        <v>-1667.72</v>
      </c>
      <c r="I5240" s="7">
        <f>-H5240/G5240</f>
        <v/>
      </c>
      <c r="J5240" s="5" t="n">
        <v>44715</v>
      </c>
      <c r="K5240" s="6">
        <f>+OPERAC[[#This Row],[cantidad]]</f>
        <v/>
      </c>
      <c r="L5240" s="6">
        <f>+OPERAC[[#This Row],[cantidad venta]]*8.462</f>
        <v/>
      </c>
      <c r="M5240" s="7">
        <f>IF(N5240=0,+L5240+H5240,0)</f>
        <v/>
      </c>
      <c r="N5240" s="7">
        <f>IF((+G5240-K5240)=0,0,+G5240-K5240)</f>
        <v/>
      </c>
      <c r="O5240" s="7">
        <f>IF(N5240=0,0,(L5240+H5240)/-N5240)</f>
        <v/>
      </c>
      <c r="P5240" s="7">
        <f>VLOOKUP(OPERAC[[#This Row],[especie]],[1]!ESPECIES[#All],6,0)</f>
        <v/>
      </c>
      <c r="Q5240" s="7">
        <f>IF(N5240&lt;&gt;0,P5240*N5240,0)</f>
        <v/>
      </c>
      <c r="R5240" s="8">
        <f>IF(Q5240&lt;&gt;0,Q5240+H5240+L5240,0)</f>
        <v/>
      </c>
      <c r="S5240" s="9">
        <f>VLOOKUP(OPERAC[[#This Row],[especie]],[1]!ESPECIES[#Data],9,FALSE)</f>
        <v/>
      </c>
    </row>
    <row r="5241">
      <c r="A5241" s="4" t="n">
        <v>3728</v>
      </c>
      <c r="B5241" s="5" t="n">
        <v>44656</v>
      </c>
      <c r="C5241" s="13" t="inlineStr">
        <is>
          <t>VTA</t>
        </is>
      </c>
      <c r="D5241" s="13" t="n">
        <v>32</v>
      </c>
      <c r="E5241" s="10">
        <f>IF(D5241&gt;0,VLOOKUP(OPERAC[[#This Row],[COD CART]],[1]!MatrizCortoLargoCyl[#All],3,0),"")</f>
        <v/>
      </c>
      <c r="F5241" s="13" t="inlineStr">
        <is>
          <t>FAZ/CYL/18,00/20-05-22</t>
        </is>
      </c>
      <c r="G5241" s="6" t="n">
        <v>100</v>
      </c>
      <c r="H5241" s="6" t="n">
        <v>-1668.345</v>
      </c>
      <c r="I5241" s="7">
        <f>-H5241/G5241</f>
        <v/>
      </c>
      <c r="J5241" s="11" t="n">
        <v>44673</v>
      </c>
      <c r="K5241" s="6" t="n">
        <v>100</v>
      </c>
      <c r="L5241" s="6" t="n">
        <v>1759.71</v>
      </c>
      <c r="M5241" s="7">
        <f>IF(N5241=0,+L5241+H5241,0)</f>
        <v/>
      </c>
      <c r="N5241" s="7">
        <f>IF((+G5241-K5241)=0,0,+G5241-K5241)</f>
        <v/>
      </c>
      <c r="O5241" s="7">
        <f>IF(N5241=0,0,(L5241+H5241)/-N5241)</f>
        <v/>
      </c>
      <c r="P5241" s="7">
        <f>VLOOKUP(OPERAC[[#This Row],[especie]],[1]!ESPECIES[#All],6,0)</f>
        <v/>
      </c>
      <c r="Q5241" s="7">
        <f>IF(N5241&lt;&gt;0,P5241*N5241,0)</f>
        <v/>
      </c>
      <c r="R5241" s="8">
        <f>IF(Q5241&lt;&gt;0,Q5241+H5241+L5241,0)</f>
        <v/>
      </c>
      <c r="S5241" s="9">
        <f>VLOOKUP(OPERAC[[#This Row],[especie]],[1]!ESPECIES[#Data],9,FALSE)</f>
        <v/>
      </c>
    </row>
    <row r="5242">
      <c r="A5242" s="4" t="n">
        <v>1760</v>
      </c>
      <c r="B5242" s="5" t="n">
        <v>44655</v>
      </c>
      <c r="C5242" s="13" t="inlineStr">
        <is>
          <t>VTA</t>
        </is>
      </c>
      <c r="D5242" s="13" t="n">
        <v>32</v>
      </c>
      <c r="E5242" s="10">
        <f>IF(D5242&gt;0,VLOOKUP(OPERAC[[#This Row],[COD CART]],[1]!MatrizCortoLargoCyl[#All],3,0),"")</f>
        <v/>
      </c>
      <c r="F5242" s="13" t="inlineStr">
        <is>
          <t>COTY</t>
        </is>
      </c>
      <c r="G5242" s="6" t="n">
        <v>200</v>
      </c>
      <c r="H5242" s="6" t="n">
        <v>-1671.039</v>
      </c>
      <c r="I5242" s="7">
        <f>-H5242/G5242</f>
        <v/>
      </c>
      <c r="J5242" s="11" t="n"/>
      <c r="K5242" s="6" t="n"/>
      <c r="L5242" s="6" t="n"/>
      <c r="M5242" s="7">
        <f>IF(N5242=0,+L5242+H5242,0)</f>
        <v/>
      </c>
      <c r="N5242" s="7">
        <f>IF((+G5242-K5242)=0,0,+G5242-K5242)</f>
        <v/>
      </c>
      <c r="O5242" s="7">
        <f>IF(N5242=0,0,(L5242+H5242)/-N5242)</f>
        <v/>
      </c>
      <c r="P5242" s="7">
        <f>VLOOKUP(OPERAC[[#This Row],[especie]],[1]!ESPECIES[#All],6,0)</f>
        <v/>
      </c>
      <c r="Q5242" s="7">
        <f>IF(N5242&lt;&gt;0,P5242*N5242,0)</f>
        <v/>
      </c>
      <c r="R5242" s="8">
        <f>IF(Q5242&lt;&gt;0,Q5242+H5242+L5242,0)</f>
        <v/>
      </c>
      <c r="S5242" s="9">
        <f>VLOOKUP(OPERAC[[#This Row],[especie]],[1]!ESPECIES[#Data],9,FALSE)</f>
        <v/>
      </c>
    </row>
    <row r="5243">
      <c r="A5243" s="4" t="n">
        <v>16780</v>
      </c>
      <c r="B5243" s="5" t="n">
        <v>44655</v>
      </c>
      <c r="C5243" s="13" t="inlineStr">
        <is>
          <t>VTA</t>
        </is>
      </c>
      <c r="D5243" s="13" t="n">
        <v>32</v>
      </c>
      <c r="E5243" s="10">
        <f>IF(D5243&gt;0,VLOOKUP(OPERAC[[#This Row],[COD CART]],[1]!MatrizCortoLargoCyl[#All],3,0),"")</f>
        <v/>
      </c>
      <c r="F5243" s="13" t="inlineStr">
        <is>
          <t>COTY</t>
        </is>
      </c>
      <c r="G5243" s="6" t="n">
        <v>200</v>
      </c>
      <c r="H5243" s="6" t="n">
        <v>-1671.039</v>
      </c>
      <c r="I5243" s="7">
        <f>-H5243/G5243</f>
        <v/>
      </c>
      <c r="J5243" s="11" t="n">
        <v>44705</v>
      </c>
      <c r="K5243" s="6" t="n">
        <v>200</v>
      </c>
      <c r="L5243" s="6" t="n">
        <v>1197.882</v>
      </c>
      <c r="M5243" s="7">
        <f>IF(N5243=0,+L5243+H5243,0)</f>
        <v/>
      </c>
      <c r="N5243" s="7">
        <f>IF((+G5243-K5243)=0,0,+G5243-K5243)</f>
        <v/>
      </c>
      <c r="O5243" s="7">
        <f>IF(N5243=0,0,(L5243+H5243)/-N5243)</f>
        <v/>
      </c>
      <c r="P5243" s="7">
        <f>VLOOKUP(OPERAC[[#This Row],[especie]],[1]!ESPECIES[#All],6,0)</f>
        <v/>
      </c>
      <c r="Q5243" s="7">
        <f>IF(N5243&lt;&gt;0,P5243*N5243,0)</f>
        <v/>
      </c>
      <c r="R5243" s="8">
        <f>IF(Q5243&lt;&gt;0,Q5243+H5243+L5243,0)</f>
        <v/>
      </c>
      <c r="S5243" s="9">
        <f>VLOOKUP(OPERAC[[#This Row],[especie]],[1]!ESPECIES[#Data],9,FALSE)</f>
        <v/>
      </c>
    </row>
    <row r="5244">
      <c r="A5244" s="4" t="n">
        <v>16795</v>
      </c>
      <c r="B5244" s="5" t="n">
        <v>44655</v>
      </c>
      <c r="C5244" s="13" t="inlineStr">
        <is>
          <t>VTA</t>
        </is>
      </c>
      <c r="D5244" s="13" t="n">
        <v>32</v>
      </c>
      <c r="E5244" s="10">
        <f>IF(D5244&gt;0,VLOOKUP(OPERAC[[#This Row],[COD CART]],[1]!MatrizCortoLargoCyl[#All],3,0),"")</f>
        <v/>
      </c>
      <c r="F5244" s="13" t="inlineStr">
        <is>
          <t>COTY</t>
        </is>
      </c>
      <c r="G5244" s="6" t="n">
        <v>200</v>
      </c>
      <c r="H5244" s="6" t="n">
        <v>-1671.039</v>
      </c>
      <c r="I5244" s="7">
        <f>-H5244/G5244</f>
        <v/>
      </c>
      <c r="J5244" s="11" t="n">
        <v>44705</v>
      </c>
      <c r="K5244" s="6" t="n">
        <v>200</v>
      </c>
      <c r="L5244" s="6" t="n">
        <v>1197.88</v>
      </c>
      <c r="M5244" s="7">
        <f>IF(N5244=0,+L5244+H5244,0)</f>
        <v/>
      </c>
      <c r="N5244" s="7">
        <f>IF((+G5244-K5244)=0,0,+G5244-K5244)</f>
        <v/>
      </c>
      <c r="O5244" s="7">
        <f>IF(N5244=0,0,(L5244+H5244)/-N5244)</f>
        <v/>
      </c>
      <c r="P5244" s="7">
        <f>VLOOKUP(OPERAC[[#This Row],[especie]],[1]!ESPECIES[#All],6,0)</f>
        <v/>
      </c>
      <c r="Q5244" s="7">
        <f>IF(N5244&lt;&gt;0,P5244*N5244,0)</f>
        <v/>
      </c>
      <c r="R5244" s="8">
        <f>IF(Q5244&lt;&gt;0,Q5244+H5244+L5244,0)</f>
        <v/>
      </c>
      <c r="S5244" s="9">
        <f>VLOOKUP(OPERAC[[#This Row],[especie]],[1]!ESPECIES[#Data],9,FALSE)</f>
        <v/>
      </c>
    </row>
    <row r="5245">
      <c r="A5245" s="4" t="n">
        <v>3728</v>
      </c>
      <c r="B5245" s="5" t="n">
        <v>44643</v>
      </c>
      <c r="C5245" s="13" t="inlineStr">
        <is>
          <t>VTA</t>
        </is>
      </c>
      <c r="D5245" s="13" t="n">
        <v>42</v>
      </c>
      <c r="E5245" s="10">
        <f>IF(D5245&gt;0,VLOOKUP(OPERAC[[#This Row],[COD CART]],[1]!MatrizCortoLargoCyl[#All],3,0),"")</f>
        <v/>
      </c>
      <c r="F5245" s="13" t="inlineStr">
        <is>
          <t>ADBE</t>
        </is>
      </c>
      <c r="G5245" s="6" t="n">
        <v>4</v>
      </c>
      <c r="H5245" s="6" t="n">
        <v>-1672.52378</v>
      </c>
      <c r="I5245" s="7">
        <f>-H5245/G5245</f>
        <v/>
      </c>
      <c r="J5245" s="11" t="n">
        <v>44687</v>
      </c>
      <c r="K5245" s="6">
        <f>+OPERAC[[#This Row],[cantidad]]</f>
        <v/>
      </c>
      <c r="L5245" s="6" t="n">
        <v>386.42</v>
      </c>
      <c r="M5245" s="7">
        <f>IF(N5245=0,+L5245+H5245,0)</f>
        <v/>
      </c>
      <c r="N5245" s="7">
        <f>IF((+G5245-K5245)=0,0,+G5245-K5245)</f>
        <v/>
      </c>
      <c r="O5245" s="7">
        <f>IF(N5245=0,0,(L5245+H5245)/-N5245)</f>
        <v/>
      </c>
      <c r="P5245" s="7">
        <f>VLOOKUP(OPERAC[[#This Row],[especie]],[1]!ESPECIES[#All],6,0)</f>
        <v/>
      </c>
      <c r="Q5245" s="7">
        <f>IF(N5245&lt;&gt;0,P5245*N5245,0)</f>
        <v/>
      </c>
      <c r="R5245" s="8">
        <f>IF(Q5245&lt;&gt;0,Q5245+H5245+L5245,0)</f>
        <v/>
      </c>
      <c r="S5245" s="9">
        <f>VLOOKUP(OPERAC[[#This Row],[especie]],[1]!ESPECIES[#Data],9,FALSE)</f>
        <v/>
      </c>
    </row>
    <row r="5246">
      <c r="A5246" s="4" t="n">
        <v>2218</v>
      </c>
      <c r="B5246" s="5" t="n">
        <v>44523</v>
      </c>
      <c r="C5246" s="13" t="inlineStr">
        <is>
          <t>VTA</t>
        </is>
      </c>
      <c r="D5246" s="13" t="n">
        <v>32</v>
      </c>
      <c r="E5246" s="10">
        <f>IF(D5246&gt;0,VLOOKUP(OPERAC[[#This Row],[COD CART]],[1]!MatrizCortoLargoCyl[#All],3,0),"")</f>
        <v/>
      </c>
      <c r="F5246" s="13" t="inlineStr">
        <is>
          <t>TEVA/CYL/9,00/21-01-22</t>
        </is>
      </c>
      <c r="G5246" s="6" t="n">
        <v>200</v>
      </c>
      <c r="H5246" s="6">
        <f>-1710.6258+37.748</f>
        <v/>
      </c>
      <c r="I5246" s="7">
        <f>-H5246/G5246</f>
        <v/>
      </c>
      <c r="J5246" s="11" t="n">
        <v>44575</v>
      </c>
      <c r="K5246" s="6" t="n">
        <v>200</v>
      </c>
      <c r="L5246" s="6" t="n">
        <v>1765.831</v>
      </c>
      <c r="M5246" s="7">
        <f>IF(N5246=0,+L5246+H5246,0)</f>
        <v/>
      </c>
      <c r="N5246" s="7">
        <f>IF((+G5246-K5246)=0,0,+G5246-K5246)</f>
        <v/>
      </c>
      <c r="O5246" s="7">
        <f>IF(N5246=0,0,(L5246+H5246)/-N5246)</f>
        <v/>
      </c>
      <c r="P5246" s="7">
        <f>VLOOKUP(OPERAC[[#This Row],[especie]],[1]!ESPECIES[#All],6,0)</f>
        <v/>
      </c>
      <c r="Q5246" s="7">
        <f>IF(N5246&lt;&gt;0,P5246*N5246,0)</f>
        <v/>
      </c>
      <c r="R5246" s="8">
        <f>IF(Q5246&lt;&gt;0,Q5246+H5246+L5246,0)</f>
        <v/>
      </c>
      <c r="S5246" s="9">
        <f>VLOOKUP(OPERAC[[#This Row],[especie]],[1]!ESPECIES[#Data],9,FALSE)</f>
        <v/>
      </c>
    </row>
    <row r="5247">
      <c r="A5247" s="4" t="n">
        <v>3728</v>
      </c>
      <c r="B5247" s="5" t="n">
        <v>44523</v>
      </c>
      <c r="C5247" s="13" t="inlineStr">
        <is>
          <t>VTA</t>
        </is>
      </c>
      <c r="D5247" s="13" t="n">
        <v>32</v>
      </c>
      <c r="E5247" s="10">
        <f>IF(D5247&gt;0,VLOOKUP(OPERAC[[#This Row],[COD CART]],[1]!MatrizCortoLargoCyl[#All],3,0),"")</f>
        <v/>
      </c>
      <c r="F5247" s="13" t="inlineStr">
        <is>
          <t>TEVA/CYL/9,00/21-01-22</t>
        </is>
      </c>
      <c r="G5247" s="6" t="n">
        <v>200</v>
      </c>
      <c r="H5247" s="6">
        <f>-1710.6258+37.748</f>
        <v/>
      </c>
      <c r="I5247" s="7">
        <f>-H5247/G5247</f>
        <v/>
      </c>
      <c r="J5247" s="11" t="n">
        <v>44575</v>
      </c>
      <c r="K5247" s="6" t="n">
        <v>200</v>
      </c>
      <c r="L5247" s="6" t="n">
        <v>1765.831</v>
      </c>
      <c r="M5247" s="7">
        <f>IF(N5247=0,+L5247+H5247,0)</f>
        <v/>
      </c>
      <c r="N5247" s="7">
        <f>IF((+G5247-K5247)=0,0,+G5247-K5247)</f>
        <v/>
      </c>
      <c r="O5247" s="7">
        <f>IF(N5247=0,0,(L5247+H5247)/-N5247)</f>
        <v/>
      </c>
      <c r="P5247" s="7">
        <f>VLOOKUP(OPERAC[[#This Row],[especie]],[1]!ESPECIES[#All],6,0)</f>
        <v/>
      </c>
      <c r="Q5247" s="7">
        <f>IF(N5247&lt;&gt;0,P5247*N5247,0)</f>
        <v/>
      </c>
      <c r="R5247" s="8">
        <f>IF(Q5247&lt;&gt;0,Q5247+H5247+L5247,0)</f>
        <v/>
      </c>
      <c r="S5247" s="9">
        <f>VLOOKUP(OPERAC[[#This Row],[especie]],[1]!ESPECIES[#Data],9,FALSE)</f>
        <v/>
      </c>
    </row>
    <row r="5248">
      <c r="A5248" s="4" t="n">
        <v>2218</v>
      </c>
      <c r="B5248" s="5" t="n">
        <v>44312</v>
      </c>
      <c r="C5248" s="13" t="inlineStr">
        <is>
          <t>VTA</t>
        </is>
      </c>
      <c r="D5248" s="13" t="n">
        <v>43</v>
      </c>
      <c r="E5248" s="10">
        <f>IF(D5248&gt;0,VLOOKUP(OPERAC[[#This Row],[COD CART]],[1]!MatrizCortoLargoCyl[#All],3,0),"")</f>
        <v/>
      </c>
      <c r="F5248" s="13" t="inlineStr">
        <is>
          <t>MNKD/CYL-PUT/4,50/20-01-23</t>
        </is>
      </c>
      <c r="G5248" s="6" t="n">
        <v>2500</v>
      </c>
      <c r="H5248" s="6">
        <f>-6419.89+4745.25</f>
        <v/>
      </c>
      <c r="I5248" s="7">
        <f>-H5248/G5248</f>
        <v/>
      </c>
      <c r="J5248" s="11" t="n"/>
      <c r="K5248" s="6" t="n"/>
      <c r="L5248" s="6" t="n"/>
      <c r="M5248" s="7">
        <f>IF(N5248=0,+L5248+H5248,0)</f>
        <v/>
      </c>
      <c r="N5248" s="7">
        <f>IF((+G5248-K5248)=0,0,+G5248-K5248)</f>
        <v/>
      </c>
      <c r="O5248" s="7">
        <f>IF(N5248=0,0,(L5248+H5248)/-N5248)</f>
        <v/>
      </c>
      <c r="P5248" s="7">
        <f>VLOOKUP(OPERAC[[#This Row],[especie]],[1]!ESPECIES[#All],6,0)</f>
        <v/>
      </c>
      <c r="Q5248" s="7">
        <f>IF(N5248&lt;&gt;0,P5248*N5248,0)</f>
        <v/>
      </c>
      <c r="R5248" s="8">
        <f>IF(Q5248&lt;&gt;0,Q5248+H5248+L5248,0)</f>
        <v/>
      </c>
      <c r="S5248" s="9">
        <f>VLOOKUP(OPERAC[[#This Row],[especie]],[1]!ESPECIES[#Data],9,FALSE)</f>
        <v/>
      </c>
    </row>
    <row r="5249">
      <c r="A5249" s="4" t="n">
        <v>15189</v>
      </c>
      <c r="B5249" s="5" t="n">
        <v>44643</v>
      </c>
      <c r="C5249" s="13" t="inlineStr">
        <is>
          <t>VTA</t>
        </is>
      </c>
      <c r="D5249" s="13" t="n">
        <v>31</v>
      </c>
      <c r="E5249" s="10">
        <f>IF(D5249&gt;0,VLOOKUP(OPERAC[[#This Row],[COD CART]],[1]!MatrizCortoLargoCyl[#All],3,0),"")</f>
        <v/>
      </c>
      <c r="F5249" s="13" t="inlineStr">
        <is>
          <t>COST</t>
        </is>
      </c>
      <c r="G5249" s="6" t="n">
        <v>3</v>
      </c>
      <c r="H5249" s="6" t="n">
        <v>-1677.64992</v>
      </c>
      <c r="I5249" s="7">
        <f>-H5249/G5249</f>
        <v/>
      </c>
      <c r="J5249" s="11" t="n">
        <v>44693</v>
      </c>
      <c r="K5249" s="6" t="n">
        <v>3</v>
      </c>
      <c r="L5249" s="6" t="n">
        <v>1453.665</v>
      </c>
      <c r="M5249" s="7">
        <f>IF(N5249=0,+L5249+H5249,0)</f>
        <v/>
      </c>
      <c r="N5249" s="7">
        <f>IF((+G5249-K5249)=0,0,+G5249-K5249)</f>
        <v/>
      </c>
      <c r="O5249" s="7">
        <f>IF(N5249=0,0,(L5249+H5249)/-N5249)</f>
        <v/>
      </c>
      <c r="P5249" s="7">
        <f>VLOOKUP(OPERAC[[#This Row],[especie]],[1]!ESPECIES[#All],6,0)</f>
        <v/>
      </c>
      <c r="Q5249" s="7">
        <f>IF(N5249&lt;&gt;0,P5249*N5249,0)</f>
        <v/>
      </c>
      <c r="R5249" s="8">
        <f>IF(Q5249&lt;&gt;0,Q5249+H5249+L5249,0)</f>
        <v/>
      </c>
      <c r="S5249" s="9">
        <f>VLOOKUP(OPERAC[[#This Row],[especie]],[1]!ESPECIES[#Data],9,FALSE)</f>
        <v/>
      </c>
    </row>
    <row r="5250">
      <c r="A5250" s="4" t="n">
        <v>22393</v>
      </c>
      <c r="B5250" s="5" t="n">
        <v>44656</v>
      </c>
      <c r="C5250" s="13" t="inlineStr">
        <is>
          <t>VTA</t>
        </is>
      </c>
      <c r="D5250" s="13" t="n">
        <v>32</v>
      </c>
      <c r="E5250" s="10">
        <f>IF(D5250&gt;0,VLOOKUP(OPERAC[[#This Row],[COD CART]],[1]!MatrizCortoLargoCyl[#All],3,0),"")</f>
        <v/>
      </c>
      <c r="F5250" s="13" t="inlineStr">
        <is>
          <t>FAZ/CYL/18,00/20-05-22</t>
        </is>
      </c>
      <c r="G5250" s="6" t="n">
        <v>100</v>
      </c>
      <c r="H5250" s="6" t="n">
        <v>-1682.66</v>
      </c>
      <c r="I5250" s="7">
        <f>-H5250/G5250</f>
        <v/>
      </c>
      <c r="J5250" s="11" t="n">
        <v>44673</v>
      </c>
      <c r="K5250" s="6" t="n">
        <v>100</v>
      </c>
      <c r="L5250" s="6" t="n">
        <v>1746.07</v>
      </c>
      <c r="M5250" s="7">
        <f>IF(N5250=0,+L5250+H5250,0)</f>
        <v/>
      </c>
      <c r="N5250" s="7">
        <f>IF((+G5250-K5250)=0,0,+G5250-K5250)</f>
        <v/>
      </c>
      <c r="O5250" s="7">
        <f>IF(N5250=0,0,(L5250+H5250)/-N5250)</f>
        <v/>
      </c>
      <c r="P5250" s="7">
        <f>VLOOKUP(OPERAC[[#This Row],[especie]],[1]!ESPECIES[#All],6,0)</f>
        <v/>
      </c>
      <c r="Q5250" s="7">
        <f>IF(N5250&lt;&gt;0,P5250*N5250,0)</f>
        <v/>
      </c>
      <c r="R5250" s="8">
        <f>IF(Q5250&lt;&gt;0,Q5250+H5250+L5250,0)</f>
        <v/>
      </c>
      <c r="S5250" s="9">
        <f>VLOOKUP(OPERAC[[#This Row],[especie]],[1]!ESPECIES[#Data],9,FALSE)</f>
        <v/>
      </c>
    </row>
    <row r="5251">
      <c r="A5251" s="4" t="n">
        <v>19932</v>
      </c>
      <c r="B5251" s="5" t="n">
        <v>44643</v>
      </c>
      <c r="C5251" s="13" t="inlineStr">
        <is>
          <t>VTA</t>
        </is>
      </c>
      <c r="D5251" s="13" t="n">
        <v>42</v>
      </c>
      <c r="E5251" s="10">
        <f>IF(D5251&gt;0,VLOOKUP(OPERAC[[#This Row],[COD CART]],[1]!MatrizCortoLargoCyl[#All],3,0),"")</f>
        <v/>
      </c>
      <c r="F5251" s="13" t="inlineStr">
        <is>
          <t>ADBE</t>
        </is>
      </c>
      <c r="G5251" s="6" t="n">
        <v>4</v>
      </c>
      <c r="H5251" s="6" t="n">
        <v>-1684.2191</v>
      </c>
      <c r="I5251" s="7">
        <f>-H5251/G5251</f>
        <v/>
      </c>
      <c r="J5251" s="11" t="n">
        <v>44662</v>
      </c>
      <c r="K5251" s="6" t="n">
        <v>4</v>
      </c>
      <c r="L5251" s="6" t="n">
        <v>1725.08</v>
      </c>
      <c r="M5251" s="7">
        <f>IF(N5251=0,+L5251+H5251,0)</f>
        <v/>
      </c>
      <c r="N5251" s="7">
        <f>IF((+G5251-K5251)=0,0,+G5251-K5251)</f>
        <v/>
      </c>
      <c r="O5251" s="7">
        <f>IF(N5251=0,0,(L5251+H5251)/-N5251)</f>
        <v/>
      </c>
      <c r="P5251" s="7">
        <f>VLOOKUP(OPERAC[[#This Row],[especie]],[1]!ESPECIES[#All],6,0)</f>
        <v/>
      </c>
      <c r="Q5251" s="7">
        <f>IF(N5251&lt;&gt;0,P5251*N5251,0)</f>
        <v/>
      </c>
      <c r="R5251" s="8">
        <f>IF(Q5251&lt;&gt;0,Q5251+H5251+L5251,0)</f>
        <v/>
      </c>
      <c r="S5251" s="9">
        <f>VLOOKUP(OPERAC[[#This Row],[especie]],[1]!ESPECIES[#Data],9,FALSE)</f>
        <v/>
      </c>
    </row>
    <row r="5252">
      <c r="A5252" s="4" t="n">
        <v>4561</v>
      </c>
      <c r="B5252" s="5" t="n">
        <v>44523</v>
      </c>
      <c r="C5252" s="13" t="inlineStr">
        <is>
          <t>VTA</t>
        </is>
      </c>
      <c r="D5252" s="13" t="n">
        <v>32</v>
      </c>
      <c r="E5252" s="10">
        <f>IF(D5252&gt;0,VLOOKUP(OPERAC[[#This Row],[COD CART]],[1]!MatrizCortoLargoCyl[#All],3,0),"")</f>
        <v/>
      </c>
      <c r="F5252" s="13" t="inlineStr">
        <is>
          <t>TEVA/CYL/9,00/21-01-22</t>
        </is>
      </c>
      <c r="G5252" s="6" t="n">
        <v>200</v>
      </c>
      <c r="H5252" s="6">
        <f>-1723.2664+37.748</f>
        <v/>
      </c>
      <c r="I5252" s="7">
        <f>-H5252/G5252</f>
        <v/>
      </c>
      <c r="J5252" s="11" t="n">
        <v>44575</v>
      </c>
      <c r="K5252" s="6" t="n">
        <v>200</v>
      </c>
      <c r="L5252" s="6" t="n">
        <v>1757.83</v>
      </c>
      <c r="M5252" s="7">
        <f>IF(N5252=0,+L5252+H5252,0)</f>
        <v/>
      </c>
      <c r="N5252" s="7">
        <f>IF((+G5252-K5252)=0,0,+G5252-K5252)</f>
        <v/>
      </c>
      <c r="O5252" s="7">
        <f>IF(N5252=0,0,(L5252+H5252)/-N5252)</f>
        <v/>
      </c>
      <c r="P5252" s="7">
        <f>VLOOKUP(OPERAC[[#This Row],[especie]],[1]!ESPECIES[#All],6,0)</f>
        <v/>
      </c>
      <c r="Q5252" s="7">
        <f>IF(N5252&lt;&gt;0,P5252*N5252,0)</f>
        <v/>
      </c>
      <c r="R5252" s="8">
        <f>IF(Q5252&lt;&gt;0,Q5252+H5252+L5252,0)</f>
        <v/>
      </c>
      <c r="S5252" s="9">
        <f>VLOOKUP(OPERAC[[#This Row],[especie]],[1]!ESPECIES[#Data],9,FALSE)</f>
        <v/>
      </c>
    </row>
    <row r="5253">
      <c r="A5253" s="4" t="n">
        <v>12690</v>
      </c>
      <c r="B5253" s="5" t="n">
        <v>44523</v>
      </c>
      <c r="C5253" s="13" t="inlineStr">
        <is>
          <t>VTA</t>
        </is>
      </c>
      <c r="D5253" s="13" t="n">
        <v>32</v>
      </c>
      <c r="E5253" s="10">
        <f>IF(D5253&gt;0,VLOOKUP(OPERAC[[#This Row],[COD CART]],[1]!MatrizCortoLargoCyl[#All],3,0),"")</f>
        <v/>
      </c>
      <c r="F5253" s="13" t="inlineStr">
        <is>
          <t>TEVA/CYL/9,00/21-01-22</t>
        </is>
      </c>
      <c r="G5253" s="6" t="n">
        <v>200</v>
      </c>
      <c r="H5253" s="6">
        <f>-1723.2664+37.748</f>
        <v/>
      </c>
      <c r="I5253" s="7">
        <f>-H5253/G5253</f>
        <v/>
      </c>
      <c r="J5253" s="11" t="n">
        <v>44575</v>
      </c>
      <c r="K5253" s="6" t="n">
        <v>200</v>
      </c>
      <c r="L5253" s="6" t="n">
        <v>1757.83</v>
      </c>
      <c r="M5253" s="7">
        <f>IF(N5253=0,+L5253+H5253,0)</f>
        <v/>
      </c>
      <c r="N5253" s="7">
        <f>IF((+G5253-K5253)=0,0,+G5253-K5253)</f>
        <v/>
      </c>
      <c r="O5253" s="7">
        <f>IF(N5253=0,0,(L5253+H5253)/-N5253)</f>
        <v/>
      </c>
      <c r="P5253" s="7">
        <f>VLOOKUP(OPERAC[[#This Row],[especie]],[1]!ESPECIES[#All],6,0)</f>
        <v/>
      </c>
      <c r="Q5253" s="7">
        <f>IF(N5253&lt;&gt;0,P5253*N5253,0)</f>
        <v/>
      </c>
      <c r="R5253" s="8">
        <f>IF(Q5253&lt;&gt;0,Q5253+H5253+L5253,0)</f>
        <v/>
      </c>
      <c r="S5253" s="9">
        <f>VLOOKUP(OPERAC[[#This Row],[especie]],[1]!ESPECIES[#Data],9,FALSE)</f>
        <v/>
      </c>
    </row>
    <row r="5254">
      <c r="A5254" s="4" t="n">
        <v>13273</v>
      </c>
      <c r="B5254" s="5" t="n">
        <v>44523</v>
      </c>
      <c r="C5254" s="13" t="inlineStr">
        <is>
          <t>VTA</t>
        </is>
      </c>
      <c r="D5254" s="13" t="n">
        <v>32</v>
      </c>
      <c r="E5254" s="10">
        <f>IF(D5254&gt;0,VLOOKUP(OPERAC[[#This Row],[COD CART]],[1]!MatrizCortoLargoCyl[#All],3,0),"")</f>
        <v/>
      </c>
      <c r="F5254" s="13" t="inlineStr">
        <is>
          <t>TEVA/CYL/9,00/21-01-22</t>
        </is>
      </c>
      <c r="G5254" s="6" t="n">
        <v>200</v>
      </c>
      <c r="H5254" s="6">
        <f>-1723.2664+37.748</f>
        <v/>
      </c>
      <c r="I5254" s="7">
        <f>-H5254/G5254</f>
        <v/>
      </c>
      <c r="J5254" s="11" t="n">
        <v>44575</v>
      </c>
      <c r="K5254" s="6" t="n">
        <v>200</v>
      </c>
      <c r="L5254" s="6" t="n">
        <v>1757.83</v>
      </c>
      <c r="M5254" s="7">
        <f>IF(N5254=0,+L5254+H5254,0)</f>
        <v/>
      </c>
      <c r="N5254" s="7">
        <f>IF((+G5254-K5254)=0,0,+G5254-K5254)</f>
        <v/>
      </c>
      <c r="O5254" s="7">
        <f>IF(N5254=0,0,(L5254+H5254)/-N5254)</f>
        <v/>
      </c>
      <c r="P5254" s="7">
        <f>VLOOKUP(OPERAC[[#This Row],[especie]],[1]!ESPECIES[#All],6,0)</f>
        <v/>
      </c>
      <c r="Q5254" s="7">
        <f>IF(N5254&lt;&gt;0,P5254*N5254,0)</f>
        <v/>
      </c>
      <c r="R5254" s="8">
        <f>IF(Q5254&lt;&gt;0,Q5254+H5254+L5254,0)</f>
        <v/>
      </c>
      <c r="S5254" s="9">
        <f>VLOOKUP(OPERAC[[#This Row],[especie]],[1]!ESPECIES[#Data],9,FALSE)</f>
        <v/>
      </c>
    </row>
    <row r="5255">
      <c r="A5255" s="4" t="n">
        <v>15195</v>
      </c>
      <c r="B5255" s="5" t="n">
        <v>44523</v>
      </c>
      <c r="C5255" s="13" t="inlineStr">
        <is>
          <t>VTA</t>
        </is>
      </c>
      <c r="D5255" s="13" t="n">
        <v>32</v>
      </c>
      <c r="E5255" s="10">
        <f>IF(D5255&gt;0,VLOOKUP(OPERAC[[#This Row],[COD CART]],[1]!MatrizCortoLargoCyl[#All],3,0),"")</f>
        <v/>
      </c>
      <c r="F5255" s="13" t="inlineStr">
        <is>
          <t>TEVA/CYL/9,00/21-01-22</t>
        </is>
      </c>
      <c r="G5255" s="6" t="n">
        <v>200</v>
      </c>
      <c r="H5255" s="6">
        <f>-1723.2664+37.748</f>
        <v/>
      </c>
      <c r="I5255" s="7">
        <f>-H5255/G5255</f>
        <v/>
      </c>
      <c r="J5255" s="11" t="n">
        <v>44575</v>
      </c>
      <c r="K5255" s="6" t="n">
        <v>200</v>
      </c>
      <c r="L5255" s="6" t="n">
        <v>1757.83</v>
      </c>
      <c r="M5255" s="7">
        <f>IF(N5255=0,+L5255+H5255,0)</f>
        <v/>
      </c>
      <c r="N5255" s="7">
        <f>IF((+G5255-K5255)=0,0,+G5255-K5255)</f>
        <v/>
      </c>
      <c r="O5255" s="7">
        <f>IF(N5255=0,0,(L5255+H5255)/-N5255)</f>
        <v/>
      </c>
      <c r="P5255" s="7">
        <f>VLOOKUP(OPERAC[[#This Row],[especie]],[1]!ESPECIES[#All],6,0)</f>
        <v/>
      </c>
      <c r="Q5255" s="7">
        <f>IF(N5255&lt;&gt;0,P5255*N5255,0)</f>
        <v/>
      </c>
      <c r="R5255" s="8">
        <f>IF(Q5255&lt;&gt;0,Q5255+H5255+L5255,0)</f>
        <v/>
      </c>
      <c r="S5255" s="9">
        <f>VLOOKUP(OPERAC[[#This Row],[especie]],[1]!ESPECIES[#Data],9,FALSE)</f>
        <v/>
      </c>
    </row>
    <row r="5256">
      <c r="A5256" s="4" t="n">
        <v>16776</v>
      </c>
      <c r="B5256" s="5" t="n">
        <v>44523</v>
      </c>
      <c r="C5256" s="13" t="inlineStr">
        <is>
          <t>VTA</t>
        </is>
      </c>
      <c r="D5256" s="13" t="n">
        <v>32</v>
      </c>
      <c r="E5256" s="10">
        <f>IF(D5256&gt;0,VLOOKUP(OPERAC[[#This Row],[COD CART]],[1]!MatrizCortoLargoCyl[#All],3,0),"")</f>
        <v/>
      </c>
      <c r="F5256" s="13" t="inlineStr">
        <is>
          <t>TEVA/CYL/9,00/21-01-22</t>
        </is>
      </c>
      <c r="G5256" s="6" t="n">
        <v>200</v>
      </c>
      <c r="H5256" s="6">
        <f>-1723.2664+37.748</f>
        <v/>
      </c>
      <c r="I5256" s="7">
        <f>-H5256/G5256</f>
        <v/>
      </c>
      <c r="J5256" s="11" t="n">
        <v>44575</v>
      </c>
      <c r="K5256" s="6" t="n">
        <v>200</v>
      </c>
      <c r="L5256" s="6" t="n">
        <v>1757.83</v>
      </c>
      <c r="M5256" s="7">
        <f>IF(N5256=0,+L5256+H5256,0)</f>
        <v/>
      </c>
      <c r="N5256" s="7">
        <f>IF((+G5256-K5256)=0,0,+G5256-K5256)</f>
        <v/>
      </c>
      <c r="O5256" s="7">
        <f>IF(N5256=0,0,(L5256+H5256)/-N5256)</f>
        <v/>
      </c>
      <c r="P5256" s="7">
        <f>VLOOKUP(OPERAC[[#This Row],[especie]],[1]!ESPECIES[#All],6,0)</f>
        <v/>
      </c>
      <c r="Q5256" s="7">
        <f>IF(N5256&lt;&gt;0,P5256*N5256,0)</f>
        <v/>
      </c>
      <c r="R5256" s="8">
        <f>IF(Q5256&lt;&gt;0,Q5256+H5256+L5256,0)</f>
        <v/>
      </c>
      <c r="S5256" s="9">
        <f>VLOOKUP(OPERAC[[#This Row],[especie]],[1]!ESPECIES[#Data],9,FALSE)</f>
        <v/>
      </c>
    </row>
    <row r="5257">
      <c r="A5257" s="4" t="n">
        <v>22393</v>
      </c>
      <c r="B5257" s="5" t="n">
        <v>44396</v>
      </c>
      <c r="C5257" s="13" t="inlineStr">
        <is>
          <t>VTA</t>
        </is>
      </c>
      <c r="D5257" s="13" t="n">
        <v>40</v>
      </c>
      <c r="E5257" s="10">
        <f>IF(D5257&gt;0,VLOOKUP(OPERAC[[#This Row],[COD CART]],[1]!MatrizCortoLargoCyl[#All],3,0),"")</f>
        <v/>
      </c>
      <c r="F5257" s="13" t="inlineStr">
        <is>
          <t>INO</t>
        </is>
      </c>
      <c r="G5257" s="6" t="n">
        <v>200</v>
      </c>
      <c r="H5257" s="6" t="n">
        <v>-1687.82</v>
      </c>
      <c r="I5257" s="7">
        <f>-H5257/G5257</f>
        <v/>
      </c>
      <c r="J5257" s="11" t="n"/>
      <c r="K5257" s="6" t="n"/>
      <c r="L5257" s="6" t="n"/>
      <c r="M5257" s="7">
        <f>IF(N5257=0,+L5257+H5257,0)</f>
        <v/>
      </c>
      <c r="N5257" s="7">
        <f>IF((+G5257-K5257)=0,0,+G5257-K5257)</f>
        <v/>
      </c>
      <c r="O5257" s="7">
        <f>IF(N5257=0,0,(L5257+H5257)/-N5257)</f>
        <v/>
      </c>
      <c r="P5257" s="7">
        <f>VLOOKUP(OPERAC[[#This Row],[especie]],[1]!ESPECIES[#All],6,0)</f>
        <v/>
      </c>
      <c r="Q5257" s="7">
        <f>IF(N5257&lt;&gt;0,P5257*N5257,0)</f>
        <v/>
      </c>
      <c r="R5257" s="8">
        <f>IF(Q5257&lt;&gt;0,Q5257+H5257+L5257,0)</f>
        <v/>
      </c>
      <c r="S5257" s="9">
        <f>VLOOKUP(OPERAC[[#This Row],[especie]],[1]!ESPECIES[#Data],9,FALSE)</f>
        <v/>
      </c>
    </row>
    <row r="5258">
      <c r="A5258" s="4" t="n">
        <v>19867</v>
      </c>
      <c r="B5258" s="5" t="n">
        <v>44601</v>
      </c>
      <c r="C5258" s="13" t="inlineStr">
        <is>
          <t>VTA</t>
        </is>
      </c>
      <c r="D5258" s="13" t="n">
        <v>43</v>
      </c>
      <c r="E5258" s="10">
        <f>IF(D5258&gt;0,VLOOKUP(OPERAC[[#This Row],[COD CART]],[1]!MatrizCortoLargoCyl[#All],3,0),"")</f>
        <v/>
      </c>
      <c r="F5258" s="13" t="inlineStr">
        <is>
          <t>GMBL/CYL-PUT/2,50/20-01-23</t>
        </is>
      </c>
      <c r="G5258" s="6" t="n">
        <v>1300</v>
      </c>
      <c r="H5258" s="6">
        <f>-1.3*OPERAC[[#This Row],[cantidad]]</f>
        <v/>
      </c>
      <c r="I5258" s="7">
        <f>-H5258/G5258</f>
        <v/>
      </c>
      <c r="J5258" s="11" t="n">
        <v>44629</v>
      </c>
      <c r="K5258" s="6" t="n">
        <v>1300</v>
      </c>
      <c r="L5258" s="6" t="n">
        <v>-1504.4</v>
      </c>
      <c r="M5258" s="7">
        <f>IF(N5258=0,+L5258+H5258,0)</f>
        <v/>
      </c>
      <c r="N5258" s="7">
        <f>IF((+G5258-K5258)=0,0,+G5258-K5258)</f>
        <v/>
      </c>
      <c r="O5258" s="7">
        <f>IF(N5258=0,0,(L5258+H5258)/-N5258)</f>
        <v/>
      </c>
      <c r="P5258" s="7">
        <f>VLOOKUP(OPERAC[[#This Row],[especie]],[1]!ESPECIES[#All],6,0)</f>
        <v/>
      </c>
      <c r="Q5258" s="7">
        <f>IF(N5258&lt;&gt;0,P5258*N5258,0)</f>
        <v/>
      </c>
      <c r="R5258" s="8">
        <f>IF(Q5258&lt;&gt;0,Q5258+H5258+L5258,0)</f>
        <v/>
      </c>
      <c r="S5258" s="9">
        <f>VLOOKUP(OPERAC[[#This Row],[especie]],[1]!ESPECIES[#Data],9,FALSE)</f>
        <v/>
      </c>
    </row>
    <row r="5259">
      <c r="A5259" s="4" t="n">
        <v>2218</v>
      </c>
      <c r="B5259" s="5" t="n">
        <v>44547</v>
      </c>
      <c r="C5259" s="13" t="inlineStr">
        <is>
          <t>VTA</t>
        </is>
      </c>
      <c r="D5259" s="13" t="n">
        <v>32</v>
      </c>
      <c r="E5259" s="10">
        <f>IF(D5259&gt;0,VLOOKUP(OPERAC[[#This Row],[COD CART]],[1]!MatrizCortoLargoCyl[#All],3,0),"")</f>
        <v/>
      </c>
      <c r="F5259" s="13" t="inlineStr">
        <is>
          <t>ARLO/CYL/9,00/18-02-22</t>
        </is>
      </c>
      <c r="G5259" s="6" t="n">
        <v>200</v>
      </c>
      <c r="H5259" s="6">
        <f>-1723.08+29.97</f>
        <v/>
      </c>
      <c r="I5259" s="7">
        <f>-H5259/G5259</f>
        <v/>
      </c>
      <c r="J5259" s="11" t="n">
        <v>44607</v>
      </c>
      <c r="K5259" s="6" t="n">
        <v>200</v>
      </c>
      <c r="L5259" s="6" t="n">
        <v>1751.065</v>
      </c>
      <c r="M5259" s="7">
        <f>IF(N5259=0,+L5259+H5259,0)</f>
        <v/>
      </c>
      <c r="N5259" s="7">
        <f>IF((+G5259-K5259)=0,0,+G5259-K5259)</f>
        <v/>
      </c>
      <c r="O5259" s="7">
        <f>IF(N5259=0,0,(L5259+H5259)/-N5259)</f>
        <v/>
      </c>
      <c r="P5259" s="7">
        <f>VLOOKUP(OPERAC[[#This Row],[especie]],[1]!ESPECIES[#All],6,0)</f>
        <v/>
      </c>
      <c r="Q5259" s="7">
        <f>IF(N5259&lt;&gt;0,P5259*N5259,0)</f>
        <v/>
      </c>
      <c r="R5259" s="8">
        <f>IF(Q5259&lt;&gt;0,Q5259+H5259+L5259,0)</f>
        <v/>
      </c>
      <c r="S5259" s="9">
        <f>VLOOKUP(OPERAC[[#This Row],[especie]],[1]!ESPECIES[#Data],9,FALSE)</f>
        <v/>
      </c>
    </row>
    <row r="5260">
      <c r="A5260" s="4" t="n">
        <v>19867</v>
      </c>
      <c r="B5260" s="5" t="n">
        <v>44643</v>
      </c>
      <c r="C5260" s="13" t="inlineStr">
        <is>
          <t>VTA</t>
        </is>
      </c>
      <c r="D5260" s="13" t="n">
        <v>42</v>
      </c>
      <c r="E5260" s="10">
        <f>IF(D5260&gt;0,VLOOKUP(OPERAC[[#This Row],[COD CART]],[1]!MatrizCortoLargoCyl[#All],3,0),"")</f>
        <v/>
      </c>
      <c r="F5260" s="13" t="inlineStr">
        <is>
          <t>JPM</t>
        </is>
      </c>
      <c r="G5260" s="6" t="n">
        <v>12</v>
      </c>
      <c r="H5260" s="6" t="n">
        <v>-1694.95968</v>
      </c>
      <c r="I5260" s="7">
        <f>-H5260/G5260</f>
        <v/>
      </c>
      <c r="J5260" s="11" t="n">
        <v>44664</v>
      </c>
      <c r="K5260" s="6">
        <f>+OPERAC[[#This Row],[cantidad]]</f>
        <v/>
      </c>
      <c r="L5260" s="6">
        <f>+OPERAC[[#This Row],[cantidad venta]]*125.943</f>
        <v/>
      </c>
      <c r="M5260" s="7">
        <f>IF(N5260=0,+L5260+H5260,0)</f>
        <v/>
      </c>
      <c r="N5260" s="7">
        <f>IF((+G5260-K5260)=0,0,+G5260-K5260)</f>
        <v/>
      </c>
      <c r="O5260" s="7">
        <f>IF(N5260=0,0,(L5260+H5260)/-N5260)</f>
        <v/>
      </c>
      <c r="P5260" s="7">
        <f>VLOOKUP(OPERAC[[#This Row],[especie]],[1]!ESPECIES[#All],6,0)</f>
        <v/>
      </c>
      <c r="Q5260" s="7">
        <f>IF(N5260&lt;&gt;0,P5260*N5260,0)</f>
        <v/>
      </c>
      <c r="R5260" s="8">
        <f>IF(Q5260&lt;&gt;0,Q5260+H5260+L5260,0)</f>
        <v/>
      </c>
      <c r="S5260" s="9">
        <f>VLOOKUP(OPERAC[[#This Row],[especie]],[1]!ESPECIES[#Data],9,FALSE)</f>
        <v/>
      </c>
    </row>
    <row r="5261">
      <c r="A5261" s="4" t="n">
        <v>6578</v>
      </c>
      <c r="B5261" s="5" t="n">
        <v>44607</v>
      </c>
      <c r="C5261" s="13" t="inlineStr">
        <is>
          <t>VTA</t>
        </is>
      </c>
      <c r="D5261" s="13" t="n">
        <v>32</v>
      </c>
      <c r="E5261" s="10">
        <f>IF(D5261&gt;0,VLOOKUP(OPERAC[[#This Row],[COD CART]],[1]!MatrizCortoLargoCyl[#All],3,0),"")</f>
        <v/>
      </c>
      <c r="F5261" s="13" t="inlineStr">
        <is>
          <t>F/CYL/18,00/16-09-22</t>
        </is>
      </c>
      <c r="G5261" s="6" t="n">
        <v>100</v>
      </c>
      <c r="H5261" s="6">
        <f>-1719.296+2.384+19.88</f>
        <v/>
      </c>
      <c r="I5261" s="7">
        <f>-H5261/G5261</f>
        <v/>
      </c>
      <c r="J5261" s="11" t="n"/>
      <c r="K5261" s="6" t="n"/>
      <c r="L5261" s="6" t="n"/>
      <c r="M5261" s="7">
        <f>IF(N5261=0,+L5261+H5261,0)</f>
        <v/>
      </c>
      <c r="N5261" s="7">
        <f>IF((+G5261-K5261)=0,0,+G5261-K5261)</f>
        <v/>
      </c>
      <c r="O5261" s="7">
        <f>IF(N5261=0,0,(L5261+H5261)/-N5261)</f>
        <v/>
      </c>
      <c r="P5261" s="7">
        <f>VLOOKUP(OPERAC[[#This Row],[especie]],[1]!ESPECIES[#All],6,0)</f>
        <v/>
      </c>
      <c r="Q5261" s="7">
        <f>IF(N5261&lt;&gt;0,P5261*N5261,0)</f>
        <v/>
      </c>
      <c r="R5261" s="8">
        <f>IF(Q5261&lt;&gt;0,Q5261+H5261+L5261,0)</f>
        <v/>
      </c>
      <c r="S5261" s="9">
        <f>VLOOKUP(OPERAC[[#This Row],[especie]],[1]!ESPECIES[#Data],9,FALSE)</f>
        <v/>
      </c>
    </row>
    <row r="5262">
      <c r="A5262" s="4" t="n">
        <v>16783</v>
      </c>
      <c r="B5262" s="5" t="n">
        <v>44547</v>
      </c>
      <c r="C5262" s="13" t="inlineStr">
        <is>
          <t>VTA</t>
        </is>
      </c>
      <c r="D5262" s="13" t="n">
        <v>32</v>
      </c>
      <c r="E5262" s="10">
        <f>IF(D5262&gt;0,VLOOKUP(OPERAC[[#This Row],[COD CART]],[1]!MatrizCortoLargoCyl[#All],3,0),"")</f>
        <v/>
      </c>
      <c r="F5262" s="13" t="inlineStr">
        <is>
          <t>ARLO/CYL/9,00/18-02-22</t>
        </is>
      </c>
      <c r="G5262" s="6" t="n">
        <v>200</v>
      </c>
      <c r="H5262" s="6">
        <f>-1729.32+29.76</f>
        <v/>
      </c>
      <c r="I5262" s="7">
        <f>-H5262/G5262</f>
        <v/>
      </c>
      <c r="J5262" s="11" t="n">
        <v>44607</v>
      </c>
      <c r="K5262" s="6" t="n">
        <v>200</v>
      </c>
      <c r="L5262" s="6" t="n">
        <v>1751.065</v>
      </c>
      <c r="M5262" s="7">
        <f>IF(N5262=0,+L5262+H5262,0)</f>
        <v/>
      </c>
      <c r="N5262" s="7">
        <f>IF((+G5262-K5262)=0,0,+G5262-K5262)</f>
        <v/>
      </c>
      <c r="O5262" s="7">
        <f>IF(N5262=0,0,(L5262+H5262)/-N5262)</f>
        <v/>
      </c>
      <c r="P5262" s="7">
        <f>VLOOKUP(OPERAC[[#This Row],[especie]],[1]!ESPECIES[#All],6,0)</f>
        <v/>
      </c>
      <c r="Q5262" s="7">
        <f>IF(N5262&lt;&gt;0,P5262*N5262,0)</f>
        <v/>
      </c>
      <c r="R5262" s="8">
        <f>IF(Q5262&lt;&gt;0,Q5262+H5262+L5262,0)</f>
        <v/>
      </c>
      <c r="S5262" s="9">
        <f>VLOOKUP(OPERAC[[#This Row],[especie]],[1]!ESPECIES[#Data],9,FALSE)</f>
        <v/>
      </c>
    </row>
    <row r="5263">
      <c r="A5263" s="4" t="n">
        <v>3787</v>
      </c>
      <c r="B5263" s="5" t="n">
        <v>44547</v>
      </c>
      <c r="C5263" s="13" t="inlineStr">
        <is>
          <t>VTA</t>
        </is>
      </c>
      <c r="D5263" s="13" t="n">
        <v>32</v>
      </c>
      <c r="E5263" s="10">
        <f>IF(D5263&gt;0,VLOOKUP(OPERAC[[#This Row],[COD CART]],[1]!MatrizCortoLargoCyl[#All],3,0),"")</f>
        <v/>
      </c>
      <c r="F5263" s="13" t="inlineStr">
        <is>
          <t>ARLO/CYL/9,00/18-02-22</t>
        </is>
      </c>
      <c r="G5263" s="6" t="n">
        <v>200</v>
      </c>
      <c r="H5263" s="6">
        <f>-1733.48+29.76</f>
        <v/>
      </c>
      <c r="I5263" s="7">
        <f>-H5263/G5263</f>
        <v/>
      </c>
      <c r="J5263" s="11" t="n">
        <v>44607</v>
      </c>
      <c r="K5263" s="6" t="n">
        <v>200</v>
      </c>
      <c r="L5263" s="6" t="n">
        <v>1751.065</v>
      </c>
      <c r="M5263" s="7">
        <f>IF(N5263=0,+L5263+H5263,0)</f>
        <v/>
      </c>
      <c r="N5263" s="7">
        <f>IF((+G5263-K5263)=0,0,+G5263-K5263)</f>
        <v/>
      </c>
      <c r="O5263" s="7">
        <f>IF(N5263=0,0,(L5263+H5263)/-N5263)</f>
        <v/>
      </c>
      <c r="P5263" s="7">
        <f>VLOOKUP(OPERAC[[#This Row],[especie]],[1]!ESPECIES[#All],6,0)</f>
        <v/>
      </c>
      <c r="Q5263" s="7">
        <f>IF(N5263&lt;&gt;0,P5263*N5263,0)</f>
        <v/>
      </c>
      <c r="R5263" s="8">
        <f>IF(Q5263&lt;&gt;0,Q5263+H5263+L5263,0)</f>
        <v/>
      </c>
      <c r="S5263" s="9">
        <f>VLOOKUP(OPERAC[[#This Row],[especie]],[1]!ESPECIES[#Data],9,FALSE)</f>
        <v/>
      </c>
    </row>
    <row r="5264">
      <c r="A5264" s="4" t="n">
        <v>16780</v>
      </c>
      <c r="B5264" s="5" t="n">
        <v>44547</v>
      </c>
      <c r="C5264" s="13" t="inlineStr">
        <is>
          <t>VTA</t>
        </is>
      </c>
      <c r="D5264" s="13" t="n">
        <v>32</v>
      </c>
      <c r="E5264" s="10">
        <f>IF(D5264&gt;0,VLOOKUP(OPERAC[[#This Row],[COD CART]],[1]!MatrizCortoLargoCyl[#All],3,0),"")</f>
        <v/>
      </c>
      <c r="F5264" s="13" t="inlineStr">
        <is>
          <t>ARLO/CYL/9,00/18-02-22</t>
        </is>
      </c>
      <c r="G5264" s="6" t="n">
        <v>200</v>
      </c>
      <c r="H5264" s="6">
        <f>-1733.48+29.76</f>
        <v/>
      </c>
      <c r="I5264" s="7">
        <f>-H5264/G5264</f>
        <v/>
      </c>
      <c r="J5264" s="11" t="n">
        <v>44607</v>
      </c>
      <c r="K5264" s="6" t="n">
        <v>200</v>
      </c>
      <c r="L5264" s="6" t="n">
        <v>1751.065</v>
      </c>
      <c r="M5264" s="7">
        <f>IF(N5264=0,+L5264+H5264,0)</f>
        <v/>
      </c>
      <c r="N5264" s="7">
        <f>IF((+G5264-K5264)=0,0,+G5264-K5264)</f>
        <v/>
      </c>
      <c r="O5264" s="7">
        <f>IF(N5264=0,0,(L5264+H5264)/-N5264)</f>
        <v/>
      </c>
      <c r="P5264" s="7">
        <f>VLOOKUP(OPERAC[[#This Row],[especie]],[1]!ESPECIES[#All],6,0)</f>
        <v/>
      </c>
      <c r="Q5264" s="7">
        <f>IF(N5264&lt;&gt;0,P5264*N5264,0)</f>
        <v/>
      </c>
      <c r="R5264" s="8">
        <f>IF(Q5264&lt;&gt;0,Q5264+H5264+L5264,0)</f>
        <v/>
      </c>
      <c r="S5264" s="9">
        <f>VLOOKUP(OPERAC[[#This Row],[especie]],[1]!ESPECIES[#Data],9,FALSE)</f>
        <v/>
      </c>
    </row>
    <row r="5265">
      <c r="A5265" s="4" t="n">
        <v>16795</v>
      </c>
      <c r="B5265" s="5" t="n">
        <v>44547</v>
      </c>
      <c r="C5265" s="13" t="inlineStr">
        <is>
          <t>VTA</t>
        </is>
      </c>
      <c r="D5265" s="13" t="n">
        <v>32</v>
      </c>
      <c r="E5265" s="10">
        <f>IF(D5265&gt;0,VLOOKUP(OPERAC[[#This Row],[COD CART]],[1]!MatrizCortoLargoCyl[#All],3,0),"")</f>
        <v/>
      </c>
      <c r="F5265" s="13" t="inlineStr">
        <is>
          <t>ARLO/CYL/9,00/18-02-22</t>
        </is>
      </c>
      <c r="G5265" s="6" t="n">
        <v>200</v>
      </c>
      <c r="H5265" s="6">
        <f>-1733.48+29.76</f>
        <v/>
      </c>
      <c r="I5265" s="7">
        <f>-H5265/G5265</f>
        <v/>
      </c>
      <c r="J5265" s="11" t="n">
        <v>44607</v>
      </c>
      <c r="K5265" s="6" t="n">
        <v>200</v>
      </c>
      <c r="L5265" s="6" t="n">
        <v>1751.065</v>
      </c>
      <c r="M5265" s="7">
        <f>IF(N5265=0,+L5265+H5265,0)</f>
        <v/>
      </c>
      <c r="N5265" s="7">
        <f>IF((+G5265-K5265)=0,0,+G5265-K5265)</f>
        <v/>
      </c>
      <c r="O5265" s="7">
        <f>IF(N5265=0,0,(L5265+H5265)/-N5265)</f>
        <v/>
      </c>
      <c r="P5265" s="7">
        <f>VLOOKUP(OPERAC[[#This Row],[especie]],[1]!ESPECIES[#All],6,0)</f>
        <v/>
      </c>
      <c r="Q5265" s="7">
        <f>IF(N5265&lt;&gt;0,P5265*N5265,0)</f>
        <v/>
      </c>
      <c r="R5265" s="8">
        <f>IF(Q5265&lt;&gt;0,Q5265+H5265+L5265,0)</f>
        <v/>
      </c>
      <c r="S5265" s="9">
        <f>VLOOKUP(OPERAC[[#This Row],[especie]],[1]!ESPECIES[#Data],9,FALSE)</f>
        <v/>
      </c>
    </row>
    <row r="5266">
      <c r="A5266" s="4" t="n">
        <v>25070</v>
      </c>
      <c r="B5266" s="5" t="n">
        <v>44547</v>
      </c>
      <c r="C5266" s="13" t="inlineStr">
        <is>
          <t>VTA</t>
        </is>
      </c>
      <c r="D5266" s="13" t="n">
        <v>32</v>
      </c>
      <c r="E5266" s="10">
        <f>IF(D5266&gt;0,VLOOKUP(OPERAC[[#This Row],[COD CART]],[1]!MatrizCortoLargoCyl[#All],3,0),"")</f>
        <v/>
      </c>
      <c r="F5266" s="13" t="inlineStr">
        <is>
          <t>ARLO/CYL/9,00/18-02-22</t>
        </is>
      </c>
      <c r="G5266" s="6" t="n">
        <v>200</v>
      </c>
      <c r="H5266" s="6">
        <f>-1733.48+29.76</f>
        <v/>
      </c>
      <c r="I5266" s="7">
        <f>-H5266/G5266</f>
        <v/>
      </c>
      <c r="J5266" s="11" t="n">
        <v>44607</v>
      </c>
      <c r="K5266" s="6" t="n">
        <v>200</v>
      </c>
      <c r="L5266" s="6" t="n">
        <v>1751.065</v>
      </c>
      <c r="M5266" s="7">
        <f>IF(N5266=0,+L5266+H5266,0)</f>
        <v/>
      </c>
      <c r="N5266" s="7">
        <f>IF((+G5266-K5266)=0,0,+G5266-K5266)</f>
        <v/>
      </c>
      <c r="O5266" s="7">
        <f>IF(N5266=0,0,(L5266+H5266)/-N5266)</f>
        <v/>
      </c>
      <c r="P5266" s="7">
        <f>VLOOKUP(OPERAC[[#This Row],[especie]],[1]!ESPECIES[#All],6,0)</f>
        <v/>
      </c>
      <c r="Q5266" s="7">
        <f>IF(N5266&lt;&gt;0,P5266*N5266,0)</f>
        <v/>
      </c>
      <c r="R5266" s="8">
        <f>IF(Q5266&lt;&gt;0,Q5266+H5266+L5266,0)</f>
        <v/>
      </c>
      <c r="S5266" s="9">
        <f>VLOOKUP(OPERAC[[#This Row],[especie]],[1]!ESPECIES[#Data],9,FALSE)</f>
        <v/>
      </c>
    </row>
    <row r="5267">
      <c r="A5267" s="4" t="n">
        <v>26138</v>
      </c>
      <c r="B5267" s="5" t="n">
        <v>44547</v>
      </c>
      <c r="C5267" s="13" t="inlineStr">
        <is>
          <t>VTA</t>
        </is>
      </c>
      <c r="D5267" s="13" t="n">
        <v>32</v>
      </c>
      <c r="E5267" s="10">
        <f>IF(D5267&gt;0,VLOOKUP(OPERAC[[#This Row],[COD CART]],[1]!MatrizCortoLargoCyl[#All],3,0),"")</f>
        <v/>
      </c>
      <c r="F5267" s="13" t="inlineStr">
        <is>
          <t>ARLO/CYL/9,00/18-02-22</t>
        </is>
      </c>
      <c r="G5267" s="6" t="n">
        <v>200</v>
      </c>
      <c r="H5267" s="6">
        <f>-1733.48+29.76</f>
        <v/>
      </c>
      <c r="I5267" s="7">
        <f>-H5267/G5267</f>
        <v/>
      </c>
      <c r="J5267" s="11" t="n">
        <v>44607</v>
      </c>
      <c r="K5267" s="6" t="n">
        <v>200</v>
      </c>
      <c r="L5267" s="6" t="n">
        <v>1751.065</v>
      </c>
      <c r="M5267" s="7">
        <f>IF(N5267=0,+L5267+H5267,0)</f>
        <v/>
      </c>
      <c r="N5267" s="7">
        <f>IF((+G5267-K5267)=0,0,+G5267-K5267)</f>
        <v/>
      </c>
      <c r="O5267" s="7">
        <f>IF(N5267=0,0,(L5267+H5267)/-N5267)</f>
        <v/>
      </c>
      <c r="P5267" s="7">
        <f>VLOOKUP(OPERAC[[#This Row],[especie]],[1]!ESPECIES[#All],6,0)</f>
        <v/>
      </c>
      <c r="Q5267" s="7">
        <f>IF(N5267&lt;&gt;0,P5267*N5267,0)</f>
        <v/>
      </c>
      <c r="R5267" s="8">
        <f>IF(Q5267&lt;&gt;0,Q5267+H5267+L5267,0)</f>
        <v/>
      </c>
      <c r="S5267" s="9">
        <f>VLOOKUP(OPERAC[[#This Row],[especie]],[1]!ESPECIES[#Data],9,FALSE)</f>
        <v/>
      </c>
    </row>
    <row r="5268">
      <c r="A5268" s="4" t="n">
        <v>26140</v>
      </c>
      <c r="B5268" s="5" t="n">
        <v>44547</v>
      </c>
      <c r="C5268" s="13" t="inlineStr">
        <is>
          <t>VTA</t>
        </is>
      </c>
      <c r="D5268" s="13" t="n">
        <v>32</v>
      </c>
      <c r="E5268" s="10">
        <f>IF(D5268&gt;0,VLOOKUP(OPERAC[[#This Row],[COD CART]],[1]!MatrizCortoLargoCyl[#All],3,0),"")</f>
        <v/>
      </c>
      <c r="F5268" s="13" t="inlineStr">
        <is>
          <t>ARLO/CYL/9,00/18-02-22</t>
        </is>
      </c>
      <c r="G5268" s="6" t="n">
        <v>200</v>
      </c>
      <c r="H5268" s="6">
        <f>-1733.48+29.76</f>
        <v/>
      </c>
      <c r="I5268" s="7">
        <f>-H5268/G5268</f>
        <v/>
      </c>
      <c r="J5268" s="11" t="n">
        <v>44607</v>
      </c>
      <c r="K5268" s="6" t="n">
        <v>200</v>
      </c>
      <c r="L5268" s="6" t="n">
        <v>1751.065</v>
      </c>
      <c r="M5268" s="7">
        <f>IF(N5268=0,+L5268+H5268,0)</f>
        <v/>
      </c>
      <c r="N5268" s="7">
        <f>IF((+G5268-K5268)=0,0,+G5268-K5268)</f>
        <v/>
      </c>
      <c r="O5268" s="7">
        <f>IF(N5268=0,0,(L5268+H5268)/-N5268)</f>
        <v/>
      </c>
      <c r="P5268" s="7">
        <f>VLOOKUP(OPERAC[[#This Row],[especie]],[1]!ESPECIES[#All],6,0)</f>
        <v/>
      </c>
      <c r="Q5268" s="7">
        <f>IF(N5268&lt;&gt;0,P5268*N5268,0)</f>
        <v/>
      </c>
      <c r="R5268" s="8">
        <f>IF(Q5268&lt;&gt;0,Q5268+H5268+L5268,0)</f>
        <v/>
      </c>
      <c r="S5268" s="9">
        <f>VLOOKUP(OPERAC[[#This Row],[especie]],[1]!ESPECIES[#Data],9,FALSE)</f>
        <v/>
      </c>
    </row>
    <row r="5269">
      <c r="A5269" s="4" t="n">
        <v>3787</v>
      </c>
      <c r="B5269" s="5" t="n">
        <v>44523</v>
      </c>
      <c r="C5269" s="13" t="inlineStr">
        <is>
          <t>VTA</t>
        </is>
      </c>
      <c r="D5269" s="13" t="n">
        <v>32</v>
      </c>
      <c r="E5269" s="10">
        <f>IF(D5269&gt;0,VLOOKUP(OPERAC[[#This Row],[COD CART]],[1]!MatrizCortoLargoCyl[#All],3,0),"")</f>
        <v/>
      </c>
      <c r="F5269" s="13" t="inlineStr">
        <is>
          <t>TEVA/CYL/9,00/21-01-22</t>
        </is>
      </c>
      <c r="G5269" s="6" t="n">
        <v>200</v>
      </c>
      <c r="H5269" s="6">
        <f>-1723.2664+18.874</f>
        <v/>
      </c>
      <c r="I5269" s="7">
        <f>-H5269/G5269</f>
        <v/>
      </c>
      <c r="J5269" s="11" t="n">
        <v>44575</v>
      </c>
      <c r="K5269" s="6" t="n">
        <v>200</v>
      </c>
      <c r="L5269" s="6" t="n">
        <v>1757.83</v>
      </c>
      <c r="M5269" s="7">
        <f>IF(N5269=0,+L5269+H5269,0)</f>
        <v/>
      </c>
      <c r="N5269" s="7">
        <f>IF((+G5269-K5269)=0,0,+G5269-K5269)</f>
        <v/>
      </c>
      <c r="O5269" s="7">
        <f>IF(N5269=0,0,(L5269+H5269)/-N5269)</f>
        <v/>
      </c>
      <c r="P5269" s="7">
        <f>VLOOKUP(OPERAC[[#This Row],[especie]],[1]!ESPECIES[#All],6,0)</f>
        <v/>
      </c>
      <c r="Q5269" s="7">
        <f>IF(N5269&lt;&gt;0,P5269*N5269,0)</f>
        <v/>
      </c>
      <c r="R5269" s="8">
        <f>IF(Q5269&lt;&gt;0,Q5269+H5269+L5269,0)</f>
        <v/>
      </c>
      <c r="S5269" s="9">
        <f>VLOOKUP(OPERAC[[#This Row],[especie]],[1]!ESPECIES[#Data],9,FALSE)</f>
        <v/>
      </c>
    </row>
    <row r="5270">
      <c r="A5270" s="4" t="n">
        <v>15189</v>
      </c>
      <c r="B5270" s="5" t="n">
        <v>44708</v>
      </c>
      <c r="C5270" s="13" t="inlineStr">
        <is>
          <t>VTA</t>
        </is>
      </c>
      <c r="D5270" s="13" t="n">
        <v>32</v>
      </c>
      <c r="E5270" s="10">
        <f>IF(D5270&gt;0,VLOOKUP(OPERAC[[#This Row],[COD CART]],[1]!MatrizCortoLargoCyl[#All],3,0),"")</f>
        <v/>
      </c>
      <c r="F5270" s="13" t="inlineStr">
        <is>
          <t>ACB/CYL/2,00/15-07-22</t>
        </is>
      </c>
      <c r="G5270" s="6" t="n">
        <v>1000</v>
      </c>
      <c r="H5270" s="6">
        <f>-1825.320788805+118.98</f>
        <v/>
      </c>
      <c r="I5270" s="7">
        <f>-H5270/G5270</f>
        <v/>
      </c>
      <c r="J5270" s="5" t="n"/>
      <c r="K5270" s="6" t="n"/>
      <c r="L5270" s="6" t="n"/>
      <c r="M5270" s="7">
        <f>IF(N5270=0,+L5270+H5270,0)</f>
        <v/>
      </c>
      <c r="N5270" s="7">
        <f>IF((+G5270-K5270)=0,0,+G5270-K5270)</f>
        <v/>
      </c>
      <c r="O5270" s="7">
        <f>IF(N5270=0,0,(L5270+H5270)/-N5270)</f>
        <v/>
      </c>
      <c r="P5270" s="7">
        <f>VLOOKUP(OPERAC[[#This Row],[especie]],[1]!ESPECIES[#All],6,0)</f>
        <v/>
      </c>
      <c r="Q5270" s="7">
        <f>IF(N5270&lt;&gt;0,P5270*N5270,0)</f>
        <v/>
      </c>
      <c r="R5270" s="8">
        <f>IF(Q5270&lt;&gt;0,Q5270+H5270+L5270,0)</f>
        <v/>
      </c>
      <c r="S5270" s="9">
        <f>VLOOKUP(OPERAC[[#This Row],[especie]],[1]!ESPECIES[#Data],9,FALSE)</f>
        <v/>
      </c>
    </row>
    <row r="5271">
      <c r="A5271" s="4" t="n">
        <v>2255</v>
      </c>
      <c r="B5271" s="5" t="n">
        <v>44609</v>
      </c>
      <c r="C5271" s="13" t="inlineStr">
        <is>
          <t>VTA</t>
        </is>
      </c>
      <c r="D5271" s="13" t="n">
        <v>32</v>
      </c>
      <c r="E5271" s="10">
        <f>IF(D5271&gt;0,VLOOKUP(OPERAC[[#This Row],[COD CART]],[1]!MatrizCortoLargoCyl[#All],3,0),"")</f>
        <v/>
      </c>
      <c r="F5271" s="13" t="inlineStr">
        <is>
          <t>F</t>
        </is>
      </c>
      <c r="G5271" s="6" t="n">
        <v>100</v>
      </c>
      <c r="H5271" s="6" t="n">
        <v>-1707.8588</v>
      </c>
      <c r="I5271" s="7">
        <f>-H5271/G5271</f>
        <v/>
      </c>
      <c r="J5271" s="11" t="n">
        <v>44642</v>
      </c>
      <c r="K5271" s="6" t="n">
        <v>100</v>
      </c>
      <c r="L5271" s="6" t="n">
        <v>1682.718</v>
      </c>
      <c r="M5271" s="7">
        <f>IF(N5271=0,+L5271+H5271,0)</f>
        <v/>
      </c>
      <c r="N5271" s="7">
        <f>IF((+G5271-K5271)=0,0,+G5271-K5271)</f>
        <v/>
      </c>
      <c r="O5271" s="7">
        <f>IF(N5271=0,0,(L5271+H5271)/-N5271)</f>
        <v/>
      </c>
      <c r="P5271" s="7">
        <f>VLOOKUP(OPERAC[[#This Row],[especie]],[1]!ESPECIES[#All],6,0)</f>
        <v/>
      </c>
      <c r="Q5271" s="7">
        <f>IF(N5271&lt;&gt;0,P5271*N5271,0)</f>
        <v/>
      </c>
      <c r="R5271" s="8">
        <f>IF(Q5271&lt;&gt;0,Q5271+H5271+L5271,0)</f>
        <v/>
      </c>
      <c r="S5271" s="9">
        <f>VLOOKUP(OPERAC[[#This Row],[especie]],[1]!ESPECIES[#Data],9,FALSE)</f>
        <v/>
      </c>
    </row>
    <row r="5272">
      <c r="A5272" s="4" t="n">
        <v>20339</v>
      </c>
      <c r="B5272" s="5" t="n">
        <v>44690</v>
      </c>
      <c r="C5272" s="13" t="inlineStr">
        <is>
          <t>VTA</t>
        </is>
      </c>
      <c r="D5272" s="13" t="n">
        <v>32</v>
      </c>
      <c r="E5272" s="10">
        <f>IF(D5272&gt;0,VLOOKUP(OPERAC[[#This Row],[COD CART]],[1]!MatrizCortoLargoCyl[#All],3,0),"")</f>
        <v/>
      </c>
      <c r="F5272" s="13" t="inlineStr">
        <is>
          <t>SSYS/CYL/18,00/20-05-22</t>
        </is>
      </c>
      <c r="G5272" s="6" t="n">
        <v>100</v>
      </c>
      <c r="H5272" s="6" t="n">
        <v>-1708.28</v>
      </c>
      <c r="I5272" s="7">
        <f>-H5272/G5272</f>
        <v/>
      </c>
      <c r="J5272" s="11" t="n">
        <v>44698</v>
      </c>
      <c r="K5272" s="6" t="n">
        <v>100</v>
      </c>
      <c r="L5272" s="6" t="n">
        <v>1769.44</v>
      </c>
      <c r="M5272" s="7">
        <f>IF(N5272=0,+L5272+H5272,0)</f>
        <v/>
      </c>
      <c r="N5272" s="7">
        <f>IF((+G5272-K5272)=0,0,+G5272-K5272)</f>
        <v/>
      </c>
      <c r="O5272" s="7">
        <f>IF(N5272=0,0,(L5272+H5272)/-N5272)</f>
        <v/>
      </c>
      <c r="P5272" s="7">
        <f>VLOOKUP(OPERAC[[#This Row],[especie]],[1]!ESPECIES[#All],6,0)</f>
        <v/>
      </c>
      <c r="Q5272" s="7">
        <f>IF(N5272&lt;&gt;0,P5272*N5272,0)</f>
        <v/>
      </c>
      <c r="R5272" s="8">
        <f>IF(Q5272&lt;&gt;0,Q5272+H5272+L5272,0)</f>
        <v/>
      </c>
      <c r="S5272" s="9">
        <f>VLOOKUP(OPERAC[[#This Row],[especie]],[1]!ESPECIES[#Data],9,FALSE)</f>
        <v/>
      </c>
    </row>
    <row r="5273">
      <c r="A5273" s="4" t="n">
        <v>22393</v>
      </c>
      <c r="B5273" s="5" t="n">
        <v>44628</v>
      </c>
      <c r="C5273" s="13" t="inlineStr">
        <is>
          <t>VTA</t>
        </is>
      </c>
      <c r="D5273" s="13" t="n">
        <v>31</v>
      </c>
      <c r="E5273" s="10">
        <f>IF(D5273&gt;0,VLOOKUP(OPERAC[[#This Row],[COD CART]],[1]!MatrizCortoLargoCyl[#All],3,0),"")</f>
        <v/>
      </c>
      <c r="F5273" s="13" t="inlineStr">
        <is>
          <t>YPF</t>
        </is>
      </c>
      <c r="G5273" s="6" t="n">
        <v>400</v>
      </c>
      <c r="H5273" s="6" t="n">
        <v>-1709.552</v>
      </c>
      <c r="I5273" s="7">
        <f>-H5273/G5273</f>
        <v/>
      </c>
      <c r="J5273" s="11" t="n"/>
      <c r="K5273" s="6" t="n"/>
      <c r="L5273" s="6" t="n"/>
      <c r="M5273" s="7">
        <f>IF(N5273=0,+L5273+H5273,0)</f>
        <v/>
      </c>
      <c r="N5273" s="7">
        <f>IF((+G5273-K5273)=0,0,+G5273-K5273)</f>
        <v/>
      </c>
      <c r="O5273" s="7">
        <f>IF(N5273=0,0,(L5273+H5273)/-N5273)</f>
        <v/>
      </c>
      <c r="P5273" s="7">
        <f>VLOOKUP(OPERAC[[#This Row],[especie]],[1]!ESPECIES[#All],6,0)</f>
        <v/>
      </c>
      <c r="Q5273" s="7">
        <f>IF(N5273&lt;&gt;0,P5273*N5273,0)</f>
        <v/>
      </c>
      <c r="R5273" s="8">
        <f>IF(Q5273&lt;&gt;0,Q5273+H5273+L5273,0)</f>
        <v/>
      </c>
      <c r="S5273" s="9">
        <f>VLOOKUP(OPERAC[[#This Row],[especie]],[1]!ESPECIES[#Data],9,FALSE)</f>
        <v/>
      </c>
    </row>
    <row r="5274">
      <c r="A5274" s="4" t="n">
        <v>2194</v>
      </c>
      <c r="B5274" s="5" t="n">
        <v>44609</v>
      </c>
      <c r="C5274" s="13" t="inlineStr">
        <is>
          <t>VTA</t>
        </is>
      </c>
      <c r="D5274" s="13" t="n">
        <v>32</v>
      </c>
      <c r="E5274" s="10">
        <f>IF(D5274&gt;0,VLOOKUP(OPERAC[[#This Row],[COD CART]],[1]!MatrizCortoLargoCyl[#All],3,0),"")</f>
        <v/>
      </c>
      <c r="F5274" s="13" t="inlineStr">
        <is>
          <t>F</t>
        </is>
      </c>
      <c r="G5274" s="6" t="n">
        <v>100</v>
      </c>
      <c r="H5274" s="6" t="n">
        <v>-1715.2776</v>
      </c>
      <c r="I5274" s="7">
        <f>-H5274/G5274</f>
        <v/>
      </c>
      <c r="J5274" s="11" t="n">
        <v>44649</v>
      </c>
      <c r="K5274" s="6" t="n">
        <v>100</v>
      </c>
      <c r="L5274" s="6">
        <f>17.636*OPERAC[[#This Row],[cantidad venta]]</f>
        <v/>
      </c>
      <c r="M5274" s="7">
        <f>IF(N5274=0,+L5274+H5274,0)</f>
        <v/>
      </c>
      <c r="N5274" s="7">
        <f>IF((+G5274-K5274)=0,0,+G5274-K5274)</f>
        <v/>
      </c>
      <c r="O5274" s="7">
        <f>IF(N5274=0,0,(L5274+H5274)/-N5274)</f>
        <v/>
      </c>
      <c r="P5274" s="7">
        <f>VLOOKUP(OPERAC[[#This Row],[especie]],[1]!ESPECIES[#All],6,0)</f>
        <v/>
      </c>
      <c r="Q5274" s="7">
        <f>IF(N5274&lt;&gt;0,P5274*N5274,0)</f>
        <v/>
      </c>
      <c r="R5274" s="8">
        <f>IF(Q5274&lt;&gt;0,Q5274+H5274+L5274,0)</f>
        <v/>
      </c>
      <c r="S5274" s="9">
        <f>VLOOKUP(OPERAC[[#This Row],[especie]],[1]!ESPECIES[#Data],9,FALSE)</f>
        <v/>
      </c>
    </row>
    <row r="5275">
      <c r="A5275" s="4" t="n">
        <v>4561</v>
      </c>
      <c r="B5275" s="5" t="n">
        <v>44609</v>
      </c>
      <c r="C5275" s="13" t="inlineStr">
        <is>
          <t>VTA</t>
        </is>
      </c>
      <c r="D5275" s="13" t="n">
        <v>32</v>
      </c>
      <c r="E5275" s="10">
        <f>IF(D5275&gt;0,VLOOKUP(OPERAC[[#This Row],[COD CART]],[1]!MatrizCortoLargoCyl[#All],3,0),"")</f>
        <v/>
      </c>
      <c r="F5275" s="13" t="inlineStr">
        <is>
          <t>F</t>
        </is>
      </c>
      <c r="G5275" s="6" t="n">
        <v>100</v>
      </c>
      <c r="H5275" s="6" t="n">
        <v>-1715.2776</v>
      </c>
      <c r="I5275" s="7">
        <f>-H5275/G5275</f>
        <v/>
      </c>
      <c r="J5275" s="11" t="n">
        <v>44649</v>
      </c>
      <c r="K5275" s="6" t="n">
        <v>100</v>
      </c>
      <c r="L5275" s="6">
        <f>17.636*OPERAC[[#This Row],[cantidad venta]]</f>
        <v/>
      </c>
      <c r="M5275" s="7">
        <f>IF(N5275=0,+L5275+H5275,0)</f>
        <v/>
      </c>
      <c r="N5275" s="7">
        <f>IF((+G5275-K5275)=0,0,+G5275-K5275)</f>
        <v/>
      </c>
      <c r="O5275" s="7">
        <f>IF(N5275=0,0,(L5275+H5275)/-N5275)</f>
        <v/>
      </c>
      <c r="P5275" s="7">
        <f>VLOOKUP(OPERAC[[#This Row],[especie]],[1]!ESPECIES[#All],6,0)</f>
        <v/>
      </c>
      <c r="Q5275" s="7">
        <f>IF(N5275&lt;&gt;0,P5275*N5275,0)</f>
        <v/>
      </c>
      <c r="R5275" s="8">
        <f>IF(Q5275&lt;&gt;0,Q5275+H5275+L5275,0)</f>
        <v/>
      </c>
      <c r="S5275" s="9">
        <f>VLOOKUP(OPERAC[[#This Row],[especie]],[1]!ESPECIES[#Data],9,FALSE)</f>
        <v/>
      </c>
    </row>
    <row r="5276">
      <c r="A5276" s="4" t="n">
        <v>11168</v>
      </c>
      <c r="B5276" s="5" t="n">
        <v>44609</v>
      </c>
      <c r="C5276" s="13" t="inlineStr">
        <is>
          <t>VTA</t>
        </is>
      </c>
      <c r="D5276" s="13" t="n">
        <v>32</v>
      </c>
      <c r="E5276" s="10">
        <f>IF(D5276&gt;0,VLOOKUP(OPERAC[[#This Row],[COD CART]],[1]!MatrizCortoLargoCyl[#All],3,0),"")</f>
        <v/>
      </c>
      <c r="F5276" s="13" t="inlineStr">
        <is>
          <t>F</t>
        </is>
      </c>
      <c r="G5276" s="6" t="n">
        <v>100</v>
      </c>
      <c r="H5276" s="6" t="n">
        <v>-1715.2776</v>
      </c>
      <c r="I5276" s="7">
        <f>-H5276/G5276</f>
        <v/>
      </c>
      <c r="J5276" s="11" t="n">
        <v>44649</v>
      </c>
      <c r="K5276" s="6" t="n">
        <v>100</v>
      </c>
      <c r="L5276" s="6">
        <f>17.636*OPERAC[[#This Row],[cantidad venta]]</f>
        <v/>
      </c>
      <c r="M5276" s="7">
        <f>IF(N5276=0,+L5276+H5276,0)</f>
        <v/>
      </c>
      <c r="N5276" s="7">
        <f>IF((+G5276-K5276)=0,0,+G5276-K5276)</f>
        <v/>
      </c>
      <c r="O5276" s="7">
        <f>IF(N5276=0,0,(L5276+H5276)/-N5276)</f>
        <v/>
      </c>
      <c r="P5276" s="7">
        <f>VLOOKUP(OPERAC[[#This Row],[especie]],[1]!ESPECIES[#All],6,0)</f>
        <v/>
      </c>
      <c r="Q5276" s="7">
        <f>IF(N5276&lt;&gt;0,P5276*N5276,0)</f>
        <v/>
      </c>
      <c r="R5276" s="8">
        <f>IF(Q5276&lt;&gt;0,Q5276+H5276+L5276,0)</f>
        <v/>
      </c>
      <c r="S5276" s="9">
        <f>VLOOKUP(OPERAC[[#This Row],[especie]],[1]!ESPECIES[#Data],9,FALSE)</f>
        <v/>
      </c>
    </row>
    <row r="5277">
      <c r="A5277" s="4" t="n">
        <v>12674</v>
      </c>
      <c r="B5277" s="5" t="n">
        <v>44609</v>
      </c>
      <c r="C5277" s="13" t="inlineStr">
        <is>
          <t>VTA</t>
        </is>
      </c>
      <c r="D5277" s="13" t="n">
        <v>32</v>
      </c>
      <c r="E5277" s="10">
        <f>IF(D5277&gt;0,VLOOKUP(OPERAC[[#This Row],[COD CART]],[1]!MatrizCortoLargoCyl[#All],3,0),"")</f>
        <v/>
      </c>
      <c r="F5277" s="13" t="inlineStr">
        <is>
          <t>F</t>
        </is>
      </c>
      <c r="G5277" s="6" t="n">
        <v>100</v>
      </c>
      <c r="H5277" s="6" t="n">
        <v>-1715.2776</v>
      </c>
      <c r="I5277" s="7">
        <f>-H5277/G5277</f>
        <v/>
      </c>
      <c r="J5277" s="11" t="n">
        <v>44649</v>
      </c>
      <c r="K5277" s="6" t="n">
        <v>100</v>
      </c>
      <c r="L5277" s="6">
        <f>17.636*OPERAC[[#This Row],[cantidad venta]]</f>
        <v/>
      </c>
      <c r="M5277" s="7">
        <f>IF(N5277=0,+L5277+H5277,0)</f>
        <v/>
      </c>
      <c r="N5277" s="7">
        <f>IF((+G5277-K5277)=0,0,+G5277-K5277)</f>
        <v/>
      </c>
      <c r="O5277" s="7">
        <f>IF(N5277=0,0,(L5277+H5277)/-N5277)</f>
        <v/>
      </c>
      <c r="P5277" s="7">
        <f>VLOOKUP(OPERAC[[#This Row],[especie]],[1]!ESPECIES[#All],6,0)</f>
        <v/>
      </c>
      <c r="Q5277" s="7">
        <f>IF(N5277&lt;&gt;0,P5277*N5277,0)</f>
        <v/>
      </c>
      <c r="R5277" s="8">
        <f>IF(Q5277&lt;&gt;0,Q5277+H5277+L5277,0)</f>
        <v/>
      </c>
      <c r="S5277" s="9">
        <f>VLOOKUP(OPERAC[[#This Row],[especie]],[1]!ESPECIES[#Data],9,FALSE)</f>
        <v/>
      </c>
    </row>
    <row r="5278">
      <c r="A5278" s="4" t="n">
        <v>12690</v>
      </c>
      <c r="B5278" s="5" t="n">
        <v>44609</v>
      </c>
      <c r="C5278" s="13" t="inlineStr">
        <is>
          <t>VTA</t>
        </is>
      </c>
      <c r="D5278" s="13" t="n">
        <v>32</v>
      </c>
      <c r="E5278" s="10">
        <f>IF(D5278&gt;0,VLOOKUP(OPERAC[[#This Row],[COD CART]],[1]!MatrizCortoLargoCyl[#All],3,0),"")</f>
        <v/>
      </c>
      <c r="F5278" s="13" t="inlineStr">
        <is>
          <t>F</t>
        </is>
      </c>
      <c r="G5278" s="6" t="n">
        <v>100</v>
      </c>
      <c r="H5278" s="6" t="n">
        <v>-1715.2776</v>
      </c>
      <c r="I5278" s="7">
        <f>-H5278/G5278</f>
        <v/>
      </c>
      <c r="J5278" s="11" t="n">
        <v>44649</v>
      </c>
      <c r="K5278" s="6" t="n">
        <v>100</v>
      </c>
      <c r="L5278" s="6">
        <f>17.636*OPERAC[[#This Row],[cantidad venta]]</f>
        <v/>
      </c>
      <c r="M5278" s="7">
        <f>IF(N5278=0,+L5278+H5278,0)</f>
        <v/>
      </c>
      <c r="N5278" s="7">
        <f>IF((+G5278-K5278)=0,0,+G5278-K5278)</f>
        <v/>
      </c>
      <c r="O5278" s="7">
        <f>IF(N5278=0,0,(L5278+H5278)/-N5278)</f>
        <v/>
      </c>
      <c r="P5278" s="7">
        <f>VLOOKUP(OPERAC[[#This Row],[especie]],[1]!ESPECIES[#All],6,0)</f>
        <v/>
      </c>
      <c r="Q5278" s="7">
        <f>IF(N5278&lt;&gt;0,P5278*N5278,0)</f>
        <v/>
      </c>
      <c r="R5278" s="8">
        <f>IF(Q5278&lt;&gt;0,Q5278+H5278+L5278,0)</f>
        <v/>
      </c>
      <c r="S5278" s="9">
        <f>VLOOKUP(OPERAC[[#This Row],[especie]],[1]!ESPECIES[#Data],9,FALSE)</f>
        <v/>
      </c>
    </row>
    <row r="5279">
      <c r="A5279" s="4" t="n">
        <v>13185</v>
      </c>
      <c r="B5279" s="5" t="n">
        <v>44609</v>
      </c>
      <c r="C5279" s="13" t="inlineStr">
        <is>
          <t>VTA</t>
        </is>
      </c>
      <c r="D5279" s="13" t="n">
        <v>32</v>
      </c>
      <c r="E5279" s="10">
        <f>IF(D5279&gt;0,VLOOKUP(OPERAC[[#This Row],[COD CART]],[1]!MatrizCortoLargoCyl[#All],3,0),"")</f>
        <v/>
      </c>
      <c r="F5279" s="13" t="inlineStr">
        <is>
          <t>F</t>
        </is>
      </c>
      <c r="G5279" s="6" t="n">
        <v>100</v>
      </c>
      <c r="H5279" s="6" t="n">
        <v>-1715.2776</v>
      </c>
      <c r="I5279" s="7">
        <f>-H5279/G5279</f>
        <v/>
      </c>
      <c r="J5279" s="11" t="n">
        <v>44649</v>
      </c>
      <c r="K5279" s="6" t="n">
        <v>100</v>
      </c>
      <c r="L5279" s="6">
        <f>17.636*OPERAC[[#This Row],[cantidad venta]]</f>
        <v/>
      </c>
      <c r="M5279" s="7">
        <f>IF(N5279=0,+L5279+H5279,0)</f>
        <v/>
      </c>
      <c r="N5279" s="7">
        <f>IF((+G5279-K5279)=0,0,+G5279-K5279)</f>
        <v/>
      </c>
      <c r="O5279" s="7">
        <f>IF(N5279=0,0,(L5279+H5279)/-N5279)</f>
        <v/>
      </c>
      <c r="P5279" s="7">
        <f>VLOOKUP(OPERAC[[#This Row],[especie]],[1]!ESPECIES[#All],6,0)</f>
        <v/>
      </c>
      <c r="Q5279" s="7">
        <f>IF(N5279&lt;&gt;0,P5279*N5279,0)</f>
        <v/>
      </c>
      <c r="R5279" s="8">
        <f>IF(Q5279&lt;&gt;0,Q5279+H5279+L5279,0)</f>
        <v/>
      </c>
      <c r="S5279" s="9">
        <f>VLOOKUP(OPERAC[[#This Row],[especie]],[1]!ESPECIES[#Data],9,FALSE)</f>
        <v/>
      </c>
    </row>
    <row r="5280">
      <c r="A5280" s="4" t="n">
        <v>13240</v>
      </c>
      <c r="B5280" s="5" t="n">
        <v>44609</v>
      </c>
      <c r="C5280" s="13" t="inlineStr">
        <is>
          <t>VTA</t>
        </is>
      </c>
      <c r="D5280" s="13" t="n">
        <v>32</v>
      </c>
      <c r="E5280" s="10">
        <f>IF(D5280&gt;0,VLOOKUP(OPERAC[[#This Row],[COD CART]],[1]!MatrizCortoLargoCyl[#All],3,0),"")</f>
        <v/>
      </c>
      <c r="F5280" s="13" t="inlineStr">
        <is>
          <t>F</t>
        </is>
      </c>
      <c r="G5280" s="6" t="n">
        <v>100</v>
      </c>
      <c r="H5280" s="6" t="n">
        <v>-1715.2776</v>
      </c>
      <c r="I5280" s="7">
        <f>-H5280/G5280</f>
        <v/>
      </c>
      <c r="J5280" s="11" t="n">
        <v>44649</v>
      </c>
      <c r="K5280" s="6" t="n">
        <v>100</v>
      </c>
      <c r="L5280" s="6">
        <f>17.636*OPERAC[[#This Row],[cantidad venta]]</f>
        <v/>
      </c>
      <c r="M5280" s="7">
        <f>IF(N5280=0,+L5280+H5280,0)</f>
        <v/>
      </c>
      <c r="N5280" s="7">
        <f>IF((+G5280-K5280)=0,0,+G5280-K5280)</f>
        <v/>
      </c>
      <c r="O5280" s="7">
        <f>IF(N5280=0,0,(L5280+H5280)/-N5280)</f>
        <v/>
      </c>
      <c r="P5280" s="7">
        <f>VLOOKUP(OPERAC[[#This Row],[especie]],[1]!ESPECIES[#All],6,0)</f>
        <v/>
      </c>
      <c r="Q5280" s="7">
        <f>IF(N5280&lt;&gt;0,P5280*N5280,0)</f>
        <v/>
      </c>
      <c r="R5280" s="8">
        <f>IF(Q5280&lt;&gt;0,Q5280+H5280+L5280,0)</f>
        <v/>
      </c>
      <c r="S5280" s="9">
        <f>VLOOKUP(OPERAC[[#This Row],[especie]],[1]!ESPECIES[#Data],9,FALSE)</f>
        <v/>
      </c>
    </row>
    <row r="5281">
      <c r="A5281" s="4" t="n">
        <v>13269</v>
      </c>
      <c r="B5281" s="5" t="n">
        <v>44609</v>
      </c>
      <c r="C5281" s="13" t="inlineStr">
        <is>
          <t>VTA</t>
        </is>
      </c>
      <c r="D5281" s="13" t="n">
        <v>32</v>
      </c>
      <c r="E5281" s="10">
        <f>IF(D5281&gt;0,VLOOKUP(OPERAC[[#This Row],[COD CART]],[1]!MatrizCortoLargoCyl[#All],3,0),"")</f>
        <v/>
      </c>
      <c r="F5281" s="13" t="inlineStr">
        <is>
          <t>F</t>
        </is>
      </c>
      <c r="G5281" s="6" t="n">
        <v>100</v>
      </c>
      <c r="H5281" s="6" t="n">
        <v>-1715.2776</v>
      </c>
      <c r="I5281" s="7">
        <f>-H5281/G5281</f>
        <v/>
      </c>
      <c r="J5281" s="11" t="n">
        <v>44649</v>
      </c>
      <c r="K5281" s="6" t="n">
        <v>100</v>
      </c>
      <c r="L5281" s="6">
        <f>17.636*OPERAC[[#This Row],[cantidad venta]]</f>
        <v/>
      </c>
      <c r="M5281" s="7">
        <f>IF(N5281=0,+L5281+H5281,0)</f>
        <v/>
      </c>
      <c r="N5281" s="7">
        <f>IF((+G5281-K5281)=0,0,+G5281-K5281)</f>
        <v/>
      </c>
      <c r="O5281" s="7">
        <f>IF(N5281=0,0,(L5281+H5281)/-N5281)</f>
        <v/>
      </c>
      <c r="P5281" s="7">
        <f>VLOOKUP(OPERAC[[#This Row],[especie]],[1]!ESPECIES[#All],6,0)</f>
        <v/>
      </c>
      <c r="Q5281" s="7">
        <f>IF(N5281&lt;&gt;0,P5281*N5281,0)</f>
        <v/>
      </c>
      <c r="R5281" s="8">
        <f>IF(Q5281&lt;&gt;0,Q5281+H5281+L5281,0)</f>
        <v/>
      </c>
      <c r="S5281" s="9">
        <f>VLOOKUP(OPERAC[[#This Row],[especie]],[1]!ESPECIES[#Data],9,FALSE)</f>
        <v/>
      </c>
    </row>
    <row r="5282">
      <c r="A5282" s="4" t="n">
        <v>19878</v>
      </c>
      <c r="B5282" s="5" t="n">
        <v>44609</v>
      </c>
      <c r="C5282" s="13" t="inlineStr">
        <is>
          <t>VTA</t>
        </is>
      </c>
      <c r="D5282" s="13" t="n">
        <v>32</v>
      </c>
      <c r="E5282" s="10">
        <f>IF(D5282&gt;0,VLOOKUP(OPERAC[[#This Row],[COD CART]],[1]!MatrizCortoLargoCyl[#All],3,0),"")</f>
        <v/>
      </c>
      <c r="F5282" s="13" t="inlineStr">
        <is>
          <t>F</t>
        </is>
      </c>
      <c r="G5282" s="6" t="n">
        <v>100</v>
      </c>
      <c r="H5282" s="6" t="n">
        <v>-1715.2776</v>
      </c>
      <c r="I5282" s="7">
        <f>-H5282/G5282</f>
        <v/>
      </c>
      <c r="J5282" s="11" t="n">
        <v>44649</v>
      </c>
      <c r="K5282" s="6" t="n">
        <v>100</v>
      </c>
      <c r="L5282" s="6">
        <f>17.636*OPERAC[[#This Row],[cantidad venta]]</f>
        <v/>
      </c>
      <c r="M5282" s="7">
        <f>IF(N5282=0,+L5282+H5282,0)</f>
        <v/>
      </c>
      <c r="N5282" s="7">
        <f>IF((+G5282-K5282)=0,0,+G5282-K5282)</f>
        <v/>
      </c>
      <c r="O5282" s="7">
        <f>IF(N5282=0,0,(L5282+H5282)/-N5282)</f>
        <v/>
      </c>
      <c r="P5282" s="7">
        <f>VLOOKUP(OPERAC[[#This Row],[especie]],[1]!ESPECIES[#All],6,0)</f>
        <v/>
      </c>
      <c r="Q5282" s="7">
        <f>IF(N5282&lt;&gt;0,P5282*N5282,0)</f>
        <v/>
      </c>
      <c r="R5282" s="8">
        <f>IF(Q5282&lt;&gt;0,Q5282+H5282+L5282,0)</f>
        <v/>
      </c>
      <c r="S5282" s="9">
        <f>VLOOKUP(OPERAC[[#This Row],[especie]],[1]!ESPECIES[#Data],9,FALSE)</f>
        <v/>
      </c>
    </row>
    <row r="5283">
      <c r="A5283" s="4" t="n">
        <v>22407</v>
      </c>
      <c r="B5283" s="5" t="n">
        <v>44609</v>
      </c>
      <c r="C5283" s="13" t="inlineStr">
        <is>
          <t>VTA</t>
        </is>
      </c>
      <c r="D5283" s="13" t="n">
        <v>32</v>
      </c>
      <c r="E5283" s="10">
        <f>IF(D5283&gt;0,VLOOKUP(OPERAC[[#This Row],[COD CART]],[1]!MatrizCortoLargoCyl[#All],3,0),"")</f>
        <v/>
      </c>
      <c r="F5283" s="13" t="inlineStr">
        <is>
          <t>F</t>
        </is>
      </c>
      <c r="G5283" s="6" t="n">
        <v>100</v>
      </c>
      <c r="H5283" s="6" t="n">
        <v>-1715.2776</v>
      </c>
      <c r="I5283" s="7">
        <f>-H5283/G5283</f>
        <v/>
      </c>
      <c r="J5283" s="11" t="n">
        <v>44649</v>
      </c>
      <c r="K5283" s="6" t="n">
        <v>100</v>
      </c>
      <c r="L5283" s="6">
        <f>17.636*OPERAC[[#This Row],[cantidad venta]]</f>
        <v/>
      </c>
      <c r="M5283" s="7">
        <f>IF(N5283=0,+L5283+H5283,0)</f>
        <v/>
      </c>
      <c r="N5283" s="7">
        <f>IF((+G5283-K5283)=0,0,+G5283-K5283)</f>
        <v/>
      </c>
      <c r="O5283" s="7">
        <f>IF(N5283=0,0,(L5283+H5283)/-N5283)</f>
        <v/>
      </c>
      <c r="P5283" s="7">
        <f>VLOOKUP(OPERAC[[#This Row],[especie]],[1]!ESPECIES[#All],6,0)</f>
        <v/>
      </c>
      <c r="Q5283" s="7">
        <f>IF(N5283&lt;&gt;0,P5283*N5283,0)</f>
        <v/>
      </c>
      <c r="R5283" s="8">
        <f>IF(Q5283&lt;&gt;0,Q5283+H5283+L5283,0)</f>
        <v/>
      </c>
      <c r="S5283" s="9">
        <f>VLOOKUP(OPERAC[[#This Row],[especie]],[1]!ESPECIES[#Data],9,FALSE)</f>
        <v/>
      </c>
    </row>
    <row r="5284">
      <c r="A5284" s="4" t="n">
        <v>26137</v>
      </c>
      <c r="B5284" s="5" t="n">
        <v>44609</v>
      </c>
      <c r="C5284" s="13" t="inlineStr">
        <is>
          <t>VTA</t>
        </is>
      </c>
      <c r="D5284" s="13" t="n">
        <v>32</v>
      </c>
      <c r="E5284" s="10">
        <f>IF(D5284&gt;0,VLOOKUP(OPERAC[[#This Row],[COD CART]],[1]!MatrizCortoLargoCyl[#All],3,0),"")</f>
        <v/>
      </c>
      <c r="F5284" s="13" t="inlineStr">
        <is>
          <t>F</t>
        </is>
      </c>
      <c r="G5284" s="6" t="n">
        <v>100</v>
      </c>
      <c r="H5284" s="6" t="n">
        <v>-1715.2776</v>
      </c>
      <c r="I5284" s="7">
        <f>-H5284/G5284</f>
        <v/>
      </c>
      <c r="J5284" s="11" t="n">
        <v>44649</v>
      </c>
      <c r="K5284" s="6" t="n">
        <v>100</v>
      </c>
      <c r="L5284" s="6">
        <f>17.636*OPERAC[[#This Row],[cantidad venta]]</f>
        <v/>
      </c>
      <c r="M5284" s="7">
        <f>IF(N5284=0,+L5284+H5284,0)</f>
        <v/>
      </c>
      <c r="N5284" s="7">
        <f>IF((+G5284-K5284)=0,0,+G5284-K5284)</f>
        <v/>
      </c>
      <c r="O5284" s="7">
        <f>IF(N5284=0,0,(L5284+H5284)/-N5284)</f>
        <v/>
      </c>
      <c r="P5284" s="7">
        <f>VLOOKUP(OPERAC[[#This Row],[especie]],[1]!ESPECIES[#All],6,0)</f>
        <v/>
      </c>
      <c r="Q5284" s="7">
        <f>IF(N5284&lt;&gt;0,P5284*N5284,0)</f>
        <v/>
      </c>
      <c r="R5284" s="8">
        <f>IF(Q5284&lt;&gt;0,Q5284+H5284+L5284,0)</f>
        <v/>
      </c>
      <c r="S5284" s="9">
        <f>VLOOKUP(OPERAC[[#This Row],[especie]],[1]!ESPECIES[#Data],9,FALSE)</f>
        <v/>
      </c>
    </row>
    <row r="5285">
      <c r="A5285" s="4" t="n">
        <v>13240</v>
      </c>
      <c r="B5285" s="5" t="n">
        <v>44671</v>
      </c>
      <c r="C5285" s="13" t="inlineStr">
        <is>
          <t>VTA</t>
        </is>
      </c>
      <c r="D5285" s="13" t="n">
        <v>42</v>
      </c>
      <c r="E5285" s="10">
        <f>IF(D5285&gt;0,VLOOKUP(OPERAC[[#This Row],[COD CART]],[1]!MatrizCortoLargoCyl[#All],3,0),"")</f>
        <v/>
      </c>
      <c r="F5285" s="13" t="inlineStr">
        <is>
          <t>TLT</t>
        </is>
      </c>
      <c r="G5285" s="6" t="n">
        <v>14</v>
      </c>
      <c r="H5285" s="6" t="n">
        <v>-1715.88207</v>
      </c>
      <c r="I5285" s="7">
        <f>-H5285/G5285</f>
        <v/>
      </c>
      <c r="J5285" s="11" t="n"/>
      <c r="K5285" s="6" t="n"/>
      <c r="L5285" s="6" t="n"/>
      <c r="M5285" s="7">
        <f>IF(N5285=0,+L5285+H5285,0)</f>
        <v/>
      </c>
      <c r="N5285" s="7">
        <f>IF((+G5285-K5285)=0,0,+G5285-K5285)</f>
        <v/>
      </c>
      <c r="O5285" s="7">
        <f>IF(N5285=0,0,(L5285+H5285)/-N5285)</f>
        <v/>
      </c>
      <c r="P5285" s="7">
        <f>VLOOKUP(OPERAC[[#This Row],[especie]],[1]!ESPECIES[#All],6,0)</f>
        <v/>
      </c>
      <c r="Q5285" s="7">
        <f>IF(N5285&lt;&gt;0,P5285*N5285,0)</f>
        <v/>
      </c>
      <c r="R5285" s="8">
        <f>IF(Q5285&lt;&gt;0,Q5285+H5285+L5285,0)</f>
        <v/>
      </c>
      <c r="S5285" s="9">
        <f>VLOOKUP(OPERAC[[#This Row],[especie]],[1]!ESPECIES[#Data],9,FALSE)</f>
        <v/>
      </c>
    </row>
    <row r="5286">
      <c r="A5286" s="4" t="n">
        <v>26146</v>
      </c>
      <c r="B5286" s="5" t="n">
        <v>44707</v>
      </c>
      <c r="C5286" s="13" t="inlineStr">
        <is>
          <t>VTA</t>
        </is>
      </c>
      <c r="D5286" s="13" t="n">
        <v>43</v>
      </c>
      <c r="E5286" s="10">
        <f>IF(D5286&gt;0,VLOOKUP(OPERAC[[#This Row],[COD CART]],[1]!MatrizCortoLargoCyl[#All],3,0),"")</f>
        <v/>
      </c>
      <c r="F5286" s="13" t="inlineStr">
        <is>
          <t>SPWR/CYP/17,50-15,00/17-06-22</t>
        </is>
      </c>
      <c r="G5286" s="6" t="n">
        <v>100</v>
      </c>
      <c r="H5286" s="6" t="n">
        <v>-1717.027</v>
      </c>
      <c r="I5286" s="7">
        <f>-H5286/G5286</f>
        <v/>
      </c>
      <c r="J5286" s="5" t="n"/>
      <c r="K5286" s="6" t="n"/>
      <c r="L5286" s="6" t="n"/>
      <c r="M5286" s="7">
        <f>IF(N5286=0,+L5286+H5286,0)</f>
        <v/>
      </c>
      <c r="N5286" s="7">
        <f>IF((+G5286-K5286)=0,0,+G5286-K5286)</f>
        <v/>
      </c>
      <c r="O5286" s="7">
        <f>IF(N5286=0,0,(L5286+H5286)/-N5286)</f>
        <v/>
      </c>
      <c r="P5286" s="7">
        <f>VLOOKUP(OPERAC[[#This Row],[especie]],[1]!ESPECIES[#All],6,0)</f>
        <v/>
      </c>
      <c r="Q5286" s="7">
        <f>IF(N5286&lt;&gt;0,P5286*N5286,0)</f>
        <v/>
      </c>
      <c r="R5286" s="8">
        <f>IF(Q5286&lt;&gt;0,Q5286+H5286+L5286,0)</f>
        <v/>
      </c>
      <c r="S5286" s="9">
        <f>VLOOKUP(OPERAC[[#This Row],[especie]],[1]!ESPECIES[#Data],9,FALSE)</f>
        <v/>
      </c>
    </row>
    <row r="5287">
      <c r="A5287" s="4" t="n">
        <v>7493</v>
      </c>
      <c r="B5287" s="5" t="n">
        <v>44707</v>
      </c>
      <c r="C5287" s="13" t="inlineStr">
        <is>
          <t>VTA</t>
        </is>
      </c>
      <c r="D5287" s="13" t="n">
        <v>43</v>
      </c>
      <c r="E5287" s="10">
        <f>IF(D5287&gt;0,VLOOKUP(OPERAC[[#This Row],[COD CART]],[1]!MatrizCortoLargoCyl[#All],3,0),"")</f>
        <v/>
      </c>
      <c r="F5287" s="13" t="inlineStr">
        <is>
          <t>SPWR/CYP/17,50-15,00/17-06-22</t>
        </is>
      </c>
      <c r="G5287" s="6" t="n">
        <v>100</v>
      </c>
      <c r="H5287" s="6" t="n">
        <v>-1717.027</v>
      </c>
      <c r="I5287" s="7">
        <f>-H5287/G5287</f>
        <v/>
      </c>
      <c r="J5287" s="5" t="n"/>
      <c r="K5287" s="6" t="n"/>
      <c r="L5287" s="6" t="n"/>
      <c r="M5287" s="7">
        <f>IF(N5287=0,+L5287+H5287,0)</f>
        <v/>
      </c>
      <c r="N5287" s="7">
        <f>IF((+G5287-K5287)=0,0,+G5287-K5287)</f>
        <v/>
      </c>
      <c r="O5287" s="7">
        <f>IF(N5287=0,0,(L5287+H5287)/-N5287)</f>
        <v/>
      </c>
      <c r="P5287" s="7">
        <f>VLOOKUP(OPERAC[[#This Row],[especie]],[1]!ESPECIES[#All],6,0)</f>
        <v/>
      </c>
      <c r="Q5287" s="7">
        <f>IF(N5287&lt;&gt;0,P5287*N5287,0)</f>
        <v/>
      </c>
      <c r="R5287" s="8">
        <f>IF(Q5287&lt;&gt;0,Q5287+H5287+L5287,0)</f>
        <v/>
      </c>
      <c r="S5287" s="9">
        <f>VLOOKUP(OPERAC[[#This Row],[especie]],[1]!ESPECIES[#Data],9,FALSE)</f>
        <v/>
      </c>
    </row>
    <row r="5288">
      <c r="A5288" s="4" t="n">
        <v>26138</v>
      </c>
      <c r="B5288" s="5" t="n">
        <v>44707</v>
      </c>
      <c r="C5288" s="13" t="inlineStr">
        <is>
          <t>VTA</t>
        </is>
      </c>
      <c r="D5288" s="13" t="n">
        <v>43</v>
      </c>
      <c r="E5288" s="10">
        <f>IF(D5288&gt;0,VLOOKUP(OPERAC[[#This Row],[COD CART]],[1]!MatrizCortoLargoCyl[#All],3,0),"")</f>
        <v/>
      </c>
      <c r="F5288" s="13" t="inlineStr">
        <is>
          <t>SPWR/CYP/17,50-15,00/17-06-22</t>
        </is>
      </c>
      <c r="G5288" s="6" t="n">
        <v>100</v>
      </c>
      <c r="H5288" s="6" t="n">
        <v>-1717.027</v>
      </c>
      <c r="I5288" s="7">
        <f>-H5288/G5288</f>
        <v/>
      </c>
      <c r="J5288" s="5" t="n"/>
      <c r="K5288" s="6" t="n"/>
      <c r="L5288" s="6" t="n"/>
      <c r="M5288" s="7">
        <f>IF(N5288=0,+L5288+H5288,0)</f>
        <v/>
      </c>
      <c r="N5288" s="7">
        <f>IF((+G5288-K5288)=0,0,+G5288-K5288)</f>
        <v/>
      </c>
      <c r="O5288" s="7">
        <f>IF(N5288=0,0,(L5288+H5288)/-N5288)</f>
        <v/>
      </c>
      <c r="P5288" s="7">
        <f>VLOOKUP(OPERAC[[#This Row],[especie]],[1]!ESPECIES[#All],6,0)</f>
        <v/>
      </c>
      <c r="Q5288" s="7">
        <f>IF(N5288&lt;&gt;0,P5288*N5288,0)</f>
        <v/>
      </c>
      <c r="R5288" s="8">
        <f>IF(Q5288&lt;&gt;0,Q5288+H5288+L5288,0)</f>
        <v/>
      </c>
      <c r="S5288" s="9">
        <f>VLOOKUP(OPERAC[[#This Row],[especie]],[1]!ESPECIES[#Data],9,FALSE)</f>
        <v/>
      </c>
    </row>
    <row r="5289">
      <c r="A5289" s="4" t="n">
        <v>25070</v>
      </c>
      <c r="B5289" s="5" t="n">
        <v>44707</v>
      </c>
      <c r="C5289" s="13" t="inlineStr">
        <is>
          <t>VTA</t>
        </is>
      </c>
      <c r="D5289" s="13" t="n">
        <v>43</v>
      </c>
      <c r="E5289" s="10">
        <f>IF(D5289&gt;0,VLOOKUP(OPERAC[[#This Row],[COD CART]],[1]!MatrizCortoLargoCyl[#All],3,0),"")</f>
        <v/>
      </c>
      <c r="F5289" s="13" t="inlineStr">
        <is>
          <t>SPWR/CYP/17,50-15,00/17-06-22</t>
        </is>
      </c>
      <c r="G5289" s="6" t="n">
        <v>100</v>
      </c>
      <c r="H5289" s="6" t="n">
        <v>-1717.027</v>
      </c>
      <c r="I5289" s="7">
        <f>-H5289/G5289</f>
        <v/>
      </c>
      <c r="J5289" s="5" t="n"/>
      <c r="K5289" s="6" t="n"/>
      <c r="L5289" s="6" t="n"/>
      <c r="M5289" s="7">
        <f>IF(N5289=0,+L5289+H5289,0)</f>
        <v/>
      </c>
      <c r="N5289" s="7">
        <f>IF((+G5289-K5289)=0,0,+G5289-K5289)</f>
        <v/>
      </c>
      <c r="O5289" s="7">
        <f>IF(N5289=0,0,(L5289+H5289)/-N5289)</f>
        <v/>
      </c>
      <c r="P5289" s="7">
        <f>VLOOKUP(OPERAC[[#This Row],[especie]],[1]!ESPECIES[#All],6,0)</f>
        <v/>
      </c>
      <c r="Q5289" s="7">
        <f>IF(N5289&lt;&gt;0,P5289*N5289,0)</f>
        <v/>
      </c>
      <c r="R5289" s="8">
        <f>IF(Q5289&lt;&gt;0,Q5289+H5289+L5289,0)</f>
        <v/>
      </c>
      <c r="S5289" s="9">
        <f>VLOOKUP(OPERAC[[#This Row],[especie]],[1]!ESPECIES[#Data],9,FALSE)</f>
        <v/>
      </c>
    </row>
    <row r="5290">
      <c r="A5290" s="4" t="n">
        <v>20339</v>
      </c>
      <c r="B5290" s="5" t="n">
        <v>44707</v>
      </c>
      <c r="C5290" s="13" t="inlineStr">
        <is>
          <t>VTA</t>
        </is>
      </c>
      <c r="D5290" s="13" t="n">
        <v>43</v>
      </c>
      <c r="E5290" s="10">
        <f>IF(D5290&gt;0,VLOOKUP(OPERAC[[#This Row],[COD CART]],[1]!MatrizCortoLargoCyl[#All],3,0),"")</f>
        <v/>
      </c>
      <c r="F5290" s="13" t="inlineStr">
        <is>
          <t>SPWR/CYP/17,50-15,00/17-06-22</t>
        </is>
      </c>
      <c r="G5290" s="6" t="n">
        <v>100</v>
      </c>
      <c r="H5290" s="6" t="n">
        <v>-1717.027</v>
      </c>
      <c r="I5290" s="7">
        <f>-H5290/G5290</f>
        <v/>
      </c>
      <c r="J5290" s="5" t="n"/>
      <c r="K5290" s="6" t="n"/>
      <c r="L5290" s="6" t="n"/>
      <c r="M5290" s="7">
        <f>IF(N5290=0,+L5290+H5290,0)</f>
        <v/>
      </c>
      <c r="N5290" s="7">
        <f>IF((+G5290-K5290)=0,0,+G5290-K5290)</f>
        <v/>
      </c>
      <c r="O5290" s="7">
        <f>IF(N5290=0,0,(L5290+H5290)/-N5290)</f>
        <v/>
      </c>
      <c r="P5290" s="7">
        <f>VLOOKUP(OPERAC[[#This Row],[especie]],[1]!ESPECIES[#All],6,0)</f>
        <v/>
      </c>
      <c r="Q5290" s="7">
        <f>IF(N5290&lt;&gt;0,P5290*N5290,0)</f>
        <v/>
      </c>
      <c r="R5290" s="8">
        <f>IF(Q5290&lt;&gt;0,Q5290+H5290+L5290,0)</f>
        <v/>
      </c>
      <c r="S5290" s="9">
        <f>VLOOKUP(OPERAC[[#This Row],[especie]],[1]!ESPECIES[#Data],9,FALSE)</f>
        <v/>
      </c>
    </row>
    <row r="5291">
      <c r="A5291" s="4" t="n">
        <v>20234</v>
      </c>
      <c r="B5291" s="5" t="n">
        <v>44707</v>
      </c>
      <c r="C5291" s="13" t="inlineStr">
        <is>
          <t>VTA</t>
        </is>
      </c>
      <c r="D5291" s="13" t="n">
        <v>43</v>
      </c>
      <c r="E5291" s="10">
        <f>IF(D5291&gt;0,VLOOKUP(OPERAC[[#This Row],[COD CART]],[1]!MatrizCortoLargoCyl[#All],3,0),"")</f>
        <v/>
      </c>
      <c r="F5291" s="13" t="inlineStr">
        <is>
          <t>SPWR/CYP/17,50-15,00/17-06-22</t>
        </is>
      </c>
      <c r="G5291" s="6" t="n">
        <v>100</v>
      </c>
      <c r="H5291" s="6" t="n">
        <v>-1717.027</v>
      </c>
      <c r="I5291" s="7">
        <f>-H5291/G5291</f>
        <v/>
      </c>
      <c r="J5291" s="5" t="n"/>
      <c r="K5291" s="6" t="n"/>
      <c r="L5291" s="6" t="n"/>
      <c r="M5291" s="7">
        <f>IF(N5291=0,+L5291+H5291,0)</f>
        <v/>
      </c>
      <c r="N5291" s="7">
        <f>IF((+G5291-K5291)=0,0,+G5291-K5291)</f>
        <v/>
      </c>
      <c r="O5291" s="7">
        <f>IF(N5291=0,0,(L5291+H5291)/-N5291)</f>
        <v/>
      </c>
      <c r="P5291" s="7">
        <f>VLOOKUP(OPERAC[[#This Row],[especie]],[1]!ESPECIES[#All],6,0)</f>
        <v/>
      </c>
      <c r="Q5291" s="7">
        <f>IF(N5291&lt;&gt;0,P5291*N5291,0)</f>
        <v/>
      </c>
      <c r="R5291" s="8">
        <f>IF(Q5291&lt;&gt;0,Q5291+H5291+L5291,0)</f>
        <v/>
      </c>
      <c r="S5291" s="9">
        <f>VLOOKUP(OPERAC[[#This Row],[especie]],[1]!ESPECIES[#Data],9,FALSE)</f>
        <v/>
      </c>
    </row>
    <row r="5292">
      <c r="A5292" s="4" t="n">
        <v>19932</v>
      </c>
      <c r="B5292" s="5" t="n">
        <v>44707</v>
      </c>
      <c r="C5292" s="13" t="inlineStr">
        <is>
          <t>VTA</t>
        </is>
      </c>
      <c r="D5292" s="13" t="n">
        <v>43</v>
      </c>
      <c r="E5292" s="10">
        <f>IF(D5292&gt;0,VLOOKUP(OPERAC[[#This Row],[COD CART]],[1]!MatrizCortoLargoCyl[#All],3,0),"")</f>
        <v/>
      </c>
      <c r="F5292" s="13" t="inlineStr">
        <is>
          <t>SPWR/CYP/17,50-15,00/17-06-22</t>
        </is>
      </c>
      <c r="G5292" s="6" t="n">
        <v>100</v>
      </c>
      <c r="H5292" s="6" t="n">
        <v>-1717.027</v>
      </c>
      <c r="I5292" s="7">
        <f>-H5292/G5292</f>
        <v/>
      </c>
      <c r="J5292" s="5" t="n"/>
      <c r="K5292" s="6" t="n"/>
      <c r="L5292" s="6" t="n"/>
      <c r="M5292" s="7">
        <f>IF(N5292=0,+L5292+H5292,0)</f>
        <v/>
      </c>
      <c r="N5292" s="7">
        <f>IF((+G5292-K5292)=0,0,+G5292-K5292)</f>
        <v/>
      </c>
      <c r="O5292" s="7">
        <f>IF(N5292=0,0,(L5292+H5292)/-N5292)</f>
        <v/>
      </c>
      <c r="P5292" s="7">
        <f>VLOOKUP(OPERAC[[#This Row],[especie]],[1]!ESPECIES[#All],6,0)</f>
        <v/>
      </c>
      <c r="Q5292" s="7">
        <f>IF(N5292&lt;&gt;0,P5292*N5292,0)</f>
        <v/>
      </c>
      <c r="R5292" s="8">
        <f>IF(Q5292&lt;&gt;0,Q5292+H5292+L5292,0)</f>
        <v/>
      </c>
      <c r="S5292" s="9">
        <f>VLOOKUP(OPERAC[[#This Row],[especie]],[1]!ESPECIES[#Data],9,FALSE)</f>
        <v/>
      </c>
    </row>
    <row r="5293">
      <c r="A5293" s="4" t="n">
        <v>19920</v>
      </c>
      <c r="B5293" s="5" t="n">
        <v>44707</v>
      </c>
      <c r="C5293" s="13" t="inlineStr">
        <is>
          <t>VTA</t>
        </is>
      </c>
      <c r="D5293" s="13" t="n">
        <v>43</v>
      </c>
      <c r="E5293" s="10">
        <f>IF(D5293&gt;0,VLOOKUP(OPERAC[[#This Row],[COD CART]],[1]!MatrizCortoLargoCyl[#All],3,0),"")</f>
        <v/>
      </c>
      <c r="F5293" s="13" t="inlineStr">
        <is>
          <t>SPWR/CYP/17,50-15,00/17-06-22</t>
        </is>
      </c>
      <c r="G5293" s="6" t="n">
        <v>100</v>
      </c>
      <c r="H5293" s="6" t="n">
        <v>-1717.027</v>
      </c>
      <c r="I5293" s="7">
        <f>-H5293/G5293</f>
        <v/>
      </c>
      <c r="J5293" s="5" t="n"/>
      <c r="K5293" s="6" t="n"/>
      <c r="L5293" s="6" t="n"/>
      <c r="M5293" s="7">
        <f>IF(N5293=0,+L5293+H5293,0)</f>
        <v/>
      </c>
      <c r="N5293" s="7">
        <f>IF((+G5293-K5293)=0,0,+G5293-K5293)</f>
        <v/>
      </c>
      <c r="O5293" s="7">
        <f>IF(N5293=0,0,(L5293+H5293)/-N5293)</f>
        <v/>
      </c>
      <c r="P5293" s="7">
        <f>VLOOKUP(OPERAC[[#This Row],[especie]],[1]!ESPECIES[#All],6,0)</f>
        <v/>
      </c>
      <c r="Q5293" s="7">
        <f>IF(N5293&lt;&gt;0,P5293*N5293,0)</f>
        <v/>
      </c>
      <c r="R5293" s="8">
        <f>IF(Q5293&lt;&gt;0,Q5293+H5293+L5293,0)</f>
        <v/>
      </c>
      <c r="S5293" s="9">
        <f>VLOOKUP(OPERAC[[#This Row],[especie]],[1]!ESPECIES[#Data],9,FALSE)</f>
        <v/>
      </c>
    </row>
    <row r="5294">
      <c r="A5294" s="4" t="n">
        <v>19888</v>
      </c>
      <c r="B5294" s="5" t="n">
        <v>44707</v>
      </c>
      <c r="C5294" s="13" t="inlineStr">
        <is>
          <t>VTA</t>
        </is>
      </c>
      <c r="D5294" s="13" t="n">
        <v>43</v>
      </c>
      <c r="E5294" s="10">
        <f>IF(D5294&gt;0,VLOOKUP(OPERAC[[#This Row],[COD CART]],[1]!MatrizCortoLargoCyl[#All],3,0),"")</f>
        <v/>
      </c>
      <c r="F5294" s="13" t="inlineStr">
        <is>
          <t>SPWR/CYP/17,50-15,00/17-06-22</t>
        </is>
      </c>
      <c r="G5294" s="6" t="n">
        <v>100</v>
      </c>
      <c r="H5294" s="6" t="n">
        <v>-1717.027</v>
      </c>
      <c r="I5294" s="7">
        <f>-H5294/G5294</f>
        <v/>
      </c>
      <c r="J5294" s="5" t="n"/>
      <c r="K5294" s="6" t="n"/>
      <c r="L5294" s="6" t="n"/>
      <c r="M5294" s="7">
        <f>IF(N5294=0,+L5294+H5294,0)</f>
        <v/>
      </c>
      <c r="N5294" s="7">
        <f>IF((+G5294-K5294)=0,0,+G5294-K5294)</f>
        <v/>
      </c>
      <c r="O5294" s="7">
        <f>IF(N5294=0,0,(L5294+H5294)/-N5294)</f>
        <v/>
      </c>
      <c r="P5294" s="7">
        <f>VLOOKUP(OPERAC[[#This Row],[especie]],[1]!ESPECIES[#All],6,0)</f>
        <v/>
      </c>
      <c r="Q5294" s="7">
        <f>IF(N5294&lt;&gt;0,P5294*N5294,0)</f>
        <v/>
      </c>
      <c r="R5294" s="8">
        <f>IF(Q5294&lt;&gt;0,Q5294+H5294+L5294,0)</f>
        <v/>
      </c>
      <c r="S5294" s="9">
        <f>VLOOKUP(OPERAC[[#This Row],[especie]],[1]!ESPECIES[#Data],9,FALSE)</f>
        <v/>
      </c>
    </row>
    <row r="5295">
      <c r="A5295" s="4" t="n">
        <v>19878</v>
      </c>
      <c r="B5295" s="5" t="n">
        <v>44707</v>
      </c>
      <c r="C5295" s="13" t="inlineStr">
        <is>
          <t>VTA</t>
        </is>
      </c>
      <c r="D5295" s="13" t="n">
        <v>43</v>
      </c>
      <c r="E5295" s="10">
        <f>IF(D5295&gt;0,VLOOKUP(OPERAC[[#This Row],[COD CART]],[1]!MatrizCortoLargoCyl[#All],3,0),"")</f>
        <v/>
      </c>
      <c r="F5295" s="13" t="inlineStr">
        <is>
          <t>SPWR/CYP/17,50-15,00/17-06-22</t>
        </is>
      </c>
      <c r="G5295" s="6" t="n">
        <v>100</v>
      </c>
      <c r="H5295" s="6" t="n">
        <v>-1717.027</v>
      </c>
      <c r="I5295" s="7">
        <f>-H5295/G5295</f>
        <v/>
      </c>
      <c r="J5295" s="5" t="n"/>
      <c r="K5295" s="6" t="n"/>
      <c r="L5295" s="6" t="n"/>
      <c r="M5295" s="7">
        <f>IF(N5295=0,+L5295+H5295,0)</f>
        <v/>
      </c>
      <c r="N5295" s="7">
        <f>IF((+G5295-K5295)=0,0,+G5295-K5295)</f>
        <v/>
      </c>
      <c r="O5295" s="7">
        <f>IF(N5295=0,0,(L5295+H5295)/-N5295)</f>
        <v/>
      </c>
      <c r="P5295" s="7">
        <f>VLOOKUP(OPERAC[[#This Row],[especie]],[1]!ESPECIES[#All],6,0)</f>
        <v/>
      </c>
      <c r="Q5295" s="7">
        <f>IF(N5295&lt;&gt;0,P5295*N5295,0)</f>
        <v/>
      </c>
      <c r="R5295" s="8">
        <f>IF(Q5295&lt;&gt;0,Q5295+H5295+L5295,0)</f>
        <v/>
      </c>
      <c r="S5295" s="9">
        <f>VLOOKUP(OPERAC[[#This Row],[especie]],[1]!ESPECIES[#Data],9,FALSE)</f>
        <v/>
      </c>
    </row>
    <row r="5296">
      <c r="A5296" s="4" t="n">
        <v>19867</v>
      </c>
      <c r="B5296" s="5" t="n">
        <v>44707</v>
      </c>
      <c r="C5296" s="13" t="inlineStr">
        <is>
          <t>VTA</t>
        </is>
      </c>
      <c r="D5296" s="13" t="n">
        <v>43</v>
      </c>
      <c r="E5296" s="10">
        <f>IF(D5296&gt;0,VLOOKUP(OPERAC[[#This Row],[COD CART]],[1]!MatrizCortoLargoCyl[#All],3,0),"")</f>
        <v/>
      </c>
      <c r="F5296" s="13" t="inlineStr">
        <is>
          <t>SPWR/CYP/17,50-15,00/17-06-22</t>
        </is>
      </c>
      <c r="G5296" s="6" t="n">
        <v>100</v>
      </c>
      <c r="H5296" s="6" t="n">
        <v>-1717.027</v>
      </c>
      <c r="I5296" s="7">
        <f>-H5296/G5296</f>
        <v/>
      </c>
      <c r="J5296" s="5" t="n"/>
      <c r="K5296" s="6" t="n"/>
      <c r="L5296" s="6" t="n"/>
      <c r="M5296" s="7">
        <f>IF(N5296=0,+L5296+H5296,0)</f>
        <v/>
      </c>
      <c r="N5296" s="7">
        <f>IF((+G5296-K5296)=0,0,+G5296-K5296)</f>
        <v/>
      </c>
      <c r="O5296" s="7">
        <f>IF(N5296=0,0,(L5296+H5296)/-N5296)</f>
        <v/>
      </c>
      <c r="P5296" s="7">
        <f>VLOOKUP(OPERAC[[#This Row],[especie]],[1]!ESPECIES[#All],6,0)</f>
        <v/>
      </c>
      <c r="Q5296" s="7">
        <f>IF(N5296&lt;&gt;0,P5296*N5296,0)</f>
        <v/>
      </c>
      <c r="R5296" s="8">
        <f>IF(Q5296&lt;&gt;0,Q5296+H5296+L5296,0)</f>
        <v/>
      </c>
      <c r="S5296" s="9">
        <f>VLOOKUP(OPERAC[[#This Row],[especie]],[1]!ESPECIES[#Data],9,FALSE)</f>
        <v/>
      </c>
    </row>
    <row r="5297">
      <c r="A5297" s="4" t="n">
        <v>18690</v>
      </c>
      <c r="B5297" s="5" t="n">
        <v>44707</v>
      </c>
      <c r="C5297" s="13" t="inlineStr">
        <is>
          <t>VTA</t>
        </is>
      </c>
      <c r="D5297" s="13" t="n">
        <v>43</v>
      </c>
      <c r="E5297" s="10">
        <f>IF(D5297&gt;0,VLOOKUP(OPERAC[[#This Row],[COD CART]],[1]!MatrizCortoLargoCyl[#All],3,0),"")</f>
        <v/>
      </c>
      <c r="F5297" s="13" t="inlineStr">
        <is>
          <t>SPWR/CYP/17,50-15,00/17-06-22</t>
        </is>
      </c>
      <c r="G5297" s="6" t="n">
        <v>100</v>
      </c>
      <c r="H5297" s="6" t="n">
        <v>-1717.027</v>
      </c>
      <c r="I5297" s="7">
        <f>-H5297/G5297</f>
        <v/>
      </c>
      <c r="J5297" s="5" t="n"/>
      <c r="K5297" s="6" t="n"/>
      <c r="L5297" s="6" t="n"/>
      <c r="M5297" s="7">
        <f>IF(N5297=0,+L5297+H5297,0)</f>
        <v/>
      </c>
      <c r="N5297" s="7">
        <f>IF((+G5297-K5297)=0,0,+G5297-K5297)</f>
        <v/>
      </c>
      <c r="O5297" s="7">
        <f>IF(N5297=0,0,(L5297+H5297)/-N5297)</f>
        <v/>
      </c>
      <c r="P5297" s="7">
        <f>VLOOKUP(OPERAC[[#This Row],[especie]],[1]!ESPECIES[#All],6,0)</f>
        <v/>
      </c>
      <c r="Q5297" s="7">
        <f>IF(N5297&lt;&gt;0,P5297*N5297,0)</f>
        <v/>
      </c>
      <c r="R5297" s="8">
        <f>IF(Q5297&lt;&gt;0,Q5297+H5297+L5297,0)</f>
        <v/>
      </c>
      <c r="S5297" s="9">
        <f>VLOOKUP(OPERAC[[#This Row],[especie]],[1]!ESPECIES[#Data],9,FALSE)</f>
        <v/>
      </c>
    </row>
    <row r="5298">
      <c r="A5298" s="4" t="n">
        <v>18677</v>
      </c>
      <c r="B5298" s="5" t="n">
        <v>44707</v>
      </c>
      <c r="C5298" s="13" t="inlineStr">
        <is>
          <t>VTA</t>
        </is>
      </c>
      <c r="D5298" s="13" t="n">
        <v>43</v>
      </c>
      <c r="E5298" s="10">
        <f>IF(D5298&gt;0,VLOOKUP(OPERAC[[#This Row],[COD CART]],[1]!MatrizCortoLargoCyl[#All],3,0),"")</f>
        <v/>
      </c>
      <c r="F5298" s="13" t="inlineStr">
        <is>
          <t>SPWR/CYP/17,50-15,00/17-06-22</t>
        </is>
      </c>
      <c r="G5298" s="6" t="n">
        <v>100</v>
      </c>
      <c r="H5298" s="6" t="n">
        <v>-1717.027</v>
      </c>
      <c r="I5298" s="7">
        <f>-H5298/G5298</f>
        <v/>
      </c>
      <c r="J5298" s="5" t="n"/>
      <c r="K5298" s="6" t="n"/>
      <c r="L5298" s="6" t="n"/>
      <c r="M5298" s="7">
        <f>IF(N5298=0,+L5298+H5298,0)</f>
        <v/>
      </c>
      <c r="N5298" s="7">
        <f>IF((+G5298-K5298)=0,0,+G5298-K5298)</f>
        <v/>
      </c>
      <c r="O5298" s="7">
        <f>IF(N5298=0,0,(L5298+H5298)/-N5298)</f>
        <v/>
      </c>
      <c r="P5298" s="7">
        <f>VLOOKUP(OPERAC[[#This Row],[especie]],[1]!ESPECIES[#All],6,0)</f>
        <v/>
      </c>
      <c r="Q5298" s="7">
        <f>IF(N5298&lt;&gt;0,P5298*N5298,0)</f>
        <v/>
      </c>
      <c r="R5298" s="8">
        <f>IF(Q5298&lt;&gt;0,Q5298+H5298+L5298,0)</f>
        <v/>
      </c>
      <c r="S5298" s="9">
        <f>VLOOKUP(OPERAC[[#This Row],[especie]],[1]!ESPECIES[#Data],9,FALSE)</f>
        <v/>
      </c>
    </row>
    <row r="5299">
      <c r="A5299" s="4" t="n">
        <v>16795</v>
      </c>
      <c r="B5299" s="5" t="n">
        <v>44707</v>
      </c>
      <c r="C5299" s="13" t="inlineStr">
        <is>
          <t>VTA</t>
        </is>
      </c>
      <c r="D5299" s="13" t="n">
        <v>43</v>
      </c>
      <c r="E5299" s="10">
        <f>IF(D5299&gt;0,VLOOKUP(OPERAC[[#This Row],[COD CART]],[1]!MatrizCortoLargoCyl[#All],3,0),"")</f>
        <v/>
      </c>
      <c r="F5299" s="13" t="inlineStr">
        <is>
          <t>SPWR/CYP/17,50-15,00/17-06-22</t>
        </is>
      </c>
      <c r="G5299" s="6" t="n">
        <v>100</v>
      </c>
      <c r="H5299" s="6" t="n">
        <v>-1717.027</v>
      </c>
      <c r="I5299" s="7">
        <f>-H5299/G5299</f>
        <v/>
      </c>
      <c r="J5299" s="5" t="n"/>
      <c r="K5299" s="6" t="n"/>
      <c r="L5299" s="6" t="n"/>
      <c r="M5299" s="7">
        <f>IF(N5299=0,+L5299+H5299,0)</f>
        <v/>
      </c>
      <c r="N5299" s="7">
        <f>IF((+G5299-K5299)=0,0,+G5299-K5299)</f>
        <v/>
      </c>
      <c r="O5299" s="7">
        <f>IF(N5299=0,0,(L5299+H5299)/-N5299)</f>
        <v/>
      </c>
      <c r="P5299" s="7">
        <f>VLOOKUP(OPERAC[[#This Row],[especie]],[1]!ESPECIES[#All],6,0)</f>
        <v/>
      </c>
      <c r="Q5299" s="7">
        <f>IF(N5299&lt;&gt;0,P5299*N5299,0)</f>
        <v/>
      </c>
      <c r="R5299" s="8">
        <f>IF(Q5299&lt;&gt;0,Q5299+H5299+L5299,0)</f>
        <v/>
      </c>
      <c r="S5299" s="9">
        <f>VLOOKUP(OPERAC[[#This Row],[especie]],[1]!ESPECIES[#Data],9,FALSE)</f>
        <v/>
      </c>
    </row>
    <row r="5300">
      <c r="A5300" s="4" t="n">
        <v>16783</v>
      </c>
      <c r="B5300" s="5" t="n">
        <v>44707</v>
      </c>
      <c r="C5300" s="13" t="inlineStr">
        <is>
          <t>VTA</t>
        </is>
      </c>
      <c r="D5300" s="13" t="n">
        <v>43</v>
      </c>
      <c r="E5300" s="10">
        <f>IF(D5300&gt;0,VLOOKUP(OPERAC[[#This Row],[COD CART]],[1]!MatrizCortoLargoCyl[#All],3,0),"")</f>
        <v/>
      </c>
      <c r="F5300" s="13" t="inlineStr">
        <is>
          <t>SPWR/CYP/17,50-15,00/17-06-22</t>
        </is>
      </c>
      <c r="G5300" s="6" t="n">
        <v>100</v>
      </c>
      <c r="H5300" s="6" t="n">
        <v>-1717.027</v>
      </c>
      <c r="I5300" s="7">
        <f>-H5300/G5300</f>
        <v/>
      </c>
      <c r="J5300" s="5" t="n"/>
      <c r="K5300" s="6" t="n"/>
      <c r="L5300" s="6" t="n"/>
      <c r="M5300" s="7">
        <f>IF(N5300=0,+L5300+H5300,0)</f>
        <v/>
      </c>
      <c r="N5300" s="7">
        <f>IF((+G5300-K5300)=0,0,+G5300-K5300)</f>
        <v/>
      </c>
      <c r="O5300" s="7">
        <f>IF(N5300=0,0,(L5300+H5300)/-N5300)</f>
        <v/>
      </c>
      <c r="P5300" s="7">
        <f>VLOOKUP(OPERAC[[#This Row],[especie]],[1]!ESPECIES[#All],6,0)</f>
        <v/>
      </c>
      <c r="Q5300" s="7">
        <f>IF(N5300&lt;&gt;0,P5300*N5300,0)</f>
        <v/>
      </c>
      <c r="R5300" s="8">
        <f>IF(Q5300&lt;&gt;0,Q5300+H5300+L5300,0)</f>
        <v/>
      </c>
      <c r="S5300" s="9">
        <f>VLOOKUP(OPERAC[[#This Row],[especie]],[1]!ESPECIES[#Data],9,FALSE)</f>
        <v/>
      </c>
    </row>
    <row r="5301">
      <c r="A5301" s="4" t="n">
        <v>15194</v>
      </c>
      <c r="B5301" s="5" t="n">
        <v>44707</v>
      </c>
      <c r="C5301" s="13" t="inlineStr">
        <is>
          <t>VTA</t>
        </is>
      </c>
      <c r="D5301" s="13" t="n">
        <v>43</v>
      </c>
      <c r="E5301" s="10">
        <f>IF(D5301&gt;0,VLOOKUP(OPERAC[[#This Row],[COD CART]],[1]!MatrizCortoLargoCyl[#All],3,0),"")</f>
        <v/>
      </c>
      <c r="F5301" s="13" t="inlineStr">
        <is>
          <t>SPWR/CYP/17,50-15,00/17-06-22</t>
        </is>
      </c>
      <c r="G5301" s="6" t="n">
        <v>100</v>
      </c>
      <c r="H5301" s="6" t="n">
        <v>-1717.027</v>
      </c>
      <c r="I5301" s="7">
        <f>-H5301/G5301</f>
        <v/>
      </c>
      <c r="J5301" s="5" t="n"/>
      <c r="K5301" s="6" t="n"/>
      <c r="L5301" s="6" t="n"/>
      <c r="M5301" s="7">
        <f>IF(N5301=0,+L5301+H5301,0)</f>
        <v/>
      </c>
      <c r="N5301" s="7">
        <f>IF((+G5301-K5301)=0,0,+G5301-K5301)</f>
        <v/>
      </c>
      <c r="O5301" s="7">
        <f>IF(N5301=0,0,(L5301+H5301)/-N5301)</f>
        <v/>
      </c>
      <c r="P5301" s="7">
        <f>VLOOKUP(OPERAC[[#This Row],[especie]],[1]!ESPECIES[#All],6,0)</f>
        <v/>
      </c>
      <c r="Q5301" s="7">
        <f>IF(N5301&lt;&gt;0,P5301*N5301,0)</f>
        <v/>
      </c>
      <c r="R5301" s="8">
        <f>IF(Q5301&lt;&gt;0,Q5301+H5301+L5301,0)</f>
        <v/>
      </c>
      <c r="S5301" s="9">
        <f>VLOOKUP(OPERAC[[#This Row],[especie]],[1]!ESPECIES[#Data],9,FALSE)</f>
        <v/>
      </c>
    </row>
    <row r="5302">
      <c r="A5302" s="4" t="n">
        <v>13246</v>
      </c>
      <c r="B5302" s="5" t="n">
        <v>44707</v>
      </c>
      <c r="C5302" s="13" t="inlineStr">
        <is>
          <t>VTA</t>
        </is>
      </c>
      <c r="D5302" s="13" t="n">
        <v>43</v>
      </c>
      <c r="E5302" s="10">
        <f>IF(D5302&gt;0,VLOOKUP(OPERAC[[#This Row],[COD CART]],[1]!MatrizCortoLargoCyl[#All],3,0),"")</f>
        <v/>
      </c>
      <c r="F5302" s="13" t="inlineStr">
        <is>
          <t>SPWR/CYP/17,50-15,00/17-06-22</t>
        </is>
      </c>
      <c r="G5302" s="6" t="n">
        <v>100</v>
      </c>
      <c r="H5302" s="6" t="n">
        <v>-1717.027</v>
      </c>
      <c r="I5302" s="7">
        <f>-H5302/G5302</f>
        <v/>
      </c>
      <c r="J5302" s="5" t="n"/>
      <c r="K5302" s="6" t="n"/>
      <c r="L5302" s="6" t="n"/>
      <c r="M5302" s="7">
        <f>IF(N5302=0,+L5302+H5302,0)</f>
        <v/>
      </c>
      <c r="N5302" s="7">
        <f>IF((+G5302-K5302)=0,0,+G5302-K5302)</f>
        <v/>
      </c>
      <c r="O5302" s="7">
        <f>IF(N5302=0,0,(L5302+H5302)/-N5302)</f>
        <v/>
      </c>
      <c r="P5302" s="7">
        <f>VLOOKUP(OPERAC[[#This Row],[especie]],[1]!ESPECIES[#All],6,0)</f>
        <v/>
      </c>
      <c r="Q5302" s="7">
        <f>IF(N5302&lt;&gt;0,P5302*N5302,0)</f>
        <v/>
      </c>
      <c r="R5302" s="8">
        <f>IF(Q5302&lt;&gt;0,Q5302+H5302+L5302,0)</f>
        <v/>
      </c>
      <c r="S5302" s="9">
        <f>VLOOKUP(OPERAC[[#This Row],[especie]],[1]!ESPECIES[#Data],9,FALSE)</f>
        <v/>
      </c>
    </row>
    <row r="5303">
      <c r="A5303" s="4" t="n">
        <v>13230</v>
      </c>
      <c r="B5303" s="5" t="n">
        <v>44707</v>
      </c>
      <c r="C5303" s="13" t="inlineStr">
        <is>
          <t>VTA</t>
        </is>
      </c>
      <c r="D5303" s="13" t="n">
        <v>43</v>
      </c>
      <c r="E5303" s="10">
        <f>IF(D5303&gt;0,VLOOKUP(OPERAC[[#This Row],[COD CART]],[1]!MatrizCortoLargoCyl[#All],3,0),"")</f>
        <v/>
      </c>
      <c r="F5303" s="13" t="inlineStr">
        <is>
          <t>SPWR/CYP/17,50-15,00/17-06-22</t>
        </is>
      </c>
      <c r="G5303" s="6" t="n">
        <v>100</v>
      </c>
      <c r="H5303" s="6" t="n">
        <v>-1717.027</v>
      </c>
      <c r="I5303" s="7">
        <f>-H5303/G5303</f>
        <v/>
      </c>
      <c r="J5303" s="5" t="n"/>
      <c r="K5303" s="6" t="n"/>
      <c r="L5303" s="6" t="n"/>
      <c r="M5303" s="7">
        <f>IF(N5303=0,+L5303+H5303,0)</f>
        <v/>
      </c>
      <c r="N5303" s="7">
        <f>IF((+G5303-K5303)=0,0,+G5303-K5303)</f>
        <v/>
      </c>
      <c r="O5303" s="7">
        <f>IF(N5303=0,0,(L5303+H5303)/-N5303)</f>
        <v/>
      </c>
      <c r="P5303" s="7">
        <f>VLOOKUP(OPERAC[[#This Row],[especie]],[1]!ESPECIES[#All],6,0)</f>
        <v/>
      </c>
      <c r="Q5303" s="7">
        <f>IF(N5303&lt;&gt;0,P5303*N5303,0)</f>
        <v/>
      </c>
      <c r="R5303" s="8">
        <f>IF(Q5303&lt;&gt;0,Q5303+H5303+L5303,0)</f>
        <v/>
      </c>
      <c r="S5303" s="9">
        <f>VLOOKUP(OPERAC[[#This Row],[especie]],[1]!ESPECIES[#Data],9,FALSE)</f>
        <v/>
      </c>
    </row>
    <row r="5304">
      <c r="A5304" s="4" t="n">
        <v>12655</v>
      </c>
      <c r="B5304" s="5" t="n">
        <v>44602</v>
      </c>
      <c r="C5304" s="13" t="inlineStr">
        <is>
          <t>VTA</t>
        </is>
      </c>
      <c r="D5304" s="13" t="n">
        <v>32</v>
      </c>
      <c r="E5304" s="10">
        <f>IF(D5304&gt;0,VLOOKUP(OPERAC[[#This Row],[COD CART]],[1]!MatrizCortoLargoCyl[#All],3,0),"")</f>
        <v/>
      </c>
      <c r="F5304" s="13" t="inlineStr">
        <is>
          <t>TEVA</t>
        </is>
      </c>
      <c r="G5304" s="6" t="n">
        <v>200</v>
      </c>
      <c r="H5304" s="6">
        <f>-8.59*OPERAC[[#This Row],[cantidad]]</f>
        <v/>
      </c>
      <c r="I5304" s="7">
        <f>-H5304/G5304</f>
        <v/>
      </c>
      <c r="J5304" s="11" t="n">
        <v>44643</v>
      </c>
      <c r="K5304" s="6">
        <f>+OPERAC[[#This Row],[cantidad]]</f>
        <v/>
      </c>
      <c r="L5304" s="6">
        <f>+OPERAC[[#This Row],[cantidad venta]]*8.051</f>
        <v/>
      </c>
      <c r="M5304" s="7">
        <f>IF(N5304=0,+L5304+H5304,0)</f>
        <v/>
      </c>
      <c r="N5304" s="7">
        <f>IF((+G5304-K5304)=0,0,+G5304-K5304)</f>
        <v/>
      </c>
      <c r="O5304" s="7">
        <f>IF(N5304=0,0,(L5304+H5304)/-N5304)</f>
        <v/>
      </c>
      <c r="P5304" s="7">
        <f>VLOOKUP(OPERAC[[#This Row],[especie]],[1]!ESPECIES[#All],6,0)</f>
        <v/>
      </c>
      <c r="Q5304" s="7">
        <f>IF(N5304&lt;&gt;0,P5304*N5304,0)</f>
        <v/>
      </c>
      <c r="R5304" s="8">
        <f>IF(Q5304&lt;&gt;0,Q5304+H5304+L5304,0)</f>
        <v/>
      </c>
      <c r="S5304" s="9">
        <f>VLOOKUP(OPERAC[[#This Row],[especie]],[1]!ESPECIES[#Data],9,FALSE)</f>
        <v/>
      </c>
    </row>
    <row r="5305">
      <c r="A5305" s="4" t="n">
        <v>2209</v>
      </c>
      <c r="B5305" s="5" t="n">
        <v>43831</v>
      </c>
      <c r="C5305" s="13" t="inlineStr">
        <is>
          <t>VTA</t>
        </is>
      </c>
      <c r="D5305" s="13" t="n">
        <v>41</v>
      </c>
      <c r="E5305" s="10">
        <f>IF(D5305&gt;0,VLOOKUP(OPERAC[[#This Row],[COD CART]],[1]!MatrizCortoLargoCyl[#All],3,0),"")</f>
        <v/>
      </c>
      <c r="F5305" s="13" t="inlineStr">
        <is>
          <t>YPF</t>
        </is>
      </c>
      <c r="G5305" s="6" t="n">
        <v>150</v>
      </c>
      <c r="H5305" s="6" t="n">
        <v>-1719</v>
      </c>
      <c r="I5305" s="7">
        <f>-H5305/G5305</f>
        <v/>
      </c>
      <c r="J5305" s="5" t="n">
        <v>44655</v>
      </c>
      <c r="K5305" s="6" t="n">
        <v>150</v>
      </c>
      <c r="L5305" s="6">
        <f>+OPERAC[[#This Row],[cantidad venta]]*5.232</f>
        <v/>
      </c>
      <c r="M5305" s="7">
        <f>IF(N5305=0,+L5305+H5305,0)</f>
        <v/>
      </c>
      <c r="N5305" s="7">
        <f>IF((+G5305-K5305)=0,0,+G5305-K5305)</f>
        <v/>
      </c>
      <c r="O5305" s="7">
        <f>IF(N5305=0,0,(L5305+H5305)/-N5305)</f>
        <v/>
      </c>
      <c r="P5305" s="7">
        <f>VLOOKUP(OPERAC[[#This Row],[especie]],[1]!ESPECIES[#All],6,0)</f>
        <v/>
      </c>
      <c r="Q5305" s="7">
        <f>IF(N5305&lt;&gt;0,P5305*N5305,0)</f>
        <v/>
      </c>
      <c r="R5305" s="8">
        <f>IF(Q5305&lt;&gt;0,Q5305+H5305+L5305,0)</f>
        <v/>
      </c>
      <c r="S5305" s="9">
        <f>VLOOKUP(OPERAC[[#This Row],[especie]],[1]!ESPECIES[#Data],9,FALSE)</f>
        <v/>
      </c>
    </row>
    <row r="5306">
      <c r="A5306" s="4" t="n">
        <v>2218</v>
      </c>
      <c r="B5306" s="5" t="n">
        <v>44607</v>
      </c>
      <c r="C5306" s="13" t="inlineStr">
        <is>
          <t>VTA</t>
        </is>
      </c>
      <c r="D5306" s="13" t="n">
        <v>32</v>
      </c>
      <c r="E5306" s="10">
        <f>IF(D5306&gt;0,VLOOKUP(OPERAC[[#This Row],[COD CART]],[1]!MatrizCortoLargoCyl[#All],3,0),"")</f>
        <v/>
      </c>
      <c r="F5306" s="13" t="inlineStr">
        <is>
          <t>F</t>
        </is>
      </c>
      <c r="G5306" s="6" t="n">
        <v>100</v>
      </c>
      <c r="H5306" s="6" t="n">
        <v>-1719.296</v>
      </c>
      <c r="I5306" s="7">
        <f>-H5306/G5306</f>
        <v/>
      </c>
      <c r="J5306" s="11" t="n">
        <v>44649</v>
      </c>
      <c r="K5306" s="6" t="n">
        <v>100</v>
      </c>
      <c r="L5306" s="6">
        <f>17.636*OPERAC[[#This Row],[cantidad venta]]</f>
        <v/>
      </c>
      <c r="M5306" s="7">
        <f>IF(N5306=0,+L5306+H5306,0)</f>
        <v/>
      </c>
      <c r="N5306" s="7">
        <f>IF((+G5306-K5306)=0,0,+G5306-K5306)</f>
        <v/>
      </c>
      <c r="O5306" s="7">
        <f>IF(N5306=0,0,(L5306+H5306)/-N5306)</f>
        <v/>
      </c>
      <c r="P5306" s="7">
        <f>VLOOKUP(OPERAC[[#This Row],[especie]],[1]!ESPECIES[#All],6,0)</f>
        <v/>
      </c>
      <c r="Q5306" s="7">
        <f>IF(N5306&lt;&gt;0,P5306*N5306,0)</f>
        <v/>
      </c>
      <c r="R5306" s="8">
        <f>IF(Q5306&lt;&gt;0,Q5306+H5306+L5306,0)</f>
        <v/>
      </c>
      <c r="S5306" s="9">
        <f>VLOOKUP(OPERAC[[#This Row],[especie]],[1]!ESPECIES[#Data],9,FALSE)</f>
        <v/>
      </c>
    </row>
    <row r="5307">
      <c r="A5307" s="4" t="n">
        <v>2257</v>
      </c>
      <c r="B5307" s="5" t="n">
        <v>44607</v>
      </c>
      <c r="C5307" s="13" t="inlineStr">
        <is>
          <t>VTA</t>
        </is>
      </c>
      <c r="D5307" s="13" t="n">
        <v>32</v>
      </c>
      <c r="E5307" s="10">
        <f>IF(D5307&gt;0,VLOOKUP(OPERAC[[#This Row],[COD CART]],[1]!MatrizCortoLargoCyl[#All],3,0),"")</f>
        <v/>
      </c>
      <c r="F5307" s="13" t="inlineStr">
        <is>
          <t>F</t>
        </is>
      </c>
      <c r="G5307" s="6" t="n">
        <v>100</v>
      </c>
      <c r="H5307" s="6" t="n">
        <v>-1719.296</v>
      </c>
      <c r="I5307" s="7">
        <f>-H5307/G5307</f>
        <v/>
      </c>
      <c r="J5307" s="11" t="n">
        <v>44649</v>
      </c>
      <c r="K5307" s="6" t="n">
        <v>100</v>
      </c>
      <c r="L5307" s="6">
        <f>17.636*OPERAC[[#This Row],[cantidad venta]]</f>
        <v/>
      </c>
      <c r="M5307" s="7">
        <f>IF(N5307=0,+L5307+H5307,0)</f>
        <v/>
      </c>
      <c r="N5307" s="7">
        <f>IF((+G5307-K5307)=0,0,+G5307-K5307)</f>
        <v/>
      </c>
      <c r="O5307" s="7">
        <f>IF(N5307=0,0,(L5307+H5307)/-N5307)</f>
        <v/>
      </c>
      <c r="P5307" s="7">
        <f>VLOOKUP(OPERAC[[#This Row],[especie]],[1]!ESPECIES[#All],6,0)</f>
        <v/>
      </c>
      <c r="Q5307" s="7">
        <f>IF(N5307&lt;&gt;0,P5307*N5307,0)</f>
        <v/>
      </c>
      <c r="R5307" s="8">
        <f>IF(Q5307&lt;&gt;0,Q5307+H5307+L5307,0)</f>
        <v/>
      </c>
      <c r="S5307" s="9">
        <f>VLOOKUP(OPERAC[[#This Row],[especie]],[1]!ESPECIES[#Data],9,FALSE)</f>
        <v/>
      </c>
    </row>
    <row r="5308">
      <c r="A5308" s="4" t="n">
        <v>3021</v>
      </c>
      <c r="B5308" s="5" t="n">
        <v>44607</v>
      </c>
      <c r="C5308" s="13" t="inlineStr">
        <is>
          <t>VTA</t>
        </is>
      </c>
      <c r="D5308" s="13" t="n">
        <v>32</v>
      </c>
      <c r="E5308" s="10">
        <f>IF(D5308&gt;0,VLOOKUP(OPERAC[[#This Row],[COD CART]],[1]!MatrizCortoLargoCyl[#All],3,0),"")</f>
        <v/>
      </c>
      <c r="F5308" s="13" t="inlineStr">
        <is>
          <t>F</t>
        </is>
      </c>
      <c r="G5308" s="6" t="n">
        <v>100</v>
      </c>
      <c r="H5308" s="6" t="n">
        <v>-1719.296</v>
      </c>
      <c r="I5308" s="7">
        <f>-H5308/G5308</f>
        <v/>
      </c>
      <c r="J5308" s="11" t="n">
        <v>44649</v>
      </c>
      <c r="K5308" s="6" t="n">
        <v>100</v>
      </c>
      <c r="L5308" s="6">
        <f>17.636*OPERAC[[#This Row],[cantidad venta]]</f>
        <v/>
      </c>
      <c r="M5308" s="7">
        <f>IF(N5308=0,+L5308+H5308,0)</f>
        <v/>
      </c>
      <c r="N5308" s="7">
        <f>IF((+G5308-K5308)=0,0,+G5308-K5308)</f>
        <v/>
      </c>
      <c r="O5308" s="7">
        <f>IF(N5308=0,0,(L5308+H5308)/-N5308)</f>
        <v/>
      </c>
      <c r="P5308" s="7">
        <f>VLOOKUP(OPERAC[[#This Row],[especie]],[1]!ESPECIES[#All],6,0)</f>
        <v/>
      </c>
      <c r="Q5308" s="7">
        <f>IF(N5308&lt;&gt;0,P5308*N5308,0)</f>
        <v/>
      </c>
      <c r="R5308" s="8">
        <f>IF(Q5308&lt;&gt;0,Q5308+H5308+L5308,0)</f>
        <v/>
      </c>
      <c r="S5308" s="9">
        <f>VLOOKUP(OPERAC[[#This Row],[especie]],[1]!ESPECIES[#Data],9,FALSE)</f>
        <v/>
      </c>
    </row>
    <row r="5309">
      <c r="A5309" s="4" t="n">
        <v>13185</v>
      </c>
      <c r="B5309" s="5" t="n">
        <v>44607</v>
      </c>
      <c r="C5309" s="13" t="inlineStr">
        <is>
          <t>VTA</t>
        </is>
      </c>
      <c r="D5309" s="13" t="n">
        <v>32</v>
      </c>
      <c r="E5309" s="10">
        <f>IF(D5309&gt;0,VLOOKUP(OPERAC[[#This Row],[COD CART]],[1]!MatrizCortoLargoCyl[#All],3,0),"")</f>
        <v/>
      </c>
      <c r="F5309" s="13" t="inlineStr">
        <is>
          <t>F</t>
        </is>
      </c>
      <c r="G5309" s="6" t="n">
        <v>100</v>
      </c>
      <c r="H5309" s="6" t="n">
        <v>-1719.296</v>
      </c>
      <c r="I5309" s="7">
        <f>-H5309/G5309</f>
        <v/>
      </c>
      <c r="J5309" s="11" t="n">
        <v>44649</v>
      </c>
      <c r="K5309" s="6" t="n">
        <v>100</v>
      </c>
      <c r="L5309" s="6">
        <f>17.636*OPERAC[[#This Row],[cantidad venta]]</f>
        <v/>
      </c>
      <c r="M5309" s="7">
        <f>IF(N5309=0,+L5309+H5309,0)</f>
        <v/>
      </c>
      <c r="N5309" s="7">
        <f>IF((+G5309-K5309)=0,0,+G5309-K5309)</f>
        <v/>
      </c>
      <c r="O5309" s="7">
        <f>IF(N5309=0,0,(L5309+H5309)/-N5309)</f>
        <v/>
      </c>
      <c r="P5309" s="7">
        <f>VLOOKUP(OPERAC[[#This Row],[especie]],[1]!ESPECIES[#All],6,0)</f>
        <v/>
      </c>
      <c r="Q5309" s="7">
        <f>IF(N5309&lt;&gt;0,P5309*N5309,0)</f>
        <v/>
      </c>
      <c r="R5309" s="8">
        <f>IF(Q5309&lt;&gt;0,Q5309+H5309+L5309,0)</f>
        <v/>
      </c>
      <c r="S5309" s="9">
        <f>VLOOKUP(OPERAC[[#This Row],[especie]],[1]!ESPECIES[#Data],9,FALSE)</f>
        <v/>
      </c>
    </row>
    <row r="5310">
      <c r="A5310" s="4" t="n">
        <v>15189</v>
      </c>
      <c r="B5310" s="5" t="n">
        <v>44607</v>
      </c>
      <c r="C5310" s="13" t="inlineStr">
        <is>
          <t>VTA</t>
        </is>
      </c>
      <c r="D5310" s="13" t="n">
        <v>32</v>
      </c>
      <c r="E5310" s="10">
        <f>IF(D5310&gt;0,VLOOKUP(OPERAC[[#This Row],[COD CART]],[1]!MatrizCortoLargoCyl[#All],3,0),"")</f>
        <v/>
      </c>
      <c r="F5310" s="13" t="inlineStr">
        <is>
          <t>F</t>
        </is>
      </c>
      <c r="G5310" s="6" t="n">
        <v>100</v>
      </c>
      <c r="H5310" s="6" t="n">
        <v>-1719.296</v>
      </c>
      <c r="I5310" s="7">
        <f>-H5310/G5310</f>
        <v/>
      </c>
      <c r="J5310" s="11" t="n">
        <v>44642</v>
      </c>
      <c r="K5310" s="6" t="n">
        <v>100</v>
      </c>
      <c r="L5310" s="6">
        <f>+OPERAC[[#This Row],[cantidad venta]]*16.76</f>
        <v/>
      </c>
      <c r="M5310" s="7">
        <f>IF(N5310=0,+L5310+H5310,0)</f>
        <v/>
      </c>
      <c r="N5310" s="7">
        <f>IF((+G5310-K5310)=0,0,+G5310-K5310)</f>
        <v/>
      </c>
      <c r="O5310" s="7">
        <f>IF(N5310=0,0,(L5310+H5310)/-N5310)</f>
        <v/>
      </c>
      <c r="P5310" s="7">
        <f>VLOOKUP(OPERAC[[#This Row],[especie]],[1]!ESPECIES[#All],6,0)</f>
        <v/>
      </c>
      <c r="Q5310" s="7">
        <f>IF(N5310&lt;&gt;0,P5310*N5310,0)</f>
        <v/>
      </c>
      <c r="R5310" s="8">
        <f>IF(Q5310&lt;&gt;0,Q5310+H5310+L5310,0)</f>
        <v/>
      </c>
      <c r="S5310" s="9">
        <f>VLOOKUP(OPERAC[[#This Row],[especie]],[1]!ESPECIES[#Data],9,FALSE)</f>
        <v/>
      </c>
    </row>
    <row r="5311">
      <c r="A5311" s="4" t="n">
        <v>15195</v>
      </c>
      <c r="B5311" s="5" t="n">
        <v>44607</v>
      </c>
      <c r="C5311" s="13" t="inlineStr">
        <is>
          <t>VTA</t>
        </is>
      </c>
      <c r="D5311" s="13" t="n">
        <v>32</v>
      </c>
      <c r="E5311" s="10">
        <f>IF(D5311&gt;0,VLOOKUP(OPERAC[[#This Row],[COD CART]],[1]!MatrizCortoLargoCyl[#All],3,0),"")</f>
        <v/>
      </c>
      <c r="F5311" s="13" t="inlineStr">
        <is>
          <t>F</t>
        </is>
      </c>
      <c r="G5311" s="6" t="n">
        <v>100</v>
      </c>
      <c r="H5311" s="6" t="n">
        <v>-1719.296</v>
      </c>
      <c r="I5311" s="7">
        <f>-H5311/G5311</f>
        <v/>
      </c>
      <c r="J5311" s="11" t="n">
        <v>44649</v>
      </c>
      <c r="K5311" s="6" t="n">
        <v>100</v>
      </c>
      <c r="L5311" s="6">
        <f>17.636*OPERAC[[#This Row],[cantidad venta]]</f>
        <v/>
      </c>
      <c r="M5311" s="7">
        <f>IF(N5311=0,+L5311+H5311,0)</f>
        <v/>
      </c>
      <c r="N5311" s="7">
        <f>IF((+G5311-K5311)=0,0,+G5311-K5311)</f>
        <v/>
      </c>
      <c r="O5311" s="7">
        <f>IF(N5311=0,0,(L5311+H5311)/-N5311)</f>
        <v/>
      </c>
      <c r="P5311" s="7">
        <f>VLOOKUP(OPERAC[[#This Row],[especie]],[1]!ESPECIES[#All],6,0)</f>
        <v/>
      </c>
      <c r="Q5311" s="7">
        <f>IF(N5311&lt;&gt;0,P5311*N5311,0)</f>
        <v/>
      </c>
      <c r="R5311" s="8">
        <f>IF(Q5311&lt;&gt;0,Q5311+H5311+L5311,0)</f>
        <v/>
      </c>
      <c r="S5311" s="9">
        <f>VLOOKUP(OPERAC[[#This Row],[especie]],[1]!ESPECIES[#Data],9,FALSE)</f>
        <v/>
      </c>
    </row>
    <row r="5312">
      <c r="A5312" s="4" t="n">
        <v>16783</v>
      </c>
      <c r="B5312" s="5" t="n">
        <v>44607</v>
      </c>
      <c r="C5312" s="13" t="inlineStr">
        <is>
          <t>VTA</t>
        </is>
      </c>
      <c r="D5312" s="13" t="n">
        <v>32</v>
      </c>
      <c r="E5312" s="10">
        <f>IF(D5312&gt;0,VLOOKUP(OPERAC[[#This Row],[COD CART]],[1]!MatrizCortoLargoCyl[#All],3,0),"")</f>
        <v/>
      </c>
      <c r="F5312" s="13" t="inlineStr">
        <is>
          <t>F</t>
        </is>
      </c>
      <c r="G5312" s="6" t="n">
        <v>100</v>
      </c>
      <c r="H5312" s="6" t="n">
        <v>-1719.296</v>
      </c>
      <c r="I5312" s="7">
        <f>-H5312/G5312</f>
        <v/>
      </c>
      <c r="J5312" s="11" t="n">
        <v>44649</v>
      </c>
      <c r="K5312" s="6" t="n">
        <v>100</v>
      </c>
      <c r="L5312" s="6">
        <f>17.636*OPERAC[[#This Row],[cantidad venta]]</f>
        <v/>
      </c>
      <c r="M5312" s="7">
        <f>IF(N5312=0,+L5312+H5312,0)</f>
        <v/>
      </c>
      <c r="N5312" s="7">
        <f>IF((+G5312-K5312)=0,0,+G5312-K5312)</f>
        <v/>
      </c>
      <c r="O5312" s="7">
        <f>IF(N5312=0,0,(L5312+H5312)/-N5312)</f>
        <v/>
      </c>
      <c r="P5312" s="7">
        <f>VLOOKUP(OPERAC[[#This Row],[especie]],[1]!ESPECIES[#All],6,0)</f>
        <v/>
      </c>
      <c r="Q5312" s="7">
        <f>IF(N5312&lt;&gt;0,P5312*N5312,0)</f>
        <v/>
      </c>
      <c r="R5312" s="8">
        <f>IF(Q5312&lt;&gt;0,Q5312+H5312+L5312,0)</f>
        <v/>
      </c>
      <c r="S5312" s="9">
        <f>VLOOKUP(OPERAC[[#This Row],[especie]],[1]!ESPECIES[#Data],9,FALSE)</f>
        <v/>
      </c>
    </row>
    <row r="5313">
      <c r="A5313" s="4" t="n">
        <v>18724</v>
      </c>
      <c r="B5313" s="5" t="n">
        <v>44607</v>
      </c>
      <c r="C5313" s="13" t="inlineStr">
        <is>
          <t>VTA</t>
        </is>
      </c>
      <c r="D5313" s="13" t="n">
        <v>32</v>
      </c>
      <c r="E5313" s="10">
        <f>IF(D5313&gt;0,VLOOKUP(OPERAC[[#This Row],[COD CART]],[1]!MatrizCortoLargoCyl[#All],3,0),"")</f>
        <v/>
      </c>
      <c r="F5313" s="13" t="inlineStr">
        <is>
          <t>F</t>
        </is>
      </c>
      <c r="G5313" s="6" t="n">
        <v>100</v>
      </c>
      <c r="H5313" s="6" t="n">
        <v>-1719.296</v>
      </c>
      <c r="I5313" s="7">
        <f>-H5313/G5313</f>
        <v/>
      </c>
      <c r="J5313" s="11" t="n">
        <v>44649</v>
      </c>
      <c r="K5313" s="6" t="n">
        <v>100</v>
      </c>
      <c r="L5313" s="6">
        <f>17.636*OPERAC[[#This Row],[cantidad venta]]</f>
        <v/>
      </c>
      <c r="M5313" s="7">
        <f>IF(N5313=0,+L5313+H5313,0)</f>
        <v/>
      </c>
      <c r="N5313" s="7">
        <f>IF((+G5313-K5313)=0,0,+G5313-K5313)</f>
        <v/>
      </c>
      <c r="O5313" s="7">
        <f>IF(N5313=0,0,(L5313+H5313)/-N5313)</f>
        <v/>
      </c>
      <c r="P5313" s="7">
        <f>VLOOKUP(OPERAC[[#This Row],[especie]],[1]!ESPECIES[#All],6,0)</f>
        <v/>
      </c>
      <c r="Q5313" s="7">
        <f>IF(N5313&lt;&gt;0,P5313*N5313,0)</f>
        <v/>
      </c>
      <c r="R5313" s="8">
        <f>IF(Q5313&lt;&gt;0,Q5313+H5313+L5313,0)</f>
        <v/>
      </c>
      <c r="S5313" s="9">
        <f>VLOOKUP(OPERAC[[#This Row],[especie]],[1]!ESPECIES[#Data],9,FALSE)</f>
        <v/>
      </c>
    </row>
    <row r="5314">
      <c r="A5314" s="4" t="n">
        <v>2218</v>
      </c>
      <c r="B5314" s="5" t="n">
        <v>44459</v>
      </c>
      <c r="C5314" s="13" t="inlineStr">
        <is>
          <t>VTA</t>
        </is>
      </c>
      <c r="D5314" s="13" t="n">
        <v>40</v>
      </c>
      <c r="E5314" s="10">
        <f>IF(D5314&gt;0,VLOOKUP(OPERAC[[#This Row],[COD CART]],[1]!MatrizCortoLargoCyl[#All],3,0),"")</f>
        <v/>
      </c>
      <c r="F5314" s="13" t="inlineStr">
        <is>
          <t>EDU</t>
        </is>
      </c>
      <c r="G5314" s="6" t="n">
        <v>2000</v>
      </c>
      <c r="H5314" s="6">
        <f>-1802.28+0.04*OPERAC[[#This Row],[cantidad]]</f>
        <v/>
      </c>
      <c r="I5314" s="7">
        <f>-H5314/G5314</f>
        <v/>
      </c>
      <c r="J5314" s="11" t="n">
        <v>44615</v>
      </c>
      <c r="K5314" s="6" t="n">
        <v>2000</v>
      </c>
      <c r="L5314" s="6">
        <f>+OPERAC[[#This Row],[cantidad venta]]*1.505</f>
        <v/>
      </c>
      <c r="M5314" s="7">
        <f>IF(N5314=0,+L5314+H5314,0)</f>
        <v/>
      </c>
      <c r="N5314" s="7">
        <f>IF((+G5314-K5314)=0,0,+G5314-K5314)</f>
        <v/>
      </c>
      <c r="O5314" s="7">
        <f>IF(N5314=0,0,(L5314+H5314)/-N5314)</f>
        <v/>
      </c>
      <c r="P5314" s="7">
        <f>VLOOKUP(OPERAC[[#This Row],[especie]],[1]!ESPECIES[#All],6,0)</f>
        <v/>
      </c>
      <c r="Q5314" s="7">
        <f>IF(N5314&lt;&gt;0,P5314*N5314,0)</f>
        <v/>
      </c>
      <c r="R5314" s="8">
        <f>IF(Q5314&lt;&gt;0,Q5314+H5314+L5314,0)</f>
        <v/>
      </c>
      <c r="S5314" s="9">
        <f>VLOOKUP(OPERAC[[#This Row],[especie]],[1]!ESPECIES[#Data],9,FALSE)</f>
        <v/>
      </c>
    </row>
    <row r="5315">
      <c r="A5315" s="4" t="n">
        <v>1760</v>
      </c>
      <c r="B5315" s="5" t="n">
        <v>44657</v>
      </c>
      <c r="C5315" s="13" t="inlineStr">
        <is>
          <t>VTA</t>
        </is>
      </c>
      <c r="D5315" s="13" t="n">
        <v>41</v>
      </c>
      <c r="E5315" s="10">
        <f>IF(D5315&gt;0,VLOOKUP(OPERAC[[#This Row],[COD CART]],[1]!MatrizCortoLargoCyl[#All],3,0),"")</f>
        <v/>
      </c>
      <c r="F5315" s="13" t="inlineStr">
        <is>
          <t>BMA</t>
        </is>
      </c>
      <c r="G5315" s="6" t="n">
        <v>100</v>
      </c>
      <c r="H5315" s="6" t="n">
        <v>-1725.07</v>
      </c>
      <c r="I5315" s="7">
        <f>-H5315/G5315</f>
        <v/>
      </c>
      <c r="J5315" s="11" t="n"/>
      <c r="K5315" s="6" t="n"/>
      <c r="L5315" s="6" t="n"/>
      <c r="M5315" s="7">
        <f>IF(N5315=0,+L5315+H5315,0)</f>
        <v/>
      </c>
      <c r="N5315" s="7">
        <f>IF((+G5315-K5315)=0,0,+G5315-K5315)</f>
        <v/>
      </c>
      <c r="O5315" s="7">
        <f>IF(N5315=0,0,(L5315+H5315)/-N5315)</f>
        <v/>
      </c>
      <c r="P5315" s="7">
        <f>VLOOKUP(OPERAC[[#This Row],[especie]],[1]!ESPECIES[#All],6,0)</f>
        <v/>
      </c>
      <c r="Q5315" s="7">
        <f>IF(N5315&lt;&gt;0,P5315*N5315,0)</f>
        <v/>
      </c>
      <c r="R5315" s="8">
        <f>IF(Q5315&lt;&gt;0,Q5315+H5315+L5315,0)</f>
        <v/>
      </c>
      <c r="S5315" s="9">
        <f>VLOOKUP(OPERAC[[#This Row],[especie]],[1]!ESPECIES[#Data],9,FALSE)</f>
        <v/>
      </c>
    </row>
    <row r="5316">
      <c r="A5316" s="4" t="n">
        <v>22393</v>
      </c>
      <c r="B5316" s="5" t="n">
        <v>44641</v>
      </c>
      <c r="C5316" s="13" t="inlineStr">
        <is>
          <t>VTA</t>
        </is>
      </c>
      <c r="D5316" s="13" t="n">
        <v>32</v>
      </c>
      <c r="E5316" s="10">
        <f>IF(D5316&gt;0,VLOOKUP(OPERAC[[#This Row],[COD CART]],[1]!MatrizCortoLargoCyl[#All],3,0),"")</f>
        <v/>
      </c>
      <c r="F5316" s="13" t="inlineStr">
        <is>
          <t>COTY</t>
        </is>
      </c>
      <c r="G5316" s="6" t="n">
        <v>200</v>
      </c>
      <c r="H5316" s="6">
        <f>-1778.104+50.184</f>
        <v/>
      </c>
      <c r="I5316" s="7">
        <f>-H5316/G5316</f>
        <v/>
      </c>
      <c r="J5316" s="11" t="n"/>
      <c r="K5316" s="6" t="n"/>
      <c r="L5316" s="6" t="n"/>
      <c r="M5316" s="7">
        <f>IF(N5316=0,+L5316+H5316,0)</f>
        <v/>
      </c>
      <c r="N5316" s="7">
        <f>IF((+G5316-K5316)=0,0,+G5316-K5316)</f>
        <v/>
      </c>
      <c r="O5316" s="7">
        <f>IF(N5316=0,0,(L5316+H5316)/-N5316)</f>
        <v/>
      </c>
      <c r="P5316" s="7">
        <f>VLOOKUP(OPERAC[[#This Row],[especie]],[1]!ESPECIES[#All],6,0)</f>
        <v/>
      </c>
      <c r="Q5316" s="7">
        <f>IF(N5316&lt;&gt;0,P5316*N5316,0)</f>
        <v/>
      </c>
      <c r="R5316" s="8">
        <f>IF(Q5316&lt;&gt;0,Q5316+H5316+L5316,0)</f>
        <v/>
      </c>
      <c r="S5316" s="9">
        <f>VLOOKUP(OPERAC[[#This Row],[especie]],[1]!ESPECIES[#Data],9,FALSE)</f>
        <v/>
      </c>
    </row>
    <row r="5317">
      <c r="A5317" s="4" t="n">
        <v>16783</v>
      </c>
      <c r="B5317" s="5" t="n">
        <v>44609</v>
      </c>
      <c r="C5317" s="13" t="inlineStr">
        <is>
          <t>VTA</t>
        </is>
      </c>
      <c r="D5317" s="13" t="n">
        <v>32</v>
      </c>
      <c r="E5317" s="10">
        <f>IF(D5317&gt;0,VLOOKUP(OPERAC[[#This Row],[COD CART]],[1]!MatrizCortoLargoCyl[#All],3,0),"")</f>
        <v/>
      </c>
      <c r="F5317" s="13" t="inlineStr">
        <is>
          <t>HIMX/CYL/9,00/18-03-22</t>
        </is>
      </c>
      <c r="G5317" s="6" t="n">
        <v>200</v>
      </c>
      <c r="H5317" s="6" t="n">
        <v>-1728.784</v>
      </c>
      <c r="I5317" s="7">
        <f>-H5317/G5317</f>
        <v/>
      </c>
      <c r="J5317" s="11" t="n">
        <v>44622</v>
      </c>
      <c r="K5317" s="6" t="n">
        <v>200</v>
      </c>
      <c r="L5317" s="6" t="n">
        <v>1767.151</v>
      </c>
      <c r="M5317" s="7">
        <f>IF(N5317=0,+L5317+H5317,0)</f>
        <v/>
      </c>
      <c r="N5317" s="7">
        <f>IF((+G5317-K5317)=0,0,+G5317-K5317)</f>
        <v/>
      </c>
      <c r="O5317" s="7">
        <f>IF(N5317=0,0,(L5317+H5317)/-N5317)</f>
        <v/>
      </c>
      <c r="P5317" s="7">
        <f>VLOOKUP(OPERAC[[#This Row],[especie]],[1]!ESPECIES[#All],6,0)</f>
        <v/>
      </c>
      <c r="Q5317" s="7">
        <f>IF(N5317&lt;&gt;0,P5317*N5317,0)</f>
        <v/>
      </c>
      <c r="R5317" s="8">
        <f>IF(Q5317&lt;&gt;0,Q5317+H5317+L5317,0)</f>
        <v/>
      </c>
      <c r="S5317" s="9">
        <f>VLOOKUP(OPERAC[[#This Row],[especie]],[1]!ESPECIES[#Data],9,FALSE)</f>
        <v/>
      </c>
    </row>
    <row r="5318">
      <c r="A5318" s="4" t="n">
        <v>19867</v>
      </c>
      <c r="B5318" s="5" t="n">
        <v>44643</v>
      </c>
      <c r="C5318" s="13" t="inlineStr">
        <is>
          <t>VTA</t>
        </is>
      </c>
      <c r="D5318" s="13" t="n">
        <v>42</v>
      </c>
      <c r="E5318" s="10">
        <f>IF(D5318&gt;0,VLOOKUP(OPERAC[[#This Row],[COD CART]],[1]!MatrizCortoLargoCyl[#All],3,0),"")</f>
        <v/>
      </c>
      <c r="F5318" s="13" t="inlineStr">
        <is>
          <t>FB</t>
        </is>
      </c>
      <c r="G5318" s="6" t="n">
        <v>8</v>
      </c>
      <c r="H5318" s="6" t="n">
        <v>-1728.98608</v>
      </c>
      <c r="I5318" s="7">
        <f>-H5318/G5318</f>
        <v/>
      </c>
      <c r="J5318" s="11" t="n">
        <v>44669</v>
      </c>
      <c r="K5318" s="6">
        <f>7+1</f>
        <v/>
      </c>
      <c r="L5318" s="6">
        <f>1453.271+213.173</f>
        <v/>
      </c>
      <c r="M5318" s="7">
        <f>IF(N5318=0,+L5318+H5318,0)</f>
        <v/>
      </c>
      <c r="N5318" s="7">
        <f>IF((+G5318-K5318)=0,0,+G5318-K5318)</f>
        <v/>
      </c>
      <c r="O5318" s="7">
        <f>IF(N5318=0,0,(L5318+H5318)/-N5318)</f>
        <v/>
      </c>
      <c r="P5318" s="7">
        <f>VLOOKUP(OPERAC[[#This Row],[especie]],[1]!ESPECIES[#All],6,0)</f>
        <v/>
      </c>
      <c r="Q5318" s="7">
        <f>IF(N5318&lt;&gt;0,P5318*N5318,0)</f>
        <v/>
      </c>
      <c r="R5318" s="8">
        <f>IF(Q5318&lt;&gt;0,Q5318+H5318+L5318,0)</f>
        <v/>
      </c>
      <c r="S5318" s="9">
        <f>VLOOKUP(OPERAC[[#This Row],[especie]],[1]!ESPECIES[#Data],9,FALSE)</f>
        <v/>
      </c>
    </row>
    <row r="5319">
      <c r="A5319" s="4" t="n">
        <v>7914</v>
      </c>
      <c r="B5319" s="5" t="n">
        <v>44547</v>
      </c>
      <c r="C5319" s="13" t="inlineStr">
        <is>
          <t>VTA</t>
        </is>
      </c>
      <c r="D5319" s="13" t="n">
        <v>32</v>
      </c>
      <c r="E5319" s="10">
        <f>IF(D5319&gt;0,VLOOKUP(OPERAC[[#This Row],[COD CART]],[1]!MatrizCortoLargoCyl[#All],3,0),"")</f>
        <v/>
      </c>
      <c r="F5319" s="13" t="inlineStr">
        <is>
          <t>ARLO/CYL/9,00/21-01-22</t>
        </is>
      </c>
      <c r="G5319" s="6" t="n">
        <v>200</v>
      </c>
      <c r="H5319" s="6" t="n">
        <v>-1733.48</v>
      </c>
      <c r="I5319" s="7">
        <f>-H5319/G5319</f>
        <v/>
      </c>
      <c r="J5319" s="11" t="n">
        <v>44573</v>
      </c>
      <c r="K5319" s="6" t="n">
        <v>200</v>
      </c>
      <c r="L5319" s="6" t="n">
        <v>1769.83</v>
      </c>
      <c r="M5319" s="7">
        <f>IF(N5319=0,+L5319+H5319,0)</f>
        <v/>
      </c>
      <c r="N5319" s="7">
        <f>IF((+G5319-K5319)=0,0,+G5319-K5319)</f>
        <v/>
      </c>
      <c r="O5319" s="7">
        <f>IF(N5319=0,0,(L5319+H5319)/-N5319)</f>
        <v/>
      </c>
      <c r="P5319" s="7">
        <f>VLOOKUP(OPERAC[[#This Row],[especie]],[1]!ESPECIES[#All],6,0)</f>
        <v/>
      </c>
      <c r="Q5319" s="7">
        <f>IF(N5319&lt;&gt;0,P5319*N5319,0)</f>
        <v/>
      </c>
      <c r="R5319" s="8">
        <f>IF(Q5319&lt;&gt;0,Q5319+H5319+L5319,0)</f>
        <v/>
      </c>
      <c r="S5319" s="9">
        <f>VLOOKUP(OPERAC[[#This Row],[especie]],[1]!ESPECIES[#Data],9,FALSE)</f>
        <v/>
      </c>
    </row>
    <row r="5320">
      <c r="A5320" s="4" t="n">
        <v>3728</v>
      </c>
      <c r="B5320" s="5" t="n">
        <v>44523</v>
      </c>
      <c r="C5320" s="13" t="inlineStr">
        <is>
          <t>VTA</t>
        </is>
      </c>
      <c r="D5320" s="13" t="n">
        <v>40</v>
      </c>
      <c r="E5320" s="10">
        <f>IF(D5320&gt;0,VLOOKUP(OPERAC[[#This Row],[COD CART]],[1]!MatrizCortoLargoCyl[#All],3,0),"")</f>
        <v/>
      </c>
      <c r="F5320" s="13" t="inlineStr">
        <is>
          <t>EDU</t>
        </is>
      </c>
      <c r="G5320" s="6" t="n">
        <v>1000</v>
      </c>
      <c r="H5320" s="6">
        <f>-1759.575+0.026*OPERAC[[#This Row],[cantidad]]</f>
        <v/>
      </c>
      <c r="I5320" s="7">
        <f>-H5320/G5320</f>
        <v/>
      </c>
      <c r="J5320" s="11" t="n">
        <v>44622</v>
      </c>
      <c r="K5320" s="6" t="n">
        <v>1000</v>
      </c>
      <c r="L5320" s="6">
        <f>+OPERAC[[#This Row],[cantidad venta]]*1.383</f>
        <v/>
      </c>
      <c r="M5320" s="7">
        <f>IF(N5320=0,+L5320+H5320,0)</f>
        <v/>
      </c>
      <c r="N5320" s="7">
        <f>IF((+G5320-K5320)=0,0,+G5320-K5320)</f>
        <v/>
      </c>
      <c r="O5320" s="7">
        <f>IF(N5320=0,0,(L5320+H5320)/-N5320)</f>
        <v/>
      </c>
      <c r="P5320" s="7">
        <f>VLOOKUP(OPERAC[[#This Row],[especie]],[1]!ESPECIES[#All],6,0)</f>
        <v/>
      </c>
      <c r="Q5320" s="7">
        <f>IF(N5320&lt;&gt;0,P5320*N5320,0)</f>
        <v/>
      </c>
      <c r="R5320" s="8">
        <f>IF(Q5320&lt;&gt;0,Q5320+H5320+L5320,0)</f>
        <v/>
      </c>
      <c r="S5320" s="9">
        <f>VLOOKUP(OPERAC[[#This Row],[especie]],[1]!ESPECIES[#Data],9,FALSE)</f>
        <v/>
      </c>
    </row>
    <row r="5321">
      <c r="A5321" s="4" t="n">
        <v>12674</v>
      </c>
      <c r="B5321" s="5" t="n">
        <v>44708</v>
      </c>
      <c r="C5321" s="13" t="inlineStr">
        <is>
          <t>VTA</t>
        </is>
      </c>
      <c r="D5321" s="13" t="n">
        <v>32</v>
      </c>
      <c r="E5321" s="10">
        <f>IF(D5321&gt;0,VLOOKUP(OPERAC[[#This Row],[COD CART]],[1]!MatrizCortoLargoCyl[#All],3,0),"")</f>
        <v/>
      </c>
      <c r="F5321" s="13" t="inlineStr">
        <is>
          <t>ACB/CYL/2,00/15-07-22</t>
        </is>
      </c>
      <c r="G5321" s="6" t="n">
        <v>1000</v>
      </c>
      <c r="H5321" s="6">
        <f>-1825.320788805+89.235</f>
        <v/>
      </c>
      <c r="I5321" s="7">
        <f>-H5321/G5321</f>
        <v/>
      </c>
      <c r="J5321" s="5" t="n"/>
      <c r="K5321" s="6" t="n"/>
      <c r="L5321" s="6" t="n"/>
      <c r="M5321" s="7">
        <f>IF(N5321=0,+L5321+H5321,0)</f>
        <v/>
      </c>
      <c r="N5321" s="7">
        <f>IF((+G5321-K5321)=0,0,+G5321-K5321)</f>
        <v/>
      </c>
      <c r="O5321" s="7">
        <f>IF(N5321=0,0,(L5321+H5321)/-N5321)</f>
        <v/>
      </c>
      <c r="P5321" s="7">
        <f>VLOOKUP(OPERAC[[#This Row],[especie]],[1]!ESPECIES[#All],6,0)</f>
        <v/>
      </c>
      <c r="Q5321" s="7">
        <f>IF(N5321&lt;&gt;0,P5321*N5321,0)</f>
        <v/>
      </c>
      <c r="R5321" s="8">
        <f>IF(Q5321&lt;&gt;0,Q5321+H5321+L5321,0)</f>
        <v/>
      </c>
      <c r="S5321" s="9">
        <f>VLOOKUP(OPERAC[[#This Row],[especie]],[1]!ESPECIES[#Data],9,FALSE)</f>
        <v/>
      </c>
    </row>
    <row r="5322">
      <c r="A5322" s="4" t="n">
        <v>7916</v>
      </c>
      <c r="B5322" s="5" t="n">
        <v>44609</v>
      </c>
      <c r="C5322" s="13" t="inlineStr">
        <is>
          <t>VTA</t>
        </is>
      </c>
      <c r="D5322" s="13" t="n">
        <v>32</v>
      </c>
      <c r="E5322" s="10">
        <f>IF(D5322&gt;0,VLOOKUP(OPERAC[[#This Row],[COD CART]],[1]!MatrizCortoLargoCyl[#All],3,0),"")</f>
        <v/>
      </c>
      <c r="F5322" s="13" t="inlineStr">
        <is>
          <t>HIMX/CYL/9,00/18-03-22</t>
        </is>
      </c>
      <c r="G5322" s="6" t="n">
        <v>200</v>
      </c>
      <c r="H5322" s="6" t="n">
        <v>-1739.168</v>
      </c>
      <c r="I5322" s="7">
        <f>-H5322/G5322</f>
        <v/>
      </c>
      <c r="J5322" s="11" t="n">
        <v>44622</v>
      </c>
      <c r="K5322" s="6" t="n">
        <v>200</v>
      </c>
      <c r="L5322" s="6" t="n">
        <v>1767.151</v>
      </c>
      <c r="M5322" s="7">
        <f>IF(N5322=0,+L5322+H5322,0)</f>
        <v/>
      </c>
      <c r="N5322" s="7">
        <f>IF((+G5322-K5322)=0,0,+G5322-K5322)</f>
        <v/>
      </c>
      <c r="O5322" s="7">
        <f>IF(N5322=0,0,(L5322+H5322)/-N5322)</f>
        <v/>
      </c>
      <c r="P5322" s="7">
        <f>VLOOKUP(OPERAC[[#This Row],[especie]],[1]!ESPECIES[#All],6,0)</f>
        <v/>
      </c>
      <c r="Q5322" s="7">
        <f>IF(N5322&lt;&gt;0,P5322*N5322,0)</f>
        <v/>
      </c>
      <c r="R5322" s="8">
        <f>IF(Q5322&lt;&gt;0,Q5322+H5322+L5322,0)</f>
        <v/>
      </c>
      <c r="S5322" s="9">
        <f>VLOOKUP(OPERAC[[#This Row],[especie]],[1]!ESPECIES[#Data],9,FALSE)</f>
        <v/>
      </c>
    </row>
    <row r="5323">
      <c r="A5323" s="4" t="n">
        <v>12690</v>
      </c>
      <c r="B5323" s="5" t="n">
        <v>44609</v>
      </c>
      <c r="C5323" s="13" t="inlineStr">
        <is>
          <t>VTA</t>
        </is>
      </c>
      <c r="D5323" s="13" t="n">
        <v>32</v>
      </c>
      <c r="E5323" s="10">
        <f>IF(D5323&gt;0,VLOOKUP(OPERAC[[#This Row],[COD CART]],[1]!MatrizCortoLargoCyl[#All],3,0),"")</f>
        <v/>
      </c>
      <c r="F5323" s="13" t="inlineStr">
        <is>
          <t>HIMX/CYL/9,00/18-03-22</t>
        </is>
      </c>
      <c r="G5323" s="6" t="n">
        <v>200</v>
      </c>
      <c r="H5323" s="6" t="n">
        <v>-1739.168</v>
      </c>
      <c r="I5323" s="7">
        <f>-H5323/G5323</f>
        <v/>
      </c>
      <c r="J5323" s="11" t="n">
        <v>44622</v>
      </c>
      <c r="K5323" s="6" t="n">
        <v>200</v>
      </c>
      <c r="L5323" s="6" t="n">
        <v>1767.151</v>
      </c>
      <c r="M5323" s="7">
        <f>IF(N5323=0,+L5323+H5323,0)</f>
        <v/>
      </c>
      <c r="N5323" s="7">
        <f>IF((+G5323-K5323)=0,0,+G5323-K5323)</f>
        <v/>
      </c>
      <c r="O5323" s="7">
        <f>IF(N5323=0,0,(L5323+H5323)/-N5323)</f>
        <v/>
      </c>
      <c r="P5323" s="7">
        <f>VLOOKUP(OPERAC[[#This Row],[especie]],[1]!ESPECIES[#All],6,0)</f>
        <v/>
      </c>
      <c r="Q5323" s="7">
        <f>IF(N5323&lt;&gt;0,P5323*N5323,0)</f>
        <v/>
      </c>
      <c r="R5323" s="8">
        <f>IF(Q5323&lt;&gt;0,Q5323+H5323+L5323,0)</f>
        <v/>
      </c>
      <c r="S5323" s="9">
        <f>VLOOKUP(OPERAC[[#This Row],[especie]],[1]!ESPECIES[#Data],9,FALSE)</f>
        <v/>
      </c>
    </row>
    <row r="5324">
      <c r="A5324" s="4" t="n">
        <v>13180</v>
      </c>
      <c r="B5324" s="5" t="n">
        <v>44609</v>
      </c>
      <c r="C5324" s="13" t="inlineStr">
        <is>
          <t>VTA</t>
        </is>
      </c>
      <c r="D5324" s="13" t="n">
        <v>32</v>
      </c>
      <c r="E5324" s="10">
        <f>IF(D5324&gt;0,VLOOKUP(OPERAC[[#This Row],[COD CART]],[1]!MatrizCortoLargoCyl[#All],3,0),"")</f>
        <v/>
      </c>
      <c r="F5324" s="13" t="inlineStr">
        <is>
          <t>HIMX/CYL/9,00/18-03-22</t>
        </is>
      </c>
      <c r="G5324" s="6" t="n">
        <v>200</v>
      </c>
      <c r="H5324" s="6" t="n">
        <v>-1739.168</v>
      </c>
      <c r="I5324" s="7">
        <f>-H5324/G5324</f>
        <v/>
      </c>
      <c r="J5324" s="11" t="n">
        <v>44622</v>
      </c>
      <c r="K5324" s="6" t="n">
        <v>200</v>
      </c>
      <c r="L5324" s="6" t="n">
        <v>1767.151</v>
      </c>
      <c r="M5324" s="7">
        <f>IF(N5324=0,+L5324+H5324,0)</f>
        <v/>
      </c>
      <c r="N5324" s="7">
        <f>IF((+G5324-K5324)=0,0,+G5324-K5324)</f>
        <v/>
      </c>
      <c r="O5324" s="7">
        <f>IF(N5324=0,0,(L5324+H5324)/-N5324)</f>
        <v/>
      </c>
      <c r="P5324" s="7">
        <f>VLOOKUP(OPERAC[[#This Row],[especie]],[1]!ESPECIES[#All],6,0)</f>
        <v/>
      </c>
      <c r="Q5324" s="7">
        <f>IF(N5324&lt;&gt;0,P5324*N5324,0)</f>
        <v/>
      </c>
      <c r="R5324" s="8">
        <f>IF(Q5324&lt;&gt;0,Q5324+H5324+L5324,0)</f>
        <v/>
      </c>
      <c r="S5324" s="9">
        <f>VLOOKUP(OPERAC[[#This Row],[especie]],[1]!ESPECIES[#Data],9,FALSE)</f>
        <v/>
      </c>
    </row>
    <row r="5325">
      <c r="A5325" s="4" t="n">
        <v>13240</v>
      </c>
      <c r="B5325" s="5" t="n">
        <v>44609</v>
      </c>
      <c r="C5325" s="13" t="inlineStr">
        <is>
          <t>VTA</t>
        </is>
      </c>
      <c r="D5325" s="13" t="n">
        <v>32</v>
      </c>
      <c r="E5325" s="10">
        <f>IF(D5325&gt;0,VLOOKUP(OPERAC[[#This Row],[COD CART]],[1]!MatrizCortoLargoCyl[#All],3,0),"")</f>
        <v/>
      </c>
      <c r="F5325" s="13" t="inlineStr">
        <is>
          <t>HIMX/CYL/9,00/18-03-22</t>
        </is>
      </c>
      <c r="G5325" s="6" t="n">
        <v>200</v>
      </c>
      <c r="H5325" s="6" t="n">
        <v>-1739.168</v>
      </c>
      <c r="I5325" s="7">
        <f>-H5325/G5325</f>
        <v/>
      </c>
      <c r="J5325" s="11" t="n">
        <v>44622</v>
      </c>
      <c r="K5325" s="6" t="n">
        <v>200</v>
      </c>
      <c r="L5325" s="6" t="n">
        <v>1767.151</v>
      </c>
      <c r="M5325" s="7">
        <f>IF(N5325=0,+L5325+H5325,0)</f>
        <v/>
      </c>
      <c r="N5325" s="7">
        <f>IF((+G5325-K5325)=0,0,+G5325-K5325)</f>
        <v/>
      </c>
      <c r="O5325" s="7">
        <f>IF(N5325=0,0,(L5325+H5325)/-N5325)</f>
        <v/>
      </c>
      <c r="P5325" s="7">
        <f>VLOOKUP(OPERAC[[#This Row],[especie]],[1]!ESPECIES[#All],6,0)</f>
        <v/>
      </c>
      <c r="Q5325" s="7">
        <f>IF(N5325&lt;&gt;0,P5325*N5325,0)</f>
        <v/>
      </c>
      <c r="R5325" s="8">
        <f>IF(Q5325&lt;&gt;0,Q5325+H5325+L5325,0)</f>
        <v/>
      </c>
      <c r="S5325" s="9">
        <f>VLOOKUP(OPERAC[[#This Row],[especie]],[1]!ESPECIES[#Data],9,FALSE)</f>
        <v/>
      </c>
    </row>
    <row r="5326">
      <c r="A5326" s="4" t="n">
        <v>9195</v>
      </c>
      <c r="B5326" s="5" t="n">
        <v>44523</v>
      </c>
      <c r="C5326" s="13" t="inlineStr">
        <is>
          <t>VTA</t>
        </is>
      </c>
      <c r="D5326" s="13" t="n">
        <v>40</v>
      </c>
      <c r="E5326" s="10">
        <f>IF(D5326&gt;0,VLOOKUP(OPERAC[[#This Row],[COD CART]],[1]!MatrizCortoLargoCyl[#All],3,0),"")</f>
        <v/>
      </c>
      <c r="F5326" s="13" t="inlineStr">
        <is>
          <t>EDU</t>
        </is>
      </c>
      <c r="G5326" s="6" t="n">
        <v>1000</v>
      </c>
      <c r="H5326" s="6">
        <f>-1768.11+0.026*OPERAC[[#This Row],[cantidad]]</f>
        <v/>
      </c>
      <c r="I5326" s="7">
        <f>-H5326/G5326</f>
        <v/>
      </c>
      <c r="J5326" s="11" t="n">
        <v>44615</v>
      </c>
      <c r="K5326" s="6" t="n">
        <v>1000</v>
      </c>
      <c r="L5326" s="6">
        <f>+OPERAC[[#This Row],[cantidad venta]]*1.501</f>
        <v/>
      </c>
      <c r="M5326" s="7">
        <f>IF(N5326=0,+L5326+H5326,0)</f>
        <v/>
      </c>
      <c r="N5326" s="7">
        <f>IF((+G5326-K5326)=0,0,+G5326-K5326)</f>
        <v/>
      </c>
      <c r="O5326" s="7">
        <f>IF(N5326=0,0,(L5326+H5326)/-N5326)</f>
        <v/>
      </c>
      <c r="P5326" s="7">
        <f>VLOOKUP(OPERAC[[#This Row],[especie]],[1]!ESPECIES[#All],6,0)</f>
        <v/>
      </c>
      <c r="Q5326" s="7">
        <f>IF(N5326&lt;&gt;0,P5326*N5326,0)</f>
        <v/>
      </c>
      <c r="R5326" s="8">
        <f>IF(Q5326&lt;&gt;0,Q5326+H5326+L5326,0)</f>
        <v/>
      </c>
      <c r="S5326" s="9">
        <f>VLOOKUP(OPERAC[[#This Row],[especie]],[1]!ESPECIES[#Data],9,FALSE)</f>
        <v/>
      </c>
    </row>
    <row r="5327">
      <c r="A5327" s="4" t="n">
        <v>2255</v>
      </c>
      <c r="B5327" s="5" t="n">
        <v>44538</v>
      </c>
      <c r="C5327" s="13" t="inlineStr">
        <is>
          <t>VTA</t>
        </is>
      </c>
      <c r="D5327" s="13" t="n">
        <v>41</v>
      </c>
      <c r="E5327" s="10">
        <f>IF(D5327&gt;0,VLOOKUP(OPERAC[[#This Row],[COD CART]],[1]!MatrizCortoLargoCyl[#All],3,0),"")</f>
        <v/>
      </c>
      <c r="F5327" s="13" t="inlineStr">
        <is>
          <t>CEPU</t>
        </is>
      </c>
      <c r="G5327" s="6" t="n">
        <v>500</v>
      </c>
      <c r="H5327" s="6" t="n">
        <v>-1743.316</v>
      </c>
      <c r="I5327" s="7">
        <f>-H5327/G5327</f>
        <v/>
      </c>
      <c r="J5327" s="11" t="n"/>
      <c r="K5327" s="6" t="n"/>
      <c r="L5327" s="6" t="n"/>
      <c r="M5327" s="7">
        <f>IF(N5327=0,+L5327+H5327,0)</f>
        <v/>
      </c>
      <c r="N5327" s="7">
        <f>IF((+G5327-K5327)=0,0,+G5327-K5327)</f>
        <v/>
      </c>
      <c r="O5327" s="7">
        <f>IF(N5327=0,0,(L5327+H5327)/-N5327)</f>
        <v/>
      </c>
      <c r="P5327" s="7">
        <f>VLOOKUP(OPERAC[[#This Row],[especie]],[1]!ESPECIES[#All],6,0)</f>
        <v/>
      </c>
      <c r="Q5327" s="7">
        <f>IF(N5327&lt;&gt;0,P5327*N5327,0)</f>
        <v/>
      </c>
      <c r="R5327" s="8">
        <f>IF(Q5327&lt;&gt;0,Q5327+H5327+L5327,0)</f>
        <v/>
      </c>
      <c r="S5327" s="9">
        <f>VLOOKUP(OPERAC[[#This Row],[especie]],[1]!ESPECIES[#Data],9,FALSE)</f>
        <v/>
      </c>
    </row>
    <row r="5328">
      <c r="A5328" s="4" t="n">
        <v>22393</v>
      </c>
      <c r="B5328" s="5" t="n">
        <v>44707</v>
      </c>
      <c r="C5328" s="13" t="inlineStr">
        <is>
          <t>VTA</t>
        </is>
      </c>
      <c r="D5328" s="13" t="n">
        <v>32</v>
      </c>
      <c r="E5328" s="10">
        <f>IF(D5328&gt;0,VLOOKUP(OPERAC[[#This Row],[COD CART]],[1]!MatrizCortoLargoCyl[#All],3,0),"")</f>
        <v/>
      </c>
      <c r="F5328" s="13" t="inlineStr">
        <is>
          <t>PLBY/CYL/10,00/17-06-22</t>
        </is>
      </c>
      <c r="G5328" s="6" t="n">
        <v>200</v>
      </c>
      <c r="H5328" s="6" t="n">
        <v>-1746.6</v>
      </c>
      <c r="I5328" s="7">
        <f>-H5328/G5328</f>
        <v/>
      </c>
      <c r="J5328" s="5" t="n"/>
      <c r="K5328" s="6" t="n"/>
      <c r="L5328" s="6" t="n"/>
      <c r="M5328" s="7">
        <f>IF(N5328=0,+L5328+H5328,0)</f>
        <v/>
      </c>
      <c r="N5328" s="7">
        <f>IF((+G5328-K5328)=0,0,+G5328-K5328)</f>
        <v/>
      </c>
      <c r="O5328" s="7">
        <f>IF(N5328=0,0,(L5328+H5328)/-N5328)</f>
        <v/>
      </c>
      <c r="P5328" s="7">
        <f>VLOOKUP(OPERAC[[#This Row],[especie]],[1]!ESPECIES[#All],6,0)</f>
        <v/>
      </c>
      <c r="Q5328" s="7">
        <f>IF(N5328&lt;&gt;0,P5328*N5328,0)</f>
        <v/>
      </c>
      <c r="R5328" s="8">
        <f>IF(Q5328&lt;&gt;0,Q5328+H5328+L5328,0)</f>
        <v/>
      </c>
      <c r="S5328" s="9">
        <f>VLOOKUP(OPERAC[[#This Row],[especie]],[1]!ESPECIES[#Data],9,FALSE)</f>
        <v/>
      </c>
    </row>
    <row r="5329">
      <c r="A5329" s="4" t="n">
        <v>13180</v>
      </c>
      <c r="B5329" s="5" t="n">
        <v>44641</v>
      </c>
      <c r="C5329" s="13" t="inlineStr">
        <is>
          <t>VTA</t>
        </is>
      </c>
      <c r="D5329" s="13" t="n">
        <v>42</v>
      </c>
      <c r="E5329" s="10">
        <f>IF(D5329&gt;0,VLOOKUP(OPERAC[[#This Row],[COD CART]],[1]!MatrizCortoLargoCyl[#All],3,0),"")</f>
        <v/>
      </c>
      <c r="F5329" s="13" t="inlineStr">
        <is>
          <t>QQQ</t>
        </is>
      </c>
      <c r="G5329" s="6" t="n">
        <v>5</v>
      </c>
      <c r="H5329" s="6" t="n">
        <v>-1750.132</v>
      </c>
      <c r="I5329" s="7">
        <f>-H5329/G5329</f>
        <v/>
      </c>
      <c r="J5329" s="11" t="n">
        <v>44690</v>
      </c>
      <c r="K5329" s="6" t="n">
        <v>5</v>
      </c>
      <c r="L5329" s="6" t="n">
        <v>1472.278</v>
      </c>
      <c r="M5329" s="7">
        <f>IF(N5329=0,+L5329+H5329,0)</f>
        <v/>
      </c>
      <c r="N5329" s="7">
        <f>IF((+G5329-K5329)=0,0,+G5329-K5329)</f>
        <v/>
      </c>
      <c r="O5329" s="7">
        <f>IF(N5329=0,0,(L5329+H5329)/-N5329)</f>
        <v/>
      </c>
      <c r="P5329" s="7">
        <f>VLOOKUP(OPERAC[[#This Row],[especie]],[1]!ESPECIES[#All],6,0)</f>
        <v/>
      </c>
      <c r="Q5329" s="7">
        <f>IF(N5329&lt;&gt;0,P5329*N5329,0)</f>
        <v/>
      </c>
      <c r="R5329" s="8">
        <f>IF(Q5329&lt;&gt;0,Q5329+H5329+L5329,0)</f>
        <v/>
      </c>
      <c r="S5329" s="9">
        <f>VLOOKUP(OPERAC[[#This Row],[especie]],[1]!ESPECIES[#Data],9,FALSE)</f>
        <v/>
      </c>
    </row>
    <row r="5330">
      <c r="A5330" s="4" t="n">
        <v>3728</v>
      </c>
      <c r="B5330" s="5" t="n">
        <v>44532</v>
      </c>
      <c r="C5330" s="13" t="inlineStr">
        <is>
          <t>VTA</t>
        </is>
      </c>
      <c r="D5330" s="13" t="n">
        <v>32</v>
      </c>
      <c r="E5330" s="10">
        <f>IF(D5330&gt;0,VLOOKUP(OPERAC[[#This Row],[COD CART]],[1]!MatrizCortoLargoCyl[#All],3,0),"")</f>
        <v/>
      </c>
      <c r="F5330" s="13" t="inlineStr">
        <is>
          <t>COTY/CYL/10,00/18-02-22</t>
        </is>
      </c>
      <c r="G5330" s="6" t="n">
        <v>200</v>
      </c>
      <c r="H5330" s="6">
        <f>-1795.1644+41.985</f>
        <v/>
      </c>
      <c r="I5330" s="7">
        <f>-H5330/G5330</f>
        <v/>
      </c>
      <c r="J5330" s="11" t="n">
        <v>44608</v>
      </c>
      <c r="K5330" s="6">
        <f>+OPERAC[[#This Row],[cantidad]]</f>
        <v/>
      </c>
      <c r="L5330" s="6" t="n">
        <v>1889.088</v>
      </c>
      <c r="M5330" s="7">
        <f>IF(N5330=0,+L5330+H5330,0)</f>
        <v/>
      </c>
      <c r="N5330" s="7">
        <f>IF((+G5330-K5330)=0,0,+G5330-K5330)</f>
        <v/>
      </c>
      <c r="O5330" s="7">
        <f>IF(N5330=0,0,(L5330+H5330)/-N5330)</f>
        <v/>
      </c>
      <c r="P5330" s="7">
        <f>VLOOKUP(OPERAC[[#This Row],[especie]],[1]!ESPECIES[#All],6,0)</f>
        <v/>
      </c>
      <c r="Q5330" s="7">
        <f>IF(N5330&lt;&gt;0,P5330*N5330,0)</f>
        <v/>
      </c>
      <c r="R5330" s="8">
        <f>IF(Q5330&lt;&gt;0,Q5330+H5330+L5330,0)</f>
        <v/>
      </c>
      <c r="S5330" s="9">
        <f>VLOOKUP(OPERAC[[#This Row],[especie]],[1]!ESPECIES[#Data],9,FALSE)</f>
        <v/>
      </c>
    </row>
    <row r="5331">
      <c r="A5331" s="4" t="n">
        <v>3728</v>
      </c>
      <c r="B5331" s="5" t="n">
        <v>44648</v>
      </c>
      <c r="C5331" s="13" t="inlineStr">
        <is>
          <t>VTA</t>
        </is>
      </c>
      <c r="D5331" s="13" t="n">
        <v>42</v>
      </c>
      <c r="E5331" s="10">
        <f>IF(D5331&gt;0,VLOOKUP(OPERAC[[#This Row],[COD CART]],[1]!MatrizCortoLargoCyl[#All],3,0),"")</f>
        <v/>
      </c>
      <c r="F5331" s="13" t="inlineStr">
        <is>
          <t>ADBE</t>
        </is>
      </c>
      <c r="G5331" s="6" t="n">
        <v>4</v>
      </c>
      <c r="H5331" s="6" t="n">
        <v>-1753.38916</v>
      </c>
      <c r="I5331" s="7">
        <f>-H5331/G5331</f>
        <v/>
      </c>
      <c r="J5331" s="11" t="n">
        <v>44687</v>
      </c>
      <c r="K5331" s="6">
        <f>+OPERAC[[#This Row],[cantidad]]</f>
        <v/>
      </c>
      <c r="L5331" s="6" t="n">
        <v>1545.69</v>
      </c>
      <c r="M5331" s="7">
        <f>IF(N5331=0,+L5331+H5331,0)</f>
        <v/>
      </c>
      <c r="N5331" s="7">
        <f>IF((+G5331-K5331)=0,0,+G5331-K5331)</f>
        <v/>
      </c>
      <c r="O5331" s="7">
        <f>IF(N5331=0,0,(L5331+H5331)/-N5331)</f>
        <v/>
      </c>
      <c r="P5331" s="7">
        <f>VLOOKUP(OPERAC[[#This Row],[especie]],[1]!ESPECIES[#All],6,0)</f>
        <v/>
      </c>
      <c r="Q5331" s="7">
        <f>IF(N5331&lt;&gt;0,P5331*N5331,0)</f>
        <v/>
      </c>
      <c r="R5331" s="8">
        <f>IF(Q5331&lt;&gt;0,Q5331+H5331+L5331,0)</f>
        <v/>
      </c>
      <c r="S5331" s="9">
        <f>VLOOKUP(OPERAC[[#This Row],[especie]],[1]!ESPECIES[#Data],9,FALSE)</f>
        <v/>
      </c>
    </row>
    <row r="5332">
      <c r="A5332" s="4" t="n">
        <v>16780</v>
      </c>
      <c r="B5332" s="5" t="n">
        <v>44523</v>
      </c>
      <c r="C5332" s="13" t="inlineStr">
        <is>
          <t>VTA</t>
        </is>
      </c>
      <c r="D5332" s="13" t="n">
        <v>40</v>
      </c>
      <c r="E5332" s="10">
        <f>IF(D5332&gt;0,VLOOKUP(OPERAC[[#This Row],[COD CART]],[1]!MatrizCortoLargoCyl[#All],3,0),"")</f>
        <v/>
      </c>
      <c r="F5332" s="13" t="inlineStr">
        <is>
          <t>EDU</t>
        </is>
      </c>
      <c r="G5332" s="6" t="n">
        <v>1000</v>
      </c>
      <c r="H5332" s="6">
        <f>-1779.49+0.026*OPERAC[[#This Row],[cantidad]]</f>
        <v/>
      </c>
      <c r="I5332" s="7">
        <f>-H5332/G5332</f>
        <v/>
      </c>
      <c r="J5332" s="11" t="n">
        <v>44622</v>
      </c>
      <c r="K5332" s="6" t="n">
        <v>1000</v>
      </c>
      <c r="L5332" s="6">
        <f>+OPERAC[[#This Row],[cantidad venta]]*1.377</f>
        <v/>
      </c>
      <c r="M5332" s="7">
        <f>IF(N5332=0,+L5332+H5332,0)</f>
        <v/>
      </c>
      <c r="N5332" s="7">
        <f>IF((+G5332-K5332)=0,0,+G5332-K5332)</f>
        <v/>
      </c>
      <c r="O5332" s="7">
        <f>IF(N5332=0,0,(L5332+H5332)/-N5332)</f>
        <v/>
      </c>
      <c r="P5332" s="7">
        <f>VLOOKUP(OPERAC[[#This Row],[especie]],[1]!ESPECIES[#All],6,0)</f>
        <v/>
      </c>
      <c r="Q5332" s="7">
        <f>IF(N5332&lt;&gt;0,P5332*N5332,0)</f>
        <v/>
      </c>
      <c r="R5332" s="8">
        <f>IF(Q5332&lt;&gt;0,Q5332+H5332+L5332,0)</f>
        <v/>
      </c>
      <c r="S5332" s="9">
        <f>VLOOKUP(OPERAC[[#This Row],[especie]],[1]!ESPECIES[#Data],9,FALSE)</f>
        <v/>
      </c>
    </row>
    <row r="5333">
      <c r="A5333" s="4" t="n">
        <v>10079</v>
      </c>
      <c r="B5333" s="5" t="n">
        <v>44725</v>
      </c>
      <c r="C5333" s="13" t="inlineStr">
        <is>
          <t>VTA</t>
        </is>
      </c>
      <c r="D5333" s="13" t="n">
        <v>40</v>
      </c>
      <c r="E5333" s="10">
        <f>IF(D5333&gt;0,VLOOKUP(OPERAC[[#This Row],[COD CART]],[1]!MatrizCortoLargoCyl[#All],3,0),"")</f>
        <v/>
      </c>
      <c r="F5333" s="13" t="inlineStr">
        <is>
          <t>AMD</t>
        </is>
      </c>
      <c r="G5333" s="6" t="n">
        <v>20</v>
      </c>
      <c r="H5333" s="6" t="n">
        <v>-1753.88235</v>
      </c>
      <c r="I5333" s="7">
        <f>-H5333/G5333</f>
        <v/>
      </c>
      <c r="J5333" s="5" t="n"/>
      <c r="K5333" s="6" t="n"/>
      <c r="L5333" s="6" t="n"/>
      <c r="M5333" s="7">
        <f>IF(N5333=0,+L5333+H5333,0)</f>
        <v/>
      </c>
      <c r="N5333" s="7">
        <f>IF((+G5333-K5333)=0,0,+G5333-K5333)</f>
        <v/>
      </c>
      <c r="O5333" s="7">
        <f>IF(N5333=0,0,(L5333+H5333)/-N5333)</f>
        <v/>
      </c>
      <c r="P5333" s="7">
        <f>VLOOKUP(OPERAC[[#This Row],[especie]],[1]!ESPECIES[#All],6,0)</f>
        <v/>
      </c>
      <c r="Q5333" s="7">
        <f>IF(N5333&lt;&gt;0,P5333*N5333,0)</f>
        <v/>
      </c>
      <c r="R5333" s="8">
        <f>IF(Q5333&lt;&gt;0,Q5333+H5333+L5333,0)</f>
        <v/>
      </c>
      <c r="S5333" s="9">
        <f>VLOOKUP(OPERAC[[#This Row],[especie]],[1]!ESPECIES[#Data],9,FALSE)</f>
        <v/>
      </c>
    </row>
    <row r="5334">
      <c r="A5334" s="4" t="n">
        <v>4543</v>
      </c>
      <c r="B5334" s="5" t="n">
        <v>44144</v>
      </c>
      <c r="C5334" s="13" t="inlineStr">
        <is>
          <t>VTA</t>
        </is>
      </c>
      <c r="D5334" s="13" t="n">
        <v>41</v>
      </c>
      <c r="E5334" s="10">
        <f>IF(D5334&gt;0,VLOOKUP(OPERAC[[#This Row],[COD CART]],[1]!MatrizCortoLargoCyl[#All],3,0),"")</f>
        <v/>
      </c>
      <c r="F5334" s="13" t="inlineStr">
        <is>
          <t>GLD</t>
        </is>
      </c>
      <c r="G5334" s="6" t="n">
        <v>10</v>
      </c>
      <c r="H5334" s="6" t="n">
        <v>-1755.0208</v>
      </c>
      <c r="I5334" s="7">
        <f>-H5334/G5334</f>
        <v/>
      </c>
      <c r="J5334" s="11" t="n"/>
      <c r="K5334" s="6" t="n"/>
      <c r="L5334" s="6" t="n"/>
      <c r="M5334" s="7">
        <f>IF(N5334=0,+L5334+H5334,0)</f>
        <v/>
      </c>
      <c r="N5334" s="7">
        <f>IF((+G5334-K5334)=0,0,+G5334-K5334)</f>
        <v/>
      </c>
      <c r="O5334" s="7">
        <f>IF(N5334=0,0,(L5334+H5334)/-N5334)</f>
        <v/>
      </c>
      <c r="P5334" s="7">
        <f>VLOOKUP(OPERAC[[#This Row],[especie]],[1]!ESPECIES[#All],6,0)</f>
        <v/>
      </c>
      <c r="Q5334" s="7">
        <f>IF(N5334&lt;&gt;0,P5334*N5334,0)</f>
        <v/>
      </c>
      <c r="R5334" s="8">
        <f>IF(Q5334&lt;&gt;0,Q5334+H5334+L5334,0)</f>
        <v/>
      </c>
      <c r="S5334" s="9">
        <f>VLOOKUP(OPERAC[[#This Row],[especie]],[1]!ESPECIES[#Data],9,FALSE)</f>
        <v/>
      </c>
    </row>
    <row r="5335">
      <c r="A5335" s="4" t="n">
        <v>13180</v>
      </c>
      <c r="B5335" s="5" t="n">
        <v>44572</v>
      </c>
      <c r="C5335" s="13" t="inlineStr">
        <is>
          <t>VTA</t>
        </is>
      </c>
      <c r="D5335" s="13" t="n">
        <v>41</v>
      </c>
      <c r="E5335" s="10">
        <f>IF(D5335&gt;0,VLOOKUP(OPERAC[[#This Row],[COD CART]],[1]!MatrizCortoLargoCyl[#All],3,0),"")</f>
        <v/>
      </c>
      <c r="F5335" s="13" t="inlineStr">
        <is>
          <t>AAPL</t>
        </is>
      </c>
      <c r="G5335" s="6" t="n">
        <v>10</v>
      </c>
      <c r="H5335" s="6" t="n">
        <v>-1756.734</v>
      </c>
      <c r="I5335" s="7">
        <f>-H5335/G5335</f>
        <v/>
      </c>
      <c r="J5335" s="11" t="n"/>
      <c r="K5335" s="6" t="n"/>
      <c r="L5335" s="6" t="n"/>
      <c r="M5335" s="7">
        <f>IF(N5335=0,+L5335+H5335,0)</f>
        <v/>
      </c>
      <c r="N5335" s="7">
        <f>IF((+G5335-K5335)=0,0,+G5335-K5335)</f>
        <v/>
      </c>
      <c r="O5335" s="7">
        <f>IF(N5335=0,0,(L5335+H5335)/-N5335)</f>
        <v/>
      </c>
      <c r="P5335" s="7">
        <f>VLOOKUP(OPERAC[[#This Row],[especie]],[1]!ESPECIES[#All],6,0)</f>
        <v/>
      </c>
      <c r="Q5335" s="7">
        <f>IF(N5335&lt;&gt;0,P5335*N5335,0)</f>
        <v/>
      </c>
      <c r="R5335" s="8">
        <f>IF(Q5335&lt;&gt;0,Q5335+H5335+L5335,0)</f>
        <v/>
      </c>
      <c r="S5335" s="9">
        <f>VLOOKUP(OPERAC[[#This Row],[especie]],[1]!ESPECIES[#Data],9,FALSE)</f>
        <v/>
      </c>
    </row>
    <row r="5336">
      <c r="A5336" s="4" t="n">
        <v>20339</v>
      </c>
      <c r="B5336" s="5" t="n">
        <v>44690</v>
      </c>
      <c r="C5336" s="13" t="inlineStr">
        <is>
          <t>VTA</t>
        </is>
      </c>
      <c r="D5336" s="13" t="n">
        <v>40</v>
      </c>
      <c r="E5336" s="10">
        <f>IF(D5336&gt;0,VLOOKUP(OPERAC[[#This Row],[COD CART]],[1]!MatrizCortoLargoCyl[#All],3,0),"")</f>
        <v/>
      </c>
      <c r="F5336" s="13" t="inlineStr">
        <is>
          <t>GLD</t>
        </is>
      </c>
      <c r="G5336" s="6" t="n">
        <v>10</v>
      </c>
      <c r="H5336" s="6" t="n">
        <v>-1756.794</v>
      </c>
      <c r="I5336" s="7">
        <f>-H5336/G5336</f>
        <v/>
      </c>
      <c r="J5336" s="11" t="n"/>
      <c r="K5336" s="6" t="n"/>
      <c r="L5336" s="6" t="n"/>
      <c r="M5336" s="7">
        <f>IF(N5336=0,+L5336+H5336,0)</f>
        <v/>
      </c>
      <c r="N5336" s="7">
        <f>IF((+G5336-K5336)=0,0,+G5336-K5336)</f>
        <v/>
      </c>
      <c r="O5336" s="7">
        <f>IF(N5336=0,0,(L5336+H5336)/-N5336)</f>
        <v/>
      </c>
      <c r="P5336" s="7">
        <f>VLOOKUP(OPERAC[[#This Row],[especie]],[1]!ESPECIES[#All],6,0)</f>
        <v/>
      </c>
      <c r="Q5336" s="7">
        <f>IF(N5336&lt;&gt;0,P5336*N5336,0)</f>
        <v/>
      </c>
      <c r="R5336" s="8">
        <f>IF(Q5336&lt;&gt;0,Q5336+H5336+L5336,0)</f>
        <v/>
      </c>
      <c r="S5336" s="9">
        <f>VLOOKUP(OPERAC[[#This Row],[especie]],[1]!ESPECIES[#Data],9,FALSE)</f>
        <v/>
      </c>
    </row>
    <row r="5337">
      <c r="A5337" s="4" t="n">
        <v>1760</v>
      </c>
      <c r="B5337" s="5" t="n">
        <v>44607</v>
      </c>
      <c r="C5337" s="13" t="inlineStr">
        <is>
          <t>VTA</t>
        </is>
      </c>
      <c r="D5337" s="13" t="n">
        <v>41</v>
      </c>
      <c r="E5337" s="10">
        <f>IF(D5337&gt;0,VLOOKUP(OPERAC[[#This Row],[COD CART]],[1]!MatrizCortoLargoCyl[#All],3,0),"")</f>
        <v/>
      </c>
      <c r="F5337" s="13" t="inlineStr">
        <is>
          <t>CEPU</t>
        </is>
      </c>
      <c r="G5337" s="6" t="n">
        <v>500</v>
      </c>
      <c r="H5337" s="6" t="n">
        <v>-1756.9</v>
      </c>
      <c r="I5337" s="7">
        <f>-H5337/G5337</f>
        <v/>
      </c>
      <c r="J5337" s="11" t="n"/>
      <c r="K5337" s="6" t="n"/>
      <c r="L5337" s="6" t="n"/>
      <c r="M5337" s="7">
        <f>IF(N5337=0,+L5337+H5337,0)</f>
        <v/>
      </c>
      <c r="N5337" s="7">
        <f>IF((+G5337-K5337)=0,0,+G5337-K5337)</f>
        <v/>
      </c>
      <c r="O5337" s="7">
        <f>IF(N5337=0,0,(L5337+H5337)/-N5337)</f>
        <v/>
      </c>
      <c r="P5337" s="7">
        <f>VLOOKUP(OPERAC[[#This Row],[especie]],[1]!ESPECIES[#All],6,0)</f>
        <v/>
      </c>
      <c r="Q5337" s="7">
        <f>IF(N5337&lt;&gt;0,P5337*N5337,0)</f>
        <v/>
      </c>
      <c r="R5337" s="8">
        <f>IF(Q5337&lt;&gt;0,Q5337+H5337+L5337,0)</f>
        <v/>
      </c>
      <c r="S5337" s="9">
        <f>VLOOKUP(OPERAC[[#This Row],[especie]],[1]!ESPECIES[#Data],9,FALSE)</f>
        <v/>
      </c>
    </row>
    <row r="5338">
      <c r="A5338" s="4" t="n">
        <v>4561</v>
      </c>
      <c r="B5338" s="5" t="n">
        <v>44532</v>
      </c>
      <c r="C5338" s="13" t="inlineStr">
        <is>
          <t>VTA</t>
        </is>
      </c>
      <c r="D5338" s="13" t="n">
        <v>32</v>
      </c>
      <c r="E5338" s="10">
        <f>IF(D5338&gt;0,VLOOKUP(OPERAC[[#This Row],[COD CART]],[1]!MatrizCortoLargoCyl[#All],3,0),"")</f>
        <v/>
      </c>
      <c r="F5338" s="13" t="inlineStr">
        <is>
          <t>COTY/CYL/10,00/18-02-22</t>
        </is>
      </c>
      <c r="G5338" s="6" t="n">
        <v>200</v>
      </c>
      <c r="H5338" s="6">
        <f>-1803.198+41.676</f>
        <v/>
      </c>
      <c r="I5338" s="7">
        <f>-H5338/G5338</f>
        <v/>
      </c>
      <c r="J5338" s="11" t="n">
        <v>44608</v>
      </c>
      <c r="K5338" s="6">
        <f>+OPERAC[[#This Row],[cantidad]]</f>
        <v/>
      </c>
      <c r="L5338" s="6" t="n">
        <v>1889.088</v>
      </c>
      <c r="M5338" s="7">
        <f>IF(N5338=0,+L5338+H5338,0)</f>
        <v/>
      </c>
      <c r="N5338" s="7">
        <f>IF((+G5338-K5338)=0,0,+G5338-K5338)</f>
        <v/>
      </c>
      <c r="O5338" s="7">
        <f>IF(N5338=0,0,(L5338+H5338)/-N5338)</f>
        <v/>
      </c>
      <c r="P5338" s="7">
        <f>VLOOKUP(OPERAC[[#This Row],[especie]],[1]!ESPECIES[#All],6,0)</f>
        <v/>
      </c>
      <c r="Q5338" s="7">
        <f>IF(N5338&lt;&gt;0,P5338*N5338,0)</f>
        <v/>
      </c>
      <c r="R5338" s="8">
        <f>IF(Q5338&lt;&gt;0,Q5338+H5338+L5338,0)</f>
        <v/>
      </c>
      <c r="S5338" s="9">
        <f>VLOOKUP(OPERAC[[#This Row],[especie]],[1]!ESPECIES[#Data],9,FALSE)</f>
        <v/>
      </c>
    </row>
    <row r="5339">
      <c r="A5339" s="4" t="n">
        <v>6578</v>
      </c>
      <c r="B5339" s="5" t="n">
        <v>44532</v>
      </c>
      <c r="C5339" s="13" t="inlineStr">
        <is>
          <t>VTA</t>
        </is>
      </c>
      <c r="D5339" s="13" t="n">
        <v>32</v>
      </c>
      <c r="E5339" s="10">
        <f>IF(D5339&gt;0,VLOOKUP(OPERAC[[#This Row],[COD CART]],[1]!MatrizCortoLargoCyl[#All],3,0),"")</f>
        <v/>
      </c>
      <c r="F5339" s="13" t="inlineStr">
        <is>
          <t>COTY/CYL/10,00/18-02-22</t>
        </is>
      </c>
      <c r="G5339" s="6" t="n">
        <v>200</v>
      </c>
      <c r="H5339" s="6">
        <f>-1803.198+41.676</f>
        <v/>
      </c>
      <c r="I5339" s="7">
        <f>-H5339/G5339</f>
        <v/>
      </c>
      <c r="J5339" s="11" t="n">
        <v>44608</v>
      </c>
      <c r="K5339" s="6">
        <f>+OPERAC[[#This Row],[cantidad]]</f>
        <v/>
      </c>
      <c r="L5339" s="6" t="n">
        <v>1889.088</v>
      </c>
      <c r="M5339" s="7">
        <f>IF(N5339=0,+L5339+H5339,0)</f>
        <v/>
      </c>
      <c r="N5339" s="7">
        <f>IF((+G5339-K5339)=0,0,+G5339-K5339)</f>
        <v/>
      </c>
      <c r="O5339" s="7">
        <f>IF(N5339=0,0,(L5339+H5339)/-N5339)</f>
        <v/>
      </c>
      <c r="P5339" s="7">
        <f>VLOOKUP(OPERAC[[#This Row],[especie]],[1]!ESPECIES[#All],6,0)</f>
        <v/>
      </c>
      <c r="Q5339" s="7">
        <f>IF(N5339&lt;&gt;0,P5339*N5339,0)</f>
        <v/>
      </c>
      <c r="R5339" s="8">
        <f>IF(Q5339&lt;&gt;0,Q5339+H5339+L5339,0)</f>
        <v/>
      </c>
      <c r="S5339" s="9">
        <f>VLOOKUP(OPERAC[[#This Row],[especie]],[1]!ESPECIES[#Data],9,FALSE)</f>
        <v/>
      </c>
    </row>
    <row r="5340">
      <c r="A5340" s="4" t="n">
        <v>7916</v>
      </c>
      <c r="B5340" s="5" t="n">
        <v>44532</v>
      </c>
      <c r="C5340" s="13" t="inlineStr">
        <is>
          <t>VTA</t>
        </is>
      </c>
      <c r="D5340" s="13" t="n">
        <v>32</v>
      </c>
      <c r="E5340" s="10">
        <f>IF(D5340&gt;0,VLOOKUP(OPERAC[[#This Row],[COD CART]],[1]!MatrizCortoLargoCyl[#All],3,0),"")</f>
        <v/>
      </c>
      <c r="F5340" s="13" t="inlineStr">
        <is>
          <t>COTY/CYL/10,00/18-02-22</t>
        </is>
      </c>
      <c r="G5340" s="6" t="n">
        <v>200</v>
      </c>
      <c r="H5340" s="6">
        <f>-1803.198+41.676</f>
        <v/>
      </c>
      <c r="I5340" s="7">
        <f>-H5340/G5340</f>
        <v/>
      </c>
      <c r="J5340" s="11" t="n">
        <v>44608</v>
      </c>
      <c r="K5340" s="6">
        <f>+OPERAC[[#This Row],[cantidad]]</f>
        <v/>
      </c>
      <c r="L5340" s="6" t="n">
        <v>1889.088</v>
      </c>
      <c r="M5340" s="7">
        <f>IF(N5340=0,+L5340+H5340,0)</f>
        <v/>
      </c>
      <c r="N5340" s="7">
        <f>IF((+G5340-K5340)=0,0,+G5340-K5340)</f>
        <v/>
      </c>
      <c r="O5340" s="7">
        <f>IF(N5340=0,0,(L5340+H5340)/-N5340)</f>
        <v/>
      </c>
      <c r="P5340" s="7">
        <f>VLOOKUP(OPERAC[[#This Row],[especie]],[1]!ESPECIES[#All],6,0)</f>
        <v/>
      </c>
      <c r="Q5340" s="7">
        <f>IF(N5340&lt;&gt;0,P5340*N5340,0)</f>
        <v/>
      </c>
      <c r="R5340" s="8">
        <f>IF(Q5340&lt;&gt;0,Q5340+H5340+L5340,0)</f>
        <v/>
      </c>
      <c r="S5340" s="9">
        <f>VLOOKUP(OPERAC[[#This Row],[especie]],[1]!ESPECIES[#Data],9,FALSE)</f>
        <v/>
      </c>
    </row>
    <row r="5341">
      <c r="A5341" s="4" t="n">
        <v>10079</v>
      </c>
      <c r="B5341" s="5" t="n">
        <v>44532</v>
      </c>
      <c r="C5341" s="13" t="inlineStr">
        <is>
          <t>VTA</t>
        </is>
      </c>
      <c r="D5341" s="13" t="n">
        <v>32</v>
      </c>
      <c r="E5341" s="10">
        <f>IF(D5341&gt;0,VLOOKUP(OPERAC[[#This Row],[COD CART]],[1]!MatrizCortoLargoCyl[#All],3,0),"")</f>
        <v/>
      </c>
      <c r="F5341" s="13" t="inlineStr">
        <is>
          <t>COTY/CYL/10,00/18-02-22</t>
        </is>
      </c>
      <c r="G5341" s="6" t="n">
        <v>200</v>
      </c>
      <c r="H5341" s="6">
        <f>-1803.198+41.676</f>
        <v/>
      </c>
      <c r="I5341" s="7">
        <f>-H5341/G5341</f>
        <v/>
      </c>
      <c r="J5341" s="11" t="n">
        <v>44608</v>
      </c>
      <c r="K5341" s="6">
        <f>+OPERAC[[#This Row],[cantidad]]</f>
        <v/>
      </c>
      <c r="L5341" s="6" t="n">
        <v>1889.088</v>
      </c>
      <c r="M5341" s="7">
        <f>IF(N5341=0,+L5341+H5341,0)</f>
        <v/>
      </c>
      <c r="N5341" s="7">
        <f>IF((+G5341-K5341)=0,0,+G5341-K5341)</f>
        <v/>
      </c>
      <c r="O5341" s="7">
        <f>IF(N5341=0,0,(L5341+H5341)/-N5341)</f>
        <v/>
      </c>
      <c r="P5341" s="7">
        <f>VLOOKUP(OPERAC[[#This Row],[especie]],[1]!ESPECIES[#All],6,0)</f>
        <v/>
      </c>
      <c r="Q5341" s="7">
        <f>IF(N5341&lt;&gt;0,P5341*N5341,0)</f>
        <v/>
      </c>
      <c r="R5341" s="8">
        <f>IF(Q5341&lt;&gt;0,Q5341+H5341+L5341,0)</f>
        <v/>
      </c>
      <c r="S5341" s="9">
        <f>VLOOKUP(OPERAC[[#This Row],[especie]],[1]!ESPECIES[#Data],9,FALSE)</f>
        <v/>
      </c>
    </row>
    <row r="5342">
      <c r="A5342" s="4" t="n">
        <v>12674</v>
      </c>
      <c r="B5342" s="5" t="n">
        <v>44532</v>
      </c>
      <c r="C5342" s="13" t="inlineStr">
        <is>
          <t>VTA</t>
        </is>
      </c>
      <c r="D5342" s="13" t="n">
        <v>32</v>
      </c>
      <c r="E5342" s="10">
        <f>IF(D5342&gt;0,VLOOKUP(OPERAC[[#This Row],[COD CART]],[1]!MatrizCortoLargoCyl[#All],3,0),"")</f>
        <v/>
      </c>
      <c r="F5342" s="13" t="inlineStr">
        <is>
          <t>COTY/CYL/10,00/18-02-22</t>
        </is>
      </c>
      <c r="G5342" s="6" t="n">
        <v>200</v>
      </c>
      <c r="H5342" s="6">
        <f>-1803.198+41.676</f>
        <v/>
      </c>
      <c r="I5342" s="7">
        <f>-H5342/G5342</f>
        <v/>
      </c>
      <c r="J5342" s="11" t="n">
        <v>44608</v>
      </c>
      <c r="K5342" s="6">
        <f>+OPERAC[[#This Row],[cantidad]]</f>
        <v/>
      </c>
      <c r="L5342" s="6" t="n">
        <v>1889.088</v>
      </c>
      <c r="M5342" s="7">
        <f>IF(N5342=0,+L5342+H5342,0)</f>
        <v/>
      </c>
      <c r="N5342" s="7">
        <f>IF((+G5342-K5342)=0,0,+G5342-K5342)</f>
        <v/>
      </c>
      <c r="O5342" s="7">
        <f>IF(N5342=0,0,(L5342+H5342)/-N5342)</f>
        <v/>
      </c>
      <c r="P5342" s="7">
        <f>VLOOKUP(OPERAC[[#This Row],[especie]],[1]!ESPECIES[#All],6,0)</f>
        <v/>
      </c>
      <c r="Q5342" s="7">
        <f>IF(N5342&lt;&gt;0,P5342*N5342,0)</f>
        <v/>
      </c>
      <c r="R5342" s="8">
        <f>IF(Q5342&lt;&gt;0,Q5342+H5342+L5342,0)</f>
        <v/>
      </c>
      <c r="S5342" s="9">
        <f>VLOOKUP(OPERAC[[#This Row],[especie]],[1]!ESPECIES[#Data],9,FALSE)</f>
        <v/>
      </c>
    </row>
    <row r="5343">
      <c r="A5343" s="4" t="n">
        <v>13240</v>
      </c>
      <c r="B5343" s="5" t="n">
        <v>44532</v>
      </c>
      <c r="C5343" s="13" t="inlineStr">
        <is>
          <t>VTA</t>
        </is>
      </c>
      <c r="D5343" s="13" t="n">
        <v>32</v>
      </c>
      <c r="E5343" s="10">
        <f>IF(D5343&gt;0,VLOOKUP(OPERAC[[#This Row],[COD CART]],[1]!MatrizCortoLargoCyl[#All],3,0),"")</f>
        <v/>
      </c>
      <c r="F5343" s="13" t="inlineStr">
        <is>
          <t>COTY/CYL/10,00/18-02-22</t>
        </is>
      </c>
      <c r="G5343" s="6" t="n">
        <v>200</v>
      </c>
      <c r="H5343" s="6">
        <f>-1803.198+41.676</f>
        <v/>
      </c>
      <c r="I5343" s="7">
        <f>-H5343/G5343</f>
        <v/>
      </c>
      <c r="J5343" s="11" t="n">
        <v>44608</v>
      </c>
      <c r="K5343" s="6">
        <f>+OPERAC[[#This Row],[cantidad]]</f>
        <v/>
      </c>
      <c r="L5343" s="6" t="n">
        <v>1889.088</v>
      </c>
      <c r="M5343" s="7">
        <f>IF(N5343=0,+L5343+H5343,0)</f>
        <v/>
      </c>
      <c r="N5343" s="7">
        <f>IF((+G5343-K5343)=0,0,+G5343-K5343)</f>
        <v/>
      </c>
      <c r="O5343" s="7">
        <f>IF(N5343=0,0,(L5343+H5343)/-N5343)</f>
        <v/>
      </c>
      <c r="P5343" s="7">
        <f>VLOOKUP(OPERAC[[#This Row],[especie]],[1]!ESPECIES[#All],6,0)</f>
        <v/>
      </c>
      <c r="Q5343" s="7">
        <f>IF(N5343&lt;&gt;0,P5343*N5343,0)</f>
        <v/>
      </c>
      <c r="R5343" s="8">
        <f>IF(Q5343&lt;&gt;0,Q5343+H5343+L5343,0)</f>
        <v/>
      </c>
      <c r="S5343" s="9">
        <f>VLOOKUP(OPERAC[[#This Row],[especie]],[1]!ESPECIES[#Data],9,FALSE)</f>
        <v/>
      </c>
    </row>
    <row r="5344">
      <c r="A5344" s="4" t="n">
        <v>15195</v>
      </c>
      <c r="B5344" s="5" t="n">
        <v>44532</v>
      </c>
      <c r="C5344" s="13" t="inlineStr">
        <is>
          <t>VTA</t>
        </is>
      </c>
      <c r="D5344" s="13" t="n">
        <v>32</v>
      </c>
      <c r="E5344" s="10">
        <f>IF(D5344&gt;0,VLOOKUP(OPERAC[[#This Row],[COD CART]],[1]!MatrizCortoLargoCyl[#All],3,0),"")</f>
        <v/>
      </c>
      <c r="F5344" s="13" t="inlineStr">
        <is>
          <t>COTY/CYL/10,00/18-02-22</t>
        </is>
      </c>
      <c r="G5344" s="6" t="n">
        <v>200</v>
      </c>
      <c r="H5344" s="6">
        <f>-1803.198+41.676</f>
        <v/>
      </c>
      <c r="I5344" s="7">
        <f>-H5344/G5344</f>
        <v/>
      </c>
      <c r="J5344" s="11" t="n">
        <v>44608</v>
      </c>
      <c r="K5344" s="6">
        <f>+OPERAC[[#This Row],[cantidad]]</f>
        <v/>
      </c>
      <c r="L5344" s="6" t="n">
        <v>1889.088</v>
      </c>
      <c r="M5344" s="7">
        <f>IF(N5344=0,+L5344+H5344,0)</f>
        <v/>
      </c>
      <c r="N5344" s="7">
        <f>IF((+G5344-K5344)=0,0,+G5344-K5344)</f>
        <v/>
      </c>
      <c r="O5344" s="7">
        <f>IF(N5344=0,0,(L5344+H5344)/-N5344)</f>
        <v/>
      </c>
      <c r="P5344" s="7">
        <f>VLOOKUP(OPERAC[[#This Row],[especie]],[1]!ESPECIES[#All],6,0)</f>
        <v/>
      </c>
      <c r="Q5344" s="7">
        <f>IF(N5344&lt;&gt;0,P5344*N5344,0)</f>
        <v/>
      </c>
      <c r="R5344" s="8">
        <f>IF(Q5344&lt;&gt;0,Q5344+H5344+L5344,0)</f>
        <v/>
      </c>
      <c r="S5344" s="9">
        <f>VLOOKUP(OPERAC[[#This Row],[especie]],[1]!ESPECIES[#Data],9,FALSE)</f>
        <v/>
      </c>
    </row>
    <row r="5345">
      <c r="A5345" s="4" t="n">
        <v>16780</v>
      </c>
      <c r="B5345" s="5" t="n">
        <v>44532</v>
      </c>
      <c r="C5345" s="13" t="inlineStr">
        <is>
          <t>VTA</t>
        </is>
      </c>
      <c r="D5345" s="13" t="n">
        <v>32</v>
      </c>
      <c r="E5345" s="10">
        <f>IF(D5345&gt;0,VLOOKUP(OPERAC[[#This Row],[COD CART]],[1]!MatrizCortoLargoCyl[#All],3,0),"")</f>
        <v/>
      </c>
      <c r="F5345" s="13" t="inlineStr">
        <is>
          <t>COTY/CYL/10,00/18-02-22</t>
        </is>
      </c>
      <c r="G5345" s="6" t="n">
        <v>200</v>
      </c>
      <c r="H5345" s="6">
        <f>-1803.198+41.676</f>
        <v/>
      </c>
      <c r="I5345" s="7">
        <f>-H5345/G5345</f>
        <v/>
      </c>
      <c r="J5345" s="11" t="n">
        <v>44608</v>
      </c>
      <c r="K5345" s="6">
        <f>+OPERAC[[#This Row],[cantidad]]</f>
        <v/>
      </c>
      <c r="L5345" s="6" t="n">
        <v>1889.088</v>
      </c>
      <c r="M5345" s="7">
        <f>IF(N5345=0,+L5345+H5345,0)</f>
        <v/>
      </c>
      <c r="N5345" s="7">
        <f>IF((+G5345-K5345)=0,0,+G5345-K5345)</f>
        <v/>
      </c>
      <c r="O5345" s="7">
        <f>IF(N5345=0,0,(L5345+H5345)/-N5345)</f>
        <v/>
      </c>
      <c r="P5345" s="7">
        <f>VLOOKUP(OPERAC[[#This Row],[especie]],[1]!ESPECIES[#All],6,0)</f>
        <v/>
      </c>
      <c r="Q5345" s="7">
        <f>IF(N5345&lt;&gt;0,P5345*N5345,0)</f>
        <v/>
      </c>
      <c r="R5345" s="8">
        <f>IF(Q5345&lt;&gt;0,Q5345+H5345+L5345,0)</f>
        <v/>
      </c>
      <c r="S5345" s="9">
        <f>VLOOKUP(OPERAC[[#This Row],[especie]],[1]!ESPECIES[#Data],9,FALSE)</f>
        <v/>
      </c>
    </row>
    <row r="5346">
      <c r="A5346" s="4" t="n">
        <v>18690</v>
      </c>
      <c r="B5346" s="5" t="n">
        <v>44532</v>
      </c>
      <c r="C5346" s="13" t="inlineStr">
        <is>
          <t>VTA</t>
        </is>
      </c>
      <c r="D5346" s="13" t="n">
        <v>32</v>
      </c>
      <c r="E5346" s="10">
        <f>IF(D5346&gt;0,VLOOKUP(OPERAC[[#This Row],[COD CART]],[1]!MatrizCortoLargoCyl[#All],3,0),"")</f>
        <v/>
      </c>
      <c r="F5346" s="13" t="inlineStr">
        <is>
          <t>COTY/CYL/10,00/18-02-22</t>
        </is>
      </c>
      <c r="G5346" s="6" t="n">
        <v>200</v>
      </c>
      <c r="H5346" s="6">
        <f>-1803.198+41.676</f>
        <v/>
      </c>
      <c r="I5346" s="7">
        <f>-H5346/G5346</f>
        <v/>
      </c>
      <c r="J5346" s="11" t="n">
        <v>44608</v>
      </c>
      <c r="K5346" s="6">
        <f>+OPERAC[[#This Row],[cantidad]]</f>
        <v/>
      </c>
      <c r="L5346" s="6" t="n">
        <v>1889.088</v>
      </c>
      <c r="M5346" s="7">
        <f>IF(N5346=0,+L5346+H5346,0)</f>
        <v/>
      </c>
      <c r="N5346" s="7">
        <f>IF((+G5346-K5346)=0,0,+G5346-K5346)</f>
        <v/>
      </c>
      <c r="O5346" s="7">
        <f>IF(N5346=0,0,(L5346+H5346)/-N5346)</f>
        <v/>
      </c>
      <c r="P5346" s="7">
        <f>VLOOKUP(OPERAC[[#This Row],[especie]],[1]!ESPECIES[#All],6,0)</f>
        <v/>
      </c>
      <c r="Q5346" s="7">
        <f>IF(N5346&lt;&gt;0,P5346*N5346,0)</f>
        <v/>
      </c>
      <c r="R5346" s="8">
        <f>IF(Q5346&lt;&gt;0,Q5346+H5346+L5346,0)</f>
        <v/>
      </c>
      <c r="S5346" s="9">
        <f>VLOOKUP(OPERAC[[#This Row],[especie]],[1]!ESPECIES[#Data],9,FALSE)</f>
        <v/>
      </c>
    </row>
    <row r="5347">
      <c r="A5347" s="4" t="n">
        <v>26137</v>
      </c>
      <c r="B5347" s="5" t="n">
        <v>44532</v>
      </c>
      <c r="C5347" s="13" t="inlineStr">
        <is>
          <t>VTA</t>
        </is>
      </c>
      <c r="D5347" s="13" t="n">
        <v>32</v>
      </c>
      <c r="E5347" s="10">
        <f>IF(D5347&gt;0,VLOOKUP(OPERAC[[#This Row],[COD CART]],[1]!MatrizCortoLargoCyl[#All],3,0),"")</f>
        <v/>
      </c>
      <c r="F5347" s="13" t="inlineStr">
        <is>
          <t>COTY/CYL/10,00/18-02-22</t>
        </is>
      </c>
      <c r="G5347" s="6" t="n">
        <v>200</v>
      </c>
      <c r="H5347" s="6">
        <f>-1803.198+41.676</f>
        <v/>
      </c>
      <c r="I5347" s="7">
        <f>-H5347/G5347</f>
        <v/>
      </c>
      <c r="J5347" s="11" t="n">
        <v>44608</v>
      </c>
      <c r="K5347" s="6">
        <f>+OPERAC[[#This Row],[cantidad]]</f>
        <v/>
      </c>
      <c r="L5347" s="6" t="n">
        <v>1889.088</v>
      </c>
      <c r="M5347" s="7">
        <f>IF(N5347=0,+L5347+H5347,0)</f>
        <v/>
      </c>
      <c r="N5347" s="7">
        <f>IF((+G5347-K5347)=0,0,+G5347-K5347)</f>
        <v/>
      </c>
      <c r="O5347" s="7">
        <f>IF(N5347=0,0,(L5347+H5347)/-N5347)</f>
        <v/>
      </c>
      <c r="P5347" s="7">
        <f>VLOOKUP(OPERAC[[#This Row],[especie]],[1]!ESPECIES[#All],6,0)</f>
        <v/>
      </c>
      <c r="Q5347" s="7">
        <f>IF(N5347&lt;&gt;0,P5347*N5347,0)</f>
        <v/>
      </c>
      <c r="R5347" s="8">
        <f>IF(Q5347&lt;&gt;0,Q5347+H5347+L5347,0)</f>
        <v/>
      </c>
      <c r="S5347" s="9">
        <f>VLOOKUP(OPERAC[[#This Row],[especie]],[1]!ESPECIES[#Data],9,FALSE)</f>
        <v/>
      </c>
    </row>
    <row r="5348">
      <c r="A5348" s="4" t="n">
        <v>12662</v>
      </c>
      <c r="B5348" s="5" t="n">
        <v>44586</v>
      </c>
      <c r="C5348" s="13" t="inlineStr">
        <is>
          <t>VTA</t>
        </is>
      </c>
      <c r="D5348" s="13" t="n">
        <v>43</v>
      </c>
      <c r="E5348" s="10">
        <f>IF(D5348&gt;0,VLOOKUP(OPERAC[[#This Row],[COD CART]],[1]!MatrizCortoLargoCyl[#All],3,0),"")</f>
        <v/>
      </c>
      <c r="F5348" s="13" t="inlineStr">
        <is>
          <t>GMBL</t>
        </is>
      </c>
      <c r="G5348" s="6">
        <f>500+500</f>
        <v/>
      </c>
      <c r="H5348" s="6">
        <f>-508.0223-1255</f>
        <v/>
      </c>
      <c r="I5348" s="7">
        <f>-H5348/G5348</f>
        <v/>
      </c>
      <c r="J5348" s="11" t="n">
        <v>44714</v>
      </c>
      <c r="K5348" s="6" t="n">
        <v>1000</v>
      </c>
      <c r="L5348" s="6" t="n">
        <v>397.096</v>
      </c>
      <c r="M5348" s="7">
        <f>IF(N5348=0,+L5348+H5348,0)</f>
        <v/>
      </c>
      <c r="N5348" s="7">
        <f>IF((+G5348-K5348)=0,0,+G5348-K5348)</f>
        <v/>
      </c>
      <c r="O5348" s="7">
        <f>IF(N5348=0,0,(L5348+H5348)/-N5348)</f>
        <v/>
      </c>
      <c r="P5348" s="7">
        <f>VLOOKUP(OPERAC[[#This Row],[especie]],[1]!ESPECIES[#All],6,0)</f>
        <v/>
      </c>
      <c r="Q5348" s="7">
        <f>IF(N5348&lt;&gt;0,P5348*N5348,0)</f>
        <v/>
      </c>
      <c r="R5348" s="8">
        <f>IF(Q5348&lt;&gt;0,Q5348+H5348+L5348,0)</f>
        <v/>
      </c>
      <c r="S5348" s="9">
        <f>VLOOKUP(OPERAC[[#This Row],[especie]],[1]!ESPECIES[#Data],9,FALSE)</f>
        <v/>
      </c>
    </row>
    <row r="5349">
      <c r="A5349" s="4" t="n">
        <v>13269</v>
      </c>
      <c r="B5349" s="5" t="n">
        <v>44586</v>
      </c>
      <c r="C5349" s="13" t="inlineStr">
        <is>
          <t>VTA</t>
        </is>
      </c>
      <c r="D5349" s="13" t="n">
        <v>43</v>
      </c>
      <c r="E5349" s="10">
        <f>IF(D5349&gt;0,VLOOKUP(OPERAC[[#This Row],[COD CART]],[1]!MatrizCortoLargoCyl[#All],3,0),"")</f>
        <v/>
      </c>
      <c r="F5349" s="13" t="inlineStr">
        <is>
          <t>GMBL</t>
        </is>
      </c>
      <c r="G5349" s="6">
        <f>500+500</f>
        <v/>
      </c>
      <c r="H5349" s="6">
        <f>-508.0223-1255</f>
        <v/>
      </c>
      <c r="I5349" s="7">
        <f>-H5349/G5349</f>
        <v/>
      </c>
      <c r="J5349" s="11" t="n">
        <v>44714</v>
      </c>
      <c r="K5349" s="6" t="n">
        <v>1000</v>
      </c>
      <c r="L5349" s="6" t="n">
        <v>397.096</v>
      </c>
      <c r="M5349" s="7">
        <f>IF(N5349=0,+L5349+H5349,0)</f>
        <v/>
      </c>
      <c r="N5349" s="7">
        <f>IF((+G5349-K5349)=0,0,+G5349-K5349)</f>
        <v/>
      </c>
      <c r="O5349" s="7">
        <f>IF(N5349=0,0,(L5349+H5349)/-N5349)</f>
        <v/>
      </c>
      <c r="P5349" s="7">
        <f>VLOOKUP(OPERAC[[#This Row],[especie]],[1]!ESPECIES[#All],6,0)</f>
        <v/>
      </c>
      <c r="Q5349" s="7">
        <f>IF(N5349&lt;&gt;0,P5349*N5349,0)</f>
        <v/>
      </c>
      <c r="R5349" s="8">
        <f>IF(Q5349&lt;&gt;0,Q5349+H5349+L5349,0)</f>
        <v/>
      </c>
      <c r="S5349" s="9">
        <f>VLOOKUP(OPERAC[[#This Row],[especie]],[1]!ESPECIES[#Data],9,FALSE)</f>
        <v/>
      </c>
    </row>
    <row r="5350">
      <c r="A5350" s="4" t="n">
        <v>19931</v>
      </c>
      <c r="B5350" s="5" t="n">
        <v>44586</v>
      </c>
      <c r="C5350" s="13" t="inlineStr">
        <is>
          <t>VTA</t>
        </is>
      </c>
      <c r="D5350" s="13" t="n">
        <v>43</v>
      </c>
      <c r="E5350" s="10">
        <f>IF(D5350&gt;0,VLOOKUP(OPERAC[[#This Row],[COD CART]],[1]!MatrizCortoLargoCyl[#All],3,0),"")</f>
        <v/>
      </c>
      <c r="F5350" s="13" t="inlineStr">
        <is>
          <t>GMBL</t>
        </is>
      </c>
      <c r="G5350" s="6">
        <f>500+500</f>
        <v/>
      </c>
      <c r="H5350" s="6">
        <f>-508.0223-1255</f>
        <v/>
      </c>
      <c r="I5350" s="7">
        <f>-H5350/G5350</f>
        <v/>
      </c>
      <c r="J5350" s="11" t="n">
        <v>44722</v>
      </c>
      <c r="K5350" s="6" t="n">
        <v>1000</v>
      </c>
      <c r="L5350" s="6" t="n">
        <v>462.931</v>
      </c>
      <c r="M5350" s="7">
        <f>IF(N5350=0,+L5350+H5350,0)</f>
        <v/>
      </c>
      <c r="N5350" s="7">
        <f>IF((+G5350-K5350)=0,0,+G5350-K5350)</f>
        <v/>
      </c>
      <c r="O5350" s="7">
        <f>IF(N5350=0,0,(L5350+H5350)/-N5350)</f>
        <v/>
      </c>
      <c r="P5350" s="7">
        <f>VLOOKUP(OPERAC[[#This Row],[especie]],[1]!ESPECIES[#All],6,0)</f>
        <v/>
      </c>
      <c r="Q5350" s="7">
        <f>IF(N5350&lt;&gt;0,P5350*N5350,0)</f>
        <v/>
      </c>
      <c r="R5350" s="8">
        <f>IF(Q5350&lt;&gt;0,Q5350+H5350+L5350,0)</f>
        <v/>
      </c>
      <c r="S5350" s="9">
        <f>VLOOKUP(OPERAC[[#This Row],[especie]],[1]!ESPECIES[#Data],9,FALSE)</f>
        <v/>
      </c>
    </row>
    <row r="5351">
      <c r="A5351" s="4" t="n">
        <v>19920</v>
      </c>
      <c r="B5351" s="5" t="n">
        <v>44662</v>
      </c>
      <c r="C5351" s="13" t="inlineStr">
        <is>
          <t>VTA</t>
        </is>
      </c>
      <c r="D5351" s="13" t="n">
        <v>42</v>
      </c>
      <c r="E5351" s="10">
        <f>IF(D5351&gt;0,VLOOKUP(OPERAC[[#This Row],[COD CART]],[1]!MatrizCortoLargoCyl[#All],3,0),"")</f>
        <v/>
      </c>
      <c r="F5351" s="13" t="inlineStr">
        <is>
          <t>HYDR</t>
        </is>
      </c>
      <c r="G5351" s="6" t="n">
        <v>95</v>
      </c>
      <c r="H5351" s="6" t="n">
        <v>-1764.18268</v>
      </c>
      <c r="I5351" s="7">
        <f>-H5351/G5351</f>
        <v/>
      </c>
      <c r="J5351" s="11" t="n">
        <v>44693</v>
      </c>
      <c r="K5351" s="6">
        <f>+OPERAC[[#This Row],[cantidad]]</f>
        <v/>
      </c>
      <c r="L5351" s="6">
        <f>+OPERAC[[#This Row],[cantidad venta]]*11.986</f>
        <v/>
      </c>
      <c r="M5351" s="7">
        <f>IF(N5351=0,+L5351+H5351,0)</f>
        <v/>
      </c>
      <c r="N5351" s="7">
        <f>IF((+G5351-K5351)=0,0,+G5351-K5351)</f>
        <v/>
      </c>
      <c r="O5351" s="7">
        <f>IF(N5351=0,0,(L5351+H5351)/-N5351)</f>
        <v/>
      </c>
      <c r="P5351" s="7">
        <f>VLOOKUP(OPERAC[[#This Row],[especie]],[1]!ESPECIES[#All],6,0)</f>
        <v/>
      </c>
      <c r="Q5351" s="7">
        <f>IF(N5351&lt;&gt;0,P5351*N5351,0)</f>
        <v/>
      </c>
      <c r="R5351" s="8">
        <f>IF(Q5351&lt;&gt;0,Q5351+H5351+L5351,0)</f>
        <v/>
      </c>
      <c r="S5351" s="9">
        <f>VLOOKUP(OPERAC[[#This Row],[especie]],[1]!ESPECIES[#Data],9,FALSE)</f>
        <v/>
      </c>
    </row>
    <row r="5352">
      <c r="A5352" s="4" t="n">
        <v>1760</v>
      </c>
      <c r="B5352" s="5" t="n">
        <v>44648</v>
      </c>
      <c r="C5352" s="13" t="inlineStr">
        <is>
          <t>VTA</t>
        </is>
      </c>
      <c r="D5352" s="13" t="n">
        <v>42</v>
      </c>
      <c r="E5352" s="10">
        <f>IF(D5352&gt;0,VLOOKUP(OPERAC[[#This Row],[COD CART]],[1]!MatrizCortoLargoCyl[#All],3,0),"")</f>
        <v/>
      </c>
      <c r="F5352" s="13" t="inlineStr">
        <is>
          <t>ADBE</t>
        </is>
      </c>
      <c r="G5352" s="6" t="n">
        <v>4</v>
      </c>
      <c r="H5352" s="6" t="n">
        <v>-1765.6498</v>
      </c>
      <c r="I5352" s="7">
        <f>-H5352/G5352</f>
        <v/>
      </c>
      <c r="J5352" s="11" t="n">
        <v>44687</v>
      </c>
      <c r="K5352" s="6">
        <f>+OPERAC[[#This Row],[cantidad]]</f>
        <v/>
      </c>
      <c r="L5352" s="6" t="n">
        <v>1545.69</v>
      </c>
      <c r="M5352" s="7">
        <f>IF(N5352=0,+L5352+H5352,0)</f>
        <v/>
      </c>
      <c r="N5352" s="7">
        <f>IF((+G5352-K5352)=0,0,+G5352-K5352)</f>
        <v/>
      </c>
      <c r="O5352" s="7">
        <f>IF(N5352=0,0,(L5352+H5352)/-N5352)</f>
        <v/>
      </c>
      <c r="P5352" s="7">
        <f>VLOOKUP(OPERAC[[#This Row],[especie]],[1]!ESPECIES[#All],6,0)</f>
        <v/>
      </c>
      <c r="Q5352" s="7">
        <f>IF(N5352&lt;&gt;0,P5352*N5352,0)</f>
        <v/>
      </c>
      <c r="R5352" s="8">
        <f>IF(Q5352&lt;&gt;0,Q5352+H5352+L5352,0)</f>
        <v/>
      </c>
      <c r="S5352" s="9">
        <f>VLOOKUP(OPERAC[[#This Row],[especie]],[1]!ESPECIES[#Data],9,FALSE)</f>
        <v/>
      </c>
    </row>
    <row r="5353">
      <c r="A5353" s="4" t="n">
        <v>10079</v>
      </c>
      <c r="B5353" s="5" t="n">
        <v>44648</v>
      </c>
      <c r="C5353" s="13" t="inlineStr">
        <is>
          <t>VTA</t>
        </is>
      </c>
      <c r="D5353" s="13" t="n">
        <v>42</v>
      </c>
      <c r="E5353" s="10">
        <f>IF(D5353&gt;0,VLOOKUP(OPERAC[[#This Row],[COD CART]],[1]!MatrizCortoLargoCyl[#All],3,0),"")</f>
        <v/>
      </c>
      <c r="F5353" s="13" t="inlineStr">
        <is>
          <t>ADBE</t>
        </is>
      </c>
      <c r="G5353" s="6" t="n">
        <v>4</v>
      </c>
      <c r="H5353" s="6" t="n">
        <v>-1765.6498</v>
      </c>
      <c r="I5353" s="7">
        <f>-H5353/G5353</f>
        <v/>
      </c>
      <c r="J5353" s="11" t="n">
        <v>44687</v>
      </c>
      <c r="K5353" s="6">
        <f>+OPERAC[[#This Row],[cantidad]]</f>
        <v/>
      </c>
      <c r="L5353" s="6" t="n">
        <v>1545.69</v>
      </c>
      <c r="M5353" s="7">
        <f>IF(N5353=0,+L5353+H5353,0)</f>
        <v/>
      </c>
      <c r="N5353" s="7">
        <f>IF((+G5353-K5353)=0,0,+G5353-K5353)</f>
        <v/>
      </c>
      <c r="O5353" s="7">
        <f>IF(N5353=0,0,(L5353+H5353)/-N5353)</f>
        <v/>
      </c>
      <c r="P5353" s="7">
        <f>VLOOKUP(OPERAC[[#This Row],[especie]],[1]!ESPECIES[#All],6,0)</f>
        <v/>
      </c>
      <c r="Q5353" s="7">
        <f>IF(N5353&lt;&gt;0,P5353*N5353,0)</f>
        <v/>
      </c>
      <c r="R5353" s="8">
        <f>IF(Q5353&lt;&gt;0,Q5353+H5353+L5353,0)</f>
        <v/>
      </c>
      <c r="S5353" s="9">
        <f>VLOOKUP(OPERAC[[#This Row],[especie]],[1]!ESPECIES[#Data],9,FALSE)</f>
        <v/>
      </c>
    </row>
    <row r="5354">
      <c r="A5354" s="4" t="n">
        <v>2218</v>
      </c>
      <c r="B5354" s="5" t="n">
        <v>44671</v>
      </c>
      <c r="C5354" s="13" t="inlineStr">
        <is>
          <t>VTA</t>
        </is>
      </c>
      <c r="D5354" s="13" t="n">
        <v>42</v>
      </c>
      <c r="E5354" s="10">
        <f>IF(D5354&gt;0,VLOOKUP(OPERAC[[#This Row],[COD CART]],[1]!MatrizCortoLargoCyl[#All],3,0),"")</f>
        <v/>
      </c>
      <c r="F5354" s="13" t="inlineStr">
        <is>
          <t>NFLX</t>
        </is>
      </c>
      <c r="G5354" s="6" t="n">
        <v>7</v>
      </c>
      <c r="H5354" s="6" t="n">
        <v>-1768.28652</v>
      </c>
      <c r="I5354" s="7">
        <f>-H5354/G5354</f>
        <v/>
      </c>
      <c r="J5354" s="11" t="n"/>
      <c r="K5354" s="6" t="n"/>
      <c r="L5354" s="6" t="n"/>
      <c r="M5354" s="7">
        <f>IF(N5354=0,+L5354+H5354,0)</f>
        <v/>
      </c>
      <c r="N5354" s="7">
        <f>IF((+G5354-K5354)=0,0,+G5354-K5354)</f>
        <v/>
      </c>
      <c r="O5354" s="7">
        <f>IF(N5354=0,0,(L5354+H5354)/-N5354)</f>
        <v/>
      </c>
      <c r="P5354" s="7">
        <f>VLOOKUP(OPERAC[[#This Row],[especie]],[1]!ESPECIES[#All],6,0)</f>
        <v/>
      </c>
      <c r="Q5354" s="7">
        <f>IF(N5354&lt;&gt;0,P5354*N5354,0)</f>
        <v/>
      </c>
      <c r="R5354" s="8">
        <f>IF(Q5354&lt;&gt;0,Q5354+H5354+L5354,0)</f>
        <v/>
      </c>
      <c r="S5354" s="9">
        <f>VLOOKUP(OPERAC[[#This Row],[especie]],[1]!ESPECIES[#Data],9,FALSE)</f>
        <v/>
      </c>
    </row>
    <row r="5355">
      <c r="A5355" s="4" t="n">
        <v>16783</v>
      </c>
      <c r="B5355" s="5" t="n">
        <v>44671</v>
      </c>
      <c r="C5355" s="13" t="inlineStr">
        <is>
          <t>VTA</t>
        </is>
      </c>
      <c r="D5355" s="13" t="n">
        <v>42</v>
      </c>
      <c r="E5355" s="10">
        <f>IF(D5355&gt;0,VLOOKUP(OPERAC[[#This Row],[COD CART]],[1]!MatrizCortoLargoCyl[#All],3,0),"")</f>
        <v/>
      </c>
      <c r="F5355" s="13" t="inlineStr">
        <is>
          <t>NFLX</t>
        </is>
      </c>
      <c r="G5355" s="6" t="n">
        <v>7</v>
      </c>
      <c r="H5355" s="6" t="n">
        <v>-1774.46934</v>
      </c>
      <c r="I5355" s="7">
        <f>-H5355/G5355</f>
        <v/>
      </c>
      <c r="J5355" s="11" t="n">
        <v>44693</v>
      </c>
      <c r="K5355" s="6">
        <f>+OPERAC[[#This Row],[cantidad]]</f>
        <v/>
      </c>
      <c r="L5355" s="6">
        <f>+OPERAC[[#This Row],[cantidad venta]]*169.079</f>
        <v/>
      </c>
      <c r="M5355" s="7">
        <f>IF(N5355=0,+L5355+H5355,0)</f>
        <v/>
      </c>
      <c r="N5355" s="7">
        <f>IF((+G5355-K5355)=0,0,+G5355-K5355)</f>
        <v/>
      </c>
      <c r="O5355" s="7">
        <f>IF(N5355=0,0,(L5355+H5355)/-N5355)</f>
        <v/>
      </c>
      <c r="P5355" s="7">
        <f>VLOOKUP(OPERAC[[#This Row],[especie]],[1]!ESPECIES[#All],6,0)</f>
        <v/>
      </c>
      <c r="Q5355" s="7">
        <f>IF(N5355&lt;&gt;0,P5355*N5355,0)</f>
        <v/>
      </c>
      <c r="R5355" s="8">
        <f>IF(Q5355&lt;&gt;0,Q5355+H5355+L5355,0)</f>
        <v/>
      </c>
      <c r="S5355" s="9">
        <f>VLOOKUP(OPERAC[[#This Row],[especie]],[1]!ESPECIES[#Data],9,FALSE)</f>
        <v/>
      </c>
    </row>
    <row r="5356">
      <c r="A5356" s="4" t="n">
        <v>22393</v>
      </c>
      <c r="B5356" s="5" t="n">
        <v>44670</v>
      </c>
      <c r="C5356" s="13" t="inlineStr">
        <is>
          <t>VTA</t>
        </is>
      </c>
      <c r="D5356" s="13" t="n">
        <v>43</v>
      </c>
      <c r="E5356" s="10">
        <f>IF(D5356&gt;0,VLOOKUP(OPERAC[[#This Row],[COD CART]],[1]!MatrizCortoLargoCyl[#All],3,0),"")</f>
        <v/>
      </c>
      <c r="F5356" s="13" t="inlineStr">
        <is>
          <t>PCT/CYL-PUT/7,50/20-01-23</t>
        </is>
      </c>
      <c r="G5356" s="6" t="n">
        <v>500</v>
      </c>
      <c r="H5356" s="6" t="n">
        <v>-1775.657</v>
      </c>
      <c r="I5356" s="7">
        <f>-H5356/G5356</f>
        <v/>
      </c>
      <c r="J5356" s="11" t="n"/>
      <c r="K5356" s="6" t="n"/>
      <c r="L5356" s="6" t="n"/>
      <c r="M5356" s="7">
        <f>IF(N5356=0,+L5356+H5356,0)</f>
        <v/>
      </c>
      <c r="N5356" s="7">
        <f>IF((+G5356-K5356)=0,0,+G5356-K5356)</f>
        <v/>
      </c>
      <c r="O5356" s="7">
        <f>IF(N5356=0,0,(L5356+H5356)/-N5356)</f>
        <v/>
      </c>
      <c r="P5356" s="7">
        <f>VLOOKUP(OPERAC[[#This Row],[especie]],[1]!ESPECIES[#All],6,0)</f>
        <v/>
      </c>
      <c r="Q5356" s="7">
        <f>IF(N5356&lt;&gt;0,P5356*N5356,0)</f>
        <v/>
      </c>
      <c r="R5356" s="8">
        <f>IF(Q5356&lt;&gt;0,Q5356+H5356+L5356,0)</f>
        <v/>
      </c>
      <c r="S5356" s="9">
        <f>VLOOKUP(OPERAC[[#This Row],[especie]],[1]!ESPECIES[#Data],9,FALSE)</f>
        <v/>
      </c>
    </row>
    <row r="5357">
      <c r="A5357" s="4" t="n">
        <v>19878</v>
      </c>
      <c r="B5357" s="5" t="n">
        <v>44671</v>
      </c>
      <c r="C5357" s="13" t="inlineStr">
        <is>
          <t>VTA</t>
        </is>
      </c>
      <c r="D5357" s="13" t="n">
        <v>42</v>
      </c>
      <c r="E5357" s="10">
        <f>IF(D5357&gt;0,VLOOKUP(OPERAC[[#This Row],[COD CART]],[1]!MatrizCortoLargoCyl[#All],3,0),"")</f>
        <v/>
      </c>
      <c r="F5357" s="13" t="inlineStr">
        <is>
          <t>NFLX</t>
        </is>
      </c>
      <c r="G5357" s="6" t="n">
        <v>7</v>
      </c>
      <c r="H5357" s="6" t="n">
        <v>-1778.00238</v>
      </c>
      <c r="I5357" s="7">
        <f>-H5357/G5357</f>
        <v/>
      </c>
      <c r="J5357" s="11" t="n">
        <v>44693</v>
      </c>
      <c r="K5357" s="6">
        <f>+OPERAC[[#This Row],[cantidad]]</f>
        <v/>
      </c>
      <c r="L5357" s="6">
        <f>+OPERAC[[#This Row],[cantidad venta]]*169.089</f>
        <v/>
      </c>
      <c r="M5357" s="7">
        <f>IF(N5357=0,+L5357+H5357,0)</f>
        <v/>
      </c>
      <c r="N5357" s="7">
        <f>IF((+G5357-K5357)=0,0,+G5357-K5357)</f>
        <v/>
      </c>
      <c r="O5357" s="7">
        <f>IF(N5357=0,0,(L5357+H5357)/-N5357)</f>
        <v/>
      </c>
      <c r="P5357" s="7">
        <f>VLOOKUP(OPERAC[[#This Row],[especie]],[1]!ESPECIES[#All],6,0)</f>
        <v/>
      </c>
      <c r="Q5357" s="7">
        <f>IF(N5357&lt;&gt;0,P5357*N5357,0)</f>
        <v/>
      </c>
      <c r="R5357" s="8">
        <f>IF(Q5357&lt;&gt;0,Q5357+H5357+L5357,0)</f>
        <v/>
      </c>
      <c r="S5357" s="9">
        <f>VLOOKUP(OPERAC[[#This Row],[especie]],[1]!ESPECIES[#Data],9,FALSE)</f>
        <v/>
      </c>
    </row>
    <row r="5358">
      <c r="A5358" s="4" t="n">
        <v>3728</v>
      </c>
      <c r="B5358" s="5" t="n">
        <v>44553</v>
      </c>
      <c r="C5358" s="13" t="inlineStr">
        <is>
          <t>VTA</t>
        </is>
      </c>
      <c r="D5358" s="13" t="n">
        <v>32</v>
      </c>
      <c r="E5358" s="10">
        <f>IF(D5358&gt;0,VLOOKUP(OPERAC[[#This Row],[COD CART]],[1]!MatrizCortoLargoCyl[#All],3,0),"")</f>
        <v/>
      </c>
      <c r="F5358" s="13" t="inlineStr">
        <is>
          <t>MX</t>
        </is>
      </c>
      <c r="G5358" s="6" t="n">
        <v>100</v>
      </c>
      <c r="H5358" s="6">
        <f>-1867.374+39.266+49.6</f>
        <v/>
      </c>
      <c r="I5358" s="7">
        <f>-H5358/G5358</f>
        <v/>
      </c>
      <c r="J5358" s="11" t="n">
        <v>44643</v>
      </c>
      <c r="K5358" s="6" t="n">
        <v>100</v>
      </c>
      <c r="L5358" s="6" t="n">
        <v>1705.916</v>
      </c>
      <c r="M5358" s="7">
        <f>IF(N5358=0,+L5358+H5358,0)</f>
        <v/>
      </c>
      <c r="N5358" s="7">
        <f>IF((+G5358-K5358)=0,0,+G5358-K5358)</f>
        <v/>
      </c>
      <c r="O5358" s="7">
        <f>IF(N5358=0,0,(L5358+H5358)/-N5358)</f>
        <v/>
      </c>
      <c r="P5358" s="7">
        <f>VLOOKUP(OPERAC[[#This Row],[especie]],[1]!ESPECIES[#All],6,0)</f>
        <v/>
      </c>
      <c r="Q5358" s="7">
        <f>IF(N5358&lt;&gt;0,P5358*N5358,0)</f>
        <v/>
      </c>
      <c r="R5358" s="8">
        <f>IF(Q5358&lt;&gt;0,Q5358+H5358+L5358,0)</f>
        <v/>
      </c>
      <c r="S5358" s="9">
        <f>VLOOKUP(OPERAC[[#This Row],[especie]],[1]!ESPECIES[#Data],9,FALSE)</f>
        <v/>
      </c>
    </row>
    <row r="5359">
      <c r="A5359" s="4" t="n">
        <v>15194</v>
      </c>
      <c r="B5359" s="5" t="n">
        <v>44671</v>
      </c>
      <c r="C5359" s="13" t="inlineStr">
        <is>
          <t>VTA</t>
        </is>
      </c>
      <c r="D5359" s="13" t="n">
        <v>42</v>
      </c>
      <c r="E5359" s="10">
        <f>IF(D5359&gt;0,VLOOKUP(OPERAC[[#This Row],[COD CART]],[1]!MatrizCortoLargoCyl[#All],3,0),"")</f>
        <v/>
      </c>
      <c r="F5359" s="13" t="inlineStr">
        <is>
          <t>NFLX</t>
        </is>
      </c>
      <c r="G5359" s="6" t="n">
        <v>7</v>
      </c>
      <c r="H5359" s="6" t="n">
        <v>-1781.53542</v>
      </c>
      <c r="I5359" s="7">
        <f>-H5359/G5359</f>
        <v/>
      </c>
      <c r="J5359" s="11" t="n">
        <v>44693</v>
      </c>
      <c r="K5359" s="6">
        <f>+OPERAC[[#This Row],[cantidad]]</f>
        <v/>
      </c>
      <c r="L5359" s="6">
        <f>+OPERAC[[#This Row],[cantidad venta]]*169.079</f>
        <v/>
      </c>
      <c r="M5359" s="7">
        <f>IF(N5359=0,+L5359+H5359,0)</f>
        <v/>
      </c>
      <c r="N5359" s="7">
        <f>IF((+G5359-K5359)=0,0,+G5359-K5359)</f>
        <v/>
      </c>
      <c r="O5359" s="7">
        <f>IF(N5359=0,0,(L5359+H5359)/-N5359)</f>
        <v/>
      </c>
      <c r="P5359" s="7">
        <f>VLOOKUP(OPERAC[[#This Row],[especie]],[1]!ESPECIES[#All],6,0)</f>
        <v/>
      </c>
      <c r="Q5359" s="7">
        <f>IF(N5359&lt;&gt;0,P5359*N5359,0)</f>
        <v/>
      </c>
      <c r="R5359" s="8">
        <f>IF(Q5359&lt;&gt;0,Q5359+H5359+L5359,0)</f>
        <v/>
      </c>
      <c r="S5359" s="9">
        <f>VLOOKUP(OPERAC[[#This Row],[especie]],[1]!ESPECIES[#Data],9,FALSE)</f>
        <v/>
      </c>
    </row>
    <row r="5360">
      <c r="A5360" s="4" t="n">
        <v>22407</v>
      </c>
      <c r="B5360" s="5" t="n">
        <v>44671</v>
      </c>
      <c r="C5360" s="13" t="inlineStr">
        <is>
          <t>VTA</t>
        </is>
      </c>
      <c r="D5360" s="13" t="n">
        <v>42</v>
      </c>
      <c r="E5360" s="10">
        <f>IF(D5360&gt;0,VLOOKUP(OPERAC[[#This Row],[COD CART]],[1]!MatrizCortoLargoCyl[#All],3,0),"")</f>
        <v/>
      </c>
      <c r="F5360" s="13" t="inlineStr">
        <is>
          <t>NFLX</t>
        </is>
      </c>
      <c r="G5360" s="6" t="n">
        <v>7</v>
      </c>
      <c r="H5360" s="6" t="n">
        <v>-1781.53542</v>
      </c>
      <c r="I5360" s="7">
        <f>-H5360/G5360</f>
        <v/>
      </c>
      <c r="J5360" s="11" t="n">
        <v>44684</v>
      </c>
      <c r="K5360" s="6" t="n">
        <v>7</v>
      </c>
      <c r="L5360" s="6" t="n">
        <v>1392.195</v>
      </c>
      <c r="M5360" s="7">
        <f>IF(N5360=0,+L5360+H5360,0)</f>
        <v/>
      </c>
      <c r="N5360" s="7">
        <f>IF((+G5360-K5360)=0,0,+G5360-K5360)</f>
        <v/>
      </c>
      <c r="O5360" s="7">
        <f>IF(N5360=0,0,(L5360+H5360)/-N5360)</f>
        <v/>
      </c>
      <c r="P5360" s="7">
        <f>VLOOKUP(OPERAC[[#This Row],[especie]],[1]!ESPECIES[#All],6,0)</f>
        <v/>
      </c>
      <c r="Q5360" s="7">
        <f>IF(N5360&lt;&gt;0,P5360*N5360,0)</f>
        <v/>
      </c>
      <c r="R5360" s="8">
        <f>IF(Q5360&lt;&gt;0,Q5360+H5360+L5360,0)</f>
        <v/>
      </c>
      <c r="S5360" s="9">
        <f>VLOOKUP(OPERAC[[#This Row],[especie]],[1]!ESPECIES[#Data],9,FALSE)</f>
        <v/>
      </c>
    </row>
    <row r="5361">
      <c r="A5361" s="4" t="n">
        <v>20339</v>
      </c>
      <c r="B5361" s="5" t="n">
        <v>44690</v>
      </c>
      <c r="C5361" s="13" t="inlineStr">
        <is>
          <t>VTA</t>
        </is>
      </c>
      <c r="D5361" s="13" t="n">
        <v>40</v>
      </c>
      <c r="E5361" s="10">
        <f>IF(D5361&gt;0,VLOOKUP(OPERAC[[#This Row],[COD CART]],[1]!MatrizCortoLargoCyl[#All],3,0),"")</f>
        <v/>
      </c>
      <c r="F5361" s="13" t="inlineStr">
        <is>
          <t>JNJ</t>
        </is>
      </c>
      <c r="G5361" s="6" t="n">
        <v>10</v>
      </c>
      <c r="H5361" s="6" t="n">
        <v>-1786.589</v>
      </c>
      <c r="I5361" s="7">
        <f>-H5361/G5361</f>
        <v/>
      </c>
      <c r="J5361" s="11" t="n"/>
      <c r="K5361" s="6" t="n"/>
      <c r="L5361" s="6" t="n"/>
      <c r="M5361" s="7">
        <f>IF(N5361=0,+L5361+H5361,0)</f>
        <v/>
      </c>
      <c r="N5361" s="7">
        <f>IF((+G5361-K5361)=0,0,+G5361-K5361)</f>
        <v/>
      </c>
      <c r="O5361" s="7">
        <f>IF(N5361=0,0,(L5361+H5361)/-N5361)</f>
        <v/>
      </c>
      <c r="P5361" s="7">
        <f>VLOOKUP(OPERAC[[#This Row],[especie]],[1]!ESPECIES[#All],6,0)</f>
        <v/>
      </c>
      <c r="Q5361" s="7">
        <f>IF(N5361&lt;&gt;0,P5361*N5361,0)</f>
        <v/>
      </c>
      <c r="R5361" s="8">
        <f>IF(Q5361&lt;&gt;0,Q5361+H5361+L5361,0)</f>
        <v/>
      </c>
      <c r="S5361" s="9">
        <f>VLOOKUP(OPERAC[[#This Row],[especie]],[1]!ESPECIES[#Data],9,FALSE)</f>
        <v/>
      </c>
    </row>
    <row r="5362">
      <c r="A5362" s="4" t="n">
        <v>1760</v>
      </c>
      <c r="B5362" s="5" t="n">
        <v>44670</v>
      </c>
      <c r="C5362" s="13" t="inlineStr">
        <is>
          <t>VTA</t>
        </is>
      </c>
      <c r="D5362" s="13" t="n">
        <v>43</v>
      </c>
      <c r="E5362" s="10">
        <f>IF(D5362&gt;0,VLOOKUP(OPERAC[[#This Row],[COD CART]],[1]!MatrizCortoLargoCyl[#All],3,0),"")</f>
        <v/>
      </c>
      <c r="F5362" s="13" t="inlineStr">
        <is>
          <t>PCT/CYL-PUT/7,50/20-01-23</t>
        </is>
      </c>
      <c r="G5362" s="6" t="n">
        <v>500</v>
      </c>
      <c r="H5362" s="6" t="n">
        <v>-1790.115</v>
      </c>
      <c r="I5362" s="7">
        <f>-H5362/G5362</f>
        <v/>
      </c>
      <c r="J5362" s="11" t="n"/>
      <c r="K5362" s="6" t="n"/>
      <c r="L5362" s="6" t="n"/>
      <c r="M5362" s="7">
        <f>IF(N5362=0,+L5362+H5362,0)</f>
        <v/>
      </c>
      <c r="N5362" s="7">
        <f>IF((+G5362-K5362)=0,0,+G5362-K5362)</f>
        <v/>
      </c>
      <c r="O5362" s="7">
        <f>IF(N5362=0,0,(L5362+H5362)/-N5362)</f>
        <v/>
      </c>
      <c r="P5362" s="7">
        <f>VLOOKUP(OPERAC[[#This Row],[especie]],[1]!ESPECIES[#All],6,0)</f>
        <v/>
      </c>
      <c r="Q5362" s="7">
        <f>IF(N5362&lt;&gt;0,P5362*N5362,0)</f>
        <v/>
      </c>
      <c r="R5362" s="8">
        <f>IF(Q5362&lt;&gt;0,Q5362+H5362+L5362,0)</f>
        <v/>
      </c>
      <c r="S5362" s="9">
        <f>VLOOKUP(OPERAC[[#This Row],[especie]],[1]!ESPECIES[#Data],9,FALSE)</f>
        <v/>
      </c>
    </row>
    <row r="5363">
      <c r="A5363" s="4" t="n">
        <v>16783</v>
      </c>
      <c r="B5363" s="5" t="n">
        <v>44147</v>
      </c>
      <c r="C5363" s="13" t="inlineStr">
        <is>
          <t>VTA</t>
        </is>
      </c>
      <c r="D5363" s="13" t="n">
        <v>32</v>
      </c>
      <c r="E5363" s="10">
        <f>IF(D5363&gt;0,VLOOKUP(OPERAC[[#This Row],[COD CART]],[1]!MatrizCortoLargoCyl[#All],3,0),"")</f>
        <v/>
      </c>
      <c r="F5363" s="13" t="inlineStr">
        <is>
          <t>MNKD/CYL/3,00/20-01-23</t>
        </is>
      </c>
      <c r="G5363" s="6" t="n">
        <v>1000</v>
      </c>
      <c r="H5363" s="6" t="n">
        <v>-1790.8718</v>
      </c>
      <c r="I5363" s="7">
        <f>-H5363/G5363</f>
        <v/>
      </c>
      <c r="J5363" s="11" t="n"/>
      <c r="K5363" s="6" t="n"/>
      <c r="L5363" s="6" t="n"/>
      <c r="M5363" s="7">
        <f>IF(N5363=0,+L5363+H5363,0)</f>
        <v/>
      </c>
      <c r="N5363" s="7">
        <f>IF((+G5363-K5363)=0,0,+G5363-K5363)</f>
        <v/>
      </c>
      <c r="O5363" s="7">
        <f>IF(N5363=0,0,(L5363+H5363)/-N5363)</f>
        <v/>
      </c>
      <c r="P5363" s="7">
        <f>VLOOKUP(OPERAC[[#This Row],[especie]],[1]!ESPECIES[#All],6,0)</f>
        <v/>
      </c>
      <c r="Q5363" s="7">
        <f>IF(N5363&lt;&gt;0,P5363*N5363,0)</f>
        <v/>
      </c>
      <c r="R5363" s="8">
        <f>IF(Q5363&lt;&gt;0,Q5363+H5363+L5363,0)</f>
        <v/>
      </c>
      <c r="S5363" s="9">
        <f>VLOOKUP(OPERAC[[#This Row],[especie]],[1]!ESPECIES[#Data],9,FALSE)</f>
        <v/>
      </c>
    </row>
    <row r="5364">
      <c r="A5364" s="4" t="n">
        <v>3853</v>
      </c>
      <c r="B5364" s="5" t="n">
        <v>44552</v>
      </c>
      <c r="C5364" s="13" t="inlineStr">
        <is>
          <t>VTA</t>
        </is>
      </c>
      <c r="D5364" s="13" t="n">
        <v>32</v>
      </c>
      <c r="E5364" s="10">
        <f>IF(D5364&gt;0,VLOOKUP(OPERAC[[#This Row],[COD CART]],[1]!MatrizCortoLargoCyl[#All],3,0),"")</f>
        <v/>
      </c>
      <c r="F5364" s="13" t="inlineStr">
        <is>
          <t>MX</t>
        </is>
      </c>
      <c r="G5364" s="6" t="n">
        <v>100</v>
      </c>
      <c r="H5364" s="6">
        <f>-1879.692+38.986+49.6</f>
        <v/>
      </c>
      <c r="I5364" s="7">
        <f>-H5364/G5364</f>
        <v/>
      </c>
      <c r="J5364" s="11" t="n">
        <v>44643</v>
      </c>
      <c r="K5364" s="6" t="n">
        <v>100</v>
      </c>
      <c r="L5364" s="6" t="n">
        <v>1705.916</v>
      </c>
      <c r="M5364" s="7">
        <f>IF(N5364=0,+L5364+H5364,0)</f>
        <v/>
      </c>
      <c r="N5364" s="7">
        <f>IF((+G5364-K5364)=0,0,+G5364-K5364)</f>
        <v/>
      </c>
      <c r="O5364" s="7">
        <f>IF(N5364=0,0,(L5364+H5364)/-N5364)</f>
        <v/>
      </c>
      <c r="P5364" s="7">
        <f>VLOOKUP(OPERAC[[#This Row],[especie]],[1]!ESPECIES[#All],6,0)</f>
        <v/>
      </c>
      <c r="Q5364" s="7">
        <f>IF(N5364&lt;&gt;0,P5364*N5364,0)</f>
        <v/>
      </c>
      <c r="R5364" s="8">
        <f>IF(Q5364&lt;&gt;0,Q5364+H5364+L5364,0)</f>
        <v/>
      </c>
      <c r="S5364" s="9">
        <f>VLOOKUP(OPERAC[[#This Row],[especie]],[1]!ESPECIES[#Data],9,FALSE)</f>
        <v/>
      </c>
    </row>
    <row r="5365">
      <c r="A5365" s="4" t="n">
        <v>7493</v>
      </c>
      <c r="B5365" s="5" t="n">
        <v>44552</v>
      </c>
      <c r="C5365" s="13" t="inlineStr">
        <is>
          <t>VTA</t>
        </is>
      </c>
      <c r="D5365" s="13" t="n">
        <v>32</v>
      </c>
      <c r="E5365" s="10">
        <f>IF(D5365&gt;0,VLOOKUP(OPERAC[[#This Row],[COD CART]],[1]!MatrizCortoLargoCyl[#All],3,0),"")</f>
        <v/>
      </c>
      <c r="F5365" s="13" t="inlineStr">
        <is>
          <t>MX</t>
        </is>
      </c>
      <c r="G5365" s="6" t="n">
        <v>100</v>
      </c>
      <c r="H5365" s="6">
        <f>-1879.692+38.986+49.6</f>
        <v/>
      </c>
      <c r="I5365" s="7">
        <f>-H5365/G5365</f>
        <v/>
      </c>
      <c r="J5365" s="11" t="n">
        <v>44643</v>
      </c>
      <c r="K5365" s="6" t="n">
        <v>100</v>
      </c>
      <c r="L5365" s="6" t="n">
        <v>1705.916</v>
      </c>
      <c r="M5365" s="7">
        <f>IF(N5365=0,+L5365+H5365,0)</f>
        <v/>
      </c>
      <c r="N5365" s="7">
        <f>IF((+G5365-K5365)=0,0,+G5365-K5365)</f>
        <v/>
      </c>
      <c r="O5365" s="7">
        <f>IF(N5365=0,0,(L5365+H5365)/-N5365)</f>
        <v/>
      </c>
      <c r="P5365" s="7">
        <f>VLOOKUP(OPERAC[[#This Row],[especie]],[1]!ESPECIES[#All],6,0)</f>
        <v/>
      </c>
      <c r="Q5365" s="7">
        <f>IF(N5365&lt;&gt;0,P5365*N5365,0)</f>
        <v/>
      </c>
      <c r="R5365" s="8">
        <f>IF(Q5365&lt;&gt;0,Q5365+H5365+L5365,0)</f>
        <v/>
      </c>
      <c r="S5365" s="9">
        <f>VLOOKUP(OPERAC[[#This Row],[especie]],[1]!ESPECIES[#Data],9,FALSE)</f>
        <v/>
      </c>
    </row>
    <row r="5366">
      <c r="A5366" s="4" t="n">
        <v>15194</v>
      </c>
      <c r="B5366" s="5" t="n">
        <v>44552</v>
      </c>
      <c r="C5366" s="13" t="inlineStr">
        <is>
          <t>VTA</t>
        </is>
      </c>
      <c r="D5366" s="13" t="n">
        <v>32</v>
      </c>
      <c r="E5366" s="10">
        <f>IF(D5366&gt;0,VLOOKUP(OPERAC[[#This Row],[COD CART]],[1]!MatrizCortoLargoCyl[#All],3,0),"")</f>
        <v/>
      </c>
      <c r="F5366" s="13" t="inlineStr">
        <is>
          <t>MX</t>
        </is>
      </c>
      <c r="G5366" s="6" t="n">
        <v>100</v>
      </c>
      <c r="H5366" s="6">
        <f>-1879.692+38.986+49.6</f>
        <v/>
      </c>
      <c r="I5366" s="7">
        <f>-H5366/G5366</f>
        <v/>
      </c>
      <c r="J5366" s="11" t="n">
        <v>44643</v>
      </c>
      <c r="K5366" s="6" t="n">
        <v>100</v>
      </c>
      <c r="L5366" s="6" t="n">
        <v>1705.916</v>
      </c>
      <c r="M5366" s="7">
        <f>IF(N5366=0,+L5366+H5366,0)</f>
        <v/>
      </c>
      <c r="N5366" s="7">
        <f>IF((+G5366-K5366)=0,0,+G5366-K5366)</f>
        <v/>
      </c>
      <c r="O5366" s="7">
        <f>IF(N5366=0,0,(L5366+H5366)/-N5366)</f>
        <v/>
      </c>
      <c r="P5366" s="7">
        <f>VLOOKUP(OPERAC[[#This Row],[especie]],[1]!ESPECIES[#All],6,0)</f>
        <v/>
      </c>
      <c r="Q5366" s="7">
        <f>IF(N5366&lt;&gt;0,P5366*N5366,0)</f>
        <v/>
      </c>
      <c r="R5366" s="8">
        <f>IF(Q5366&lt;&gt;0,Q5366+H5366+L5366,0)</f>
        <v/>
      </c>
      <c r="S5366" s="9">
        <f>VLOOKUP(OPERAC[[#This Row],[especie]],[1]!ESPECIES[#Data],9,FALSE)</f>
        <v/>
      </c>
    </row>
    <row r="5367">
      <c r="A5367" s="4" t="n">
        <v>16780</v>
      </c>
      <c r="B5367" s="5" t="n">
        <v>44552</v>
      </c>
      <c r="C5367" s="13" t="inlineStr">
        <is>
          <t>VTA</t>
        </is>
      </c>
      <c r="D5367" s="13" t="n">
        <v>32</v>
      </c>
      <c r="E5367" s="10">
        <f>IF(D5367&gt;0,VLOOKUP(OPERAC[[#This Row],[COD CART]],[1]!MatrizCortoLargoCyl[#All],3,0),"")</f>
        <v/>
      </c>
      <c r="F5367" s="13" t="inlineStr">
        <is>
          <t>MX</t>
        </is>
      </c>
      <c r="G5367" s="6" t="n">
        <v>100</v>
      </c>
      <c r="H5367" s="6">
        <f>-1879.692+38.986+49.6</f>
        <v/>
      </c>
      <c r="I5367" s="7">
        <f>-H5367/G5367</f>
        <v/>
      </c>
      <c r="J5367" s="11" t="n">
        <v>44643</v>
      </c>
      <c r="K5367" s="6" t="n">
        <v>100</v>
      </c>
      <c r="L5367" s="6" t="n">
        <v>1705.916</v>
      </c>
      <c r="M5367" s="7">
        <f>IF(N5367=0,+L5367+H5367,0)</f>
        <v/>
      </c>
      <c r="N5367" s="7">
        <f>IF((+G5367-K5367)=0,0,+G5367-K5367)</f>
        <v/>
      </c>
      <c r="O5367" s="7">
        <f>IF(N5367=0,0,(L5367+H5367)/-N5367)</f>
        <v/>
      </c>
      <c r="P5367" s="7">
        <f>VLOOKUP(OPERAC[[#This Row],[especie]],[1]!ESPECIES[#All],6,0)</f>
        <v/>
      </c>
      <c r="Q5367" s="7">
        <f>IF(N5367&lt;&gt;0,P5367*N5367,0)</f>
        <v/>
      </c>
      <c r="R5367" s="8">
        <f>IF(Q5367&lt;&gt;0,Q5367+H5367+L5367,0)</f>
        <v/>
      </c>
      <c r="S5367" s="9">
        <f>VLOOKUP(OPERAC[[#This Row],[especie]],[1]!ESPECIES[#Data],9,FALSE)</f>
        <v/>
      </c>
    </row>
    <row r="5368">
      <c r="A5368" s="4" t="n">
        <v>22393</v>
      </c>
      <c r="B5368" s="5" t="n">
        <v>44552</v>
      </c>
      <c r="C5368" s="13" t="inlineStr">
        <is>
          <t>VTA</t>
        </is>
      </c>
      <c r="D5368" s="13" t="n">
        <v>32</v>
      </c>
      <c r="E5368" s="10">
        <f>IF(D5368&gt;0,VLOOKUP(OPERAC[[#This Row],[COD CART]],[1]!MatrizCortoLargoCyl[#All],3,0),"")</f>
        <v/>
      </c>
      <c r="F5368" s="13" t="inlineStr">
        <is>
          <t>MX</t>
        </is>
      </c>
      <c r="G5368" s="6" t="n">
        <v>100</v>
      </c>
      <c r="H5368" s="6">
        <f>-1879.692+38.986+49.6</f>
        <v/>
      </c>
      <c r="I5368" s="7">
        <f>-H5368/G5368</f>
        <v/>
      </c>
      <c r="J5368" s="11" t="n">
        <v>44643</v>
      </c>
      <c r="K5368" s="6" t="n">
        <v>100</v>
      </c>
      <c r="L5368" s="6" t="n">
        <v>1705.916</v>
      </c>
      <c r="M5368" s="7">
        <f>IF(N5368=0,+L5368+H5368,0)</f>
        <v/>
      </c>
      <c r="N5368" s="7">
        <f>IF((+G5368-K5368)=0,0,+G5368-K5368)</f>
        <v/>
      </c>
      <c r="O5368" s="7">
        <f>IF(N5368=0,0,(L5368+H5368)/-N5368)</f>
        <v/>
      </c>
      <c r="P5368" s="7">
        <f>VLOOKUP(OPERAC[[#This Row],[especie]],[1]!ESPECIES[#All],6,0)</f>
        <v/>
      </c>
      <c r="Q5368" s="7">
        <f>IF(N5368&lt;&gt;0,P5368*N5368,0)</f>
        <v/>
      </c>
      <c r="R5368" s="8">
        <f>IF(Q5368&lt;&gt;0,Q5368+H5368+L5368,0)</f>
        <v/>
      </c>
      <c r="S5368" s="9">
        <f>VLOOKUP(OPERAC[[#This Row],[especie]],[1]!ESPECIES[#Data],9,FALSE)</f>
        <v/>
      </c>
    </row>
    <row r="5369">
      <c r="A5369" s="4" t="n">
        <v>19972</v>
      </c>
      <c r="B5369" s="5" t="n">
        <v>44628</v>
      </c>
      <c r="C5369" s="13" t="inlineStr">
        <is>
          <t>VTA</t>
        </is>
      </c>
      <c r="D5369" s="13" t="n">
        <v>32</v>
      </c>
      <c r="E5369" s="10">
        <f>IF(D5369&gt;0,VLOOKUP(OPERAC[[#This Row],[COD CART]],[1]!MatrizCortoLargoCyl[#All],3,0),"")</f>
        <v/>
      </c>
      <c r="F5369" s="13" t="inlineStr">
        <is>
          <t>SPWR/CYL/20,00/14-04-22</t>
        </is>
      </c>
      <c r="G5369" s="6" t="n">
        <v>100</v>
      </c>
      <c r="H5369" s="6" t="n">
        <v>-1794.95</v>
      </c>
      <c r="I5369" s="7">
        <f>-H5369/G5369</f>
        <v/>
      </c>
      <c r="J5369" s="11" t="n">
        <v>44663</v>
      </c>
      <c r="K5369" s="6" t="n">
        <v>100</v>
      </c>
      <c r="L5369" s="6" t="n">
        <v>1975.46</v>
      </c>
      <c r="M5369" s="7">
        <f>IF(N5369=0,+L5369+H5369,0)</f>
        <v/>
      </c>
      <c r="N5369" s="7">
        <f>IF((+G5369-K5369)=0,0,+G5369-K5369)</f>
        <v/>
      </c>
      <c r="O5369" s="7">
        <f>IF(N5369=0,0,(L5369+H5369)/-N5369)</f>
        <v/>
      </c>
      <c r="P5369" s="7">
        <f>VLOOKUP(OPERAC[[#This Row],[especie]],[1]!ESPECIES[#All],6,0)</f>
        <v/>
      </c>
      <c r="Q5369" s="7">
        <f>IF(N5369&lt;&gt;0,P5369*N5369,0)</f>
        <v/>
      </c>
      <c r="R5369" s="8">
        <f>IF(Q5369&lt;&gt;0,Q5369+H5369+L5369,0)</f>
        <v/>
      </c>
      <c r="S5369" s="9">
        <f>VLOOKUP(OPERAC[[#This Row],[especie]],[1]!ESPECIES[#Data],9,FALSE)</f>
        <v/>
      </c>
    </row>
    <row r="5370">
      <c r="A5370" s="4" t="n">
        <v>15189</v>
      </c>
      <c r="B5370" s="5" t="n">
        <v>44537</v>
      </c>
      <c r="C5370" s="13" t="inlineStr">
        <is>
          <t>VTA</t>
        </is>
      </c>
      <c r="D5370" s="13" t="n">
        <v>43</v>
      </c>
      <c r="E5370" s="10">
        <f>IF(D5370&gt;0,VLOOKUP(OPERAC[[#This Row],[COD CART]],[1]!MatrizCortoLargoCyl[#All],3,0),"")</f>
        <v/>
      </c>
      <c r="F5370" s="13" t="inlineStr">
        <is>
          <t>HEXO/CYL-PUT/1,00/20-01-23</t>
        </is>
      </c>
      <c r="G5370" s="6" t="n">
        <v>10000</v>
      </c>
      <c r="H5370" s="6">
        <f>-0.18*OPERAC[[#This Row],[cantidad]]</f>
        <v/>
      </c>
      <c r="I5370" s="7">
        <f>-H5370/G5370</f>
        <v/>
      </c>
      <c r="J5370" s="11" t="n"/>
      <c r="K5370" s="6" t="n"/>
      <c r="L5370" s="6" t="n"/>
      <c r="M5370" s="7">
        <f>IF(N5370=0,+L5370+H5370,0)</f>
        <v/>
      </c>
      <c r="N5370" s="7">
        <f>IF((+G5370-K5370)=0,0,+G5370-K5370)</f>
        <v/>
      </c>
      <c r="O5370" s="7">
        <f>IF(N5370=0,0,(L5370+H5370)/-N5370)</f>
        <v/>
      </c>
      <c r="P5370" s="7">
        <f>VLOOKUP(OPERAC[[#This Row],[especie]],[1]!ESPECIES[#All],6,0)</f>
        <v/>
      </c>
      <c r="Q5370" s="7">
        <f>IF(N5370&lt;&gt;0,P5370*N5370,0)</f>
        <v/>
      </c>
      <c r="R5370" s="8">
        <f>IF(Q5370&lt;&gt;0,Q5370+H5370+L5370,0)</f>
        <v/>
      </c>
      <c r="S5370" s="9">
        <f>VLOOKUP(OPERAC[[#This Row],[especie]],[1]!ESPECIES[#Data],9,FALSE)</f>
        <v/>
      </c>
    </row>
    <row r="5371">
      <c r="A5371" s="4" t="n">
        <v>13253</v>
      </c>
      <c r="B5371" s="5" t="n">
        <v>44714</v>
      </c>
      <c r="C5371" s="13" t="inlineStr">
        <is>
          <t>VTA</t>
        </is>
      </c>
      <c r="D5371" s="13" t="n">
        <v>41</v>
      </c>
      <c r="E5371" s="10">
        <f>IF(D5371&gt;0,VLOOKUP(OPERAC[[#This Row],[COD CART]],[1]!MatrizCortoLargoCyl[#All],3,0),"")</f>
        <v/>
      </c>
      <c r="F5371" s="13" t="inlineStr">
        <is>
          <t>MPW</t>
        </is>
      </c>
      <c r="G5371" s="6" t="n">
        <v>100</v>
      </c>
      <c r="H5371" s="6" t="n">
        <v>-1800.677</v>
      </c>
      <c r="I5371" s="7">
        <f>-H5371/G5371</f>
        <v/>
      </c>
      <c r="J5371" s="5" t="n"/>
      <c r="K5371" s="6" t="n"/>
      <c r="L5371" s="6" t="n"/>
      <c r="M5371" s="7">
        <f>IF(N5371=0,+L5371+H5371,0)</f>
        <v/>
      </c>
      <c r="N5371" s="7">
        <f>IF((+G5371-K5371)=0,0,+G5371-K5371)</f>
        <v/>
      </c>
      <c r="O5371" s="7">
        <f>IF(N5371=0,0,(L5371+H5371)/-N5371)</f>
        <v/>
      </c>
      <c r="P5371" s="7">
        <f>VLOOKUP(OPERAC[[#This Row],[especie]],[1]!ESPECIES[#All],6,0)</f>
        <v/>
      </c>
      <c r="Q5371" s="7">
        <f>IF(N5371&lt;&gt;0,P5371*N5371,0)</f>
        <v/>
      </c>
      <c r="R5371" s="8">
        <f>IF(Q5371&lt;&gt;0,Q5371+H5371+L5371,0)</f>
        <v/>
      </c>
      <c r="S5371" s="9">
        <f>VLOOKUP(OPERAC[[#This Row],[especie]],[1]!ESPECIES[#Data],9,FALSE)</f>
        <v/>
      </c>
    </row>
    <row r="5372">
      <c r="A5372" s="4" t="n">
        <v>3787</v>
      </c>
      <c r="B5372" s="5" t="n">
        <v>44552</v>
      </c>
      <c r="C5372" s="13" t="inlineStr">
        <is>
          <t>VTA</t>
        </is>
      </c>
      <c r="D5372" s="13" t="n">
        <v>32</v>
      </c>
      <c r="E5372" s="10">
        <f>IF(D5372&gt;0,VLOOKUP(OPERAC[[#This Row],[COD CART]],[1]!MatrizCortoLargoCyl[#All],3,0),"")</f>
        <v/>
      </c>
      <c r="F5372" s="13" t="inlineStr">
        <is>
          <t>GOLD/CYL/19,00/21-01-22</t>
        </is>
      </c>
      <c r="G5372" s="6" t="n">
        <v>100</v>
      </c>
      <c r="H5372" s="6" t="n">
        <v>-1807.894</v>
      </c>
      <c r="I5372" s="7">
        <f>-H5372/G5372</f>
        <v/>
      </c>
      <c r="J5372" s="11" t="n">
        <v>44580</v>
      </c>
      <c r="K5372" s="6" t="n">
        <v>100</v>
      </c>
      <c r="L5372" s="6" t="n">
        <v>1876.846</v>
      </c>
      <c r="M5372" s="7">
        <f>IF(N5372=0,+L5372+H5372,0)</f>
        <v/>
      </c>
      <c r="N5372" s="7">
        <f>IF((+G5372-K5372)=0,0,+G5372-K5372)</f>
        <v/>
      </c>
      <c r="O5372" s="7">
        <f>IF(N5372=0,0,(L5372+H5372)/-N5372)</f>
        <v/>
      </c>
      <c r="P5372" s="7">
        <f>VLOOKUP(OPERAC[[#This Row],[especie]],[1]!ESPECIES[#All],6,0)</f>
        <v/>
      </c>
      <c r="Q5372" s="7">
        <f>IF(N5372&lt;&gt;0,P5372*N5372,0)</f>
        <v/>
      </c>
      <c r="R5372" s="8">
        <f>IF(Q5372&lt;&gt;0,Q5372+H5372+L5372,0)</f>
        <v/>
      </c>
      <c r="S5372" s="9">
        <f>VLOOKUP(OPERAC[[#This Row],[especie]],[1]!ESPECIES[#Data],9,FALSE)</f>
        <v/>
      </c>
    </row>
    <row r="5373">
      <c r="A5373" s="4" t="n">
        <v>3853</v>
      </c>
      <c r="B5373" s="5" t="n">
        <v>44552</v>
      </c>
      <c r="C5373" s="13" t="inlineStr">
        <is>
          <t>VTA</t>
        </is>
      </c>
      <c r="D5373" s="13" t="n">
        <v>32</v>
      </c>
      <c r="E5373" s="10">
        <f>IF(D5373&gt;0,VLOOKUP(OPERAC[[#This Row],[COD CART]],[1]!MatrizCortoLargoCyl[#All],3,0),"")</f>
        <v/>
      </c>
      <c r="F5373" s="13" t="inlineStr">
        <is>
          <t>GOLD/CYL/19,00/21-01-22</t>
        </is>
      </c>
      <c r="G5373" s="6" t="n">
        <v>100</v>
      </c>
      <c r="H5373" s="6">
        <f>-18.08*OPERAC[[#This Row],[cantidad]]</f>
        <v/>
      </c>
      <c r="I5373" s="7">
        <f>-H5373/G5373</f>
        <v/>
      </c>
      <c r="J5373" s="11" t="n">
        <v>44580</v>
      </c>
      <c r="K5373" s="6" t="n">
        <v>100</v>
      </c>
      <c r="L5373" s="6" t="n">
        <v>1876.846</v>
      </c>
      <c r="M5373" s="7">
        <f>IF(N5373=0,+L5373+H5373,0)</f>
        <v/>
      </c>
      <c r="N5373" s="7">
        <f>IF((+G5373-K5373)=0,0,+G5373-K5373)</f>
        <v/>
      </c>
      <c r="O5373" s="7">
        <f>IF(N5373=0,0,(L5373+H5373)/-N5373)</f>
        <v/>
      </c>
      <c r="P5373" s="7">
        <f>VLOOKUP(OPERAC[[#This Row],[especie]],[1]!ESPECIES[#All],6,0)</f>
        <v/>
      </c>
      <c r="Q5373" s="7">
        <f>IF(N5373&lt;&gt;0,P5373*N5373,0)</f>
        <v/>
      </c>
      <c r="R5373" s="8">
        <f>IF(Q5373&lt;&gt;0,Q5373+H5373+L5373,0)</f>
        <v/>
      </c>
      <c r="S5373" s="9">
        <f>VLOOKUP(OPERAC[[#This Row],[especie]],[1]!ESPECIES[#Data],9,FALSE)</f>
        <v/>
      </c>
    </row>
    <row r="5374">
      <c r="A5374" s="4" t="n">
        <v>3867</v>
      </c>
      <c r="B5374" s="5" t="n">
        <v>44552</v>
      </c>
      <c r="C5374" s="13" t="inlineStr">
        <is>
          <t>VTA</t>
        </is>
      </c>
      <c r="D5374" s="13" t="n">
        <v>32</v>
      </c>
      <c r="E5374" s="10">
        <f>IF(D5374&gt;0,VLOOKUP(OPERAC[[#This Row],[COD CART]],[1]!MatrizCortoLargoCyl[#All],3,0),"")</f>
        <v/>
      </c>
      <c r="F5374" s="13" t="inlineStr">
        <is>
          <t>GOLD/CYL/19,00/21-01-22</t>
        </is>
      </c>
      <c r="G5374" s="6" t="n">
        <v>100</v>
      </c>
      <c r="H5374" s="6">
        <f>-18.08*OPERAC[[#This Row],[cantidad]]</f>
        <v/>
      </c>
      <c r="I5374" s="7">
        <f>-H5374/G5374</f>
        <v/>
      </c>
      <c r="J5374" s="11" t="n">
        <v>44580</v>
      </c>
      <c r="K5374" s="6" t="n">
        <v>100</v>
      </c>
      <c r="L5374" s="6" t="n">
        <v>1876.846</v>
      </c>
      <c r="M5374" s="7">
        <f>IF(N5374=0,+L5374+H5374,0)</f>
        <v/>
      </c>
      <c r="N5374" s="7">
        <f>IF((+G5374-K5374)=0,0,+G5374-K5374)</f>
        <v/>
      </c>
      <c r="O5374" s="7">
        <f>IF(N5374=0,0,(L5374+H5374)/-N5374)</f>
        <v/>
      </c>
      <c r="P5374" s="7">
        <f>VLOOKUP(OPERAC[[#This Row],[especie]],[1]!ESPECIES[#All],6,0)</f>
        <v/>
      </c>
      <c r="Q5374" s="7">
        <f>IF(N5374&lt;&gt;0,P5374*N5374,0)</f>
        <v/>
      </c>
      <c r="R5374" s="8">
        <f>IF(Q5374&lt;&gt;0,Q5374+H5374+L5374,0)</f>
        <v/>
      </c>
      <c r="S5374" s="9">
        <f>VLOOKUP(OPERAC[[#This Row],[especie]],[1]!ESPECIES[#Data],9,FALSE)</f>
        <v/>
      </c>
    </row>
    <row r="5375">
      <c r="A5375" s="4" t="n">
        <v>6579</v>
      </c>
      <c r="B5375" s="5" t="n">
        <v>44552</v>
      </c>
      <c r="C5375" s="13" t="inlineStr">
        <is>
          <t>VTA</t>
        </is>
      </c>
      <c r="D5375" s="13" t="n">
        <v>32</v>
      </c>
      <c r="E5375" s="10">
        <f>IF(D5375&gt;0,VLOOKUP(OPERAC[[#This Row],[COD CART]],[1]!MatrizCortoLargoCyl[#All],3,0),"")</f>
        <v/>
      </c>
      <c r="F5375" s="13" t="inlineStr">
        <is>
          <t>GOLD/CYL/19,00/21-01-22</t>
        </is>
      </c>
      <c r="G5375" s="6" t="n">
        <v>100</v>
      </c>
      <c r="H5375" s="6">
        <f>-18.08*OPERAC[[#This Row],[cantidad]]</f>
        <v/>
      </c>
      <c r="I5375" s="7">
        <f>-H5375/G5375</f>
        <v/>
      </c>
      <c r="J5375" s="11" t="n">
        <v>44580</v>
      </c>
      <c r="K5375" s="6" t="n">
        <v>100</v>
      </c>
      <c r="L5375" s="6" t="n">
        <v>1876.846</v>
      </c>
      <c r="M5375" s="7">
        <f>IF(N5375=0,+L5375+H5375,0)</f>
        <v/>
      </c>
      <c r="N5375" s="7">
        <f>IF((+G5375-K5375)=0,0,+G5375-K5375)</f>
        <v/>
      </c>
      <c r="O5375" s="7">
        <f>IF(N5375=0,0,(L5375+H5375)/-N5375)</f>
        <v/>
      </c>
      <c r="P5375" s="7">
        <f>VLOOKUP(OPERAC[[#This Row],[especie]],[1]!ESPECIES[#All],6,0)</f>
        <v/>
      </c>
      <c r="Q5375" s="7">
        <f>IF(N5375&lt;&gt;0,P5375*N5375,0)</f>
        <v/>
      </c>
      <c r="R5375" s="8">
        <f>IF(Q5375&lt;&gt;0,Q5375+H5375+L5375,0)</f>
        <v/>
      </c>
      <c r="S5375" s="9">
        <f>VLOOKUP(OPERAC[[#This Row],[especie]],[1]!ESPECIES[#Data],9,FALSE)</f>
        <v/>
      </c>
    </row>
    <row r="5376">
      <c r="A5376" s="4" t="n">
        <v>7493</v>
      </c>
      <c r="B5376" s="5" t="n">
        <v>44552</v>
      </c>
      <c r="C5376" s="13" t="inlineStr">
        <is>
          <t>VTA</t>
        </is>
      </c>
      <c r="D5376" s="13" t="n">
        <v>32</v>
      </c>
      <c r="E5376" s="10">
        <f>IF(D5376&gt;0,VLOOKUP(OPERAC[[#This Row],[COD CART]],[1]!MatrizCortoLargoCyl[#All],3,0),"")</f>
        <v/>
      </c>
      <c r="F5376" s="13" t="inlineStr">
        <is>
          <t>GOLD/CYL/19,00/21-01-22</t>
        </is>
      </c>
      <c r="G5376" s="6" t="n">
        <v>100</v>
      </c>
      <c r="H5376" s="6">
        <f>-18.08*OPERAC[[#This Row],[cantidad]]</f>
        <v/>
      </c>
      <c r="I5376" s="7">
        <f>-H5376/G5376</f>
        <v/>
      </c>
      <c r="J5376" s="11" t="n">
        <v>44580</v>
      </c>
      <c r="K5376" s="6" t="n">
        <v>100</v>
      </c>
      <c r="L5376" s="6" t="n">
        <v>1876.846</v>
      </c>
      <c r="M5376" s="7">
        <f>IF(N5376=0,+L5376+H5376,0)</f>
        <v/>
      </c>
      <c r="N5376" s="7">
        <f>IF((+G5376-K5376)=0,0,+G5376-K5376)</f>
        <v/>
      </c>
      <c r="O5376" s="7">
        <f>IF(N5376=0,0,(L5376+H5376)/-N5376)</f>
        <v/>
      </c>
      <c r="P5376" s="7">
        <f>VLOOKUP(OPERAC[[#This Row],[especie]],[1]!ESPECIES[#All],6,0)</f>
        <v/>
      </c>
      <c r="Q5376" s="7">
        <f>IF(N5376&lt;&gt;0,P5376*N5376,0)</f>
        <v/>
      </c>
      <c r="R5376" s="8">
        <f>IF(Q5376&lt;&gt;0,Q5376+H5376+L5376,0)</f>
        <v/>
      </c>
      <c r="S5376" s="9">
        <f>VLOOKUP(OPERAC[[#This Row],[especie]],[1]!ESPECIES[#Data],9,FALSE)</f>
        <v/>
      </c>
    </row>
    <row r="5377">
      <c r="A5377" s="4" t="n">
        <v>11168</v>
      </c>
      <c r="B5377" s="5" t="n">
        <v>44552</v>
      </c>
      <c r="C5377" s="13" t="inlineStr">
        <is>
          <t>VTA</t>
        </is>
      </c>
      <c r="D5377" s="13" t="n">
        <v>32</v>
      </c>
      <c r="E5377" s="10">
        <f>IF(D5377&gt;0,VLOOKUP(OPERAC[[#This Row],[COD CART]],[1]!MatrizCortoLargoCyl[#All],3,0),"")</f>
        <v/>
      </c>
      <c r="F5377" s="13" t="inlineStr">
        <is>
          <t>GOLD/CYL/19,00/21-01-22</t>
        </is>
      </c>
      <c r="G5377" s="6" t="n">
        <v>100</v>
      </c>
      <c r="H5377" s="6">
        <f>-18.08*OPERAC[[#This Row],[cantidad]]</f>
        <v/>
      </c>
      <c r="I5377" s="7">
        <f>-H5377/G5377</f>
        <v/>
      </c>
      <c r="J5377" s="11" t="n">
        <v>44580</v>
      </c>
      <c r="K5377" s="6" t="n">
        <v>100</v>
      </c>
      <c r="L5377" s="6" t="n">
        <v>1876.846</v>
      </c>
      <c r="M5377" s="7">
        <f>IF(N5377=0,+L5377+H5377,0)</f>
        <v/>
      </c>
      <c r="N5377" s="7">
        <f>IF((+G5377-K5377)=0,0,+G5377-K5377)</f>
        <v/>
      </c>
      <c r="O5377" s="7">
        <f>IF(N5377=0,0,(L5377+H5377)/-N5377)</f>
        <v/>
      </c>
      <c r="P5377" s="7">
        <f>VLOOKUP(OPERAC[[#This Row],[especie]],[1]!ESPECIES[#All],6,0)</f>
        <v/>
      </c>
      <c r="Q5377" s="7">
        <f>IF(N5377&lt;&gt;0,P5377*N5377,0)</f>
        <v/>
      </c>
      <c r="R5377" s="8">
        <f>IF(Q5377&lt;&gt;0,Q5377+H5377+L5377,0)</f>
        <v/>
      </c>
      <c r="S5377" s="9">
        <f>VLOOKUP(OPERAC[[#This Row],[especie]],[1]!ESPECIES[#Data],9,FALSE)</f>
        <v/>
      </c>
    </row>
    <row r="5378">
      <c r="A5378" s="4" t="n">
        <v>12671</v>
      </c>
      <c r="B5378" s="5" t="n">
        <v>44552</v>
      </c>
      <c r="C5378" s="13" t="inlineStr">
        <is>
          <t>VTA</t>
        </is>
      </c>
      <c r="D5378" s="13" t="n">
        <v>32</v>
      </c>
      <c r="E5378" s="10">
        <f>IF(D5378&gt;0,VLOOKUP(OPERAC[[#This Row],[COD CART]],[1]!MatrizCortoLargoCyl[#All],3,0),"")</f>
        <v/>
      </c>
      <c r="F5378" s="13" t="inlineStr">
        <is>
          <t>GOLD/CYL/19,00/21-01-22</t>
        </is>
      </c>
      <c r="G5378" s="6" t="n">
        <v>100</v>
      </c>
      <c r="H5378" s="6">
        <f>-18.08*OPERAC[[#This Row],[cantidad]]</f>
        <v/>
      </c>
      <c r="I5378" s="7">
        <f>-H5378/G5378</f>
        <v/>
      </c>
      <c r="J5378" s="11" t="n">
        <v>44575</v>
      </c>
      <c r="K5378" s="6" t="n">
        <v>100</v>
      </c>
      <c r="L5378" s="6" t="n">
        <v>1829.47</v>
      </c>
      <c r="M5378" s="7">
        <f>IF(N5378=0,+L5378+H5378,0)</f>
        <v/>
      </c>
      <c r="N5378" s="7">
        <f>IF((+G5378-K5378)=0,0,+G5378-K5378)</f>
        <v/>
      </c>
      <c r="O5378" s="7">
        <f>IF(N5378=0,0,(L5378+H5378)/-N5378)</f>
        <v/>
      </c>
      <c r="P5378" s="7">
        <f>VLOOKUP(OPERAC[[#This Row],[especie]],[1]!ESPECIES[#All],6,0)</f>
        <v/>
      </c>
      <c r="Q5378" s="7">
        <f>IF(N5378&lt;&gt;0,P5378*N5378,0)</f>
        <v/>
      </c>
      <c r="R5378" s="8">
        <f>IF(Q5378&lt;&gt;0,Q5378+H5378+L5378,0)</f>
        <v/>
      </c>
      <c r="S5378" s="9">
        <f>VLOOKUP(OPERAC[[#This Row],[especie]],[1]!ESPECIES[#Data],9,FALSE)</f>
        <v/>
      </c>
    </row>
    <row r="5379">
      <c r="A5379" s="4" t="n">
        <v>12674</v>
      </c>
      <c r="B5379" s="5" t="n">
        <v>44552</v>
      </c>
      <c r="C5379" s="13" t="inlineStr">
        <is>
          <t>VTA</t>
        </is>
      </c>
      <c r="D5379" s="13" t="n">
        <v>32</v>
      </c>
      <c r="E5379" s="10">
        <f>IF(D5379&gt;0,VLOOKUP(OPERAC[[#This Row],[COD CART]],[1]!MatrizCortoLargoCyl[#All],3,0),"")</f>
        <v/>
      </c>
      <c r="F5379" s="13" t="inlineStr">
        <is>
          <t>GOLD/CYL/19,00/21-01-22</t>
        </is>
      </c>
      <c r="G5379" s="6" t="n">
        <v>100</v>
      </c>
      <c r="H5379" s="6">
        <f>-18.08*OPERAC[[#This Row],[cantidad]]</f>
        <v/>
      </c>
      <c r="I5379" s="7">
        <f>-H5379/G5379</f>
        <v/>
      </c>
      <c r="J5379" s="11" t="n">
        <v>44580</v>
      </c>
      <c r="K5379" s="6" t="n">
        <v>100</v>
      </c>
      <c r="L5379" s="6" t="n">
        <v>1876.846</v>
      </c>
      <c r="M5379" s="7">
        <f>IF(N5379=0,+L5379+H5379,0)</f>
        <v/>
      </c>
      <c r="N5379" s="7">
        <f>IF((+G5379-K5379)=0,0,+G5379-K5379)</f>
        <v/>
      </c>
      <c r="O5379" s="7">
        <f>IF(N5379=0,0,(L5379+H5379)/-N5379)</f>
        <v/>
      </c>
      <c r="P5379" s="7">
        <f>VLOOKUP(OPERAC[[#This Row],[especie]],[1]!ESPECIES[#All],6,0)</f>
        <v/>
      </c>
      <c r="Q5379" s="7">
        <f>IF(N5379&lt;&gt;0,P5379*N5379,0)</f>
        <v/>
      </c>
      <c r="R5379" s="8">
        <f>IF(Q5379&lt;&gt;0,Q5379+H5379+L5379,0)</f>
        <v/>
      </c>
      <c r="S5379" s="9">
        <f>VLOOKUP(OPERAC[[#This Row],[especie]],[1]!ESPECIES[#Data],9,FALSE)</f>
        <v/>
      </c>
    </row>
    <row r="5380">
      <c r="A5380" s="4" t="n">
        <v>13180</v>
      </c>
      <c r="B5380" s="5" t="n">
        <v>44552</v>
      </c>
      <c r="C5380" s="13" t="inlineStr">
        <is>
          <t>VTA</t>
        </is>
      </c>
      <c r="D5380" s="13" t="n">
        <v>32</v>
      </c>
      <c r="E5380" s="10">
        <f>IF(D5380&gt;0,VLOOKUP(OPERAC[[#This Row],[COD CART]],[1]!MatrizCortoLargoCyl[#All],3,0),"")</f>
        <v/>
      </c>
      <c r="F5380" s="13" t="inlineStr">
        <is>
          <t>GOLD/CYL/19,00/21-01-22</t>
        </is>
      </c>
      <c r="G5380" s="6" t="n">
        <v>100</v>
      </c>
      <c r="H5380" s="6">
        <f>-18.08*OPERAC[[#This Row],[cantidad]]</f>
        <v/>
      </c>
      <c r="I5380" s="7">
        <f>-H5380/G5380</f>
        <v/>
      </c>
      <c r="J5380" s="11" t="n">
        <v>44580</v>
      </c>
      <c r="K5380" s="6" t="n">
        <v>100</v>
      </c>
      <c r="L5380" s="6" t="n">
        <v>1876.846</v>
      </c>
      <c r="M5380" s="7">
        <f>IF(N5380=0,+L5380+H5380,0)</f>
        <v/>
      </c>
      <c r="N5380" s="7">
        <f>IF((+G5380-K5380)=0,0,+G5380-K5380)</f>
        <v/>
      </c>
      <c r="O5380" s="7">
        <f>IF(N5380=0,0,(L5380+H5380)/-N5380)</f>
        <v/>
      </c>
      <c r="P5380" s="7">
        <f>VLOOKUP(OPERAC[[#This Row],[especie]],[1]!ESPECIES[#All],6,0)</f>
        <v/>
      </c>
      <c r="Q5380" s="7">
        <f>IF(N5380&lt;&gt;0,P5380*N5380,0)</f>
        <v/>
      </c>
      <c r="R5380" s="8">
        <f>IF(Q5380&lt;&gt;0,Q5380+H5380+L5380,0)</f>
        <v/>
      </c>
      <c r="S5380" s="9">
        <f>VLOOKUP(OPERAC[[#This Row],[especie]],[1]!ESPECIES[#Data],9,FALSE)</f>
        <v/>
      </c>
    </row>
    <row r="5381">
      <c r="A5381" s="4" t="n">
        <v>13240</v>
      </c>
      <c r="B5381" s="5" t="n">
        <v>44552</v>
      </c>
      <c r="C5381" s="13" t="inlineStr">
        <is>
          <t>VTA</t>
        </is>
      </c>
      <c r="D5381" s="13" t="n">
        <v>32</v>
      </c>
      <c r="E5381" s="10">
        <f>IF(D5381&gt;0,VLOOKUP(OPERAC[[#This Row],[COD CART]],[1]!MatrizCortoLargoCyl[#All],3,0),"")</f>
        <v/>
      </c>
      <c r="F5381" s="13" t="inlineStr">
        <is>
          <t>GOLD/CYL/19,00/21-01-22</t>
        </is>
      </c>
      <c r="G5381" s="6" t="n">
        <v>100</v>
      </c>
      <c r="H5381" s="6">
        <f>-18.08*OPERAC[[#This Row],[cantidad]]</f>
        <v/>
      </c>
      <c r="I5381" s="7">
        <f>-H5381/G5381</f>
        <v/>
      </c>
      <c r="J5381" s="11" t="n">
        <v>44580</v>
      </c>
      <c r="K5381" s="6" t="n">
        <v>100</v>
      </c>
      <c r="L5381" s="6" t="n">
        <v>1876.846</v>
      </c>
      <c r="M5381" s="7">
        <f>IF(N5381=0,+L5381+H5381,0)</f>
        <v/>
      </c>
      <c r="N5381" s="7">
        <f>IF((+G5381-K5381)=0,0,+G5381-K5381)</f>
        <v/>
      </c>
      <c r="O5381" s="7">
        <f>IF(N5381=0,0,(L5381+H5381)/-N5381)</f>
        <v/>
      </c>
      <c r="P5381" s="7">
        <f>VLOOKUP(OPERAC[[#This Row],[especie]],[1]!ESPECIES[#All],6,0)</f>
        <v/>
      </c>
      <c r="Q5381" s="7">
        <f>IF(N5381&lt;&gt;0,P5381*N5381,0)</f>
        <v/>
      </c>
      <c r="R5381" s="8">
        <f>IF(Q5381&lt;&gt;0,Q5381+H5381+L5381,0)</f>
        <v/>
      </c>
      <c r="S5381" s="9">
        <f>VLOOKUP(OPERAC[[#This Row],[especie]],[1]!ESPECIES[#Data],9,FALSE)</f>
        <v/>
      </c>
    </row>
    <row r="5382">
      <c r="A5382" s="4" t="n">
        <v>15194</v>
      </c>
      <c r="B5382" s="5" t="n">
        <v>44552</v>
      </c>
      <c r="C5382" s="13" t="inlineStr">
        <is>
          <t>VTA</t>
        </is>
      </c>
      <c r="D5382" s="13" t="n">
        <v>32</v>
      </c>
      <c r="E5382" s="10">
        <f>IF(D5382&gt;0,VLOOKUP(OPERAC[[#This Row],[COD CART]],[1]!MatrizCortoLargoCyl[#All],3,0),"")</f>
        <v/>
      </c>
      <c r="F5382" s="13" t="inlineStr">
        <is>
          <t>GOLD/CYL/19,00/21-01-22</t>
        </is>
      </c>
      <c r="G5382" s="6" t="n">
        <v>100</v>
      </c>
      <c r="H5382" s="6">
        <f>-18.08*OPERAC[[#This Row],[cantidad]]</f>
        <v/>
      </c>
      <c r="I5382" s="7">
        <f>-H5382/G5382</f>
        <v/>
      </c>
      <c r="J5382" s="11" t="n">
        <v>44580</v>
      </c>
      <c r="K5382" s="6" t="n">
        <v>100</v>
      </c>
      <c r="L5382" s="6" t="n">
        <v>1876.846</v>
      </c>
      <c r="M5382" s="7">
        <f>IF(N5382=0,+L5382+H5382,0)</f>
        <v/>
      </c>
      <c r="N5382" s="7">
        <f>IF((+G5382-K5382)=0,0,+G5382-K5382)</f>
        <v/>
      </c>
      <c r="O5382" s="7">
        <f>IF(N5382=0,0,(L5382+H5382)/-N5382)</f>
        <v/>
      </c>
      <c r="P5382" s="7">
        <f>VLOOKUP(OPERAC[[#This Row],[especie]],[1]!ESPECIES[#All],6,0)</f>
        <v/>
      </c>
      <c r="Q5382" s="7">
        <f>IF(N5382&lt;&gt;0,P5382*N5382,0)</f>
        <v/>
      </c>
      <c r="R5382" s="8">
        <f>IF(Q5382&lt;&gt;0,Q5382+H5382+L5382,0)</f>
        <v/>
      </c>
      <c r="S5382" s="9">
        <f>VLOOKUP(OPERAC[[#This Row],[especie]],[1]!ESPECIES[#Data],9,FALSE)</f>
        <v/>
      </c>
    </row>
    <row r="5383">
      <c r="A5383" s="4" t="n">
        <v>16780</v>
      </c>
      <c r="B5383" s="5" t="n">
        <v>44552</v>
      </c>
      <c r="C5383" s="13" t="inlineStr">
        <is>
          <t>VTA</t>
        </is>
      </c>
      <c r="D5383" s="13" t="n">
        <v>32</v>
      </c>
      <c r="E5383" s="10">
        <f>IF(D5383&gt;0,VLOOKUP(OPERAC[[#This Row],[COD CART]],[1]!MatrizCortoLargoCyl[#All],3,0),"")</f>
        <v/>
      </c>
      <c r="F5383" s="13" t="inlineStr">
        <is>
          <t>GOLD/CYL/19,00/21-01-22</t>
        </is>
      </c>
      <c r="G5383" s="6" t="n">
        <v>100</v>
      </c>
      <c r="H5383" s="6">
        <f>-18.08*OPERAC[[#This Row],[cantidad]]</f>
        <v/>
      </c>
      <c r="I5383" s="7">
        <f>-H5383/G5383</f>
        <v/>
      </c>
      <c r="J5383" s="11" t="n">
        <v>44580</v>
      </c>
      <c r="K5383" s="6" t="n">
        <v>100</v>
      </c>
      <c r="L5383" s="6" t="n">
        <v>1876.846</v>
      </c>
      <c r="M5383" s="7">
        <f>IF(N5383=0,+L5383+H5383,0)</f>
        <v/>
      </c>
      <c r="N5383" s="7">
        <f>IF((+G5383-K5383)=0,0,+G5383-K5383)</f>
        <v/>
      </c>
      <c r="O5383" s="7">
        <f>IF(N5383=0,0,(L5383+H5383)/-N5383)</f>
        <v/>
      </c>
      <c r="P5383" s="7">
        <f>VLOOKUP(OPERAC[[#This Row],[especie]],[1]!ESPECIES[#All],6,0)</f>
        <v/>
      </c>
      <c r="Q5383" s="7">
        <f>IF(N5383&lt;&gt;0,P5383*N5383,0)</f>
        <v/>
      </c>
      <c r="R5383" s="8">
        <f>IF(Q5383&lt;&gt;0,Q5383+H5383+L5383,0)</f>
        <v/>
      </c>
      <c r="S5383" s="9">
        <f>VLOOKUP(OPERAC[[#This Row],[especie]],[1]!ESPECIES[#Data],9,FALSE)</f>
        <v/>
      </c>
    </row>
    <row r="5384">
      <c r="A5384" s="4" t="n">
        <v>18662</v>
      </c>
      <c r="B5384" s="5" t="n">
        <v>44552</v>
      </c>
      <c r="C5384" s="13" t="inlineStr">
        <is>
          <t>VTA</t>
        </is>
      </c>
      <c r="D5384" s="13" t="n">
        <v>32</v>
      </c>
      <c r="E5384" s="10">
        <f>IF(D5384&gt;0,VLOOKUP(OPERAC[[#This Row],[COD CART]],[1]!MatrizCortoLargoCyl[#All],3,0),"")</f>
        <v/>
      </c>
      <c r="F5384" s="13" t="inlineStr">
        <is>
          <t>GOLD/CYL/19,00/21-01-22</t>
        </is>
      </c>
      <c r="G5384" s="6" t="n">
        <v>100</v>
      </c>
      <c r="H5384" s="6">
        <f>-18.08*OPERAC[[#This Row],[cantidad]]</f>
        <v/>
      </c>
      <c r="I5384" s="7">
        <f>-H5384/G5384</f>
        <v/>
      </c>
      <c r="J5384" s="11" t="n">
        <v>44580</v>
      </c>
      <c r="K5384" s="6" t="n">
        <v>100</v>
      </c>
      <c r="L5384" s="6" t="n">
        <v>1876.846</v>
      </c>
      <c r="M5384" s="7">
        <f>IF(N5384=0,+L5384+H5384,0)</f>
        <v/>
      </c>
      <c r="N5384" s="7">
        <f>IF((+G5384-K5384)=0,0,+G5384-K5384)</f>
        <v/>
      </c>
      <c r="O5384" s="7">
        <f>IF(N5384=0,0,(L5384+H5384)/-N5384)</f>
        <v/>
      </c>
      <c r="P5384" s="7">
        <f>VLOOKUP(OPERAC[[#This Row],[especie]],[1]!ESPECIES[#All],6,0)</f>
        <v/>
      </c>
      <c r="Q5384" s="7">
        <f>IF(N5384&lt;&gt;0,P5384*N5384,0)</f>
        <v/>
      </c>
      <c r="R5384" s="8">
        <f>IF(Q5384&lt;&gt;0,Q5384+H5384+L5384,0)</f>
        <v/>
      </c>
      <c r="S5384" s="9">
        <f>VLOOKUP(OPERAC[[#This Row],[especie]],[1]!ESPECIES[#Data],9,FALSE)</f>
        <v/>
      </c>
    </row>
    <row r="5385">
      <c r="A5385" s="4" t="n">
        <v>19920</v>
      </c>
      <c r="B5385" s="5" t="n">
        <v>44552</v>
      </c>
      <c r="C5385" s="13" t="inlineStr">
        <is>
          <t>VTA</t>
        </is>
      </c>
      <c r="D5385" s="13" t="n">
        <v>32</v>
      </c>
      <c r="E5385" s="10">
        <f>IF(D5385&gt;0,VLOOKUP(OPERAC[[#This Row],[COD CART]],[1]!MatrizCortoLargoCyl[#All],3,0),"")</f>
        <v/>
      </c>
      <c r="F5385" s="13" t="inlineStr">
        <is>
          <t>GOLD/CYL/19,00/21-01-22</t>
        </is>
      </c>
      <c r="G5385" s="6" t="n">
        <v>100</v>
      </c>
      <c r="H5385" s="6">
        <f>-18.08*OPERAC[[#This Row],[cantidad]]</f>
        <v/>
      </c>
      <c r="I5385" s="7">
        <f>-H5385/G5385</f>
        <v/>
      </c>
      <c r="J5385" s="11" t="n">
        <v>44580</v>
      </c>
      <c r="K5385" s="6" t="n">
        <v>100</v>
      </c>
      <c r="L5385" s="6" t="n">
        <v>1876.846</v>
      </c>
      <c r="M5385" s="7">
        <f>IF(N5385=0,+L5385+H5385,0)</f>
        <v/>
      </c>
      <c r="N5385" s="7">
        <f>IF((+G5385-K5385)=0,0,+G5385-K5385)</f>
        <v/>
      </c>
      <c r="O5385" s="7">
        <f>IF(N5385=0,0,(L5385+H5385)/-N5385)</f>
        <v/>
      </c>
      <c r="P5385" s="7">
        <f>VLOOKUP(OPERAC[[#This Row],[especie]],[1]!ESPECIES[#All],6,0)</f>
        <v/>
      </c>
      <c r="Q5385" s="7">
        <f>IF(N5385&lt;&gt;0,P5385*N5385,0)</f>
        <v/>
      </c>
      <c r="R5385" s="8">
        <f>IF(Q5385&lt;&gt;0,Q5385+H5385+L5385,0)</f>
        <v/>
      </c>
      <c r="S5385" s="9">
        <f>VLOOKUP(OPERAC[[#This Row],[especie]],[1]!ESPECIES[#Data],9,FALSE)</f>
        <v/>
      </c>
    </row>
    <row r="5386">
      <c r="A5386" s="4" t="n">
        <v>22407</v>
      </c>
      <c r="B5386" s="5" t="n">
        <v>44552</v>
      </c>
      <c r="C5386" s="13" t="inlineStr">
        <is>
          <t>VTA</t>
        </is>
      </c>
      <c r="D5386" s="13" t="n">
        <v>32</v>
      </c>
      <c r="E5386" s="10">
        <f>IF(D5386&gt;0,VLOOKUP(OPERAC[[#This Row],[COD CART]],[1]!MatrizCortoLargoCyl[#All],3,0),"")</f>
        <v/>
      </c>
      <c r="F5386" s="13" t="inlineStr">
        <is>
          <t>GOLD/CYL/19,00/21-01-22</t>
        </is>
      </c>
      <c r="G5386" s="6" t="n">
        <v>100</v>
      </c>
      <c r="H5386" s="6">
        <f>-18.08*OPERAC[[#This Row],[cantidad]]</f>
        <v/>
      </c>
      <c r="I5386" s="7">
        <f>-H5386/G5386</f>
        <v/>
      </c>
      <c r="J5386" s="11" t="n">
        <v>44580</v>
      </c>
      <c r="K5386" s="6" t="n">
        <v>100</v>
      </c>
      <c r="L5386" s="6" t="n">
        <v>1876.846</v>
      </c>
      <c r="M5386" s="7">
        <f>IF(N5386=0,+L5386+H5386,0)</f>
        <v/>
      </c>
      <c r="N5386" s="7">
        <f>IF((+G5386-K5386)=0,0,+G5386-K5386)</f>
        <v/>
      </c>
      <c r="O5386" s="7">
        <f>IF(N5386=0,0,(L5386+H5386)/-N5386)</f>
        <v/>
      </c>
      <c r="P5386" s="7">
        <f>VLOOKUP(OPERAC[[#This Row],[especie]],[1]!ESPECIES[#All],6,0)</f>
        <v/>
      </c>
      <c r="Q5386" s="7">
        <f>IF(N5386&lt;&gt;0,P5386*N5386,0)</f>
        <v/>
      </c>
      <c r="R5386" s="8">
        <f>IF(Q5386&lt;&gt;0,Q5386+H5386+L5386,0)</f>
        <v/>
      </c>
      <c r="S5386" s="9">
        <f>VLOOKUP(OPERAC[[#This Row],[especie]],[1]!ESPECIES[#Data],9,FALSE)</f>
        <v/>
      </c>
    </row>
    <row r="5387">
      <c r="A5387" s="4" t="n">
        <v>26138</v>
      </c>
      <c r="B5387" s="5" t="n">
        <v>44552</v>
      </c>
      <c r="C5387" s="13" t="inlineStr">
        <is>
          <t>VTA</t>
        </is>
      </c>
      <c r="D5387" s="13" t="n">
        <v>32</v>
      </c>
      <c r="E5387" s="10">
        <f>IF(D5387&gt;0,VLOOKUP(OPERAC[[#This Row],[COD CART]],[1]!MatrizCortoLargoCyl[#All],3,0),"")</f>
        <v/>
      </c>
      <c r="F5387" s="13" t="inlineStr">
        <is>
          <t>GOLD/CYL/19,00/21-01-22</t>
        </is>
      </c>
      <c r="G5387" s="6" t="n">
        <v>100</v>
      </c>
      <c r="H5387" s="6">
        <f>-18.08*OPERAC[[#This Row],[cantidad]]</f>
        <v/>
      </c>
      <c r="I5387" s="7">
        <f>-H5387/G5387</f>
        <v/>
      </c>
      <c r="J5387" s="11" t="n">
        <v>44580</v>
      </c>
      <c r="K5387" s="6" t="n">
        <v>100</v>
      </c>
      <c r="L5387" s="6" t="n">
        <v>1876.846</v>
      </c>
      <c r="M5387" s="7">
        <f>IF(N5387=0,+L5387+H5387,0)</f>
        <v/>
      </c>
      <c r="N5387" s="7">
        <f>IF((+G5387-K5387)=0,0,+G5387-K5387)</f>
        <v/>
      </c>
      <c r="O5387" s="7">
        <f>IF(N5387=0,0,(L5387+H5387)/-N5387)</f>
        <v/>
      </c>
      <c r="P5387" s="7">
        <f>VLOOKUP(OPERAC[[#This Row],[especie]],[1]!ESPECIES[#All],6,0)</f>
        <v/>
      </c>
      <c r="Q5387" s="7">
        <f>IF(N5387&lt;&gt;0,P5387*N5387,0)</f>
        <v/>
      </c>
      <c r="R5387" s="8">
        <f>IF(Q5387&lt;&gt;0,Q5387+H5387+L5387,0)</f>
        <v/>
      </c>
      <c r="S5387" s="9">
        <f>VLOOKUP(OPERAC[[#This Row],[especie]],[1]!ESPECIES[#Data],9,FALSE)</f>
        <v/>
      </c>
    </row>
    <row r="5388">
      <c r="A5388" s="4" t="n">
        <v>22393</v>
      </c>
      <c r="B5388" s="5" t="n">
        <v>44552</v>
      </c>
      <c r="C5388" s="13" t="inlineStr">
        <is>
          <t>VTA</t>
        </is>
      </c>
      <c r="D5388" s="13" t="n">
        <v>32</v>
      </c>
      <c r="E5388" s="10">
        <f>IF(D5388&gt;0,VLOOKUP(OPERAC[[#This Row],[COD CART]],[1]!MatrizCortoLargoCyl[#All],3,0),"")</f>
        <v/>
      </c>
      <c r="F5388" s="13" t="inlineStr">
        <is>
          <t>GOLD/CYL/19,00/21-01-22</t>
        </is>
      </c>
      <c r="G5388" s="6" t="n">
        <v>100</v>
      </c>
      <c r="H5388" s="6">
        <f>-18.08*OPERAC[[#This Row],[cantidad]]</f>
        <v/>
      </c>
      <c r="I5388" s="7">
        <f>-H5388/G5388</f>
        <v/>
      </c>
      <c r="J5388" s="11" t="n">
        <v>44580</v>
      </c>
      <c r="K5388" s="6" t="n">
        <v>100</v>
      </c>
      <c r="L5388" s="6" t="n">
        <v>1876.846</v>
      </c>
      <c r="M5388" s="7">
        <f>IF(N5388=0,+L5388+H5388,0)</f>
        <v/>
      </c>
      <c r="N5388" s="7">
        <f>IF((+G5388-K5388)=0,0,+G5388-K5388)</f>
        <v/>
      </c>
      <c r="O5388" s="7">
        <f>IF(N5388=0,0,(L5388+H5388)/-N5388)</f>
        <v/>
      </c>
      <c r="P5388" s="7">
        <f>VLOOKUP(OPERAC[[#This Row],[especie]],[1]!ESPECIES[#All],6,0)</f>
        <v/>
      </c>
      <c r="Q5388" s="7">
        <f>IF(N5388&lt;&gt;0,P5388*N5388,0)</f>
        <v/>
      </c>
      <c r="R5388" s="8">
        <f>IF(Q5388&lt;&gt;0,Q5388+H5388+L5388,0)</f>
        <v/>
      </c>
      <c r="S5388" s="9">
        <f>VLOOKUP(OPERAC[[#This Row],[especie]],[1]!ESPECIES[#Data],9,FALSE)</f>
        <v/>
      </c>
    </row>
    <row r="5389">
      <c r="A5389" s="4" t="n">
        <v>7914</v>
      </c>
      <c r="B5389" s="5" t="n">
        <v>44466</v>
      </c>
      <c r="C5389" s="13" t="inlineStr">
        <is>
          <t>VTA</t>
        </is>
      </c>
      <c r="D5389" s="13" t="n">
        <v>43</v>
      </c>
      <c r="E5389" s="10">
        <f>IF(D5389&gt;0,VLOOKUP(OPERAC[[#This Row],[COD CART]],[1]!MatrizCortoLargoCyl[#All],3,0),"")</f>
        <v/>
      </c>
      <c r="F5389" s="13" t="inlineStr">
        <is>
          <t>SOLO/CYL-PUT/4,00/18-03-22</t>
        </is>
      </c>
      <c r="G5389" s="6" t="n">
        <v>800</v>
      </c>
      <c r="H5389" s="6">
        <f>-2.97*OPERAC[[#This Row],[cantidad]]+0.32*OPERAC[[#This Row],[cantidad]]+0.387*OPERAC[[#This Row],[cantidad]]</f>
        <v/>
      </c>
      <c r="I5389" s="7">
        <f>-H5389/G5389</f>
        <v/>
      </c>
      <c r="J5389" s="11" t="n">
        <v>44573</v>
      </c>
      <c r="K5389" s="6" t="n">
        <v>800</v>
      </c>
      <c r="L5389" s="6" t="n">
        <v>164.161</v>
      </c>
      <c r="M5389" s="7">
        <f>IF(N5389=0,+L5389+H5389,0)</f>
        <v/>
      </c>
      <c r="N5389" s="7">
        <f>IF((+G5389-K5389)=0,0,+G5389-K5389)</f>
        <v/>
      </c>
      <c r="O5389" s="7">
        <f>IF(N5389=0,0,(L5389+H5389)/-N5389)</f>
        <v/>
      </c>
      <c r="P5389" s="7">
        <f>VLOOKUP(OPERAC[[#This Row],[especie]],[1]!ESPECIES[#All],6,0)</f>
        <v/>
      </c>
      <c r="Q5389" s="7">
        <f>IF(N5389&lt;&gt;0,P5389*N5389,0)</f>
        <v/>
      </c>
      <c r="R5389" s="8">
        <f>IF(Q5389&lt;&gt;0,Q5389+H5389+L5389,0)</f>
        <v/>
      </c>
      <c r="S5389" s="9">
        <f>VLOOKUP(OPERAC[[#This Row],[especie]],[1]!ESPECIES[#Data],9,FALSE)</f>
        <v/>
      </c>
    </row>
    <row r="5390">
      <c r="A5390" s="4" t="n">
        <v>18726</v>
      </c>
      <c r="B5390" s="5" t="n">
        <v>44572</v>
      </c>
      <c r="C5390" s="13" t="inlineStr">
        <is>
          <t>VTA</t>
        </is>
      </c>
      <c r="D5390" s="13" t="n">
        <v>32</v>
      </c>
      <c r="E5390" s="10">
        <f>IF(D5390&gt;0,VLOOKUP(OPERAC[[#This Row],[COD CART]],[1]!MatrizCortoLargoCyl[#All],3,0),"")</f>
        <v/>
      </c>
      <c r="F5390" s="13" t="inlineStr">
        <is>
          <t>DDD/CYL/20,00/17-06-22</t>
        </is>
      </c>
      <c r="G5390" s="6" t="n">
        <v>100</v>
      </c>
      <c r="H5390" s="6">
        <f>-1913.06+29.02+53.81+9.17+9.915</f>
        <v/>
      </c>
      <c r="I5390" s="7">
        <f>-H5390/G5390</f>
        <v/>
      </c>
      <c r="J5390" s="11" t="n"/>
      <c r="K5390" s="6" t="n"/>
      <c r="L5390" s="6" t="n"/>
      <c r="M5390" s="7">
        <f>IF(N5390=0,+L5390+H5390,0)</f>
        <v/>
      </c>
      <c r="N5390" s="7">
        <f>IF((+G5390-K5390)=0,0,+G5390-K5390)</f>
        <v/>
      </c>
      <c r="O5390" s="7">
        <f>IF(N5390=0,0,(L5390+H5390)/-N5390)</f>
        <v/>
      </c>
      <c r="P5390" s="7">
        <f>VLOOKUP(OPERAC[[#This Row],[especie]],[1]!ESPECIES[#All],6,0)</f>
        <v/>
      </c>
      <c r="Q5390" s="7">
        <f>IF(N5390&lt;&gt;0,P5390*N5390,0)</f>
        <v/>
      </c>
      <c r="R5390" s="8">
        <f>IF(Q5390&lt;&gt;0,Q5390+H5390+L5390,0)</f>
        <v/>
      </c>
      <c r="S5390" s="9">
        <f>VLOOKUP(OPERAC[[#This Row],[especie]],[1]!ESPECIES[#Data],9,FALSE)</f>
        <v/>
      </c>
    </row>
    <row r="5391">
      <c r="A5391" s="4" t="n">
        <v>2218</v>
      </c>
      <c r="B5391" s="5" t="n">
        <v>44708</v>
      </c>
      <c r="C5391" s="13" t="inlineStr">
        <is>
          <t>VTA</t>
        </is>
      </c>
      <c r="D5391" s="13" t="n">
        <v>42</v>
      </c>
      <c r="E5391" s="10">
        <f>IF(D5391&gt;0,VLOOKUP(OPERAC[[#This Row],[COD CART]],[1]!MatrizCortoLargoCyl[#All],3,0),"")</f>
        <v/>
      </c>
      <c r="F5391" s="13" t="inlineStr">
        <is>
          <t>ACB</t>
        </is>
      </c>
      <c r="G5391" s="6" t="n">
        <v>1000</v>
      </c>
      <c r="H5391" s="6" t="n">
        <v>-1811.74626633</v>
      </c>
      <c r="I5391" s="7">
        <f>-H5391/G5391</f>
        <v/>
      </c>
      <c r="J5391" s="5" t="n"/>
      <c r="K5391" s="6" t="n"/>
      <c r="L5391" s="6" t="n"/>
      <c r="M5391" s="7">
        <f>IF(N5391=0,+L5391+H5391,0)</f>
        <v/>
      </c>
      <c r="N5391" s="7">
        <f>IF((+G5391-K5391)=0,0,+G5391-K5391)</f>
        <v/>
      </c>
      <c r="O5391" s="7">
        <f>IF(N5391=0,0,(L5391+H5391)/-N5391)</f>
        <v/>
      </c>
      <c r="P5391" s="7">
        <f>VLOOKUP(OPERAC[[#This Row],[especie]],[1]!ESPECIES[#All],6,0)</f>
        <v/>
      </c>
      <c r="Q5391" s="7">
        <f>IF(N5391&lt;&gt;0,P5391*N5391,0)</f>
        <v/>
      </c>
      <c r="R5391" s="8">
        <f>IF(Q5391&lt;&gt;0,Q5391+H5391+L5391,0)</f>
        <v/>
      </c>
      <c r="S5391" s="9">
        <f>VLOOKUP(OPERAC[[#This Row],[especie]],[1]!ESPECIES[#Data],9,FALSE)</f>
        <v/>
      </c>
    </row>
    <row r="5392">
      <c r="A5392" s="4" t="n">
        <v>3728</v>
      </c>
      <c r="B5392" s="5" t="n">
        <v>44708</v>
      </c>
      <c r="C5392" s="13" t="inlineStr">
        <is>
          <t>VTA</t>
        </is>
      </c>
      <c r="D5392" s="13" t="n">
        <v>42</v>
      </c>
      <c r="E5392" s="10">
        <f>IF(D5392&gt;0,VLOOKUP(OPERAC[[#This Row],[COD CART]],[1]!MatrizCortoLargoCyl[#All],3,0),"")</f>
        <v/>
      </c>
      <c r="F5392" s="13" t="inlineStr">
        <is>
          <t>ACB</t>
        </is>
      </c>
      <c r="G5392" s="6" t="n">
        <v>1000</v>
      </c>
      <c r="H5392" s="6" t="n">
        <v>-1811.74626633</v>
      </c>
      <c r="I5392" s="7">
        <f>-H5392/G5392</f>
        <v/>
      </c>
      <c r="J5392" s="5" t="n"/>
      <c r="K5392" s="6" t="n"/>
      <c r="L5392" s="6" t="n"/>
      <c r="M5392" s="7">
        <f>IF(N5392=0,+L5392+H5392,0)</f>
        <v/>
      </c>
      <c r="N5392" s="7">
        <f>IF((+G5392-K5392)=0,0,+G5392-K5392)</f>
        <v/>
      </c>
      <c r="O5392" s="7">
        <f>IF(N5392=0,0,(L5392+H5392)/-N5392)</f>
        <v/>
      </c>
      <c r="P5392" s="7">
        <f>VLOOKUP(OPERAC[[#This Row],[especie]],[1]!ESPECIES[#All],6,0)</f>
        <v/>
      </c>
      <c r="Q5392" s="7">
        <f>IF(N5392&lt;&gt;0,P5392*N5392,0)</f>
        <v/>
      </c>
      <c r="R5392" s="8">
        <f>IF(Q5392&lt;&gt;0,Q5392+H5392+L5392,0)</f>
        <v/>
      </c>
      <c r="S5392" s="9">
        <f>VLOOKUP(OPERAC[[#This Row],[especie]],[1]!ESPECIES[#Data],9,FALSE)</f>
        <v/>
      </c>
    </row>
    <row r="5393">
      <c r="A5393" s="4" t="n">
        <v>3728</v>
      </c>
      <c r="B5393" s="5" t="n">
        <v>44662</v>
      </c>
      <c r="C5393" s="13" t="inlineStr">
        <is>
          <t>VTA</t>
        </is>
      </c>
      <c r="D5393" s="13" t="n">
        <v>42</v>
      </c>
      <c r="E5393" s="10">
        <f>IF(D5393&gt;0,VLOOKUP(OPERAC[[#This Row],[COD CART]],[1]!MatrizCortoLargoCyl[#All],3,0),"")</f>
        <v/>
      </c>
      <c r="F5393" s="13" t="inlineStr">
        <is>
          <t>UPST</t>
        </is>
      </c>
      <c r="G5393" s="6" t="n">
        <v>20</v>
      </c>
      <c r="H5393" s="6" t="n">
        <v>-1816.1133</v>
      </c>
      <c r="I5393" s="7">
        <f>-H5393/G5393</f>
        <v/>
      </c>
      <c r="J5393" s="11" t="n">
        <v>44692</v>
      </c>
      <c r="K5393" s="6" t="n">
        <v>20</v>
      </c>
      <c r="L5393" s="6" t="n">
        <v>556.843</v>
      </c>
      <c r="M5393" s="7">
        <f>IF(N5393=0,+L5393+H5393,0)</f>
        <v/>
      </c>
      <c r="N5393" s="7">
        <f>IF((+G5393-K5393)=0,0,+G5393-K5393)</f>
        <v/>
      </c>
      <c r="O5393" s="7">
        <f>IF(N5393=0,0,(L5393+H5393)/-N5393)</f>
        <v/>
      </c>
      <c r="P5393" s="7">
        <f>VLOOKUP(OPERAC[[#This Row],[especie]],[1]!ESPECIES[#All],6,0)</f>
        <v/>
      </c>
      <c r="Q5393" s="7">
        <f>IF(N5393&lt;&gt;0,P5393*N5393,0)</f>
        <v/>
      </c>
      <c r="R5393" s="8">
        <f>IF(Q5393&lt;&gt;0,Q5393+H5393+L5393,0)</f>
        <v/>
      </c>
      <c r="S5393" s="9">
        <f>VLOOKUP(OPERAC[[#This Row],[especie]],[1]!ESPECIES[#Data],9,FALSE)</f>
        <v/>
      </c>
    </row>
    <row r="5394">
      <c r="A5394" s="4" t="n">
        <v>19867</v>
      </c>
      <c r="B5394" s="5" t="n">
        <v>44643</v>
      </c>
      <c r="C5394" s="13" t="inlineStr">
        <is>
          <t>VTA</t>
        </is>
      </c>
      <c r="D5394" s="13" t="n">
        <v>42</v>
      </c>
      <c r="E5394" s="10">
        <f>IF(D5394&gt;0,VLOOKUP(OPERAC[[#This Row],[COD CART]],[1]!MatrizCortoLargoCyl[#All],3,0),"")</f>
        <v/>
      </c>
      <c r="F5394" s="13" t="inlineStr">
        <is>
          <t>DIS</t>
        </is>
      </c>
      <c r="G5394" s="6" t="n">
        <v>13</v>
      </c>
      <c r="H5394" s="6" t="n">
        <v>-1816.12795</v>
      </c>
      <c r="I5394" s="7">
        <f>-H5394/G5394</f>
        <v/>
      </c>
      <c r="J5394" s="11" t="n">
        <v>44671</v>
      </c>
      <c r="K5394" s="6">
        <f>+OPERAC[[#This Row],[cantidad]]</f>
        <v/>
      </c>
      <c r="L5394" s="6">
        <f>+OPERAC[[#This Row],[cantidad venta]]*123.621</f>
        <v/>
      </c>
      <c r="M5394" s="7">
        <f>IF(N5394=0,+L5394+H5394,0)</f>
        <v/>
      </c>
      <c r="N5394" s="7">
        <f>IF((+G5394-K5394)=0,0,+G5394-K5394)</f>
        <v/>
      </c>
      <c r="O5394" s="7">
        <f>IF(N5394=0,0,(L5394+H5394)/-N5394)</f>
        <v/>
      </c>
      <c r="P5394" s="7">
        <f>VLOOKUP(OPERAC[[#This Row],[especie]],[1]!ESPECIES[#All],6,0)</f>
        <v/>
      </c>
      <c r="Q5394" s="7">
        <f>IF(N5394&lt;&gt;0,P5394*N5394,0)</f>
        <v/>
      </c>
      <c r="R5394" s="8">
        <f>IF(Q5394&lt;&gt;0,Q5394+H5394+L5394,0)</f>
        <v/>
      </c>
      <c r="S5394" s="9">
        <f>VLOOKUP(OPERAC[[#This Row],[especie]],[1]!ESPECIES[#Data],9,FALSE)</f>
        <v/>
      </c>
    </row>
    <row r="5395">
      <c r="A5395" s="4" t="n">
        <v>16783</v>
      </c>
      <c r="B5395" s="5" t="n">
        <v>44708</v>
      </c>
      <c r="C5395" s="13" t="inlineStr">
        <is>
          <t>VTA</t>
        </is>
      </c>
      <c r="D5395" s="13" t="n">
        <v>42</v>
      </c>
      <c r="E5395" s="10">
        <f>IF(D5395&gt;0,VLOOKUP(OPERAC[[#This Row],[COD CART]],[1]!MatrizCortoLargoCyl[#All],3,0),"")</f>
        <v/>
      </c>
      <c r="F5395" s="13" t="inlineStr">
        <is>
          <t>ACB</t>
        </is>
      </c>
      <c r="G5395" s="6" t="n">
        <v>1000</v>
      </c>
      <c r="H5395" s="6" t="n">
        <v>-1818.081043485</v>
      </c>
      <c r="I5395" s="7">
        <f>-H5395/G5395</f>
        <v/>
      </c>
      <c r="J5395" s="5" t="n"/>
      <c r="K5395" s="6" t="n"/>
      <c r="L5395" s="6" t="n"/>
      <c r="M5395" s="7">
        <f>IF(N5395=0,+L5395+H5395,0)</f>
        <v/>
      </c>
      <c r="N5395" s="7">
        <f>IF((+G5395-K5395)=0,0,+G5395-K5395)</f>
        <v/>
      </c>
      <c r="O5395" s="7">
        <f>IF(N5395=0,0,(L5395+H5395)/-N5395)</f>
        <v/>
      </c>
      <c r="P5395" s="7">
        <f>VLOOKUP(OPERAC[[#This Row],[especie]],[1]!ESPECIES[#All],6,0)</f>
        <v/>
      </c>
      <c r="Q5395" s="7">
        <f>IF(N5395&lt;&gt;0,P5395*N5395,0)</f>
        <v/>
      </c>
      <c r="R5395" s="8">
        <f>IF(Q5395&lt;&gt;0,Q5395+H5395+L5395,0)</f>
        <v/>
      </c>
      <c r="S5395" s="9">
        <f>VLOOKUP(OPERAC[[#This Row],[especie]],[1]!ESPECIES[#Data],9,FALSE)</f>
        <v/>
      </c>
    </row>
    <row r="5396">
      <c r="A5396" s="4" t="n">
        <v>19878</v>
      </c>
      <c r="B5396" s="5" t="n">
        <v>44662</v>
      </c>
      <c r="C5396" s="13" t="inlineStr">
        <is>
          <t>VTA</t>
        </is>
      </c>
      <c r="D5396" s="13" t="n">
        <v>42</v>
      </c>
      <c r="E5396" s="10">
        <f>IF(D5396&gt;0,VLOOKUP(OPERAC[[#This Row],[COD CART]],[1]!MatrizCortoLargoCyl[#All],3,0),"")</f>
        <v/>
      </c>
      <c r="F5396" s="13" t="inlineStr">
        <is>
          <t>UPST</t>
        </is>
      </c>
      <c r="G5396" s="6" t="n">
        <v>20</v>
      </c>
      <c r="H5396" s="6" t="n">
        <v>-1824.3804</v>
      </c>
      <c r="I5396" s="7">
        <f>-H5396/G5396</f>
        <v/>
      </c>
      <c r="J5396" s="11" t="n">
        <v>44669</v>
      </c>
      <c r="K5396" s="6">
        <f>10+10</f>
        <v/>
      </c>
      <c r="L5396" s="6">
        <f>785.56+317.583</f>
        <v/>
      </c>
      <c r="M5396" s="7">
        <f>IF(N5396=0,+L5396+H5396,0)</f>
        <v/>
      </c>
      <c r="N5396" s="7">
        <f>IF((+G5396-K5396)=0,0,+G5396-K5396)</f>
        <v/>
      </c>
      <c r="O5396" s="7">
        <f>IF(N5396=0,0,(L5396+H5396)/-N5396)</f>
        <v/>
      </c>
      <c r="P5396" s="7">
        <f>VLOOKUP(OPERAC[[#This Row],[especie]],[1]!ESPECIES[#All],6,0)</f>
        <v/>
      </c>
      <c r="Q5396" s="7">
        <f>IF(N5396&lt;&gt;0,P5396*N5396,0)</f>
        <v/>
      </c>
      <c r="R5396" s="8">
        <f>IF(Q5396&lt;&gt;0,Q5396+H5396+L5396,0)</f>
        <v/>
      </c>
      <c r="S5396" s="9">
        <f>VLOOKUP(OPERAC[[#This Row],[especie]],[1]!ESPECIES[#Data],9,FALSE)</f>
        <v/>
      </c>
    </row>
    <row r="5397">
      <c r="A5397" s="4" t="n">
        <v>1760</v>
      </c>
      <c r="B5397" s="5" t="n">
        <v>44708</v>
      </c>
      <c r="C5397" s="13" t="inlineStr">
        <is>
          <t>VTA</t>
        </is>
      </c>
      <c r="D5397" s="13" t="n">
        <v>42</v>
      </c>
      <c r="E5397" s="10">
        <f>IF(D5397&gt;0,VLOOKUP(OPERAC[[#This Row],[COD CART]],[1]!MatrizCortoLargoCyl[#All],3,0),"")</f>
        <v/>
      </c>
      <c r="F5397" s="13" t="inlineStr">
        <is>
          <t>ACB</t>
        </is>
      </c>
      <c r="G5397" s="6" t="n">
        <v>1000</v>
      </c>
      <c r="H5397" s="6" t="n">
        <v>-1825.320788805</v>
      </c>
      <c r="I5397" s="7">
        <f>-H5397/G5397</f>
        <v/>
      </c>
      <c r="J5397" s="5" t="n"/>
      <c r="K5397" s="6" t="n"/>
      <c r="L5397" s="6" t="n"/>
      <c r="M5397" s="7">
        <f>IF(N5397=0,+L5397+H5397,0)</f>
        <v/>
      </c>
      <c r="N5397" s="7">
        <f>IF((+G5397-K5397)=0,0,+G5397-K5397)</f>
        <v/>
      </c>
      <c r="O5397" s="7">
        <f>IF(N5397=0,0,(L5397+H5397)/-N5397)</f>
        <v/>
      </c>
      <c r="P5397" s="7">
        <f>VLOOKUP(OPERAC[[#This Row],[especie]],[1]!ESPECIES[#All],6,0)</f>
        <v/>
      </c>
      <c r="Q5397" s="7">
        <f>IF(N5397&lt;&gt;0,P5397*N5397,0)</f>
        <v/>
      </c>
      <c r="R5397" s="8">
        <f>IF(Q5397&lt;&gt;0,Q5397+H5397+L5397,0)</f>
        <v/>
      </c>
      <c r="S5397" s="9">
        <f>VLOOKUP(OPERAC[[#This Row],[especie]],[1]!ESPECIES[#Data],9,FALSE)</f>
        <v/>
      </c>
    </row>
    <row r="5398">
      <c r="A5398" s="4" t="n">
        <v>10079</v>
      </c>
      <c r="B5398" s="5" t="n">
        <v>44708</v>
      </c>
      <c r="C5398" s="13" t="inlineStr">
        <is>
          <t>VTA</t>
        </is>
      </c>
      <c r="D5398" s="13" t="n">
        <v>42</v>
      </c>
      <c r="E5398" s="10">
        <f>IF(D5398&gt;0,VLOOKUP(OPERAC[[#This Row],[COD CART]],[1]!MatrizCortoLargoCyl[#All],3,0),"")</f>
        <v/>
      </c>
      <c r="F5398" s="13" t="inlineStr">
        <is>
          <t>ACB</t>
        </is>
      </c>
      <c r="G5398" s="6" t="n">
        <v>1000</v>
      </c>
      <c r="H5398" s="6" t="n">
        <v>-1825.320788805</v>
      </c>
      <c r="I5398" s="7">
        <f>-H5398/G5398</f>
        <v/>
      </c>
      <c r="J5398" s="5" t="n"/>
      <c r="K5398" s="6" t="n"/>
      <c r="L5398" s="6" t="n"/>
      <c r="M5398" s="7">
        <f>IF(N5398=0,+L5398+H5398,0)</f>
        <v/>
      </c>
      <c r="N5398" s="7">
        <f>IF((+G5398-K5398)=0,0,+G5398-K5398)</f>
        <v/>
      </c>
      <c r="O5398" s="7">
        <f>IF(N5398=0,0,(L5398+H5398)/-N5398)</f>
        <v/>
      </c>
      <c r="P5398" s="7">
        <f>VLOOKUP(OPERAC[[#This Row],[especie]],[1]!ESPECIES[#All],6,0)</f>
        <v/>
      </c>
      <c r="Q5398" s="7">
        <f>IF(N5398&lt;&gt;0,P5398*N5398,0)</f>
        <v/>
      </c>
      <c r="R5398" s="8">
        <f>IF(Q5398&lt;&gt;0,Q5398+H5398+L5398,0)</f>
        <v/>
      </c>
      <c r="S5398" s="9">
        <f>VLOOKUP(OPERAC[[#This Row],[especie]],[1]!ESPECIES[#Data],9,FALSE)</f>
        <v/>
      </c>
    </row>
    <row r="5399">
      <c r="A5399" s="4" t="n">
        <v>16795</v>
      </c>
      <c r="B5399" s="5" t="n">
        <v>44708</v>
      </c>
      <c r="C5399" s="13" t="inlineStr">
        <is>
          <t>VTA</t>
        </is>
      </c>
      <c r="D5399" s="13" t="n">
        <v>42</v>
      </c>
      <c r="E5399" s="10">
        <f>IF(D5399&gt;0,VLOOKUP(OPERAC[[#This Row],[COD CART]],[1]!MatrizCortoLargoCyl[#All],3,0),"")</f>
        <v/>
      </c>
      <c r="F5399" s="13" t="inlineStr">
        <is>
          <t>ACB</t>
        </is>
      </c>
      <c r="G5399" s="6" t="n">
        <v>1000</v>
      </c>
      <c r="H5399" s="6" t="n">
        <v>-1825.320788805</v>
      </c>
      <c r="I5399" s="7">
        <f>-H5399/G5399</f>
        <v/>
      </c>
      <c r="J5399" s="5" t="n"/>
      <c r="K5399" s="6" t="n"/>
      <c r="L5399" s="6" t="n"/>
      <c r="M5399" s="7">
        <f>IF(N5399=0,+L5399+H5399,0)</f>
        <v/>
      </c>
      <c r="N5399" s="7">
        <f>IF((+G5399-K5399)=0,0,+G5399-K5399)</f>
        <v/>
      </c>
      <c r="O5399" s="7">
        <f>IF(N5399=0,0,(L5399+H5399)/-N5399)</f>
        <v/>
      </c>
      <c r="P5399" s="7">
        <f>VLOOKUP(OPERAC[[#This Row],[especie]],[1]!ESPECIES[#All],6,0)</f>
        <v/>
      </c>
      <c r="Q5399" s="7">
        <f>IF(N5399&lt;&gt;0,P5399*N5399,0)</f>
        <v/>
      </c>
      <c r="R5399" s="8">
        <f>IF(Q5399&lt;&gt;0,Q5399+H5399+L5399,0)</f>
        <v/>
      </c>
      <c r="S5399" s="9">
        <f>VLOOKUP(OPERAC[[#This Row],[especie]],[1]!ESPECIES[#Data],9,FALSE)</f>
        <v/>
      </c>
    </row>
    <row r="5400">
      <c r="A5400" s="4" t="n">
        <v>13185</v>
      </c>
      <c r="B5400" s="5" t="n">
        <v>44649</v>
      </c>
      <c r="C5400" s="13" t="inlineStr">
        <is>
          <t>VTA</t>
        </is>
      </c>
      <c r="D5400" s="13" t="n">
        <v>32</v>
      </c>
      <c r="E5400" s="10">
        <f>IF(D5400&gt;0,VLOOKUP(OPERAC[[#This Row],[COD CART]],[1]!MatrizCortoLargoCyl[#All],3,0),"")</f>
        <v/>
      </c>
      <c r="F5400" s="13" t="inlineStr">
        <is>
          <t>SPWR/CYL/20,00/24-06-22</t>
        </is>
      </c>
      <c r="G5400" s="6" t="n">
        <v>100</v>
      </c>
      <c r="H5400" s="6">
        <f>-1865.225+39.66</f>
        <v/>
      </c>
      <c r="I5400" s="7">
        <f>-H5400/G5400</f>
        <v/>
      </c>
      <c r="J5400" s="11" t="n"/>
      <c r="K5400" s="6" t="n"/>
      <c r="L5400" s="6" t="n"/>
      <c r="M5400" s="7">
        <f>IF(N5400=0,+L5400+H5400,0)</f>
        <v/>
      </c>
      <c r="N5400" s="7">
        <f>IF((+G5400-K5400)=0,0,+G5400-K5400)</f>
        <v/>
      </c>
      <c r="O5400" s="7">
        <f>IF(N5400=0,0,(L5400+H5400)/-N5400)</f>
        <v/>
      </c>
      <c r="P5400" s="7">
        <f>VLOOKUP(OPERAC[[#This Row],[especie]],[1]!ESPECIES[#All],6,0)</f>
        <v/>
      </c>
      <c r="Q5400" s="7">
        <f>IF(N5400&lt;&gt;0,P5400*N5400,0)</f>
        <v/>
      </c>
      <c r="R5400" s="8">
        <f>IF(Q5400&lt;&gt;0,Q5400+H5400+L5400,0)</f>
        <v/>
      </c>
      <c r="S5400" s="9">
        <f>VLOOKUP(OPERAC[[#This Row],[especie]],[1]!ESPECIES[#Data],9,FALSE)</f>
        <v/>
      </c>
    </row>
    <row r="5401">
      <c r="A5401" s="4" t="n">
        <v>13180</v>
      </c>
      <c r="B5401" s="5" t="n">
        <v>44649</v>
      </c>
      <c r="C5401" s="13" t="inlineStr">
        <is>
          <t>VTA</t>
        </is>
      </c>
      <c r="D5401" s="13" t="n">
        <v>32</v>
      </c>
      <c r="E5401" s="10">
        <f>IF(D5401&gt;0,VLOOKUP(OPERAC[[#This Row],[COD CART]],[1]!MatrizCortoLargoCyl[#All],3,0),"")</f>
        <v/>
      </c>
      <c r="F5401" s="13" t="inlineStr">
        <is>
          <t>SPWR/CYL/20,00/24-06-22</t>
        </is>
      </c>
      <c r="G5401" s="6" t="n">
        <v>100</v>
      </c>
      <c r="H5401" s="6">
        <f>-1865.225+39.66</f>
        <v/>
      </c>
      <c r="I5401" s="7">
        <f>-H5401/G5401</f>
        <v/>
      </c>
      <c r="J5401" s="11" t="n"/>
      <c r="K5401" s="6" t="n"/>
      <c r="L5401" s="6" t="n"/>
      <c r="M5401" s="7">
        <f>IF(N5401=0,+L5401+H5401,0)</f>
        <v/>
      </c>
      <c r="N5401" s="7">
        <f>IF((+G5401-K5401)=0,0,+G5401-K5401)</f>
        <v/>
      </c>
      <c r="O5401" s="7">
        <f>IF(N5401=0,0,(L5401+H5401)/-N5401)</f>
        <v/>
      </c>
      <c r="P5401" s="7">
        <f>VLOOKUP(OPERAC[[#This Row],[especie]],[1]!ESPECIES[#All],6,0)</f>
        <v/>
      </c>
      <c r="Q5401" s="7">
        <f>IF(N5401&lt;&gt;0,P5401*N5401,0)</f>
        <v/>
      </c>
      <c r="R5401" s="8">
        <f>IF(Q5401&lt;&gt;0,Q5401+H5401+L5401,0)</f>
        <v/>
      </c>
      <c r="S5401" s="9">
        <f>VLOOKUP(OPERAC[[#This Row],[especie]],[1]!ESPECIES[#Data],9,FALSE)</f>
        <v/>
      </c>
    </row>
    <row r="5402">
      <c r="A5402" s="4" t="n">
        <v>13180</v>
      </c>
      <c r="B5402" s="5" t="n">
        <v>44662</v>
      </c>
      <c r="C5402" s="13" t="inlineStr">
        <is>
          <t>VTA</t>
        </is>
      </c>
      <c r="D5402" s="13" t="n">
        <v>42</v>
      </c>
      <c r="E5402" s="10">
        <f>IF(D5402&gt;0,VLOOKUP(OPERAC[[#This Row],[COD CART]],[1]!MatrizCortoLargoCyl[#All],3,0),"")</f>
        <v/>
      </c>
      <c r="F5402" s="13" t="inlineStr">
        <is>
          <t>UPST</t>
        </is>
      </c>
      <c r="G5402" s="6" t="n">
        <v>20</v>
      </c>
      <c r="H5402" s="6" t="n">
        <v>-1828.0072</v>
      </c>
      <c r="I5402" s="7">
        <f>-H5402/G5402</f>
        <v/>
      </c>
      <c r="J5402" s="11" t="n"/>
      <c r="K5402" s="6" t="n"/>
      <c r="L5402" s="6" t="n"/>
      <c r="M5402" s="7">
        <f>IF(N5402=0,+L5402+H5402,0)</f>
        <v/>
      </c>
      <c r="N5402" s="7">
        <f>IF((+G5402-K5402)=0,0,+G5402-K5402)</f>
        <v/>
      </c>
      <c r="O5402" s="7">
        <f>IF(N5402=0,0,(L5402+H5402)/-N5402)</f>
        <v/>
      </c>
      <c r="P5402" s="7">
        <f>VLOOKUP(OPERAC[[#This Row],[especie]],[1]!ESPECIES[#All],6,0)</f>
        <v/>
      </c>
      <c r="Q5402" s="7">
        <f>IF(N5402&lt;&gt;0,P5402*N5402,0)</f>
        <v/>
      </c>
      <c r="R5402" s="8">
        <f>IF(Q5402&lt;&gt;0,Q5402+H5402+L5402,0)</f>
        <v/>
      </c>
      <c r="S5402" s="9">
        <f>VLOOKUP(OPERAC[[#This Row],[especie]],[1]!ESPECIES[#Data],9,FALSE)</f>
        <v/>
      </c>
    </row>
    <row r="5403">
      <c r="A5403" s="4" t="n">
        <v>26140</v>
      </c>
      <c r="B5403" s="5" t="n">
        <v>44662</v>
      </c>
      <c r="C5403" s="13" t="inlineStr">
        <is>
          <t>VTA</t>
        </is>
      </c>
      <c r="D5403" s="13" t="n">
        <v>42</v>
      </c>
      <c r="E5403" s="10">
        <f>IF(D5403&gt;0,VLOOKUP(OPERAC[[#This Row],[COD CART]],[1]!MatrizCortoLargoCyl[#All],3,0),"")</f>
        <v/>
      </c>
      <c r="F5403" s="13" t="inlineStr">
        <is>
          <t>UPST</t>
        </is>
      </c>
      <c r="G5403" s="6" t="n">
        <v>20</v>
      </c>
      <c r="H5403" s="6" t="n">
        <v>-1828.0072</v>
      </c>
      <c r="I5403" s="7">
        <f>-H5403/G5403</f>
        <v/>
      </c>
      <c r="J5403" s="11" t="n">
        <v>44693</v>
      </c>
      <c r="K5403" s="6" t="n">
        <v>20</v>
      </c>
      <c r="L5403" s="6" t="n">
        <v>640.732</v>
      </c>
      <c r="M5403" s="7">
        <f>IF(N5403=0,+L5403+H5403,0)</f>
        <v/>
      </c>
      <c r="N5403" s="7">
        <f>IF((+G5403-K5403)=0,0,+G5403-K5403)</f>
        <v/>
      </c>
      <c r="O5403" s="7">
        <f>IF(N5403=0,0,(L5403+H5403)/-N5403)</f>
        <v/>
      </c>
      <c r="P5403" s="7">
        <f>VLOOKUP(OPERAC[[#This Row],[especie]],[1]!ESPECIES[#All],6,0)</f>
        <v/>
      </c>
      <c r="Q5403" s="7">
        <f>IF(N5403&lt;&gt;0,P5403*N5403,0)</f>
        <v/>
      </c>
      <c r="R5403" s="8">
        <f>IF(Q5403&lt;&gt;0,Q5403+H5403+L5403,0)</f>
        <v/>
      </c>
      <c r="S5403" s="9">
        <f>VLOOKUP(OPERAC[[#This Row],[especie]],[1]!ESPECIES[#Data],9,FALSE)</f>
        <v/>
      </c>
    </row>
    <row r="5404">
      <c r="A5404" s="4" t="n">
        <v>22439</v>
      </c>
      <c r="B5404" s="5" t="n">
        <v>44669</v>
      </c>
      <c r="C5404" s="13" t="inlineStr">
        <is>
          <t>VTA</t>
        </is>
      </c>
      <c r="D5404" s="13" t="n">
        <v>32</v>
      </c>
      <c r="E5404" s="10">
        <f>IF(D5404&gt;0,VLOOKUP(OPERAC[[#This Row],[COD CART]],[1]!MatrizCortoLargoCyl[#All],3,0),"")</f>
        <v/>
      </c>
      <c r="F5404" s="13" t="inlineStr">
        <is>
          <t>HMY/CYL/5,00/19-08-22</t>
        </is>
      </c>
      <c r="G5404" s="6" t="n">
        <v>400</v>
      </c>
      <c r="H5404" s="6">
        <f>-4.64*OPERAC[[#This Row],[cantidad]]+27.762</f>
        <v/>
      </c>
      <c r="I5404" s="7">
        <f>-H5404/G5404</f>
        <v/>
      </c>
      <c r="J5404" s="11" t="n"/>
      <c r="K5404" s="6" t="n"/>
      <c r="L5404" s="6" t="n"/>
      <c r="M5404" s="7">
        <f>IF(N5404=0,+L5404+H5404,0)</f>
        <v/>
      </c>
      <c r="N5404" s="7">
        <f>IF((+G5404-K5404)=0,0,+G5404-K5404)</f>
        <v/>
      </c>
      <c r="O5404" s="7">
        <f>IF(N5404=0,0,(L5404+H5404)/-N5404)</f>
        <v/>
      </c>
      <c r="P5404" s="7">
        <f>VLOOKUP(OPERAC[[#This Row],[especie]],[1]!ESPECIES[#All],6,0)</f>
        <v/>
      </c>
      <c r="Q5404" s="7">
        <f>IF(N5404&lt;&gt;0,P5404*N5404,0)</f>
        <v/>
      </c>
      <c r="R5404" s="8">
        <f>IF(Q5404&lt;&gt;0,Q5404+H5404+L5404,0)</f>
        <v/>
      </c>
      <c r="S5404" s="9">
        <f>VLOOKUP(OPERAC[[#This Row],[especie]],[1]!ESPECIES[#Data],9,FALSE)</f>
        <v/>
      </c>
    </row>
    <row r="5405">
      <c r="A5405" s="4" t="n">
        <v>16783</v>
      </c>
      <c r="B5405" s="5" t="n">
        <v>44650</v>
      </c>
      <c r="C5405" s="13" t="inlineStr">
        <is>
          <t>VTA</t>
        </is>
      </c>
      <c r="D5405" s="13" t="n">
        <v>43</v>
      </c>
      <c r="E5405" s="10">
        <f>IF(D5405&gt;0,VLOOKUP(OPERAC[[#This Row],[COD CART]],[1]!MatrizCortoLargoCyl[#All],3,0),"")</f>
        <v/>
      </c>
      <c r="F5405" s="13" t="inlineStr">
        <is>
          <t>ACB/CYL-PUT/3,00/20-01-23</t>
        </is>
      </c>
      <c r="G5405" s="6" t="n">
        <v>1000</v>
      </c>
      <c r="H5405" s="6" t="n">
        <v>-1831.258</v>
      </c>
      <c r="I5405" s="7">
        <f>-H5405/G5405</f>
        <v/>
      </c>
      <c r="J5405" s="11" t="n"/>
      <c r="K5405" s="6" t="n"/>
      <c r="L5405" s="6" t="n"/>
      <c r="M5405" s="7">
        <f>IF(N5405=0,+L5405+H5405,0)</f>
        <v/>
      </c>
      <c r="N5405" s="7">
        <f>IF((+G5405-K5405)=0,0,+G5405-K5405)</f>
        <v/>
      </c>
      <c r="O5405" s="7">
        <f>IF(N5405=0,0,(L5405+H5405)/-N5405)</f>
        <v/>
      </c>
      <c r="P5405" s="7">
        <f>VLOOKUP(OPERAC[[#This Row],[especie]],[1]!ESPECIES[#All],6,0)</f>
        <v/>
      </c>
      <c r="Q5405" s="7">
        <f>IF(N5405&lt;&gt;0,P5405*N5405,0)</f>
        <v/>
      </c>
      <c r="R5405" s="8">
        <f>IF(Q5405&lt;&gt;0,Q5405+H5405+L5405,0)</f>
        <v/>
      </c>
      <c r="S5405" s="9">
        <f>VLOOKUP(OPERAC[[#This Row],[especie]],[1]!ESPECIES[#Data],9,FALSE)</f>
        <v/>
      </c>
    </row>
    <row r="5406">
      <c r="A5406" s="4" t="n">
        <v>12684</v>
      </c>
      <c r="B5406" s="5" t="n">
        <v>44586</v>
      </c>
      <c r="C5406" s="13" t="inlineStr">
        <is>
          <t>VTA</t>
        </is>
      </c>
      <c r="D5406" s="13" t="n">
        <v>40</v>
      </c>
      <c r="E5406" s="10">
        <f>IF(D5406&gt;0,VLOOKUP(OPERAC[[#This Row],[COD CART]],[1]!MatrizCortoLargoCyl[#All],3,0),"")</f>
        <v/>
      </c>
      <c r="F5406" s="13" t="inlineStr">
        <is>
          <t>GMBL</t>
        </is>
      </c>
      <c r="G5406" s="6" t="n">
        <v>1000</v>
      </c>
      <c r="H5406" s="6">
        <f>-1.835*OPERAC[[#This Row],[cantidad]]</f>
        <v/>
      </c>
      <c r="I5406" s="7">
        <f>-H5406/G5406</f>
        <v/>
      </c>
      <c r="J5406" s="11" t="n">
        <v>44635</v>
      </c>
      <c r="K5406" s="6" t="n">
        <v>1000</v>
      </c>
      <c r="L5406" s="6" t="n">
        <v>684.313</v>
      </c>
      <c r="M5406" s="7">
        <f>IF(N5406=0,+L5406+H5406,0)</f>
        <v/>
      </c>
      <c r="N5406" s="7">
        <f>IF((+G5406-K5406)=0,0,+G5406-K5406)</f>
        <v/>
      </c>
      <c r="O5406" s="7">
        <f>IF(N5406=0,0,(L5406+H5406)/-N5406)</f>
        <v/>
      </c>
      <c r="P5406" s="7">
        <f>VLOOKUP(OPERAC[[#This Row],[especie]],[1]!ESPECIES[#All],6,0)</f>
        <v/>
      </c>
      <c r="Q5406" s="7">
        <f>IF(N5406&lt;&gt;0,P5406*N5406,0)</f>
        <v/>
      </c>
      <c r="R5406" s="8">
        <f>IF(Q5406&lt;&gt;0,Q5406+H5406+L5406,0)</f>
        <v/>
      </c>
      <c r="S5406" s="9">
        <f>VLOOKUP(OPERAC[[#This Row],[especie]],[1]!ESPECIES[#Data],9,FALSE)</f>
        <v/>
      </c>
    </row>
    <row r="5407">
      <c r="A5407" s="4" t="n">
        <v>26138</v>
      </c>
      <c r="B5407" s="5" t="n">
        <v>44536</v>
      </c>
      <c r="C5407" s="13" t="inlineStr">
        <is>
          <t>VTA</t>
        </is>
      </c>
      <c r="D5407" s="13" t="n">
        <v>43</v>
      </c>
      <c r="E5407" s="10">
        <f>IF(D5407&gt;0,VLOOKUP(OPERAC[[#This Row],[COD CART]],[1]!MatrizCortoLargoCyl[#All],3,0),"")</f>
        <v/>
      </c>
      <c r="F5407" s="13" t="inlineStr">
        <is>
          <t>NNDM/CYL-PUT/2,50/19-01-24</t>
        </is>
      </c>
      <c r="G5407" s="6" t="n">
        <v>1700</v>
      </c>
      <c r="H5407" s="6">
        <f>-1.08*OPERAC[[#This Row],[cantidad]]</f>
        <v/>
      </c>
      <c r="I5407" s="7">
        <f>-H5407/G5407</f>
        <v/>
      </c>
      <c r="J5407" s="11" t="n"/>
      <c r="K5407" s="6" t="n"/>
      <c r="L5407" s="6" t="n"/>
      <c r="M5407" s="7">
        <f>IF(N5407=0,+L5407+H5407,0)</f>
        <v/>
      </c>
      <c r="N5407" s="7">
        <f>IF((+G5407-K5407)=0,0,+G5407-K5407)</f>
        <v/>
      </c>
      <c r="O5407" s="7">
        <f>IF(N5407=0,0,(L5407+H5407)/-N5407)</f>
        <v/>
      </c>
      <c r="P5407" s="7">
        <f>VLOOKUP(OPERAC[[#This Row],[especie]],[1]!ESPECIES[#All],6,0)</f>
        <v/>
      </c>
      <c r="Q5407" s="7">
        <f>IF(N5407&lt;&gt;0,P5407*N5407,0)</f>
        <v/>
      </c>
      <c r="R5407" s="8">
        <f>IF(Q5407&lt;&gt;0,Q5407+H5407+L5407,0)</f>
        <v/>
      </c>
      <c r="S5407" s="9">
        <f>VLOOKUP(OPERAC[[#This Row],[especie]],[1]!ESPECIES[#Data],9,FALSE)</f>
        <v/>
      </c>
    </row>
    <row r="5408">
      <c r="A5408" s="4" t="n">
        <v>2218</v>
      </c>
      <c r="B5408" s="5" t="n">
        <v>44574</v>
      </c>
      <c r="C5408" s="13" t="inlineStr">
        <is>
          <t>VTA</t>
        </is>
      </c>
      <c r="D5408" s="13" t="n">
        <v>39</v>
      </c>
      <c r="E5408" s="10">
        <f>IF(D5408&gt;0,VLOOKUP(OPERAC[[#This Row],[COD CART]],[1]!MatrizCortoLargoCyl[#All],3,0),"")</f>
        <v/>
      </c>
      <c r="F5408" s="13" t="inlineStr">
        <is>
          <t>BABA/BULL/120,0-135,0/20-05-22</t>
        </is>
      </c>
      <c r="G5408" s="6" t="n">
        <v>200</v>
      </c>
      <c r="H5408" s="6" t="n">
        <v>-1836.53</v>
      </c>
      <c r="I5408" s="7">
        <f>-H5408/G5408</f>
        <v/>
      </c>
      <c r="J5408" s="11" t="n">
        <v>44701</v>
      </c>
      <c r="K5408" s="6">
        <f>+OPERAC[[#This Row],[cantidad]]</f>
        <v/>
      </c>
      <c r="L5408" s="6" t="n">
        <v>0</v>
      </c>
      <c r="M5408" s="7">
        <f>IF(N5408=0,+L5408+H5408,0)</f>
        <v/>
      </c>
      <c r="N5408" s="7">
        <f>IF((+G5408-K5408)=0,0,+G5408-K5408)</f>
        <v/>
      </c>
      <c r="O5408" s="7">
        <f>IF(N5408=0,0,(L5408+H5408)/-N5408)</f>
        <v/>
      </c>
      <c r="P5408" s="7">
        <f>VLOOKUP(OPERAC[[#This Row],[especie]],[1]!ESPECIES[#All],6,0)</f>
        <v/>
      </c>
      <c r="Q5408" s="7">
        <f>IF(N5408&lt;&gt;0,P5408*N5408,0)</f>
        <v/>
      </c>
      <c r="R5408" s="8">
        <f>IF(Q5408&lt;&gt;0,Q5408+H5408+L5408,0)</f>
        <v/>
      </c>
      <c r="S5408" s="9">
        <f>VLOOKUP(OPERAC[[#This Row],[especie]],[1]!ESPECIES[#Data],9,FALSE)</f>
        <v/>
      </c>
    </row>
    <row r="5409">
      <c r="A5409" s="4" t="n">
        <v>15189</v>
      </c>
      <c r="B5409" s="5" t="n">
        <v>44649</v>
      </c>
      <c r="C5409" s="13" t="inlineStr">
        <is>
          <t>VTA</t>
        </is>
      </c>
      <c r="D5409" s="13" t="n">
        <v>32</v>
      </c>
      <c r="E5409" s="10">
        <f>IF(D5409&gt;0,VLOOKUP(OPERAC[[#This Row],[COD CART]],[1]!MatrizCortoLargoCyl[#All],3,0),"")</f>
        <v/>
      </c>
      <c r="F5409" s="13" t="inlineStr">
        <is>
          <t>SPWR/CYL/22,00/17-06-22</t>
        </is>
      </c>
      <c r="G5409" s="6" t="n">
        <v>100</v>
      </c>
      <c r="H5409" s="6">
        <f>-1865.225+25.78</f>
        <v/>
      </c>
      <c r="I5409" s="7">
        <f>-H5409/G5409</f>
        <v/>
      </c>
      <c r="J5409" s="11" t="n"/>
      <c r="K5409" s="6" t="n"/>
      <c r="L5409" s="6" t="n"/>
      <c r="M5409" s="7">
        <f>IF(N5409=0,+L5409+H5409,0)</f>
        <v/>
      </c>
      <c r="N5409" s="7">
        <f>IF((+G5409-K5409)=0,0,+G5409-K5409)</f>
        <v/>
      </c>
      <c r="O5409" s="7">
        <f>IF(N5409=0,0,(L5409+H5409)/-N5409)</f>
        <v/>
      </c>
      <c r="P5409" s="7">
        <f>VLOOKUP(OPERAC[[#This Row],[especie]],[1]!ESPECIES[#All],6,0)</f>
        <v/>
      </c>
      <c r="Q5409" s="7">
        <f>IF(N5409&lt;&gt;0,P5409*N5409,0)</f>
        <v/>
      </c>
      <c r="R5409" s="8">
        <f>IF(Q5409&lt;&gt;0,Q5409+H5409+L5409,0)</f>
        <v/>
      </c>
      <c r="S5409" s="9">
        <f>VLOOKUP(OPERAC[[#This Row],[especie]],[1]!ESPECIES[#Data],9,FALSE)</f>
        <v/>
      </c>
    </row>
    <row r="5410">
      <c r="A5410" s="4" t="n">
        <v>7916</v>
      </c>
      <c r="B5410" s="5" t="n">
        <v>44649</v>
      </c>
      <c r="C5410" s="13" t="inlineStr">
        <is>
          <t>VTA</t>
        </is>
      </c>
      <c r="D5410" s="13" t="n">
        <v>32</v>
      </c>
      <c r="E5410" s="10">
        <f>IF(D5410&gt;0,VLOOKUP(OPERAC[[#This Row],[COD CART]],[1]!MatrizCortoLargoCyl[#All],3,0),"")</f>
        <v/>
      </c>
      <c r="F5410" s="13" t="inlineStr">
        <is>
          <t>SPWR/CYL/20,00/17-06-22</t>
        </is>
      </c>
      <c r="G5410" s="6" t="n">
        <v>100</v>
      </c>
      <c r="H5410" s="6">
        <f>-1865.225+21.813</f>
        <v/>
      </c>
      <c r="I5410" s="7">
        <f>-H5410/G5410</f>
        <v/>
      </c>
      <c r="J5410" s="11" t="n"/>
      <c r="K5410" s="6" t="n"/>
      <c r="L5410" s="6" t="n"/>
      <c r="M5410" s="7">
        <f>IF(N5410=0,+L5410+H5410,0)</f>
        <v/>
      </c>
      <c r="N5410" s="7">
        <f>IF((+G5410-K5410)=0,0,+G5410-K5410)</f>
        <v/>
      </c>
      <c r="O5410" s="7">
        <f>IF(N5410=0,0,(L5410+H5410)/-N5410)</f>
        <v/>
      </c>
      <c r="P5410" s="7">
        <f>VLOOKUP(OPERAC[[#This Row],[especie]],[1]!ESPECIES[#All],6,0)</f>
        <v/>
      </c>
      <c r="Q5410" s="7">
        <f>IF(N5410&lt;&gt;0,P5410*N5410,0)</f>
        <v/>
      </c>
      <c r="R5410" s="8">
        <f>IF(Q5410&lt;&gt;0,Q5410+H5410+L5410,0)</f>
        <v/>
      </c>
      <c r="S5410" s="9">
        <f>VLOOKUP(OPERAC[[#This Row],[especie]],[1]!ESPECIES[#Data],9,FALSE)</f>
        <v/>
      </c>
    </row>
    <row r="5411">
      <c r="A5411" s="4" t="n">
        <v>2218</v>
      </c>
      <c r="B5411" s="5" t="n">
        <v>44705</v>
      </c>
      <c r="C5411" s="13" t="inlineStr">
        <is>
          <t>VTA</t>
        </is>
      </c>
      <c r="D5411" s="13" t="n">
        <v>42</v>
      </c>
      <c r="E5411" s="10">
        <f>IF(D5411&gt;0,VLOOKUP(OPERAC[[#This Row],[COD CART]],[1]!MatrizCortoLargoCyl[#All],3,0),"")</f>
        <v/>
      </c>
      <c r="F5411" s="13" t="inlineStr">
        <is>
          <t>AMD</t>
        </is>
      </c>
      <c r="G5411" s="6" t="n">
        <v>20</v>
      </c>
      <c r="H5411" s="6" t="n">
        <v>-1844.5427</v>
      </c>
      <c r="I5411" s="7">
        <f>-H5411/G5411</f>
        <v/>
      </c>
      <c r="J5411" s="5" t="n">
        <v>44707</v>
      </c>
      <c r="K5411" s="6">
        <f>+OPERAC[[#This Row],[cantidad]]</f>
        <v/>
      </c>
      <c r="L5411" s="6">
        <f>+OPERAC[[#This Row],[cantidad venta]]*94.8</f>
        <v/>
      </c>
      <c r="M5411" s="7">
        <f>IF(N5411=0,+L5411+H5411,0)</f>
        <v/>
      </c>
      <c r="N5411" s="7">
        <f>IF((+G5411-K5411)=0,0,+G5411-K5411)</f>
        <v/>
      </c>
      <c r="O5411" s="7">
        <f>IF(N5411=0,0,(L5411+H5411)/-N5411)</f>
        <v/>
      </c>
      <c r="P5411" s="7">
        <f>VLOOKUP(OPERAC[[#This Row],[especie]],[1]!ESPECIES[#All],6,0)</f>
        <v/>
      </c>
      <c r="Q5411" s="7">
        <f>IF(N5411&lt;&gt;0,P5411*N5411,0)</f>
        <v/>
      </c>
      <c r="R5411" s="8">
        <f>IF(Q5411&lt;&gt;0,Q5411+H5411+L5411,0)</f>
        <v/>
      </c>
      <c r="S5411" s="9">
        <f>VLOOKUP(OPERAC[[#This Row],[especie]],[1]!ESPECIES[#Data],9,FALSE)</f>
        <v/>
      </c>
    </row>
    <row r="5412">
      <c r="A5412" s="4" t="n">
        <v>3728</v>
      </c>
      <c r="B5412" s="5" t="n">
        <v>44705</v>
      </c>
      <c r="C5412" s="13" t="inlineStr">
        <is>
          <t>VTA</t>
        </is>
      </c>
      <c r="D5412" s="13" t="n">
        <v>42</v>
      </c>
      <c r="E5412" s="10">
        <f>IF(D5412&gt;0,VLOOKUP(OPERAC[[#This Row],[COD CART]],[1]!MatrizCortoLargoCyl[#All],3,0),"")</f>
        <v/>
      </c>
      <c r="F5412" s="13" t="inlineStr">
        <is>
          <t>AMD</t>
        </is>
      </c>
      <c r="G5412" s="6" t="n">
        <v>20</v>
      </c>
      <c r="H5412" s="6" t="n">
        <v>-1844.5427</v>
      </c>
      <c r="I5412" s="7">
        <f>-H5412/G5412</f>
        <v/>
      </c>
      <c r="J5412" s="5" t="n">
        <v>44707</v>
      </c>
      <c r="K5412" s="6">
        <f>+OPERAC[[#This Row],[cantidad]]</f>
        <v/>
      </c>
      <c r="L5412" s="6">
        <f>+OPERAC[[#This Row],[cantidad venta]]*94.8</f>
        <v/>
      </c>
      <c r="M5412" s="7">
        <f>IF(N5412=0,+L5412+H5412,0)</f>
        <v/>
      </c>
      <c r="N5412" s="7">
        <f>IF((+G5412-K5412)=0,0,+G5412-K5412)</f>
        <v/>
      </c>
      <c r="O5412" s="7">
        <f>IF(N5412=0,0,(L5412+H5412)/-N5412)</f>
        <v/>
      </c>
      <c r="P5412" s="7">
        <f>VLOOKUP(OPERAC[[#This Row],[especie]],[1]!ESPECIES[#All],6,0)</f>
        <v/>
      </c>
      <c r="Q5412" s="7">
        <f>IF(N5412&lt;&gt;0,P5412*N5412,0)</f>
        <v/>
      </c>
      <c r="R5412" s="8">
        <f>IF(Q5412&lt;&gt;0,Q5412+H5412+L5412,0)</f>
        <v/>
      </c>
      <c r="S5412" s="9">
        <f>VLOOKUP(OPERAC[[#This Row],[especie]],[1]!ESPECIES[#Data],9,FALSE)</f>
        <v/>
      </c>
    </row>
    <row r="5413">
      <c r="A5413" s="4" t="n">
        <v>2218</v>
      </c>
      <c r="B5413" s="5" t="n">
        <v>44649</v>
      </c>
      <c r="C5413" s="13" t="inlineStr">
        <is>
          <t>VTA</t>
        </is>
      </c>
      <c r="D5413" s="13" t="n">
        <v>32</v>
      </c>
      <c r="E5413" s="10">
        <f>IF(D5413&gt;0,VLOOKUP(OPERAC[[#This Row],[COD CART]],[1]!MatrizCortoLargoCyl[#All],3,0),"")</f>
        <v/>
      </c>
      <c r="F5413" s="13" t="inlineStr">
        <is>
          <t>SPWR</t>
        </is>
      </c>
      <c r="G5413" s="6" t="n">
        <v>100</v>
      </c>
      <c r="H5413" s="6">
        <f>-1865.225+17.982</f>
        <v/>
      </c>
      <c r="I5413" s="7">
        <f>-H5413/G5413</f>
        <v/>
      </c>
      <c r="J5413" s="11" t="n"/>
      <c r="K5413" s="6" t="n"/>
      <c r="L5413" s="6" t="n"/>
      <c r="M5413" s="7">
        <f>IF(N5413=0,+L5413+H5413,0)</f>
        <v/>
      </c>
      <c r="N5413" s="7">
        <f>IF((+G5413-K5413)=0,0,+G5413-K5413)</f>
        <v/>
      </c>
      <c r="O5413" s="7">
        <f>IF(N5413=0,0,(L5413+H5413)/-N5413)</f>
        <v/>
      </c>
      <c r="P5413" s="7">
        <f>VLOOKUP(OPERAC[[#This Row],[especie]],[1]!ESPECIES[#All],6,0)</f>
        <v/>
      </c>
      <c r="Q5413" s="7">
        <f>IF(N5413&lt;&gt;0,P5413*N5413,0)</f>
        <v/>
      </c>
      <c r="R5413" s="8">
        <f>IF(Q5413&lt;&gt;0,Q5413+H5413+L5413,0)</f>
        <v/>
      </c>
      <c r="S5413" s="9">
        <f>VLOOKUP(OPERAC[[#This Row],[especie]],[1]!ESPECIES[#Data],9,FALSE)</f>
        <v/>
      </c>
    </row>
    <row r="5414">
      <c r="A5414" s="4" t="n">
        <v>12619</v>
      </c>
      <c r="B5414" s="5" t="n">
        <v>44649</v>
      </c>
      <c r="C5414" s="13" t="inlineStr">
        <is>
          <t>VTA</t>
        </is>
      </c>
      <c r="D5414" s="13" t="n">
        <v>32</v>
      </c>
      <c r="E5414" s="10">
        <f>IF(D5414&gt;0,VLOOKUP(OPERAC[[#This Row],[COD CART]],[1]!MatrizCortoLargoCyl[#All],3,0),"")</f>
        <v/>
      </c>
      <c r="F5414" s="13" t="inlineStr">
        <is>
          <t>SPWR</t>
        </is>
      </c>
      <c r="G5414" s="6" t="n">
        <v>100</v>
      </c>
      <c r="H5414" s="6">
        <f>-1865.225+17.847</f>
        <v/>
      </c>
      <c r="I5414" s="7">
        <f>-H5414/G5414</f>
        <v/>
      </c>
      <c r="J5414" s="11" t="n"/>
      <c r="K5414" s="6" t="n"/>
      <c r="L5414" s="6" t="n"/>
      <c r="M5414" s="7">
        <f>IF(N5414=0,+L5414+H5414,0)</f>
        <v/>
      </c>
      <c r="N5414" s="7">
        <f>IF((+G5414-K5414)=0,0,+G5414-K5414)</f>
        <v/>
      </c>
      <c r="O5414" s="7">
        <f>IF(N5414=0,0,(L5414+H5414)/-N5414)</f>
        <v/>
      </c>
      <c r="P5414" s="7">
        <f>VLOOKUP(OPERAC[[#This Row],[especie]],[1]!ESPECIES[#All],6,0)</f>
        <v/>
      </c>
      <c r="Q5414" s="7">
        <f>IF(N5414&lt;&gt;0,P5414*N5414,0)</f>
        <v/>
      </c>
      <c r="R5414" s="8">
        <f>IF(Q5414&lt;&gt;0,Q5414+H5414+L5414,0)</f>
        <v/>
      </c>
      <c r="S5414" s="9">
        <f>VLOOKUP(OPERAC[[#This Row],[especie]],[1]!ESPECIES[#Data],9,FALSE)</f>
        <v/>
      </c>
    </row>
    <row r="5415">
      <c r="A5415" s="4" t="n">
        <v>26140</v>
      </c>
      <c r="B5415" s="5" t="n">
        <v>44649</v>
      </c>
      <c r="C5415" s="13" t="inlineStr">
        <is>
          <t>VTA</t>
        </is>
      </c>
      <c r="D5415" s="13" t="n">
        <v>32</v>
      </c>
      <c r="E5415" s="10">
        <f>IF(D5415&gt;0,VLOOKUP(OPERAC[[#This Row],[COD CART]],[1]!MatrizCortoLargoCyl[#All],3,0),"")</f>
        <v/>
      </c>
      <c r="F5415" s="13" t="inlineStr">
        <is>
          <t>SPWR</t>
        </is>
      </c>
      <c r="G5415" s="6" t="n">
        <v>100</v>
      </c>
      <c r="H5415" s="6">
        <f>-1865.225+17.847</f>
        <v/>
      </c>
      <c r="I5415" s="7">
        <f>-H5415/G5415</f>
        <v/>
      </c>
      <c r="J5415" s="11" t="n"/>
      <c r="K5415" s="6" t="n"/>
      <c r="L5415" s="6" t="n"/>
      <c r="M5415" s="7">
        <f>IF(N5415=0,+L5415+H5415,0)</f>
        <v/>
      </c>
      <c r="N5415" s="7">
        <f>IF((+G5415-K5415)=0,0,+G5415-K5415)</f>
        <v/>
      </c>
      <c r="O5415" s="7">
        <f>IF(N5415=0,0,(L5415+H5415)/-N5415)</f>
        <v/>
      </c>
      <c r="P5415" s="7">
        <f>VLOOKUP(OPERAC[[#This Row],[especie]],[1]!ESPECIES[#All],6,0)</f>
        <v/>
      </c>
      <c r="Q5415" s="7">
        <f>IF(N5415&lt;&gt;0,P5415*N5415,0)</f>
        <v/>
      </c>
      <c r="R5415" s="8">
        <f>IF(Q5415&lt;&gt;0,Q5415+H5415+L5415,0)</f>
        <v/>
      </c>
      <c r="S5415" s="9">
        <f>VLOOKUP(OPERAC[[#This Row],[especie]],[1]!ESPECIES[#Data],9,FALSE)</f>
        <v/>
      </c>
    </row>
    <row r="5416">
      <c r="A5416" s="4" t="n">
        <v>2203</v>
      </c>
      <c r="B5416" s="5" t="n">
        <v>44705</v>
      </c>
      <c r="C5416" s="13" t="inlineStr">
        <is>
          <t>VTA</t>
        </is>
      </c>
      <c r="D5416" s="13" t="n">
        <v>42</v>
      </c>
      <c r="E5416" s="10">
        <f>IF(D5416&gt;0,VLOOKUP(OPERAC[[#This Row],[COD CART]],[1]!MatrizCortoLargoCyl[#All],3,0),"")</f>
        <v/>
      </c>
      <c r="F5416" s="13" t="inlineStr">
        <is>
          <t>AMD</t>
        </is>
      </c>
      <c r="G5416" s="6" t="n">
        <v>20</v>
      </c>
      <c r="H5416" s="6" t="n">
        <v>-1850.0708</v>
      </c>
      <c r="I5416" s="7">
        <f>-H5416/G5416</f>
        <v/>
      </c>
      <c r="J5416" s="5" t="n">
        <v>44707</v>
      </c>
      <c r="K5416" s="6">
        <f>+OPERAC[[#This Row],[cantidad]]</f>
        <v/>
      </c>
      <c r="L5416" s="6">
        <f>+OPERAC[[#This Row],[cantidad venta]]*94.8</f>
        <v/>
      </c>
      <c r="M5416" s="7">
        <f>IF(N5416=0,+L5416+H5416,0)</f>
        <v/>
      </c>
      <c r="N5416" s="7">
        <f>IF((+G5416-K5416)=0,0,+G5416-K5416)</f>
        <v/>
      </c>
      <c r="O5416" s="7">
        <f>IF(N5416=0,0,(L5416+H5416)/-N5416)</f>
        <v/>
      </c>
      <c r="P5416" s="7">
        <f>VLOOKUP(OPERAC[[#This Row],[especie]],[1]!ESPECIES[#All],6,0)</f>
        <v/>
      </c>
      <c r="Q5416" s="7">
        <f>IF(N5416&lt;&gt;0,P5416*N5416,0)</f>
        <v/>
      </c>
      <c r="R5416" s="8">
        <f>IF(Q5416&lt;&gt;0,Q5416+H5416+L5416,0)</f>
        <v/>
      </c>
      <c r="S5416" s="9">
        <f>VLOOKUP(OPERAC[[#This Row],[especie]],[1]!ESPECIES[#Data],9,FALSE)</f>
        <v/>
      </c>
    </row>
    <row r="5417">
      <c r="A5417" s="4" t="n">
        <v>3787</v>
      </c>
      <c r="B5417" s="5" t="n">
        <v>44705</v>
      </c>
      <c r="C5417" s="13" t="inlineStr">
        <is>
          <t>VTA</t>
        </is>
      </c>
      <c r="D5417" s="13" t="n">
        <v>42</v>
      </c>
      <c r="E5417" s="10">
        <f>IF(D5417&gt;0,VLOOKUP(OPERAC[[#This Row],[COD CART]],[1]!MatrizCortoLargoCyl[#All],3,0),"")</f>
        <v/>
      </c>
      <c r="F5417" s="13" t="inlineStr">
        <is>
          <t>AMD</t>
        </is>
      </c>
      <c r="G5417" s="6" t="n">
        <v>20</v>
      </c>
      <c r="H5417" s="6" t="n">
        <v>-1850.0708</v>
      </c>
      <c r="I5417" s="7">
        <f>-H5417/G5417</f>
        <v/>
      </c>
      <c r="J5417" s="5" t="n">
        <v>44707</v>
      </c>
      <c r="K5417" s="6">
        <f>+OPERAC[[#This Row],[cantidad]]</f>
        <v/>
      </c>
      <c r="L5417" s="6">
        <f>+OPERAC[[#This Row],[cantidad venta]]*94.8</f>
        <v/>
      </c>
      <c r="M5417" s="7">
        <f>IF(N5417=0,+L5417+H5417,0)</f>
        <v/>
      </c>
      <c r="N5417" s="7">
        <f>IF((+G5417-K5417)=0,0,+G5417-K5417)</f>
        <v/>
      </c>
      <c r="O5417" s="7">
        <f>IF(N5417=0,0,(L5417+H5417)/-N5417)</f>
        <v/>
      </c>
      <c r="P5417" s="7">
        <f>VLOOKUP(OPERAC[[#This Row],[especie]],[1]!ESPECIES[#All],6,0)</f>
        <v/>
      </c>
      <c r="Q5417" s="7">
        <f>IF(N5417&lt;&gt;0,P5417*N5417,0)</f>
        <v/>
      </c>
      <c r="R5417" s="8">
        <f>IF(Q5417&lt;&gt;0,Q5417+H5417+L5417,0)</f>
        <v/>
      </c>
      <c r="S5417" s="9">
        <f>VLOOKUP(OPERAC[[#This Row],[especie]],[1]!ESPECIES[#Data],9,FALSE)</f>
        <v/>
      </c>
    </row>
    <row r="5418">
      <c r="A5418" s="4" t="n">
        <v>6578</v>
      </c>
      <c r="B5418" s="5" t="n">
        <v>44705</v>
      </c>
      <c r="C5418" s="13" t="inlineStr">
        <is>
          <t>VTA</t>
        </is>
      </c>
      <c r="D5418" s="13" t="n">
        <v>42</v>
      </c>
      <c r="E5418" s="10">
        <f>IF(D5418&gt;0,VLOOKUP(OPERAC[[#This Row],[COD CART]],[1]!MatrizCortoLargoCyl[#All],3,0),"")</f>
        <v/>
      </c>
      <c r="F5418" s="13" t="inlineStr">
        <is>
          <t>AMD</t>
        </is>
      </c>
      <c r="G5418" s="6" t="n">
        <v>20</v>
      </c>
      <c r="H5418" s="6" t="n">
        <v>-1850.0708</v>
      </c>
      <c r="I5418" s="7">
        <f>-H5418/G5418</f>
        <v/>
      </c>
      <c r="J5418" s="5" t="n">
        <v>44707</v>
      </c>
      <c r="K5418" s="6">
        <f>+OPERAC[[#This Row],[cantidad]]</f>
        <v/>
      </c>
      <c r="L5418" s="6">
        <f>+OPERAC[[#This Row],[cantidad venta]]*94.8</f>
        <v/>
      </c>
      <c r="M5418" s="7">
        <f>IF(N5418=0,+L5418+H5418,0)</f>
        <v/>
      </c>
      <c r="N5418" s="7">
        <f>IF((+G5418-K5418)=0,0,+G5418-K5418)</f>
        <v/>
      </c>
      <c r="O5418" s="7">
        <f>IF(N5418=0,0,(L5418+H5418)/-N5418)</f>
        <v/>
      </c>
      <c r="P5418" s="7">
        <f>VLOOKUP(OPERAC[[#This Row],[especie]],[1]!ESPECIES[#All],6,0)</f>
        <v/>
      </c>
      <c r="Q5418" s="7">
        <f>IF(N5418&lt;&gt;0,P5418*N5418,0)</f>
        <v/>
      </c>
      <c r="R5418" s="8">
        <f>IF(Q5418&lt;&gt;0,Q5418+H5418+L5418,0)</f>
        <v/>
      </c>
      <c r="S5418" s="9">
        <f>VLOOKUP(OPERAC[[#This Row],[especie]],[1]!ESPECIES[#Data],9,FALSE)</f>
        <v/>
      </c>
    </row>
    <row r="5419">
      <c r="A5419" s="4" t="n">
        <v>7916</v>
      </c>
      <c r="B5419" s="5" t="n">
        <v>44705</v>
      </c>
      <c r="C5419" s="13" t="inlineStr">
        <is>
          <t>VTA</t>
        </is>
      </c>
      <c r="D5419" s="13" t="n">
        <v>42</v>
      </c>
      <c r="E5419" s="10">
        <f>IF(D5419&gt;0,VLOOKUP(OPERAC[[#This Row],[COD CART]],[1]!MatrizCortoLargoCyl[#All],3,0),"")</f>
        <v/>
      </c>
      <c r="F5419" s="13" t="inlineStr">
        <is>
          <t>AMD</t>
        </is>
      </c>
      <c r="G5419" s="6" t="n">
        <v>20</v>
      </c>
      <c r="H5419" s="6" t="n">
        <v>-1850.0708</v>
      </c>
      <c r="I5419" s="7">
        <f>-H5419/G5419</f>
        <v/>
      </c>
      <c r="J5419" s="5" t="n">
        <v>44707</v>
      </c>
      <c r="K5419" s="6">
        <f>+OPERAC[[#This Row],[cantidad]]</f>
        <v/>
      </c>
      <c r="L5419" s="6">
        <f>+OPERAC[[#This Row],[cantidad venta]]*94.8</f>
        <v/>
      </c>
      <c r="M5419" s="7">
        <f>IF(N5419=0,+L5419+H5419,0)</f>
        <v/>
      </c>
      <c r="N5419" s="7">
        <f>IF((+G5419-K5419)=0,0,+G5419-K5419)</f>
        <v/>
      </c>
      <c r="O5419" s="7">
        <f>IF(N5419=0,0,(L5419+H5419)/-N5419)</f>
        <v/>
      </c>
      <c r="P5419" s="7">
        <f>VLOOKUP(OPERAC[[#This Row],[especie]],[1]!ESPECIES[#All],6,0)</f>
        <v/>
      </c>
      <c r="Q5419" s="7">
        <f>IF(N5419&lt;&gt;0,P5419*N5419,0)</f>
        <v/>
      </c>
      <c r="R5419" s="8">
        <f>IF(Q5419&lt;&gt;0,Q5419+H5419+L5419,0)</f>
        <v/>
      </c>
      <c r="S5419" s="9">
        <f>VLOOKUP(OPERAC[[#This Row],[especie]],[1]!ESPECIES[#Data],9,FALSE)</f>
        <v/>
      </c>
    </row>
    <row r="5420">
      <c r="A5420" s="4" t="n">
        <v>12652</v>
      </c>
      <c r="B5420" s="5" t="n">
        <v>44705</v>
      </c>
      <c r="C5420" s="13" t="inlineStr">
        <is>
          <t>VTA</t>
        </is>
      </c>
      <c r="D5420" s="13" t="n">
        <v>42</v>
      </c>
      <c r="E5420" s="10">
        <f>IF(D5420&gt;0,VLOOKUP(OPERAC[[#This Row],[COD CART]],[1]!MatrizCortoLargoCyl[#All],3,0),"")</f>
        <v/>
      </c>
      <c r="F5420" s="13" t="inlineStr">
        <is>
          <t>AMD</t>
        </is>
      </c>
      <c r="G5420" s="6" t="n">
        <v>20</v>
      </c>
      <c r="H5420" s="6" t="n">
        <v>-1850.0708</v>
      </c>
      <c r="I5420" s="7">
        <f>-H5420/G5420</f>
        <v/>
      </c>
      <c r="J5420" s="5" t="n">
        <v>44707</v>
      </c>
      <c r="K5420" s="6">
        <f>+OPERAC[[#This Row],[cantidad]]</f>
        <v/>
      </c>
      <c r="L5420" s="6">
        <f>+OPERAC[[#This Row],[cantidad venta]]*94.8</f>
        <v/>
      </c>
      <c r="M5420" s="7">
        <f>IF(N5420=0,+L5420+H5420,0)</f>
        <v/>
      </c>
      <c r="N5420" s="7">
        <f>IF((+G5420-K5420)=0,0,+G5420-K5420)</f>
        <v/>
      </c>
      <c r="O5420" s="7">
        <f>IF(N5420=0,0,(L5420+H5420)/-N5420)</f>
        <v/>
      </c>
      <c r="P5420" s="7">
        <f>VLOOKUP(OPERAC[[#This Row],[especie]],[1]!ESPECIES[#All],6,0)</f>
        <v/>
      </c>
      <c r="Q5420" s="7">
        <f>IF(N5420&lt;&gt;0,P5420*N5420,0)</f>
        <v/>
      </c>
      <c r="R5420" s="8">
        <f>IF(Q5420&lt;&gt;0,Q5420+H5420+L5420,0)</f>
        <v/>
      </c>
      <c r="S5420" s="9">
        <f>VLOOKUP(OPERAC[[#This Row],[especie]],[1]!ESPECIES[#Data],9,FALSE)</f>
        <v/>
      </c>
    </row>
    <row r="5421">
      <c r="A5421" s="4" t="n">
        <v>16783</v>
      </c>
      <c r="B5421" s="5" t="n">
        <v>44574</v>
      </c>
      <c r="C5421" s="13" t="inlineStr">
        <is>
          <t>VTA</t>
        </is>
      </c>
      <c r="D5421" s="13" t="n">
        <v>39</v>
      </c>
      <c r="E5421" s="10">
        <f>IF(D5421&gt;0,VLOOKUP(OPERAC[[#This Row],[COD CART]],[1]!MatrizCortoLargoCyl[#All],3,0),"")</f>
        <v/>
      </c>
      <c r="F5421" s="13" t="inlineStr">
        <is>
          <t>BABA/BULL/120,0-135,0/20-05-22</t>
        </is>
      </c>
      <c r="G5421" s="6" t="n">
        <v>200</v>
      </c>
      <c r="H5421" s="6" t="n">
        <v>-1851.32</v>
      </c>
      <c r="I5421" s="7">
        <f>-H5421/G5421</f>
        <v/>
      </c>
      <c r="J5421" s="11" t="n">
        <v>44701</v>
      </c>
      <c r="K5421" s="6">
        <f>+OPERAC[[#This Row],[cantidad]]</f>
        <v/>
      </c>
      <c r="L5421" s="6" t="n">
        <v>0</v>
      </c>
      <c r="M5421" s="7">
        <f>IF(N5421=0,+L5421+H5421,0)</f>
        <v/>
      </c>
      <c r="N5421" s="7">
        <f>IF((+G5421-K5421)=0,0,+G5421-K5421)</f>
        <v/>
      </c>
      <c r="O5421" s="7">
        <f>IF(N5421=0,0,(L5421+H5421)/-N5421)</f>
        <v/>
      </c>
      <c r="P5421" s="7">
        <f>VLOOKUP(OPERAC[[#This Row],[especie]],[1]!ESPECIES[#All],6,0)</f>
        <v/>
      </c>
      <c r="Q5421" s="7">
        <f>IF(N5421&lt;&gt;0,P5421*N5421,0)</f>
        <v/>
      </c>
      <c r="R5421" s="8">
        <f>IF(Q5421&lt;&gt;0,Q5421+H5421+L5421,0)</f>
        <v/>
      </c>
      <c r="S5421" s="9">
        <f>VLOOKUP(OPERAC[[#This Row],[especie]],[1]!ESPECIES[#Data],9,FALSE)</f>
        <v/>
      </c>
    </row>
    <row r="5422">
      <c r="A5422" s="4" t="n">
        <v>2218</v>
      </c>
      <c r="B5422" s="5" t="n">
        <v>44459</v>
      </c>
      <c r="C5422" s="13" t="inlineStr">
        <is>
          <t>VTA</t>
        </is>
      </c>
      <c r="D5422" s="13" t="n">
        <v>43</v>
      </c>
      <c r="E5422" s="10">
        <f>IF(D5422&gt;0,VLOOKUP(OPERAC[[#This Row],[COD CART]],[1]!MatrizCortoLargoCyl[#All],3,0),"")</f>
        <v/>
      </c>
      <c r="F5422" s="13" t="inlineStr">
        <is>
          <t>SOLO/CYL-PUT/3,00/17-06-22</t>
        </is>
      </c>
      <c r="G5422" s="6" t="n">
        <v>1000</v>
      </c>
      <c r="H5422" s="6">
        <f>-2244.03+0.137*OPERAC[[#This Row],[cantidad]]-1035.021+145.85+1144.83</f>
        <v/>
      </c>
      <c r="I5422" s="7">
        <f>-H5422/G5422</f>
        <v/>
      </c>
      <c r="J5422" s="11" t="n">
        <v>44719</v>
      </c>
      <c r="K5422" s="6" t="n">
        <v>1000</v>
      </c>
      <c r="L5422" s="6" t="n">
        <v>58.938</v>
      </c>
      <c r="M5422" s="7">
        <f>IF(N5422=0,+L5422+H5422,0)</f>
        <v/>
      </c>
      <c r="N5422" s="7">
        <f>IF((+G5422-K5422)=0,0,+G5422-K5422)</f>
        <v/>
      </c>
      <c r="O5422" s="7">
        <f>IF(N5422=0,0,(L5422+H5422)/-N5422)</f>
        <v/>
      </c>
      <c r="P5422" s="7">
        <f>VLOOKUP(OPERAC[[#This Row],[especie]],[1]!ESPECIES[#All],6,0)</f>
        <v/>
      </c>
      <c r="Q5422" s="7">
        <f>IF(N5422&lt;&gt;0,P5422*N5422,0)</f>
        <v/>
      </c>
      <c r="R5422" s="8">
        <f>IF(Q5422&lt;&gt;0,Q5422+H5422+L5422,0)</f>
        <v/>
      </c>
      <c r="S5422" s="9">
        <f>VLOOKUP(OPERAC[[#This Row],[especie]],[1]!ESPECIES[#Data],9,FALSE)</f>
        <v/>
      </c>
    </row>
    <row r="5423">
      <c r="A5423" s="4" t="n">
        <v>19878</v>
      </c>
      <c r="B5423" s="5" t="n">
        <v>44622</v>
      </c>
      <c r="C5423" s="13" t="inlineStr">
        <is>
          <t>VTA</t>
        </is>
      </c>
      <c r="D5423" s="13" t="n">
        <v>32</v>
      </c>
      <c r="E5423" s="10">
        <f>IF(D5423&gt;0,VLOOKUP(OPERAC[[#This Row],[COD CART]],[1]!MatrizCortoLargoCyl[#All],3,0),"")</f>
        <v/>
      </c>
      <c r="F5423" s="13" t="inlineStr">
        <is>
          <t>SABR/CYL/10,00/14-04-22</t>
        </is>
      </c>
      <c r="G5423" s="6" t="n">
        <v>200</v>
      </c>
      <c r="H5423" s="6" t="n">
        <v>-1853.4772</v>
      </c>
      <c r="I5423" s="7">
        <f>-H5423/G5423</f>
        <v/>
      </c>
      <c r="J5423" s="11" t="n">
        <v>44649</v>
      </c>
      <c r="K5423" s="6" t="n">
        <v>200</v>
      </c>
      <c r="L5423" s="6" t="n">
        <v>1964.236</v>
      </c>
      <c r="M5423" s="7">
        <f>IF(N5423=0,+L5423+H5423,0)</f>
        <v/>
      </c>
      <c r="N5423" s="7">
        <f>IF((+G5423-K5423)=0,0,+G5423-K5423)</f>
        <v/>
      </c>
      <c r="O5423" s="7">
        <f>IF(N5423=0,0,(L5423+H5423)/-N5423)</f>
        <v/>
      </c>
      <c r="P5423" s="7">
        <f>VLOOKUP(OPERAC[[#This Row],[especie]],[1]!ESPECIES[#All],6,0)</f>
        <v/>
      </c>
      <c r="Q5423" s="7">
        <f>IF(N5423&lt;&gt;0,P5423*N5423,0)</f>
        <v/>
      </c>
      <c r="R5423" s="8">
        <f>IF(Q5423&lt;&gt;0,Q5423+H5423+L5423,0)</f>
        <v/>
      </c>
      <c r="S5423" s="9">
        <f>VLOOKUP(OPERAC[[#This Row],[especie]],[1]!ESPECIES[#Data],9,FALSE)</f>
        <v/>
      </c>
    </row>
    <row r="5424">
      <c r="A5424" s="4" t="n">
        <v>2257</v>
      </c>
      <c r="B5424" s="5" t="n">
        <v>44536</v>
      </c>
      <c r="C5424" s="13" t="inlineStr">
        <is>
          <t>VTA</t>
        </is>
      </c>
      <c r="D5424" s="13" t="n">
        <v>40</v>
      </c>
      <c r="E5424" s="10">
        <f>IF(D5424&gt;0,VLOOKUP(OPERAC[[#This Row],[COD CART]],[1]!MatrizCortoLargoCyl[#All],3,0),"")</f>
        <v/>
      </c>
      <c r="F5424" s="13" t="inlineStr">
        <is>
          <t>UVXY</t>
        </is>
      </c>
      <c r="G5424" s="6" t="n">
        <v>80</v>
      </c>
      <c r="H5424" s="6" t="n">
        <v>-1854.3136</v>
      </c>
      <c r="I5424" s="7">
        <f>-H5424/G5424</f>
        <v/>
      </c>
      <c r="J5424" s="11" t="n">
        <v>44551</v>
      </c>
      <c r="K5424" s="6">
        <f>25+55</f>
        <v/>
      </c>
      <c r="L5424" s="6">
        <f>386.254+777.413</f>
        <v/>
      </c>
      <c r="M5424" s="7">
        <f>IF(N5424=0,+L5424+H5424,0)</f>
        <v/>
      </c>
      <c r="N5424" s="7">
        <f>IF((+G5424-K5424)=0,0,+G5424-K5424)</f>
        <v/>
      </c>
      <c r="O5424" s="7">
        <f>IF(N5424=0,0,(L5424+H5424)/-N5424)</f>
        <v/>
      </c>
      <c r="P5424" s="7">
        <f>VLOOKUP(OPERAC[[#This Row],[especie]],[1]!ESPECIES[#All],6,0)</f>
        <v/>
      </c>
      <c r="Q5424" s="7">
        <f>IF(N5424&lt;&gt;0,P5424*N5424,0)</f>
        <v/>
      </c>
      <c r="R5424" s="8">
        <f>IF(Q5424&lt;&gt;0,Q5424+H5424+L5424,0)</f>
        <v/>
      </c>
      <c r="S5424" s="9">
        <f>VLOOKUP(OPERAC[[#This Row],[especie]],[1]!ESPECIES[#Data],9,FALSE)</f>
        <v/>
      </c>
    </row>
    <row r="5425">
      <c r="A5425" s="4" t="n">
        <v>6578</v>
      </c>
      <c r="B5425" s="5" t="n">
        <v>44669</v>
      </c>
      <c r="C5425" s="13" t="inlineStr">
        <is>
          <t>VTA</t>
        </is>
      </c>
      <c r="D5425" s="13" t="n">
        <v>32</v>
      </c>
      <c r="E5425" s="10">
        <f>IF(D5425&gt;0,VLOOKUP(OPERAC[[#This Row],[COD CART]],[1]!MatrizCortoLargoCyl[#All],3,0),"")</f>
        <v/>
      </c>
      <c r="F5425" s="13" t="inlineStr">
        <is>
          <t>HMY</t>
        </is>
      </c>
      <c r="G5425" s="6" t="n">
        <v>400</v>
      </c>
      <c r="H5425" s="6">
        <f>-4.64*OPERAC[[#This Row],[cantidad]]</f>
        <v/>
      </c>
      <c r="I5425" s="7">
        <f>-H5425/G5425</f>
        <v/>
      </c>
      <c r="J5425" s="11" t="n">
        <v>44704</v>
      </c>
      <c r="K5425" s="6" t="n">
        <v>400</v>
      </c>
      <c r="L5425" s="6" t="n">
        <v>1467.609</v>
      </c>
      <c r="M5425" s="7">
        <f>IF(N5425=0,+L5425+H5425,0)</f>
        <v/>
      </c>
      <c r="N5425" s="7">
        <f>IF((+G5425-K5425)=0,0,+G5425-K5425)</f>
        <v/>
      </c>
      <c r="O5425" s="7">
        <f>IF(N5425=0,0,(L5425+H5425)/-N5425)</f>
        <v/>
      </c>
      <c r="P5425" s="7">
        <f>VLOOKUP(OPERAC[[#This Row],[especie]],[1]!ESPECIES[#All],6,0)</f>
        <v/>
      </c>
      <c r="Q5425" s="7">
        <f>IF(N5425&lt;&gt;0,P5425*N5425,0)</f>
        <v/>
      </c>
      <c r="R5425" s="8">
        <f>IF(Q5425&lt;&gt;0,Q5425+H5425+L5425,0)</f>
        <v/>
      </c>
      <c r="S5425" s="9">
        <f>VLOOKUP(OPERAC[[#This Row],[especie]],[1]!ESPECIES[#Data],9,FALSE)</f>
        <v/>
      </c>
    </row>
    <row r="5426">
      <c r="A5426" s="4" t="n">
        <v>16795</v>
      </c>
      <c r="B5426" s="5" t="n">
        <v>44669</v>
      </c>
      <c r="C5426" s="13" t="inlineStr">
        <is>
          <t>VTA</t>
        </is>
      </c>
      <c r="D5426" s="13" t="n">
        <v>32</v>
      </c>
      <c r="E5426" s="10">
        <f>IF(D5426&gt;0,VLOOKUP(OPERAC[[#This Row],[COD CART]],[1]!MatrizCortoLargoCyl[#All],3,0),"")</f>
        <v/>
      </c>
      <c r="F5426" s="13" t="inlineStr">
        <is>
          <t>HMY</t>
        </is>
      </c>
      <c r="G5426" s="6" t="n">
        <v>400</v>
      </c>
      <c r="H5426" s="6">
        <f>-4.64*OPERAC[[#This Row],[cantidad]]</f>
        <v/>
      </c>
      <c r="I5426" s="7">
        <f>-H5426/G5426</f>
        <v/>
      </c>
      <c r="J5426" s="11" t="n"/>
      <c r="K5426" s="6" t="n"/>
      <c r="L5426" s="6" t="n"/>
      <c r="M5426" s="7">
        <f>IF(N5426=0,+L5426+H5426,0)</f>
        <v/>
      </c>
      <c r="N5426" s="7">
        <f>IF((+G5426-K5426)=0,0,+G5426-K5426)</f>
        <v/>
      </c>
      <c r="O5426" s="7">
        <f>IF(N5426=0,0,(L5426+H5426)/-N5426)</f>
        <v/>
      </c>
      <c r="P5426" s="7">
        <f>VLOOKUP(OPERAC[[#This Row],[especie]],[1]!ESPECIES[#All],6,0)</f>
        <v/>
      </c>
      <c r="Q5426" s="7">
        <f>IF(N5426&lt;&gt;0,P5426*N5426,0)</f>
        <v/>
      </c>
      <c r="R5426" s="8">
        <f>IF(Q5426&lt;&gt;0,Q5426+H5426+L5426,0)</f>
        <v/>
      </c>
      <c r="S5426" s="9">
        <f>VLOOKUP(OPERAC[[#This Row],[especie]],[1]!ESPECIES[#Data],9,FALSE)</f>
        <v/>
      </c>
    </row>
    <row r="5427">
      <c r="A5427" s="4" t="n">
        <v>2203</v>
      </c>
      <c r="B5427" s="5" t="n">
        <v>44662</v>
      </c>
      <c r="C5427" s="13" t="inlineStr">
        <is>
          <t>VTA</t>
        </is>
      </c>
      <c r="D5427" s="13" t="n">
        <v>42</v>
      </c>
      <c r="E5427" s="10">
        <f>IF(D5427&gt;0,VLOOKUP(OPERAC[[#This Row],[COD CART]],[1]!MatrizCortoLargoCyl[#All],3,0),"")</f>
        <v/>
      </c>
      <c r="F5427" s="13" t="inlineStr">
        <is>
          <t>HYDR</t>
        </is>
      </c>
      <c r="G5427" s="6" t="n">
        <v>100</v>
      </c>
      <c r="H5427" s="6" t="n">
        <v>-1857.0344</v>
      </c>
      <c r="I5427" s="7">
        <f>-H5427/G5427</f>
        <v/>
      </c>
      <c r="J5427" s="11" t="n">
        <v>44677</v>
      </c>
      <c r="K5427" s="6">
        <f>50+50</f>
        <v/>
      </c>
      <c r="L5427" s="6">
        <f>794.192+671.75</f>
        <v/>
      </c>
      <c r="M5427" s="7">
        <f>IF(N5427=0,+L5427+H5427,0)</f>
        <v/>
      </c>
      <c r="N5427" s="7">
        <f>IF((+G5427-K5427)=0,0,+G5427-K5427)</f>
        <v/>
      </c>
      <c r="O5427" s="7">
        <f>IF(N5427=0,0,(L5427+H5427)/-N5427)</f>
        <v/>
      </c>
      <c r="P5427" s="7">
        <f>VLOOKUP(OPERAC[[#This Row],[especie]],[1]!ESPECIES[#All],6,0)</f>
        <v/>
      </c>
      <c r="Q5427" s="7">
        <f>IF(N5427&lt;&gt;0,P5427*N5427,0)</f>
        <v/>
      </c>
      <c r="R5427" s="8">
        <f>IF(Q5427&lt;&gt;0,Q5427+H5427+L5427,0)</f>
        <v/>
      </c>
      <c r="S5427" s="9">
        <f>VLOOKUP(OPERAC[[#This Row],[especie]],[1]!ESPECIES[#Data],9,FALSE)</f>
        <v/>
      </c>
    </row>
    <row r="5428">
      <c r="A5428" s="4" t="n">
        <v>3728</v>
      </c>
      <c r="B5428" s="5" t="n">
        <v>44643</v>
      </c>
      <c r="C5428" s="13" t="inlineStr">
        <is>
          <t>VTA</t>
        </is>
      </c>
      <c r="D5428" s="13" t="n">
        <v>42</v>
      </c>
      <c r="E5428" s="10">
        <f>IF(D5428&gt;0,VLOOKUP(OPERAC[[#This Row],[COD CART]],[1]!MatrizCortoLargoCyl[#All],3,0),"")</f>
        <v/>
      </c>
      <c r="F5428" s="13" t="inlineStr">
        <is>
          <t>SMH</t>
        </is>
      </c>
      <c r="G5428" s="6" t="n">
        <v>7</v>
      </c>
      <c r="H5428" s="6" t="n">
        <v>-1857.153816</v>
      </c>
      <c r="I5428" s="7">
        <f>-H5428/G5428</f>
        <v/>
      </c>
      <c r="J5428" s="11" t="n">
        <v>44663</v>
      </c>
      <c r="K5428" s="6">
        <f>+OPERAC[[#This Row],[cantidad]]</f>
        <v/>
      </c>
      <c r="L5428" s="6">
        <f>+OPERAC[[#This Row],[cantidad venta]]*238.066</f>
        <v/>
      </c>
      <c r="M5428" s="7">
        <f>IF(N5428=0,+L5428+H5428,0)</f>
        <v/>
      </c>
      <c r="N5428" s="7">
        <f>IF((+G5428-K5428)=0,0,+G5428-K5428)</f>
        <v/>
      </c>
      <c r="O5428" s="7">
        <f>IF(N5428=0,0,(L5428+H5428)/-N5428)</f>
        <v/>
      </c>
      <c r="P5428" s="7">
        <f>VLOOKUP(OPERAC[[#This Row],[especie]],[1]!ESPECIES[#All],6,0)</f>
        <v/>
      </c>
      <c r="Q5428" s="7">
        <f>IF(N5428&lt;&gt;0,P5428*N5428,0)</f>
        <v/>
      </c>
      <c r="R5428" s="8">
        <f>IF(Q5428&lt;&gt;0,Q5428+H5428+L5428,0)</f>
        <v/>
      </c>
      <c r="S5428" s="9">
        <f>VLOOKUP(OPERAC[[#This Row],[especie]],[1]!ESPECIES[#Data],9,FALSE)</f>
        <v/>
      </c>
    </row>
    <row r="5429">
      <c r="A5429" s="4" t="n">
        <v>22407</v>
      </c>
      <c r="B5429" s="5" t="n">
        <v>44650</v>
      </c>
      <c r="C5429" s="13" t="inlineStr">
        <is>
          <t>VTA</t>
        </is>
      </c>
      <c r="D5429" s="13" t="n">
        <v>43</v>
      </c>
      <c r="E5429" s="10">
        <f>IF(D5429&gt;0,VLOOKUP(OPERAC[[#This Row],[COD CART]],[1]!MatrizCortoLargoCyl[#All],3,0),"")</f>
        <v/>
      </c>
      <c r="F5429" s="13" t="inlineStr">
        <is>
          <t>ACB/CYL-PUT/3,00/20-01-23</t>
        </is>
      </c>
      <c r="G5429" s="6" t="n">
        <v>1000</v>
      </c>
      <c r="H5429" s="6" t="n">
        <v>-1857.778</v>
      </c>
      <c r="I5429" s="7">
        <f>-H5429/G5429</f>
        <v/>
      </c>
      <c r="J5429" s="11" t="n"/>
      <c r="K5429" s="6" t="n"/>
      <c r="L5429" s="6" t="n"/>
      <c r="M5429" s="7">
        <f>IF(N5429=0,+L5429+H5429,0)</f>
        <v/>
      </c>
      <c r="N5429" s="7">
        <f>IF((+G5429-K5429)=0,0,+G5429-K5429)</f>
        <v/>
      </c>
      <c r="O5429" s="7">
        <f>IF(N5429=0,0,(L5429+H5429)/-N5429)</f>
        <v/>
      </c>
      <c r="P5429" s="7">
        <f>VLOOKUP(OPERAC[[#This Row],[especie]],[1]!ESPECIES[#All],6,0)</f>
        <v/>
      </c>
      <c r="Q5429" s="7">
        <f>IF(N5429&lt;&gt;0,P5429*N5429,0)</f>
        <v/>
      </c>
      <c r="R5429" s="8">
        <f>IF(Q5429&lt;&gt;0,Q5429+H5429+L5429,0)</f>
        <v/>
      </c>
      <c r="S5429" s="9">
        <f>VLOOKUP(OPERAC[[#This Row],[especie]],[1]!ESPECIES[#Data],9,FALSE)</f>
        <v/>
      </c>
    </row>
    <row r="5430">
      <c r="A5430" s="4" t="n">
        <v>22393</v>
      </c>
      <c r="B5430" s="5" t="n">
        <v>44622</v>
      </c>
      <c r="C5430" s="13" t="inlineStr">
        <is>
          <t>VTA</t>
        </is>
      </c>
      <c r="D5430" s="13" t="n">
        <v>32</v>
      </c>
      <c r="E5430" s="10">
        <f>IF(D5430&gt;0,VLOOKUP(OPERAC[[#This Row],[COD CART]],[1]!MatrizCortoLargoCyl[#All],3,0),"")</f>
        <v/>
      </c>
      <c r="F5430" s="13" t="inlineStr">
        <is>
          <t>SABR/CYL/10,00/14-04-22</t>
        </is>
      </c>
      <c r="G5430" s="6" t="n">
        <v>200</v>
      </c>
      <c r="H5430" s="6" t="n">
        <v>-1857.9696</v>
      </c>
      <c r="I5430" s="7">
        <f>-H5430/G5430</f>
        <v/>
      </c>
      <c r="J5430" s="11" t="n">
        <v>44649</v>
      </c>
      <c r="K5430" s="6" t="n">
        <v>200</v>
      </c>
      <c r="L5430" s="6" t="n">
        <v>1964.236</v>
      </c>
      <c r="M5430" s="7">
        <f>IF(N5430=0,+L5430+H5430,0)</f>
        <v/>
      </c>
      <c r="N5430" s="7">
        <f>IF((+G5430-K5430)=0,0,+G5430-K5430)</f>
        <v/>
      </c>
      <c r="O5430" s="7">
        <f>IF(N5430=0,0,(L5430+H5430)/-N5430)</f>
        <v/>
      </c>
      <c r="P5430" s="7">
        <f>VLOOKUP(OPERAC[[#This Row],[especie]],[1]!ESPECIES[#All],6,0)</f>
        <v/>
      </c>
      <c r="Q5430" s="7">
        <f>IF(N5430&lt;&gt;0,P5430*N5430,0)</f>
        <v/>
      </c>
      <c r="R5430" s="8">
        <f>IF(Q5430&lt;&gt;0,Q5430+H5430+L5430,0)</f>
        <v/>
      </c>
      <c r="S5430" s="9">
        <f>VLOOKUP(OPERAC[[#This Row],[especie]],[1]!ESPECIES[#Data],9,FALSE)</f>
        <v/>
      </c>
    </row>
    <row r="5431">
      <c r="A5431" s="4" t="n">
        <v>3728</v>
      </c>
      <c r="B5431" s="5" t="n">
        <v>44637</v>
      </c>
      <c r="C5431" s="13" t="inlineStr">
        <is>
          <t>VTA</t>
        </is>
      </c>
      <c r="D5431" s="13" t="n">
        <v>31</v>
      </c>
      <c r="E5431" s="10">
        <f>IF(D5431&gt;0,VLOOKUP(OPERAC[[#This Row],[COD CART]],[1]!MatrizCortoLargoCyl[#All],3,0),"")</f>
        <v/>
      </c>
      <c r="F5431" s="13" t="inlineStr">
        <is>
          <t>NFLX</t>
        </is>
      </c>
      <c r="G5431" s="6" t="n">
        <v>5</v>
      </c>
      <c r="H5431" s="6" t="n">
        <v>-1859.60675</v>
      </c>
      <c r="I5431" s="7">
        <f>-H5431/G5431</f>
        <v/>
      </c>
      <c r="J5431" s="11" t="n"/>
      <c r="K5431" s="6" t="n"/>
      <c r="L5431" s="6" t="n"/>
      <c r="M5431" s="7">
        <f>IF(N5431=0,+L5431+H5431,0)</f>
        <v/>
      </c>
      <c r="N5431" s="7">
        <f>IF((+G5431-K5431)=0,0,+G5431-K5431)</f>
        <v/>
      </c>
      <c r="O5431" s="7">
        <f>IF(N5431=0,0,(L5431+H5431)/-N5431)</f>
        <v/>
      </c>
      <c r="P5431" s="7">
        <f>VLOOKUP(OPERAC[[#This Row],[especie]],[1]!ESPECIES[#All],6,0)</f>
        <v/>
      </c>
      <c r="Q5431" s="7">
        <f>IF(N5431&lt;&gt;0,P5431*N5431,0)</f>
        <v/>
      </c>
      <c r="R5431" s="8">
        <f>IF(Q5431&lt;&gt;0,Q5431+H5431+L5431,0)</f>
        <v/>
      </c>
      <c r="S5431" s="9">
        <f>VLOOKUP(OPERAC[[#This Row],[especie]],[1]!ESPECIES[#Data],9,FALSE)</f>
        <v/>
      </c>
    </row>
    <row r="5432">
      <c r="A5432" s="4" t="n">
        <v>3728</v>
      </c>
      <c r="B5432" s="5" t="n">
        <v>44649</v>
      </c>
      <c r="C5432" s="13" t="inlineStr">
        <is>
          <t>VTA</t>
        </is>
      </c>
      <c r="D5432" s="13" t="n">
        <v>32</v>
      </c>
      <c r="E5432" s="10">
        <f>IF(D5432&gt;0,VLOOKUP(OPERAC[[#This Row],[COD CART]],[1]!MatrizCortoLargoCyl[#All],3,0),"")</f>
        <v/>
      </c>
      <c r="F5432" s="13" t="inlineStr">
        <is>
          <t>EDIT</t>
        </is>
      </c>
      <c r="G5432" s="6" t="n">
        <v>100</v>
      </c>
      <c r="H5432" s="6">
        <f>-1876.234+11.988</f>
        <v/>
      </c>
      <c r="I5432" s="7">
        <f>-H5432/G5432</f>
        <v/>
      </c>
      <c r="J5432" s="11" t="n"/>
      <c r="K5432" s="6" t="n"/>
      <c r="L5432" s="6" t="n"/>
      <c r="M5432" s="7">
        <f>IF(N5432=0,+L5432+H5432,0)</f>
        <v/>
      </c>
      <c r="N5432" s="7">
        <f>IF((+G5432-K5432)=0,0,+G5432-K5432)</f>
        <v/>
      </c>
      <c r="O5432" s="7">
        <f>IF(N5432=0,0,(L5432+H5432)/-N5432)</f>
        <v/>
      </c>
      <c r="P5432" s="7">
        <f>VLOOKUP(OPERAC[[#This Row],[especie]],[1]!ESPECIES[#All],6,0)</f>
        <v/>
      </c>
      <c r="Q5432" s="7">
        <f>IF(N5432&lt;&gt;0,P5432*N5432,0)</f>
        <v/>
      </c>
      <c r="R5432" s="8">
        <f>IF(Q5432&lt;&gt;0,Q5432+H5432+L5432,0)</f>
        <v/>
      </c>
      <c r="S5432" s="9">
        <f>VLOOKUP(OPERAC[[#This Row],[especie]],[1]!ESPECIES[#Data],9,FALSE)</f>
        <v/>
      </c>
    </row>
    <row r="5433">
      <c r="A5433" s="4" t="n">
        <v>19888</v>
      </c>
      <c r="B5433" s="5" t="n">
        <v>44649</v>
      </c>
      <c r="C5433" s="13" t="inlineStr">
        <is>
          <t>VTA</t>
        </is>
      </c>
      <c r="D5433" s="13" t="n">
        <v>32</v>
      </c>
      <c r="E5433" s="10">
        <f>IF(D5433&gt;0,VLOOKUP(OPERAC[[#This Row],[COD CART]],[1]!MatrizCortoLargoCyl[#All],3,0),"")</f>
        <v/>
      </c>
      <c r="F5433" s="13" t="inlineStr">
        <is>
          <t>EDIT</t>
        </is>
      </c>
      <c r="G5433" s="6" t="n">
        <v>100</v>
      </c>
      <c r="H5433" s="6">
        <f>-1876.234+11.898</f>
        <v/>
      </c>
      <c r="I5433" s="7">
        <f>-H5433/G5433</f>
        <v/>
      </c>
      <c r="J5433" s="11" t="n"/>
      <c r="K5433" s="6" t="n"/>
      <c r="L5433" s="6" t="n"/>
      <c r="M5433" s="7">
        <f>IF(N5433=0,+L5433+H5433,0)</f>
        <v/>
      </c>
      <c r="N5433" s="7">
        <f>IF((+G5433-K5433)=0,0,+G5433-K5433)</f>
        <v/>
      </c>
      <c r="O5433" s="7">
        <f>IF(N5433=0,0,(L5433+H5433)/-N5433)</f>
        <v/>
      </c>
      <c r="P5433" s="7">
        <f>VLOOKUP(OPERAC[[#This Row],[especie]],[1]!ESPECIES[#All],6,0)</f>
        <v/>
      </c>
      <c r="Q5433" s="7">
        <f>IF(N5433&lt;&gt;0,P5433*N5433,0)</f>
        <v/>
      </c>
      <c r="R5433" s="8">
        <f>IF(Q5433&lt;&gt;0,Q5433+H5433+L5433,0)</f>
        <v/>
      </c>
      <c r="S5433" s="9">
        <f>VLOOKUP(OPERAC[[#This Row],[especie]],[1]!ESPECIES[#Data],9,FALSE)</f>
        <v/>
      </c>
    </row>
    <row r="5434">
      <c r="A5434" s="4" t="n">
        <v>1760</v>
      </c>
      <c r="B5434" s="5" t="n">
        <v>44459</v>
      </c>
      <c r="C5434" s="13" t="inlineStr">
        <is>
          <t>VTA</t>
        </is>
      </c>
      <c r="D5434" s="13" t="n">
        <v>43</v>
      </c>
      <c r="E5434" s="10">
        <f>IF(D5434&gt;0,VLOOKUP(OPERAC[[#This Row],[COD CART]],[1]!MatrizCortoLargoCyl[#All],3,0),"")</f>
        <v/>
      </c>
      <c r="F5434" s="13" t="inlineStr">
        <is>
          <t>SOLO/CYL-PUT/3,00/17-06-22</t>
        </is>
      </c>
      <c r="G5434" s="6" t="n">
        <v>1000</v>
      </c>
      <c r="H5434" s="6">
        <f>-2241.56+0.137*OPERAC[[#This Row],[cantidad]]-1042.231+144.8+1136.78</f>
        <v/>
      </c>
      <c r="I5434" s="7">
        <f>-H5434/G5434</f>
        <v/>
      </c>
      <c r="J5434" s="11" t="n">
        <v>44719</v>
      </c>
      <c r="K5434" s="6" t="n">
        <v>1000</v>
      </c>
      <c r="L5434" s="6" t="n">
        <v>31.38</v>
      </c>
      <c r="M5434" s="7">
        <f>IF(N5434=0,+L5434+H5434,0)</f>
        <v/>
      </c>
      <c r="N5434" s="7">
        <f>IF((+G5434-K5434)=0,0,+G5434-K5434)</f>
        <v/>
      </c>
      <c r="O5434" s="7">
        <f>IF(N5434=0,0,(L5434+H5434)/-N5434)</f>
        <v/>
      </c>
      <c r="P5434" s="7">
        <f>VLOOKUP(OPERAC[[#This Row],[especie]],[1]!ESPECIES[#All],6,0)</f>
        <v/>
      </c>
      <c r="Q5434" s="7">
        <f>IF(N5434&lt;&gt;0,P5434*N5434,0)</f>
        <v/>
      </c>
      <c r="R5434" s="8">
        <f>IF(Q5434&lt;&gt;0,Q5434+H5434+L5434,0)</f>
        <v/>
      </c>
      <c r="S5434" s="9">
        <f>VLOOKUP(OPERAC[[#This Row],[especie]],[1]!ESPECIES[#Data],9,FALSE)</f>
        <v/>
      </c>
    </row>
    <row r="5435">
      <c r="A5435" s="4" t="n">
        <v>2255</v>
      </c>
      <c r="B5435" s="5" t="n">
        <v>44649</v>
      </c>
      <c r="C5435" s="13" t="inlineStr">
        <is>
          <t>VTA</t>
        </is>
      </c>
      <c r="D5435" s="13" t="n">
        <v>32</v>
      </c>
      <c r="E5435" s="10">
        <f>IF(D5435&gt;0,VLOOKUP(OPERAC[[#This Row],[COD CART]],[1]!MatrizCortoLargoCyl[#All],3,0),"")</f>
        <v/>
      </c>
      <c r="F5435" s="13" t="inlineStr">
        <is>
          <t>SPWR</t>
        </is>
      </c>
      <c r="G5435" s="6" t="n">
        <v>100</v>
      </c>
      <c r="H5435" s="6" t="n">
        <v>-1865.225</v>
      </c>
      <c r="I5435" s="7">
        <f>-H5435/G5435</f>
        <v/>
      </c>
      <c r="J5435" s="11" t="n">
        <v>44704</v>
      </c>
      <c r="K5435" s="6" t="n">
        <v>100</v>
      </c>
      <c r="L5435" s="6" t="n">
        <v>1590.809</v>
      </c>
      <c r="M5435" s="7">
        <f>IF(N5435=0,+L5435+H5435,0)</f>
        <v/>
      </c>
      <c r="N5435" s="7">
        <f>IF((+G5435-K5435)=0,0,+G5435-K5435)</f>
        <v/>
      </c>
      <c r="O5435" s="7">
        <f>IF(N5435=0,0,(L5435+H5435)/-N5435)</f>
        <v/>
      </c>
      <c r="P5435" s="7">
        <f>VLOOKUP(OPERAC[[#This Row],[especie]],[1]!ESPECIES[#All],6,0)</f>
        <v/>
      </c>
      <c r="Q5435" s="7">
        <f>IF(N5435&lt;&gt;0,P5435*N5435,0)</f>
        <v/>
      </c>
      <c r="R5435" s="8">
        <f>IF(Q5435&lt;&gt;0,Q5435+H5435+L5435,0)</f>
        <v/>
      </c>
      <c r="S5435" s="9">
        <f>VLOOKUP(OPERAC[[#This Row],[especie]],[1]!ESPECIES[#Data],9,FALSE)</f>
        <v/>
      </c>
    </row>
    <row r="5436">
      <c r="A5436" s="4" t="n">
        <v>16780</v>
      </c>
      <c r="B5436" s="5" t="n">
        <v>44649</v>
      </c>
      <c r="C5436" s="13" t="inlineStr">
        <is>
          <t>VTA</t>
        </is>
      </c>
      <c r="D5436" s="13" t="n">
        <v>32</v>
      </c>
      <c r="E5436" s="10">
        <f>IF(D5436&gt;0,VLOOKUP(OPERAC[[#This Row],[COD CART]],[1]!MatrizCortoLargoCyl[#All],3,0),"")</f>
        <v/>
      </c>
      <c r="F5436" s="13" t="inlineStr">
        <is>
          <t>SPWR</t>
        </is>
      </c>
      <c r="G5436" s="6" t="n">
        <v>100</v>
      </c>
      <c r="H5436" s="6" t="n">
        <v>-1865.225</v>
      </c>
      <c r="I5436" s="7">
        <f>-H5436/G5436</f>
        <v/>
      </c>
      <c r="J5436" s="11" t="n">
        <v>44705</v>
      </c>
      <c r="K5436" s="6" t="n">
        <v>100</v>
      </c>
      <c r="L5436" s="6" t="n">
        <v>1595.324</v>
      </c>
      <c r="M5436" s="7">
        <f>IF(N5436=0,+L5436+H5436,0)</f>
        <v/>
      </c>
      <c r="N5436" s="7">
        <f>IF((+G5436-K5436)=0,0,+G5436-K5436)</f>
        <v/>
      </c>
      <c r="O5436" s="7">
        <f>IF(N5436=0,0,(L5436+H5436)/-N5436)</f>
        <v/>
      </c>
      <c r="P5436" s="7">
        <f>VLOOKUP(OPERAC[[#This Row],[especie]],[1]!ESPECIES[#All],6,0)</f>
        <v/>
      </c>
      <c r="Q5436" s="7">
        <f>IF(N5436&lt;&gt;0,P5436*N5436,0)</f>
        <v/>
      </c>
      <c r="R5436" s="8">
        <f>IF(Q5436&lt;&gt;0,Q5436+H5436+L5436,0)</f>
        <v/>
      </c>
      <c r="S5436" s="9">
        <f>VLOOKUP(OPERAC[[#This Row],[especie]],[1]!ESPECIES[#Data],9,FALSE)</f>
        <v/>
      </c>
    </row>
    <row r="5437">
      <c r="A5437" s="4" t="n">
        <v>13240</v>
      </c>
      <c r="B5437" s="5" t="n">
        <v>44650</v>
      </c>
      <c r="C5437" s="13" t="inlineStr">
        <is>
          <t>VTA</t>
        </is>
      </c>
      <c r="D5437" s="13" t="n">
        <v>42</v>
      </c>
      <c r="E5437" s="10">
        <f>IF(D5437&gt;0,VLOOKUP(OPERAC[[#This Row],[COD CART]],[1]!MatrizCortoLargoCyl[#All],3,0),"")</f>
        <v/>
      </c>
      <c r="F5437" s="13" t="inlineStr">
        <is>
          <t>ADBE</t>
        </is>
      </c>
      <c r="G5437" s="6" t="n">
        <v>4</v>
      </c>
      <c r="H5437" s="6" t="n">
        <v>-1865.2516</v>
      </c>
      <c r="I5437" s="7">
        <f>-H5437/G5437</f>
        <v/>
      </c>
      <c r="J5437" s="11" t="n">
        <v>44687</v>
      </c>
      <c r="K5437" s="6">
        <f>+OPERAC[[#This Row],[cantidad]]</f>
        <v/>
      </c>
      <c r="L5437" s="6" t="n">
        <v>1545.69</v>
      </c>
      <c r="M5437" s="7">
        <f>IF(N5437=0,+L5437+H5437,0)</f>
        <v/>
      </c>
      <c r="N5437" s="7">
        <f>IF((+G5437-K5437)=0,0,+G5437-K5437)</f>
        <v/>
      </c>
      <c r="O5437" s="7">
        <f>IF(N5437=0,0,(L5437+H5437)/-N5437)</f>
        <v/>
      </c>
      <c r="P5437" s="7">
        <f>VLOOKUP(OPERAC[[#This Row],[especie]],[1]!ESPECIES[#All],6,0)</f>
        <v/>
      </c>
      <c r="Q5437" s="7">
        <f>IF(N5437&lt;&gt;0,P5437*N5437,0)</f>
        <v/>
      </c>
      <c r="R5437" s="8">
        <f>IF(Q5437&lt;&gt;0,Q5437+H5437+L5437,0)</f>
        <v/>
      </c>
      <c r="S5437" s="9">
        <f>VLOOKUP(OPERAC[[#This Row],[especie]],[1]!ESPECIES[#Data],9,FALSE)</f>
        <v/>
      </c>
    </row>
    <row r="5438">
      <c r="A5438" s="4" t="n">
        <v>12022</v>
      </c>
      <c r="B5438" s="5" t="n">
        <v>44704</v>
      </c>
      <c r="C5438" s="13" t="inlineStr">
        <is>
          <t>VTA</t>
        </is>
      </c>
      <c r="D5438" s="13" t="n">
        <v>32</v>
      </c>
      <c r="E5438" s="10">
        <f>IF(D5438&gt;0,VLOOKUP(OPERAC[[#This Row],[COD CART]],[1]!MatrizCortoLargoCyl[#All],3,0),"")</f>
        <v/>
      </c>
      <c r="F5438" s="13" t="inlineStr">
        <is>
          <t>AMC/CYL/9,50/03-06-22</t>
        </is>
      </c>
      <c r="G5438" s="6" t="n">
        <v>200</v>
      </c>
      <c r="H5438" s="6" t="n">
        <v>-1867.158</v>
      </c>
      <c r="I5438" s="7">
        <f>-H5438/G5438</f>
        <v/>
      </c>
      <c r="J5438" s="5" t="n">
        <v>44715</v>
      </c>
      <c r="K5438" s="6">
        <f>+OPERAC[[#This Row],[cantidad]]</f>
        <v/>
      </c>
      <c r="L5438" s="6">
        <f>+OPERAC[[#This Row],[cantidad venta]]*9.457</f>
        <v/>
      </c>
      <c r="M5438" s="7">
        <f>IF(N5438=0,+L5438+H5438,0)</f>
        <v/>
      </c>
      <c r="N5438" s="7">
        <f>IF((+G5438-K5438)=0,0,+G5438-K5438)</f>
        <v/>
      </c>
      <c r="O5438" s="7">
        <f>IF(N5438=0,0,(L5438+H5438)/-N5438)</f>
        <v/>
      </c>
      <c r="P5438" s="7">
        <f>VLOOKUP(OPERAC[[#This Row],[especie]],[1]!ESPECIES[#All],6,0)</f>
        <v/>
      </c>
      <c r="Q5438" s="7">
        <f>IF(N5438&lt;&gt;0,P5438*N5438,0)</f>
        <v/>
      </c>
      <c r="R5438" s="8">
        <f>IF(Q5438&lt;&gt;0,Q5438+H5438+L5438,0)</f>
        <v/>
      </c>
      <c r="S5438" s="9">
        <f>VLOOKUP(OPERAC[[#This Row],[especie]],[1]!ESPECIES[#Data],9,FALSE)</f>
        <v/>
      </c>
    </row>
    <row r="5439">
      <c r="A5439" s="4" t="n">
        <v>15189</v>
      </c>
      <c r="B5439" s="5" t="n">
        <v>44704</v>
      </c>
      <c r="C5439" s="13" t="inlineStr">
        <is>
          <t>VTA</t>
        </is>
      </c>
      <c r="D5439" s="13" t="n">
        <v>32</v>
      </c>
      <c r="E5439" s="10">
        <f>IF(D5439&gt;0,VLOOKUP(OPERAC[[#This Row],[COD CART]],[1]!MatrizCortoLargoCyl[#All],3,0),"")</f>
        <v/>
      </c>
      <c r="F5439" s="13" t="inlineStr">
        <is>
          <t>AMC/CYL/9,50/03-06-22</t>
        </is>
      </c>
      <c r="G5439" s="6" t="n">
        <v>200</v>
      </c>
      <c r="H5439" s="6" t="n">
        <v>-1867.158</v>
      </c>
      <c r="I5439" s="7">
        <f>-H5439/G5439</f>
        <v/>
      </c>
      <c r="J5439" s="5" t="n">
        <v>44715</v>
      </c>
      <c r="K5439" s="6">
        <f>+OPERAC[[#This Row],[cantidad]]</f>
        <v/>
      </c>
      <c r="L5439" s="6">
        <f>+OPERAC[[#This Row],[cantidad venta]]*9.457</f>
        <v/>
      </c>
      <c r="M5439" s="7">
        <f>IF(N5439=0,+L5439+H5439,0)</f>
        <v/>
      </c>
      <c r="N5439" s="7">
        <f>IF((+G5439-K5439)=0,0,+G5439-K5439)</f>
        <v/>
      </c>
      <c r="O5439" s="7">
        <f>IF(N5439=0,0,(L5439+H5439)/-N5439)</f>
        <v/>
      </c>
      <c r="P5439" s="7">
        <f>VLOOKUP(OPERAC[[#This Row],[especie]],[1]!ESPECIES[#All],6,0)</f>
        <v/>
      </c>
      <c r="Q5439" s="7">
        <f>IF(N5439&lt;&gt;0,P5439*N5439,0)</f>
        <v/>
      </c>
      <c r="R5439" s="8">
        <f>IF(Q5439&lt;&gt;0,Q5439+H5439+L5439,0)</f>
        <v/>
      </c>
      <c r="S5439" s="9">
        <f>VLOOKUP(OPERAC[[#This Row],[especie]],[1]!ESPECIES[#Data],9,FALSE)</f>
        <v/>
      </c>
    </row>
    <row r="5440">
      <c r="A5440" s="4" t="n">
        <v>6579</v>
      </c>
      <c r="B5440" s="5" t="n">
        <v>44075</v>
      </c>
      <c r="C5440" s="13" t="inlineStr">
        <is>
          <t>VTA</t>
        </is>
      </c>
      <c r="D5440" s="13" t="n">
        <v>41</v>
      </c>
      <c r="E5440" s="10">
        <f>IF(D5440&gt;0,VLOOKUP(OPERAC[[#This Row],[COD CART]],[1]!MatrizCortoLargoCyl[#All],3,0),"")</f>
        <v/>
      </c>
      <c r="F5440" s="13" t="inlineStr">
        <is>
          <t>BMA</t>
        </is>
      </c>
      <c r="G5440" s="6" t="n">
        <v>100</v>
      </c>
      <c r="H5440" s="6" t="n">
        <v>-1874.32</v>
      </c>
      <c r="I5440" s="7">
        <f>-H5440/G5440</f>
        <v/>
      </c>
      <c r="J5440" s="5" t="n"/>
      <c r="K5440" s="6" t="n"/>
      <c r="L5440" s="6" t="n"/>
      <c r="M5440" s="7">
        <f>IF(N5440=0,+L5440+H5440,0)</f>
        <v/>
      </c>
      <c r="N5440" s="7">
        <f>IF((+G5440-K5440)=0,0,+G5440-K5440)</f>
        <v/>
      </c>
      <c r="O5440" s="7">
        <f>IF(N5440=0,0,(L5440+H5440)/-N5440)</f>
        <v/>
      </c>
      <c r="P5440" s="7">
        <f>VLOOKUP(OPERAC[[#This Row],[especie]],[1]!ESPECIES[#All],6,0)</f>
        <v/>
      </c>
      <c r="Q5440" s="7">
        <f>IF(N5440&lt;&gt;0,P5440*N5440,0)</f>
        <v/>
      </c>
      <c r="R5440" s="8">
        <f>IF(Q5440&lt;&gt;0,Q5440+H5440+L5440,0)</f>
        <v/>
      </c>
      <c r="S5440" s="9">
        <f>VLOOKUP(OPERAC[[#This Row],[especie]],[1]!ESPECIES[#Data],9,FALSE)</f>
        <v/>
      </c>
    </row>
    <row r="5441">
      <c r="A5441" s="4" t="n">
        <v>19920</v>
      </c>
      <c r="B5441" s="5" t="n">
        <v>44649</v>
      </c>
      <c r="C5441" s="13" t="inlineStr">
        <is>
          <t>VTA</t>
        </is>
      </c>
      <c r="D5441" s="13" t="n">
        <v>32</v>
      </c>
      <c r="E5441" s="10">
        <f>IF(D5441&gt;0,VLOOKUP(OPERAC[[#This Row],[COD CART]],[1]!MatrizCortoLargoCyl[#All],3,0),"")</f>
        <v/>
      </c>
      <c r="F5441" s="13" t="inlineStr">
        <is>
          <t>EDIT/CYL/20,00/29-04-22</t>
        </is>
      </c>
      <c r="G5441" s="6" t="n">
        <v>100</v>
      </c>
      <c r="H5441" s="6" t="n">
        <v>-1876.234</v>
      </c>
      <c r="I5441" s="7">
        <f>-H5441/G5441</f>
        <v/>
      </c>
      <c r="J5441" s="11" t="n">
        <v>44678</v>
      </c>
      <c r="K5441" s="6" t="n">
        <v>100</v>
      </c>
      <c r="L5441" s="6" t="n">
        <v>1357.562</v>
      </c>
      <c r="M5441" s="7">
        <f>IF(N5441=0,+L5441+H5441,0)</f>
        <v/>
      </c>
      <c r="N5441" s="7">
        <f>IF((+G5441-K5441)=0,0,+G5441-K5441)</f>
        <v/>
      </c>
      <c r="O5441" s="7">
        <f>IF(N5441=0,0,(L5441+H5441)/-N5441)</f>
        <v/>
      </c>
      <c r="P5441" s="7">
        <f>VLOOKUP(OPERAC[[#This Row],[especie]],[1]!ESPECIES[#All],6,0)</f>
        <v/>
      </c>
      <c r="Q5441" s="7">
        <f>IF(N5441&lt;&gt;0,P5441*N5441,0)</f>
        <v/>
      </c>
      <c r="R5441" s="8">
        <f>IF(Q5441&lt;&gt;0,Q5441+H5441+L5441,0)</f>
        <v/>
      </c>
      <c r="S5441" s="9">
        <f>VLOOKUP(OPERAC[[#This Row],[especie]],[1]!ESPECIES[#Data],9,FALSE)</f>
        <v/>
      </c>
    </row>
    <row r="5442">
      <c r="A5442" s="4" t="n">
        <v>7914</v>
      </c>
      <c r="B5442" s="5" t="n">
        <v>44552</v>
      </c>
      <c r="C5442" s="13" t="inlineStr">
        <is>
          <t>VTA</t>
        </is>
      </c>
      <c r="D5442" s="13" t="n">
        <v>40</v>
      </c>
      <c r="E5442" s="10">
        <f>IF(D5442&gt;0,VLOOKUP(OPERAC[[#This Row],[COD CART]],[1]!MatrizCortoLargoCyl[#All],3,0),"")</f>
        <v/>
      </c>
      <c r="F5442" s="13" t="inlineStr">
        <is>
          <t>MX</t>
        </is>
      </c>
      <c r="G5442" s="6" t="n">
        <v>100</v>
      </c>
      <c r="H5442" s="6" t="n">
        <v>-1879.692</v>
      </c>
      <c r="I5442" s="7">
        <f>-H5442/G5442</f>
        <v/>
      </c>
      <c r="J5442" s="11" t="n">
        <v>44585</v>
      </c>
      <c r="K5442" s="6" t="n">
        <v>100</v>
      </c>
      <c r="L5442" s="6" t="n">
        <v>1679.428</v>
      </c>
      <c r="M5442" s="7">
        <f>IF(N5442=0,+L5442+H5442,0)</f>
        <v/>
      </c>
      <c r="N5442" s="7">
        <f>IF((+G5442-K5442)=0,0,+G5442-K5442)</f>
        <v/>
      </c>
      <c r="O5442" s="7">
        <f>IF(N5442=0,0,(L5442+H5442)/-N5442)</f>
        <v/>
      </c>
      <c r="P5442" s="7">
        <f>VLOOKUP(OPERAC[[#This Row],[especie]],[1]!ESPECIES[#All],6,0)</f>
        <v/>
      </c>
      <c r="Q5442" s="7">
        <f>IF(N5442&lt;&gt;0,P5442*N5442,0)</f>
        <v/>
      </c>
      <c r="R5442" s="8">
        <f>IF(Q5442&lt;&gt;0,Q5442+H5442+L5442,0)</f>
        <v/>
      </c>
      <c r="S5442" s="9">
        <f>VLOOKUP(OPERAC[[#This Row],[especie]],[1]!ESPECIES[#Data],9,FALSE)</f>
        <v/>
      </c>
    </row>
    <row r="5443">
      <c r="A5443" s="4" t="n">
        <v>18651</v>
      </c>
      <c r="B5443" s="5" t="n">
        <v>44574</v>
      </c>
      <c r="C5443" s="13" t="inlineStr">
        <is>
          <t>VTA</t>
        </is>
      </c>
      <c r="D5443" s="13" t="n">
        <v>39</v>
      </c>
      <c r="E5443" s="10">
        <f>IF(D5443&gt;0,VLOOKUP(OPERAC[[#This Row],[COD CART]],[1]!MatrizCortoLargoCyl[#All],3,0),"")</f>
        <v/>
      </c>
      <c r="F5443" s="13" t="inlineStr">
        <is>
          <t>BABA/BULL/120,0-135,0/20-05-22</t>
        </is>
      </c>
      <c r="G5443" s="6" t="n">
        <v>200</v>
      </c>
      <c r="H5443" s="6" t="n">
        <v>-1881.6</v>
      </c>
      <c r="I5443" s="7">
        <f>-H5443/G5443</f>
        <v/>
      </c>
      <c r="J5443" s="11" t="n">
        <v>44701</v>
      </c>
      <c r="K5443" s="6">
        <f>+OPERAC[[#This Row],[cantidad]]</f>
        <v/>
      </c>
      <c r="L5443" s="6" t="n">
        <v>0</v>
      </c>
      <c r="M5443" s="7">
        <f>IF(N5443=0,+L5443+H5443,0)</f>
        <v/>
      </c>
      <c r="N5443" s="7">
        <f>IF((+G5443-K5443)=0,0,+G5443-K5443)</f>
        <v/>
      </c>
      <c r="O5443" s="7">
        <f>IF(N5443=0,0,(L5443+H5443)/-N5443)</f>
        <v/>
      </c>
      <c r="P5443" s="7">
        <f>VLOOKUP(OPERAC[[#This Row],[especie]],[1]!ESPECIES[#All],6,0)</f>
        <v/>
      </c>
      <c r="Q5443" s="7">
        <f>IF(N5443&lt;&gt;0,P5443*N5443,0)</f>
        <v/>
      </c>
      <c r="R5443" s="8">
        <f>IF(Q5443&lt;&gt;0,Q5443+H5443+L5443,0)</f>
        <v/>
      </c>
      <c r="S5443" s="9">
        <f>VLOOKUP(OPERAC[[#This Row],[especie]],[1]!ESPECIES[#Data],9,FALSE)</f>
        <v/>
      </c>
    </row>
    <row r="5444">
      <c r="A5444" s="4" t="n">
        <v>10079</v>
      </c>
      <c r="B5444" s="5" t="n">
        <v>44574</v>
      </c>
      <c r="C5444" s="13" t="inlineStr">
        <is>
          <t>VTA</t>
        </is>
      </c>
      <c r="D5444" s="13" t="n">
        <v>39</v>
      </c>
      <c r="E5444" s="10">
        <f>IF(D5444&gt;0,VLOOKUP(OPERAC[[#This Row],[COD CART]],[1]!MatrizCortoLargoCyl[#All],3,0),"")</f>
        <v/>
      </c>
      <c r="F5444" s="13" t="inlineStr">
        <is>
          <t>BABA/BULL/120,0-135,0/20-05-22</t>
        </is>
      </c>
      <c r="G5444" s="6" t="n">
        <v>200</v>
      </c>
      <c r="H5444" s="6" t="n">
        <v>-1881.6</v>
      </c>
      <c r="I5444" s="7">
        <f>-H5444/G5444</f>
        <v/>
      </c>
      <c r="J5444" s="11" t="n">
        <v>44701</v>
      </c>
      <c r="K5444" s="6">
        <f>+OPERAC[[#This Row],[cantidad]]</f>
        <v/>
      </c>
      <c r="L5444" s="6" t="n">
        <v>0</v>
      </c>
      <c r="M5444" s="7">
        <f>IF(N5444=0,+L5444+H5444,0)</f>
        <v/>
      </c>
      <c r="N5444" s="7">
        <f>IF((+G5444-K5444)=0,0,+G5444-K5444)</f>
        <v/>
      </c>
      <c r="O5444" s="7">
        <f>IF(N5444=0,0,(L5444+H5444)/-N5444)</f>
        <v/>
      </c>
      <c r="P5444" s="7">
        <f>VLOOKUP(OPERAC[[#This Row],[especie]],[1]!ESPECIES[#All],6,0)</f>
        <v/>
      </c>
      <c r="Q5444" s="7">
        <f>IF(N5444&lt;&gt;0,P5444*N5444,0)</f>
        <v/>
      </c>
      <c r="R5444" s="8">
        <f>IF(Q5444&lt;&gt;0,Q5444+H5444+L5444,0)</f>
        <v/>
      </c>
      <c r="S5444" s="9">
        <f>VLOOKUP(OPERAC[[#This Row],[especie]],[1]!ESPECIES[#Data],9,FALSE)</f>
        <v/>
      </c>
    </row>
    <row r="5445">
      <c r="A5445" s="4" t="n">
        <v>12627</v>
      </c>
      <c r="B5445" s="5" t="n">
        <v>44489</v>
      </c>
      <c r="C5445" s="13" t="inlineStr">
        <is>
          <t>VTA</t>
        </is>
      </c>
      <c r="D5445" s="13" t="n">
        <v>43</v>
      </c>
      <c r="E5445" s="10">
        <f>IF(D5445&gt;0,VLOOKUP(OPERAC[[#This Row],[COD CART]],[1]!MatrizCortoLargoCyl[#All],3,0),"")</f>
        <v/>
      </c>
      <c r="F5445" s="13" t="inlineStr">
        <is>
          <t>SESN/CYL-PUT/1,00/19-01-24</t>
        </is>
      </c>
      <c r="G5445" s="6" t="n">
        <v>10000</v>
      </c>
      <c r="H5445" s="6">
        <f>-0.1885*OPERAC[[#This Row],[cantidad]]</f>
        <v/>
      </c>
      <c r="I5445" s="7">
        <f>-H5445/G5445</f>
        <v/>
      </c>
      <c r="J5445" s="11" t="n">
        <v>44616</v>
      </c>
      <c r="K5445" s="6" t="n">
        <v>5000</v>
      </c>
      <c r="L5445" s="6" t="n">
        <v>1608.856</v>
      </c>
      <c r="M5445" s="7">
        <f>IF(N5445=0,+L5445+H5445,0)</f>
        <v/>
      </c>
      <c r="N5445" s="7">
        <f>IF((+G5445-K5445)=0,0,+G5445-K5445)</f>
        <v/>
      </c>
      <c r="O5445" s="7">
        <f>IF(N5445=0,0,(L5445+H5445)/-N5445)</f>
        <v/>
      </c>
      <c r="P5445" s="7">
        <f>VLOOKUP(OPERAC[[#This Row],[especie]],[1]!ESPECIES[#All],6,0)</f>
        <v/>
      </c>
      <c r="Q5445" s="7">
        <f>IF(N5445&lt;&gt;0,P5445*N5445,0)</f>
        <v/>
      </c>
      <c r="R5445" s="8">
        <f>IF(Q5445&lt;&gt;0,Q5445+H5445+L5445,0)</f>
        <v/>
      </c>
      <c r="S5445" s="9">
        <f>VLOOKUP(OPERAC[[#This Row],[especie]],[1]!ESPECIES[#Data],9,FALSE)</f>
        <v/>
      </c>
    </row>
    <row r="5446">
      <c r="A5446" s="4" t="n">
        <v>12674</v>
      </c>
      <c r="B5446" s="5" t="n">
        <v>44489</v>
      </c>
      <c r="C5446" s="13" t="inlineStr">
        <is>
          <t>VTA</t>
        </is>
      </c>
      <c r="D5446" s="13" t="n">
        <v>43</v>
      </c>
      <c r="E5446" s="10">
        <f>IF(D5446&gt;0,VLOOKUP(OPERAC[[#This Row],[COD CART]],[1]!MatrizCortoLargoCyl[#All],3,0),"")</f>
        <v/>
      </c>
      <c r="F5446" s="13" t="inlineStr">
        <is>
          <t>SESN/CYL-PUT/1,00/19-01-24</t>
        </is>
      </c>
      <c r="G5446" s="6" t="n">
        <v>10000</v>
      </c>
      <c r="H5446" s="6">
        <f>-0.1885*OPERAC[[#This Row],[cantidad]]</f>
        <v/>
      </c>
      <c r="I5446" s="7">
        <f>-H5446/G5446</f>
        <v/>
      </c>
      <c r="J5446" s="11" t="n"/>
      <c r="K5446" s="6" t="n"/>
      <c r="L5446" s="6" t="n"/>
      <c r="M5446" s="7">
        <f>IF(N5446=0,+L5446+H5446,0)</f>
        <v/>
      </c>
      <c r="N5446" s="7">
        <f>IF((+G5446-K5446)=0,0,+G5446-K5446)</f>
        <v/>
      </c>
      <c r="O5446" s="7">
        <f>IF(N5446=0,0,(L5446+H5446)/-N5446)</f>
        <v/>
      </c>
      <c r="P5446" s="7">
        <f>VLOOKUP(OPERAC[[#This Row],[especie]],[1]!ESPECIES[#All],6,0)</f>
        <v/>
      </c>
      <c r="Q5446" s="7">
        <f>IF(N5446&lt;&gt;0,P5446*N5446,0)</f>
        <v/>
      </c>
      <c r="R5446" s="8">
        <f>IF(Q5446&lt;&gt;0,Q5446+H5446+L5446,0)</f>
        <v/>
      </c>
      <c r="S5446" s="9">
        <f>VLOOKUP(OPERAC[[#This Row],[especie]],[1]!ESPECIES[#Data],9,FALSE)</f>
        <v/>
      </c>
    </row>
    <row r="5447">
      <c r="A5447" s="4" t="n">
        <v>13180</v>
      </c>
      <c r="B5447" s="5" t="n">
        <v>44489</v>
      </c>
      <c r="C5447" s="13" t="inlineStr">
        <is>
          <t>VTA</t>
        </is>
      </c>
      <c r="D5447" s="13" t="n">
        <v>43</v>
      </c>
      <c r="E5447" s="10">
        <f>IF(D5447&gt;0,VLOOKUP(OPERAC[[#This Row],[COD CART]],[1]!MatrizCortoLargoCyl[#All],3,0),"")</f>
        <v/>
      </c>
      <c r="F5447" s="13" t="inlineStr">
        <is>
          <t>SESN/CYL-PUT/1,00/19-01-24</t>
        </is>
      </c>
      <c r="G5447" s="6" t="n">
        <v>10000</v>
      </c>
      <c r="H5447" s="6">
        <f>-0.1885*OPERAC[[#This Row],[cantidad]]</f>
        <v/>
      </c>
      <c r="I5447" s="7">
        <f>-H5447/G5447</f>
        <v/>
      </c>
      <c r="J5447" s="11" t="n">
        <v>44641</v>
      </c>
      <c r="K5447" s="6" t="n">
        <v>10000</v>
      </c>
      <c r="L5447" s="6" t="n">
        <v>-2895.7</v>
      </c>
      <c r="M5447" s="7">
        <f>IF(N5447=0,+L5447+H5447,0)</f>
        <v/>
      </c>
      <c r="N5447" s="7">
        <f>IF((+G5447-K5447)=0,0,+G5447-K5447)</f>
        <v/>
      </c>
      <c r="O5447" s="7">
        <f>IF(N5447=0,0,(L5447+H5447)/-N5447)</f>
        <v/>
      </c>
      <c r="P5447" s="7">
        <f>VLOOKUP(OPERAC[[#This Row],[especie]],[1]!ESPECIES[#All],6,0)</f>
        <v/>
      </c>
      <c r="Q5447" s="7">
        <f>IF(N5447&lt;&gt;0,P5447*N5447,0)</f>
        <v/>
      </c>
      <c r="R5447" s="8">
        <f>IF(Q5447&lt;&gt;0,Q5447+H5447+L5447,0)</f>
        <v/>
      </c>
      <c r="S5447" s="9">
        <f>VLOOKUP(OPERAC[[#This Row],[especie]],[1]!ESPECIES[#Data],9,FALSE)</f>
        <v/>
      </c>
    </row>
    <row r="5448">
      <c r="A5448" s="4" t="n">
        <v>13185</v>
      </c>
      <c r="B5448" s="5" t="n">
        <v>44489</v>
      </c>
      <c r="C5448" s="13" t="inlineStr">
        <is>
          <t>VTA</t>
        </is>
      </c>
      <c r="D5448" s="13" t="n">
        <v>43</v>
      </c>
      <c r="E5448" s="10">
        <f>IF(D5448&gt;0,VLOOKUP(OPERAC[[#This Row],[COD CART]],[1]!MatrizCortoLargoCyl[#All],3,0),"")</f>
        <v/>
      </c>
      <c r="F5448" s="13" t="inlineStr">
        <is>
          <t>SESN/CYL-PUT/1,00/19-01-24</t>
        </is>
      </c>
      <c r="G5448" s="6" t="n">
        <v>10000</v>
      </c>
      <c r="H5448" s="6">
        <f>-0.1885*OPERAC[[#This Row],[cantidad]]</f>
        <v/>
      </c>
      <c r="I5448" s="7">
        <f>-H5448/G5448</f>
        <v/>
      </c>
      <c r="J5448" s="11" t="n">
        <v>44606</v>
      </c>
      <c r="K5448" s="6" t="n">
        <v>1200</v>
      </c>
      <c r="L5448" s="6" t="n">
        <v>261.45</v>
      </c>
      <c r="M5448" s="7">
        <f>IF(N5448=0,+L5448+H5448,0)</f>
        <v/>
      </c>
      <c r="N5448" s="7">
        <f>IF((+G5448-K5448)=0,0,+G5448-K5448)</f>
        <v/>
      </c>
      <c r="O5448" s="7">
        <f>IF(N5448=0,0,(L5448+H5448)/-N5448)</f>
        <v/>
      </c>
      <c r="P5448" s="7">
        <f>VLOOKUP(OPERAC[[#This Row],[especie]],[1]!ESPECIES[#All],6,0)</f>
        <v/>
      </c>
      <c r="Q5448" s="7">
        <f>IF(N5448&lt;&gt;0,P5448*N5448,0)</f>
        <v/>
      </c>
      <c r="R5448" s="8">
        <f>IF(Q5448&lt;&gt;0,Q5448+H5448+L5448,0)</f>
        <v/>
      </c>
      <c r="S5448" s="9">
        <f>VLOOKUP(OPERAC[[#This Row],[especie]],[1]!ESPECIES[#Data],9,FALSE)</f>
        <v/>
      </c>
    </row>
    <row r="5449">
      <c r="A5449" s="4" t="n">
        <v>13240</v>
      </c>
      <c r="B5449" s="5" t="n">
        <v>44489</v>
      </c>
      <c r="C5449" s="13" t="inlineStr">
        <is>
          <t>VTA</t>
        </is>
      </c>
      <c r="D5449" s="13" t="n">
        <v>43</v>
      </c>
      <c r="E5449" s="10">
        <f>IF(D5449&gt;0,VLOOKUP(OPERAC[[#This Row],[COD CART]],[1]!MatrizCortoLargoCyl[#All],3,0),"")</f>
        <v/>
      </c>
      <c r="F5449" s="13" t="inlineStr">
        <is>
          <t>SESN/CYL-PUT/1,00/19-01-24</t>
        </is>
      </c>
      <c r="G5449" s="6" t="n">
        <v>10000</v>
      </c>
      <c r="H5449" s="6">
        <f>-0.1885*OPERAC[[#This Row],[cantidad]]</f>
        <v/>
      </c>
      <c r="I5449" s="7">
        <f>-H5449/G5449</f>
        <v/>
      </c>
      <c r="J5449" s="11" t="n"/>
      <c r="K5449" s="6" t="n"/>
      <c r="L5449" s="6" t="n"/>
      <c r="M5449" s="7">
        <f>IF(N5449=0,+L5449+H5449,0)</f>
        <v/>
      </c>
      <c r="N5449" s="7">
        <f>IF((+G5449-K5449)=0,0,+G5449-K5449)</f>
        <v/>
      </c>
      <c r="O5449" s="7">
        <f>IF(N5449=0,0,(L5449+H5449)/-N5449)</f>
        <v/>
      </c>
      <c r="P5449" s="7">
        <f>VLOOKUP(OPERAC[[#This Row],[especie]],[1]!ESPECIES[#All],6,0)</f>
        <v/>
      </c>
      <c r="Q5449" s="7">
        <f>IF(N5449&lt;&gt;0,P5449*N5449,0)</f>
        <v/>
      </c>
      <c r="R5449" s="8">
        <f>IF(Q5449&lt;&gt;0,Q5449+H5449+L5449,0)</f>
        <v/>
      </c>
      <c r="S5449" s="9">
        <f>VLOOKUP(OPERAC[[#This Row],[especie]],[1]!ESPECIES[#Data],9,FALSE)</f>
        <v/>
      </c>
    </row>
    <row r="5450">
      <c r="A5450" s="4" t="n">
        <v>15194</v>
      </c>
      <c r="B5450" s="5" t="n">
        <v>44489</v>
      </c>
      <c r="C5450" s="13" t="inlineStr">
        <is>
          <t>VTA</t>
        </is>
      </c>
      <c r="D5450" s="13" t="n">
        <v>43</v>
      </c>
      <c r="E5450" s="10">
        <f>IF(D5450&gt;0,VLOOKUP(OPERAC[[#This Row],[COD CART]],[1]!MatrizCortoLargoCyl[#All],3,0),"")</f>
        <v/>
      </c>
      <c r="F5450" s="13" t="inlineStr">
        <is>
          <t>SESN/CYL-PUT/1,00/19-01-24</t>
        </is>
      </c>
      <c r="G5450" s="6" t="n">
        <v>10000</v>
      </c>
      <c r="H5450" s="6">
        <f>-0.1885*OPERAC[[#This Row],[cantidad]]</f>
        <v/>
      </c>
      <c r="I5450" s="7">
        <f>-H5450/G5450</f>
        <v/>
      </c>
      <c r="J5450" s="11" t="n"/>
      <c r="K5450" s="6" t="n"/>
      <c r="L5450" s="6" t="n"/>
      <c r="M5450" s="7">
        <f>IF(N5450=0,+L5450+H5450,0)</f>
        <v/>
      </c>
      <c r="N5450" s="7">
        <f>IF((+G5450-K5450)=0,0,+G5450-K5450)</f>
        <v/>
      </c>
      <c r="O5450" s="7">
        <f>IF(N5450=0,0,(L5450+H5450)/-N5450)</f>
        <v/>
      </c>
      <c r="P5450" s="7">
        <f>VLOOKUP(OPERAC[[#This Row],[especie]],[1]!ESPECIES[#All],6,0)</f>
        <v/>
      </c>
      <c r="Q5450" s="7">
        <f>IF(N5450&lt;&gt;0,P5450*N5450,0)</f>
        <v/>
      </c>
      <c r="R5450" s="8">
        <f>IF(Q5450&lt;&gt;0,Q5450+H5450+L5450,0)</f>
        <v/>
      </c>
      <c r="S5450" s="9">
        <f>VLOOKUP(OPERAC[[#This Row],[especie]],[1]!ESPECIES[#Data],9,FALSE)</f>
        <v/>
      </c>
    </row>
    <row r="5451">
      <c r="A5451" s="4" t="n">
        <v>25070</v>
      </c>
      <c r="B5451" s="5" t="n">
        <v>44489</v>
      </c>
      <c r="C5451" s="13" t="inlineStr">
        <is>
          <t>VTA</t>
        </is>
      </c>
      <c r="D5451" s="13" t="n">
        <v>43</v>
      </c>
      <c r="E5451" s="10">
        <f>IF(D5451&gt;0,VLOOKUP(OPERAC[[#This Row],[COD CART]],[1]!MatrizCortoLargoCyl[#All],3,0),"")</f>
        <v/>
      </c>
      <c r="F5451" s="13" t="inlineStr">
        <is>
          <t>SESN/CYL-PUT/1,00/19-01-24</t>
        </is>
      </c>
      <c r="G5451" s="6" t="n">
        <v>10000</v>
      </c>
      <c r="H5451" s="6">
        <f>-0.1885*OPERAC[[#This Row],[cantidad]]</f>
        <v/>
      </c>
      <c r="I5451" s="7">
        <f>-H5451/G5451</f>
        <v/>
      </c>
      <c r="J5451" s="11" t="n">
        <v>44557</v>
      </c>
      <c r="K5451" s="6" t="n">
        <v>2300</v>
      </c>
      <c r="L5451" s="6">
        <f>1951.537-1159.2</f>
        <v/>
      </c>
      <c r="M5451" s="7">
        <f>IF(N5451=0,+L5451+H5451,0)</f>
        <v/>
      </c>
      <c r="N5451" s="7">
        <f>IF((+G5451-K5451)=0,0,+G5451-K5451)</f>
        <v/>
      </c>
      <c r="O5451" s="7">
        <f>IF(N5451=0,0,(L5451+H5451)/-N5451)</f>
        <v/>
      </c>
      <c r="P5451" s="7">
        <f>VLOOKUP(OPERAC[[#This Row],[especie]],[1]!ESPECIES[#All],6,0)</f>
        <v/>
      </c>
      <c r="Q5451" s="7">
        <f>IF(N5451&lt;&gt;0,P5451*N5451,0)</f>
        <v/>
      </c>
      <c r="R5451" s="8">
        <f>IF(Q5451&lt;&gt;0,Q5451+H5451+L5451,0)</f>
        <v/>
      </c>
      <c r="S5451" s="9">
        <f>VLOOKUP(OPERAC[[#This Row],[especie]],[1]!ESPECIES[#Data],9,FALSE)</f>
        <v/>
      </c>
    </row>
    <row r="5452">
      <c r="A5452" s="4" t="n">
        <v>26140</v>
      </c>
      <c r="B5452" s="5" t="n">
        <v>44489</v>
      </c>
      <c r="C5452" s="13" t="inlineStr">
        <is>
          <t>VTA</t>
        </is>
      </c>
      <c r="D5452" s="13" t="n">
        <v>43</v>
      </c>
      <c r="E5452" s="10">
        <f>IF(D5452&gt;0,VLOOKUP(OPERAC[[#This Row],[COD CART]],[1]!MatrizCortoLargoCyl[#All],3,0),"")</f>
        <v/>
      </c>
      <c r="F5452" s="13" t="inlineStr">
        <is>
          <t>SESN/CYL-PUT/1,00/19-01-24</t>
        </is>
      </c>
      <c r="G5452" s="6" t="n">
        <v>10000</v>
      </c>
      <c r="H5452" s="6">
        <f>-0.1885*OPERAC[[#This Row],[cantidad]]</f>
        <v/>
      </c>
      <c r="I5452" s="7">
        <f>-H5452/G5452</f>
        <v/>
      </c>
      <c r="J5452" s="11" t="n">
        <v>44585</v>
      </c>
      <c r="K5452" s="6">
        <f>5000+5000</f>
        <v/>
      </c>
      <c r="L5452" s="6">
        <f>983.611+1608.856</f>
        <v/>
      </c>
      <c r="M5452" s="7">
        <f>IF(N5452=0,+L5452+H5452,0)</f>
        <v/>
      </c>
      <c r="N5452" s="7">
        <f>IF((+G5452-K5452)=0,0,+G5452-K5452)</f>
        <v/>
      </c>
      <c r="O5452" s="7">
        <f>IF(N5452=0,0,(L5452+H5452)/-N5452)</f>
        <v/>
      </c>
      <c r="P5452" s="7">
        <f>VLOOKUP(OPERAC[[#This Row],[especie]],[1]!ESPECIES[#All],6,0)</f>
        <v/>
      </c>
      <c r="Q5452" s="7">
        <f>IF(N5452&lt;&gt;0,P5452*N5452,0)</f>
        <v/>
      </c>
      <c r="R5452" s="8">
        <f>IF(Q5452&lt;&gt;0,Q5452+H5452+L5452,0)</f>
        <v/>
      </c>
      <c r="S5452" s="9">
        <f>VLOOKUP(OPERAC[[#This Row],[especie]],[1]!ESPECIES[#Data],9,FALSE)</f>
        <v/>
      </c>
    </row>
    <row r="5453">
      <c r="A5453" s="4" t="n">
        <v>7914</v>
      </c>
      <c r="B5453" s="5" t="n">
        <v>44552</v>
      </c>
      <c r="C5453" s="13" t="inlineStr">
        <is>
          <t>VTA</t>
        </is>
      </c>
      <c r="D5453" s="13" t="n">
        <v>40</v>
      </c>
      <c r="E5453" s="10">
        <f>IF(D5453&gt;0,VLOOKUP(OPERAC[[#This Row],[COD CART]],[1]!MatrizCortoLargoCyl[#All],3,0),"")</f>
        <v/>
      </c>
      <c r="F5453" s="13" t="inlineStr">
        <is>
          <t>DESP</t>
        </is>
      </c>
      <c r="G5453" s="6" t="n">
        <v>200</v>
      </c>
      <c r="H5453" s="6" t="n">
        <v>-1885.544</v>
      </c>
      <c r="I5453" s="7">
        <f>-H5453/G5453</f>
        <v/>
      </c>
      <c r="J5453" s="11" t="n">
        <v>44585</v>
      </c>
      <c r="K5453" s="6" t="n">
        <v>200</v>
      </c>
      <c r="L5453" s="6" t="n">
        <v>1824.24</v>
      </c>
      <c r="M5453" s="7">
        <f>IF(N5453=0,+L5453+H5453,0)</f>
        <v/>
      </c>
      <c r="N5453" s="7">
        <f>IF((+G5453-K5453)=0,0,+G5453-K5453)</f>
        <v/>
      </c>
      <c r="O5453" s="7">
        <f>IF(N5453=0,0,(L5453+H5453)/-N5453)</f>
        <v/>
      </c>
      <c r="P5453" s="7">
        <f>VLOOKUP(OPERAC[[#This Row],[especie]],[1]!ESPECIES[#All],6,0)</f>
        <v/>
      </c>
      <c r="Q5453" s="7">
        <f>IF(N5453&lt;&gt;0,P5453*N5453,0)</f>
        <v/>
      </c>
      <c r="R5453" s="8">
        <f>IF(Q5453&lt;&gt;0,Q5453+H5453+L5453,0)</f>
        <v/>
      </c>
      <c r="S5453" s="9">
        <f>VLOOKUP(OPERAC[[#This Row],[especie]],[1]!ESPECIES[#Data],9,FALSE)</f>
        <v/>
      </c>
    </row>
    <row r="5454">
      <c r="A5454" s="4" t="n">
        <v>12690</v>
      </c>
      <c r="B5454" s="5" t="n">
        <v>44552</v>
      </c>
      <c r="C5454" s="13" t="inlineStr">
        <is>
          <t>VTA</t>
        </is>
      </c>
      <c r="D5454" s="13" t="n">
        <v>40</v>
      </c>
      <c r="E5454" s="10">
        <f>IF(D5454&gt;0,VLOOKUP(OPERAC[[#This Row],[COD CART]],[1]!MatrizCortoLargoCyl[#All],3,0),"")</f>
        <v/>
      </c>
      <c r="F5454" s="13" t="inlineStr">
        <is>
          <t>DESP</t>
        </is>
      </c>
      <c r="G5454" s="6" t="n">
        <v>200</v>
      </c>
      <c r="H5454" s="6" t="n">
        <v>-1885.544</v>
      </c>
      <c r="I5454" s="7">
        <f>-H5454/G5454</f>
        <v/>
      </c>
      <c r="J5454" s="11" t="n">
        <v>44585</v>
      </c>
      <c r="K5454" s="6" t="n">
        <v>200</v>
      </c>
      <c r="L5454" s="6" t="n">
        <v>1959.157</v>
      </c>
      <c r="M5454" s="7">
        <f>IF(N5454=0,+L5454+H5454,0)</f>
        <v/>
      </c>
      <c r="N5454" s="7">
        <f>IF((+G5454-K5454)=0,0,+G5454-K5454)</f>
        <v/>
      </c>
      <c r="O5454" s="7">
        <f>IF(N5454=0,0,(L5454+H5454)/-N5454)</f>
        <v/>
      </c>
      <c r="P5454" s="7">
        <f>VLOOKUP(OPERAC[[#This Row],[especie]],[1]!ESPECIES[#All],6,0)</f>
        <v/>
      </c>
      <c r="Q5454" s="7">
        <f>IF(N5454&lt;&gt;0,P5454*N5454,0)</f>
        <v/>
      </c>
      <c r="R5454" s="8">
        <f>IF(Q5454&lt;&gt;0,Q5454+H5454+L5454,0)</f>
        <v/>
      </c>
      <c r="S5454" s="9">
        <f>VLOOKUP(OPERAC[[#This Row],[especie]],[1]!ESPECIES[#Data],9,FALSE)</f>
        <v/>
      </c>
    </row>
    <row r="5455">
      <c r="A5455" s="4" t="n">
        <v>16786</v>
      </c>
      <c r="B5455" s="5" t="n">
        <v>43832</v>
      </c>
      <c r="C5455" s="13" t="inlineStr">
        <is>
          <t>VTA</t>
        </is>
      </c>
      <c r="D5455" s="13" t="n">
        <v>31</v>
      </c>
      <c r="E5455" s="10">
        <f>IF(D5455&gt;0,VLOOKUP(OPERAC[[#This Row],[COD CART]],[1]!MatrizCortoLargoCyl[#All],3,0),"")</f>
        <v/>
      </c>
      <c r="F5455" s="13" t="inlineStr">
        <is>
          <t>YPF</t>
        </is>
      </c>
      <c r="G5455" s="6" t="n">
        <v>200</v>
      </c>
      <c r="H5455" s="6" t="n">
        <v>-1892</v>
      </c>
      <c r="I5455" s="7" t="n">
        <v>9.460000000000001</v>
      </c>
      <c r="J5455" s="5" t="n"/>
      <c r="K5455" s="6" t="n"/>
      <c r="L5455" s="6" t="n"/>
      <c r="M5455" s="7">
        <f>IF(N5455=0,+L5455+H5455,0)</f>
        <v/>
      </c>
      <c r="N5455" s="7">
        <f>IF((+G5455-K5455)=0,0,+G5455-K5455)</f>
        <v/>
      </c>
      <c r="O5455" s="7">
        <f>IF(N5455=0,0,(L5455+H5455)/-N5455)</f>
        <v/>
      </c>
      <c r="P5455" s="7">
        <f>VLOOKUP(OPERAC[[#This Row],[especie]],[1]!ESPECIES[#All],6,0)</f>
        <v/>
      </c>
      <c r="Q5455" s="7">
        <f>IF(N5455&lt;&gt;0,P5455*N5455,0)</f>
        <v/>
      </c>
      <c r="R5455" s="8">
        <f>IF(Q5455&lt;&gt;0,Q5455+H5455+L5455,0)</f>
        <v/>
      </c>
      <c r="S5455" s="9">
        <f>VLOOKUP(OPERAC[[#This Row],[especie]],[1]!ESPECIES[#Data],9,FALSE)</f>
        <v/>
      </c>
    </row>
    <row r="5456">
      <c r="A5456" s="4" t="n">
        <v>15194</v>
      </c>
      <c r="B5456" s="5" t="n">
        <v>44552</v>
      </c>
      <c r="C5456" s="13" t="inlineStr">
        <is>
          <t>VTA</t>
        </is>
      </c>
      <c r="D5456" s="13" t="n">
        <v>32</v>
      </c>
      <c r="E5456" s="10">
        <f>IF(D5456&gt;0,VLOOKUP(OPERAC[[#This Row],[COD CART]],[1]!MatrizCortoLargoCyl[#All],3,0),"")</f>
        <v/>
      </c>
      <c r="F5456" s="13" t="inlineStr">
        <is>
          <t>HMY/CYL/4,00/21-01-22</t>
        </is>
      </c>
      <c r="G5456" s="6" t="n">
        <v>500</v>
      </c>
      <c r="H5456" s="6">
        <f>-3.8*OPERAC[[#This Row],[cantidad]]</f>
        <v/>
      </c>
      <c r="I5456" s="7">
        <f>-H5456/G5456</f>
        <v/>
      </c>
      <c r="J5456" s="11" t="n">
        <v>44580</v>
      </c>
      <c r="K5456" s="6" t="n">
        <v>500</v>
      </c>
      <c r="L5456" s="6" t="n">
        <v>1969.64</v>
      </c>
      <c r="M5456" s="7">
        <f>IF(N5456=0,+L5456+H5456,0)</f>
        <v/>
      </c>
      <c r="N5456" s="7">
        <f>IF((+G5456-K5456)=0,0,+G5456-K5456)</f>
        <v/>
      </c>
      <c r="O5456" s="7">
        <f>IF(N5456=0,0,(L5456+H5456)/-N5456)</f>
        <v/>
      </c>
      <c r="P5456" s="7">
        <f>VLOOKUP(OPERAC[[#This Row],[especie]],[1]!ESPECIES[#All],6,0)</f>
        <v/>
      </c>
      <c r="Q5456" s="7">
        <f>IF(N5456&lt;&gt;0,P5456*N5456,0)</f>
        <v/>
      </c>
      <c r="R5456" s="8">
        <f>IF(Q5456&lt;&gt;0,Q5456+H5456+L5456,0)</f>
        <v/>
      </c>
      <c r="S5456" s="9">
        <f>VLOOKUP(OPERAC[[#This Row],[especie]],[1]!ESPECIES[#Data],9,FALSE)</f>
        <v/>
      </c>
    </row>
    <row r="5457">
      <c r="A5457" s="4" t="n">
        <v>3728</v>
      </c>
      <c r="B5457" s="5" t="n">
        <v>44648</v>
      </c>
      <c r="C5457" s="13" t="inlineStr">
        <is>
          <t>VTA</t>
        </is>
      </c>
      <c r="D5457" s="13" t="n">
        <v>42</v>
      </c>
      <c r="E5457" s="10">
        <f>IF(D5457&gt;0,VLOOKUP(OPERAC[[#This Row],[COD CART]],[1]!MatrizCortoLargoCyl[#All],3,0),"")</f>
        <v/>
      </c>
      <c r="F5457" s="13" t="inlineStr">
        <is>
          <t>SMH</t>
        </is>
      </c>
      <c r="G5457" s="6" t="n">
        <v>7</v>
      </c>
      <c r="H5457" s="6" t="n">
        <v>-1900.42139</v>
      </c>
      <c r="I5457" s="7">
        <f>-H5457/G5457</f>
        <v/>
      </c>
      <c r="J5457" s="11" t="n">
        <v>44663</v>
      </c>
      <c r="K5457" s="6">
        <f>+OPERAC[[#This Row],[cantidad]]</f>
        <v/>
      </c>
      <c r="L5457" s="6">
        <f>+OPERAC[[#This Row],[cantidad venta]]*238.066</f>
        <v/>
      </c>
      <c r="M5457" s="7">
        <f>IF(N5457=0,+L5457+H5457,0)</f>
        <v/>
      </c>
      <c r="N5457" s="7">
        <f>IF((+G5457-K5457)=0,0,+G5457-K5457)</f>
        <v/>
      </c>
      <c r="O5457" s="7">
        <f>IF(N5457=0,0,(L5457+H5457)/-N5457)</f>
        <v/>
      </c>
      <c r="P5457" s="7">
        <f>VLOOKUP(OPERAC[[#This Row],[especie]],[1]!ESPECIES[#All],6,0)</f>
        <v/>
      </c>
      <c r="Q5457" s="7">
        <f>IF(N5457&lt;&gt;0,P5457*N5457,0)</f>
        <v/>
      </c>
      <c r="R5457" s="8">
        <f>IF(Q5457&lt;&gt;0,Q5457+H5457+L5457,0)</f>
        <v/>
      </c>
      <c r="S5457" s="9">
        <f>VLOOKUP(OPERAC[[#This Row],[especie]],[1]!ESPECIES[#Data],9,FALSE)</f>
        <v/>
      </c>
    </row>
    <row r="5458">
      <c r="A5458" s="4" t="n">
        <v>3787</v>
      </c>
      <c r="B5458" s="5" t="n">
        <v>44641</v>
      </c>
      <c r="C5458" s="13" t="inlineStr">
        <is>
          <t>VTA</t>
        </is>
      </c>
      <c r="D5458" s="13" t="n">
        <v>32</v>
      </c>
      <c r="E5458" s="10">
        <f>IF(D5458&gt;0,VLOOKUP(OPERAC[[#This Row],[COD CART]],[1]!MatrizCortoLargoCyl[#All],3,0),"")</f>
        <v/>
      </c>
      <c r="F5458" s="13" t="inlineStr">
        <is>
          <t>HMY</t>
        </is>
      </c>
      <c r="G5458" s="6" t="n">
        <v>400</v>
      </c>
      <c r="H5458" s="6" t="n">
        <v>-1903.6156</v>
      </c>
      <c r="I5458" s="7">
        <f>-H5458/G5458</f>
        <v/>
      </c>
      <c r="J5458" s="11" t="n">
        <v>44669</v>
      </c>
      <c r="K5458" s="6">
        <f>+OPERAC[[#This Row],[cantidad]]</f>
        <v/>
      </c>
      <c r="L5458" s="6">
        <f>4.925*OPERAC[[#This Row],[cantidad venta]]</f>
        <v/>
      </c>
      <c r="M5458" s="7">
        <f>IF(N5458=0,+L5458+H5458,0)</f>
        <v/>
      </c>
      <c r="N5458" s="7">
        <f>IF((+G5458-K5458)=0,0,+G5458-K5458)</f>
        <v/>
      </c>
      <c r="O5458" s="7">
        <f>IF(N5458=0,0,(L5458+H5458)/-N5458)</f>
        <v/>
      </c>
      <c r="P5458" s="7">
        <f>VLOOKUP(OPERAC[[#This Row],[especie]],[1]!ESPECIES[#All],6,0)</f>
        <v/>
      </c>
      <c r="Q5458" s="7">
        <f>IF(N5458&lt;&gt;0,P5458*N5458,0)</f>
        <v/>
      </c>
      <c r="R5458" s="8">
        <f>IF(Q5458&lt;&gt;0,Q5458+H5458+L5458,0)</f>
        <v/>
      </c>
      <c r="S5458" s="9">
        <f>VLOOKUP(OPERAC[[#This Row],[especie]],[1]!ESPECIES[#Data],9,FALSE)</f>
        <v/>
      </c>
    </row>
    <row r="5459">
      <c r="A5459" s="4" t="n">
        <v>6578</v>
      </c>
      <c r="B5459" s="5" t="n">
        <v>44641</v>
      </c>
      <c r="C5459" s="13" t="inlineStr">
        <is>
          <t>VTA</t>
        </is>
      </c>
      <c r="D5459" s="13" t="n">
        <v>32</v>
      </c>
      <c r="E5459" s="10">
        <f>IF(D5459&gt;0,VLOOKUP(OPERAC[[#This Row],[COD CART]],[1]!MatrizCortoLargoCyl[#All],3,0),"")</f>
        <v/>
      </c>
      <c r="F5459" s="13" t="inlineStr">
        <is>
          <t>HMY</t>
        </is>
      </c>
      <c r="G5459" s="6" t="n">
        <v>400</v>
      </c>
      <c r="H5459" s="6" t="n">
        <v>-1903.6156</v>
      </c>
      <c r="I5459" s="7">
        <f>-H5459/G5459</f>
        <v/>
      </c>
      <c r="J5459" s="11" t="n">
        <v>44669</v>
      </c>
      <c r="K5459" s="6">
        <f>+OPERAC[[#This Row],[cantidad]]</f>
        <v/>
      </c>
      <c r="L5459" s="6">
        <f>4.925*OPERAC[[#This Row],[cantidad venta]]</f>
        <v/>
      </c>
      <c r="M5459" s="7">
        <f>IF(N5459=0,+L5459+H5459,0)</f>
        <v/>
      </c>
      <c r="N5459" s="7">
        <f>IF((+G5459-K5459)=0,0,+G5459-K5459)</f>
        <v/>
      </c>
      <c r="O5459" s="7">
        <f>IF(N5459=0,0,(L5459+H5459)/-N5459)</f>
        <v/>
      </c>
      <c r="P5459" s="7">
        <f>VLOOKUP(OPERAC[[#This Row],[especie]],[1]!ESPECIES[#All],6,0)</f>
        <v/>
      </c>
      <c r="Q5459" s="7">
        <f>IF(N5459&lt;&gt;0,P5459*N5459,0)</f>
        <v/>
      </c>
      <c r="R5459" s="8">
        <f>IF(Q5459&lt;&gt;0,Q5459+H5459+L5459,0)</f>
        <v/>
      </c>
      <c r="S5459" s="9">
        <f>VLOOKUP(OPERAC[[#This Row],[especie]],[1]!ESPECIES[#Data],9,FALSE)</f>
        <v/>
      </c>
    </row>
    <row r="5460">
      <c r="A5460" s="4" t="n">
        <v>13240</v>
      </c>
      <c r="B5460" s="5" t="n">
        <v>44515</v>
      </c>
      <c r="C5460" s="13" t="inlineStr">
        <is>
          <t>VTA</t>
        </is>
      </c>
      <c r="D5460" s="13" t="n">
        <v>31</v>
      </c>
      <c r="E5460" s="10">
        <f>IF(D5460&gt;0,VLOOKUP(OPERAC[[#This Row],[COD CART]],[1]!MatrizCortoLargoCyl[#All],3,0),"")</f>
        <v/>
      </c>
      <c r="F5460" s="13" t="inlineStr">
        <is>
          <t>PRNT</t>
        </is>
      </c>
      <c r="G5460" s="6" t="n">
        <v>50</v>
      </c>
      <c r="H5460" s="6" t="n">
        <v>-1905.616</v>
      </c>
      <c r="I5460" s="7">
        <f>-H5460/G5460</f>
        <v/>
      </c>
      <c r="J5460" s="11" t="n"/>
      <c r="K5460" s="6" t="n"/>
      <c r="L5460" s="6" t="n"/>
      <c r="M5460" s="7">
        <f>IF(N5460=0,+L5460+H5460,0)</f>
        <v/>
      </c>
      <c r="N5460" s="7">
        <f>IF((+G5460-K5460)=0,0,+G5460-K5460)</f>
        <v/>
      </c>
      <c r="O5460" s="7">
        <f>IF(N5460=0,0,(L5460+H5460)/-N5460)</f>
        <v/>
      </c>
      <c r="P5460" s="7">
        <f>VLOOKUP(OPERAC[[#This Row],[especie]],[1]!ESPECIES[#All],6,0)</f>
        <v/>
      </c>
      <c r="Q5460" s="7">
        <f>IF(N5460&lt;&gt;0,P5460*N5460,0)</f>
        <v/>
      </c>
      <c r="R5460" s="8">
        <f>IF(Q5460&lt;&gt;0,Q5460+H5460+L5460,0)</f>
        <v/>
      </c>
      <c r="S5460" s="9">
        <f>VLOOKUP(OPERAC[[#This Row],[especie]],[1]!ESPECIES[#Data],9,FALSE)</f>
        <v/>
      </c>
    </row>
    <row r="5461">
      <c r="A5461" s="4" t="n">
        <v>13240</v>
      </c>
      <c r="B5461" s="5" t="n">
        <v>44641</v>
      </c>
      <c r="C5461" s="13" t="inlineStr">
        <is>
          <t>VTA</t>
        </is>
      </c>
      <c r="D5461" s="13" t="n">
        <v>42</v>
      </c>
      <c r="E5461" s="10">
        <f>IF(D5461&gt;0,VLOOKUP(OPERAC[[#This Row],[COD CART]],[1]!MatrizCortoLargoCyl[#All],3,0),"")</f>
        <v/>
      </c>
      <c r="F5461" s="13" t="inlineStr">
        <is>
          <t>FB</t>
        </is>
      </c>
      <c r="G5461" s="6" t="n">
        <v>9</v>
      </c>
      <c r="H5461" s="6" t="n">
        <v>-1909.40742</v>
      </c>
      <c r="I5461" s="7">
        <f>-H5461/G5461</f>
        <v/>
      </c>
      <c r="J5461" s="11" t="n">
        <v>44671</v>
      </c>
      <c r="K5461" s="6">
        <f>+OPERAC[[#This Row],[cantidad]]</f>
        <v/>
      </c>
      <c r="L5461" s="6">
        <f>+OPERAC[[#This Row],[cantidad venta]]*213.173</f>
        <v/>
      </c>
      <c r="M5461" s="7">
        <f>IF(N5461=0,+L5461+H5461,0)</f>
        <v/>
      </c>
      <c r="N5461" s="7">
        <f>IF((+G5461-K5461)=0,0,+G5461-K5461)</f>
        <v/>
      </c>
      <c r="O5461" s="7">
        <f>IF(N5461=0,0,(L5461+H5461)/-N5461)</f>
        <v/>
      </c>
      <c r="P5461" s="7">
        <f>VLOOKUP(OPERAC[[#This Row],[especie]],[1]!ESPECIES[#All],6,0)</f>
        <v/>
      </c>
      <c r="Q5461" s="7">
        <f>IF(N5461&lt;&gt;0,P5461*N5461,0)</f>
        <v/>
      </c>
      <c r="R5461" s="8">
        <f>IF(Q5461&lt;&gt;0,Q5461+H5461+L5461,0)</f>
        <v/>
      </c>
      <c r="S5461" s="9">
        <f>VLOOKUP(OPERAC[[#This Row],[especie]],[1]!ESPECIES[#Data],9,FALSE)</f>
        <v/>
      </c>
    </row>
    <row r="5462">
      <c r="A5462" s="4" t="n">
        <v>26138</v>
      </c>
      <c r="B5462" s="5" t="n">
        <v>44356</v>
      </c>
      <c r="C5462" s="13" t="inlineStr">
        <is>
          <t>VTA</t>
        </is>
      </c>
      <c r="D5462" s="13" t="n">
        <v>32</v>
      </c>
      <c r="E5462" s="10">
        <f>IF(D5462&gt;0,VLOOKUP(OPERAC[[#This Row],[COD CART]],[1]!MatrizCortoLargoCyl[#All],3,0),"")</f>
        <v/>
      </c>
      <c r="F5462" s="13" t="inlineStr">
        <is>
          <t>SSYS/CYL/25,00/18-02-22</t>
        </is>
      </c>
      <c r="G5462" s="6" t="n">
        <v>100</v>
      </c>
      <c r="H5462" s="6">
        <f>-2062.357-20.43+98.93+69.15</f>
        <v/>
      </c>
      <c r="I5462" s="7">
        <f>-H5462/G5462</f>
        <v/>
      </c>
      <c r="J5462" s="11" t="n">
        <v>44607</v>
      </c>
      <c r="K5462" s="6" t="n">
        <v>100</v>
      </c>
      <c r="L5462" s="6" t="n">
        <v>2464.43</v>
      </c>
      <c r="M5462" s="7">
        <f>IF(N5462=0,+L5462+H5462,0)</f>
        <v/>
      </c>
      <c r="N5462" s="7">
        <f>IF((+G5462-K5462)=0,0,+G5462-K5462)</f>
        <v/>
      </c>
      <c r="O5462" s="7">
        <f>IF(N5462=0,0,(L5462+H5462)/-N5462)</f>
        <v/>
      </c>
      <c r="P5462" s="7">
        <f>VLOOKUP(OPERAC[[#This Row],[especie]],[1]!ESPECIES[#All],6,0)</f>
        <v/>
      </c>
      <c r="Q5462" s="7">
        <f>IF(N5462&lt;&gt;0,P5462*N5462,0)</f>
        <v/>
      </c>
      <c r="R5462" s="8">
        <f>IF(Q5462&lt;&gt;0,Q5462+H5462+L5462,0)</f>
        <v/>
      </c>
      <c r="S5462" s="9">
        <f>VLOOKUP(OPERAC[[#This Row],[especie]],[1]!ESPECIES[#Data],9,FALSE)</f>
        <v/>
      </c>
    </row>
    <row r="5463">
      <c r="A5463" s="4" t="n">
        <v>6578</v>
      </c>
      <c r="B5463" s="5" t="n">
        <v>44533</v>
      </c>
      <c r="C5463" s="13" t="inlineStr">
        <is>
          <t>VTA</t>
        </is>
      </c>
      <c r="D5463" s="13" t="n">
        <v>32</v>
      </c>
      <c r="E5463" s="10">
        <f>IF(D5463&gt;0,VLOOKUP(OPERAC[[#This Row],[COD CART]],[1]!MatrizCortoLargoCyl[#All],3,0),"")</f>
        <v/>
      </c>
      <c r="F5463" s="13" t="inlineStr">
        <is>
          <t>GMBL/CYL/5,00/21-01-22</t>
        </is>
      </c>
      <c r="G5463" s="6" t="n">
        <v>500</v>
      </c>
      <c r="H5463" s="6">
        <f>-3.83*OPERAC[[#This Row],[cantidad]]</f>
        <v/>
      </c>
      <c r="I5463" s="7">
        <f>-H5463/G5463</f>
        <v/>
      </c>
      <c r="J5463" s="11" t="n">
        <v>44581</v>
      </c>
      <c r="K5463" s="6" t="n">
        <v>500</v>
      </c>
      <c r="L5463" s="6" t="n">
        <v>1466.579</v>
      </c>
      <c r="M5463" s="7">
        <f>IF(N5463=0,+L5463+H5463,0)</f>
        <v/>
      </c>
      <c r="N5463" s="7">
        <f>IF((+G5463-K5463)=0,0,+G5463-K5463)</f>
        <v/>
      </c>
      <c r="O5463" s="7">
        <f>IF(N5463=0,0,(L5463+H5463)/-N5463)</f>
        <v/>
      </c>
      <c r="P5463" s="7">
        <f>VLOOKUP(OPERAC[[#This Row],[especie]],[1]!ESPECIES[#All],6,0)</f>
        <v/>
      </c>
      <c r="Q5463" s="7">
        <f>IF(N5463&lt;&gt;0,P5463*N5463,0)</f>
        <v/>
      </c>
      <c r="R5463" s="8">
        <f>IF(Q5463&lt;&gt;0,Q5463+H5463+L5463,0)</f>
        <v/>
      </c>
      <c r="S5463" s="9">
        <f>VLOOKUP(OPERAC[[#This Row],[especie]],[1]!ESPECIES[#Data],9,FALSE)</f>
        <v/>
      </c>
    </row>
    <row r="5464">
      <c r="A5464" s="4" t="n">
        <v>13246</v>
      </c>
      <c r="B5464" s="5" t="n">
        <v>44533</v>
      </c>
      <c r="C5464" s="13" t="inlineStr">
        <is>
          <t>VTA</t>
        </is>
      </c>
      <c r="D5464" s="13" t="n">
        <v>32</v>
      </c>
      <c r="E5464" s="10">
        <f>IF(D5464&gt;0,VLOOKUP(OPERAC[[#This Row],[COD CART]],[1]!MatrizCortoLargoCyl[#All],3,0),"")</f>
        <v/>
      </c>
      <c r="F5464" s="13" t="inlineStr">
        <is>
          <t>GMBL/CYL/5,00/21-01-22</t>
        </is>
      </c>
      <c r="G5464" s="6" t="n">
        <v>500</v>
      </c>
      <c r="H5464" s="6">
        <f>-3.83*OPERAC[[#This Row],[cantidad]]</f>
        <v/>
      </c>
      <c r="I5464" s="7">
        <f>-H5464/G5464</f>
        <v/>
      </c>
      <c r="J5464" s="11" t="n">
        <v>44581</v>
      </c>
      <c r="K5464" s="6" t="n">
        <v>500</v>
      </c>
      <c r="L5464" s="6" t="n">
        <v>1466.579</v>
      </c>
      <c r="M5464" s="7">
        <f>IF(N5464=0,+L5464+H5464,0)</f>
        <v/>
      </c>
      <c r="N5464" s="7">
        <f>IF((+G5464-K5464)=0,0,+G5464-K5464)</f>
        <v/>
      </c>
      <c r="O5464" s="7">
        <f>IF(N5464=0,0,(L5464+H5464)/-N5464)</f>
        <v/>
      </c>
      <c r="P5464" s="7">
        <f>VLOOKUP(OPERAC[[#This Row],[especie]],[1]!ESPECIES[#All],6,0)</f>
        <v/>
      </c>
      <c r="Q5464" s="7">
        <f>IF(N5464&lt;&gt;0,P5464*N5464,0)</f>
        <v/>
      </c>
      <c r="R5464" s="8">
        <f>IF(Q5464&lt;&gt;0,Q5464+H5464+L5464,0)</f>
        <v/>
      </c>
      <c r="S5464" s="9">
        <f>VLOOKUP(OPERAC[[#This Row],[especie]],[1]!ESPECIES[#Data],9,FALSE)</f>
        <v/>
      </c>
    </row>
    <row r="5465">
      <c r="A5465" s="4" t="n">
        <v>3728</v>
      </c>
      <c r="B5465" s="5" t="n">
        <v>44582</v>
      </c>
      <c r="C5465" s="13" t="inlineStr">
        <is>
          <t>VTA</t>
        </is>
      </c>
      <c r="D5465" s="13" t="n">
        <v>40</v>
      </c>
      <c r="E5465" s="10">
        <f>IF(D5465&gt;0,VLOOKUP(OPERAC[[#This Row],[COD CART]],[1]!MatrizCortoLargoCyl[#All],3,0),"")</f>
        <v/>
      </c>
      <c r="F5465" s="13" t="inlineStr">
        <is>
          <t>NFLX</t>
        </is>
      </c>
      <c r="G5465" s="6" t="n">
        <v>5</v>
      </c>
      <c r="H5465" s="6" t="n">
        <v>-1916.80335</v>
      </c>
      <c r="I5465" s="7">
        <f>-H5465/G5465</f>
        <v/>
      </c>
      <c r="J5465" s="11" t="n">
        <v>44593</v>
      </c>
      <c r="K5465" s="6">
        <f>+OPERAC[[#This Row],[cantidad]]</f>
        <v/>
      </c>
      <c r="L5465" s="6">
        <f>+OPERAC[[#This Row],[cantidad venta]]*448.602</f>
        <v/>
      </c>
      <c r="M5465" s="7">
        <f>IF(N5465=0,+L5465+H5465,0)</f>
        <v/>
      </c>
      <c r="N5465" s="7">
        <f>IF((+G5465-K5465)=0,0,+G5465-K5465)</f>
        <v/>
      </c>
      <c r="O5465" s="7">
        <f>IF(N5465=0,0,(L5465+H5465)/-N5465)</f>
        <v/>
      </c>
      <c r="P5465" s="7">
        <f>VLOOKUP(OPERAC[[#This Row],[especie]],[1]!ESPECIES[#All],6,0)</f>
        <v/>
      </c>
      <c r="Q5465" s="7">
        <f>IF(N5465&lt;&gt;0,P5465*N5465,0)</f>
        <v/>
      </c>
      <c r="R5465" s="8">
        <f>IF(Q5465&lt;&gt;0,Q5465+H5465+L5465,0)</f>
        <v/>
      </c>
      <c r="S5465" s="9">
        <f>VLOOKUP(OPERAC[[#This Row],[especie]],[1]!ESPECIES[#Data],9,FALSE)</f>
        <v/>
      </c>
    </row>
    <row r="5466">
      <c r="A5466" s="4" t="n">
        <v>3835</v>
      </c>
      <c r="B5466" s="5" t="n">
        <v>44582</v>
      </c>
      <c r="C5466" s="13" t="inlineStr">
        <is>
          <t>VTA</t>
        </is>
      </c>
      <c r="D5466" s="13" t="n">
        <v>40</v>
      </c>
      <c r="E5466" s="10">
        <f>IF(D5466&gt;0,VLOOKUP(OPERAC[[#This Row],[COD CART]],[1]!MatrizCortoLargoCyl[#All],3,0),"")</f>
        <v/>
      </c>
      <c r="F5466" s="13" t="inlineStr">
        <is>
          <t>NFLX</t>
        </is>
      </c>
      <c r="G5466" s="6" t="n">
        <v>5</v>
      </c>
      <c r="H5466" s="6" t="n">
        <v>-1916.80335</v>
      </c>
      <c r="I5466" s="7">
        <f>-H5466/G5466</f>
        <v/>
      </c>
      <c r="J5466" s="11" t="n">
        <v>44593</v>
      </c>
      <c r="K5466" s="6">
        <f>+OPERAC[[#This Row],[cantidad]]</f>
        <v/>
      </c>
      <c r="L5466" s="6">
        <f>+OPERAC[[#This Row],[cantidad venta]]*448.602</f>
        <v/>
      </c>
      <c r="M5466" s="7">
        <f>IF(N5466=0,+L5466+H5466,0)</f>
        <v/>
      </c>
      <c r="N5466" s="7">
        <f>IF((+G5466-K5466)=0,0,+G5466-K5466)</f>
        <v/>
      </c>
      <c r="O5466" s="7">
        <f>IF(N5466=0,0,(L5466+H5466)/-N5466)</f>
        <v/>
      </c>
      <c r="P5466" s="7">
        <f>VLOOKUP(OPERAC[[#This Row],[especie]],[1]!ESPECIES[#All],6,0)</f>
        <v/>
      </c>
      <c r="Q5466" s="7">
        <f>IF(N5466&lt;&gt;0,P5466*N5466,0)</f>
        <v/>
      </c>
      <c r="R5466" s="8">
        <f>IF(Q5466&lt;&gt;0,Q5466+H5466+L5466,0)</f>
        <v/>
      </c>
      <c r="S5466" s="9">
        <f>VLOOKUP(OPERAC[[#This Row],[especie]],[1]!ESPECIES[#Data],9,FALSE)</f>
        <v/>
      </c>
    </row>
    <row r="5467">
      <c r="A5467" s="4" t="n">
        <v>15195</v>
      </c>
      <c r="B5467" s="5" t="n">
        <v>44616</v>
      </c>
      <c r="C5467" s="13" t="inlineStr">
        <is>
          <t>VTA</t>
        </is>
      </c>
      <c r="D5467" s="13" t="n">
        <v>32</v>
      </c>
      <c r="E5467" s="10">
        <f>IF(D5467&gt;0,VLOOKUP(OPERAC[[#This Row],[COD CART]],[1]!MatrizCortoLargoCyl[#All],3,0),"")</f>
        <v/>
      </c>
      <c r="F5467" s="13" t="inlineStr">
        <is>
          <t>HMY/CYL/4,00/18-03-22</t>
        </is>
      </c>
      <c r="G5467" s="6" t="n">
        <v>500</v>
      </c>
      <c r="H5467" s="6" t="n">
        <v>-1918.525</v>
      </c>
      <c r="I5467" s="7">
        <f>-H5467/G5467</f>
        <v/>
      </c>
      <c r="J5467" s="11" t="n">
        <v>44622</v>
      </c>
      <c r="K5467" s="6" t="n">
        <v>500</v>
      </c>
      <c r="L5467" s="6" t="n">
        <v>1969.75</v>
      </c>
      <c r="M5467" s="7">
        <f>IF(N5467=0,+L5467+H5467,0)</f>
        <v/>
      </c>
      <c r="N5467" s="7">
        <f>IF((+G5467-K5467)=0,0,+G5467-K5467)</f>
        <v/>
      </c>
      <c r="O5467" s="7">
        <f>IF(N5467=0,0,(L5467+H5467)/-N5467)</f>
        <v/>
      </c>
      <c r="P5467" s="7">
        <f>VLOOKUP(OPERAC[[#This Row],[especie]],[1]!ESPECIES[#All],6,0)</f>
        <v/>
      </c>
      <c r="Q5467" s="7">
        <f>IF(N5467&lt;&gt;0,P5467*N5467,0)</f>
        <v/>
      </c>
      <c r="R5467" s="8">
        <f>IF(Q5467&lt;&gt;0,Q5467+H5467+L5467,0)</f>
        <v/>
      </c>
      <c r="S5467" s="9">
        <f>VLOOKUP(OPERAC[[#This Row],[especie]],[1]!ESPECIES[#Data],9,FALSE)</f>
        <v/>
      </c>
    </row>
    <row r="5468">
      <c r="A5468" s="4" t="n">
        <v>22407</v>
      </c>
      <c r="B5468" s="5" t="n">
        <v>44616</v>
      </c>
      <c r="C5468" s="13" t="inlineStr">
        <is>
          <t>VTA</t>
        </is>
      </c>
      <c r="D5468" s="13" t="n">
        <v>32</v>
      </c>
      <c r="E5468" s="10">
        <f>IF(D5468&gt;0,VLOOKUP(OPERAC[[#This Row],[COD CART]],[1]!MatrizCortoLargoCyl[#All],3,0),"")</f>
        <v/>
      </c>
      <c r="F5468" s="13" t="inlineStr">
        <is>
          <t>HMY/CYL/4,00/18-03-22</t>
        </is>
      </c>
      <c r="G5468" s="6" t="n">
        <v>500</v>
      </c>
      <c r="H5468" s="6" t="n">
        <v>-1918.525</v>
      </c>
      <c r="I5468" s="7">
        <f>-H5468/G5468</f>
        <v/>
      </c>
      <c r="J5468" s="11" t="n">
        <v>44622</v>
      </c>
      <c r="K5468" s="6" t="n">
        <v>500</v>
      </c>
      <c r="L5468" s="6" t="n">
        <v>1969.75</v>
      </c>
      <c r="M5468" s="7">
        <f>IF(N5468=0,+L5468+H5468,0)</f>
        <v/>
      </c>
      <c r="N5468" s="7">
        <f>IF((+G5468-K5468)=0,0,+G5468-K5468)</f>
        <v/>
      </c>
      <c r="O5468" s="7">
        <f>IF(N5468=0,0,(L5468+H5468)/-N5468)</f>
        <v/>
      </c>
      <c r="P5468" s="7">
        <f>VLOOKUP(OPERAC[[#This Row],[especie]],[1]!ESPECIES[#All],6,0)</f>
        <v/>
      </c>
      <c r="Q5468" s="7">
        <f>IF(N5468&lt;&gt;0,P5468*N5468,0)</f>
        <v/>
      </c>
      <c r="R5468" s="8">
        <f>IF(Q5468&lt;&gt;0,Q5468+H5468+L5468,0)</f>
        <v/>
      </c>
      <c r="S5468" s="9">
        <f>VLOOKUP(OPERAC[[#This Row],[especie]],[1]!ESPECIES[#Data],9,FALSE)</f>
        <v/>
      </c>
    </row>
    <row r="5469">
      <c r="A5469" s="4" t="n">
        <v>12690</v>
      </c>
      <c r="B5469" s="5" t="n">
        <v>44552</v>
      </c>
      <c r="C5469" s="13" t="inlineStr">
        <is>
          <t>VTA</t>
        </is>
      </c>
      <c r="D5469" s="13" t="n">
        <v>32</v>
      </c>
      <c r="E5469" s="10">
        <f>IF(D5469&gt;0,VLOOKUP(OPERAC[[#This Row],[COD CART]],[1]!MatrizCortoLargoCyl[#All],3,0),"")</f>
        <v/>
      </c>
      <c r="F5469" s="13" t="inlineStr">
        <is>
          <t>TNK/CYL/10,00/18-02-22</t>
        </is>
      </c>
      <c r="G5469" s="6" t="n">
        <v>200</v>
      </c>
      <c r="H5469" s="6" t="n">
        <v>-1920.869</v>
      </c>
      <c r="I5469" s="7">
        <f>-H5469/G5469</f>
        <v/>
      </c>
      <c r="J5469" s="11" t="n">
        <v>44610</v>
      </c>
      <c r="K5469" s="6" t="n">
        <v>200</v>
      </c>
      <c r="L5469" s="6" t="n">
        <v>1984</v>
      </c>
      <c r="M5469" s="7">
        <f>IF(N5469=0,+L5469+H5469,0)</f>
        <v/>
      </c>
      <c r="N5469" s="7">
        <f>IF((+G5469-K5469)=0,0,+G5469-K5469)</f>
        <v/>
      </c>
      <c r="O5469" s="7">
        <f>IF(N5469=0,0,(L5469+H5469)/-N5469)</f>
        <v/>
      </c>
      <c r="P5469" s="7">
        <f>VLOOKUP(OPERAC[[#This Row],[especie]],[1]!ESPECIES[#All],6,0)</f>
        <v/>
      </c>
      <c r="Q5469" s="7">
        <f>IF(N5469&lt;&gt;0,P5469*N5469,0)</f>
        <v/>
      </c>
      <c r="R5469" s="8">
        <f>IF(Q5469&lt;&gt;0,Q5469+H5469+L5469,0)</f>
        <v/>
      </c>
      <c r="S5469" s="9">
        <f>VLOOKUP(OPERAC[[#This Row],[especie]],[1]!ESPECIES[#Data],9,FALSE)</f>
        <v/>
      </c>
    </row>
    <row r="5470">
      <c r="A5470" s="4" t="n">
        <v>22393</v>
      </c>
      <c r="B5470" s="5" t="n">
        <v>44705</v>
      </c>
      <c r="C5470" s="13" t="inlineStr">
        <is>
          <t>VTA</t>
        </is>
      </c>
      <c r="D5470" s="13" t="n">
        <v>41</v>
      </c>
      <c r="E5470" s="10">
        <f>IF(D5470&gt;0,VLOOKUP(OPERAC[[#This Row],[COD CART]],[1]!MatrizCortoLargoCyl[#All],3,0),"")</f>
        <v/>
      </c>
      <c r="F5470" s="13" t="inlineStr">
        <is>
          <t>CRESY</t>
        </is>
      </c>
      <c r="G5470" s="6" t="n">
        <v>285</v>
      </c>
      <c r="H5470" s="6" t="n">
        <v>-1921.91175</v>
      </c>
      <c r="I5470" s="7">
        <f>-H5470/G5470</f>
        <v/>
      </c>
      <c r="J5470" s="5" t="n"/>
      <c r="K5470" s="6" t="n"/>
      <c r="L5470" s="6" t="n"/>
      <c r="M5470" s="7">
        <f>IF(N5470=0,+L5470+H5470,0)</f>
        <v/>
      </c>
      <c r="N5470" s="7">
        <f>IF((+G5470-K5470)=0,0,+G5470-K5470)</f>
        <v/>
      </c>
      <c r="O5470" s="7">
        <f>IF(N5470=0,0,(L5470+H5470)/-N5470)</f>
        <v/>
      </c>
      <c r="P5470" s="7">
        <f>VLOOKUP(OPERAC[[#This Row],[especie]],[1]!ESPECIES[#All],6,0)</f>
        <v/>
      </c>
      <c r="Q5470" s="7">
        <f>IF(N5470&lt;&gt;0,P5470*N5470,0)</f>
        <v/>
      </c>
      <c r="R5470" s="8">
        <f>IF(Q5470&lt;&gt;0,Q5470+H5470+L5470,0)</f>
        <v/>
      </c>
      <c r="S5470" s="9">
        <f>VLOOKUP(OPERAC[[#This Row],[especie]],[1]!ESPECIES[#Data],9,FALSE)</f>
        <v/>
      </c>
    </row>
    <row r="5471">
      <c r="A5471" s="4" t="n">
        <v>12690</v>
      </c>
      <c r="B5471" s="5" t="n">
        <v>44677</v>
      </c>
      <c r="C5471" s="13" t="inlineStr">
        <is>
          <t>VTA</t>
        </is>
      </c>
      <c r="D5471" s="13" t="n">
        <v>32</v>
      </c>
      <c r="E5471" s="10">
        <f>IF(D5471&gt;0,VLOOKUP(OPERAC[[#This Row],[COD CART]],[1]!MatrizCortoLargoCyl[#All],3,0),"")</f>
        <v/>
      </c>
      <c r="F5471" s="13" t="inlineStr">
        <is>
          <t>HMY</t>
        </is>
      </c>
      <c r="G5471" s="6" t="n">
        <v>500</v>
      </c>
      <c r="H5471" s="6">
        <f>-3.849*OPERAC[[#This Row],[cantidad]]</f>
        <v/>
      </c>
      <c r="I5471" s="7">
        <f>-H5471/G5471</f>
        <v/>
      </c>
      <c r="J5471" s="11" t="n"/>
      <c r="K5471" s="6" t="n"/>
      <c r="L5471" s="6" t="n"/>
      <c r="M5471" s="7">
        <f>IF(N5471=0,+L5471+H5471,0)</f>
        <v/>
      </c>
      <c r="N5471" s="7">
        <f>IF((+G5471-K5471)=0,0,+G5471-K5471)</f>
        <v/>
      </c>
      <c r="O5471" s="7">
        <f>IF(N5471=0,0,(L5471+H5471)/-N5471)</f>
        <v/>
      </c>
      <c r="P5471" s="7">
        <f>VLOOKUP(OPERAC[[#This Row],[especie]],[1]!ESPECIES[#All],6,0)</f>
        <v/>
      </c>
      <c r="Q5471" s="7">
        <f>IF(N5471&lt;&gt;0,P5471*N5471,0)</f>
        <v/>
      </c>
      <c r="R5471" s="8">
        <f>IF(Q5471&lt;&gt;0,Q5471+H5471+L5471,0)</f>
        <v/>
      </c>
      <c r="S5471" s="9">
        <f>VLOOKUP(OPERAC[[#This Row],[especie]],[1]!ESPECIES[#Data],9,FALSE)</f>
        <v/>
      </c>
    </row>
    <row r="5472">
      <c r="A5472" s="4" t="n">
        <v>19867</v>
      </c>
      <c r="B5472" s="5" t="n">
        <v>44677</v>
      </c>
      <c r="C5472" s="13" t="inlineStr">
        <is>
          <t>VTA</t>
        </is>
      </c>
      <c r="D5472" s="13" t="n">
        <v>32</v>
      </c>
      <c r="E5472" s="10">
        <f>IF(D5472&gt;0,VLOOKUP(OPERAC[[#This Row],[COD CART]],[1]!MatrizCortoLargoCyl[#All],3,0),"")</f>
        <v/>
      </c>
      <c r="F5472" s="13" t="inlineStr">
        <is>
          <t>HMY</t>
        </is>
      </c>
      <c r="G5472" s="6" t="n">
        <v>500</v>
      </c>
      <c r="H5472" s="6">
        <f>-3.849*OPERAC[[#This Row],[cantidad]]</f>
        <v/>
      </c>
      <c r="I5472" s="7">
        <f>-H5472/G5472</f>
        <v/>
      </c>
      <c r="J5472" s="11" t="n"/>
      <c r="K5472" s="6" t="n"/>
      <c r="L5472" s="6" t="n"/>
      <c r="M5472" s="7">
        <f>IF(N5472=0,+L5472+H5472,0)</f>
        <v/>
      </c>
      <c r="N5472" s="7">
        <f>IF((+G5472-K5472)=0,0,+G5472-K5472)</f>
        <v/>
      </c>
      <c r="O5472" s="7">
        <f>IF(N5472=0,0,(L5472+H5472)/-N5472)</f>
        <v/>
      </c>
      <c r="P5472" s="7">
        <f>VLOOKUP(OPERAC[[#This Row],[especie]],[1]!ESPECIES[#All],6,0)</f>
        <v/>
      </c>
      <c r="Q5472" s="7">
        <f>IF(N5472&lt;&gt;0,P5472*N5472,0)</f>
        <v/>
      </c>
      <c r="R5472" s="8">
        <f>IF(Q5472&lt;&gt;0,Q5472+H5472+L5472,0)</f>
        <v/>
      </c>
      <c r="S5472" s="9">
        <f>VLOOKUP(OPERAC[[#This Row],[especie]],[1]!ESPECIES[#Data],9,FALSE)</f>
        <v/>
      </c>
    </row>
    <row r="5473">
      <c r="A5473" s="4" t="n">
        <v>6578</v>
      </c>
      <c r="B5473" s="5" t="n">
        <v>44713</v>
      </c>
      <c r="C5473" s="13" t="inlineStr">
        <is>
          <t>VTA</t>
        </is>
      </c>
      <c r="D5473" s="13" t="n">
        <v>42</v>
      </c>
      <c r="E5473" s="10">
        <f>IF(D5473&gt;0,VLOOKUP(OPERAC[[#This Row],[COD CART]],[1]!MatrizCortoLargoCyl[#All],3,0),"")</f>
        <v/>
      </c>
      <c r="F5473" s="13" t="inlineStr">
        <is>
          <t>UPST</t>
        </is>
      </c>
      <c r="G5473" s="6" t="n">
        <v>40</v>
      </c>
      <c r="H5473" s="6" t="n">
        <v>-1925.8728</v>
      </c>
      <c r="I5473" s="7">
        <f>-H5473/G5473</f>
        <v/>
      </c>
      <c r="J5473" s="5" t="n">
        <v>44714</v>
      </c>
      <c r="K5473" s="6">
        <f>+OPERAC[[#This Row],[cantidad]]</f>
        <v/>
      </c>
      <c r="L5473" s="6">
        <f>+OPERAC[[#This Row],[cantidad venta]]*49.312</f>
        <v/>
      </c>
      <c r="M5473" s="7">
        <f>IF(N5473=0,+L5473+H5473,0)</f>
        <v/>
      </c>
      <c r="N5473" s="7">
        <f>IF((+G5473-K5473)=0,0,+G5473-K5473)</f>
        <v/>
      </c>
      <c r="O5473" s="7">
        <f>IF(N5473=0,0,(L5473+H5473)/-N5473)</f>
        <v/>
      </c>
      <c r="P5473" s="7">
        <f>VLOOKUP(OPERAC[[#This Row],[especie]],[1]!ESPECIES[#All],6,0)</f>
        <v/>
      </c>
      <c r="Q5473" s="7">
        <f>IF(N5473&lt;&gt;0,P5473*N5473,0)</f>
        <v/>
      </c>
      <c r="R5473" s="8">
        <f>IF(Q5473&lt;&gt;0,Q5473+H5473+L5473,0)</f>
        <v/>
      </c>
      <c r="S5473" s="9">
        <f>VLOOKUP(OPERAC[[#This Row],[especie]],[1]!ESPECIES[#Data],9,FALSE)</f>
        <v/>
      </c>
    </row>
    <row r="5474">
      <c r="A5474" s="4" t="n">
        <v>13246</v>
      </c>
      <c r="B5474" s="5" t="n">
        <v>44581</v>
      </c>
      <c r="C5474" s="13" t="inlineStr">
        <is>
          <t>VTA</t>
        </is>
      </c>
      <c r="D5474" s="13" t="n">
        <v>32</v>
      </c>
      <c r="E5474" s="10">
        <f>IF(D5474&gt;0,VLOOKUP(OPERAC[[#This Row],[COD CART]],[1]!MatrizCortoLargoCyl[#All],3,0),"")</f>
        <v/>
      </c>
      <c r="F5474" s="13" t="inlineStr">
        <is>
          <t>HMY/CYL/4,00/18-02-22</t>
        </is>
      </c>
      <c r="G5474" s="6" t="n">
        <v>500</v>
      </c>
      <c r="H5474" s="6" t="n">
        <v>-1937.33998</v>
      </c>
      <c r="I5474" s="7">
        <f>-H5474/G5474</f>
        <v/>
      </c>
      <c r="J5474" s="11" t="n">
        <v>44610</v>
      </c>
      <c r="K5474" s="6">
        <f>+OPERAC[[#This Row],[cantidad]]</f>
        <v/>
      </c>
      <c r="L5474" s="6">
        <f>+OPERAC[[#This Row],[cantidad venta]]*3.8323</f>
        <v/>
      </c>
      <c r="M5474" s="7">
        <f>IF(N5474=0,+L5474+H5474,0)</f>
        <v/>
      </c>
      <c r="N5474" s="7">
        <f>IF((+G5474-K5474)=0,0,+G5474-K5474)</f>
        <v/>
      </c>
      <c r="O5474" s="7">
        <f>IF(N5474=0,0,(L5474+H5474)/-N5474)</f>
        <v/>
      </c>
      <c r="P5474" s="7">
        <f>VLOOKUP(OPERAC[[#This Row],[especie]],[1]!ESPECIES[#All],6,0)</f>
        <v/>
      </c>
      <c r="Q5474" s="7">
        <f>IF(N5474&lt;&gt;0,P5474*N5474,0)</f>
        <v/>
      </c>
      <c r="R5474" s="8">
        <f>IF(Q5474&lt;&gt;0,Q5474+H5474+L5474,0)</f>
        <v/>
      </c>
      <c r="S5474" s="9">
        <f>VLOOKUP(OPERAC[[#This Row],[especie]],[1]!ESPECIES[#Data],9,FALSE)</f>
        <v/>
      </c>
    </row>
    <row r="5475">
      <c r="A5475" s="4" t="n">
        <v>3728</v>
      </c>
      <c r="B5475" s="5" t="n">
        <v>44642</v>
      </c>
      <c r="C5475" s="13" t="inlineStr">
        <is>
          <t>VTA</t>
        </is>
      </c>
      <c r="D5475" s="13" t="n">
        <v>42</v>
      </c>
      <c r="E5475" s="10">
        <f>IF(D5475&gt;0,VLOOKUP(OPERAC[[#This Row],[COD CART]],[1]!MatrizCortoLargoCyl[#All],3,0),"")</f>
        <v/>
      </c>
      <c r="F5475" s="13" t="inlineStr">
        <is>
          <t>HYDR</t>
        </is>
      </c>
      <c r="G5475" s="6" t="n">
        <v>100</v>
      </c>
      <c r="H5475" s="6">
        <f>-19.39*OPERAC[[#This Row],[cantidad]]</f>
        <v/>
      </c>
      <c r="I5475" s="7">
        <f>-H5475/G5475</f>
        <v/>
      </c>
      <c r="J5475" s="11" t="n">
        <v>44692</v>
      </c>
      <c r="K5475" s="6" t="n">
        <v>100</v>
      </c>
      <c r="L5475" s="6" t="n">
        <v>1240.758</v>
      </c>
      <c r="M5475" s="7">
        <f>IF(N5475=0,+L5475+H5475,0)</f>
        <v/>
      </c>
      <c r="N5475" s="7">
        <f>IF((+G5475-K5475)=0,0,+G5475-K5475)</f>
        <v/>
      </c>
      <c r="O5475" s="7">
        <f>IF(N5475=0,0,(L5475+H5475)/-N5475)</f>
        <v/>
      </c>
      <c r="P5475" s="7">
        <f>VLOOKUP(OPERAC[[#This Row],[especie]],[1]!ESPECIES[#All],6,0)</f>
        <v/>
      </c>
      <c r="Q5475" s="7">
        <f>IF(N5475&lt;&gt;0,P5475*N5475,0)</f>
        <v/>
      </c>
      <c r="R5475" s="8">
        <f>IF(Q5475&lt;&gt;0,Q5475+H5475+L5475,0)</f>
        <v/>
      </c>
      <c r="S5475" s="9">
        <f>VLOOKUP(OPERAC[[#This Row],[especie]],[1]!ESPECIES[#Data],9,FALSE)</f>
        <v/>
      </c>
    </row>
    <row r="5476">
      <c r="A5476" s="4" t="n">
        <v>13253</v>
      </c>
      <c r="B5476" s="5" t="n">
        <v>44725</v>
      </c>
      <c r="C5476" s="13" t="inlineStr">
        <is>
          <t>VTA</t>
        </is>
      </c>
      <c r="D5476" s="13" t="n">
        <v>41</v>
      </c>
      <c r="E5476" s="10">
        <f>IF(D5476&gt;0,VLOOKUP(OPERAC[[#This Row],[COD CART]],[1]!MatrizCortoLargoCyl[#All],3,0),"")</f>
        <v/>
      </c>
      <c r="F5476" s="13" t="inlineStr">
        <is>
          <t>INTC</t>
        </is>
      </c>
      <c r="G5476" s="6" t="n">
        <v>50</v>
      </c>
      <c r="H5476" s="6" t="n">
        <v>-1940.7574</v>
      </c>
      <c r="I5476" s="7">
        <f>-H5476/G5476</f>
        <v/>
      </c>
      <c r="J5476" s="5" t="n"/>
      <c r="K5476" s="6" t="n"/>
      <c r="L5476" s="6" t="n"/>
      <c r="M5476" s="7">
        <f>IF(N5476=0,+L5476+H5476,0)</f>
        <v/>
      </c>
      <c r="N5476" s="7">
        <f>IF((+G5476-K5476)=0,0,+G5476-K5476)</f>
        <v/>
      </c>
      <c r="O5476" s="7">
        <f>IF(N5476=0,0,(L5476+H5476)/-N5476)</f>
        <v/>
      </c>
      <c r="P5476" s="7">
        <f>VLOOKUP(OPERAC[[#This Row],[especie]],[1]!ESPECIES[#All],6,0)</f>
        <v/>
      </c>
      <c r="Q5476" s="7">
        <f>IF(N5476&lt;&gt;0,P5476*N5476,0)</f>
        <v/>
      </c>
      <c r="R5476" s="8">
        <f>IF(Q5476&lt;&gt;0,Q5476+H5476+L5476,0)</f>
        <v/>
      </c>
      <c r="S5476" s="9">
        <f>VLOOKUP(OPERAC[[#This Row],[especie]],[1]!ESPECIES[#Data],9,FALSE)</f>
        <v/>
      </c>
    </row>
    <row r="5477">
      <c r="A5477" s="4" t="n">
        <v>16783</v>
      </c>
      <c r="B5477" s="5" t="n">
        <v>43891</v>
      </c>
      <c r="C5477" s="13" t="inlineStr">
        <is>
          <t>VTA</t>
        </is>
      </c>
      <c r="D5477" s="13" t="n">
        <v>31</v>
      </c>
      <c r="E5477" s="10">
        <f>IF(D5477&gt;0,VLOOKUP(OPERAC[[#This Row],[COD CART]],[1]!MatrizCortoLargoCyl[#All],3,0),"")</f>
        <v/>
      </c>
      <c r="F5477" s="13" t="inlineStr">
        <is>
          <t>SUPV</t>
        </is>
      </c>
      <c r="G5477" s="6" t="n">
        <v>1000</v>
      </c>
      <c r="H5477" s="6" t="n">
        <v>-1942.72</v>
      </c>
      <c r="I5477" s="7" t="n">
        <v>1.94272</v>
      </c>
      <c r="J5477" s="5" t="n"/>
      <c r="K5477" s="6" t="n"/>
      <c r="L5477" s="6" t="n"/>
      <c r="M5477" s="7">
        <f>IF(N5477=0,+L5477+H5477,0)</f>
        <v/>
      </c>
      <c r="N5477" s="7">
        <f>IF((+G5477-K5477)=0,0,+G5477-K5477)</f>
        <v/>
      </c>
      <c r="O5477" s="7">
        <f>IF(N5477=0,0,(L5477+H5477)/-N5477)</f>
        <v/>
      </c>
      <c r="P5477" s="7">
        <f>VLOOKUP(OPERAC[[#This Row],[especie]],[1]!ESPECIES[#All],6,0)</f>
        <v/>
      </c>
      <c r="Q5477" s="7">
        <f>IF(N5477&lt;&gt;0,P5477*N5477,0)</f>
        <v/>
      </c>
      <c r="R5477" s="8">
        <f>IF(Q5477&lt;&gt;0,Q5477+H5477+L5477,0)</f>
        <v/>
      </c>
      <c r="S5477" s="9">
        <f>VLOOKUP(OPERAC[[#This Row],[especie]],[1]!ESPECIES[#Data],9,FALSE)</f>
        <v/>
      </c>
    </row>
    <row r="5478">
      <c r="A5478" s="4" t="n">
        <v>13240</v>
      </c>
      <c r="B5478" s="5" t="n">
        <v>44515</v>
      </c>
      <c r="C5478" s="13" t="inlineStr">
        <is>
          <t>VTA</t>
        </is>
      </c>
      <c r="D5478" s="13" t="n">
        <v>38</v>
      </c>
      <c r="E5478" s="10">
        <f>IF(D5478&gt;0,VLOOKUP(OPERAC[[#This Row],[COD CART]],[1]!MatrizCortoLargoCyl[#All],3,0),"")</f>
        <v/>
      </c>
      <c r="F5478" s="13" t="inlineStr">
        <is>
          <t>FNV</t>
        </is>
      </c>
      <c r="G5478" s="6" t="n">
        <v>13</v>
      </c>
      <c r="H5478" s="6" t="n">
        <v>-1944.3232</v>
      </c>
      <c r="I5478" s="7">
        <f>-H5478/G5478</f>
        <v/>
      </c>
      <c r="J5478" s="11" t="n"/>
      <c r="K5478" s="6" t="n"/>
      <c r="L5478" s="6" t="n"/>
      <c r="M5478" s="7">
        <f>IF(N5478=0,+L5478+H5478,0)</f>
        <v/>
      </c>
      <c r="N5478" s="7">
        <f>IF((+G5478-K5478)=0,0,+G5478-K5478)</f>
        <v/>
      </c>
      <c r="O5478" s="7">
        <f>IF(N5478=0,0,(L5478+H5478)/-N5478)</f>
        <v/>
      </c>
      <c r="P5478" s="7">
        <f>VLOOKUP(OPERAC[[#This Row],[especie]],[1]!ESPECIES[#All],6,0)</f>
        <v/>
      </c>
      <c r="Q5478" s="7">
        <f>IF(N5478&lt;&gt;0,P5478*N5478,0)</f>
        <v/>
      </c>
      <c r="R5478" s="8">
        <f>IF(Q5478&lt;&gt;0,Q5478+H5478+L5478,0)</f>
        <v/>
      </c>
      <c r="S5478" s="9">
        <f>VLOOKUP(OPERAC[[#This Row],[especie]],[1]!ESPECIES[#Data],9,FALSE)</f>
        <v/>
      </c>
    </row>
    <row r="5479">
      <c r="A5479" s="4" t="n">
        <v>13240</v>
      </c>
      <c r="B5479" s="5" t="n">
        <v>44641</v>
      </c>
      <c r="C5479" s="13" t="inlineStr">
        <is>
          <t>VTA</t>
        </is>
      </c>
      <c r="D5479" s="13" t="n">
        <v>42</v>
      </c>
      <c r="E5479" s="10">
        <f>IF(D5479&gt;0,VLOOKUP(OPERAC[[#This Row],[COD CART]],[1]!MatrizCortoLargoCyl[#All],3,0),"")</f>
        <v/>
      </c>
      <c r="F5479" s="13" t="inlineStr">
        <is>
          <t>DIS</t>
        </is>
      </c>
      <c r="G5479" s="6" t="n">
        <v>14</v>
      </c>
      <c r="H5479" s="6" t="n">
        <v>-1949.7968</v>
      </c>
      <c r="I5479" s="7">
        <f>-H5479/G5479</f>
        <v/>
      </c>
      <c r="J5479" s="11" t="n">
        <v>44671</v>
      </c>
      <c r="K5479" s="6">
        <f>+OPERAC[[#This Row],[cantidad]]</f>
        <v/>
      </c>
      <c r="L5479" s="6">
        <f>+OPERAC[[#This Row],[cantidad venta]]*123.621</f>
        <v/>
      </c>
      <c r="M5479" s="7">
        <f>IF(N5479=0,+L5479+H5479,0)</f>
        <v/>
      </c>
      <c r="N5479" s="7">
        <f>IF((+G5479-K5479)=0,0,+G5479-K5479)</f>
        <v/>
      </c>
      <c r="O5479" s="7">
        <f>IF(N5479=0,0,(L5479+H5479)/-N5479)</f>
        <v/>
      </c>
      <c r="P5479" s="7">
        <f>VLOOKUP(OPERAC[[#This Row],[especie]],[1]!ESPECIES[#All],6,0)</f>
        <v/>
      </c>
      <c r="Q5479" s="7">
        <f>IF(N5479&lt;&gt;0,P5479*N5479,0)</f>
        <v/>
      </c>
      <c r="R5479" s="8">
        <f>IF(Q5479&lt;&gt;0,Q5479+H5479+L5479,0)</f>
        <v/>
      </c>
      <c r="S5479" s="9">
        <f>VLOOKUP(OPERAC[[#This Row],[especie]],[1]!ESPECIES[#Data],9,FALSE)</f>
        <v/>
      </c>
    </row>
    <row r="5480">
      <c r="A5480" s="4" t="n">
        <v>13240</v>
      </c>
      <c r="B5480" s="5" t="n">
        <v>44515</v>
      </c>
      <c r="C5480" s="13" t="inlineStr">
        <is>
          <t>VTA</t>
        </is>
      </c>
      <c r="D5480" s="13" t="n">
        <v>38</v>
      </c>
      <c r="E5480" s="10">
        <f>IF(D5480&gt;0,VLOOKUP(OPERAC[[#This Row],[COD CART]],[1]!MatrizCortoLargoCyl[#All],3,0),"")</f>
        <v/>
      </c>
      <c r="F5480" s="13" t="inlineStr">
        <is>
          <t>MPW</t>
        </is>
      </c>
      <c r="G5480" s="6" t="n">
        <v>90</v>
      </c>
      <c r="H5480" s="6" t="n">
        <v>-1950.1192</v>
      </c>
      <c r="I5480" s="7">
        <f>-H5480/G5480</f>
        <v/>
      </c>
      <c r="J5480" s="11" t="n"/>
      <c r="K5480" s="6" t="n"/>
      <c r="L5480" s="6" t="n"/>
      <c r="M5480" s="7">
        <f>IF(N5480=0,+L5480+H5480,0)</f>
        <v/>
      </c>
      <c r="N5480" s="7">
        <f>IF((+G5480-K5480)=0,0,+G5480-K5480)</f>
        <v/>
      </c>
      <c r="O5480" s="7">
        <f>IF(N5480=0,0,(L5480+H5480)/-N5480)</f>
        <v/>
      </c>
      <c r="P5480" s="7">
        <f>VLOOKUP(OPERAC[[#This Row],[especie]],[1]!ESPECIES[#All],6,0)</f>
        <v/>
      </c>
      <c r="Q5480" s="7">
        <f>IF(N5480&lt;&gt;0,P5480*N5480,0)</f>
        <v/>
      </c>
      <c r="R5480" s="8">
        <f>IF(Q5480&lt;&gt;0,Q5480+H5480+L5480,0)</f>
        <v/>
      </c>
      <c r="S5480" s="9">
        <f>VLOOKUP(OPERAC[[#This Row],[especie]],[1]!ESPECIES[#Data],9,FALSE)</f>
        <v/>
      </c>
    </row>
    <row r="5481">
      <c r="A5481" s="4" t="n">
        <v>12674</v>
      </c>
      <c r="B5481" s="5" t="n">
        <v>44501</v>
      </c>
      <c r="C5481" s="13" t="inlineStr">
        <is>
          <t>VTA</t>
        </is>
      </c>
      <c r="D5481" s="13" t="n">
        <v>32</v>
      </c>
      <c r="E5481" s="10">
        <f>IF(D5481&gt;0,VLOOKUP(OPERAC[[#This Row],[COD CART]],[1]!MatrizCortoLargoCyl[#All],3,0),"")</f>
        <v/>
      </c>
      <c r="F5481" s="13" t="inlineStr">
        <is>
          <t>SKLZ/CYL/10,00/21-01-22</t>
        </is>
      </c>
      <c r="G5481" s="6" t="n">
        <v>200</v>
      </c>
      <c r="H5481" s="6">
        <f>-2029.614+78.015</f>
        <v/>
      </c>
      <c r="I5481" s="7">
        <f>-H5481/G5481</f>
        <v/>
      </c>
      <c r="J5481" s="11" t="n">
        <v>44579</v>
      </c>
      <c r="K5481" s="6">
        <f>+OPERAC[[#This Row],[cantidad]]</f>
        <v/>
      </c>
      <c r="L5481" s="6">
        <f>+OPERAC[[#This Row],[cantidad venta]]*5.679</f>
        <v/>
      </c>
      <c r="M5481" s="7">
        <f>IF(N5481=0,+L5481+H5481,0)</f>
        <v/>
      </c>
      <c r="N5481" s="7">
        <f>IF((+G5481-K5481)=0,0,+G5481-K5481)</f>
        <v/>
      </c>
      <c r="O5481" s="7">
        <f>IF(N5481=0,0,(L5481+H5481)/-N5481)</f>
        <v/>
      </c>
      <c r="P5481" s="7">
        <f>VLOOKUP(OPERAC[[#This Row],[especie]],[1]!ESPECIES[#All],6,0)</f>
        <v/>
      </c>
      <c r="Q5481" s="7">
        <f>IF(N5481&lt;&gt;0,P5481*N5481,0)</f>
        <v/>
      </c>
      <c r="R5481" s="8">
        <f>IF(Q5481&lt;&gt;0,Q5481+H5481+L5481,0)</f>
        <v/>
      </c>
      <c r="S5481" s="9">
        <f>VLOOKUP(OPERAC[[#This Row],[especie]],[1]!ESPECIES[#Data],9,FALSE)</f>
        <v/>
      </c>
    </row>
    <row r="5482">
      <c r="A5482" s="4" t="n">
        <v>13185</v>
      </c>
      <c r="B5482" s="5" t="n">
        <v>44501</v>
      </c>
      <c r="C5482" s="13" t="inlineStr">
        <is>
          <t>VTA</t>
        </is>
      </c>
      <c r="D5482" s="13" t="n">
        <v>32</v>
      </c>
      <c r="E5482" s="10">
        <f>IF(D5482&gt;0,VLOOKUP(OPERAC[[#This Row],[COD CART]],[1]!MatrizCortoLargoCyl[#All],3,0),"")</f>
        <v/>
      </c>
      <c r="F5482" s="13" t="inlineStr">
        <is>
          <t>SKLZ/CYL/10,00/21-01-22</t>
        </is>
      </c>
      <c r="G5482" s="6" t="n">
        <v>200</v>
      </c>
      <c r="H5482" s="6">
        <f>-2029.614+78.015</f>
        <v/>
      </c>
      <c r="I5482" s="7">
        <f>-H5482/G5482</f>
        <v/>
      </c>
      <c r="J5482" s="11" t="n">
        <v>44579</v>
      </c>
      <c r="K5482" s="6">
        <f>+OPERAC[[#This Row],[cantidad]]</f>
        <v/>
      </c>
      <c r="L5482" s="6">
        <f>+OPERAC[[#This Row],[cantidad venta]]*5.679</f>
        <v/>
      </c>
      <c r="M5482" s="7">
        <f>IF(N5482=0,+L5482+H5482,0)</f>
        <v/>
      </c>
      <c r="N5482" s="7">
        <f>IF((+G5482-K5482)=0,0,+G5482-K5482)</f>
        <v/>
      </c>
      <c r="O5482" s="7">
        <f>IF(N5482=0,0,(L5482+H5482)/-N5482)</f>
        <v/>
      </c>
      <c r="P5482" s="7">
        <f>VLOOKUP(OPERAC[[#This Row],[especie]],[1]!ESPECIES[#All],6,0)</f>
        <v/>
      </c>
      <c r="Q5482" s="7">
        <f>IF(N5482&lt;&gt;0,P5482*N5482,0)</f>
        <v/>
      </c>
      <c r="R5482" s="8">
        <f>IF(Q5482&lt;&gt;0,Q5482+H5482+L5482,0)</f>
        <v/>
      </c>
      <c r="S5482" s="9">
        <f>VLOOKUP(OPERAC[[#This Row],[especie]],[1]!ESPECIES[#Data],9,FALSE)</f>
        <v/>
      </c>
    </row>
    <row r="5483">
      <c r="A5483" s="4" t="n">
        <v>1760</v>
      </c>
      <c r="B5483" s="5" t="n">
        <v>44582</v>
      </c>
      <c r="C5483" s="13" t="inlineStr">
        <is>
          <t>VTA</t>
        </is>
      </c>
      <c r="D5483" s="13" t="n">
        <v>40</v>
      </c>
      <c r="E5483" s="10">
        <f>IF(D5483&gt;0,VLOOKUP(OPERAC[[#This Row],[COD CART]],[1]!MatrizCortoLargoCyl[#All],3,0),"")</f>
        <v/>
      </c>
      <c r="F5483" s="13" t="inlineStr">
        <is>
          <t>NFLX</t>
        </is>
      </c>
      <c r="G5483" s="6" t="n">
        <v>5</v>
      </c>
      <c r="H5483" s="6" t="n">
        <v>-1953.1855</v>
      </c>
      <c r="I5483" s="7">
        <f>-H5483/G5483</f>
        <v/>
      </c>
      <c r="J5483" s="11" t="n">
        <v>44593</v>
      </c>
      <c r="K5483" s="6">
        <f>+OPERAC[[#This Row],[cantidad]]</f>
        <v/>
      </c>
      <c r="L5483" s="6">
        <f>+OPERAC[[#This Row],[cantidad venta]]*448.602</f>
        <v/>
      </c>
      <c r="M5483" s="7">
        <f>IF(N5483=0,+L5483+H5483,0)</f>
        <v/>
      </c>
      <c r="N5483" s="7">
        <f>IF((+G5483-K5483)=0,0,+G5483-K5483)</f>
        <v/>
      </c>
      <c r="O5483" s="7">
        <f>IF(N5483=0,0,(L5483+H5483)/-N5483)</f>
        <v/>
      </c>
      <c r="P5483" s="7">
        <f>VLOOKUP(OPERAC[[#This Row],[especie]],[1]!ESPECIES[#All],6,0)</f>
        <v/>
      </c>
      <c r="Q5483" s="7">
        <f>IF(N5483&lt;&gt;0,P5483*N5483,0)</f>
        <v/>
      </c>
      <c r="R5483" s="8">
        <f>IF(Q5483&lt;&gt;0,Q5483+H5483+L5483,0)</f>
        <v/>
      </c>
      <c r="S5483" s="9">
        <f>VLOOKUP(OPERAC[[#This Row],[especie]],[1]!ESPECIES[#Data],9,FALSE)</f>
        <v/>
      </c>
    </row>
    <row r="5484">
      <c r="A5484" s="4" t="n">
        <v>2194</v>
      </c>
      <c r="B5484" s="5" t="n">
        <v>44582</v>
      </c>
      <c r="C5484" s="13" t="inlineStr">
        <is>
          <t>VTA</t>
        </is>
      </c>
      <c r="D5484" s="13" t="n">
        <v>40</v>
      </c>
      <c r="E5484" s="10">
        <f>IF(D5484&gt;0,VLOOKUP(OPERAC[[#This Row],[COD CART]],[1]!MatrizCortoLargoCyl[#All],3,0),"")</f>
        <v/>
      </c>
      <c r="F5484" s="13" t="inlineStr">
        <is>
          <t>NFLX</t>
        </is>
      </c>
      <c r="G5484" s="6" t="n">
        <v>5</v>
      </c>
      <c r="H5484" s="6" t="n">
        <v>-1953.1855</v>
      </c>
      <c r="I5484" s="7">
        <f>-H5484/G5484</f>
        <v/>
      </c>
      <c r="J5484" s="11" t="n">
        <v>44593</v>
      </c>
      <c r="K5484" s="6">
        <f>+OPERAC[[#This Row],[cantidad]]</f>
        <v/>
      </c>
      <c r="L5484" s="6">
        <f>+OPERAC[[#This Row],[cantidad venta]]*448.602</f>
        <v/>
      </c>
      <c r="M5484" s="7">
        <f>IF(N5484=0,+L5484+H5484,0)</f>
        <v/>
      </c>
      <c r="N5484" s="7">
        <f>IF((+G5484-K5484)=0,0,+G5484-K5484)</f>
        <v/>
      </c>
      <c r="O5484" s="7">
        <f>IF(N5484=0,0,(L5484+H5484)/-N5484)</f>
        <v/>
      </c>
      <c r="P5484" s="7">
        <f>VLOOKUP(OPERAC[[#This Row],[especie]],[1]!ESPECIES[#All],6,0)</f>
        <v/>
      </c>
      <c r="Q5484" s="7">
        <f>IF(N5484&lt;&gt;0,P5484*N5484,0)</f>
        <v/>
      </c>
      <c r="R5484" s="8">
        <f>IF(Q5484&lt;&gt;0,Q5484+H5484+L5484,0)</f>
        <v/>
      </c>
      <c r="S5484" s="9">
        <f>VLOOKUP(OPERAC[[#This Row],[especie]],[1]!ESPECIES[#Data],9,FALSE)</f>
        <v/>
      </c>
    </row>
    <row r="5485">
      <c r="A5485" s="4" t="n">
        <v>12674</v>
      </c>
      <c r="B5485" s="5" t="n">
        <v>44582</v>
      </c>
      <c r="C5485" s="13" t="inlineStr">
        <is>
          <t>VTA</t>
        </is>
      </c>
      <c r="D5485" s="13" t="n">
        <v>40</v>
      </c>
      <c r="E5485" s="10">
        <f>IF(D5485&gt;0,VLOOKUP(OPERAC[[#This Row],[COD CART]],[1]!MatrizCortoLargoCyl[#All],3,0),"")</f>
        <v/>
      </c>
      <c r="F5485" s="13" t="inlineStr">
        <is>
          <t>NFLX</t>
        </is>
      </c>
      <c r="G5485" s="6" t="n">
        <v>5</v>
      </c>
      <c r="H5485" s="6" t="n">
        <v>-1953.1855</v>
      </c>
      <c r="I5485" s="7">
        <f>-H5485/G5485</f>
        <v/>
      </c>
      <c r="J5485" s="11" t="n">
        <v>44592</v>
      </c>
      <c r="K5485" s="6" t="n">
        <v>5</v>
      </c>
      <c r="L5485" s="6" t="n">
        <v>2061.011</v>
      </c>
      <c r="M5485" s="7">
        <f>IF(N5485=0,+L5485+H5485,0)</f>
        <v/>
      </c>
      <c r="N5485" s="7">
        <f>IF((+G5485-K5485)=0,0,+G5485-K5485)</f>
        <v/>
      </c>
      <c r="O5485" s="7">
        <f>IF(N5485=0,0,(L5485+H5485)/-N5485)</f>
        <v/>
      </c>
      <c r="P5485" s="7">
        <f>VLOOKUP(OPERAC[[#This Row],[especie]],[1]!ESPECIES[#All],6,0)</f>
        <v/>
      </c>
      <c r="Q5485" s="7">
        <f>IF(N5485&lt;&gt;0,P5485*N5485,0)</f>
        <v/>
      </c>
      <c r="R5485" s="8">
        <f>IF(Q5485&lt;&gt;0,Q5485+H5485+L5485,0)</f>
        <v/>
      </c>
      <c r="S5485" s="9">
        <f>VLOOKUP(OPERAC[[#This Row],[especie]],[1]!ESPECIES[#Data],9,FALSE)</f>
        <v/>
      </c>
    </row>
    <row r="5486">
      <c r="A5486" s="4" t="n">
        <v>13240</v>
      </c>
      <c r="B5486" s="5" t="n">
        <v>44582</v>
      </c>
      <c r="C5486" s="13" t="inlineStr">
        <is>
          <t>VTA</t>
        </is>
      </c>
      <c r="D5486" s="13" t="n">
        <v>40</v>
      </c>
      <c r="E5486" s="10">
        <f>IF(D5486&gt;0,VLOOKUP(OPERAC[[#This Row],[COD CART]],[1]!MatrizCortoLargoCyl[#All],3,0),"")</f>
        <v/>
      </c>
      <c r="F5486" s="13" t="inlineStr">
        <is>
          <t>NFLX</t>
        </is>
      </c>
      <c r="G5486" s="6" t="n">
        <v>5</v>
      </c>
      <c r="H5486" s="6" t="n">
        <v>-1953.1855</v>
      </c>
      <c r="I5486" s="7">
        <f>-H5486/G5486</f>
        <v/>
      </c>
      <c r="J5486" s="11" t="n">
        <v>44593</v>
      </c>
      <c r="K5486" s="6">
        <f>+OPERAC[[#This Row],[cantidad]]</f>
        <v/>
      </c>
      <c r="L5486" s="6">
        <f>+OPERAC[[#This Row],[cantidad venta]]*448.602</f>
        <v/>
      </c>
      <c r="M5486" s="7">
        <f>IF(N5486=0,+L5486+H5486,0)</f>
        <v/>
      </c>
      <c r="N5486" s="7">
        <f>IF((+G5486-K5486)=0,0,+G5486-K5486)</f>
        <v/>
      </c>
      <c r="O5486" s="7">
        <f>IF(N5486=0,0,(L5486+H5486)/-N5486)</f>
        <v/>
      </c>
      <c r="P5486" s="7">
        <f>VLOOKUP(OPERAC[[#This Row],[especie]],[1]!ESPECIES[#All],6,0)</f>
        <v/>
      </c>
      <c r="Q5486" s="7">
        <f>IF(N5486&lt;&gt;0,P5486*N5486,0)</f>
        <v/>
      </c>
      <c r="R5486" s="8">
        <f>IF(Q5486&lt;&gt;0,Q5486+H5486+L5486,0)</f>
        <v/>
      </c>
      <c r="S5486" s="9">
        <f>VLOOKUP(OPERAC[[#This Row],[especie]],[1]!ESPECIES[#Data],9,FALSE)</f>
        <v/>
      </c>
    </row>
    <row r="5487">
      <c r="A5487" s="4" t="n">
        <v>13246</v>
      </c>
      <c r="B5487" s="5" t="n">
        <v>44582</v>
      </c>
      <c r="C5487" s="13" t="inlineStr">
        <is>
          <t>VTA</t>
        </is>
      </c>
      <c r="D5487" s="13" t="n">
        <v>40</v>
      </c>
      <c r="E5487" s="10">
        <f>IF(D5487&gt;0,VLOOKUP(OPERAC[[#This Row],[COD CART]],[1]!MatrizCortoLargoCyl[#All],3,0),"")</f>
        <v/>
      </c>
      <c r="F5487" s="13" t="inlineStr">
        <is>
          <t>NFLX</t>
        </is>
      </c>
      <c r="G5487" s="6" t="n">
        <v>5</v>
      </c>
      <c r="H5487" s="6" t="n">
        <v>-1953.1855</v>
      </c>
      <c r="I5487" s="7">
        <f>-H5487/G5487</f>
        <v/>
      </c>
      <c r="J5487" s="11" t="n">
        <v>44593</v>
      </c>
      <c r="K5487" s="6">
        <f>+OPERAC[[#This Row],[cantidad]]</f>
        <v/>
      </c>
      <c r="L5487" s="6">
        <f>+OPERAC[[#This Row],[cantidad venta]]*448.602</f>
        <v/>
      </c>
      <c r="M5487" s="7">
        <f>IF(N5487=0,+L5487+H5487,0)</f>
        <v/>
      </c>
      <c r="N5487" s="7">
        <f>IF((+G5487-K5487)=0,0,+G5487-K5487)</f>
        <v/>
      </c>
      <c r="O5487" s="7">
        <f>IF(N5487=0,0,(L5487+H5487)/-N5487)</f>
        <v/>
      </c>
      <c r="P5487" s="7">
        <f>VLOOKUP(OPERAC[[#This Row],[especie]],[1]!ESPECIES[#All],6,0)</f>
        <v/>
      </c>
      <c r="Q5487" s="7">
        <f>IF(N5487&lt;&gt;0,P5487*N5487,0)</f>
        <v/>
      </c>
      <c r="R5487" s="8">
        <f>IF(Q5487&lt;&gt;0,Q5487+H5487+L5487,0)</f>
        <v/>
      </c>
      <c r="S5487" s="9">
        <f>VLOOKUP(OPERAC[[#This Row],[especie]],[1]!ESPECIES[#Data],9,FALSE)</f>
        <v/>
      </c>
    </row>
    <row r="5488">
      <c r="A5488" s="4" t="n">
        <v>15189</v>
      </c>
      <c r="B5488" s="5" t="n">
        <v>44582</v>
      </c>
      <c r="C5488" s="13" t="inlineStr">
        <is>
          <t>VTA</t>
        </is>
      </c>
      <c r="D5488" s="13" t="n">
        <v>40</v>
      </c>
      <c r="E5488" s="10">
        <f>IF(D5488&gt;0,VLOOKUP(OPERAC[[#This Row],[COD CART]],[1]!MatrizCortoLargoCyl[#All],3,0),"")</f>
        <v/>
      </c>
      <c r="F5488" s="13" t="inlineStr">
        <is>
          <t>NFLX</t>
        </is>
      </c>
      <c r="G5488" s="6" t="n">
        <v>5</v>
      </c>
      <c r="H5488" s="6" t="n">
        <v>-1953.1855</v>
      </c>
      <c r="I5488" s="7">
        <f>-H5488/G5488</f>
        <v/>
      </c>
      <c r="J5488" s="11" t="n">
        <v>44593</v>
      </c>
      <c r="K5488" s="6">
        <f>+OPERAC[[#This Row],[cantidad]]</f>
        <v/>
      </c>
      <c r="L5488" s="6">
        <f>+OPERAC[[#This Row],[cantidad venta]]*448.602</f>
        <v/>
      </c>
      <c r="M5488" s="7">
        <f>IF(N5488=0,+L5488+H5488,0)</f>
        <v/>
      </c>
      <c r="N5488" s="7">
        <f>IF((+G5488-K5488)=0,0,+G5488-K5488)</f>
        <v/>
      </c>
      <c r="O5488" s="7">
        <f>IF(N5488=0,0,(L5488+H5488)/-N5488)</f>
        <v/>
      </c>
      <c r="P5488" s="7">
        <f>VLOOKUP(OPERAC[[#This Row],[especie]],[1]!ESPECIES[#All],6,0)</f>
        <v/>
      </c>
      <c r="Q5488" s="7">
        <f>IF(N5488&lt;&gt;0,P5488*N5488,0)</f>
        <v/>
      </c>
      <c r="R5488" s="8">
        <f>IF(Q5488&lt;&gt;0,Q5488+H5488+L5488,0)</f>
        <v/>
      </c>
      <c r="S5488" s="9">
        <f>VLOOKUP(OPERAC[[#This Row],[especie]],[1]!ESPECIES[#Data],9,FALSE)</f>
        <v/>
      </c>
    </row>
    <row r="5489">
      <c r="A5489" s="4" t="n">
        <v>15194</v>
      </c>
      <c r="B5489" s="5" t="n">
        <v>44582</v>
      </c>
      <c r="C5489" s="13" t="inlineStr">
        <is>
          <t>VTA</t>
        </is>
      </c>
      <c r="D5489" s="13" t="n">
        <v>40</v>
      </c>
      <c r="E5489" s="10">
        <f>IF(D5489&gt;0,VLOOKUP(OPERAC[[#This Row],[COD CART]],[1]!MatrizCortoLargoCyl[#All],3,0),"")</f>
        <v/>
      </c>
      <c r="F5489" s="13" t="inlineStr">
        <is>
          <t>NFLX</t>
        </is>
      </c>
      <c r="G5489" s="6" t="n">
        <v>5</v>
      </c>
      <c r="H5489" s="6" t="n">
        <v>-1953.1855</v>
      </c>
      <c r="I5489" s="7">
        <f>-H5489/G5489</f>
        <v/>
      </c>
      <c r="J5489" s="11" t="n">
        <v>44593</v>
      </c>
      <c r="K5489" s="6">
        <f>+OPERAC[[#This Row],[cantidad]]</f>
        <v/>
      </c>
      <c r="L5489" s="6">
        <f>+OPERAC[[#This Row],[cantidad venta]]*448.602</f>
        <v/>
      </c>
      <c r="M5489" s="7">
        <f>IF(N5489=0,+L5489+H5489,0)</f>
        <v/>
      </c>
      <c r="N5489" s="7">
        <f>IF((+G5489-K5489)=0,0,+G5489-K5489)</f>
        <v/>
      </c>
      <c r="O5489" s="7">
        <f>IF(N5489=0,0,(L5489+H5489)/-N5489)</f>
        <v/>
      </c>
      <c r="P5489" s="7">
        <f>VLOOKUP(OPERAC[[#This Row],[especie]],[1]!ESPECIES[#All],6,0)</f>
        <v/>
      </c>
      <c r="Q5489" s="7">
        <f>IF(N5489&lt;&gt;0,P5489*N5489,0)</f>
        <v/>
      </c>
      <c r="R5489" s="8">
        <f>IF(Q5489&lt;&gt;0,Q5489+H5489+L5489,0)</f>
        <v/>
      </c>
      <c r="S5489" s="9">
        <f>VLOOKUP(OPERAC[[#This Row],[especie]],[1]!ESPECIES[#Data],9,FALSE)</f>
        <v/>
      </c>
    </row>
    <row r="5490">
      <c r="A5490" s="4" t="n">
        <v>16824</v>
      </c>
      <c r="B5490" s="5" t="n">
        <v>44582</v>
      </c>
      <c r="C5490" s="13" t="inlineStr">
        <is>
          <t>VTA</t>
        </is>
      </c>
      <c r="D5490" s="13" t="n">
        <v>40</v>
      </c>
      <c r="E5490" s="10">
        <f>IF(D5490&gt;0,VLOOKUP(OPERAC[[#This Row],[COD CART]],[1]!MatrizCortoLargoCyl[#All],3,0),"")</f>
        <v/>
      </c>
      <c r="F5490" s="13" t="inlineStr">
        <is>
          <t>NFLX</t>
        </is>
      </c>
      <c r="G5490" s="6" t="n">
        <v>5</v>
      </c>
      <c r="H5490" s="6" t="n">
        <v>-1953.1855</v>
      </c>
      <c r="I5490" s="7">
        <f>-H5490/G5490</f>
        <v/>
      </c>
      <c r="J5490" s="11" t="n">
        <v>44593</v>
      </c>
      <c r="K5490" s="6">
        <f>+OPERAC[[#This Row],[cantidad]]</f>
        <v/>
      </c>
      <c r="L5490" s="6">
        <f>+OPERAC[[#This Row],[cantidad venta]]*448.602</f>
        <v/>
      </c>
      <c r="M5490" s="7">
        <f>IF(N5490=0,+L5490+H5490,0)</f>
        <v/>
      </c>
      <c r="N5490" s="7">
        <f>IF((+G5490-K5490)=0,0,+G5490-K5490)</f>
        <v/>
      </c>
      <c r="O5490" s="7">
        <f>IF(N5490=0,0,(L5490+H5490)/-N5490)</f>
        <v/>
      </c>
      <c r="P5490" s="7">
        <f>VLOOKUP(OPERAC[[#This Row],[especie]],[1]!ESPECIES[#All],6,0)</f>
        <v/>
      </c>
      <c r="Q5490" s="7">
        <f>IF(N5490&lt;&gt;0,P5490*N5490,0)</f>
        <v/>
      </c>
      <c r="R5490" s="8">
        <f>IF(Q5490&lt;&gt;0,Q5490+H5490+L5490,0)</f>
        <v/>
      </c>
      <c r="S5490" s="9">
        <f>VLOOKUP(OPERAC[[#This Row],[especie]],[1]!ESPECIES[#Data],9,FALSE)</f>
        <v/>
      </c>
    </row>
    <row r="5491">
      <c r="A5491" s="4" t="n">
        <v>19878</v>
      </c>
      <c r="B5491" s="5" t="n">
        <v>44582</v>
      </c>
      <c r="C5491" s="13" t="inlineStr">
        <is>
          <t>VTA</t>
        </is>
      </c>
      <c r="D5491" s="13" t="n">
        <v>40</v>
      </c>
      <c r="E5491" s="10">
        <f>IF(D5491&gt;0,VLOOKUP(OPERAC[[#This Row],[COD CART]],[1]!MatrizCortoLargoCyl[#All],3,0),"")</f>
        <v/>
      </c>
      <c r="F5491" s="13" t="inlineStr">
        <is>
          <t>NFLX</t>
        </is>
      </c>
      <c r="G5491" s="6" t="n">
        <v>5</v>
      </c>
      <c r="H5491" s="6" t="n">
        <v>-1953.1855</v>
      </c>
      <c r="I5491" s="7">
        <f>-H5491/G5491</f>
        <v/>
      </c>
      <c r="J5491" s="11" t="n">
        <v>44593</v>
      </c>
      <c r="K5491" s="6">
        <f>+OPERAC[[#This Row],[cantidad]]</f>
        <v/>
      </c>
      <c r="L5491" s="6">
        <f>+OPERAC[[#This Row],[cantidad venta]]*448.602</f>
        <v/>
      </c>
      <c r="M5491" s="7">
        <f>IF(N5491=0,+L5491+H5491,0)</f>
        <v/>
      </c>
      <c r="N5491" s="7">
        <f>IF((+G5491-K5491)=0,0,+G5491-K5491)</f>
        <v/>
      </c>
      <c r="O5491" s="7">
        <f>IF(N5491=0,0,(L5491+H5491)/-N5491)</f>
        <v/>
      </c>
      <c r="P5491" s="7">
        <f>VLOOKUP(OPERAC[[#This Row],[especie]],[1]!ESPECIES[#All],6,0)</f>
        <v/>
      </c>
      <c r="Q5491" s="7">
        <f>IF(N5491&lt;&gt;0,P5491*N5491,0)</f>
        <v/>
      </c>
      <c r="R5491" s="8">
        <f>IF(Q5491&lt;&gt;0,Q5491+H5491+L5491,0)</f>
        <v/>
      </c>
      <c r="S5491" s="9">
        <f>VLOOKUP(OPERAC[[#This Row],[especie]],[1]!ESPECIES[#Data],9,FALSE)</f>
        <v/>
      </c>
    </row>
    <row r="5492">
      <c r="A5492" s="4" t="n">
        <v>19920</v>
      </c>
      <c r="B5492" s="5" t="n">
        <v>44582</v>
      </c>
      <c r="C5492" s="13" t="inlineStr">
        <is>
          <t>VTA</t>
        </is>
      </c>
      <c r="D5492" s="13" t="n">
        <v>40</v>
      </c>
      <c r="E5492" s="10">
        <f>IF(D5492&gt;0,VLOOKUP(OPERAC[[#This Row],[COD CART]],[1]!MatrizCortoLargoCyl[#All],3,0),"")</f>
        <v/>
      </c>
      <c r="F5492" s="13" t="inlineStr">
        <is>
          <t>NFLX</t>
        </is>
      </c>
      <c r="G5492" s="6" t="n">
        <v>5</v>
      </c>
      <c r="H5492" s="6" t="n">
        <v>-1953.1855</v>
      </c>
      <c r="I5492" s="7">
        <f>-H5492/G5492</f>
        <v/>
      </c>
      <c r="J5492" s="11" t="n">
        <v>44593</v>
      </c>
      <c r="K5492" s="6">
        <f>+OPERAC[[#This Row],[cantidad]]</f>
        <v/>
      </c>
      <c r="L5492" s="6">
        <f>+OPERAC[[#This Row],[cantidad venta]]*448.602</f>
        <v/>
      </c>
      <c r="M5492" s="7">
        <f>IF(N5492=0,+L5492+H5492,0)</f>
        <v/>
      </c>
      <c r="N5492" s="7">
        <f>IF((+G5492-K5492)=0,0,+G5492-K5492)</f>
        <v/>
      </c>
      <c r="O5492" s="7">
        <f>IF(N5492=0,0,(L5492+H5492)/-N5492)</f>
        <v/>
      </c>
      <c r="P5492" s="7">
        <f>VLOOKUP(OPERAC[[#This Row],[especie]],[1]!ESPECIES[#All],6,0)</f>
        <v/>
      </c>
      <c r="Q5492" s="7">
        <f>IF(N5492&lt;&gt;0,P5492*N5492,0)</f>
        <v/>
      </c>
      <c r="R5492" s="8">
        <f>IF(Q5492&lt;&gt;0,Q5492+H5492+L5492,0)</f>
        <v/>
      </c>
      <c r="S5492" s="9">
        <f>VLOOKUP(OPERAC[[#This Row],[especie]],[1]!ESPECIES[#Data],9,FALSE)</f>
        <v/>
      </c>
    </row>
    <row r="5493">
      <c r="A5493" s="4" t="n">
        <v>22407</v>
      </c>
      <c r="B5493" s="5" t="n">
        <v>44582</v>
      </c>
      <c r="C5493" s="13" t="inlineStr">
        <is>
          <t>VTA</t>
        </is>
      </c>
      <c r="D5493" s="13" t="n">
        <v>40</v>
      </c>
      <c r="E5493" s="10">
        <f>IF(D5493&gt;0,VLOOKUP(OPERAC[[#This Row],[COD CART]],[1]!MatrizCortoLargoCyl[#All],3,0),"")</f>
        <v/>
      </c>
      <c r="F5493" s="13" t="inlineStr">
        <is>
          <t>NFLX</t>
        </is>
      </c>
      <c r="G5493" s="6" t="n">
        <v>5</v>
      </c>
      <c r="H5493" s="6" t="n">
        <v>-1953.1855</v>
      </c>
      <c r="I5493" s="7">
        <f>-H5493/G5493</f>
        <v/>
      </c>
      <c r="J5493" s="11" t="n">
        <v>44593</v>
      </c>
      <c r="K5493" s="6">
        <f>+OPERAC[[#This Row],[cantidad]]</f>
        <v/>
      </c>
      <c r="L5493" s="6">
        <f>+OPERAC[[#This Row],[cantidad venta]]*448.602</f>
        <v/>
      </c>
      <c r="M5493" s="7">
        <f>IF(N5493=0,+L5493+H5493,0)</f>
        <v/>
      </c>
      <c r="N5493" s="7">
        <f>IF((+G5493-K5493)=0,0,+G5493-K5493)</f>
        <v/>
      </c>
      <c r="O5493" s="7">
        <f>IF(N5493=0,0,(L5493+H5493)/-N5493)</f>
        <v/>
      </c>
      <c r="P5493" s="7">
        <f>VLOOKUP(OPERAC[[#This Row],[especie]],[1]!ESPECIES[#All],6,0)</f>
        <v/>
      </c>
      <c r="Q5493" s="7">
        <f>IF(N5493&lt;&gt;0,P5493*N5493,0)</f>
        <v/>
      </c>
      <c r="R5493" s="8">
        <f>IF(Q5493&lt;&gt;0,Q5493+H5493+L5493,0)</f>
        <v/>
      </c>
      <c r="S5493" s="9">
        <f>VLOOKUP(OPERAC[[#This Row],[especie]],[1]!ESPECIES[#Data],9,FALSE)</f>
        <v/>
      </c>
    </row>
    <row r="5494">
      <c r="A5494" s="4" t="n">
        <v>25070</v>
      </c>
      <c r="B5494" s="5" t="n">
        <v>44582</v>
      </c>
      <c r="C5494" s="13" t="inlineStr">
        <is>
          <t>VTA</t>
        </is>
      </c>
      <c r="D5494" s="13" t="n">
        <v>40</v>
      </c>
      <c r="E5494" s="10">
        <f>IF(D5494&gt;0,VLOOKUP(OPERAC[[#This Row],[COD CART]],[1]!MatrizCortoLargoCyl[#All],3,0),"")</f>
        <v/>
      </c>
      <c r="F5494" s="13" t="inlineStr">
        <is>
          <t>NFLX</t>
        </is>
      </c>
      <c r="G5494" s="6" t="n">
        <v>5</v>
      </c>
      <c r="H5494" s="6" t="n">
        <v>-1953.1855</v>
      </c>
      <c r="I5494" s="7">
        <f>-H5494/G5494</f>
        <v/>
      </c>
      <c r="J5494" s="11" t="n">
        <v>44593</v>
      </c>
      <c r="K5494" s="6">
        <f>+OPERAC[[#This Row],[cantidad]]</f>
        <v/>
      </c>
      <c r="L5494" s="6">
        <f>+OPERAC[[#This Row],[cantidad venta]]*448.602</f>
        <v/>
      </c>
      <c r="M5494" s="7">
        <f>IF(N5494=0,+L5494+H5494,0)</f>
        <v/>
      </c>
      <c r="N5494" s="7">
        <f>IF((+G5494-K5494)=0,0,+G5494-K5494)</f>
        <v/>
      </c>
      <c r="O5494" s="7">
        <f>IF(N5494=0,0,(L5494+H5494)/-N5494)</f>
        <v/>
      </c>
      <c r="P5494" s="7">
        <f>VLOOKUP(OPERAC[[#This Row],[especie]],[1]!ESPECIES[#All],6,0)</f>
        <v/>
      </c>
      <c r="Q5494" s="7">
        <f>IF(N5494&lt;&gt;0,P5494*N5494,0)</f>
        <v/>
      </c>
      <c r="R5494" s="8">
        <f>IF(Q5494&lt;&gt;0,Q5494+H5494+L5494,0)</f>
        <v/>
      </c>
      <c r="S5494" s="9">
        <f>VLOOKUP(OPERAC[[#This Row],[especie]],[1]!ESPECIES[#Data],9,FALSE)</f>
        <v/>
      </c>
    </row>
    <row r="5495">
      <c r="A5495" s="4" t="n">
        <v>18724</v>
      </c>
      <c r="B5495" s="5" t="n">
        <v>44582</v>
      </c>
      <c r="C5495" s="13" t="inlineStr">
        <is>
          <t>VTA</t>
        </is>
      </c>
      <c r="D5495" s="13" t="n">
        <v>40</v>
      </c>
      <c r="E5495" s="10">
        <f>IF(D5495&gt;0,VLOOKUP(OPERAC[[#This Row],[COD CART]],[1]!MatrizCortoLargoCyl[#All],3,0),"")</f>
        <v/>
      </c>
      <c r="F5495" s="13" t="inlineStr">
        <is>
          <t>NFLX</t>
        </is>
      </c>
      <c r="G5495" s="6" t="n">
        <v>5</v>
      </c>
      <c r="H5495" s="6" t="n">
        <v>-1954.147</v>
      </c>
      <c r="I5495" s="7">
        <f>-H5495/G5495</f>
        <v/>
      </c>
      <c r="J5495" s="11" t="n">
        <v>44593</v>
      </c>
      <c r="K5495" s="6">
        <f>+OPERAC[[#This Row],[cantidad]]</f>
        <v/>
      </c>
      <c r="L5495" s="6">
        <f>+OPERAC[[#This Row],[cantidad venta]]*448.602</f>
        <v/>
      </c>
      <c r="M5495" s="7">
        <f>IF(N5495=0,+L5495+H5495,0)</f>
        <v/>
      </c>
      <c r="N5495" s="7">
        <f>IF((+G5495-K5495)=0,0,+G5495-K5495)</f>
        <v/>
      </c>
      <c r="O5495" s="7">
        <f>IF(N5495=0,0,(L5495+H5495)/-N5495)</f>
        <v/>
      </c>
      <c r="P5495" s="7">
        <f>VLOOKUP(OPERAC[[#This Row],[especie]],[1]!ESPECIES[#All],6,0)</f>
        <v/>
      </c>
      <c r="Q5495" s="7">
        <f>IF(N5495&lt;&gt;0,P5495*N5495,0)</f>
        <v/>
      </c>
      <c r="R5495" s="8">
        <f>IF(Q5495&lt;&gt;0,Q5495+H5495+L5495,0)</f>
        <v/>
      </c>
      <c r="S5495" s="9">
        <f>VLOOKUP(OPERAC[[#This Row],[especie]],[1]!ESPECIES[#Data],9,FALSE)</f>
        <v/>
      </c>
    </row>
    <row r="5496">
      <c r="A5496" s="4" t="n">
        <v>10079</v>
      </c>
      <c r="B5496" s="5" t="n">
        <v>44536</v>
      </c>
      <c r="C5496" s="13" t="inlineStr">
        <is>
          <t>VTA</t>
        </is>
      </c>
      <c r="D5496" s="13" t="n">
        <v>43</v>
      </c>
      <c r="E5496" s="10">
        <f>IF(D5496&gt;0,VLOOKUP(OPERAC[[#This Row],[COD CART]],[1]!MatrizCortoLargoCyl[#All],3,0),"")</f>
        <v/>
      </c>
      <c r="F5496" s="13" t="inlineStr">
        <is>
          <t>HEXO/CYL-PUT/1,00/20-01-23</t>
        </is>
      </c>
      <c r="G5496" s="6" t="n">
        <v>11700</v>
      </c>
      <c r="H5496" s="6">
        <f>-0.1671*OPERAC[[#This Row],[cantidad]]</f>
        <v/>
      </c>
      <c r="I5496" s="7">
        <f>-H5496/G5496</f>
        <v/>
      </c>
      <c r="J5496" s="11" t="n">
        <v>44687</v>
      </c>
      <c r="K5496" s="6" t="n">
        <v>5000</v>
      </c>
      <c r="L5496" s="6" t="n">
        <v>1051.98</v>
      </c>
      <c r="M5496" s="7">
        <f>IF(N5496=0,+L5496+H5496,0)</f>
        <v/>
      </c>
      <c r="N5496" s="7">
        <f>IF((+G5496-K5496)=0,0,+G5496-K5496)</f>
        <v/>
      </c>
      <c r="O5496" s="7">
        <f>IF(N5496=0,0,(L5496+H5496)/-N5496)</f>
        <v/>
      </c>
      <c r="P5496" s="7">
        <f>VLOOKUP(OPERAC[[#This Row],[especie]],[1]!ESPECIES[#All],6,0)</f>
        <v/>
      </c>
      <c r="Q5496" s="7">
        <f>IF(N5496&lt;&gt;0,P5496*N5496,0)</f>
        <v/>
      </c>
      <c r="R5496" s="8">
        <f>IF(Q5496&lt;&gt;0,Q5496+H5496+L5496,0)</f>
        <v/>
      </c>
      <c r="S5496" s="9">
        <f>VLOOKUP(OPERAC[[#This Row],[especie]],[1]!ESPECIES[#Data],9,FALSE)</f>
        <v/>
      </c>
    </row>
    <row r="5497">
      <c r="A5497" s="4" t="n">
        <v>6579</v>
      </c>
      <c r="B5497" s="5" t="n">
        <v>44645</v>
      </c>
      <c r="C5497" s="13" t="inlineStr">
        <is>
          <t>VTA</t>
        </is>
      </c>
      <c r="D5497" s="13" t="n">
        <v>42</v>
      </c>
      <c r="E5497" s="10">
        <f>IF(D5497&gt;0,VLOOKUP(OPERAC[[#This Row],[COD CART]],[1]!MatrizCortoLargoCyl[#All],3,0),"")</f>
        <v/>
      </c>
      <c r="F5497" s="13" t="inlineStr">
        <is>
          <t>PLUG</t>
        </is>
      </c>
      <c r="G5497" s="6" t="n">
        <v>70</v>
      </c>
      <c r="H5497" s="6" t="n">
        <v>-1955.2148</v>
      </c>
      <c r="I5497" s="7">
        <f>-H5497/G5497</f>
        <v/>
      </c>
      <c r="J5497" s="11" t="n">
        <v>44652</v>
      </c>
      <c r="K5497" s="6">
        <f>+OPERAC[[#This Row],[cantidad]]</f>
        <v/>
      </c>
      <c r="L5497" s="6">
        <f>+OPERAC[[#This Row],[cantidad venta]]*27.754</f>
        <v/>
      </c>
      <c r="M5497" s="7">
        <f>IF(N5497=0,+L5497+H5497,0)</f>
        <v/>
      </c>
      <c r="N5497" s="7">
        <f>IF((+G5497-K5497)=0,0,+G5497-K5497)</f>
        <v/>
      </c>
      <c r="O5497" s="7">
        <f>IF(N5497=0,0,(L5497+H5497)/-N5497)</f>
        <v/>
      </c>
      <c r="P5497" s="7">
        <f>VLOOKUP(OPERAC[[#This Row],[especie]],[1]!ESPECIES[#All],6,0)</f>
        <v/>
      </c>
      <c r="Q5497" s="7">
        <f>IF(N5497&lt;&gt;0,P5497*N5497,0)</f>
        <v/>
      </c>
      <c r="R5497" s="8">
        <f>IF(Q5497&lt;&gt;0,Q5497+H5497+L5497,0)</f>
        <v/>
      </c>
      <c r="S5497" s="9">
        <f>VLOOKUP(OPERAC[[#This Row],[especie]],[1]!ESPECIES[#Data],9,FALSE)</f>
        <v/>
      </c>
    </row>
    <row r="5498">
      <c r="A5498" s="4" t="n">
        <v>16783</v>
      </c>
      <c r="B5498" s="5" t="n">
        <v>44516</v>
      </c>
      <c r="C5498" s="13" t="inlineStr">
        <is>
          <t>VTA</t>
        </is>
      </c>
      <c r="D5498" s="13" t="n">
        <v>40</v>
      </c>
      <c r="E5498" s="10">
        <f>IF(D5498&gt;0,VLOOKUP(OPERAC[[#This Row],[COD CART]],[1]!MatrizCortoLargoCyl[#All],3,0),"")</f>
        <v/>
      </c>
      <c r="F5498" s="13" t="inlineStr">
        <is>
          <t>ACB</t>
        </is>
      </c>
      <c r="G5498" s="6" t="n">
        <v>300</v>
      </c>
      <c r="H5498" s="6">
        <f>-2028.79+67.155</f>
        <v/>
      </c>
      <c r="I5498" s="7">
        <f>-H5498/G5498</f>
        <v/>
      </c>
      <c r="J5498" s="11" t="n">
        <v>44606</v>
      </c>
      <c r="K5498" s="6" t="n">
        <v>300</v>
      </c>
      <c r="L5498" s="6" t="n">
        <v>1316.46</v>
      </c>
      <c r="M5498" s="7">
        <f>IF(N5498=0,+L5498+H5498,0)</f>
        <v/>
      </c>
      <c r="N5498" s="7">
        <f>IF((+G5498-K5498)=0,0,+G5498-K5498)</f>
        <v/>
      </c>
      <c r="O5498" s="7">
        <f>IF(N5498=0,0,(L5498+H5498)/-N5498)</f>
        <v/>
      </c>
      <c r="P5498" s="7">
        <f>VLOOKUP(OPERAC[[#This Row],[especie]],[1]!ESPECIES[#All],6,0)</f>
        <v/>
      </c>
      <c r="Q5498" s="7">
        <f>IF(N5498&lt;&gt;0,P5498*N5498,0)</f>
        <v/>
      </c>
      <c r="R5498" s="8">
        <f>IF(Q5498&lt;&gt;0,Q5498+H5498+L5498,0)</f>
        <v/>
      </c>
      <c r="S5498" s="9">
        <f>VLOOKUP(OPERAC[[#This Row],[especie]],[1]!ESPECIES[#Data],9,FALSE)</f>
        <v/>
      </c>
    </row>
    <row r="5499">
      <c r="A5499" s="4" t="n">
        <v>13240</v>
      </c>
      <c r="B5499" s="5" t="n">
        <v>44641</v>
      </c>
      <c r="C5499" s="13" t="inlineStr">
        <is>
          <t>VTA</t>
        </is>
      </c>
      <c r="D5499" s="13" t="n">
        <v>42</v>
      </c>
      <c r="E5499" s="10">
        <f>IF(D5499&gt;0,VLOOKUP(OPERAC[[#This Row],[COD CART]],[1]!MatrizCortoLargoCyl[#All],3,0),"")</f>
        <v/>
      </c>
      <c r="F5499" s="13" t="inlineStr">
        <is>
          <t>JPM</t>
        </is>
      </c>
      <c r="G5499" s="6" t="n">
        <v>14</v>
      </c>
      <c r="H5499" s="6" t="n">
        <v>-1966.36076</v>
      </c>
      <c r="I5499" s="7">
        <f>-H5499/G5499</f>
        <v/>
      </c>
      <c r="J5499" s="11" t="n">
        <v>44664</v>
      </c>
      <c r="K5499" s="6">
        <f>+OPERAC[[#This Row],[cantidad]]</f>
        <v/>
      </c>
      <c r="L5499" s="6">
        <f>+OPERAC[[#This Row],[cantidad venta]]*125.943</f>
        <v/>
      </c>
      <c r="M5499" s="7">
        <f>IF(N5499=0,+L5499+H5499,0)</f>
        <v/>
      </c>
      <c r="N5499" s="7">
        <f>IF((+G5499-K5499)=0,0,+G5499-K5499)</f>
        <v/>
      </c>
      <c r="O5499" s="7">
        <f>IF(N5499=0,0,(L5499+H5499)/-N5499)</f>
        <v/>
      </c>
      <c r="P5499" s="7">
        <f>VLOOKUP(OPERAC[[#This Row],[especie]],[1]!ESPECIES[#All],6,0)</f>
        <v/>
      </c>
      <c r="Q5499" s="7">
        <f>IF(N5499&lt;&gt;0,P5499*N5499,0)</f>
        <v/>
      </c>
      <c r="R5499" s="8">
        <f>IF(Q5499&lt;&gt;0,Q5499+H5499+L5499,0)</f>
        <v/>
      </c>
      <c r="S5499" s="9">
        <f>VLOOKUP(OPERAC[[#This Row],[especie]],[1]!ESPECIES[#Data],9,FALSE)</f>
        <v/>
      </c>
    </row>
    <row r="5500">
      <c r="A5500" s="4" t="n">
        <v>3728</v>
      </c>
      <c r="B5500" s="5" t="n">
        <v>44516</v>
      </c>
      <c r="C5500" s="13" t="inlineStr">
        <is>
          <t>VTA</t>
        </is>
      </c>
      <c r="D5500" s="13" t="n">
        <v>39</v>
      </c>
      <c r="E5500" s="10">
        <f>IF(D5500&gt;0,VLOOKUP(OPERAC[[#This Row],[COD CART]],[1]!MatrizCortoLargoCyl[#All],3,0),"")</f>
        <v/>
      </c>
      <c r="F5500" s="13" t="inlineStr">
        <is>
          <t>ACB/V/6,00/21-01-22</t>
        </is>
      </c>
      <c r="G5500" s="6" t="n">
        <v>-10000</v>
      </c>
      <c r="H5500" s="6">
        <f>3131.8+0.51*OPERAC[[#This Row],[cantidad]]</f>
        <v/>
      </c>
      <c r="I5500" s="7">
        <f>-H5500/G5500</f>
        <v/>
      </c>
      <c r="J5500" s="11" t="n">
        <v>44581</v>
      </c>
      <c r="K5500" s="6">
        <f>+OPERAC[[#This Row],[cantidad]]</f>
        <v/>
      </c>
      <c r="L5500" s="6">
        <f>-OPERAC[[#This Row],[importe]]</f>
        <v/>
      </c>
      <c r="M5500" s="7">
        <f>IF(N5500=0,+L5500+H5500,0)</f>
        <v/>
      </c>
      <c r="N5500" s="7">
        <f>IF((+G5500-K5500)=0,0,+G5500-K5500)</f>
        <v/>
      </c>
      <c r="O5500" s="7">
        <f>IF(N5500=0,0,(L5500+H5500)/-N5500)</f>
        <v/>
      </c>
      <c r="P5500" s="7">
        <f>VLOOKUP(OPERAC[[#This Row],[especie]],[1]!ESPECIES[#All],6,0)</f>
        <v/>
      </c>
      <c r="Q5500" s="7">
        <f>IF(N5500&lt;&gt;0,P5500*N5500,0)</f>
        <v/>
      </c>
      <c r="R5500" s="8">
        <f>IF(Q5500&lt;&gt;0,Q5500+H5500+L5500,0)</f>
        <v/>
      </c>
      <c r="S5500" s="9">
        <f>VLOOKUP(OPERAC[[#This Row],[especie]],[1]!ESPECIES[#Data],9,FALSE)</f>
        <v/>
      </c>
    </row>
    <row r="5501">
      <c r="A5501" s="4" t="n">
        <v>3728</v>
      </c>
      <c r="B5501" s="5" t="n">
        <v>44662</v>
      </c>
      <c r="C5501" s="13" t="inlineStr">
        <is>
          <t>VTA</t>
        </is>
      </c>
      <c r="D5501" s="13" t="n">
        <v>40</v>
      </c>
      <c r="E5501" s="10">
        <f>IF(D5501&gt;0,VLOOKUP(OPERAC[[#This Row],[COD CART]],[1]!MatrizCortoLargoCyl[#All],3,0),"")</f>
        <v/>
      </c>
      <c r="F5501" s="13" t="inlineStr">
        <is>
          <t>AMD</t>
        </is>
      </c>
      <c r="G5501" s="6" t="n">
        <v>20</v>
      </c>
      <c r="H5501" s="6" t="n">
        <v>-1971.969</v>
      </c>
      <c r="I5501" s="7">
        <f>-H5501/G5501</f>
        <v/>
      </c>
      <c r="J5501" s="11" t="n">
        <v>44690</v>
      </c>
      <c r="K5501" s="6" t="n">
        <v>20</v>
      </c>
      <c r="L5501" s="6">
        <f>+OPERAC[[#This Row],[cantidad venta]]*86.206</f>
        <v/>
      </c>
      <c r="M5501" s="7">
        <f>IF(N5501=0,+L5501+H5501,0)</f>
        <v/>
      </c>
      <c r="N5501" s="7">
        <f>IF((+G5501-K5501)=0,0,+G5501-K5501)</f>
        <v/>
      </c>
      <c r="O5501" s="7">
        <f>IF(N5501=0,0,(L5501+H5501)/-N5501)</f>
        <v/>
      </c>
      <c r="P5501" s="7">
        <f>VLOOKUP(OPERAC[[#This Row],[especie]],[1]!ESPECIES[#All],6,0)</f>
        <v/>
      </c>
      <c r="Q5501" s="7">
        <f>IF(N5501&lt;&gt;0,P5501*N5501,0)</f>
        <v/>
      </c>
      <c r="R5501" s="8">
        <f>IF(Q5501&lt;&gt;0,Q5501+H5501+L5501,0)</f>
        <v/>
      </c>
      <c r="S5501" s="9">
        <f>VLOOKUP(OPERAC[[#This Row],[especie]],[1]!ESPECIES[#Data],9,FALSE)</f>
        <v/>
      </c>
    </row>
    <row r="5502">
      <c r="A5502" s="4" t="n">
        <v>15189</v>
      </c>
      <c r="B5502" s="5" t="n">
        <v>44664</v>
      </c>
      <c r="C5502" s="13" t="inlineStr">
        <is>
          <t>VTA</t>
        </is>
      </c>
      <c r="D5502" s="13" t="n">
        <v>42</v>
      </c>
      <c r="E5502" s="10">
        <f>IF(D5502&gt;0,VLOOKUP(OPERAC[[#This Row],[COD CART]],[1]!MatrizCortoLargoCyl[#All],3,0),"")</f>
        <v/>
      </c>
      <c r="F5502" s="13" t="inlineStr">
        <is>
          <t>AMD</t>
        </is>
      </c>
      <c r="G5502" s="6" t="n">
        <v>20</v>
      </c>
      <c r="H5502" s="6" t="n">
        <v>-1975.4130906</v>
      </c>
      <c r="I5502" s="7">
        <f>-H5502/G5502</f>
        <v/>
      </c>
      <c r="J5502" s="11" t="n">
        <v>44693</v>
      </c>
      <c r="K5502" s="6">
        <f>+OPERAC[[#This Row],[cantidad]]</f>
        <v/>
      </c>
      <c r="L5502" s="6">
        <f>+OPERAC[[#This Row],[cantidad venta]]*85.26</f>
        <v/>
      </c>
      <c r="M5502" s="7">
        <f>IF(N5502=0,+L5502+H5502,0)</f>
        <v/>
      </c>
      <c r="N5502" s="7">
        <f>IF((+G5502-K5502)=0,0,+G5502-K5502)</f>
        <v/>
      </c>
      <c r="O5502" s="7">
        <f>IF(N5502=0,0,(L5502+H5502)/-N5502)</f>
        <v/>
      </c>
      <c r="P5502" s="7">
        <f>VLOOKUP(OPERAC[[#This Row],[especie]],[1]!ESPECIES[#All],6,0)</f>
        <v/>
      </c>
      <c r="Q5502" s="7">
        <f>IF(N5502&lt;&gt;0,P5502*N5502,0)</f>
        <v/>
      </c>
      <c r="R5502" s="8">
        <f>IF(Q5502&lt;&gt;0,Q5502+H5502+L5502,0)</f>
        <v/>
      </c>
      <c r="S5502" s="9">
        <f>VLOOKUP(OPERAC[[#This Row],[especie]],[1]!ESPECIES[#Data],9,FALSE)</f>
        <v/>
      </c>
    </row>
    <row r="5503">
      <c r="A5503" s="4" t="n">
        <v>15195</v>
      </c>
      <c r="B5503" s="5" t="n">
        <v>44664</v>
      </c>
      <c r="C5503" s="13" t="inlineStr">
        <is>
          <t>VTA</t>
        </is>
      </c>
      <c r="D5503" s="13" t="n">
        <v>42</v>
      </c>
      <c r="E5503" s="10">
        <f>IF(D5503&gt;0,VLOOKUP(OPERAC[[#This Row],[COD CART]],[1]!MatrizCortoLargoCyl[#All],3,0),"")</f>
        <v/>
      </c>
      <c r="F5503" s="13" t="inlineStr">
        <is>
          <t>AMD</t>
        </is>
      </c>
      <c r="G5503" s="6" t="n">
        <v>20</v>
      </c>
      <c r="H5503" s="6" t="n">
        <v>-1975.4130906</v>
      </c>
      <c r="I5503" s="7">
        <f>-H5503/G5503</f>
        <v/>
      </c>
      <c r="J5503" s="11" t="n">
        <v>44693</v>
      </c>
      <c r="K5503" s="6">
        <f>+OPERAC[[#This Row],[cantidad]]</f>
        <v/>
      </c>
      <c r="L5503" s="6">
        <f>+OPERAC[[#This Row],[cantidad venta]]*85.26</f>
        <v/>
      </c>
      <c r="M5503" s="7">
        <f>IF(N5503=0,+L5503+H5503,0)</f>
        <v/>
      </c>
      <c r="N5503" s="7">
        <f>IF((+G5503-K5503)=0,0,+G5503-K5503)</f>
        <v/>
      </c>
      <c r="O5503" s="7">
        <f>IF(N5503=0,0,(L5503+H5503)/-N5503)</f>
        <v/>
      </c>
      <c r="P5503" s="7">
        <f>VLOOKUP(OPERAC[[#This Row],[especie]],[1]!ESPECIES[#All],6,0)</f>
        <v/>
      </c>
      <c r="Q5503" s="7">
        <f>IF(N5503&lt;&gt;0,P5503*N5503,0)</f>
        <v/>
      </c>
      <c r="R5503" s="8">
        <f>IF(Q5503&lt;&gt;0,Q5503+H5503+L5503,0)</f>
        <v/>
      </c>
      <c r="S5503" s="9">
        <f>VLOOKUP(OPERAC[[#This Row],[especie]],[1]!ESPECIES[#Data],9,FALSE)</f>
        <v/>
      </c>
    </row>
    <row r="5504">
      <c r="A5504" s="4" t="n">
        <v>2257</v>
      </c>
      <c r="B5504" s="5" t="n">
        <v>44533</v>
      </c>
      <c r="C5504" s="13" t="inlineStr">
        <is>
          <t>VTA</t>
        </is>
      </c>
      <c r="D5504" s="13" t="n">
        <v>32</v>
      </c>
      <c r="E5504" s="10">
        <f>IF(D5504&gt;0,VLOOKUP(OPERAC[[#This Row],[COD CART]],[1]!MatrizCortoLargoCyl[#All],3,0),"")</f>
        <v/>
      </c>
      <c r="F5504" s="13" t="inlineStr">
        <is>
          <t>HIMX/CYL/12,00/21-01-22</t>
        </is>
      </c>
      <c r="G5504" s="6" t="n">
        <v>200</v>
      </c>
      <c r="H5504" s="6">
        <f>-9.9*OPERAC[[#This Row],[cantidad]]</f>
        <v/>
      </c>
      <c r="I5504" s="7">
        <f>-H5504/G5504</f>
        <v/>
      </c>
      <c r="J5504" s="11" t="n">
        <v>44575</v>
      </c>
      <c r="K5504" s="6" t="n">
        <v>200</v>
      </c>
      <c r="L5504" s="6" t="n">
        <v>2341.236</v>
      </c>
      <c r="M5504" s="7">
        <f>IF(N5504=0,+L5504+H5504,0)</f>
        <v/>
      </c>
      <c r="N5504" s="7">
        <f>IF((+G5504-K5504)=0,0,+G5504-K5504)</f>
        <v/>
      </c>
      <c r="O5504" s="7">
        <f>IF(N5504=0,0,(L5504+H5504)/-N5504)</f>
        <v/>
      </c>
      <c r="P5504" s="7">
        <f>VLOOKUP(OPERAC[[#This Row],[especie]],[1]!ESPECIES[#All],6,0)</f>
        <v/>
      </c>
      <c r="Q5504" s="7">
        <f>IF(N5504&lt;&gt;0,P5504*N5504,0)</f>
        <v/>
      </c>
      <c r="R5504" s="8">
        <f>IF(Q5504&lt;&gt;0,Q5504+H5504+L5504,0)</f>
        <v/>
      </c>
      <c r="S5504" s="9">
        <f>VLOOKUP(OPERAC[[#This Row],[especie]],[1]!ESPECIES[#Data],9,FALSE)</f>
        <v/>
      </c>
    </row>
    <row r="5505">
      <c r="A5505" s="4" t="n">
        <v>12655</v>
      </c>
      <c r="B5505" s="5" t="n">
        <v>44533</v>
      </c>
      <c r="C5505" s="13" t="inlineStr">
        <is>
          <t>VTA</t>
        </is>
      </c>
      <c r="D5505" s="13" t="n">
        <v>32</v>
      </c>
      <c r="E5505" s="10">
        <f>IF(D5505&gt;0,VLOOKUP(OPERAC[[#This Row],[COD CART]],[1]!MatrizCortoLargoCyl[#All],3,0),"")</f>
        <v/>
      </c>
      <c r="F5505" s="13" t="inlineStr">
        <is>
          <t>HIMX/CYL/12,00/21-01-22</t>
        </is>
      </c>
      <c r="G5505" s="6" t="n">
        <v>200</v>
      </c>
      <c r="H5505" s="6">
        <f>-9.9*OPERAC[[#This Row],[cantidad]]</f>
        <v/>
      </c>
      <c r="I5505" s="7">
        <f>-H5505/G5505</f>
        <v/>
      </c>
      <c r="J5505" s="11" t="n">
        <v>44575</v>
      </c>
      <c r="K5505" s="6" t="n">
        <v>200</v>
      </c>
      <c r="L5505" s="6" t="n">
        <v>2341.236</v>
      </c>
      <c r="M5505" s="7">
        <f>IF(N5505=0,+L5505+H5505,0)</f>
        <v/>
      </c>
      <c r="N5505" s="7">
        <f>IF((+G5505-K5505)=0,0,+G5505-K5505)</f>
        <v/>
      </c>
      <c r="O5505" s="7">
        <f>IF(N5505=0,0,(L5505+H5505)/-N5505)</f>
        <v/>
      </c>
      <c r="P5505" s="7">
        <f>VLOOKUP(OPERAC[[#This Row],[especie]],[1]!ESPECIES[#All],6,0)</f>
        <v/>
      </c>
      <c r="Q5505" s="7">
        <f>IF(N5505&lt;&gt;0,P5505*N5505,0)</f>
        <v/>
      </c>
      <c r="R5505" s="8">
        <f>IF(Q5505&lt;&gt;0,Q5505+H5505+L5505,0)</f>
        <v/>
      </c>
      <c r="S5505" s="9">
        <f>VLOOKUP(OPERAC[[#This Row],[especie]],[1]!ESPECIES[#Data],9,FALSE)</f>
        <v/>
      </c>
    </row>
    <row r="5506">
      <c r="A5506" s="4" t="n">
        <v>12672</v>
      </c>
      <c r="B5506" s="5" t="n">
        <v>44533</v>
      </c>
      <c r="C5506" s="13" t="inlineStr">
        <is>
          <t>VTA</t>
        </is>
      </c>
      <c r="D5506" s="13" t="n">
        <v>32</v>
      </c>
      <c r="E5506" s="10">
        <f>IF(D5506&gt;0,VLOOKUP(OPERAC[[#This Row],[COD CART]],[1]!MatrizCortoLargoCyl[#All],3,0),"")</f>
        <v/>
      </c>
      <c r="F5506" s="13" t="inlineStr">
        <is>
          <t>HIMX/CYL/12,00/21-01-22</t>
        </is>
      </c>
      <c r="G5506" s="6" t="n">
        <v>200</v>
      </c>
      <c r="H5506" s="6">
        <f>-9.9*OPERAC[[#This Row],[cantidad]]</f>
        <v/>
      </c>
      <c r="I5506" s="7">
        <f>-H5506/G5506</f>
        <v/>
      </c>
      <c r="J5506" s="11" t="n">
        <v>44575</v>
      </c>
      <c r="K5506" s="6" t="n">
        <v>200</v>
      </c>
      <c r="L5506" s="6" t="n">
        <v>2341.236</v>
      </c>
      <c r="M5506" s="7">
        <f>IF(N5506=0,+L5506+H5506,0)</f>
        <v/>
      </c>
      <c r="N5506" s="7">
        <f>IF((+G5506-K5506)=0,0,+G5506-K5506)</f>
        <v/>
      </c>
      <c r="O5506" s="7">
        <f>IF(N5506=0,0,(L5506+H5506)/-N5506)</f>
        <v/>
      </c>
      <c r="P5506" s="7">
        <f>VLOOKUP(OPERAC[[#This Row],[especie]],[1]!ESPECIES[#All],6,0)</f>
        <v/>
      </c>
      <c r="Q5506" s="7">
        <f>IF(N5506&lt;&gt;0,P5506*N5506,0)</f>
        <v/>
      </c>
      <c r="R5506" s="8">
        <f>IF(Q5506&lt;&gt;0,Q5506+H5506+L5506,0)</f>
        <v/>
      </c>
      <c r="S5506" s="9">
        <f>VLOOKUP(OPERAC[[#This Row],[especie]],[1]!ESPECIES[#Data],9,FALSE)</f>
        <v/>
      </c>
    </row>
    <row r="5507">
      <c r="A5507" s="4" t="n">
        <v>13246</v>
      </c>
      <c r="B5507" s="5" t="n">
        <v>44533</v>
      </c>
      <c r="C5507" s="13" t="inlineStr">
        <is>
          <t>VTA</t>
        </is>
      </c>
      <c r="D5507" s="13" t="n">
        <v>32</v>
      </c>
      <c r="E5507" s="10">
        <f>IF(D5507&gt;0,VLOOKUP(OPERAC[[#This Row],[COD CART]],[1]!MatrizCortoLargoCyl[#All],3,0),"")</f>
        <v/>
      </c>
      <c r="F5507" s="13" t="inlineStr">
        <is>
          <t>HIMX/CYL/12,00/21-01-22</t>
        </is>
      </c>
      <c r="G5507" s="6" t="n">
        <v>200</v>
      </c>
      <c r="H5507" s="6">
        <f>-9.9*OPERAC[[#This Row],[cantidad]]</f>
        <v/>
      </c>
      <c r="I5507" s="7">
        <f>-H5507/G5507</f>
        <v/>
      </c>
      <c r="J5507" s="11" t="n">
        <v>44575</v>
      </c>
      <c r="K5507" s="6" t="n">
        <v>200</v>
      </c>
      <c r="L5507" s="6" t="n">
        <v>2341.236</v>
      </c>
      <c r="M5507" s="7">
        <f>IF(N5507=0,+L5507+H5507,0)</f>
        <v/>
      </c>
      <c r="N5507" s="7">
        <f>IF((+G5507-K5507)=0,0,+G5507-K5507)</f>
        <v/>
      </c>
      <c r="O5507" s="7">
        <f>IF(N5507=0,0,(L5507+H5507)/-N5507)</f>
        <v/>
      </c>
      <c r="P5507" s="7">
        <f>VLOOKUP(OPERAC[[#This Row],[especie]],[1]!ESPECIES[#All],6,0)</f>
        <v/>
      </c>
      <c r="Q5507" s="7">
        <f>IF(N5507&lt;&gt;0,P5507*N5507,0)</f>
        <v/>
      </c>
      <c r="R5507" s="8">
        <f>IF(Q5507&lt;&gt;0,Q5507+H5507+L5507,0)</f>
        <v/>
      </c>
      <c r="S5507" s="9">
        <f>VLOOKUP(OPERAC[[#This Row],[especie]],[1]!ESPECIES[#Data],9,FALSE)</f>
        <v/>
      </c>
    </row>
    <row r="5508">
      <c r="A5508" s="4" t="n">
        <v>13180</v>
      </c>
      <c r="B5508" s="5" t="n">
        <v>44641</v>
      </c>
      <c r="C5508" s="13" t="inlineStr">
        <is>
          <t>VTA</t>
        </is>
      </c>
      <c r="D5508" s="13" t="n">
        <v>42</v>
      </c>
      <c r="E5508" s="10">
        <f>IF(D5508&gt;0,VLOOKUP(OPERAC[[#This Row],[COD CART]],[1]!MatrizCortoLargoCyl[#All],3,0),"")</f>
        <v/>
      </c>
      <c r="F5508" s="13" t="inlineStr">
        <is>
          <t>CRESY</t>
        </is>
      </c>
      <c r="G5508" s="6" t="n">
        <v>250</v>
      </c>
      <c r="H5508" s="6" t="n">
        <v>-1985.246</v>
      </c>
      <c r="I5508" s="7">
        <f>-H5508/G5508</f>
        <v/>
      </c>
      <c r="J5508" s="11" t="n">
        <v>44649</v>
      </c>
      <c r="K5508" s="6" t="n">
        <v>250</v>
      </c>
      <c r="L5508" s="6" t="n">
        <v>2005.03</v>
      </c>
      <c r="M5508" s="7">
        <f>IF(N5508=0,+L5508+H5508,0)</f>
        <v/>
      </c>
      <c r="N5508" s="7">
        <f>IF((+G5508-K5508)=0,0,+G5508-K5508)</f>
        <v/>
      </c>
      <c r="O5508" s="7">
        <f>IF(N5508=0,0,(L5508+H5508)/-N5508)</f>
        <v/>
      </c>
      <c r="P5508" s="7">
        <f>VLOOKUP(OPERAC[[#This Row],[especie]],[1]!ESPECIES[#All],6,0)</f>
        <v/>
      </c>
      <c r="Q5508" s="7">
        <f>IF(N5508&lt;&gt;0,P5508*N5508,0)</f>
        <v/>
      </c>
      <c r="R5508" s="8">
        <f>IF(Q5508&lt;&gt;0,Q5508+H5508+L5508,0)</f>
        <v/>
      </c>
      <c r="S5508" s="9">
        <f>VLOOKUP(OPERAC[[#This Row],[especie]],[1]!ESPECIES[#Data],9,FALSE)</f>
        <v/>
      </c>
    </row>
    <row r="5509">
      <c r="A5509" s="4" t="n">
        <v>13180</v>
      </c>
      <c r="B5509" s="5" t="n">
        <v>44649</v>
      </c>
      <c r="C5509" s="13" t="inlineStr">
        <is>
          <t>VTA</t>
        </is>
      </c>
      <c r="D5509" s="13" t="n">
        <v>42</v>
      </c>
      <c r="E5509" s="10">
        <f>IF(D5509&gt;0,VLOOKUP(OPERAC[[#This Row],[COD CART]],[1]!MatrizCortoLargoCyl[#All],3,0),"")</f>
        <v/>
      </c>
      <c r="F5509" s="13" t="inlineStr">
        <is>
          <t>CRESY</t>
        </is>
      </c>
      <c r="G5509" s="6" t="n">
        <v>250</v>
      </c>
      <c r="H5509" s="6" t="n">
        <v>-1994.713</v>
      </c>
      <c r="I5509" s="7">
        <f>-H5509/G5509</f>
        <v/>
      </c>
      <c r="J5509" s="11" t="n">
        <v>44657</v>
      </c>
      <c r="K5509" s="6">
        <f>+OPERAC[[#This Row],[cantidad]]</f>
        <v/>
      </c>
      <c r="L5509" s="6">
        <f>+OPERAC[[#This Row],[cantidad venta]]*7.664</f>
        <v/>
      </c>
      <c r="M5509" s="7">
        <f>IF(N5509=0,+L5509+H5509,0)</f>
        <v/>
      </c>
      <c r="N5509" s="7">
        <f>IF((+G5509-K5509)=0,0,+G5509-K5509)</f>
        <v/>
      </c>
      <c r="O5509" s="7">
        <f>IF(N5509=0,0,(L5509+H5509)/-N5509)</f>
        <v/>
      </c>
      <c r="P5509" s="7">
        <f>VLOOKUP(OPERAC[[#This Row],[especie]],[1]!ESPECIES[#All],6,0)</f>
        <v/>
      </c>
      <c r="Q5509" s="7">
        <f>IF(N5509&lt;&gt;0,P5509*N5509,0)</f>
        <v/>
      </c>
      <c r="R5509" s="8">
        <f>IF(Q5509&lt;&gt;0,Q5509+H5509+L5509,0)</f>
        <v/>
      </c>
      <c r="S5509" s="9">
        <f>VLOOKUP(OPERAC[[#This Row],[especie]],[1]!ESPECIES[#Data],9,FALSE)</f>
        <v/>
      </c>
    </row>
    <row r="5510">
      <c r="A5510" s="4" t="n">
        <v>3728</v>
      </c>
      <c r="B5510" s="5" t="n">
        <v>44582</v>
      </c>
      <c r="C5510" s="13" t="inlineStr">
        <is>
          <t>VTA</t>
        </is>
      </c>
      <c r="D5510" s="13" t="n">
        <v>40</v>
      </c>
      <c r="E5510" s="10">
        <f>IF(D5510&gt;0,VLOOKUP(OPERAC[[#This Row],[COD CART]],[1]!MatrizCortoLargoCyl[#All],3,0),"")</f>
        <v/>
      </c>
      <c r="F5510" s="13" t="inlineStr">
        <is>
          <t>ACB</t>
        </is>
      </c>
      <c r="G5510" s="6" t="n">
        <v>200</v>
      </c>
      <c r="H5510" s="6" t="n">
        <v>-2002</v>
      </c>
      <c r="I5510" s="7">
        <f>-H5510/G5510</f>
        <v/>
      </c>
      <c r="J5510" s="11" t="n">
        <v>44606</v>
      </c>
      <c r="K5510" s="6" t="n">
        <v>200</v>
      </c>
      <c r="L5510" s="6">
        <f>+OPERAC[[#This Row],[cantidad venta]]*4.401</f>
        <v/>
      </c>
      <c r="M5510" s="7">
        <f>IF(N5510=0,+L5510+H5510,0)</f>
        <v/>
      </c>
      <c r="N5510" s="7">
        <f>IF((+G5510-K5510)=0,0,+G5510-K5510)</f>
        <v/>
      </c>
      <c r="O5510" s="7">
        <f>IF(N5510=0,0,(L5510+H5510)/-N5510)</f>
        <v/>
      </c>
      <c r="P5510" s="7">
        <f>VLOOKUP(OPERAC[[#This Row],[especie]],[1]!ESPECIES[#All],6,0)</f>
        <v/>
      </c>
      <c r="Q5510" s="7">
        <f>IF(N5510&lt;&gt;0,P5510*N5510,0)</f>
        <v/>
      </c>
      <c r="R5510" s="8">
        <f>IF(Q5510&lt;&gt;0,Q5510+H5510+L5510,0)</f>
        <v/>
      </c>
      <c r="S5510" s="9">
        <f>VLOOKUP(OPERAC[[#This Row],[especie]],[1]!ESPECIES[#Data],9,FALSE)</f>
        <v/>
      </c>
    </row>
    <row r="5511">
      <c r="A5511" s="4" t="n">
        <v>3728</v>
      </c>
      <c r="B5511" s="5" t="n">
        <v>44594</v>
      </c>
      <c r="C5511" s="13" t="inlineStr">
        <is>
          <t>VTA</t>
        </is>
      </c>
      <c r="D5511" s="13" t="n">
        <v>40</v>
      </c>
      <c r="E5511" s="10">
        <f>IF(D5511&gt;0,VLOOKUP(OPERAC[[#This Row],[COD CART]],[1]!MatrizCortoLargoCyl[#All],3,0),"")</f>
        <v/>
      </c>
      <c r="F5511" s="13" t="inlineStr">
        <is>
          <t>EDU</t>
        </is>
      </c>
      <c r="G5511" s="6" t="n">
        <v>1000</v>
      </c>
      <c r="H5511" s="6" t="n">
        <v>-2002</v>
      </c>
      <c r="I5511" s="7">
        <f>-H5511/G5511</f>
        <v/>
      </c>
      <c r="J5511" s="11" t="n">
        <v>44606</v>
      </c>
      <c r="K5511" s="6" t="n">
        <v>1000</v>
      </c>
      <c r="L5511" s="6" t="n">
        <v>1483.373</v>
      </c>
      <c r="M5511" s="7">
        <f>IF(N5511=0,+L5511+H5511,0)</f>
        <v/>
      </c>
      <c r="N5511" s="7">
        <f>IF((+G5511-K5511)=0,0,+G5511-K5511)</f>
        <v/>
      </c>
      <c r="O5511" s="7">
        <f>IF(N5511=0,0,(L5511+H5511)/-N5511)</f>
        <v/>
      </c>
      <c r="P5511" s="7">
        <f>VLOOKUP(OPERAC[[#This Row],[especie]],[1]!ESPECIES[#All],6,0)</f>
        <v/>
      </c>
      <c r="Q5511" s="7">
        <f>IF(N5511&lt;&gt;0,P5511*N5511,0)</f>
        <v/>
      </c>
      <c r="R5511" s="8">
        <f>IF(Q5511&lt;&gt;0,Q5511+H5511+L5511,0)</f>
        <v/>
      </c>
      <c r="S5511" s="9">
        <f>VLOOKUP(OPERAC[[#This Row],[especie]],[1]!ESPECIES[#Data],9,FALSE)</f>
        <v/>
      </c>
    </row>
    <row r="5512">
      <c r="A5512" s="4" t="n">
        <v>16783</v>
      </c>
      <c r="B5512" s="5" t="n">
        <v>44594</v>
      </c>
      <c r="C5512" s="13" t="inlineStr">
        <is>
          <t>VTA</t>
        </is>
      </c>
      <c r="D5512" s="13" t="n">
        <v>40</v>
      </c>
      <c r="E5512" s="10">
        <f>IF(D5512&gt;0,VLOOKUP(OPERAC[[#This Row],[COD CART]],[1]!MatrizCortoLargoCyl[#All],3,0),"")</f>
        <v/>
      </c>
      <c r="F5512" s="13" t="inlineStr">
        <is>
          <t>EDU</t>
        </is>
      </c>
      <c r="G5512" s="6" t="n">
        <v>1000</v>
      </c>
      <c r="H5512" s="6" t="n">
        <v>-2008</v>
      </c>
      <c r="I5512" s="7">
        <f>-H5512/G5512</f>
        <v/>
      </c>
      <c r="J5512" s="11" t="n">
        <v>44601</v>
      </c>
      <c r="K5512" s="6" t="n">
        <v>1000</v>
      </c>
      <c r="L5512" s="6" t="n">
        <v>1640</v>
      </c>
      <c r="M5512" s="7">
        <f>IF(N5512=0,+L5512+H5512,0)</f>
        <v/>
      </c>
      <c r="N5512" s="7">
        <f>IF((+G5512-K5512)=0,0,+G5512-K5512)</f>
        <v/>
      </c>
      <c r="O5512" s="7">
        <f>IF(N5512=0,0,(L5512+H5512)/-N5512)</f>
        <v/>
      </c>
      <c r="P5512" s="7">
        <f>VLOOKUP(OPERAC[[#This Row],[especie]],[1]!ESPECIES[#All],6,0)</f>
        <v/>
      </c>
      <c r="Q5512" s="7">
        <f>IF(N5512&lt;&gt;0,P5512*N5512,0)</f>
        <v/>
      </c>
      <c r="R5512" s="8">
        <f>IF(Q5512&lt;&gt;0,Q5512+H5512+L5512,0)</f>
        <v/>
      </c>
      <c r="S5512" s="9">
        <f>VLOOKUP(OPERAC[[#This Row],[especie]],[1]!ESPECIES[#Data],9,FALSE)</f>
        <v/>
      </c>
    </row>
    <row r="5513">
      <c r="A5513" s="4" t="n">
        <v>13240</v>
      </c>
      <c r="B5513" s="5" t="n">
        <v>44515</v>
      </c>
      <c r="C5513" s="13" t="inlineStr">
        <is>
          <t>VTA</t>
        </is>
      </c>
      <c r="D5513" s="13" t="n">
        <v>31</v>
      </c>
      <c r="E5513" s="10">
        <f>IF(D5513&gt;0,VLOOKUP(OPERAC[[#This Row],[COD CART]],[1]!MatrizCortoLargoCyl[#All],3,0),"")</f>
        <v/>
      </c>
      <c r="F5513" s="13" t="inlineStr">
        <is>
          <t>CEPU</t>
        </is>
      </c>
      <c r="G5513" s="6" t="n">
        <v>530</v>
      </c>
      <c r="H5513" s="6" t="n">
        <v>-2009.25544</v>
      </c>
      <c r="I5513" s="7">
        <f>-H5513/G5513</f>
        <v/>
      </c>
      <c r="J5513" s="11" t="n"/>
      <c r="K5513" s="6" t="n"/>
      <c r="L5513" s="6" t="n"/>
      <c r="M5513" s="7">
        <f>IF(N5513=0,+L5513+H5513,0)</f>
        <v/>
      </c>
      <c r="N5513" s="7">
        <f>IF((+G5513-K5513)=0,0,+G5513-K5513)</f>
        <v/>
      </c>
      <c r="O5513" s="7">
        <f>IF(N5513=0,0,(L5513+H5513)/-N5513)</f>
        <v/>
      </c>
      <c r="P5513" s="7">
        <f>VLOOKUP(OPERAC[[#This Row],[especie]],[1]!ESPECIES[#All],6,0)</f>
        <v/>
      </c>
      <c r="Q5513" s="7">
        <f>IF(N5513&lt;&gt;0,P5513*N5513,0)</f>
        <v/>
      </c>
      <c r="R5513" s="8">
        <f>IF(Q5513&lt;&gt;0,Q5513+H5513+L5513,0)</f>
        <v/>
      </c>
      <c r="S5513" s="9">
        <f>VLOOKUP(OPERAC[[#This Row],[especie]],[1]!ESPECIES[#Data],9,FALSE)</f>
        <v/>
      </c>
    </row>
    <row r="5514">
      <c r="A5514" s="4" t="n">
        <v>6628</v>
      </c>
      <c r="B5514" s="5" t="n">
        <v>44697</v>
      </c>
      <c r="C5514" s="13" t="inlineStr">
        <is>
          <t>VTA</t>
        </is>
      </c>
      <c r="D5514" s="13" t="n">
        <v>32</v>
      </c>
      <c r="E5514" s="10">
        <f>IF(D5514&gt;0,VLOOKUP(OPERAC[[#This Row],[COD CART]],[1]!MatrizCortoLargoCyl[#All],3,0),"")</f>
        <v/>
      </c>
      <c r="F5514" s="13" t="inlineStr">
        <is>
          <t>DDD/CYL/13,00/24-06-22</t>
        </is>
      </c>
      <c r="G5514" s="6" t="n">
        <v>200</v>
      </c>
      <c r="H5514" s="6" t="n">
        <v>-2010.02</v>
      </c>
      <c r="I5514" s="7">
        <f>-H5514/G5514</f>
        <v/>
      </c>
      <c r="J5514" s="11" t="n"/>
      <c r="K5514" s="6" t="n"/>
      <c r="L5514" s="6" t="n"/>
      <c r="M5514" s="7">
        <f>IF(N5514=0,+L5514+H5514,0)</f>
        <v/>
      </c>
      <c r="N5514" s="7">
        <f>IF((+G5514-K5514)=0,0,+G5514-K5514)</f>
        <v/>
      </c>
      <c r="O5514" s="7">
        <f>IF(N5514=0,0,(L5514+H5514)/-N5514)</f>
        <v/>
      </c>
      <c r="P5514" s="7">
        <f>VLOOKUP(OPERAC[[#This Row],[especie]],[1]!ESPECIES[#All],6,0)</f>
        <v/>
      </c>
      <c r="Q5514" s="7">
        <f>IF(N5514&lt;&gt;0,P5514*N5514,0)</f>
        <v/>
      </c>
      <c r="R5514" s="8">
        <f>IF(Q5514&lt;&gt;0,Q5514+H5514+L5514,0)</f>
        <v/>
      </c>
      <c r="S5514" s="9">
        <f>VLOOKUP(OPERAC[[#This Row],[especie]],[1]!ESPECIES[#Data],9,FALSE)</f>
        <v/>
      </c>
    </row>
    <row r="5515">
      <c r="A5515" s="4" t="n">
        <v>10079</v>
      </c>
      <c r="B5515" s="5" t="n">
        <v>44722</v>
      </c>
      <c r="C5515" s="13" t="inlineStr">
        <is>
          <t>VTA</t>
        </is>
      </c>
      <c r="D5515" s="13" t="n">
        <v>32</v>
      </c>
      <c r="E5515" s="10">
        <f>IF(D5515&gt;0,VLOOKUP(OPERAC[[#This Row],[COD CART]],[1]!MatrizCortoLargoCyl[#All],3,0),"")</f>
        <v/>
      </c>
      <c r="F5515" s="13" t="inlineStr">
        <is>
          <t>CCL/CYL/10,50/24-06-22</t>
        </is>
      </c>
      <c r="G5515" s="6" t="n">
        <v>200</v>
      </c>
      <c r="H5515" s="6" t="n">
        <v>-2010.66</v>
      </c>
      <c r="I5515" s="7">
        <f>-H5515/G5515</f>
        <v/>
      </c>
      <c r="J5515" s="5" t="n"/>
      <c r="K5515" s="6" t="n"/>
      <c r="L5515" s="6" t="n"/>
      <c r="M5515" s="7">
        <f>IF(N5515=0,+L5515+H5515,0)</f>
        <v/>
      </c>
      <c r="N5515" s="7">
        <f>IF((+G5515-K5515)=0,0,+G5515-K5515)</f>
        <v/>
      </c>
      <c r="O5515" s="7">
        <f>IF(N5515=0,0,(L5515+H5515)/-N5515)</f>
        <v/>
      </c>
      <c r="P5515" s="7">
        <f>VLOOKUP(OPERAC[[#This Row],[especie]],[1]!ESPECIES[#All],6,0)</f>
        <v/>
      </c>
      <c r="Q5515" s="7">
        <f>IF(N5515&lt;&gt;0,P5515*N5515,0)</f>
        <v/>
      </c>
      <c r="R5515" s="8">
        <f>IF(Q5515&lt;&gt;0,Q5515+H5515+L5515,0)</f>
        <v/>
      </c>
      <c r="S5515" s="9">
        <f>VLOOKUP(OPERAC[[#This Row],[especie]],[1]!ESPECIES[#Data],9,FALSE)</f>
        <v/>
      </c>
    </row>
    <row r="5516">
      <c r="A5516" s="4" t="n">
        <v>7916</v>
      </c>
      <c r="B5516" s="5" t="n">
        <v>44594</v>
      </c>
      <c r="C5516" s="13" t="inlineStr">
        <is>
          <t>VTA</t>
        </is>
      </c>
      <c r="D5516" s="13" t="n">
        <v>40</v>
      </c>
      <c r="E5516" s="10">
        <f>IF(D5516&gt;0,VLOOKUP(OPERAC[[#This Row],[COD CART]],[1]!MatrizCortoLargoCyl[#All],3,0),"")</f>
        <v/>
      </c>
      <c r="F5516" s="13" t="inlineStr">
        <is>
          <t>EDU</t>
        </is>
      </c>
      <c r="G5516" s="6" t="n">
        <v>1000</v>
      </c>
      <c r="H5516" s="6" t="n">
        <v>-2016</v>
      </c>
      <c r="I5516" s="7">
        <f>-H5516/G5516</f>
        <v/>
      </c>
      <c r="J5516" s="11" t="n">
        <v>44599</v>
      </c>
      <c r="K5516" s="6" t="n">
        <v>1000</v>
      </c>
      <c r="L5516" s="6" t="n">
        <v>1540</v>
      </c>
      <c r="M5516" s="7">
        <f>IF(N5516=0,+L5516+H5516,0)</f>
        <v/>
      </c>
      <c r="N5516" s="7">
        <f>IF((+G5516-K5516)=0,0,+G5516-K5516)</f>
        <v/>
      </c>
      <c r="O5516" s="7">
        <f>IF(N5516=0,0,(L5516+H5516)/-N5516)</f>
        <v/>
      </c>
      <c r="P5516" s="7">
        <f>VLOOKUP(OPERAC[[#This Row],[especie]],[1]!ESPECIES[#All],6,0)</f>
        <v/>
      </c>
      <c r="Q5516" s="7">
        <f>IF(N5516&lt;&gt;0,P5516*N5516,0)</f>
        <v/>
      </c>
      <c r="R5516" s="8">
        <f>IF(Q5516&lt;&gt;0,Q5516+H5516+L5516,0)</f>
        <v/>
      </c>
      <c r="S5516" s="9">
        <f>VLOOKUP(OPERAC[[#This Row],[especie]],[1]!ESPECIES[#Data],9,FALSE)</f>
        <v/>
      </c>
    </row>
    <row r="5517">
      <c r="A5517" s="4" t="n">
        <v>22393</v>
      </c>
      <c r="B5517" s="5" t="n">
        <v>44594</v>
      </c>
      <c r="C5517" s="13" t="inlineStr">
        <is>
          <t>VTA</t>
        </is>
      </c>
      <c r="D5517" s="13" t="n">
        <v>40</v>
      </c>
      <c r="E5517" s="10">
        <f>IF(D5517&gt;0,VLOOKUP(OPERAC[[#This Row],[COD CART]],[1]!MatrizCortoLargoCyl[#All],3,0),"")</f>
        <v/>
      </c>
      <c r="F5517" s="13" t="inlineStr">
        <is>
          <t>EDU</t>
        </is>
      </c>
      <c r="G5517" s="6" t="n">
        <v>100</v>
      </c>
      <c r="H5517" s="6" t="n">
        <v>-2016</v>
      </c>
      <c r="I5517" s="7">
        <f>-H5517/G5517</f>
        <v/>
      </c>
      <c r="J5517" s="11" t="n">
        <v>44683</v>
      </c>
      <c r="K5517" s="6" t="n">
        <v>100</v>
      </c>
      <c r="L5517" s="6">
        <f>+OPERAC[[#This Row],[cantidad venta]]*12.86</f>
        <v/>
      </c>
      <c r="M5517" s="7">
        <f>IF(N5517=0,+L5517+H5517,0)</f>
        <v/>
      </c>
      <c r="N5517" s="7">
        <f>IF((+G5517-K5517)=0,0,+G5517-K5517)</f>
        <v/>
      </c>
      <c r="O5517" s="7">
        <f>IF(N5517=0,0,(L5517+H5517)/-N5517)</f>
        <v/>
      </c>
      <c r="P5517" s="7">
        <f>VLOOKUP(OPERAC[[#This Row],[especie]],[1]!ESPECIES[#All],6,0)</f>
        <v/>
      </c>
      <c r="Q5517" s="7">
        <f>IF(N5517&lt;&gt;0,P5517*N5517,0)</f>
        <v/>
      </c>
      <c r="R5517" s="8">
        <f>IF(Q5517&lt;&gt;0,Q5517+H5517+L5517,0)</f>
        <v/>
      </c>
      <c r="S5517" s="9">
        <f>VLOOKUP(OPERAC[[#This Row],[especie]],[1]!ESPECIES[#Data],9,FALSE)</f>
        <v/>
      </c>
    </row>
    <row r="5518">
      <c r="A5518" s="4" t="n">
        <v>15194</v>
      </c>
      <c r="B5518" s="5" t="n">
        <v>44594</v>
      </c>
      <c r="C5518" s="13" t="inlineStr">
        <is>
          <t>VTA</t>
        </is>
      </c>
      <c r="D5518" s="13" t="n">
        <v>40</v>
      </c>
      <c r="E5518" s="10">
        <f>IF(D5518&gt;0,VLOOKUP(OPERAC[[#This Row],[COD CART]],[1]!MatrizCortoLargoCyl[#All],3,0),"")</f>
        <v/>
      </c>
      <c r="F5518" s="13" t="inlineStr">
        <is>
          <t>EDU</t>
        </is>
      </c>
      <c r="G5518" s="6" t="n">
        <v>1000</v>
      </c>
      <c r="H5518" s="6" t="n">
        <v>-2016</v>
      </c>
      <c r="I5518" s="7">
        <f>-H5518/G5518</f>
        <v/>
      </c>
      <c r="J5518" s="11" t="n">
        <v>44601</v>
      </c>
      <c r="K5518" s="6" t="n">
        <v>1000</v>
      </c>
      <c r="L5518" s="6" t="n">
        <v>1640</v>
      </c>
      <c r="M5518" s="7">
        <f>IF(N5518=0,+L5518+H5518,0)</f>
        <v/>
      </c>
      <c r="N5518" s="7">
        <f>IF((+G5518-K5518)=0,0,+G5518-K5518)</f>
        <v/>
      </c>
      <c r="O5518" s="7">
        <f>IF(N5518=0,0,(L5518+H5518)/-N5518)</f>
        <v/>
      </c>
      <c r="P5518" s="7">
        <f>VLOOKUP(OPERAC[[#This Row],[especie]],[1]!ESPECIES[#All],6,0)</f>
        <v/>
      </c>
      <c r="Q5518" s="7">
        <f>IF(N5518&lt;&gt;0,P5518*N5518,0)</f>
        <v/>
      </c>
      <c r="R5518" s="8">
        <f>IF(Q5518&lt;&gt;0,Q5518+H5518+L5518,0)</f>
        <v/>
      </c>
      <c r="S5518" s="9">
        <f>VLOOKUP(OPERAC[[#This Row],[especie]],[1]!ESPECIES[#Data],9,FALSE)</f>
        <v/>
      </c>
    </row>
    <row r="5519">
      <c r="A5519" s="4" t="n">
        <v>15195</v>
      </c>
      <c r="B5519" s="5" t="n">
        <v>44594</v>
      </c>
      <c r="C5519" s="13" t="inlineStr">
        <is>
          <t>VTA</t>
        </is>
      </c>
      <c r="D5519" s="13" t="n">
        <v>40</v>
      </c>
      <c r="E5519" s="10">
        <f>IF(D5519&gt;0,VLOOKUP(OPERAC[[#This Row],[COD CART]],[1]!MatrizCortoLargoCyl[#All],3,0),"")</f>
        <v/>
      </c>
      <c r="F5519" s="13" t="inlineStr">
        <is>
          <t>EDU</t>
        </is>
      </c>
      <c r="G5519" s="6" t="n">
        <v>1000</v>
      </c>
      <c r="H5519" s="6" t="n">
        <v>-2016</v>
      </c>
      <c r="I5519" s="7">
        <f>-H5519/G5519</f>
        <v/>
      </c>
      <c r="J5519" s="11" t="n">
        <v>44599</v>
      </c>
      <c r="K5519" s="6" t="n">
        <v>1000</v>
      </c>
      <c r="L5519" s="6" t="n">
        <v>1640</v>
      </c>
      <c r="M5519" s="7">
        <f>IF(N5519=0,+L5519+H5519,0)</f>
        <v/>
      </c>
      <c r="N5519" s="7">
        <f>IF((+G5519-K5519)=0,0,+G5519-K5519)</f>
        <v/>
      </c>
      <c r="O5519" s="7">
        <f>IF(N5519=0,0,(L5519+H5519)/-N5519)</f>
        <v/>
      </c>
      <c r="P5519" s="7">
        <f>VLOOKUP(OPERAC[[#This Row],[especie]],[1]!ESPECIES[#All],6,0)</f>
        <v/>
      </c>
      <c r="Q5519" s="7">
        <f>IF(N5519&lt;&gt;0,P5519*N5519,0)</f>
        <v/>
      </c>
      <c r="R5519" s="8">
        <f>IF(Q5519&lt;&gt;0,Q5519+H5519+L5519,0)</f>
        <v/>
      </c>
      <c r="S5519" s="9">
        <f>VLOOKUP(OPERAC[[#This Row],[especie]],[1]!ESPECIES[#Data],9,FALSE)</f>
        <v/>
      </c>
    </row>
    <row r="5520">
      <c r="A5520" s="4" t="n">
        <v>16780</v>
      </c>
      <c r="B5520" s="5" t="n">
        <v>44594</v>
      </c>
      <c r="C5520" s="13" t="inlineStr">
        <is>
          <t>VTA</t>
        </is>
      </c>
      <c r="D5520" s="13" t="n">
        <v>40</v>
      </c>
      <c r="E5520" s="10">
        <f>IF(D5520&gt;0,VLOOKUP(OPERAC[[#This Row],[COD CART]],[1]!MatrizCortoLargoCyl[#All],3,0),"")</f>
        <v/>
      </c>
      <c r="F5520" s="13" t="inlineStr">
        <is>
          <t>EDU</t>
        </is>
      </c>
      <c r="G5520" s="6" t="n">
        <v>1000</v>
      </c>
      <c r="H5520" s="6" t="n">
        <v>-2016</v>
      </c>
      <c r="I5520" s="7">
        <f>-H5520/G5520</f>
        <v/>
      </c>
      <c r="J5520" s="11" t="n">
        <v>44601</v>
      </c>
      <c r="K5520" s="6" t="n">
        <v>1000</v>
      </c>
      <c r="L5520" s="6" t="n">
        <v>1640</v>
      </c>
      <c r="M5520" s="7">
        <f>IF(N5520=0,+L5520+H5520,0)</f>
        <v/>
      </c>
      <c r="N5520" s="7">
        <f>IF((+G5520-K5520)=0,0,+G5520-K5520)</f>
        <v/>
      </c>
      <c r="O5520" s="7">
        <f>IF(N5520=0,0,(L5520+H5520)/-N5520)</f>
        <v/>
      </c>
      <c r="P5520" s="7">
        <f>VLOOKUP(OPERAC[[#This Row],[especie]],[1]!ESPECIES[#All],6,0)</f>
        <v/>
      </c>
      <c r="Q5520" s="7">
        <f>IF(N5520&lt;&gt;0,P5520*N5520,0)</f>
        <v/>
      </c>
      <c r="R5520" s="8">
        <f>IF(Q5520&lt;&gt;0,Q5520+H5520+L5520,0)</f>
        <v/>
      </c>
      <c r="S5520" s="9">
        <f>VLOOKUP(OPERAC[[#This Row],[especie]],[1]!ESPECIES[#Data],9,FALSE)</f>
        <v/>
      </c>
    </row>
    <row r="5521">
      <c r="A5521" s="4" t="n">
        <v>18651</v>
      </c>
      <c r="B5521" s="5" t="n">
        <v>44594</v>
      </c>
      <c r="C5521" s="13" t="inlineStr">
        <is>
          <t>VTA</t>
        </is>
      </c>
      <c r="D5521" s="13" t="n">
        <v>40</v>
      </c>
      <c r="E5521" s="10">
        <f>IF(D5521&gt;0,VLOOKUP(OPERAC[[#This Row],[COD CART]],[1]!MatrizCortoLargoCyl[#All],3,0),"")</f>
        <v/>
      </c>
      <c r="F5521" s="13" t="inlineStr">
        <is>
          <t>EDU</t>
        </is>
      </c>
      <c r="G5521" s="6" t="n">
        <v>1000</v>
      </c>
      <c r="H5521" s="6" t="n">
        <v>-2016</v>
      </c>
      <c r="I5521" s="7">
        <f>-H5521/G5521</f>
        <v/>
      </c>
      <c r="J5521" s="11" t="n">
        <v>44599</v>
      </c>
      <c r="K5521" s="6" t="n">
        <v>1000</v>
      </c>
      <c r="L5521" s="6" t="n">
        <v>1540</v>
      </c>
      <c r="M5521" s="7">
        <f>IF(N5521=0,+L5521+H5521,0)</f>
        <v/>
      </c>
      <c r="N5521" s="7">
        <f>IF((+G5521-K5521)=0,0,+G5521-K5521)</f>
        <v/>
      </c>
      <c r="O5521" s="7">
        <f>IF(N5521=0,0,(L5521+H5521)/-N5521)</f>
        <v/>
      </c>
      <c r="P5521" s="7">
        <f>VLOOKUP(OPERAC[[#This Row],[especie]],[1]!ESPECIES[#All],6,0)</f>
        <v/>
      </c>
      <c r="Q5521" s="7">
        <f>IF(N5521&lt;&gt;0,P5521*N5521,0)</f>
        <v/>
      </c>
      <c r="R5521" s="8">
        <f>IF(Q5521&lt;&gt;0,Q5521+H5521+L5521,0)</f>
        <v/>
      </c>
      <c r="S5521" s="9">
        <f>VLOOKUP(OPERAC[[#This Row],[especie]],[1]!ESPECIES[#Data],9,FALSE)</f>
        <v/>
      </c>
    </row>
    <row r="5522">
      <c r="A5522" s="4" t="n">
        <v>18690</v>
      </c>
      <c r="B5522" s="5" t="n">
        <v>44594</v>
      </c>
      <c r="C5522" s="13" t="inlineStr">
        <is>
          <t>VTA</t>
        </is>
      </c>
      <c r="D5522" s="13" t="n">
        <v>40</v>
      </c>
      <c r="E5522" s="10">
        <f>IF(D5522&gt;0,VLOOKUP(OPERAC[[#This Row],[COD CART]],[1]!MatrizCortoLargoCyl[#All],3,0),"")</f>
        <v/>
      </c>
      <c r="F5522" s="13" t="inlineStr">
        <is>
          <t>EDU</t>
        </is>
      </c>
      <c r="G5522" s="6" t="n">
        <v>1000</v>
      </c>
      <c r="H5522" s="6" t="n">
        <v>-2016</v>
      </c>
      <c r="I5522" s="7">
        <f>-H5522/G5522</f>
        <v/>
      </c>
      <c r="J5522" s="11" t="n">
        <v>44601</v>
      </c>
      <c r="K5522" s="6" t="n">
        <v>1000</v>
      </c>
      <c r="L5522" s="6" t="n">
        <v>1640</v>
      </c>
      <c r="M5522" s="7">
        <f>IF(N5522=0,+L5522+H5522,0)</f>
        <v/>
      </c>
      <c r="N5522" s="7">
        <f>IF((+G5522-K5522)=0,0,+G5522-K5522)</f>
        <v/>
      </c>
      <c r="O5522" s="7">
        <f>IF(N5522=0,0,(L5522+H5522)/-N5522)</f>
        <v/>
      </c>
      <c r="P5522" s="7">
        <f>VLOOKUP(OPERAC[[#This Row],[especie]],[1]!ESPECIES[#All],6,0)</f>
        <v/>
      </c>
      <c r="Q5522" s="7">
        <f>IF(N5522&lt;&gt;0,P5522*N5522,0)</f>
        <v/>
      </c>
      <c r="R5522" s="8">
        <f>IF(Q5522&lt;&gt;0,Q5522+H5522+L5522,0)</f>
        <v/>
      </c>
      <c r="S5522" s="9">
        <f>VLOOKUP(OPERAC[[#This Row],[especie]],[1]!ESPECIES[#Data],9,FALSE)</f>
        <v/>
      </c>
    </row>
    <row r="5523">
      <c r="A5523" s="4" t="n">
        <v>18705</v>
      </c>
      <c r="B5523" s="5" t="n">
        <v>44594</v>
      </c>
      <c r="C5523" s="13" t="inlineStr">
        <is>
          <t>VTA</t>
        </is>
      </c>
      <c r="D5523" s="13" t="n">
        <v>40</v>
      </c>
      <c r="E5523" s="10">
        <f>IF(D5523&gt;0,VLOOKUP(OPERAC[[#This Row],[COD CART]],[1]!MatrizCortoLargoCyl[#All],3,0),"")</f>
        <v/>
      </c>
      <c r="F5523" s="13" t="inlineStr">
        <is>
          <t>EDU</t>
        </is>
      </c>
      <c r="G5523" s="6" t="n">
        <v>1000</v>
      </c>
      <c r="H5523" s="6" t="n">
        <v>-2016</v>
      </c>
      <c r="I5523" s="7">
        <f>-H5523/G5523</f>
        <v/>
      </c>
      <c r="J5523" s="11" t="n">
        <v>44599</v>
      </c>
      <c r="K5523" s="6" t="n">
        <v>1000</v>
      </c>
      <c r="L5523" s="6" t="n">
        <v>1540</v>
      </c>
      <c r="M5523" s="7">
        <f>IF(N5523=0,+L5523+H5523,0)</f>
        <v/>
      </c>
      <c r="N5523" s="7">
        <f>IF((+G5523-K5523)=0,0,+G5523-K5523)</f>
        <v/>
      </c>
      <c r="O5523" s="7">
        <f>IF(N5523=0,0,(L5523+H5523)/-N5523)</f>
        <v/>
      </c>
      <c r="P5523" s="7">
        <f>VLOOKUP(OPERAC[[#This Row],[especie]],[1]!ESPECIES[#All],6,0)</f>
        <v/>
      </c>
      <c r="Q5523" s="7">
        <f>IF(N5523&lt;&gt;0,P5523*N5523,0)</f>
        <v/>
      </c>
      <c r="R5523" s="8">
        <f>IF(Q5523&lt;&gt;0,Q5523+H5523+L5523,0)</f>
        <v/>
      </c>
      <c r="S5523" s="9">
        <f>VLOOKUP(OPERAC[[#This Row],[especie]],[1]!ESPECIES[#Data],9,FALSE)</f>
        <v/>
      </c>
    </row>
    <row r="5524">
      <c r="A5524" s="4" t="n">
        <v>19920</v>
      </c>
      <c r="B5524" s="5" t="n">
        <v>44594</v>
      </c>
      <c r="C5524" s="13" t="inlineStr">
        <is>
          <t>VTA</t>
        </is>
      </c>
      <c r="D5524" s="13" t="n">
        <v>40</v>
      </c>
      <c r="E5524" s="10">
        <f>IF(D5524&gt;0,VLOOKUP(OPERAC[[#This Row],[COD CART]],[1]!MatrizCortoLargoCyl[#All],3,0),"")</f>
        <v/>
      </c>
      <c r="F5524" s="13" t="inlineStr">
        <is>
          <t>EDU</t>
        </is>
      </c>
      <c r="G5524" s="6" t="n">
        <v>1000</v>
      </c>
      <c r="H5524" s="6" t="n">
        <v>-2016</v>
      </c>
      <c r="I5524" s="7">
        <f>-H5524/G5524</f>
        <v/>
      </c>
      <c r="J5524" s="11" t="n">
        <v>44601</v>
      </c>
      <c r="K5524" s="6" t="n">
        <v>1000</v>
      </c>
      <c r="L5524" s="6" t="n">
        <v>1640</v>
      </c>
      <c r="M5524" s="7">
        <f>IF(N5524=0,+L5524+H5524,0)</f>
        <v/>
      </c>
      <c r="N5524" s="7">
        <f>IF((+G5524-K5524)=0,0,+G5524-K5524)</f>
        <v/>
      </c>
      <c r="O5524" s="7">
        <f>IF(N5524=0,0,(L5524+H5524)/-N5524)</f>
        <v/>
      </c>
      <c r="P5524" s="7">
        <f>VLOOKUP(OPERAC[[#This Row],[especie]],[1]!ESPECIES[#All],6,0)</f>
        <v/>
      </c>
      <c r="Q5524" s="7">
        <f>IF(N5524&lt;&gt;0,P5524*N5524,0)</f>
        <v/>
      </c>
      <c r="R5524" s="8">
        <f>IF(Q5524&lt;&gt;0,Q5524+H5524+L5524,0)</f>
        <v/>
      </c>
      <c r="S5524" s="9">
        <f>VLOOKUP(OPERAC[[#This Row],[especie]],[1]!ESPECIES[#Data],9,FALSE)</f>
        <v/>
      </c>
    </row>
    <row r="5525">
      <c r="A5525" s="4" t="n">
        <v>19932</v>
      </c>
      <c r="B5525" s="5" t="n">
        <v>44594</v>
      </c>
      <c r="C5525" s="13" t="inlineStr">
        <is>
          <t>VTA</t>
        </is>
      </c>
      <c r="D5525" s="13" t="n">
        <v>40</v>
      </c>
      <c r="E5525" s="10">
        <f>IF(D5525&gt;0,VLOOKUP(OPERAC[[#This Row],[COD CART]],[1]!MatrizCortoLargoCyl[#All],3,0),"")</f>
        <v/>
      </c>
      <c r="F5525" s="13" t="inlineStr">
        <is>
          <t>EDU</t>
        </is>
      </c>
      <c r="G5525" s="6" t="n">
        <v>1000</v>
      </c>
      <c r="H5525" s="6" t="n">
        <v>-2016</v>
      </c>
      <c r="I5525" s="7">
        <f>-H5525/G5525</f>
        <v/>
      </c>
      <c r="J5525" s="11" t="n">
        <v>44601</v>
      </c>
      <c r="K5525" s="6" t="n">
        <v>1000</v>
      </c>
      <c r="L5525" s="6" t="n">
        <v>1640</v>
      </c>
      <c r="M5525" s="7">
        <f>IF(N5525=0,+L5525+H5525,0)</f>
        <v/>
      </c>
      <c r="N5525" s="7">
        <f>IF((+G5525-K5525)=0,0,+G5525-K5525)</f>
        <v/>
      </c>
      <c r="O5525" s="7">
        <f>IF(N5525=0,0,(L5525+H5525)/-N5525)</f>
        <v/>
      </c>
      <c r="P5525" s="7">
        <f>VLOOKUP(OPERAC[[#This Row],[especie]],[1]!ESPECIES[#All],6,0)</f>
        <v/>
      </c>
      <c r="Q5525" s="7">
        <f>IF(N5525&lt;&gt;0,P5525*N5525,0)</f>
        <v/>
      </c>
      <c r="R5525" s="8">
        <f>IF(Q5525&lt;&gt;0,Q5525+H5525+L5525,0)</f>
        <v/>
      </c>
      <c r="S5525" s="9">
        <f>VLOOKUP(OPERAC[[#This Row],[especie]],[1]!ESPECIES[#Data],9,FALSE)</f>
        <v/>
      </c>
    </row>
    <row r="5526">
      <c r="A5526" s="4" t="n">
        <v>20317</v>
      </c>
      <c r="B5526" s="5" t="n">
        <v>44594</v>
      </c>
      <c r="C5526" s="13" t="inlineStr">
        <is>
          <t>VTA</t>
        </is>
      </c>
      <c r="D5526" s="13" t="n">
        <v>40</v>
      </c>
      <c r="E5526" s="10">
        <f>IF(D5526&gt;0,VLOOKUP(OPERAC[[#This Row],[COD CART]],[1]!MatrizCortoLargoCyl[#All],3,0),"")</f>
        <v/>
      </c>
      <c r="F5526" s="13" t="inlineStr">
        <is>
          <t>EDU</t>
        </is>
      </c>
      <c r="G5526" s="6" t="n">
        <v>1000</v>
      </c>
      <c r="H5526" s="6" t="n">
        <v>-2016</v>
      </c>
      <c r="I5526" s="7">
        <f>-H5526/G5526</f>
        <v/>
      </c>
      <c r="J5526" s="11" t="n">
        <v>44601</v>
      </c>
      <c r="K5526" s="6" t="n">
        <v>1000</v>
      </c>
      <c r="L5526" s="6" t="n">
        <v>1640</v>
      </c>
      <c r="M5526" s="7">
        <f>IF(N5526=0,+L5526+H5526,0)</f>
        <v/>
      </c>
      <c r="N5526" s="7">
        <f>IF((+G5526-K5526)=0,0,+G5526-K5526)</f>
        <v/>
      </c>
      <c r="O5526" s="7">
        <f>IF(N5526=0,0,(L5526+H5526)/-N5526)</f>
        <v/>
      </c>
      <c r="P5526" s="7">
        <f>VLOOKUP(OPERAC[[#This Row],[especie]],[1]!ESPECIES[#All],6,0)</f>
        <v/>
      </c>
      <c r="Q5526" s="7">
        <f>IF(N5526&lt;&gt;0,P5526*N5526,0)</f>
        <v/>
      </c>
      <c r="R5526" s="8">
        <f>IF(Q5526&lt;&gt;0,Q5526+H5526+L5526,0)</f>
        <v/>
      </c>
      <c r="S5526" s="9">
        <f>VLOOKUP(OPERAC[[#This Row],[especie]],[1]!ESPECIES[#Data],9,FALSE)</f>
        <v/>
      </c>
    </row>
    <row r="5527">
      <c r="A5527" s="4" t="n">
        <v>22407</v>
      </c>
      <c r="B5527" s="5" t="n">
        <v>44594</v>
      </c>
      <c r="C5527" s="13" t="inlineStr">
        <is>
          <t>VTA</t>
        </is>
      </c>
      <c r="D5527" s="13" t="n">
        <v>40</v>
      </c>
      <c r="E5527" s="10">
        <f>IF(D5527&gt;0,VLOOKUP(OPERAC[[#This Row],[COD CART]],[1]!MatrizCortoLargoCyl[#All],3,0),"")</f>
        <v/>
      </c>
      <c r="F5527" s="13" t="inlineStr">
        <is>
          <t>EDU</t>
        </is>
      </c>
      <c r="G5527" s="6" t="n">
        <v>1000</v>
      </c>
      <c r="H5527" s="6" t="n">
        <v>-2016</v>
      </c>
      <c r="I5527" s="7">
        <f>-H5527/G5527</f>
        <v/>
      </c>
      <c r="J5527" s="11" t="n">
        <v>44601</v>
      </c>
      <c r="K5527" s="6" t="n">
        <v>1000</v>
      </c>
      <c r="L5527" s="6" t="n">
        <v>1640</v>
      </c>
      <c r="M5527" s="7">
        <f>IF(N5527=0,+L5527+H5527,0)</f>
        <v/>
      </c>
      <c r="N5527" s="7">
        <f>IF((+G5527-K5527)=0,0,+G5527-K5527)</f>
        <v/>
      </c>
      <c r="O5527" s="7">
        <f>IF(N5527=0,0,(L5527+H5527)/-N5527)</f>
        <v/>
      </c>
      <c r="P5527" s="7">
        <f>VLOOKUP(OPERAC[[#This Row],[especie]],[1]!ESPECIES[#All],6,0)</f>
        <v/>
      </c>
      <c r="Q5527" s="7">
        <f>IF(N5527&lt;&gt;0,P5527*N5527,0)</f>
        <v/>
      </c>
      <c r="R5527" s="8">
        <f>IF(Q5527&lt;&gt;0,Q5527+H5527+L5527,0)</f>
        <v/>
      </c>
      <c r="S5527" s="9">
        <f>VLOOKUP(OPERAC[[#This Row],[especie]],[1]!ESPECIES[#Data],9,FALSE)</f>
        <v/>
      </c>
    </row>
    <row r="5528">
      <c r="A5528" s="4" t="n">
        <v>25070</v>
      </c>
      <c r="B5528" s="5" t="n">
        <v>44594</v>
      </c>
      <c r="C5528" s="13" t="inlineStr">
        <is>
          <t>VTA</t>
        </is>
      </c>
      <c r="D5528" s="13" t="n">
        <v>40</v>
      </c>
      <c r="E5528" s="10">
        <f>IF(D5528&gt;0,VLOOKUP(OPERAC[[#This Row],[COD CART]],[1]!MatrizCortoLargoCyl[#All],3,0),"")</f>
        <v/>
      </c>
      <c r="F5528" s="13" t="inlineStr">
        <is>
          <t>EDU</t>
        </is>
      </c>
      <c r="G5528" s="6" t="n">
        <v>1000</v>
      </c>
      <c r="H5528" s="6" t="n">
        <v>-2016</v>
      </c>
      <c r="I5528" s="7">
        <f>-H5528/G5528</f>
        <v/>
      </c>
      <c r="J5528" s="11" t="n">
        <v>44601</v>
      </c>
      <c r="K5528" s="6" t="n">
        <v>1000</v>
      </c>
      <c r="L5528" s="6" t="n">
        <v>1640</v>
      </c>
      <c r="M5528" s="7">
        <f>IF(N5528=0,+L5528+H5528,0)</f>
        <v/>
      </c>
      <c r="N5528" s="7">
        <f>IF((+G5528-K5528)=0,0,+G5528-K5528)</f>
        <v/>
      </c>
      <c r="O5528" s="7">
        <f>IF(N5528=0,0,(L5528+H5528)/-N5528)</f>
        <v/>
      </c>
      <c r="P5528" s="7">
        <f>VLOOKUP(OPERAC[[#This Row],[especie]],[1]!ESPECIES[#All],6,0)</f>
        <v/>
      </c>
      <c r="Q5528" s="7">
        <f>IF(N5528&lt;&gt;0,P5528*N5528,0)</f>
        <v/>
      </c>
      <c r="R5528" s="8">
        <f>IF(Q5528&lt;&gt;0,Q5528+H5528+L5528,0)</f>
        <v/>
      </c>
      <c r="S5528" s="9">
        <f>VLOOKUP(OPERAC[[#This Row],[especie]],[1]!ESPECIES[#Data],9,FALSE)</f>
        <v/>
      </c>
    </row>
    <row r="5529">
      <c r="A5529" s="4" t="n">
        <v>13240</v>
      </c>
      <c r="B5529" s="5" t="n">
        <v>44515</v>
      </c>
      <c r="C5529" s="13" t="inlineStr">
        <is>
          <t>VTA</t>
        </is>
      </c>
      <c r="D5529" s="13" t="n">
        <v>31</v>
      </c>
      <c r="E5529" s="10">
        <f>IF(D5529&gt;0,VLOOKUP(OPERAC[[#This Row],[COD CART]],[1]!MatrizCortoLargoCyl[#All],3,0),"")</f>
        <v/>
      </c>
      <c r="F5529" s="13" t="inlineStr">
        <is>
          <t>YPF</t>
        </is>
      </c>
      <c r="G5529" s="6" t="n">
        <v>470</v>
      </c>
      <c r="H5529" s="6" t="n">
        <v>-2024.35768</v>
      </c>
      <c r="I5529" s="7">
        <f>-H5529/G5529</f>
        <v/>
      </c>
      <c r="J5529" s="11" t="n"/>
      <c r="K5529" s="6" t="n"/>
      <c r="L5529" s="6" t="n"/>
      <c r="M5529" s="7">
        <f>IF(N5529=0,+L5529+H5529,0)</f>
        <v/>
      </c>
      <c r="N5529" s="7">
        <f>IF((+G5529-K5529)=0,0,+G5529-K5529)</f>
        <v/>
      </c>
      <c r="O5529" s="7">
        <f>IF(N5529=0,0,(L5529+H5529)/-N5529)</f>
        <v/>
      </c>
      <c r="P5529" s="7">
        <f>VLOOKUP(OPERAC[[#This Row],[especie]],[1]!ESPECIES[#All],6,0)</f>
        <v/>
      </c>
      <c r="Q5529" s="7">
        <f>IF(N5529&lt;&gt;0,P5529*N5529,0)</f>
        <v/>
      </c>
      <c r="R5529" s="8">
        <f>IF(Q5529&lt;&gt;0,Q5529+H5529+L5529,0)</f>
        <v/>
      </c>
      <c r="S5529" s="9">
        <f>VLOOKUP(OPERAC[[#This Row],[especie]],[1]!ESPECIES[#Data],9,FALSE)</f>
        <v/>
      </c>
    </row>
    <row r="5530">
      <c r="A5530" s="4" t="n">
        <v>16776</v>
      </c>
      <c r="B5530" s="5" t="n">
        <v>44501</v>
      </c>
      <c r="C5530" s="13" t="inlineStr">
        <is>
          <t>VTA</t>
        </is>
      </c>
      <c r="D5530" s="13" t="n">
        <v>40</v>
      </c>
      <c r="E5530" s="10">
        <f>IF(D5530&gt;0,VLOOKUP(OPERAC[[#This Row],[COD CART]],[1]!MatrizCortoLargoCyl[#All],3,0),"")</f>
        <v/>
      </c>
      <c r="F5530" s="13" t="inlineStr">
        <is>
          <t>SKLZ</t>
        </is>
      </c>
      <c r="G5530" s="6" t="n">
        <v>200</v>
      </c>
      <c r="H5530" s="6" t="n">
        <v>-2029.614</v>
      </c>
      <c r="I5530" s="7">
        <f>-H5530/G5530</f>
        <v/>
      </c>
      <c r="J5530" s="11" t="n">
        <v>44630</v>
      </c>
      <c r="K5530" s="6" t="n">
        <v>200</v>
      </c>
      <c r="L5530" s="6" t="n">
        <v>499.93</v>
      </c>
      <c r="M5530" s="7">
        <f>IF(N5530=0,+L5530+H5530,0)</f>
        <v/>
      </c>
      <c r="N5530" s="7">
        <f>IF((+G5530-K5530)=0,0,+G5530-K5530)</f>
        <v/>
      </c>
      <c r="O5530" s="7">
        <f>IF(N5530=0,0,(L5530+H5530)/-N5530)</f>
        <v/>
      </c>
      <c r="P5530" s="7">
        <f>VLOOKUP(OPERAC[[#This Row],[especie]],[1]!ESPECIES[#All],6,0)</f>
        <v/>
      </c>
      <c r="Q5530" s="7">
        <f>IF(N5530&lt;&gt;0,P5530*N5530,0)</f>
        <v/>
      </c>
      <c r="R5530" s="8">
        <f>IF(Q5530&lt;&gt;0,Q5530+H5530+L5530,0)</f>
        <v/>
      </c>
      <c r="S5530" s="9">
        <f>VLOOKUP(OPERAC[[#This Row],[especie]],[1]!ESPECIES[#Data],9,FALSE)</f>
        <v/>
      </c>
    </row>
    <row r="5531">
      <c r="A5531" s="4" t="n">
        <v>10079</v>
      </c>
      <c r="B5531" s="5" t="n">
        <v>44586</v>
      </c>
      <c r="C5531" s="13" t="inlineStr">
        <is>
          <t>VTA</t>
        </is>
      </c>
      <c r="D5531" s="13" t="n">
        <v>43</v>
      </c>
      <c r="E5531" s="10">
        <f>IF(D5531&gt;0,VLOOKUP(OPERAC[[#This Row],[COD CART]],[1]!MatrizCortoLargoCyl[#All],3,0),"")</f>
        <v/>
      </c>
      <c r="F5531" s="13" t="inlineStr">
        <is>
          <t>GMBL/CYL-PUT/2,50/20-01-23</t>
        </is>
      </c>
      <c r="G5531" s="6" t="n">
        <v>2000</v>
      </c>
      <c r="H5531" s="6" t="n">
        <v>-2032.0823</v>
      </c>
      <c r="I5531" s="7">
        <f>-H5531/G5531</f>
        <v/>
      </c>
      <c r="J5531" s="11" t="n">
        <v>44636</v>
      </c>
      <c r="K5531" s="6" t="n">
        <v>2000</v>
      </c>
      <c r="L5531" s="6">
        <f>-1.36*OPERAC[[#This Row],[cantidad venta]]</f>
        <v/>
      </c>
      <c r="M5531" s="7">
        <f>IF(N5531=0,+L5531+H5531,0)</f>
        <v/>
      </c>
      <c r="N5531" s="7">
        <f>IF((+G5531-K5531)=0,0,+G5531-K5531)</f>
        <v/>
      </c>
      <c r="O5531" s="7">
        <f>IF(N5531=0,0,(L5531+H5531)/-N5531)</f>
        <v/>
      </c>
      <c r="P5531" s="7">
        <f>VLOOKUP(OPERAC[[#This Row],[especie]],[1]!ESPECIES[#All],6,0)</f>
        <v/>
      </c>
      <c r="Q5531" s="7">
        <f>IF(N5531&lt;&gt;0,P5531*N5531,0)</f>
        <v/>
      </c>
      <c r="R5531" s="8">
        <f>IF(Q5531&lt;&gt;0,Q5531+H5531+L5531,0)</f>
        <v/>
      </c>
      <c r="S5531" s="9">
        <f>VLOOKUP(OPERAC[[#This Row],[especie]],[1]!ESPECIES[#Data],9,FALSE)</f>
        <v/>
      </c>
    </row>
    <row r="5532">
      <c r="A5532" s="4" t="n">
        <v>13240</v>
      </c>
      <c r="B5532" s="5" t="n">
        <v>44586</v>
      </c>
      <c r="C5532" s="13" t="inlineStr">
        <is>
          <t>VTA</t>
        </is>
      </c>
      <c r="D5532" s="13" t="n">
        <v>43</v>
      </c>
      <c r="E5532" s="10">
        <f>IF(D5532&gt;0,VLOOKUP(OPERAC[[#This Row],[COD CART]],[1]!MatrizCortoLargoCyl[#All],3,0),"")</f>
        <v/>
      </c>
      <c r="F5532" s="13" t="inlineStr">
        <is>
          <t>GMBL/CYL-PUT/2,50/20-01-23</t>
        </is>
      </c>
      <c r="G5532" s="6" t="n">
        <v>2000</v>
      </c>
      <c r="H5532" s="6" t="n">
        <v>-2032.0823</v>
      </c>
      <c r="I5532" s="7">
        <f>-H5532/G5532</f>
        <v/>
      </c>
      <c r="J5532" s="11" t="n">
        <v>44636</v>
      </c>
      <c r="K5532" s="6" t="n">
        <v>2000</v>
      </c>
      <c r="L5532" s="6">
        <f>-1.36*OPERAC[[#This Row],[cantidad venta]]</f>
        <v/>
      </c>
      <c r="M5532" s="7">
        <f>IF(N5532=0,+L5532+H5532,0)</f>
        <v/>
      </c>
      <c r="N5532" s="7">
        <f>IF((+G5532-K5532)=0,0,+G5532-K5532)</f>
        <v/>
      </c>
      <c r="O5532" s="7">
        <f>IF(N5532=0,0,(L5532+H5532)/-N5532)</f>
        <v/>
      </c>
      <c r="P5532" s="7">
        <f>VLOOKUP(OPERAC[[#This Row],[especie]],[1]!ESPECIES[#All],6,0)</f>
        <v/>
      </c>
      <c r="Q5532" s="7">
        <f>IF(N5532&lt;&gt;0,P5532*N5532,0)</f>
        <v/>
      </c>
      <c r="R5532" s="8">
        <f>IF(Q5532&lt;&gt;0,Q5532+H5532+L5532,0)</f>
        <v/>
      </c>
      <c r="S5532" s="9">
        <f>VLOOKUP(OPERAC[[#This Row],[especie]],[1]!ESPECIES[#Data],9,FALSE)</f>
        <v/>
      </c>
    </row>
    <row r="5533">
      <c r="A5533" s="4" t="n">
        <v>13246</v>
      </c>
      <c r="B5533" s="5" t="n">
        <v>44586</v>
      </c>
      <c r="C5533" s="13" t="inlineStr">
        <is>
          <t>VTA</t>
        </is>
      </c>
      <c r="D5533" s="13" t="n">
        <v>43</v>
      </c>
      <c r="E5533" s="10">
        <f>IF(D5533&gt;0,VLOOKUP(OPERAC[[#This Row],[COD CART]],[1]!MatrizCortoLargoCyl[#All],3,0),"")</f>
        <v/>
      </c>
      <c r="F5533" s="13" t="inlineStr">
        <is>
          <t>GMBL/CYL-PUT/2,50/20-01-23</t>
        </is>
      </c>
      <c r="G5533" s="6" t="n">
        <v>2000</v>
      </c>
      <c r="H5533" s="6" t="n">
        <v>-2032.0823</v>
      </c>
      <c r="I5533" s="7">
        <f>-H5533/G5533</f>
        <v/>
      </c>
      <c r="J5533" s="11" t="n"/>
      <c r="K5533" s="6" t="n"/>
      <c r="L5533" s="6" t="n"/>
      <c r="M5533" s="7">
        <f>IF(N5533=0,+L5533+H5533,0)</f>
        <v/>
      </c>
      <c r="N5533" s="7">
        <f>IF((+G5533-K5533)=0,0,+G5533-K5533)</f>
        <v/>
      </c>
      <c r="O5533" s="7">
        <f>IF(N5533=0,0,(L5533+H5533)/-N5533)</f>
        <v/>
      </c>
      <c r="P5533" s="7">
        <f>VLOOKUP(OPERAC[[#This Row],[especie]],[1]!ESPECIES[#All],6,0)</f>
        <v/>
      </c>
      <c r="Q5533" s="7">
        <f>IF(N5533&lt;&gt;0,P5533*N5533,0)</f>
        <v/>
      </c>
      <c r="R5533" s="8">
        <f>IF(Q5533&lt;&gt;0,Q5533+H5533+L5533,0)</f>
        <v/>
      </c>
      <c r="S5533" s="9">
        <f>VLOOKUP(OPERAC[[#This Row],[especie]],[1]!ESPECIES[#Data],9,FALSE)</f>
        <v/>
      </c>
    </row>
    <row r="5534">
      <c r="A5534" s="4" t="n">
        <v>15194</v>
      </c>
      <c r="B5534" s="5" t="n">
        <v>44586</v>
      </c>
      <c r="C5534" s="13" t="inlineStr">
        <is>
          <t>VTA</t>
        </is>
      </c>
      <c r="D5534" s="13" t="n">
        <v>43</v>
      </c>
      <c r="E5534" s="10">
        <f>IF(D5534&gt;0,VLOOKUP(OPERAC[[#This Row],[COD CART]],[1]!MatrizCortoLargoCyl[#All],3,0),"")</f>
        <v/>
      </c>
      <c r="F5534" s="13" t="inlineStr">
        <is>
          <t>GMBL/CYL-PUT/2,50/20-01-23</t>
        </is>
      </c>
      <c r="G5534" s="6" t="n">
        <v>2000</v>
      </c>
      <c r="H5534" s="6" t="n">
        <v>-2032.0823</v>
      </c>
      <c r="I5534" s="7">
        <f>-H5534/G5534</f>
        <v/>
      </c>
      <c r="J5534" s="11" t="n"/>
      <c r="K5534" s="6" t="n"/>
      <c r="L5534" s="6" t="n"/>
      <c r="M5534" s="7">
        <f>IF(N5534=0,+L5534+H5534,0)</f>
        <v/>
      </c>
      <c r="N5534" s="7">
        <f>IF((+G5534-K5534)=0,0,+G5534-K5534)</f>
        <v/>
      </c>
      <c r="O5534" s="7">
        <f>IF(N5534=0,0,(L5534+H5534)/-N5534)</f>
        <v/>
      </c>
      <c r="P5534" s="7">
        <f>VLOOKUP(OPERAC[[#This Row],[especie]],[1]!ESPECIES[#All],6,0)</f>
        <v/>
      </c>
      <c r="Q5534" s="7">
        <f>IF(N5534&lt;&gt;0,P5534*N5534,0)</f>
        <v/>
      </c>
      <c r="R5534" s="8">
        <f>IF(Q5534&lt;&gt;0,Q5534+H5534+L5534,0)</f>
        <v/>
      </c>
      <c r="S5534" s="9">
        <f>VLOOKUP(OPERAC[[#This Row],[especie]],[1]!ESPECIES[#Data],9,FALSE)</f>
        <v/>
      </c>
    </row>
    <row r="5535">
      <c r="A5535" s="4" t="n">
        <v>16780</v>
      </c>
      <c r="B5535" s="5" t="n">
        <v>44586</v>
      </c>
      <c r="C5535" s="13" t="inlineStr">
        <is>
          <t>VTA</t>
        </is>
      </c>
      <c r="D5535" s="13" t="n">
        <v>43</v>
      </c>
      <c r="E5535" s="10">
        <f>IF(D5535&gt;0,VLOOKUP(OPERAC[[#This Row],[COD CART]],[1]!MatrizCortoLargoCyl[#All],3,0),"")</f>
        <v/>
      </c>
      <c r="F5535" s="13" t="inlineStr">
        <is>
          <t>GMBL/CYL-PUT/2,50/20-01-23</t>
        </is>
      </c>
      <c r="G5535" s="6" t="n">
        <v>2000</v>
      </c>
      <c r="H5535" s="6" t="n">
        <v>-2032.0823</v>
      </c>
      <c r="I5535" s="7">
        <f>-H5535/G5535</f>
        <v/>
      </c>
      <c r="J5535" s="11" t="n">
        <v>44636</v>
      </c>
      <c r="K5535" s="6" t="n">
        <v>2000</v>
      </c>
      <c r="L5535" s="6">
        <f>-1.36*OPERAC[[#This Row],[cantidad venta]]</f>
        <v/>
      </c>
      <c r="M5535" s="7">
        <f>IF(N5535=0,+L5535+H5535,0)</f>
        <v/>
      </c>
      <c r="N5535" s="7">
        <f>IF((+G5535-K5535)=0,0,+G5535-K5535)</f>
        <v/>
      </c>
      <c r="O5535" s="7">
        <f>IF(N5535=0,0,(L5535+H5535)/-N5535)</f>
        <v/>
      </c>
      <c r="P5535" s="7">
        <f>VLOOKUP(OPERAC[[#This Row],[especie]],[1]!ESPECIES[#All],6,0)</f>
        <v/>
      </c>
      <c r="Q5535" s="7">
        <f>IF(N5535&lt;&gt;0,P5535*N5535,0)</f>
        <v/>
      </c>
      <c r="R5535" s="8">
        <f>IF(Q5535&lt;&gt;0,Q5535+H5535+L5535,0)</f>
        <v/>
      </c>
      <c r="S5535" s="9">
        <f>VLOOKUP(OPERAC[[#This Row],[especie]],[1]!ESPECIES[#Data],9,FALSE)</f>
        <v/>
      </c>
    </row>
    <row r="5536">
      <c r="A5536" s="4" t="n">
        <v>18690</v>
      </c>
      <c r="B5536" s="5" t="n">
        <v>44586</v>
      </c>
      <c r="C5536" s="13" t="inlineStr">
        <is>
          <t>VTA</t>
        </is>
      </c>
      <c r="D5536" s="13" t="n">
        <v>43</v>
      </c>
      <c r="E5536" s="10">
        <f>IF(D5536&gt;0,VLOOKUP(OPERAC[[#This Row],[COD CART]],[1]!MatrizCortoLargoCyl[#All],3,0),"")</f>
        <v/>
      </c>
      <c r="F5536" s="13" t="inlineStr">
        <is>
          <t>GMBL/CYL-PUT/2,50/20-01-23</t>
        </is>
      </c>
      <c r="G5536" s="6" t="n">
        <v>2000</v>
      </c>
      <c r="H5536" s="6" t="n">
        <v>-2032.0823</v>
      </c>
      <c r="I5536" s="7">
        <f>-H5536/G5536</f>
        <v/>
      </c>
      <c r="J5536" s="11" t="n"/>
      <c r="K5536" s="6" t="n"/>
      <c r="L5536" s="6" t="n"/>
      <c r="M5536" s="7">
        <f>IF(N5536=0,+L5536+H5536,0)</f>
        <v/>
      </c>
      <c r="N5536" s="7">
        <f>IF((+G5536-K5536)=0,0,+G5536-K5536)</f>
        <v/>
      </c>
      <c r="O5536" s="7">
        <f>IF(N5536=0,0,(L5536+H5536)/-N5536)</f>
        <v/>
      </c>
      <c r="P5536" s="7">
        <f>VLOOKUP(OPERAC[[#This Row],[especie]],[1]!ESPECIES[#All],6,0)</f>
        <v/>
      </c>
      <c r="Q5536" s="7">
        <f>IF(N5536&lt;&gt;0,P5536*N5536,0)</f>
        <v/>
      </c>
      <c r="R5536" s="8">
        <f>IF(Q5536&lt;&gt;0,Q5536+H5536+L5536,0)</f>
        <v/>
      </c>
      <c r="S5536" s="9">
        <f>VLOOKUP(OPERAC[[#This Row],[especie]],[1]!ESPECIES[#Data],9,FALSE)</f>
        <v/>
      </c>
    </row>
    <row r="5537">
      <c r="A5537" s="4" t="n">
        <v>18724</v>
      </c>
      <c r="B5537" s="5" t="n">
        <v>44586</v>
      </c>
      <c r="C5537" s="13" t="inlineStr">
        <is>
          <t>VTA</t>
        </is>
      </c>
      <c r="D5537" s="13" t="n">
        <v>43</v>
      </c>
      <c r="E5537" s="10">
        <f>IF(D5537&gt;0,VLOOKUP(OPERAC[[#This Row],[COD CART]],[1]!MatrizCortoLargoCyl[#All],3,0),"")</f>
        <v/>
      </c>
      <c r="F5537" s="13" t="inlineStr">
        <is>
          <t>GMBL/CYL-PUT/2,50/20-01-23</t>
        </is>
      </c>
      <c r="G5537" s="6" t="n">
        <v>2000</v>
      </c>
      <c r="H5537" s="6" t="n">
        <v>-2032.0823</v>
      </c>
      <c r="I5537" s="7">
        <f>-H5537/G5537</f>
        <v/>
      </c>
      <c r="J5537" s="11" t="n"/>
      <c r="K5537" s="6" t="n"/>
      <c r="L5537" s="6" t="n"/>
      <c r="M5537" s="7">
        <f>IF(N5537=0,+L5537+H5537,0)</f>
        <v/>
      </c>
      <c r="N5537" s="7">
        <f>IF((+G5537-K5537)=0,0,+G5537-K5537)</f>
        <v/>
      </c>
      <c r="O5537" s="7">
        <f>IF(N5537=0,0,(L5537+H5537)/-N5537)</f>
        <v/>
      </c>
      <c r="P5537" s="7">
        <f>VLOOKUP(OPERAC[[#This Row],[especie]],[1]!ESPECIES[#All],6,0)</f>
        <v/>
      </c>
      <c r="Q5537" s="7">
        <f>IF(N5537&lt;&gt;0,P5537*N5537,0)</f>
        <v/>
      </c>
      <c r="R5537" s="8">
        <f>IF(Q5537&lt;&gt;0,Q5537+H5537+L5537,0)</f>
        <v/>
      </c>
      <c r="S5537" s="9">
        <f>VLOOKUP(OPERAC[[#This Row],[especie]],[1]!ESPECIES[#Data],9,FALSE)</f>
        <v/>
      </c>
    </row>
    <row r="5538">
      <c r="A5538" s="4" t="n">
        <v>26138</v>
      </c>
      <c r="B5538" s="5" t="n">
        <v>44586</v>
      </c>
      <c r="C5538" s="13" t="inlineStr">
        <is>
          <t>VTA</t>
        </is>
      </c>
      <c r="D5538" s="13" t="n">
        <v>43</v>
      </c>
      <c r="E5538" s="10">
        <f>IF(D5538&gt;0,VLOOKUP(OPERAC[[#This Row],[COD CART]],[1]!MatrizCortoLargoCyl[#All],3,0),"")</f>
        <v/>
      </c>
      <c r="F5538" s="13" t="inlineStr">
        <is>
          <t>GMBL/CYL-PUT/2,50/20-01-23</t>
        </is>
      </c>
      <c r="G5538" s="6" t="n">
        <v>2000</v>
      </c>
      <c r="H5538" s="6" t="n">
        <v>-2032.0823</v>
      </c>
      <c r="I5538" s="7">
        <f>-H5538/G5538</f>
        <v/>
      </c>
      <c r="J5538" s="11" t="n"/>
      <c r="K5538" s="6" t="n"/>
      <c r="L5538" s="6" t="n"/>
      <c r="M5538" s="7">
        <f>IF(N5538=0,+L5538+H5538,0)</f>
        <v/>
      </c>
      <c r="N5538" s="7">
        <f>IF((+G5538-K5538)=0,0,+G5538-K5538)</f>
        <v/>
      </c>
      <c r="O5538" s="7">
        <f>IF(N5538=0,0,(L5538+H5538)/-N5538)</f>
        <v/>
      </c>
      <c r="P5538" s="7">
        <f>VLOOKUP(OPERAC[[#This Row],[especie]],[1]!ESPECIES[#All],6,0)</f>
        <v/>
      </c>
      <c r="Q5538" s="7">
        <f>IF(N5538&lt;&gt;0,P5538*N5538,0)</f>
        <v/>
      </c>
      <c r="R5538" s="8">
        <f>IF(Q5538&lt;&gt;0,Q5538+H5538+L5538,0)</f>
        <v/>
      </c>
      <c r="S5538" s="9">
        <f>VLOOKUP(OPERAC[[#This Row],[especie]],[1]!ESPECIES[#Data],9,FALSE)</f>
        <v/>
      </c>
    </row>
    <row r="5539">
      <c r="A5539" s="4" t="n">
        <v>13180</v>
      </c>
      <c r="B5539" s="5" t="n">
        <v>44642</v>
      </c>
      <c r="C5539" s="13" t="inlineStr">
        <is>
          <t>VTA</t>
        </is>
      </c>
      <c r="D5539" s="13" t="n">
        <v>42</v>
      </c>
      <c r="E5539" s="10">
        <f>IF(D5539&gt;0,VLOOKUP(OPERAC[[#This Row],[COD CART]],[1]!MatrizCortoLargoCyl[#All],3,0),"")</f>
        <v/>
      </c>
      <c r="F5539" s="13" t="inlineStr">
        <is>
          <t>HYDR</t>
        </is>
      </c>
      <c r="G5539" s="6" t="n">
        <v>105</v>
      </c>
      <c r="H5539" s="6">
        <f>-19.39*OPERAC[[#This Row],[cantidad]]</f>
        <v/>
      </c>
      <c r="I5539" s="7">
        <f>-H5539/G5539</f>
        <v/>
      </c>
      <c r="J5539" s="11" t="n"/>
      <c r="K5539" s="6" t="n"/>
      <c r="L5539" s="6" t="n"/>
      <c r="M5539" s="7">
        <f>IF(N5539=0,+L5539+H5539,0)</f>
        <v/>
      </c>
      <c r="N5539" s="7">
        <f>IF((+G5539-K5539)=0,0,+G5539-K5539)</f>
        <v/>
      </c>
      <c r="O5539" s="7">
        <f>IF(N5539=0,0,(L5539+H5539)/-N5539)</f>
        <v/>
      </c>
      <c r="P5539" s="7">
        <f>VLOOKUP(OPERAC[[#This Row],[especie]],[1]!ESPECIES[#All],6,0)</f>
        <v/>
      </c>
      <c r="Q5539" s="7">
        <f>IF(N5539&lt;&gt;0,P5539*N5539,0)</f>
        <v/>
      </c>
      <c r="R5539" s="8">
        <f>IF(Q5539&lt;&gt;0,Q5539+H5539+L5539,0)</f>
        <v/>
      </c>
      <c r="S5539" s="9">
        <f>VLOOKUP(OPERAC[[#This Row],[especie]],[1]!ESPECIES[#Data],9,FALSE)</f>
        <v/>
      </c>
    </row>
    <row r="5540">
      <c r="A5540" s="4" t="n">
        <v>15189</v>
      </c>
      <c r="B5540" s="5" t="n">
        <v>44642</v>
      </c>
      <c r="C5540" s="13" t="inlineStr">
        <is>
          <t>VTA</t>
        </is>
      </c>
      <c r="D5540" s="13" t="n">
        <v>42</v>
      </c>
      <c r="E5540" s="10">
        <f>IF(D5540&gt;0,VLOOKUP(OPERAC[[#This Row],[COD CART]],[1]!MatrizCortoLargoCyl[#All],3,0),"")</f>
        <v/>
      </c>
      <c r="F5540" s="13" t="inlineStr">
        <is>
          <t>HYDR</t>
        </is>
      </c>
      <c r="G5540" s="6" t="n">
        <v>105</v>
      </c>
      <c r="H5540" s="6">
        <f>-19.39*OPERAC[[#This Row],[cantidad]]</f>
        <v/>
      </c>
      <c r="I5540" s="7">
        <f>-H5540/G5540</f>
        <v/>
      </c>
      <c r="J5540" s="11" t="n">
        <v>44692</v>
      </c>
      <c r="K5540" s="6" t="n">
        <v>105</v>
      </c>
      <c r="L5540" s="6" t="n">
        <v>1293.15</v>
      </c>
      <c r="M5540" s="7">
        <f>IF(N5540=0,+L5540+H5540,0)</f>
        <v/>
      </c>
      <c r="N5540" s="7">
        <f>IF((+G5540-K5540)=0,0,+G5540-K5540)</f>
        <v/>
      </c>
      <c r="O5540" s="7">
        <f>IF(N5540=0,0,(L5540+H5540)/-N5540)</f>
        <v/>
      </c>
      <c r="P5540" s="7">
        <f>VLOOKUP(OPERAC[[#This Row],[especie]],[1]!ESPECIES[#All],6,0)</f>
        <v/>
      </c>
      <c r="Q5540" s="7">
        <f>IF(N5540&lt;&gt;0,P5540*N5540,0)</f>
        <v/>
      </c>
      <c r="R5540" s="8">
        <f>IF(Q5540&lt;&gt;0,Q5540+H5540+L5540,0)</f>
        <v/>
      </c>
      <c r="S5540" s="9">
        <f>VLOOKUP(OPERAC[[#This Row],[especie]],[1]!ESPECIES[#Data],9,FALSE)</f>
        <v/>
      </c>
    </row>
    <row r="5541">
      <c r="A5541" s="4" t="n">
        <v>16783</v>
      </c>
      <c r="B5541" s="5" t="n">
        <v>44642</v>
      </c>
      <c r="C5541" s="13" t="inlineStr">
        <is>
          <t>VTA</t>
        </is>
      </c>
      <c r="D5541" s="13" t="n">
        <v>42</v>
      </c>
      <c r="E5541" s="10">
        <f>IF(D5541&gt;0,VLOOKUP(OPERAC[[#This Row],[COD CART]],[1]!MatrizCortoLargoCyl[#All],3,0),"")</f>
        <v/>
      </c>
      <c r="F5541" s="13" t="inlineStr">
        <is>
          <t>HYDR</t>
        </is>
      </c>
      <c r="G5541" s="6" t="n">
        <v>105</v>
      </c>
      <c r="H5541" s="6">
        <f>-19.39*OPERAC[[#This Row],[cantidad]]</f>
        <v/>
      </c>
      <c r="I5541" s="7">
        <f>-H5541/G5541</f>
        <v/>
      </c>
      <c r="J5541" s="11" t="n">
        <v>44693</v>
      </c>
      <c r="K5541" s="6">
        <f>+OPERAC[[#This Row],[cantidad]]</f>
        <v/>
      </c>
      <c r="L5541" s="6">
        <f>+OPERAC[[#This Row],[cantidad venta]]*12.027</f>
        <v/>
      </c>
      <c r="M5541" s="7">
        <f>IF(N5541=0,+L5541+H5541,0)</f>
        <v/>
      </c>
      <c r="N5541" s="7">
        <f>IF((+G5541-K5541)=0,0,+G5541-K5541)</f>
        <v/>
      </c>
      <c r="O5541" s="7">
        <f>IF(N5541=0,0,(L5541+H5541)/-N5541)</f>
        <v/>
      </c>
      <c r="P5541" s="7">
        <f>VLOOKUP(OPERAC[[#This Row],[especie]],[1]!ESPECIES[#All],6,0)</f>
        <v/>
      </c>
      <c r="Q5541" s="7">
        <f>IF(N5541&lt;&gt;0,P5541*N5541,0)</f>
        <v/>
      </c>
      <c r="R5541" s="8">
        <f>IF(Q5541&lt;&gt;0,Q5541+H5541+L5541,0)</f>
        <v/>
      </c>
      <c r="S5541" s="9">
        <f>VLOOKUP(OPERAC[[#This Row],[especie]],[1]!ESPECIES[#Data],9,FALSE)</f>
        <v/>
      </c>
    </row>
    <row r="5542">
      <c r="A5542" s="4" t="n">
        <v>19878</v>
      </c>
      <c r="B5542" s="5" t="n">
        <v>44642</v>
      </c>
      <c r="C5542" s="13" t="inlineStr">
        <is>
          <t>VTA</t>
        </is>
      </c>
      <c r="D5542" s="13" t="n">
        <v>42</v>
      </c>
      <c r="E5542" s="10">
        <f>IF(D5542&gt;0,VLOOKUP(OPERAC[[#This Row],[COD CART]],[1]!MatrizCortoLargoCyl[#All],3,0),"")</f>
        <v/>
      </c>
      <c r="F5542" s="13" t="inlineStr">
        <is>
          <t>HYDR</t>
        </is>
      </c>
      <c r="G5542" s="6" t="n">
        <v>105</v>
      </c>
      <c r="H5542" s="6">
        <f>-19.39*OPERAC[[#This Row],[cantidad]]</f>
        <v/>
      </c>
      <c r="I5542" s="7">
        <f>-H5542/G5542</f>
        <v/>
      </c>
      <c r="J5542" s="11" t="n">
        <v>44693</v>
      </c>
      <c r="K5542" s="6">
        <f>+OPERAC[[#This Row],[cantidad]]</f>
        <v/>
      </c>
      <c r="L5542" s="6">
        <f>+OPERAC[[#This Row],[cantidad venta]]*11.986</f>
        <v/>
      </c>
      <c r="M5542" s="7">
        <f>IF(N5542=0,+L5542+H5542,0)</f>
        <v/>
      </c>
      <c r="N5542" s="7">
        <f>IF((+G5542-K5542)=0,0,+G5542-K5542)</f>
        <v/>
      </c>
      <c r="O5542" s="7">
        <f>IF(N5542=0,0,(L5542+H5542)/-N5542)</f>
        <v/>
      </c>
      <c r="P5542" s="7">
        <f>VLOOKUP(OPERAC[[#This Row],[especie]],[1]!ESPECIES[#All],6,0)</f>
        <v/>
      </c>
      <c r="Q5542" s="7">
        <f>IF(N5542&lt;&gt;0,P5542*N5542,0)</f>
        <v/>
      </c>
      <c r="R5542" s="8">
        <f>IF(Q5542&lt;&gt;0,Q5542+H5542+L5542,0)</f>
        <v/>
      </c>
      <c r="S5542" s="9">
        <f>VLOOKUP(OPERAC[[#This Row],[especie]],[1]!ESPECIES[#Data],9,FALSE)</f>
        <v/>
      </c>
    </row>
    <row r="5543">
      <c r="A5543" s="4" t="n">
        <v>13180</v>
      </c>
      <c r="B5543" s="5" t="n">
        <v>44671</v>
      </c>
      <c r="C5543" s="13" t="inlineStr">
        <is>
          <t>VTA</t>
        </is>
      </c>
      <c r="D5543" s="13" t="n">
        <v>42</v>
      </c>
      <c r="E5543" s="10">
        <f>IF(D5543&gt;0,VLOOKUP(OPERAC[[#This Row],[COD CART]],[1]!MatrizCortoLargoCyl[#All],3,0),"")</f>
        <v/>
      </c>
      <c r="F5543" s="13" t="inlineStr">
        <is>
          <t>NFLX</t>
        </is>
      </c>
      <c r="G5543" s="6" t="n">
        <v>8</v>
      </c>
      <c r="H5543" s="6" t="n">
        <v>-2036.04048</v>
      </c>
      <c r="I5543" s="7">
        <f>-H5543/G5543</f>
        <v/>
      </c>
      <c r="J5543" s="11" t="n"/>
      <c r="K5543" s="6" t="n"/>
      <c r="L5543" s="6" t="n"/>
      <c r="M5543" s="7">
        <f>IF(N5543=0,+L5543+H5543,0)</f>
        <v/>
      </c>
      <c r="N5543" s="7">
        <f>IF((+G5543-K5543)=0,0,+G5543-K5543)</f>
        <v/>
      </c>
      <c r="O5543" s="7">
        <f>IF(N5543=0,0,(L5543+H5543)/-N5543)</f>
        <v/>
      </c>
      <c r="P5543" s="7">
        <f>VLOOKUP(OPERAC[[#This Row],[especie]],[1]!ESPECIES[#All],6,0)</f>
        <v/>
      </c>
      <c r="Q5543" s="7">
        <f>IF(N5543&lt;&gt;0,P5543*N5543,0)</f>
        <v/>
      </c>
      <c r="R5543" s="8">
        <f>IF(Q5543&lt;&gt;0,Q5543+H5543+L5543,0)</f>
        <v/>
      </c>
      <c r="S5543" s="9">
        <f>VLOOKUP(OPERAC[[#This Row],[especie]],[1]!ESPECIES[#Data],9,FALSE)</f>
        <v/>
      </c>
    </row>
    <row r="5544">
      <c r="A5544" s="4" t="n">
        <v>25070</v>
      </c>
      <c r="B5544" s="5" t="n">
        <v>44671</v>
      </c>
      <c r="C5544" s="13" t="inlineStr">
        <is>
          <t>VTA</t>
        </is>
      </c>
      <c r="D5544" s="13" t="n">
        <v>42</v>
      </c>
      <c r="E5544" s="10">
        <f>IF(D5544&gt;0,VLOOKUP(OPERAC[[#This Row],[COD CART]],[1]!MatrizCortoLargoCyl[#All],3,0),"")</f>
        <v/>
      </c>
      <c r="F5544" s="13" t="inlineStr">
        <is>
          <t>NFLX</t>
        </is>
      </c>
      <c r="G5544" s="6" t="n">
        <v>8</v>
      </c>
      <c r="H5544" s="6" t="n">
        <v>-2036.04048</v>
      </c>
      <c r="I5544" s="7">
        <f>-H5544/G5544</f>
        <v/>
      </c>
      <c r="J5544" s="11" t="n">
        <v>44697</v>
      </c>
      <c r="K5544" s="6" t="n">
        <v>8</v>
      </c>
      <c r="L5544" s="6" t="n">
        <v>1526.593</v>
      </c>
      <c r="M5544" s="7">
        <f>IF(N5544=0,+L5544+H5544,0)</f>
        <v/>
      </c>
      <c r="N5544" s="7">
        <f>IF((+G5544-K5544)=0,0,+G5544-K5544)</f>
        <v/>
      </c>
      <c r="O5544" s="7">
        <f>IF(N5544=0,0,(L5544+H5544)/-N5544)</f>
        <v/>
      </c>
      <c r="P5544" s="7">
        <f>VLOOKUP(OPERAC[[#This Row],[especie]],[1]!ESPECIES[#All],6,0)</f>
        <v/>
      </c>
      <c r="Q5544" s="7">
        <f>IF(N5544&lt;&gt;0,P5544*N5544,0)</f>
        <v/>
      </c>
      <c r="R5544" s="8">
        <f>IF(Q5544&lt;&gt;0,Q5544+H5544+L5544,0)</f>
        <v/>
      </c>
      <c r="S5544" s="9">
        <f>VLOOKUP(OPERAC[[#This Row],[especie]],[1]!ESPECIES[#Data],9,FALSE)</f>
        <v/>
      </c>
    </row>
    <row r="5545">
      <c r="A5545" s="4" t="n">
        <v>2218</v>
      </c>
      <c r="B5545" s="5" t="n">
        <v>44403</v>
      </c>
      <c r="C5545" s="13" t="inlineStr">
        <is>
          <t>VTA</t>
        </is>
      </c>
      <c r="D5545" s="13" t="n">
        <v>31</v>
      </c>
      <c r="E5545" s="10">
        <f>IF(D5545&gt;0,VLOOKUP(OPERAC[[#This Row],[COD CART]],[1]!MatrizCortoLargoCyl[#All],3,0),"")</f>
        <v/>
      </c>
      <c r="F5545" s="13" t="inlineStr">
        <is>
          <t>GGAL</t>
        </is>
      </c>
      <c r="G5545" s="6" t="n">
        <v>250</v>
      </c>
      <c r="H5545" s="6" t="n">
        <v>-2037.7845</v>
      </c>
      <c r="I5545" s="7">
        <f>-H5545/G5545</f>
        <v/>
      </c>
      <c r="J5545" s="11" t="n">
        <v>44692</v>
      </c>
      <c r="K5545" s="6" t="n">
        <v>250</v>
      </c>
      <c r="L5545" s="6">
        <f>+OPERAC[[#This Row],[cantidad venta]]*9.032</f>
        <v/>
      </c>
      <c r="M5545" s="7">
        <f>IF(N5545=0,+L5545+H5545,0)</f>
        <v/>
      </c>
      <c r="N5545" s="7">
        <f>IF((+G5545-K5545)=0,0,+G5545-K5545)</f>
        <v/>
      </c>
      <c r="O5545" s="7">
        <f>IF(N5545=0,0,(L5545+H5545)/-N5545)</f>
        <v/>
      </c>
      <c r="P5545" s="7">
        <f>VLOOKUP(OPERAC[[#This Row],[especie]],[1]!ESPECIES[#All],6,0)</f>
        <v/>
      </c>
      <c r="Q5545" s="7">
        <f>IF(N5545&lt;&gt;0,P5545*N5545,0)</f>
        <v/>
      </c>
      <c r="R5545" s="8">
        <f>IF(Q5545&lt;&gt;0,Q5545+H5545+L5545,0)</f>
        <v/>
      </c>
      <c r="S5545" s="9">
        <f>VLOOKUP(OPERAC[[#This Row],[especie]],[1]!ESPECIES[#Data],9,FALSE)</f>
        <v/>
      </c>
    </row>
    <row r="5546">
      <c r="A5546" s="4" t="n">
        <v>16783</v>
      </c>
      <c r="B5546" s="5" t="n">
        <v>44523</v>
      </c>
      <c r="C5546" s="13" t="inlineStr">
        <is>
          <t>VTA</t>
        </is>
      </c>
      <c r="D5546" s="13" t="n">
        <v>32</v>
      </c>
      <c r="E5546" s="10">
        <f>IF(D5546&gt;0,VLOOKUP(OPERAC[[#This Row],[COD CART]],[1]!MatrizCortoLargoCyl[#All],3,0),"")</f>
        <v/>
      </c>
      <c r="F5546" s="13" t="inlineStr">
        <is>
          <t>GMBL/CYL/5,00/18-02-22</t>
        </is>
      </c>
      <c r="G5546" s="6" t="n">
        <v>500</v>
      </c>
      <c r="H5546" s="6" t="n">
        <v>-2047.215</v>
      </c>
      <c r="I5546" s="7">
        <f>-H5546/G5546</f>
        <v/>
      </c>
      <c r="J5546" s="11" t="n">
        <v>44589</v>
      </c>
      <c r="K5546" s="6" t="n">
        <v>500</v>
      </c>
      <c r="L5546" s="6" t="n">
        <v>1317.128</v>
      </c>
      <c r="M5546" s="7">
        <f>IF(N5546=0,+L5546+H5546,0)</f>
        <v/>
      </c>
      <c r="N5546" s="7">
        <f>IF((+G5546-K5546)=0,0,+G5546-K5546)</f>
        <v/>
      </c>
      <c r="O5546" s="7">
        <f>IF(N5546=0,0,(L5546+H5546)/-N5546)</f>
        <v/>
      </c>
      <c r="P5546" s="7">
        <f>VLOOKUP(OPERAC[[#This Row],[especie]],[1]!ESPECIES[#All],6,0)</f>
        <v/>
      </c>
      <c r="Q5546" s="7">
        <f>IF(N5546&lt;&gt;0,P5546*N5546,0)</f>
        <v/>
      </c>
      <c r="R5546" s="8">
        <f>IF(Q5546&lt;&gt;0,Q5546+H5546+L5546,0)</f>
        <v/>
      </c>
      <c r="S5546" s="9">
        <f>VLOOKUP(OPERAC[[#This Row],[especie]],[1]!ESPECIES[#Data],9,FALSE)</f>
        <v/>
      </c>
    </row>
    <row r="5547">
      <c r="A5547" s="4" t="n">
        <v>22393</v>
      </c>
      <c r="B5547" s="5" t="n">
        <v>44634</v>
      </c>
      <c r="C5547" s="13" t="inlineStr">
        <is>
          <t>VTA</t>
        </is>
      </c>
      <c r="D5547" s="13" t="n">
        <v>31</v>
      </c>
      <c r="E5547" s="10">
        <f>IF(D5547&gt;0,VLOOKUP(OPERAC[[#This Row],[COD CART]],[1]!MatrizCortoLargoCyl[#All],3,0),"")</f>
        <v/>
      </c>
      <c r="F5547" s="13" t="inlineStr">
        <is>
          <t>GGAL</t>
        </is>
      </c>
      <c r="G5547" s="6" t="n">
        <v>200</v>
      </c>
      <c r="H5547" s="6" t="n">
        <v>-2048.651</v>
      </c>
      <c r="I5547" s="7">
        <f>-H5547/G5547</f>
        <v/>
      </c>
      <c r="J5547" s="11" t="n"/>
      <c r="K5547" s="6" t="n"/>
      <c r="L5547" s="6" t="n"/>
      <c r="M5547" s="7">
        <f>IF(N5547=0,+L5547+H5547,0)</f>
        <v/>
      </c>
      <c r="N5547" s="7">
        <f>IF((+G5547-K5547)=0,0,+G5547-K5547)</f>
        <v/>
      </c>
      <c r="O5547" s="7">
        <f>IF(N5547=0,0,(L5547+H5547)/-N5547)</f>
        <v/>
      </c>
      <c r="P5547" s="7">
        <f>VLOOKUP(OPERAC[[#This Row],[especie]],[1]!ESPECIES[#All],6,0)</f>
        <v/>
      </c>
      <c r="Q5547" s="7">
        <f>IF(N5547&lt;&gt;0,P5547*N5547,0)</f>
        <v/>
      </c>
      <c r="R5547" s="8">
        <f>IF(Q5547&lt;&gt;0,Q5547+H5547+L5547,0)</f>
        <v/>
      </c>
      <c r="S5547" s="9">
        <f>VLOOKUP(OPERAC[[#This Row],[especie]],[1]!ESPECIES[#Data],9,FALSE)</f>
        <v/>
      </c>
    </row>
    <row r="5548">
      <c r="A5548" s="4" t="n">
        <v>1760</v>
      </c>
      <c r="B5548" s="5" t="n">
        <v>44616</v>
      </c>
      <c r="C5548" s="13" t="inlineStr">
        <is>
          <t>VTA</t>
        </is>
      </c>
      <c r="D5548" s="13" t="n">
        <v>32</v>
      </c>
      <c r="E5548" s="10">
        <f>IF(D5548&gt;0,VLOOKUP(OPERAC[[#This Row],[COD CART]],[1]!MatrizCortoLargoCyl[#All],3,0),"")</f>
        <v/>
      </c>
      <c r="F5548" s="13" t="inlineStr">
        <is>
          <t>UUUU/CYL/8,00/18-03-22</t>
        </is>
      </c>
      <c r="G5548" s="6" t="n">
        <v>300</v>
      </c>
      <c r="H5548" s="6" t="n">
        <v>-2051.478</v>
      </c>
      <c r="I5548" s="7">
        <f>-H5548/G5548</f>
        <v/>
      </c>
      <c r="J5548" s="11" t="n">
        <v>44636</v>
      </c>
      <c r="K5548" s="6">
        <f>+OPERAC[[#This Row],[cantidad]]</f>
        <v/>
      </c>
      <c r="L5548" s="6" t="n">
        <v>2302.39</v>
      </c>
      <c r="M5548" s="7">
        <f>IF(N5548=0,+L5548+H5548,0)</f>
        <v/>
      </c>
      <c r="N5548" s="7">
        <f>IF((+G5548-K5548)=0,0,+G5548-K5548)</f>
        <v/>
      </c>
      <c r="O5548" s="7">
        <f>IF(N5548=0,0,(L5548+H5548)/-N5548)</f>
        <v/>
      </c>
      <c r="P5548" s="7">
        <f>VLOOKUP(OPERAC[[#This Row],[especie]],[1]!ESPECIES[#All],6,0)</f>
        <v/>
      </c>
      <c r="Q5548" s="7">
        <f>IF(N5548&lt;&gt;0,P5548*N5548,0)</f>
        <v/>
      </c>
      <c r="R5548" s="8">
        <f>IF(Q5548&lt;&gt;0,Q5548+H5548+L5548,0)</f>
        <v/>
      </c>
      <c r="S5548" s="9">
        <f>VLOOKUP(OPERAC[[#This Row],[especie]],[1]!ESPECIES[#Data],9,FALSE)</f>
        <v/>
      </c>
    </row>
    <row r="5549">
      <c r="A5549" s="4" t="n">
        <v>19878</v>
      </c>
      <c r="B5549" s="5" t="n">
        <v>44616</v>
      </c>
      <c r="C5549" s="13" t="inlineStr">
        <is>
          <t>VTA</t>
        </is>
      </c>
      <c r="D5549" s="13" t="n">
        <v>32</v>
      </c>
      <c r="E5549" s="10">
        <f>IF(D5549&gt;0,VLOOKUP(OPERAC[[#This Row],[COD CART]],[1]!MatrizCortoLargoCyl[#All],3,0),"")</f>
        <v/>
      </c>
      <c r="F5549" s="13" t="inlineStr">
        <is>
          <t>UUUU/CYL/8,00/18-03-22</t>
        </is>
      </c>
      <c r="G5549" s="6" t="n">
        <v>300</v>
      </c>
      <c r="H5549" s="6" t="n">
        <v>-2051.478</v>
      </c>
      <c r="I5549" s="7">
        <f>-H5549/G5549</f>
        <v/>
      </c>
      <c r="J5549" s="11" t="n">
        <v>44636</v>
      </c>
      <c r="K5549" s="6">
        <f>+OPERAC[[#This Row],[cantidad]]</f>
        <v/>
      </c>
      <c r="L5549" s="6" t="n">
        <v>2302.39</v>
      </c>
      <c r="M5549" s="7">
        <f>IF(N5549=0,+L5549+H5549,0)</f>
        <v/>
      </c>
      <c r="N5549" s="7">
        <f>IF((+G5549-K5549)=0,0,+G5549-K5549)</f>
        <v/>
      </c>
      <c r="O5549" s="7">
        <f>IF(N5549=0,0,(L5549+H5549)/-N5549)</f>
        <v/>
      </c>
      <c r="P5549" s="7">
        <f>VLOOKUP(OPERAC[[#This Row],[especie]],[1]!ESPECIES[#All],6,0)</f>
        <v/>
      </c>
      <c r="Q5549" s="7">
        <f>IF(N5549&lt;&gt;0,P5549*N5549,0)</f>
        <v/>
      </c>
      <c r="R5549" s="8">
        <f>IF(Q5549&lt;&gt;0,Q5549+H5549+L5549,0)</f>
        <v/>
      </c>
      <c r="S5549" s="9">
        <f>VLOOKUP(OPERAC[[#This Row],[especie]],[1]!ESPECIES[#Data],9,FALSE)</f>
        <v/>
      </c>
    </row>
    <row r="5550">
      <c r="A5550" s="4" t="n">
        <v>19888</v>
      </c>
      <c r="B5550" s="5" t="n">
        <v>44616</v>
      </c>
      <c r="C5550" s="13" t="inlineStr">
        <is>
          <t>VTA</t>
        </is>
      </c>
      <c r="D5550" s="13" t="n">
        <v>32</v>
      </c>
      <c r="E5550" s="10">
        <f>IF(D5550&gt;0,VLOOKUP(OPERAC[[#This Row],[COD CART]],[1]!MatrizCortoLargoCyl[#All],3,0),"")</f>
        <v/>
      </c>
      <c r="F5550" s="13" t="inlineStr">
        <is>
          <t>UUUU/CYL/8,00/18-03-22</t>
        </is>
      </c>
      <c r="G5550" s="6" t="n">
        <v>300</v>
      </c>
      <c r="H5550" s="6" t="n">
        <v>-2051.478</v>
      </c>
      <c r="I5550" s="7">
        <f>-H5550/G5550</f>
        <v/>
      </c>
      <c r="J5550" s="11" t="n">
        <v>44636</v>
      </c>
      <c r="K5550" s="6">
        <f>+OPERAC[[#This Row],[cantidad]]</f>
        <v/>
      </c>
      <c r="L5550" s="6" t="n">
        <v>2302.39</v>
      </c>
      <c r="M5550" s="7">
        <f>IF(N5550=0,+L5550+H5550,0)</f>
        <v/>
      </c>
      <c r="N5550" s="7">
        <f>IF((+G5550-K5550)=0,0,+G5550-K5550)</f>
        <v/>
      </c>
      <c r="O5550" s="7">
        <f>IF(N5550=0,0,(L5550+H5550)/-N5550)</f>
        <v/>
      </c>
      <c r="P5550" s="7">
        <f>VLOOKUP(OPERAC[[#This Row],[especie]],[1]!ESPECIES[#All],6,0)</f>
        <v/>
      </c>
      <c r="Q5550" s="7">
        <f>IF(N5550&lt;&gt;0,P5550*N5550,0)</f>
        <v/>
      </c>
      <c r="R5550" s="8">
        <f>IF(Q5550&lt;&gt;0,Q5550+H5550+L5550,0)</f>
        <v/>
      </c>
      <c r="S5550" s="9">
        <f>VLOOKUP(OPERAC[[#This Row],[especie]],[1]!ESPECIES[#Data],9,FALSE)</f>
        <v/>
      </c>
    </row>
    <row r="5551">
      <c r="A5551" s="4" t="n">
        <v>18724</v>
      </c>
      <c r="B5551" s="5" t="n">
        <v>44539</v>
      </c>
      <c r="C5551" s="13" t="inlineStr">
        <is>
          <t>VTA</t>
        </is>
      </c>
      <c r="D5551" s="13" t="n">
        <v>40</v>
      </c>
      <c r="E5551" s="10">
        <f>IF(D5551&gt;0,VLOOKUP(OPERAC[[#This Row],[COD CART]],[1]!MatrizCortoLargoCyl[#All],3,0),"")</f>
        <v/>
      </c>
      <c r="F5551" s="13" t="inlineStr">
        <is>
          <t>ROKU</t>
        </is>
      </c>
      <c r="G5551" s="6" t="n">
        <v>8</v>
      </c>
      <c r="H5551" s="6" t="n">
        <v>-2061.76288</v>
      </c>
      <c r="I5551" s="7">
        <f>-H5551/G5551</f>
        <v/>
      </c>
      <c r="J5551" s="11" t="n">
        <v>44606</v>
      </c>
      <c r="K5551" s="6">
        <f>+OPERAC[[#This Row],[cantidad]]</f>
        <v/>
      </c>
      <c r="L5551" s="6">
        <f>+OPERAC[[#This Row],[cantidad venta]]*160.574</f>
        <v/>
      </c>
      <c r="M5551" s="7">
        <f>IF(N5551=0,+L5551+H5551,0)</f>
        <v/>
      </c>
      <c r="N5551" s="7">
        <f>IF((+G5551-K5551)=0,0,+G5551-K5551)</f>
        <v/>
      </c>
      <c r="O5551" s="7">
        <f>IF(N5551=0,0,(L5551+H5551)/-N5551)</f>
        <v/>
      </c>
      <c r="P5551" s="7">
        <f>VLOOKUP(OPERAC[[#This Row],[especie]],[1]!ESPECIES[#All],6,0)</f>
        <v/>
      </c>
      <c r="Q5551" s="7">
        <f>IF(N5551&lt;&gt;0,P5551*N5551,0)</f>
        <v/>
      </c>
      <c r="R5551" s="8">
        <f>IF(Q5551&lt;&gt;0,Q5551+H5551+L5551,0)</f>
        <v/>
      </c>
      <c r="S5551" s="9">
        <f>VLOOKUP(OPERAC[[#This Row],[especie]],[1]!ESPECIES[#Data],9,FALSE)</f>
        <v/>
      </c>
    </row>
    <row r="5552">
      <c r="A5552" s="4" t="n">
        <v>2194</v>
      </c>
      <c r="B5552" s="5" t="n">
        <v>44601</v>
      </c>
      <c r="C5552" s="13" t="inlineStr">
        <is>
          <t>VTA</t>
        </is>
      </c>
      <c r="D5552" s="13" t="n">
        <v>43</v>
      </c>
      <c r="E5552" s="10">
        <f>IF(D5552&gt;0,VLOOKUP(OPERAC[[#This Row],[COD CART]],[1]!MatrizCortoLargoCyl[#All],3,0),"")</f>
        <v/>
      </c>
      <c r="F5552" s="13" t="inlineStr">
        <is>
          <t>GMBL/CYL-PUT/2,50/20-01-23</t>
        </is>
      </c>
      <c r="G5552" s="6" t="n">
        <v>1600</v>
      </c>
      <c r="H5552" s="6">
        <f>-1.3*OPERAC[[#This Row],[cantidad]]</f>
        <v/>
      </c>
      <c r="I5552" s="7">
        <f>-H5552/G5552</f>
        <v/>
      </c>
      <c r="J5552" s="11" t="n">
        <v>44636</v>
      </c>
      <c r="K5552" s="6" t="n">
        <v>1600</v>
      </c>
      <c r="L5552" s="6">
        <f>-1.36*OPERAC[[#This Row],[cantidad venta]]</f>
        <v/>
      </c>
      <c r="M5552" s="7">
        <f>IF(N5552=0,+L5552+H5552,0)</f>
        <v/>
      </c>
      <c r="N5552" s="7">
        <f>IF((+G5552-K5552)=0,0,+G5552-K5552)</f>
        <v/>
      </c>
      <c r="O5552" s="7">
        <f>IF(N5552=0,0,(L5552+H5552)/-N5552)</f>
        <v/>
      </c>
      <c r="P5552" s="7">
        <f>VLOOKUP(OPERAC[[#This Row],[especie]],[1]!ESPECIES[#All],6,0)</f>
        <v/>
      </c>
      <c r="Q5552" s="7">
        <f>IF(N5552&lt;&gt;0,P5552*N5552,0)</f>
        <v/>
      </c>
      <c r="R5552" s="8">
        <f>IF(Q5552&lt;&gt;0,Q5552+H5552+L5552,0)</f>
        <v/>
      </c>
      <c r="S5552" s="9">
        <f>VLOOKUP(OPERAC[[#This Row],[especie]],[1]!ESPECIES[#Data],9,FALSE)</f>
        <v/>
      </c>
    </row>
    <row r="5553">
      <c r="A5553" s="4" t="n">
        <v>13253</v>
      </c>
      <c r="B5553" s="5" t="n">
        <v>44720</v>
      </c>
      <c r="C5553" s="13" t="inlineStr">
        <is>
          <t>VTA</t>
        </is>
      </c>
      <c r="D5553" s="13" t="n">
        <v>41</v>
      </c>
      <c r="E5553" s="10">
        <f>IF(D5553&gt;0,VLOOKUP(OPERAC[[#This Row],[COD CART]],[1]!MatrizCortoLargoCyl[#All],3,0),"")</f>
        <v/>
      </c>
      <c r="F5553" s="13" t="inlineStr">
        <is>
          <t>INTC</t>
        </is>
      </c>
      <c r="G5553" s="6" t="n">
        <v>50</v>
      </c>
      <c r="H5553" s="6" t="n">
        <v>-2084.06525</v>
      </c>
      <c r="I5553" s="7">
        <f>-H5553/G5553</f>
        <v/>
      </c>
      <c r="J5553" s="5" t="n"/>
      <c r="K5553" s="6" t="n"/>
      <c r="L5553" s="6" t="n"/>
      <c r="M5553" s="7">
        <f>IF(N5553=0,+L5553+H5553,0)</f>
        <v/>
      </c>
      <c r="N5553" s="7">
        <f>IF((+G5553-K5553)=0,0,+G5553-K5553)</f>
        <v/>
      </c>
      <c r="O5553" s="7">
        <f>IF(N5553=0,0,(L5553+H5553)/-N5553)</f>
        <v/>
      </c>
      <c r="P5553" s="7">
        <f>VLOOKUP(OPERAC[[#This Row],[especie]],[1]!ESPECIES[#All],6,0)</f>
        <v/>
      </c>
      <c r="Q5553" s="7">
        <f>IF(N5553&lt;&gt;0,P5553*N5553,0)</f>
        <v/>
      </c>
      <c r="R5553" s="8">
        <f>IF(Q5553&lt;&gt;0,Q5553+H5553+L5553,0)</f>
        <v/>
      </c>
      <c r="S5553" s="9">
        <f>VLOOKUP(OPERAC[[#This Row],[especie]],[1]!ESPECIES[#Data],9,FALSE)</f>
        <v/>
      </c>
    </row>
    <row r="5554">
      <c r="A5554" s="4" t="n">
        <v>16776</v>
      </c>
      <c r="B5554" s="5" t="n">
        <v>44194</v>
      </c>
      <c r="C5554" s="13" t="inlineStr">
        <is>
          <t>VTA</t>
        </is>
      </c>
      <c r="D5554" s="13" t="n">
        <v>41</v>
      </c>
      <c r="E5554" s="10">
        <f>IF(D5554&gt;0,VLOOKUP(OPERAC[[#This Row],[COD CART]],[1]!MatrizCortoLargoCyl[#All],3,0),"")</f>
        <v/>
      </c>
      <c r="F5554" s="13" t="inlineStr">
        <is>
          <t>TEO</t>
        </is>
      </c>
      <c r="G5554" s="6" t="n">
        <v>300</v>
      </c>
      <c r="H5554" s="6" t="n">
        <v>-2088.06</v>
      </c>
      <c r="I5554" s="7">
        <f>-H5554/G5554</f>
        <v/>
      </c>
      <c r="J5554" s="11" t="n">
        <v>44246</v>
      </c>
      <c r="K5554" s="6" t="n">
        <v>120</v>
      </c>
      <c r="L5554" s="6" t="n">
        <v>739.97</v>
      </c>
      <c r="M5554" s="7">
        <f>IF(N5554=0,+L5554+H5554,0)</f>
        <v/>
      </c>
      <c r="N5554" s="7">
        <f>IF((+G5554-K5554)=0,0,+G5554-K5554)</f>
        <v/>
      </c>
      <c r="O5554" s="7">
        <f>IF(N5554=0,0,(L5554+H5554)/-N5554)</f>
        <v/>
      </c>
      <c r="P5554" s="7">
        <f>VLOOKUP(OPERAC[[#This Row],[especie]],[1]!ESPECIES[#All],6,0)</f>
        <v/>
      </c>
      <c r="Q5554" s="7">
        <f>IF(N5554&lt;&gt;0,P5554*N5554,0)</f>
        <v/>
      </c>
      <c r="R5554" s="8">
        <f>IF(Q5554&lt;&gt;0,Q5554+H5554+L5554,0)</f>
        <v/>
      </c>
      <c r="S5554" s="9">
        <f>VLOOKUP(OPERAC[[#This Row],[especie]],[1]!ESPECIES[#Data],9,FALSE)</f>
        <v/>
      </c>
    </row>
    <row r="5555">
      <c r="A5555" s="4" t="n">
        <v>3728</v>
      </c>
      <c r="B5555" s="5" t="n">
        <v>44494</v>
      </c>
      <c r="C5555" s="13" t="inlineStr">
        <is>
          <t>VTA</t>
        </is>
      </c>
      <c r="D5555" s="13" t="n">
        <v>40</v>
      </c>
      <c r="E5555" s="10">
        <f>IF(D5555&gt;0,VLOOKUP(OPERAC[[#This Row],[COD CART]],[1]!MatrizCortoLargoCyl[#All],3,0),"")</f>
        <v/>
      </c>
      <c r="F5555" s="13" t="inlineStr">
        <is>
          <t>YPF</t>
        </is>
      </c>
      <c r="G5555" s="6" t="n">
        <v>450</v>
      </c>
      <c r="H5555" s="6" t="n">
        <v>-2093.724</v>
      </c>
      <c r="I5555" s="7">
        <f>-H5555/G5555</f>
        <v/>
      </c>
      <c r="J5555" s="11" t="n">
        <v>44606</v>
      </c>
      <c r="K5555" s="6">
        <f>+OPERAC[[#This Row],[cantidad]]</f>
        <v/>
      </c>
      <c r="L5555" s="6">
        <f>+OPERAC[[#This Row],[cantidad venta]]*4.161</f>
        <v/>
      </c>
      <c r="M5555" s="7">
        <f>IF(N5555=0,+L5555+H5555,0)</f>
        <v/>
      </c>
      <c r="N5555" s="7">
        <f>IF((+G5555-K5555)=0,0,+G5555-K5555)</f>
        <v/>
      </c>
      <c r="O5555" s="7">
        <f>IF(N5555=0,0,(L5555+H5555)/-N5555)</f>
        <v/>
      </c>
      <c r="P5555" s="7">
        <f>VLOOKUP(OPERAC[[#This Row],[especie]],[1]!ESPECIES[#All],6,0)</f>
        <v/>
      </c>
      <c r="Q5555" s="7">
        <f>IF(N5555&lt;&gt;0,P5555*N5555,0)</f>
        <v/>
      </c>
      <c r="R5555" s="8">
        <f>IF(Q5555&lt;&gt;0,Q5555+H5555+L5555,0)</f>
        <v/>
      </c>
      <c r="S5555" s="9">
        <f>VLOOKUP(OPERAC[[#This Row],[especie]],[1]!ESPECIES[#Data],9,FALSE)</f>
        <v/>
      </c>
    </row>
    <row r="5556">
      <c r="A5556" s="4" t="n">
        <v>2194</v>
      </c>
      <c r="B5556" s="5" t="n">
        <v>44645</v>
      </c>
      <c r="C5556" s="13" t="inlineStr">
        <is>
          <t>VTA</t>
        </is>
      </c>
      <c r="D5556" s="13" t="n">
        <v>42</v>
      </c>
      <c r="E5556" s="10">
        <f>IF(D5556&gt;0,VLOOKUP(OPERAC[[#This Row],[COD CART]],[1]!MatrizCortoLargoCyl[#All],3,0),"")</f>
        <v/>
      </c>
      <c r="F5556" s="13" t="inlineStr">
        <is>
          <t>PLUG</t>
        </is>
      </c>
      <c r="G5556" s="6" t="n">
        <v>75</v>
      </c>
      <c r="H5556" s="6" t="n">
        <v>-2094.873</v>
      </c>
      <c r="I5556" s="7">
        <f>-H5556/G5556</f>
        <v/>
      </c>
      <c r="J5556" s="11" t="n">
        <v>44652</v>
      </c>
      <c r="K5556" s="6">
        <f>+OPERAC[[#This Row],[cantidad]]</f>
        <v/>
      </c>
      <c r="L5556" s="6">
        <f>+OPERAC[[#This Row],[cantidad venta]]*27.754</f>
        <v/>
      </c>
      <c r="M5556" s="7">
        <f>IF(N5556=0,+L5556+H5556,0)</f>
        <v/>
      </c>
      <c r="N5556" s="7">
        <f>IF((+G5556-K5556)=0,0,+G5556-K5556)</f>
        <v/>
      </c>
      <c r="O5556" s="7">
        <f>IF(N5556=0,0,(L5556+H5556)/-N5556)</f>
        <v/>
      </c>
      <c r="P5556" s="7">
        <f>VLOOKUP(OPERAC[[#This Row],[especie]],[1]!ESPECIES[#All],6,0)</f>
        <v/>
      </c>
      <c r="Q5556" s="7">
        <f>IF(N5556&lt;&gt;0,P5556*N5556,0)</f>
        <v/>
      </c>
      <c r="R5556" s="8">
        <f>IF(Q5556&lt;&gt;0,Q5556+H5556+L5556,0)</f>
        <v/>
      </c>
      <c r="S5556" s="9">
        <f>VLOOKUP(OPERAC[[#This Row],[especie]],[1]!ESPECIES[#Data],9,FALSE)</f>
        <v/>
      </c>
    </row>
    <row r="5557">
      <c r="A5557" s="4" t="n">
        <v>2218</v>
      </c>
      <c r="B5557" s="5" t="n">
        <v>44616</v>
      </c>
      <c r="C5557" s="13" t="inlineStr">
        <is>
          <t>VTA</t>
        </is>
      </c>
      <c r="D5557" s="13" t="n">
        <v>32</v>
      </c>
      <c r="E5557" s="10">
        <f>IF(D5557&gt;0,VLOOKUP(OPERAC[[#This Row],[COD CART]],[1]!MatrizCortoLargoCyl[#All],3,0),"")</f>
        <v/>
      </c>
      <c r="F5557" s="13" t="inlineStr">
        <is>
          <t>PLTR/CYL/12,00/14-04-22</t>
        </is>
      </c>
      <c r="G5557" s="6" t="n">
        <v>200</v>
      </c>
      <c r="H5557" s="6" t="n">
        <v>-2095.3786</v>
      </c>
      <c r="I5557" s="7">
        <f>-H5557/G5557</f>
        <v/>
      </c>
      <c r="J5557" s="11" t="n">
        <v>44643</v>
      </c>
      <c r="K5557" s="6" t="n">
        <v>200</v>
      </c>
      <c r="L5557" s="6" t="n">
        <v>2293.448</v>
      </c>
      <c r="M5557" s="7">
        <f>IF(N5557=0,+L5557+H5557,0)</f>
        <v/>
      </c>
      <c r="N5557" s="7">
        <f>IF((+G5557-K5557)=0,0,+G5557-K5557)</f>
        <v/>
      </c>
      <c r="O5557" s="7">
        <f>IF(N5557=0,0,(L5557+H5557)/-N5557)</f>
        <v/>
      </c>
      <c r="P5557" s="7">
        <f>VLOOKUP(OPERAC[[#This Row],[especie]],[1]!ESPECIES[#All],6,0)</f>
        <v/>
      </c>
      <c r="Q5557" s="7">
        <f>IF(N5557&lt;&gt;0,P5557*N5557,0)</f>
        <v/>
      </c>
      <c r="R5557" s="8">
        <f>IF(Q5557&lt;&gt;0,Q5557+H5557+L5557,0)</f>
        <v/>
      </c>
      <c r="S5557" s="9">
        <f>VLOOKUP(OPERAC[[#This Row],[especie]],[1]!ESPECIES[#Data],9,FALSE)</f>
        <v/>
      </c>
    </row>
    <row r="5558">
      <c r="A5558" s="4" t="n">
        <v>3021</v>
      </c>
      <c r="B5558" s="5" t="n">
        <v>44616</v>
      </c>
      <c r="C5558" s="13" t="inlineStr">
        <is>
          <t>VTA</t>
        </is>
      </c>
      <c r="D5558" s="13" t="n">
        <v>32</v>
      </c>
      <c r="E5558" s="10">
        <f>IF(D5558&gt;0,VLOOKUP(OPERAC[[#This Row],[COD CART]],[1]!MatrizCortoLargoCyl[#All],3,0),"")</f>
        <v/>
      </c>
      <c r="F5558" s="13" t="inlineStr">
        <is>
          <t>PLTR/CYL/12,00/14-04-22</t>
        </is>
      </c>
      <c r="G5558" s="6" t="n">
        <v>200</v>
      </c>
      <c r="H5558" s="6" t="n">
        <v>-2095.3786</v>
      </c>
      <c r="I5558" s="7">
        <f>-H5558/G5558</f>
        <v/>
      </c>
      <c r="J5558" s="11" t="n">
        <v>44643</v>
      </c>
      <c r="K5558" s="6" t="n">
        <v>200</v>
      </c>
      <c r="L5558" s="6" t="n">
        <v>2293.448</v>
      </c>
      <c r="M5558" s="7">
        <f>IF(N5558=0,+L5558+H5558,0)</f>
        <v/>
      </c>
      <c r="N5558" s="7">
        <f>IF((+G5558-K5558)=0,0,+G5558-K5558)</f>
        <v/>
      </c>
      <c r="O5558" s="7">
        <f>IF(N5558=0,0,(L5558+H5558)/-N5558)</f>
        <v/>
      </c>
      <c r="P5558" s="7">
        <f>VLOOKUP(OPERAC[[#This Row],[especie]],[1]!ESPECIES[#All],6,0)</f>
        <v/>
      </c>
      <c r="Q5558" s="7">
        <f>IF(N5558&lt;&gt;0,P5558*N5558,0)</f>
        <v/>
      </c>
      <c r="R5558" s="8">
        <f>IF(Q5558&lt;&gt;0,Q5558+H5558+L5558,0)</f>
        <v/>
      </c>
      <c r="S5558" s="9">
        <f>VLOOKUP(OPERAC[[#This Row],[especie]],[1]!ESPECIES[#Data],9,FALSE)</f>
        <v/>
      </c>
    </row>
    <row r="5559">
      <c r="A5559" s="4" t="n">
        <v>3728</v>
      </c>
      <c r="B5559" s="5" t="n">
        <v>44553</v>
      </c>
      <c r="C5559" s="13" t="inlineStr">
        <is>
          <t>VTA</t>
        </is>
      </c>
      <c r="D5559" s="13" t="n">
        <v>40</v>
      </c>
      <c r="E5559" s="10">
        <f>IF(D5559&gt;0,VLOOKUP(OPERAC[[#This Row],[COD CART]],[1]!MatrizCortoLargoCyl[#All],3,0),"")</f>
        <v/>
      </c>
      <c r="F5559" s="13" t="inlineStr">
        <is>
          <t>DDD</t>
        </is>
      </c>
      <c r="G5559" s="6" t="n">
        <v>100</v>
      </c>
      <c r="H5559" s="6" t="n">
        <v>-2102.499</v>
      </c>
      <c r="I5559" s="7">
        <f>-H5559/G5559</f>
        <v/>
      </c>
      <c r="J5559" s="11" t="n">
        <v>44637</v>
      </c>
      <c r="K5559" s="6" t="n">
        <v>100</v>
      </c>
      <c r="L5559" s="6">
        <f>+OPERAC[[#This Row],[cantidad venta]]*15.23</f>
        <v/>
      </c>
      <c r="M5559" s="7">
        <f>IF(N5559=0,+L5559+H5559,0)</f>
        <v/>
      </c>
      <c r="N5559" s="7">
        <f>IF((+G5559-K5559)=0,0,+G5559-K5559)</f>
        <v/>
      </c>
      <c r="O5559" s="7">
        <f>IF(N5559=0,0,(L5559+H5559)/-N5559)</f>
        <v/>
      </c>
      <c r="P5559" s="7">
        <f>VLOOKUP(OPERAC[[#This Row],[especie]],[1]!ESPECIES[#All],6,0)</f>
        <v/>
      </c>
      <c r="Q5559" s="7">
        <f>IF(N5559&lt;&gt;0,P5559*N5559,0)</f>
        <v/>
      </c>
      <c r="R5559" s="8">
        <f>IF(Q5559&lt;&gt;0,Q5559+H5559+L5559,0)</f>
        <v/>
      </c>
      <c r="S5559" s="9">
        <f>VLOOKUP(OPERAC[[#This Row],[especie]],[1]!ESPECIES[#Data],9,FALSE)</f>
        <v/>
      </c>
    </row>
    <row r="5560">
      <c r="A5560" s="4" t="n">
        <v>2255</v>
      </c>
      <c r="B5560" s="5" t="n">
        <v>44616</v>
      </c>
      <c r="C5560" s="13" t="inlineStr">
        <is>
          <t>VTA</t>
        </is>
      </c>
      <c r="D5560" s="13" t="n">
        <v>32</v>
      </c>
      <c r="E5560" s="10">
        <f>IF(D5560&gt;0,VLOOKUP(OPERAC[[#This Row],[COD CART]],[1]!MatrizCortoLargoCyl[#All],3,0),"")</f>
        <v/>
      </c>
      <c r="F5560" s="13" t="inlineStr">
        <is>
          <t>PLTR/CYL/12,00/14-04-22</t>
        </is>
      </c>
      <c r="G5560" s="6" t="n">
        <v>200</v>
      </c>
      <c r="H5560" s="6" t="n">
        <v>-2102.9344</v>
      </c>
      <c r="I5560" s="7">
        <f>-H5560/G5560</f>
        <v/>
      </c>
      <c r="J5560" s="11" t="n">
        <v>44643</v>
      </c>
      <c r="K5560" s="6" t="n">
        <v>200</v>
      </c>
      <c r="L5560" s="6" t="n">
        <v>2293.448</v>
      </c>
      <c r="M5560" s="7">
        <f>IF(N5560=0,+L5560+H5560,0)</f>
        <v/>
      </c>
      <c r="N5560" s="7">
        <f>IF((+G5560-K5560)=0,0,+G5560-K5560)</f>
        <v/>
      </c>
      <c r="O5560" s="7">
        <f>IF(N5560=0,0,(L5560+H5560)/-N5560)</f>
        <v/>
      </c>
      <c r="P5560" s="7">
        <f>VLOOKUP(OPERAC[[#This Row],[especie]],[1]!ESPECIES[#All],6,0)</f>
        <v/>
      </c>
      <c r="Q5560" s="7">
        <f>IF(N5560&lt;&gt;0,P5560*N5560,0)</f>
        <v/>
      </c>
      <c r="R5560" s="8">
        <f>IF(Q5560&lt;&gt;0,Q5560+H5560+L5560,0)</f>
        <v/>
      </c>
      <c r="S5560" s="9">
        <f>VLOOKUP(OPERAC[[#This Row],[especie]],[1]!ESPECIES[#Data],9,FALSE)</f>
        <v/>
      </c>
    </row>
    <row r="5561">
      <c r="A5561" s="4" t="n">
        <v>16783</v>
      </c>
      <c r="B5561" s="5" t="n">
        <v>44616</v>
      </c>
      <c r="C5561" s="13" t="inlineStr">
        <is>
          <t>VTA</t>
        </is>
      </c>
      <c r="D5561" s="13" t="n">
        <v>32</v>
      </c>
      <c r="E5561" s="10">
        <f>IF(D5561&gt;0,VLOOKUP(OPERAC[[#This Row],[COD CART]],[1]!MatrizCortoLargoCyl[#All],3,0),"")</f>
        <v/>
      </c>
      <c r="F5561" s="13" t="inlineStr">
        <is>
          <t>PLTR/CYL/12,00/14-04-22</t>
        </is>
      </c>
      <c r="G5561" s="6" t="n">
        <v>200</v>
      </c>
      <c r="H5561" s="6" t="n">
        <v>-2102.9344</v>
      </c>
      <c r="I5561" s="7">
        <f>-H5561/G5561</f>
        <v/>
      </c>
      <c r="J5561" s="11" t="n">
        <v>44643</v>
      </c>
      <c r="K5561" s="6" t="n">
        <v>200</v>
      </c>
      <c r="L5561" s="6" t="n">
        <v>2293.448</v>
      </c>
      <c r="M5561" s="7">
        <f>IF(N5561=0,+L5561+H5561,0)</f>
        <v/>
      </c>
      <c r="N5561" s="7">
        <f>IF((+G5561-K5561)=0,0,+G5561-K5561)</f>
        <v/>
      </c>
      <c r="O5561" s="7">
        <f>IF(N5561=0,0,(L5561+H5561)/-N5561)</f>
        <v/>
      </c>
      <c r="P5561" s="7">
        <f>VLOOKUP(OPERAC[[#This Row],[especie]],[1]!ESPECIES[#All],6,0)</f>
        <v/>
      </c>
      <c r="Q5561" s="7">
        <f>IF(N5561&lt;&gt;0,P5561*N5561,0)</f>
        <v/>
      </c>
      <c r="R5561" s="8">
        <f>IF(Q5561&lt;&gt;0,Q5561+H5561+L5561,0)</f>
        <v/>
      </c>
      <c r="S5561" s="9">
        <f>VLOOKUP(OPERAC[[#This Row],[especie]],[1]!ESPECIES[#Data],9,FALSE)</f>
        <v/>
      </c>
    </row>
    <row r="5562">
      <c r="A5562" s="4" t="n">
        <v>1760</v>
      </c>
      <c r="B5562" s="5" t="n">
        <v>44616</v>
      </c>
      <c r="C5562" s="13" t="inlineStr">
        <is>
          <t>VTA</t>
        </is>
      </c>
      <c r="D5562" s="13" t="n">
        <v>32</v>
      </c>
      <c r="E5562" s="10">
        <f>IF(D5562&gt;0,VLOOKUP(OPERAC[[#This Row],[COD CART]],[1]!MatrizCortoLargoCyl[#All],3,0),"")</f>
        <v/>
      </c>
      <c r="F5562" s="13" t="inlineStr">
        <is>
          <t>PLTR/CYL/12,00/14-04-22</t>
        </is>
      </c>
      <c r="G5562" s="6" t="n">
        <v>200</v>
      </c>
      <c r="H5562" s="6" t="n">
        <v>-2105.453</v>
      </c>
      <c r="I5562" s="7">
        <f>-H5562/G5562</f>
        <v/>
      </c>
      <c r="J5562" s="11" t="n">
        <v>44643</v>
      </c>
      <c r="K5562" s="6" t="n">
        <v>200</v>
      </c>
      <c r="L5562" s="6" t="n">
        <v>2293.448</v>
      </c>
      <c r="M5562" s="7">
        <f>IF(N5562=0,+L5562+H5562,0)</f>
        <v/>
      </c>
      <c r="N5562" s="7">
        <f>IF((+G5562-K5562)=0,0,+G5562-K5562)</f>
        <v/>
      </c>
      <c r="O5562" s="7">
        <f>IF(N5562=0,0,(L5562+H5562)/-N5562)</f>
        <v/>
      </c>
      <c r="P5562" s="7">
        <f>VLOOKUP(OPERAC[[#This Row],[especie]],[1]!ESPECIES[#All],6,0)</f>
        <v/>
      </c>
      <c r="Q5562" s="7">
        <f>IF(N5562&lt;&gt;0,P5562*N5562,0)</f>
        <v/>
      </c>
      <c r="R5562" s="8">
        <f>IF(Q5562&lt;&gt;0,Q5562+H5562+L5562,0)</f>
        <v/>
      </c>
      <c r="S5562" s="9">
        <f>VLOOKUP(OPERAC[[#This Row],[especie]],[1]!ESPECIES[#Data],9,FALSE)</f>
        <v/>
      </c>
    </row>
    <row r="5563">
      <c r="A5563" s="4" t="n">
        <v>2194</v>
      </c>
      <c r="B5563" s="5" t="n">
        <v>44616</v>
      </c>
      <c r="C5563" s="13" t="inlineStr">
        <is>
          <t>VTA</t>
        </is>
      </c>
      <c r="D5563" s="13" t="n">
        <v>32</v>
      </c>
      <c r="E5563" s="10">
        <f>IF(D5563&gt;0,VLOOKUP(OPERAC[[#This Row],[COD CART]],[1]!MatrizCortoLargoCyl[#All],3,0),"")</f>
        <v/>
      </c>
      <c r="F5563" s="13" t="inlineStr">
        <is>
          <t>PLTR/CYL/12,00/14-04-22</t>
        </is>
      </c>
      <c r="G5563" s="6" t="n">
        <v>200</v>
      </c>
      <c r="H5563" s="6" t="n">
        <v>-2105.453</v>
      </c>
      <c r="I5563" s="7">
        <f>-H5563/G5563</f>
        <v/>
      </c>
      <c r="J5563" s="11" t="n">
        <v>44643</v>
      </c>
      <c r="K5563" s="6" t="n">
        <v>200</v>
      </c>
      <c r="L5563" s="6" t="n">
        <v>2293.448</v>
      </c>
      <c r="M5563" s="7">
        <f>IF(N5563=0,+L5563+H5563,0)</f>
        <v/>
      </c>
      <c r="N5563" s="7">
        <f>IF((+G5563-K5563)=0,0,+G5563-K5563)</f>
        <v/>
      </c>
      <c r="O5563" s="7">
        <f>IF(N5563=0,0,(L5563+H5563)/-N5563)</f>
        <v/>
      </c>
      <c r="P5563" s="7">
        <f>VLOOKUP(OPERAC[[#This Row],[especie]],[1]!ESPECIES[#All],6,0)</f>
        <v/>
      </c>
      <c r="Q5563" s="7">
        <f>IF(N5563&lt;&gt;0,P5563*N5563,0)</f>
        <v/>
      </c>
      <c r="R5563" s="8">
        <f>IF(Q5563&lt;&gt;0,Q5563+H5563+L5563,0)</f>
        <v/>
      </c>
      <c r="S5563" s="9">
        <f>VLOOKUP(OPERAC[[#This Row],[especie]],[1]!ESPECIES[#Data],9,FALSE)</f>
        <v/>
      </c>
    </row>
    <row r="5564">
      <c r="A5564" s="4" t="n">
        <v>2257</v>
      </c>
      <c r="B5564" s="5" t="n">
        <v>44616</v>
      </c>
      <c r="C5564" s="13" t="inlineStr">
        <is>
          <t>VTA</t>
        </is>
      </c>
      <c r="D5564" s="13" t="n">
        <v>32</v>
      </c>
      <c r="E5564" s="10">
        <f>IF(D5564&gt;0,VLOOKUP(OPERAC[[#This Row],[COD CART]],[1]!MatrizCortoLargoCyl[#All],3,0),"")</f>
        <v/>
      </c>
      <c r="F5564" s="13" t="inlineStr">
        <is>
          <t>PLTR/CYL/12,00/14-04-22</t>
        </is>
      </c>
      <c r="G5564" s="6" t="n">
        <v>200</v>
      </c>
      <c r="H5564" s="6" t="n">
        <v>-2105.453</v>
      </c>
      <c r="I5564" s="7">
        <f>-H5564/G5564</f>
        <v/>
      </c>
      <c r="J5564" s="11" t="n">
        <v>44643</v>
      </c>
      <c r="K5564" s="6" t="n">
        <v>200</v>
      </c>
      <c r="L5564" s="6" t="n">
        <v>2293.448</v>
      </c>
      <c r="M5564" s="7">
        <f>IF(N5564=0,+L5564+H5564,0)</f>
        <v/>
      </c>
      <c r="N5564" s="7">
        <f>IF((+G5564-K5564)=0,0,+G5564-K5564)</f>
        <v/>
      </c>
      <c r="O5564" s="7">
        <f>IF(N5564=0,0,(L5564+H5564)/-N5564)</f>
        <v/>
      </c>
      <c r="P5564" s="7">
        <f>VLOOKUP(OPERAC[[#This Row],[especie]],[1]!ESPECIES[#All],6,0)</f>
        <v/>
      </c>
      <c r="Q5564" s="7">
        <f>IF(N5564&lt;&gt;0,P5564*N5564,0)</f>
        <v/>
      </c>
      <c r="R5564" s="8">
        <f>IF(Q5564&lt;&gt;0,Q5564+H5564+L5564,0)</f>
        <v/>
      </c>
      <c r="S5564" s="9">
        <f>VLOOKUP(OPERAC[[#This Row],[especie]],[1]!ESPECIES[#Data],9,FALSE)</f>
        <v/>
      </c>
    </row>
    <row r="5565">
      <c r="A5565" s="4" t="n">
        <v>6579</v>
      </c>
      <c r="B5565" s="5" t="n">
        <v>44616</v>
      </c>
      <c r="C5565" s="13" t="inlineStr">
        <is>
          <t>VTA</t>
        </is>
      </c>
      <c r="D5565" s="13" t="n">
        <v>32</v>
      </c>
      <c r="E5565" s="10">
        <f>IF(D5565&gt;0,VLOOKUP(OPERAC[[#This Row],[COD CART]],[1]!MatrizCortoLargoCyl[#All],3,0),"")</f>
        <v/>
      </c>
      <c r="F5565" s="13" t="inlineStr">
        <is>
          <t>PLTR/CYL/12,00/14-04-22</t>
        </is>
      </c>
      <c r="G5565" s="6" t="n">
        <v>200</v>
      </c>
      <c r="H5565" s="6" t="n">
        <v>-2105.453</v>
      </c>
      <c r="I5565" s="7">
        <f>-H5565/G5565</f>
        <v/>
      </c>
      <c r="J5565" s="11" t="n">
        <v>44643</v>
      </c>
      <c r="K5565" s="6" t="n">
        <v>200</v>
      </c>
      <c r="L5565" s="6" t="n">
        <v>2293.448</v>
      </c>
      <c r="M5565" s="7">
        <f>IF(N5565=0,+L5565+H5565,0)</f>
        <v/>
      </c>
      <c r="N5565" s="7">
        <f>IF((+G5565-K5565)=0,0,+G5565-K5565)</f>
        <v/>
      </c>
      <c r="O5565" s="7">
        <f>IF(N5565=0,0,(L5565+H5565)/-N5565)</f>
        <v/>
      </c>
      <c r="P5565" s="7">
        <f>VLOOKUP(OPERAC[[#This Row],[especie]],[1]!ESPECIES[#All],6,0)</f>
        <v/>
      </c>
      <c r="Q5565" s="7">
        <f>IF(N5565&lt;&gt;0,P5565*N5565,0)</f>
        <v/>
      </c>
      <c r="R5565" s="8">
        <f>IF(Q5565&lt;&gt;0,Q5565+H5565+L5565,0)</f>
        <v/>
      </c>
      <c r="S5565" s="9">
        <f>VLOOKUP(OPERAC[[#This Row],[especie]],[1]!ESPECIES[#Data],9,FALSE)</f>
        <v/>
      </c>
    </row>
    <row r="5566">
      <c r="A5566" s="4" t="n">
        <v>12022</v>
      </c>
      <c r="B5566" s="5" t="n">
        <v>44616</v>
      </c>
      <c r="C5566" s="13" t="inlineStr">
        <is>
          <t>VTA</t>
        </is>
      </c>
      <c r="D5566" s="13" t="n">
        <v>32</v>
      </c>
      <c r="E5566" s="10">
        <f>IF(D5566&gt;0,VLOOKUP(OPERAC[[#This Row],[COD CART]],[1]!MatrizCortoLargoCyl[#All],3,0),"")</f>
        <v/>
      </c>
      <c r="F5566" s="13" t="inlineStr">
        <is>
          <t>PLTR/CYL/12,00/14-04-22</t>
        </is>
      </c>
      <c r="G5566" s="6" t="n">
        <v>200</v>
      </c>
      <c r="H5566" s="6" t="n">
        <v>-2105.453</v>
      </c>
      <c r="I5566" s="7">
        <f>-H5566/G5566</f>
        <v/>
      </c>
      <c r="J5566" s="11" t="n">
        <v>44643</v>
      </c>
      <c r="K5566" s="6" t="n">
        <v>200</v>
      </c>
      <c r="L5566" s="6" t="n">
        <v>2293.448</v>
      </c>
      <c r="M5566" s="7">
        <f>IF(N5566=0,+L5566+H5566,0)</f>
        <v/>
      </c>
      <c r="N5566" s="7">
        <f>IF((+G5566-K5566)=0,0,+G5566-K5566)</f>
        <v/>
      </c>
      <c r="O5566" s="7">
        <f>IF(N5566=0,0,(L5566+H5566)/-N5566)</f>
        <v/>
      </c>
      <c r="P5566" s="7">
        <f>VLOOKUP(OPERAC[[#This Row],[especie]],[1]!ESPECIES[#All],6,0)</f>
        <v/>
      </c>
      <c r="Q5566" s="7">
        <f>IF(N5566&lt;&gt;0,P5566*N5566,0)</f>
        <v/>
      </c>
      <c r="R5566" s="8">
        <f>IF(Q5566&lt;&gt;0,Q5566+H5566+L5566,0)</f>
        <v/>
      </c>
      <c r="S5566" s="9">
        <f>VLOOKUP(OPERAC[[#This Row],[especie]],[1]!ESPECIES[#Data],9,FALSE)</f>
        <v/>
      </c>
    </row>
    <row r="5567">
      <c r="A5567" s="4" t="n">
        <v>12662</v>
      </c>
      <c r="B5567" s="5" t="n">
        <v>44616</v>
      </c>
      <c r="C5567" s="13" t="inlineStr">
        <is>
          <t>VTA</t>
        </is>
      </c>
      <c r="D5567" s="13" t="n">
        <v>32</v>
      </c>
      <c r="E5567" s="10">
        <f>IF(D5567&gt;0,VLOOKUP(OPERAC[[#This Row],[COD CART]],[1]!MatrizCortoLargoCyl[#All],3,0),"")</f>
        <v/>
      </c>
      <c r="F5567" s="13" t="inlineStr">
        <is>
          <t>PLTR/CYL/12,00/14-04-22</t>
        </is>
      </c>
      <c r="G5567" s="6" t="n">
        <v>200</v>
      </c>
      <c r="H5567" s="6" t="n">
        <v>-2105.453</v>
      </c>
      <c r="I5567" s="7">
        <f>-H5567/G5567</f>
        <v/>
      </c>
      <c r="J5567" s="11" t="n">
        <v>44643</v>
      </c>
      <c r="K5567" s="6" t="n">
        <v>200</v>
      </c>
      <c r="L5567" s="6" t="n">
        <v>2293.448</v>
      </c>
      <c r="M5567" s="7">
        <f>IF(N5567=0,+L5567+H5567,0)</f>
        <v/>
      </c>
      <c r="N5567" s="7">
        <f>IF((+G5567-K5567)=0,0,+G5567-K5567)</f>
        <v/>
      </c>
      <c r="O5567" s="7">
        <f>IF(N5567=0,0,(L5567+H5567)/-N5567)</f>
        <v/>
      </c>
      <c r="P5567" s="7">
        <f>VLOOKUP(OPERAC[[#This Row],[especie]],[1]!ESPECIES[#All],6,0)</f>
        <v/>
      </c>
      <c r="Q5567" s="7">
        <f>IF(N5567&lt;&gt;0,P5567*N5567,0)</f>
        <v/>
      </c>
      <c r="R5567" s="8">
        <f>IF(Q5567&lt;&gt;0,Q5567+H5567+L5567,0)</f>
        <v/>
      </c>
      <c r="S5567" s="9">
        <f>VLOOKUP(OPERAC[[#This Row],[especie]],[1]!ESPECIES[#Data],9,FALSE)</f>
        <v/>
      </c>
    </row>
    <row r="5568">
      <c r="A5568" s="4" t="n">
        <v>12672</v>
      </c>
      <c r="B5568" s="5" t="n">
        <v>44616</v>
      </c>
      <c r="C5568" s="13" t="inlineStr">
        <is>
          <t>VTA</t>
        </is>
      </c>
      <c r="D5568" s="13" t="n">
        <v>32</v>
      </c>
      <c r="E5568" s="10">
        <f>IF(D5568&gt;0,VLOOKUP(OPERAC[[#This Row],[COD CART]],[1]!MatrizCortoLargoCyl[#All],3,0),"")</f>
        <v/>
      </c>
      <c r="F5568" s="13" t="inlineStr">
        <is>
          <t>PLTR/CYL/12,00/14-04-22</t>
        </is>
      </c>
      <c r="G5568" s="6" t="n">
        <v>200</v>
      </c>
      <c r="H5568" s="6" t="n">
        <v>-2105.453</v>
      </c>
      <c r="I5568" s="7">
        <f>-H5568/G5568</f>
        <v/>
      </c>
      <c r="J5568" s="11" t="n">
        <v>44643</v>
      </c>
      <c r="K5568" s="6" t="n">
        <v>200</v>
      </c>
      <c r="L5568" s="6" t="n">
        <v>2293.448</v>
      </c>
      <c r="M5568" s="7">
        <f>IF(N5568=0,+L5568+H5568,0)</f>
        <v/>
      </c>
      <c r="N5568" s="7">
        <f>IF((+G5568-K5568)=0,0,+G5568-K5568)</f>
        <v/>
      </c>
      <c r="O5568" s="7">
        <f>IF(N5568=0,0,(L5568+H5568)/-N5568)</f>
        <v/>
      </c>
      <c r="P5568" s="7">
        <f>VLOOKUP(OPERAC[[#This Row],[especie]],[1]!ESPECIES[#All],6,0)</f>
        <v/>
      </c>
      <c r="Q5568" s="7">
        <f>IF(N5568&lt;&gt;0,P5568*N5568,0)</f>
        <v/>
      </c>
      <c r="R5568" s="8">
        <f>IF(Q5568&lt;&gt;0,Q5568+H5568+L5568,0)</f>
        <v/>
      </c>
      <c r="S5568" s="9">
        <f>VLOOKUP(OPERAC[[#This Row],[especie]],[1]!ESPECIES[#Data],9,FALSE)</f>
        <v/>
      </c>
    </row>
    <row r="5569">
      <c r="A5569" s="4" t="n">
        <v>13180</v>
      </c>
      <c r="B5569" s="5" t="n">
        <v>44616</v>
      </c>
      <c r="C5569" s="13" t="inlineStr">
        <is>
          <t>VTA</t>
        </is>
      </c>
      <c r="D5569" s="13" t="n">
        <v>32</v>
      </c>
      <c r="E5569" s="10">
        <f>IF(D5569&gt;0,VLOOKUP(OPERAC[[#This Row],[COD CART]],[1]!MatrizCortoLargoCyl[#All],3,0),"")</f>
        <v/>
      </c>
      <c r="F5569" s="13" t="inlineStr">
        <is>
          <t>PLTR/CYL/12,00/14-04-22</t>
        </is>
      </c>
      <c r="G5569" s="6" t="n">
        <v>200</v>
      </c>
      <c r="H5569" s="6" t="n">
        <v>-2105.453</v>
      </c>
      <c r="I5569" s="7">
        <f>-H5569/G5569</f>
        <v/>
      </c>
      <c r="J5569" s="11" t="n">
        <v>44643</v>
      </c>
      <c r="K5569" s="6" t="n">
        <v>200</v>
      </c>
      <c r="L5569" s="6" t="n">
        <v>2293.448</v>
      </c>
      <c r="M5569" s="7">
        <f>IF(N5569=0,+L5569+H5569,0)</f>
        <v/>
      </c>
      <c r="N5569" s="7">
        <f>IF((+G5569-K5569)=0,0,+G5569-K5569)</f>
        <v/>
      </c>
      <c r="O5569" s="7">
        <f>IF(N5569=0,0,(L5569+H5569)/-N5569)</f>
        <v/>
      </c>
      <c r="P5569" s="7">
        <f>VLOOKUP(OPERAC[[#This Row],[especie]],[1]!ESPECIES[#All],6,0)</f>
        <v/>
      </c>
      <c r="Q5569" s="7">
        <f>IF(N5569&lt;&gt;0,P5569*N5569,0)</f>
        <v/>
      </c>
      <c r="R5569" s="8">
        <f>IF(Q5569&lt;&gt;0,Q5569+H5569+L5569,0)</f>
        <v/>
      </c>
      <c r="S5569" s="9">
        <f>VLOOKUP(OPERAC[[#This Row],[especie]],[1]!ESPECIES[#Data],9,FALSE)</f>
        <v/>
      </c>
    </row>
    <row r="5570">
      <c r="A5570" s="4" t="n">
        <v>13190</v>
      </c>
      <c r="B5570" s="5" t="n">
        <v>44616</v>
      </c>
      <c r="C5570" s="13" t="inlineStr">
        <is>
          <t>VTA</t>
        </is>
      </c>
      <c r="D5570" s="13" t="n">
        <v>32</v>
      </c>
      <c r="E5570" s="10">
        <f>IF(D5570&gt;0,VLOOKUP(OPERAC[[#This Row],[COD CART]],[1]!MatrizCortoLargoCyl[#All],3,0),"")</f>
        <v/>
      </c>
      <c r="F5570" s="13" t="inlineStr">
        <is>
          <t>PLTR/CYL/12,00/14-04-22</t>
        </is>
      </c>
      <c r="G5570" s="6" t="n">
        <v>200</v>
      </c>
      <c r="H5570" s="6" t="n">
        <v>-2105.453</v>
      </c>
      <c r="I5570" s="7">
        <f>-H5570/G5570</f>
        <v/>
      </c>
      <c r="J5570" s="11" t="n">
        <v>44643</v>
      </c>
      <c r="K5570" s="6" t="n">
        <v>200</v>
      </c>
      <c r="L5570" s="6" t="n">
        <v>2293.448</v>
      </c>
      <c r="M5570" s="7">
        <f>IF(N5570=0,+L5570+H5570,0)</f>
        <v/>
      </c>
      <c r="N5570" s="7">
        <f>IF((+G5570-K5570)=0,0,+G5570-K5570)</f>
        <v/>
      </c>
      <c r="O5570" s="7">
        <f>IF(N5570=0,0,(L5570+H5570)/-N5570)</f>
        <v/>
      </c>
      <c r="P5570" s="7">
        <f>VLOOKUP(OPERAC[[#This Row],[especie]],[1]!ESPECIES[#All],6,0)</f>
        <v/>
      </c>
      <c r="Q5570" s="7">
        <f>IF(N5570&lt;&gt;0,P5570*N5570,0)</f>
        <v/>
      </c>
      <c r="R5570" s="8">
        <f>IF(Q5570&lt;&gt;0,Q5570+H5570+L5570,0)</f>
        <v/>
      </c>
      <c r="S5570" s="9">
        <f>VLOOKUP(OPERAC[[#This Row],[especie]],[1]!ESPECIES[#Data],9,FALSE)</f>
        <v/>
      </c>
    </row>
    <row r="5571">
      <c r="A5571" s="4" t="n">
        <v>15194</v>
      </c>
      <c r="B5571" s="5" t="n">
        <v>44616</v>
      </c>
      <c r="C5571" s="13" t="inlineStr">
        <is>
          <t>VTA</t>
        </is>
      </c>
      <c r="D5571" s="13" t="n">
        <v>32</v>
      </c>
      <c r="E5571" s="10">
        <f>IF(D5571&gt;0,VLOOKUP(OPERAC[[#This Row],[COD CART]],[1]!MatrizCortoLargoCyl[#All],3,0),"")</f>
        <v/>
      </c>
      <c r="F5571" s="13" t="inlineStr">
        <is>
          <t>PLTR/CYL/12,00/14-04-22</t>
        </is>
      </c>
      <c r="G5571" s="6" t="n">
        <v>200</v>
      </c>
      <c r="H5571" s="6" t="n">
        <v>-2105.453</v>
      </c>
      <c r="I5571" s="7">
        <f>-H5571/G5571</f>
        <v/>
      </c>
      <c r="J5571" s="11" t="n">
        <v>44643</v>
      </c>
      <c r="K5571" s="6" t="n">
        <v>200</v>
      </c>
      <c r="L5571" s="6" t="n">
        <v>2293.448</v>
      </c>
      <c r="M5571" s="7">
        <f>IF(N5571=0,+L5571+H5571,0)</f>
        <v/>
      </c>
      <c r="N5571" s="7">
        <f>IF((+G5571-K5571)=0,0,+G5571-K5571)</f>
        <v/>
      </c>
      <c r="O5571" s="7">
        <f>IF(N5571=0,0,(L5571+H5571)/-N5571)</f>
        <v/>
      </c>
      <c r="P5571" s="7">
        <f>VLOOKUP(OPERAC[[#This Row],[especie]],[1]!ESPECIES[#All],6,0)</f>
        <v/>
      </c>
      <c r="Q5571" s="7">
        <f>IF(N5571&lt;&gt;0,P5571*N5571,0)</f>
        <v/>
      </c>
      <c r="R5571" s="8">
        <f>IF(Q5571&lt;&gt;0,Q5571+H5571+L5571,0)</f>
        <v/>
      </c>
      <c r="S5571" s="9">
        <f>VLOOKUP(OPERAC[[#This Row],[especie]],[1]!ESPECIES[#Data],9,FALSE)</f>
        <v/>
      </c>
    </row>
    <row r="5572">
      <c r="A5572" s="4" t="n">
        <v>16795</v>
      </c>
      <c r="B5572" s="5" t="n">
        <v>44616</v>
      </c>
      <c r="C5572" s="13" t="inlineStr">
        <is>
          <t>VTA</t>
        </is>
      </c>
      <c r="D5572" s="13" t="n">
        <v>32</v>
      </c>
      <c r="E5572" s="10">
        <f>IF(D5572&gt;0,VLOOKUP(OPERAC[[#This Row],[COD CART]],[1]!MatrizCortoLargoCyl[#All],3,0),"")</f>
        <v/>
      </c>
      <c r="F5572" s="13" t="inlineStr">
        <is>
          <t>PLTR/CYL/12,00/14-04-22</t>
        </is>
      </c>
      <c r="G5572" s="6" t="n">
        <v>200</v>
      </c>
      <c r="H5572" s="6" t="n">
        <v>-2105.453</v>
      </c>
      <c r="I5572" s="7">
        <f>-H5572/G5572</f>
        <v/>
      </c>
      <c r="J5572" s="11" t="n">
        <v>44643</v>
      </c>
      <c r="K5572" s="6" t="n">
        <v>200</v>
      </c>
      <c r="L5572" s="6" t="n">
        <v>2293.448</v>
      </c>
      <c r="M5572" s="7">
        <f>IF(N5572=0,+L5572+H5572,0)</f>
        <v/>
      </c>
      <c r="N5572" s="7">
        <f>IF((+G5572-K5572)=0,0,+G5572-K5572)</f>
        <v/>
      </c>
      <c r="O5572" s="7">
        <f>IF(N5572=0,0,(L5572+H5572)/-N5572)</f>
        <v/>
      </c>
      <c r="P5572" s="7">
        <f>VLOOKUP(OPERAC[[#This Row],[especie]],[1]!ESPECIES[#All],6,0)</f>
        <v/>
      </c>
      <c r="Q5572" s="7">
        <f>IF(N5572&lt;&gt;0,P5572*N5572,0)</f>
        <v/>
      </c>
      <c r="R5572" s="8">
        <f>IF(Q5572&lt;&gt;0,Q5572+H5572+L5572,0)</f>
        <v/>
      </c>
      <c r="S5572" s="9">
        <f>VLOOKUP(OPERAC[[#This Row],[especie]],[1]!ESPECIES[#Data],9,FALSE)</f>
        <v/>
      </c>
    </row>
    <row r="5573">
      <c r="A5573" s="4" t="n">
        <v>18724</v>
      </c>
      <c r="B5573" s="5" t="n">
        <v>44616</v>
      </c>
      <c r="C5573" s="13" t="inlineStr">
        <is>
          <t>VTA</t>
        </is>
      </c>
      <c r="D5573" s="13" t="n">
        <v>32</v>
      </c>
      <c r="E5573" s="10">
        <f>IF(D5573&gt;0,VLOOKUP(OPERAC[[#This Row],[COD CART]],[1]!MatrizCortoLargoCyl[#All],3,0),"")</f>
        <v/>
      </c>
      <c r="F5573" s="13" t="inlineStr">
        <is>
          <t>PLTR/CYL/12,00/14-04-22</t>
        </is>
      </c>
      <c r="G5573" s="6" t="n">
        <v>200</v>
      </c>
      <c r="H5573" s="6" t="n">
        <v>-2105.453</v>
      </c>
      <c r="I5573" s="7">
        <f>-H5573/G5573</f>
        <v/>
      </c>
      <c r="J5573" s="11" t="n">
        <v>44643</v>
      </c>
      <c r="K5573" s="6" t="n">
        <v>200</v>
      </c>
      <c r="L5573" s="6" t="n">
        <v>2293.448</v>
      </c>
      <c r="M5573" s="7">
        <f>IF(N5573=0,+L5573+H5573,0)</f>
        <v/>
      </c>
      <c r="N5573" s="7">
        <f>IF((+G5573-K5573)=0,0,+G5573-K5573)</f>
        <v/>
      </c>
      <c r="O5573" s="7">
        <f>IF(N5573=0,0,(L5573+H5573)/-N5573)</f>
        <v/>
      </c>
      <c r="P5573" s="7">
        <f>VLOOKUP(OPERAC[[#This Row],[especie]],[1]!ESPECIES[#All],6,0)</f>
        <v/>
      </c>
      <c r="Q5573" s="7">
        <f>IF(N5573&lt;&gt;0,P5573*N5573,0)</f>
        <v/>
      </c>
      <c r="R5573" s="8">
        <f>IF(Q5573&lt;&gt;0,Q5573+H5573+L5573,0)</f>
        <v/>
      </c>
      <c r="S5573" s="9">
        <f>VLOOKUP(OPERAC[[#This Row],[especie]],[1]!ESPECIES[#Data],9,FALSE)</f>
        <v/>
      </c>
    </row>
    <row r="5574">
      <c r="A5574" s="4" t="n">
        <v>19878</v>
      </c>
      <c r="B5574" s="5" t="n">
        <v>44616</v>
      </c>
      <c r="C5574" s="13" t="inlineStr">
        <is>
          <t>VTA</t>
        </is>
      </c>
      <c r="D5574" s="13" t="n">
        <v>32</v>
      </c>
      <c r="E5574" s="10">
        <f>IF(D5574&gt;0,VLOOKUP(OPERAC[[#This Row],[COD CART]],[1]!MatrizCortoLargoCyl[#All],3,0),"")</f>
        <v/>
      </c>
      <c r="F5574" s="13" t="inlineStr">
        <is>
          <t>PLTR/CYL/12,00/14-04-22</t>
        </is>
      </c>
      <c r="G5574" s="6" t="n">
        <v>200</v>
      </c>
      <c r="H5574" s="6" t="n">
        <v>-2105.453</v>
      </c>
      <c r="I5574" s="7">
        <f>-H5574/G5574</f>
        <v/>
      </c>
      <c r="J5574" s="11" t="n">
        <v>44643</v>
      </c>
      <c r="K5574" s="6" t="n">
        <v>200</v>
      </c>
      <c r="L5574" s="6" t="n">
        <v>2293.448</v>
      </c>
      <c r="M5574" s="7">
        <f>IF(N5574=0,+L5574+H5574,0)</f>
        <v/>
      </c>
      <c r="N5574" s="7">
        <f>IF((+G5574-K5574)=0,0,+G5574-K5574)</f>
        <v/>
      </c>
      <c r="O5574" s="7">
        <f>IF(N5574=0,0,(L5574+H5574)/-N5574)</f>
        <v/>
      </c>
      <c r="P5574" s="7">
        <f>VLOOKUP(OPERAC[[#This Row],[especie]],[1]!ESPECIES[#All],6,0)</f>
        <v/>
      </c>
      <c r="Q5574" s="7">
        <f>IF(N5574&lt;&gt;0,P5574*N5574,0)</f>
        <v/>
      </c>
      <c r="R5574" s="8">
        <f>IF(Q5574&lt;&gt;0,Q5574+H5574+L5574,0)</f>
        <v/>
      </c>
      <c r="S5574" s="9">
        <f>VLOOKUP(OPERAC[[#This Row],[especie]],[1]!ESPECIES[#Data],9,FALSE)</f>
        <v/>
      </c>
    </row>
    <row r="5575">
      <c r="A5575" s="4" t="n">
        <v>20234</v>
      </c>
      <c r="B5575" s="5" t="n">
        <v>44616</v>
      </c>
      <c r="C5575" s="13" t="inlineStr">
        <is>
          <t>VTA</t>
        </is>
      </c>
      <c r="D5575" s="13" t="n">
        <v>32</v>
      </c>
      <c r="E5575" s="10">
        <f>IF(D5575&gt;0,VLOOKUP(OPERAC[[#This Row],[COD CART]],[1]!MatrizCortoLargoCyl[#All],3,0),"")</f>
        <v/>
      </c>
      <c r="F5575" s="13" t="inlineStr">
        <is>
          <t>PLTR/CYL/12,00/14-04-22</t>
        </is>
      </c>
      <c r="G5575" s="6" t="n">
        <v>200</v>
      </c>
      <c r="H5575" s="6" t="n">
        <v>-2105.453</v>
      </c>
      <c r="I5575" s="7">
        <f>-H5575/G5575</f>
        <v/>
      </c>
      <c r="J5575" s="11" t="n">
        <v>44643</v>
      </c>
      <c r="K5575" s="6" t="n">
        <v>200</v>
      </c>
      <c r="L5575" s="6" t="n">
        <v>2293.448</v>
      </c>
      <c r="M5575" s="7">
        <f>IF(N5575=0,+L5575+H5575,0)</f>
        <v/>
      </c>
      <c r="N5575" s="7">
        <f>IF((+G5575-K5575)=0,0,+G5575-K5575)</f>
        <v/>
      </c>
      <c r="O5575" s="7">
        <f>IF(N5575=0,0,(L5575+H5575)/-N5575)</f>
        <v/>
      </c>
      <c r="P5575" s="7">
        <f>VLOOKUP(OPERAC[[#This Row],[especie]],[1]!ESPECIES[#All],6,0)</f>
        <v/>
      </c>
      <c r="Q5575" s="7">
        <f>IF(N5575&lt;&gt;0,P5575*N5575,0)</f>
        <v/>
      </c>
      <c r="R5575" s="8">
        <f>IF(Q5575&lt;&gt;0,Q5575+H5575+L5575,0)</f>
        <v/>
      </c>
      <c r="S5575" s="9">
        <f>VLOOKUP(OPERAC[[#This Row],[especie]],[1]!ESPECIES[#Data],9,FALSE)</f>
        <v/>
      </c>
    </row>
    <row r="5576">
      <c r="A5576" s="4" t="n">
        <v>22407</v>
      </c>
      <c r="B5576" s="5" t="n">
        <v>44616</v>
      </c>
      <c r="C5576" s="13" t="inlineStr">
        <is>
          <t>VTA</t>
        </is>
      </c>
      <c r="D5576" s="13" t="n">
        <v>32</v>
      </c>
      <c r="E5576" s="10">
        <f>IF(D5576&gt;0,VLOOKUP(OPERAC[[#This Row],[COD CART]],[1]!MatrizCortoLargoCyl[#All],3,0),"")</f>
        <v/>
      </c>
      <c r="F5576" s="13" t="inlineStr">
        <is>
          <t>PLTR/CYL/12,00/14-04-22</t>
        </is>
      </c>
      <c r="G5576" s="6" t="n">
        <v>200</v>
      </c>
      <c r="H5576" s="6" t="n">
        <v>-2105.453</v>
      </c>
      <c r="I5576" s="7">
        <f>-H5576/G5576</f>
        <v/>
      </c>
      <c r="J5576" s="11" t="n">
        <v>44643</v>
      </c>
      <c r="K5576" s="6" t="n">
        <v>200</v>
      </c>
      <c r="L5576" s="6" t="n">
        <v>2293.448</v>
      </c>
      <c r="M5576" s="7">
        <f>IF(N5576=0,+L5576+H5576,0)</f>
        <v/>
      </c>
      <c r="N5576" s="7">
        <f>IF((+G5576-K5576)=0,0,+G5576-K5576)</f>
        <v/>
      </c>
      <c r="O5576" s="7">
        <f>IF(N5576=0,0,(L5576+H5576)/-N5576)</f>
        <v/>
      </c>
      <c r="P5576" s="7">
        <f>VLOOKUP(OPERAC[[#This Row],[especie]],[1]!ESPECIES[#All],6,0)</f>
        <v/>
      </c>
      <c r="Q5576" s="7">
        <f>IF(N5576&lt;&gt;0,P5576*N5576,0)</f>
        <v/>
      </c>
      <c r="R5576" s="8">
        <f>IF(Q5576&lt;&gt;0,Q5576+H5576+L5576,0)</f>
        <v/>
      </c>
      <c r="S5576" s="9">
        <f>VLOOKUP(OPERAC[[#This Row],[especie]],[1]!ESPECIES[#Data],9,FALSE)</f>
        <v/>
      </c>
    </row>
    <row r="5577">
      <c r="A5577" s="4" t="n">
        <v>25070</v>
      </c>
      <c r="B5577" s="5" t="n">
        <v>44616</v>
      </c>
      <c r="C5577" s="13" t="inlineStr">
        <is>
          <t>VTA</t>
        </is>
      </c>
      <c r="D5577" s="13" t="n">
        <v>32</v>
      </c>
      <c r="E5577" s="10">
        <f>IF(D5577&gt;0,VLOOKUP(OPERAC[[#This Row],[COD CART]],[1]!MatrizCortoLargoCyl[#All],3,0),"")</f>
        <v/>
      </c>
      <c r="F5577" s="13" t="inlineStr">
        <is>
          <t>PLTR/CYL/12,00/14-04-22</t>
        </is>
      </c>
      <c r="G5577" s="6" t="n">
        <v>200</v>
      </c>
      <c r="H5577" s="6" t="n">
        <v>-2105.453</v>
      </c>
      <c r="I5577" s="7">
        <f>-H5577/G5577</f>
        <v/>
      </c>
      <c r="J5577" s="11" t="n">
        <v>44643</v>
      </c>
      <c r="K5577" s="6" t="n">
        <v>200</v>
      </c>
      <c r="L5577" s="6" t="n">
        <v>2293.448</v>
      </c>
      <c r="M5577" s="7">
        <f>IF(N5577=0,+L5577+H5577,0)</f>
        <v/>
      </c>
      <c r="N5577" s="7">
        <f>IF((+G5577-K5577)=0,0,+G5577-K5577)</f>
        <v/>
      </c>
      <c r="O5577" s="7">
        <f>IF(N5577=0,0,(L5577+H5577)/-N5577)</f>
        <v/>
      </c>
      <c r="P5577" s="7">
        <f>VLOOKUP(OPERAC[[#This Row],[especie]],[1]!ESPECIES[#All],6,0)</f>
        <v/>
      </c>
      <c r="Q5577" s="7">
        <f>IF(N5577&lt;&gt;0,P5577*N5577,0)</f>
        <v/>
      </c>
      <c r="R5577" s="8">
        <f>IF(Q5577&lt;&gt;0,Q5577+H5577+L5577,0)</f>
        <v/>
      </c>
      <c r="S5577" s="9">
        <f>VLOOKUP(OPERAC[[#This Row],[especie]],[1]!ESPECIES[#Data],9,FALSE)</f>
        <v/>
      </c>
    </row>
    <row r="5578">
      <c r="A5578" s="4" t="n">
        <v>12630</v>
      </c>
      <c r="B5578" s="5" t="n">
        <v>44253</v>
      </c>
      <c r="C5578" s="13" t="inlineStr">
        <is>
          <t>VTA</t>
        </is>
      </c>
      <c r="D5578" s="13" t="n">
        <v>41</v>
      </c>
      <c r="E5578" s="10">
        <f>IF(D5578&gt;0,VLOOKUP(OPERAC[[#This Row],[COD CART]],[1]!MatrizCortoLargoCyl[#All],3,0),"")</f>
        <v/>
      </c>
      <c r="F5578" s="13" t="inlineStr">
        <is>
          <t>GBTC</t>
        </is>
      </c>
      <c r="G5578" s="6" t="n">
        <v>50</v>
      </c>
      <c r="H5578" s="6" t="n">
        <v>-2106.712</v>
      </c>
      <c r="I5578" s="7">
        <f>-H5578/G5578</f>
        <v/>
      </c>
      <c r="J5578" s="11" t="n"/>
      <c r="K5578" s="6" t="n"/>
      <c r="L5578" s="6" t="n"/>
      <c r="M5578" s="7">
        <f>IF(N5578=0,+L5578+H5578,0)</f>
        <v/>
      </c>
      <c r="N5578" s="7">
        <f>IF((+G5578-K5578)=0,0,+G5578-K5578)</f>
        <v/>
      </c>
      <c r="O5578" s="7">
        <f>IF(N5578=0,0,(L5578+H5578)/-N5578)</f>
        <v/>
      </c>
      <c r="P5578" s="7">
        <f>VLOOKUP(OPERAC[[#This Row],[especie]],[1]!ESPECIES[#All],6,0)</f>
        <v/>
      </c>
      <c r="Q5578" s="7">
        <f>IF(N5578&lt;&gt;0,P5578*N5578,0)</f>
        <v/>
      </c>
      <c r="R5578" s="8">
        <f>IF(Q5578&lt;&gt;0,Q5578+H5578+L5578,0)</f>
        <v/>
      </c>
      <c r="S5578" s="9">
        <f>VLOOKUP(OPERAC[[#This Row],[especie]],[1]!ESPECIES[#Data],9,FALSE)</f>
        <v/>
      </c>
    </row>
    <row r="5579">
      <c r="A5579" s="4" t="n">
        <v>1762</v>
      </c>
      <c r="B5579" s="5" t="n">
        <v>44354</v>
      </c>
      <c r="C5579" s="13" t="inlineStr">
        <is>
          <t>VTA</t>
        </is>
      </c>
      <c r="D5579" s="13" t="n">
        <v>41</v>
      </c>
      <c r="E5579" s="10">
        <f>IF(D5579&gt;0,VLOOKUP(OPERAC[[#This Row],[COD CART]],[1]!MatrizCortoLargoCyl[#All],3,0),"")</f>
        <v/>
      </c>
      <c r="F5579" s="13" t="inlineStr">
        <is>
          <t>GBTC</t>
        </is>
      </c>
      <c r="G5579" s="6" t="n">
        <v>70</v>
      </c>
      <c r="H5579" s="6" t="n">
        <v>-2108.014</v>
      </c>
      <c r="I5579" s="7">
        <f>-H5579/G5579</f>
        <v/>
      </c>
      <c r="J5579" s="11" t="n"/>
      <c r="K5579" s="6" t="n"/>
      <c r="L5579" s="6" t="n"/>
      <c r="M5579" s="7">
        <f>IF(N5579=0,+L5579+H5579,0)</f>
        <v/>
      </c>
      <c r="N5579" s="7">
        <f>IF((+G5579-K5579)=0,0,+G5579-K5579)</f>
        <v/>
      </c>
      <c r="O5579" s="7">
        <f>IF(N5579=0,0,(L5579+H5579)/-N5579)</f>
        <v/>
      </c>
      <c r="P5579" s="7">
        <f>VLOOKUP(OPERAC[[#This Row],[especie]],[1]!ESPECIES[#All],6,0)</f>
        <v/>
      </c>
      <c r="Q5579" s="7">
        <f>IF(N5579&lt;&gt;0,P5579*N5579,0)</f>
        <v/>
      </c>
      <c r="R5579" s="8">
        <f>IF(Q5579&lt;&gt;0,Q5579+H5579+L5579,0)</f>
        <v/>
      </c>
      <c r="S5579" s="9">
        <f>VLOOKUP(OPERAC[[#This Row],[especie]],[1]!ESPECIES[#Data],9,FALSE)</f>
        <v/>
      </c>
    </row>
    <row r="5580">
      <c r="A5580" s="4" t="n">
        <v>22393</v>
      </c>
      <c r="B5580" s="5" t="n">
        <v>44638</v>
      </c>
      <c r="C5580" s="13" t="inlineStr">
        <is>
          <t>VTA</t>
        </is>
      </c>
      <c r="D5580" s="13" t="n">
        <v>31</v>
      </c>
      <c r="E5580" s="10">
        <f>IF(D5580&gt;0,VLOOKUP(OPERAC[[#This Row],[COD CART]],[1]!MatrizCortoLargoCyl[#All],3,0),"")</f>
        <v/>
      </c>
      <c r="F5580" s="13" t="inlineStr">
        <is>
          <t>QQQ</t>
        </is>
      </c>
      <c r="G5580" s="6" t="n">
        <v>6</v>
      </c>
      <c r="H5580" s="6" t="n">
        <v>-2109.635</v>
      </c>
      <c r="I5580" s="7">
        <f>-H5580/G5580</f>
        <v/>
      </c>
      <c r="J5580" s="11" t="n">
        <v>44657</v>
      </c>
      <c r="K5580" s="6" t="n">
        <v>6</v>
      </c>
      <c r="L5580" s="6" t="n">
        <v>2100.106</v>
      </c>
      <c r="M5580" s="7">
        <f>IF(N5580=0,+L5580+H5580,0)</f>
        <v/>
      </c>
      <c r="N5580" s="7">
        <f>IF((+G5580-K5580)=0,0,+G5580-K5580)</f>
        <v/>
      </c>
      <c r="O5580" s="7">
        <f>IF(N5580=0,0,(L5580+H5580)/-N5580)</f>
        <v/>
      </c>
      <c r="P5580" s="7">
        <f>VLOOKUP(OPERAC[[#This Row],[especie]],[1]!ESPECIES[#All],6,0)</f>
        <v/>
      </c>
      <c r="Q5580" s="7">
        <f>IF(N5580&lt;&gt;0,P5580*N5580,0)</f>
        <v/>
      </c>
      <c r="R5580" s="8">
        <f>IF(Q5580&lt;&gt;0,Q5580+H5580+L5580,0)</f>
        <v/>
      </c>
      <c r="S5580" s="9">
        <f>VLOOKUP(OPERAC[[#This Row],[especie]],[1]!ESPECIES[#Data],9,FALSE)</f>
        <v/>
      </c>
    </row>
    <row r="5581">
      <c r="A5581" s="4" t="n">
        <v>10079</v>
      </c>
      <c r="B5581" s="5" t="n">
        <v>44628</v>
      </c>
      <c r="C5581" s="13" t="inlineStr">
        <is>
          <t>VTA</t>
        </is>
      </c>
      <c r="D5581" s="13" t="n">
        <v>40</v>
      </c>
      <c r="E5581" s="10">
        <f>IF(D5581&gt;0,VLOOKUP(OPERAC[[#This Row],[COD CART]],[1]!MatrizCortoLargoCyl[#All],3,0),"")</f>
        <v/>
      </c>
      <c r="F5581" s="13" t="inlineStr">
        <is>
          <t>CVV</t>
        </is>
      </c>
      <c r="G5581" s="6" t="n">
        <v>500</v>
      </c>
      <c r="H5581" s="6" t="n">
        <v>-2112.244</v>
      </c>
      <c r="I5581" s="7">
        <f>-H5581/G5581</f>
        <v/>
      </c>
      <c r="J5581" s="11" t="n">
        <v>44642</v>
      </c>
      <c r="K5581" s="6" t="n">
        <v>500</v>
      </c>
      <c r="L5581" s="6" t="n">
        <v>2204.88</v>
      </c>
      <c r="M5581" s="7">
        <f>IF(N5581=0,+L5581+H5581,0)</f>
        <v/>
      </c>
      <c r="N5581" s="7">
        <f>IF((+G5581-K5581)=0,0,+G5581-K5581)</f>
        <v/>
      </c>
      <c r="O5581" s="7">
        <f>IF(N5581=0,0,(L5581+H5581)/-N5581)</f>
        <v/>
      </c>
      <c r="P5581" s="7">
        <f>VLOOKUP(OPERAC[[#This Row],[especie]],[1]!ESPECIES[#All],6,0)</f>
        <v/>
      </c>
      <c r="Q5581" s="7">
        <f>IF(N5581&lt;&gt;0,P5581*N5581,0)</f>
        <v/>
      </c>
      <c r="R5581" s="8">
        <f>IF(Q5581&lt;&gt;0,Q5581+H5581+L5581,0)</f>
        <v/>
      </c>
      <c r="S5581" s="9">
        <f>VLOOKUP(OPERAC[[#This Row],[especie]],[1]!ESPECIES[#Data],9,FALSE)</f>
        <v/>
      </c>
    </row>
    <row r="5582">
      <c r="A5582" s="4" t="n">
        <v>15189</v>
      </c>
      <c r="B5582" s="5" t="n">
        <v>44628</v>
      </c>
      <c r="C5582" s="13" t="inlineStr">
        <is>
          <t>VTA</t>
        </is>
      </c>
      <c r="D5582" s="13" t="n">
        <v>40</v>
      </c>
      <c r="E5582" s="10">
        <f>IF(D5582&gt;0,VLOOKUP(OPERAC[[#This Row],[COD CART]],[1]!MatrizCortoLargoCyl[#All],3,0),"")</f>
        <v/>
      </c>
      <c r="F5582" s="13" t="inlineStr">
        <is>
          <t>CVV</t>
        </is>
      </c>
      <c r="G5582" s="6" t="n">
        <v>500</v>
      </c>
      <c r="H5582" s="6" t="n">
        <v>-2112.244</v>
      </c>
      <c r="I5582" s="7">
        <f>-H5582/G5582</f>
        <v/>
      </c>
      <c r="J5582" s="11" t="n">
        <v>44649</v>
      </c>
      <c r="K5582" s="6">
        <f>+OPERAC[[#This Row],[cantidad]]</f>
        <v/>
      </c>
      <c r="L5582" s="6">
        <f>+OPERAC[[#This Row],[cantidad venta]]*4.459</f>
        <v/>
      </c>
      <c r="M5582" s="7">
        <f>IF(N5582=0,+L5582+H5582,0)</f>
        <v/>
      </c>
      <c r="N5582" s="7">
        <f>IF((+G5582-K5582)=0,0,+G5582-K5582)</f>
        <v/>
      </c>
      <c r="O5582" s="7">
        <f>IF(N5582=0,0,(L5582+H5582)/-N5582)</f>
        <v/>
      </c>
      <c r="P5582" s="7">
        <f>VLOOKUP(OPERAC[[#This Row],[especie]],[1]!ESPECIES[#All],6,0)</f>
        <v/>
      </c>
      <c r="Q5582" s="7">
        <f>IF(N5582&lt;&gt;0,P5582*N5582,0)</f>
        <v/>
      </c>
      <c r="R5582" s="8">
        <f>IF(Q5582&lt;&gt;0,Q5582+H5582+L5582,0)</f>
        <v/>
      </c>
      <c r="S5582" s="9">
        <f>VLOOKUP(OPERAC[[#This Row],[especie]],[1]!ESPECIES[#Data],9,FALSE)</f>
        <v/>
      </c>
    </row>
    <row r="5583">
      <c r="A5583" s="4" t="n">
        <v>15194</v>
      </c>
      <c r="B5583" s="5" t="n">
        <v>44628</v>
      </c>
      <c r="C5583" s="13" t="inlineStr">
        <is>
          <t>VTA</t>
        </is>
      </c>
      <c r="D5583" s="13" t="n">
        <v>40</v>
      </c>
      <c r="E5583" s="10">
        <f>IF(D5583&gt;0,VLOOKUP(OPERAC[[#This Row],[COD CART]],[1]!MatrizCortoLargoCyl[#All],3,0),"")</f>
        <v/>
      </c>
      <c r="F5583" s="13" t="inlineStr">
        <is>
          <t>CVV</t>
        </is>
      </c>
      <c r="G5583" s="6" t="n">
        <v>500</v>
      </c>
      <c r="H5583" s="6" t="n">
        <v>-2112.244</v>
      </c>
      <c r="I5583" s="7">
        <f>-H5583/G5583</f>
        <v/>
      </c>
      <c r="J5583" s="11" t="n">
        <v>44630</v>
      </c>
      <c r="K5583" s="6">
        <f>301+199</f>
        <v/>
      </c>
      <c r="L5583" s="6">
        <f>1297.325+887.311</f>
        <v/>
      </c>
      <c r="M5583" s="7">
        <f>IF(N5583=0,+L5583+H5583,0)</f>
        <v/>
      </c>
      <c r="N5583" s="7">
        <f>IF((+G5583-K5583)=0,0,+G5583-K5583)</f>
        <v/>
      </c>
      <c r="O5583" s="7">
        <f>IF(N5583=0,0,(L5583+H5583)/-N5583)</f>
        <v/>
      </c>
      <c r="P5583" s="7">
        <f>VLOOKUP(OPERAC[[#This Row],[especie]],[1]!ESPECIES[#All],6,0)</f>
        <v/>
      </c>
      <c r="Q5583" s="7">
        <f>IF(N5583&lt;&gt;0,P5583*N5583,0)</f>
        <v/>
      </c>
      <c r="R5583" s="8">
        <f>IF(Q5583&lt;&gt;0,Q5583+H5583+L5583,0)</f>
        <v/>
      </c>
      <c r="S5583" s="9">
        <f>VLOOKUP(OPERAC[[#This Row],[especie]],[1]!ESPECIES[#Data],9,FALSE)</f>
        <v/>
      </c>
    </row>
    <row r="5584">
      <c r="A5584" s="4" t="n">
        <v>15195</v>
      </c>
      <c r="B5584" s="5" t="n">
        <v>44628</v>
      </c>
      <c r="C5584" s="13" t="inlineStr">
        <is>
          <t>VTA</t>
        </is>
      </c>
      <c r="D5584" s="13" t="n">
        <v>40</v>
      </c>
      <c r="E5584" s="10">
        <f>IF(D5584&gt;0,VLOOKUP(OPERAC[[#This Row],[COD CART]],[1]!MatrizCortoLargoCyl[#All],3,0),"")</f>
        <v/>
      </c>
      <c r="F5584" s="13" t="inlineStr">
        <is>
          <t>CVV</t>
        </is>
      </c>
      <c r="G5584" s="6" t="n">
        <v>500</v>
      </c>
      <c r="H5584" s="6" t="n">
        <v>-2112.244</v>
      </c>
      <c r="I5584" s="7">
        <f>-H5584/G5584</f>
        <v/>
      </c>
      <c r="J5584" s="11" t="n">
        <v>44649</v>
      </c>
      <c r="K5584" s="6">
        <f>+OPERAC[[#This Row],[cantidad]]</f>
        <v/>
      </c>
      <c r="L5584" s="6">
        <f>+OPERAC[[#This Row],[cantidad venta]]*4.459</f>
        <v/>
      </c>
      <c r="M5584" s="7">
        <f>IF(N5584=0,+L5584+H5584,0)</f>
        <v/>
      </c>
      <c r="N5584" s="7">
        <f>IF((+G5584-K5584)=0,0,+G5584-K5584)</f>
        <v/>
      </c>
      <c r="O5584" s="7">
        <f>IF(N5584=0,0,(L5584+H5584)/-N5584)</f>
        <v/>
      </c>
      <c r="P5584" s="7">
        <f>VLOOKUP(OPERAC[[#This Row],[especie]],[1]!ESPECIES[#All],6,0)</f>
        <v/>
      </c>
      <c r="Q5584" s="7">
        <f>IF(N5584&lt;&gt;0,P5584*N5584,0)</f>
        <v/>
      </c>
      <c r="R5584" s="8">
        <f>IF(Q5584&lt;&gt;0,Q5584+H5584+L5584,0)</f>
        <v/>
      </c>
      <c r="S5584" s="9">
        <f>VLOOKUP(OPERAC[[#This Row],[especie]],[1]!ESPECIES[#Data],9,FALSE)</f>
        <v/>
      </c>
    </row>
    <row r="5585">
      <c r="A5585" s="4" t="n">
        <v>16780</v>
      </c>
      <c r="B5585" s="5" t="n">
        <v>44628</v>
      </c>
      <c r="C5585" s="13" t="inlineStr">
        <is>
          <t>VTA</t>
        </is>
      </c>
      <c r="D5585" s="13" t="n">
        <v>40</v>
      </c>
      <c r="E5585" s="10">
        <f>IF(D5585&gt;0,VLOOKUP(OPERAC[[#This Row],[COD CART]],[1]!MatrizCortoLargoCyl[#All],3,0),"")</f>
        <v/>
      </c>
      <c r="F5585" s="13" t="inlineStr">
        <is>
          <t>CVV</t>
        </is>
      </c>
      <c r="G5585" s="6" t="n">
        <v>500</v>
      </c>
      <c r="H5585" s="6" t="n">
        <v>-2112.244</v>
      </c>
      <c r="I5585" s="7">
        <f>-H5585/G5585</f>
        <v/>
      </c>
      <c r="J5585" s="11" t="n">
        <v>44649</v>
      </c>
      <c r="K5585" s="6">
        <f>+OPERAC[[#This Row],[cantidad]]</f>
        <v/>
      </c>
      <c r="L5585" s="6">
        <f>+OPERAC[[#This Row],[cantidad venta]]*4.459</f>
        <v/>
      </c>
      <c r="M5585" s="7">
        <f>IF(N5585=0,+L5585+H5585,0)</f>
        <v/>
      </c>
      <c r="N5585" s="7">
        <f>IF((+G5585-K5585)=0,0,+G5585-K5585)</f>
        <v/>
      </c>
      <c r="O5585" s="7">
        <f>IF(N5585=0,0,(L5585+H5585)/-N5585)</f>
        <v/>
      </c>
      <c r="P5585" s="7">
        <f>VLOOKUP(OPERAC[[#This Row],[especie]],[1]!ESPECIES[#All],6,0)</f>
        <v/>
      </c>
      <c r="Q5585" s="7">
        <f>IF(N5585&lt;&gt;0,P5585*N5585,0)</f>
        <v/>
      </c>
      <c r="R5585" s="8">
        <f>IF(Q5585&lt;&gt;0,Q5585+H5585+L5585,0)</f>
        <v/>
      </c>
      <c r="S5585" s="9">
        <f>VLOOKUP(OPERAC[[#This Row],[especie]],[1]!ESPECIES[#Data],9,FALSE)</f>
        <v/>
      </c>
    </row>
    <row r="5586">
      <c r="A5586" s="4" t="n">
        <v>16776</v>
      </c>
      <c r="B5586" s="5" t="n">
        <v>44349</v>
      </c>
      <c r="C5586" s="13" t="inlineStr">
        <is>
          <t>VTA</t>
        </is>
      </c>
      <c r="D5586" s="13" t="n">
        <v>41</v>
      </c>
      <c r="E5586" s="10">
        <f>IF(D5586&gt;0,VLOOKUP(OPERAC[[#This Row],[COD CART]],[1]!MatrizCortoLargoCyl[#All],3,0),"")</f>
        <v/>
      </c>
      <c r="F5586" s="13" t="inlineStr">
        <is>
          <t>LOMA</t>
        </is>
      </c>
      <c r="G5586" s="6" t="n">
        <v>300</v>
      </c>
      <c r="H5586" s="6" t="n">
        <v>-2112.252</v>
      </c>
      <c r="I5586" s="7">
        <f>-H5586/G5586</f>
        <v/>
      </c>
      <c r="J5586" s="11" t="n"/>
      <c r="K5586" s="6" t="n"/>
      <c r="L5586" s="6" t="n"/>
      <c r="M5586" s="7">
        <f>IF(N5586=0,+L5586+H5586,0)</f>
        <v/>
      </c>
      <c r="N5586" s="7">
        <f>IF((+G5586-K5586)=0,0,+G5586-K5586)</f>
        <v/>
      </c>
      <c r="O5586" s="7">
        <f>IF(N5586=0,0,(L5586+H5586)/-N5586)</f>
        <v/>
      </c>
      <c r="P5586" s="7">
        <f>VLOOKUP(OPERAC[[#This Row],[especie]],[1]!ESPECIES[#All],6,0)</f>
        <v/>
      </c>
      <c r="Q5586" s="7">
        <f>IF(N5586&lt;&gt;0,P5586*N5586,0)</f>
        <v/>
      </c>
      <c r="R5586" s="8">
        <f>IF(Q5586&lt;&gt;0,Q5586+H5586+L5586,0)</f>
        <v/>
      </c>
      <c r="S5586" s="9">
        <f>VLOOKUP(OPERAC[[#This Row],[especie]],[1]!ESPECIES[#Data],9,FALSE)</f>
        <v/>
      </c>
    </row>
    <row r="5587">
      <c r="A5587" s="4" t="n">
        <v>3728</v>
      </c>
      <c r="B5587" s="5" t="n">
        <v>44712</v>
      </c>
      <c r="C5587" s="13" t="inlineStr">
        <is>
          <t>VTA</t>
        </is>
      </c>
      <c r="D5587" s="13" t="n">
        <v>40</v>
      </c>
      <c r="E5587" s="10">
        <f>IF(D5587&gt;0,VLOOKUP(OPERAC[[#This Row],[COD CART]],[1]!MatrizCortoLargoCyl[#All],3,0),"")</f>
        <v/>
      </c>
      <c r="F5587" s="13" t="inlineStr">
        <is>
          <t>QCOM</t>
        </is>
      </c>
      <c r="G5587" s="6" t="n">
        <v>15</v>
      </c>
      <c r="H5587" s="6" t="n">
        <v>-2113.36</v>
      </c>
      <c r="I5587" s="7">
        <f>-H5587/G5587</f>
        <v/>
      </c>
      <c r="J5587" s="5" t="n"/>
      <c r="K5587" s="6" t="n"/>
      <c r="L5587" s="6" t="n"/>
      <c r="M5587" s="7">
        <f>IF(N5587=0,+L5587+H5587,0)</f>
        <v/>
      </c>
      <c r="N5587" s="7">
        <f>IF((+G5587-K5587)=0,0,+G5587-K5587)</f>
        <v/>
      </c>
      <c r="O5587" s="7">
        <f>IF(N5587=0,0,(L5587+H5587)/-N5587)</f>
        <v/>
      </c>
      <c r="P5587" s="7">
        <f>VLOOKUP(OPERAC[[#This Row],[especie]],[1]!ESPECIES[#All],6,0)</f>
        <v/>
      </c>
      <c r="Q5587" s="7">
        <f>IF(N5587&lt;&gt;0,P5587*N5587,0)</f>
        <v/>
      </c>
      <c r="R5587" s="8">
        <f>IF(Q5587&lt;&gt;0,Q5587+H5587+L5587,0)</f>
        <v/>
      </c>
      <c r="S5587" s="9">
        <f>VLOOKUP(OPERAC[[#This Row],[especie]],[1]!ESPECIES[#Data],9,FALSE)</f>
        <v/>
      </c>
    </row>
    <row r="5588">
      <c r="A5588" s="4" t="n">
        <v>10079</v>
      </c>
      <c r="B5588" s="5" t="n">
        <v>44643</v>
      </c>
      <c r="C5588" s="13" t="inlineStr">
        <is>
          <t>VTA</t>
        </is>
      </c>
      <c r="D5588" s="13" t="n">
        <v>42</v>
      </c>
      <c r="E5588" s="10">
        <f>IF(D5588&gt;0,VLOOKUP(OPERAC[[#This Row],[COD CART]],[1]!MatrizCortoLargoCyl[#All],3,0),"")</f>
        <v/>
      </c>
      <c r="F5588" s="13" t="inlineStr">
        <is>
          <t>JPM</t>
        </is>
      </c>
      <c r="G5588" s="6" t="n">
        <v>15</v>
      </c>
      <c r="H5588" s="6" t="n">
        <v>-2118.6996</v>
      </c>
      <c r="I5588" s="7">
        <f>-H5588/G5588</f>
        <v/>
      </c>
      <c r="J5588" s="11" t="n">
        <v>44664</v>
      </c>
      <c r="K5588" s="6">
        <f>+OPERAC[[#This Row],[cantidad]]</f>
        <v/>
      </c>
      <c r="L5588" s="6">
        <f>+OPERAC[[#This Row],[cantidad venta]]*125.943</f>
        <v/>
      </c>
      <c r="M5588" s="7">
        <f>IF(N5588=0,+L5588+H5588,0)</f>
        <v/>
      </c>
      <c r="N5588" s="7">
        <f>IF((+G5588-K5588)=0,0,+G5588-K5588)</f>
        <v/>
      </c>
      <c r="O5588" s="7">
        <f>IF(N5588=0,0,(L5588+H5588)/-N5588)</f>
        <v/>
      </c>
      <c r="P5588" s="7">
        <f>VLOOKUP(OPERAC[[#This Row],[especie]],[1]!ESPECIES[#All],6,0)</f>
        <v/>
      </c>
      <c r="Q5588" s="7">
        <f>IF(N5588&lt;&gt;0,P5588*N5588,0)</f>
        <v/>
      </c>
      <c r="R5588" s="8">
        <f>IF(Q5588&lt;&gt;0,Q5588+H5588+L5588,0)</f>
        <v/>
      </c>
      <c r="S5588" s="9">
        <f>VLOOKUP(OPERAC[[#This Row],[especie]],[1]!ESPECIES[#Data],9,FALSE)</f>
        <v/>
      </c>
    </row>
    <row r="5589">
      <c r="A5589" s="4" t="n">
        <v>16824</v>
      </c>
      <c r="B5589" s="5" t="n">
        <v>44587</v>
      </c>
      <c r="C5589" s="13" t="inlineStr">
        <is>
          <t>VTA</t>
        </is>
      </c>
      <c r="D5589" s="13" t="n">
        <v>40</v>
      </c>
      <c r="E5589" s="10">
        <f>IF(D5589&gt;0,VLOOKUP(OPERAC[[#This Row],[COD CART]],[1]!MatrizCortoLargoCyl[#All],3,0),"")</f>
        <v/>
      </c>
      <c r="F5589" s="13" t="inlineStr">
        <is>
          <t>MSFT</t>
        </is>
      </c>
      <c r="G5589" s="6" t="n">
        <v>7</v>
      </c>
      <c r="H5589" s="6" t="n">
        <v>-2123.87882</v>
      </c>
      <c r="I5589" s="7">
        <f>-H5589/G5589</f>
        <v/>
      </c>
      <c r="J5589" s="11" t="n">
        <v>44606</v>
      </c>
      <c r="K5589" s="6">
        <f>+OPERAC[[#This Row],[cantidad]]</f>
        <v/>
      </c>
      <c r="L5589" s="6">
        <f>+OPERAC[[#This Row],[cantidad venta]]*290.091</f>
        <v/>
      </c>
      <c r="M5589" s="7">
        <f>IF(N5589=0,+L5589+H5589,0)</f>
        <v/>
      </c>
      <c r="N5589" s="7">
        <f>IF((+G5589-K5589)=0,0,+G5589-K5589)</f>
        <v/>
      </c>
      <c r="O5589" s="7">
        <f>IF(N5589=0,0,(L5589+H5589)/-N5589)</f>
        <v/>
      </c>
      <c r="P5589" s="7">
        <f>VLOOKUP(OPERAC[[#This Row],[especie]],[1]!ESPECIES[#All],6,0)</f>
        <v/>
      </c>
      <c r="Q5589" s="7">
        <f>IF(N5589&lt;&gt;0,P5589*N5589,0)</f>
        <v/>
      </c>
      <c r="R5589" s="8">
        <f>IF(Q5589&lt;&gt;0,Q5589+H5589+L5589,0)</f>
        <v/>
      </c>
      <c r="S5589" s="9">
        <f>VLOOKUP(OPERAC[[#This Row],[especie]],[1]!ESPECIES[#Data],9,FALSE)</f>
        <v/>
      </c>
    </row>
    <row r="5590">
      <c r="A5590" s="4" t="n">
        <v>1779</v>
      </c>
      <c r="B5590" s="5" t="n">
        <v>44351</v>
      </c>
      <c r="C5590" s="13" t="inlineStr">
        <is>
          <t>VTA</t>
        </is>
      </c>
      <c r="D5590" s="13" t="n">
        <v>41</v>
      </c>
      <c r="E5590" s="10">
        <f>IF(D5590&gt;0,VLOOKUP(OPERAC[[#This Row],[COD CART]],[1]!MatrizCortoLargoCyl[#All],3,0),"")</f>
        <v/>
      </c>
      <c r="F5590" s="13" t="inlineStr">
        <is>
          <t>SPY</t>
        </is>
      </c>
      <c r="G5590" s="6" t="n">
        <v>5</v>
      </c>
      <c r="H5590" s="6" t="n">
        <v>-2125.511199999999</v>
      </c>
      <c r="I5590" s="7">
        <f>-H5590/G5590</f>
        <v/>
      </c>
      <c r="J5590" s="11" t="n">
        <v>44718</v>
      </c>
      <c r="K5590" s="6" t="n">
        <v>3</v>
      </c>
      <c r="L5590" s="6" t="n">
        <v>1237.63</v>
      </c>
      <c r="M5590" s="7">
        <f>IF(N5590=0,+L5590+H5590,0)</f>
        <v/>
      </c>
      <c r="N5590" s="7">
        <f>IF((+G5590-K5590)=0,0,+G5590-K5590)</f>
        <v/>
      </c>
      <c r="O5590" s="7">
        <f>IF(N5590=0,0,(L5590+H5590)/-N5590)</f>
        <v/>
      </c>
      <c r="P5590" s="7">
        <f>VLOOKUP(OPERAC[[#This Row],[especie]],[1]!ESPECIES[#All],6,0)</f>
        <v/>
      </c>
      <c r="Q5590" s="7">
        <f>IF(N5590&lt;&gt;0,P5590*N5590,0)</f>
        <v/>
      </c>
      <c r="R5590" s="8">
        <f>IF(Q5590&lt;&gt;0,Q5590+H5590+L5590,0)</f>
        <v/>
      </c>
      <c r="S5590" s="9">
        <f>VLOOKUP(OPERAC[[#This Row],[especie]],[1]!ESPECIES[#Data],9,FALSE)</f>
        <v/>
      </c>
    </row>
    <row r="5591">
      <c r="A5591" s="4" t="n">
        <v>19932</v>
      </c>
      <c r="B5591" s="5" t="n">
        <v>44662</v>
      </c>
      <c r="C5591" s="13" t="inlineStr">
        <is>
          <t>VTA</t>
        </is>
      </c>
      <c r="D5591" s="13" t="n">
        <v>42</v>
      </c>
      <c r="E5591" s="10">
        <f>IF(D5591&gt;0,VLOOKUP(OPERAC[[#This Row],[COD CART]],[1]!MatrizCortoLargoCyl[#All],3,0),"")</f>
        <v/>
      </c>
      <c r="F5591" s="13" t="inlineStr">
        <is>
          <t>HYDR</t>
        </is>
      </c>
      <c r="G5591" s="6" t="n">
        <v>115</v>
      </c>
      <c r="H5591" s="6" t="n">
        <v>-2135.589559999999</v>
      </c>
      <c r="I5591" s="7">
        <f>-H5591/G5591</f>
        <v/>
      </c>
      <c r="J5591" s="11" t="n">
        <v>44693</v>
      </c>
      <c r="K5591" s="6">
        <f>+OPERAC[[#This Row],[cantidad]]</f>
        <v/>
      </c>
      <c r="L5591" s="6">
        <f>+OPERAC[[#This Row],[cantidad venta]]*11.986</f>
        <v/>
      </c>
      <c r="M5591" s="7">
        <f>IF(N5591=0,+L5591+H5591,0)</f>
        <v/>
      </c>
      <c r="N5591" s="7">
        <f>IF((+G5591-K5591)=0,0,+G5591-K5591)</f>
        <v/>
      </c>
      <c r="O5591" s="7">
        <f>IF(N5591=0,0,(L5591+H5591)/-N5591)</f>
        <v/>
      </c>
      <c r="P5591" s="7">
        <f>VLOOKUP(OPERAC[[#This Row],[especie]],[1]!ESPECIES[#All],6,0)</f>
        <v/>
      </c>
      <c r="Q5591" s="7">
        <f>IF(N5591&lt;&gt;0,P5591*N5591,0)</f>
        <v/>
      </c>
      <c r="R5591" s="8">
        <f>IF(Q5591&lt;&gt;0,Q5591+H5591+L5591,0)</f>
        <v/>
      </c>
      <c r="S5591" s="9">
        <f>VLOOKUP(OPERAC[[#This Row],[especie]],[1]!ESPECIES[#Data],9,FALSE)</f>
        <v/>
      </c>
    </row>
    <row r="5592">
      <c r="A5592" s="4" t="n">
        <v>12662</v>
      </c>
      <c r="B5592" s="5" t="n">
        <v>44449</v>
      </c>
      <c r="C5592" s="13" t="inlineStr">
        <is>
          <t>VTA</t>
        </is>
      </c>
      <c r="D5592" s="13" t="n">
        <v>32</v>
      </c>
      <c r="E5592" s="10">
        <f>IF(D5592&gt;0,VLOOKUP(OPERAC[[#This Row],[COD CART]],[1]!MatrizCortoLargoCyl[#All],3,0),"")</f>
        <v/>
      </c>
      <c r="F5592" s="13" t="inlineStr">
        <is>
          <t>INO/CYL/8,00/18-02-22</t>
        </is>
      </c>
      <c r="G5592" s="6" t="n">
        <v>300</v>
      </c>
      <c r="H5592" s="6">
        <f>-2435.82+73.625+70.604+90.516+43.736+14.122</f>
        <v/>
      </c>
      <c r="I5592" s="7">
        <f>-H5592/G5592</f>
        <v/>
      </c>
      <c r="J5592" s="11" t="n">
        <v>44596</v>
      </c>
      <c r="K5592" s="6" t="n">
        <v>300</v>
      </c>
      <c r="L5592" s="6">
        <f>3.665*OPERAC[[#This Row],[cantidad venta]]</f>
        <v/>
      </c>
      <c r="M5592" s="7">
        <f>IF(N5592=0,+L5592+H5592,0)</f>
        <v/>
      </c>
      <c r="N5592" s="7">
        <f>IF((+G5592-K5592)=0,0,+G5592-K5592)</f>
        <v/>
      </c>
      <c r="O5592" s="7">
        <f>IF(N5592=0,0,(L5592+H5592)/-N5592)</f>
        <v/>
      </c>
      <c r="P5592" s="7">
        <f>VLOOKUP(OPERAC[[#This Row],[especie]],[1]!ESPECIES[#All],6,0)</f>
        <v/>
      </c>
      <c r="Q5592" s="7">
        <f>IF(N5592&lt;&gt;0,P5592*N5592,0)</f>
        <v/>
      </c>
      <c r="R5592" s="8">
        <f>IF(Q5592&lt;&gt;0,Q5592+H5592+L5592,0)</f>
        <v/>
      </c>
      <c r="S5592" s="9">
        <f>VLOOKUP(OPERAC[[#This Row],[especie]],[1]!ESPECIES[#Data],9,FALSE)</f>
        <v/>
      </c>
    </row>
    <row r="5593">
      <c r="A5593" s="4" t="n">
        <v>13240</v>
      </c>
      <c r="B5593" s="5" t="n">
        <v>44641</v>
      </c>
      <c r="C5593" s="13" t="inlineStr">
        <is>
          <t>VTA</t>
        </is>
      </c>
      <c r="D5593" s="13" t="n">
        <v>42</v>
      </c>
      <c r="E5593" s="10">
        <f>IF(D5593&gt;0,VLOOKUP(OPERAC[[#This Row],[COD CART]],[1]!MatrizCortoLargoCyl[#All],3,0),"")</f>
        <v/>
      </c>
      <c r="F5593" s="13" t="inlineStr">
        <is>
          <t>SMH</t>
        </is>
      </c>
      <c r="G5593" s="6" t="n">
        <v>8</v>
      </c>
      <c r="H5593" s="6" t="n">
        <v>-2151.6612</v>
      </c>
      <c r="I5593" s="7">
        <f>-H5593/G5593</f>
        <v/>
      </c>
      <c r="J5593" s="11" t="n">
        <v>44663</v>
      </c>
      <c r="K5593" s="6">
        <f>+OPERAC[[#This Row],[cantidad]]</f>
        <v/>
      </c>
      <c r="L5593" s="6">
        <f>+OPERAC[[#This Row],[cantidad venta]]*238.066</f>
        <v/>
      </c>
      <c r="M5593" s="7">
        <f>IF(N5593=0,+L5593+H5593,0)</f>
        <v/>
      </c>
      <c r="N5593" s="7">
        <f>IF((+G5593-K5593)=0,0,+G5593-K5593)</f>
        <v/>
      </c>
      <c r="O5593" s="7">
        <f>IF(N5593=0,0,(L5593+H5593)/-N5593)</f>
        <v/>
      </c>
      <c r="P5593" s="7">
        <f>VLOOKUP(OPERAC[[#This Row],[especie]],[1]!ESPECIES[#All],6,0)</f>
        <v/>
      </c>
      <c r="Q5593" s="7">
        <f>IF(N5593&lt;&gt;0,P5593*N5593,0)</f>
        <v/>
      </c>
      <c r="R5593" s="8">
        <f>IF(Q5593&lt;&gt;0,Q5593+H5593+L5593,0)</f>
        <v/>
      </c>
      <c r="S5593" s="9">
        <f>VLOOKUP(OPERAC[[#This Row],[especie]],[1]!ESPECIES[#Data],9,FALSE)</f>
        <v/>
      </c>
    </row>
    <row r="5594">
      <c r="A5594" s="4" t="n">
        <v>19867</v>
      </c>
      <c r="B5594" s="5" t="n">
        <v>44643</v>
      </c>
      <c r="C5594" s="13" t="inlineStr">
        <is>
          <t>VTA</t>
        </is>
      </c>
      <c r="D5594" s="13" t="n">
        <v>31</v>
      </c>
      <c r="E5594" s="10">
        <f>IF(D5594&gt;0,VLOOKUP(OPERAC[[#This Row],[COD CART]],[1]!MatrizCortoLargoCyl[#All],3,0),"")</f>
        <v/>
      </c>
      <c r="F5594" s="13" t="inlineStr">
        <is>
          <t>FB</t>
        </is>
      </c>
      <c r="G5594" s="6" t="n">
        <v>10</v>
      </c>
      <c r="H5594" s="6" t="n">
        <v>-2157.112</v>
      </c>
      <c r="I5594" s="7">
        <f>-H5594/G5594</f>
        <v/>
      </c>
      <c r="J5594" s="11" t="n">
        <v>44672</v>
      </c>
      <c r="K5594" s="6" t="n">
        <v>10</v>
      </c>
      <c r="L5594" s="6" t="n">
        <v>1943.836</v>
      </c>
      <c r="M5594" s="7">
        <f>IF(N5594=0,+L5594+H5594,0)</f>
        <v/>
      </c>
      <c r="N5594" s="7">
        <f>IF((+G5594-K5594)=0,0,+G5594-K5594)</f>
        <v/>
      </c>
      <c r="O5594" s="7">
        <f>IF(N5594=0,0,(L5594+H5594)/-N5594)</f>
        <v/>
      </c>
      <c r="P5594" s="7">
        <f>VLOOKUP(OPERAC[[#This Row],[especie]],[1]!ESPECIES[#All],6,0)</f>
        <v/>
      </c>
      <c r="Q5594" s="7">
        <f>IF(N5594&lt;&gt;0,P5594*N5594,0)</f>
        <v/>
      </c>
      <c r="R5594" s="8">
        <f>IF(Q5594&lt;&gt;0,Q5594+H5594+L5594,0)</f>
        <v/>
      </c>
      <c r="S5594" s="9">
        <f>VLOOKUP(OPERAC[[#This Row],[especie]],[1]!ESPECIES[#Data],9,FALSE)</f>
        <v/>
      </c>
    </row>
    <row r="5595">
      <c r="A5595" s="4" t="n">
        <v>2218</v>
      </c>
      <c r="B5595" s="5" t="n">
        <v>44536</v>
      </c>
      <c r="C5595" s="13" t="inlineStr">
        <is>
          <t>VTA</t>
        </is>
      </c>
      <c r="D5595" s="13" t="n">
        <v>43</v>
      </c>
      <c r="E5595" s="10">
        <f>IF(D5595&gt;0,VLOOKUP(OPERAC[[#This Row],[COD CART]],[1]!MatrizCortoLargoCyl[#All],3,0),"")</f>
        <v/>
      </c>
      <c r="F5595" s="13" t="inlineStr">
        <is>
          <t>NNDM/CYL-PUT/2,50/19-01-24</t>
        </is>
      </c>
      <c r="G5595" s="6" t="n">
        <v>2000</v>
      </c>
      <c r="H5595" s="6">
        <f>-1.08*OPERAC[[#This Row],[cantidad]]</f>
        <v/>
      </c>
      <c r="I5595" s="7">
        <f>-H5595/G5595</f>
        <v/>
      </c>
      <c r="J5595" s="11" t="n"/>
      <c r="K5595" s="6" t="n"/>
      <c r="L5595" s="6" t="n"/>
      <c r="M5595" s="7">
        <f>IF(N5595=0,+L5595+H5595,0)</f>
        <v/>
      </c>
      <c r="N5595" s="7">
        <f>IF((+G5595-K5595)=0,0,+G5595-K5595)</f>
        <v/>
      </c>
      <c r="O5595" s="7">
        <f>IF(N5595=0,0,(L5595+H5595)/-N5595)</f>
        <v/>
      </c>
      <c r="P5595" s="7">
        <f>VLOOKUP(OPERAC[[#This Row],[especie]],[1]!ESPECIES[#All],6,0)</f>
        <v/>
      </c>
      <c r="Q5595" s="7">
        <f>IF(N5595&lt;&gt;0,P5595*N5595,0)</f>
        <v/>
      </c>
      <c r="R5595" s="8">
        <f>IF(Q5595&lt;&gt;0,Q5595+H5595+L5595,0)</f>
        <v/>
      </c>
      <c r="S5595" s="9">
        <f>VLOOKUP(OPERAC[[#This Row],[especie]],[1]!ESPECIES[#Data],9,FALSE)</f>
        <v/>
      </c>
    </row>
    <row r="5596">
      <c r="A5596" s="4" t="n">
        <v>9195</v>
      </c>
      <c r="B5596" s="5" t="n">
        <v>44536</v>
      </c>
      <c r="C5596" s="13" t="inlineStr">
        <is>
          <t>VTA</t>
        </is>
      </c>
      <c r="D5596" s="13" t="n">
        <v>43</v>
      </c>
      <c r="E5596" s="10">
        <f>IF(D5596&gt;0,VLOOKUP(OPERAC[[#This Row],[COD CART]],[1]!MatrizCortoLargoCyl[#All],3,0),"")</f>
        <v/>
      </c>
      <c r="F5596" s="13" t="inlineStr">
        <is>
          <t>NNDM/CYL-PUT/2,50/19-01-24</t>
        </is>
      </c>
      <c r="G5596" s="6" t="n">
        <v>2000</v>
      </c>
      <c r="H5596" s="6">
        <f>-1.08*OPERAC[[#This Row],[cantidad]]</f>
        <v/>
      </c>
      <c r="I5596" s="7">
        <f>-H5596/G5596</f>
        <v/>
      </c>
      <c r="J5596" s="11" t="n"/>
      <c r="K5596" s="6" t="n"/>
      <c r="L5596" s="6" t="n"/>
      <c r="M5596" s="7">
        <f>IF(N5596=0,+L5596+H5596,0)</f>
        <v/>
      </c>
      <c r="N5596" s="7">
        <f>IF((+G5596-K5596)=0,0,+G5596-K5596)</f>
        <v/>
      </c>
      <c r="O5596" s="7">
        <f>IF(N5596=0,0,(L5596+H5596)/-N5596)</f>
        <v/>
      </c>
      <c r="P5596" s="7">
        <f>VLOOKUP(OPERAC[[#This Row],[especie]],[1]!ESPECIES[#All],6,0)</f>
        <v/>
      </c>
      <c r="Q5596" s="7">
        <f>IF(N5596&lt;&gt;0,P5596*N5596,0)</f>
        <v/>
      </c>
      <c r="R5596" s="8">
        <f>IF(Q5596&lt;&gt;0,Q5596+H5596+L5596,0)</f>
        <v/>
      </c>
      <c r="S5596" s="9">
        <f>VLOOKUP(OPERAC[[#This Row],[especie]],[1]!ESPECIES[#Data],9,FALSE)</f>
        <v/>
      </c>
    </row>
    <row r="5597">
      <c r="A5597" s="4" t="n">
        <v>3835</v>
      </c>
      <c r="B5597" s="5" t="n">
        <v>44705</v>
      </c>
      <c r="C5597" s="13" t="inlineStr">
        <is>
          <t>VTA</t>
        </is>
      </c>
      <c r="D5597" s="13" t="n">
        <v>39</v>
      </c>
      <c r="E5597" s="10">
        <f>IF(D5597&gt;0,VLOOKUP(OPERAC[[#This Row],[COD CART]],[1]!MatrizCortoLargoCyl[#All],3,0),"")</f>
        <v/>
      </c>
      <c r="F5597" s="13" t="inlineStr">
        <is>
          <t>TSLA/C/700,00/17-06-22</t>
        </is>
      </c>
      <c r="G5597" s="6" t="n">
        <v>100</v>
      </c>
      <c r="H5597" s="6" t="n">
        <v>-2172.17</v>
      </c>
      <c r="I5597" s="7">
        <f>-H5597/G5597</f>
        <v/>
      </c>
      <c r="J5597" s="5" t="n">
        <v>44707</v>
      </c>
      <c r="K5597" s="6" t="n">
        <v>100</v>
      </c>
      <c r="L5597" s="6" t="n">
        <v>5166.828</v>
      </c>
      <c r="M5597" s="7">
        <f>IF(N5597=0,+L5597+H5597,0)</f>
        <v/>
      </c>
      <c r="N5597" s="7">
        <f>IF((+G5597-K5597)=0,0,+G5597-K5597)</f>
        <v/>
      </c>
      <c r="O5597" s="7">
        <f>IF(N5597=0,0,(L5597+H5597)/-N5597)</f>
        <v/>
      </c>
      <c r="P5597" s="7">
        <f>VLOOKUP(OPERAC[[#This Row],[especie]],[1]!ESPECIES[#All],6,0)</f>
        <v/>
      </c>
      <c r="Q5597" s="7">
        <f>IF(N5597&lt;&gt;0,P5597*N5597,0)</f>
        <v/>
      </c>
      <c r="R5597" s="8">
        <f>IF(Q5597&lt;&gt;0,Q5597+H5597+L5597,0)</f>
        <v/>
      </c>
      <c r="S5597" s="9">
        <f>VLOOKUP(OPERAC[[#This Row],[especie]],[1]!ESPECIES[#Data],9,FALSE)</f>
        <v/>
      </c>
    </row>
    <row r="5598">
      <c r="A5598" s="4" t="n">
        <v>15189</v>
      </c>
      <c r="B5598" s="5" t="n">
        <v>44489</v>
      </c>
      <c r="C5598" s="13" t="inlineStr">
        <is>
          <t>VTA</t>
        </is>
      </c>
      <c r="D5598" s="13" t="n">
        <v>41</v>
      </c>
      <c r="E5598" s="10">
        <f>IF(D5598&gt;0,VLOOKUP(OPERAC[[#This Row],[COD CART]],[1]!MatrizCortoLargoCyl[#All],3,0),"")</f>
        <v/>
      </c>
      <c r="F5598" s="13" t="inlineStr">
        <is>
          <t>BITO</t>
        </is>
      </c>
      <c r="G5598" s="6" t="n">
        <v>50</v>
      </c>
      <c r="H5598" s="6" t="n">
        <v>-2189.116</v>
      </c>
      <c r="I5598" s="7">
        <f>-H5598/G5598</f>
        <v/>
      </c>
      <c r="J5598" s="11" t="n"/>
      <c r="K5598" s="6" t="n"/>
      <c r="L5598" s="6" t="n"/>
      <c r="M5598" s="7">
        <f>IF(N5598=0,+L5598+H5598,0)</f>
        <v/>
      </c>
      <c r="N5598" s="7">
        <f>IF((+G5598-K5598)=0,0,+G5598-K5598)</f>
        <v/>
      </c>
      <c r="O5598" s="7">
        <f>IF(N5598=0,0,(L5598+H5598)/-N5598)</f>
        <v/>
      </c>
      <c r="P5598" s="7">
        <f>VLOOKUP(OPERAC[[#This Row],[especie]],[1]!ESPECIES[#All],6,0)</f>
        <v/>
      </c>
      <c r="Q5598" s="7">
        <f>IF(N5598&lt;&gt;0,P5598*N5598,0)</f>
        <v/>
      </c>
      <c r="R5598" s="8">
        <f>IF(Q5598&lt;&gt;0,Q5598+H5598+L5598,0)</f>
        <v/>
      </c>
      <c r="S5598" s="9">
        <f>VLOOKUP(OPERAC[[#This Row],[especie]],[1]!ESPECIES[#Data],9,FALSE)</f>
        <v/>
      </c>
    </row>
    <row r="5599">
      <c r="A5599" s="4" t="n">
        <v>13240</v>
      </c>
      <c r="B5599" s="5" t="n">
        <v>44515</v>
      </c>
      <c r="C5599" s="13" t="inlineStr">
        <is>
          <t>VTA</t>
        </is>
      </c>
      <c r="D5599" s="13" t="n">
        <v>38</v>
      </c>
      <c r="E5599" s="10">
        <f>IF(D5599&gt;0,VLOOKUP(OPERAC[[#This Row],[COD CART]],[1]!MatrizCortoLargoCyl[#All],3,0),"")</f>
        <v/>
      </c>
      <c r="F5599" s="13" t="inlineStr">
        <is>
          <t>JEPI</t>
        </is>
      </c>
      <c r="G5599" s="6" t="n">
        <v>35</v>
      </c>
      <c r="H5599" s="6" t="n">
        <v>-2189.4184</v>
      </c>
      <c r="I5599" s="7">
        <f>-H5599/G5599</f>
        <v/>
      </c>
      <c r="J5599" s="11" t="n"/>
      <c r="K5599" s="6" t="n"/>
      <c r="L5599" s="6" t="n"/>
      <c r="M5599" s="7">
        <f>IF(N5599=0,+L5599+H5599,0)</f>
        <v/>
      </c>
      <c r="N5599" s="7">
        <f>IF((+G5599-K5599)=0,0,+G5599-K5599)</f>
        <v/>
      </c>
      <c r="O5599" s="7">
        <f>IF(N5599=0,0,(L5599+H5599)/-N5599)</f>
        <v/>
      </c>
      <c r="P5599" s="7">
        <f>VLOOKUP(OPERAC[[#This Row],[especie]],[1]!ESPECIES[#All],6,0)</f>
        <v/>
      </c>
      <c r="Q5599" s="7">
        <f>IF(N5599&lt;&gt;0,P5599*N5599,0)</f>
        <v/>
      </c>
      <c r="R5599" s="8">
        <f>IF(Q5599&lt;&gt;0,Q5599+H5599+L5599,0)</f>
        <v/>
      </c>
      <c r="S5599" s="9">
        <f>VLOOKUP(OPERAC[[#This Row],[especie]],[1]!ESPECIES[#Data],9,FALSE)</f>
        <v/>
      </c>
    </row>
    <row r="5600">
      <c r="A5600" s="4" t="n">
        <v>3728</v>
      </c>
      <c r="B5600" s="5" t="n">
        <v>44662</v>
      </c>
      <c r="C5600" s="13" t="inlineStr">
        <is>
          <t>VTA</t>
        </is>
      </c>
      <c r="D5600" s="13" t="n">
        <v>40</v>
      </c>
      <c r="E5600" s="10">
        <f>IF(D5600&gt;0,VLOOKUP(OPERAC[[#This Row],[COD CART]],[1]!MatrizCortoLargoCyl[#All],3,0),"")</f>
        <v/>
      </c>
      <c r="F5600" s="13" t="inlineStr">
        <is>
          <t>NVDA</t>
        </is>
      </c>
      <c r="G5600" s="6" t="n">
        <v>10</v>
      </c>
      <c r="H5600" s="6" t="n">
        <v>-2196.8937</v>
      </c>
      <c r="I5600" s="7">
        <f>-H5600/G5600</f>
        <v/>
      </c>
      <c r="J5600" s="11" t="n"/>
      <c r="K5600" s="6" t="n"/>
      <c r="L5600" s="6" t="n"/>
      <c r="M5600" s="7">
        <f>IF(N5600=0,+L5600+H5600,0)</f>
        <v/>
      </c>
      <c r="N5600" s="7">
        <f>IF((+G5600-K5600)=0,0,+G5600-K5600)</f>
        <v/>
      </c>
      <c r="O5600" s="7">
        <f>IF(N5600=0,0,(L5600+H5600)/-N5600)</f>
        <v/>
      </c>
      <c r="P5600" s="7">
        <f>VLOOKUP(OPERAC[[#This Row],[especie]],[1]!ESPECIES[#All],6,0)</f>
        <v/>
      </c>
      <c r="Q5600" s="7">
        <f>IF(N5600&lt;&gt;0,P5600*N5600,0)</f>
        <v/>
      </c>
      <c r="R5600" s="8">
        <f>IF(Q5600&lt;&gt;0,Q5600+H5600+L5600,0)</f>
        <v/>
      </c>
      <c r="S5600" s="9">
        <f>VLOOKUP(OPERAC[[#This Row],[especie]],[1]!ESPECIES[#Data],9,FALSE)</f>
        <v/>
      </c>
    </row>
    <row r="5601">
      <c r="A5601" s="4" t="n">
        <v>10079</v>
      </c>
      <c r="B5601" s="5" t="n">
        <v>44511</v>
      </c>
      <c r="C5601" s="13" t="inlineStr">
        <is>
          <t>VTA</t>
        </is>
      </c>
      <c r="D5601" s="13" t="n">
        <v>31</v>
      </c>
      <c r="E5601" s="10">
        <f>IF(D5601&gt;0,VLOOKUP(OPERAC[[#This Row],[COD CART]],[1]!MatrizCortoLargoCyl[#All],3,0),"")</f>
        <v/>
      </c>
      <c r="F5601" s="13" t="inlineStr">
        <is>
          <t>IPIX</t>
        </is>
      </c>
      <c r="G5601" s="6" t="n">
        <v>20000</v>
      </c>
      <c r="H5601" s="6" t="n">
        <v>-2199.8</v>
      </c>
      <c r="I5601" s="7">
        <f>-H5601/G5601</f>
        <v/>
      </c>
      <c r="J5601" s="11" t="n"/>
      <c r="K5601" s="6" t="n"/>
      <c r="L5601" s="6" t="n"/>
      <c r="M5601" s="7">
        <f>IF(N5601=0,+L5601+H5601,0)</f>
        <v/>
      </c>
      <c r="N5601" s="7">
        <f>IF((+G5601-K5601)=0,0,+G5601-K5601)</f>
        <v/>
      </c>
      <c r="O5601" s="7">
        <f>IF(N5601=0,0,(L5601+H5601)/-N5601)</f>
        <v/>
      </c>
      <c r="P5601" s="7">
        <f>VLOOKUP(OPERAC[[#This Row],[especie]],[1]!ESPECIES[#All],6,0)</f>
        <v/>
      </c>
      <c r="Q5601" s="7">
        <f>IF(N5601&lt;&gt;0,P5601*N5601,0)</f>
        <v/>
      </c>
      <c r="R5601" s="8">
        <f>IF(Q5601&lt;&gt;0,Q5601+H5601+L5601,0)</f>
        <v/>
      </c>
      <c r="S5601" s="9">
        <f>VLOOKUP(OPERAC[[#This Row],[especie]],[1]!ESPECIES[#Data],9,FALSE)</f>
        <v/>
      </c>
    </row>
    <row r="5602">
      <c r="A5602" s="4" t="n">
        <v>18651</v>
      </c>
      <c r="B5602" s="5" t="n">
        <v>44511</v>
      </c>
      <c r="C5602" s="13" t="inlineStr">
        <is>
          <t>VTA</t>
        </is>
      </c>
      <c r="D5602" s="13" t="n">
        <v>31</v>
      </c>
      <c r="E5602" s="10">
        <f>IF(D5602&gt;0,VLOOKUP(OPERAC[[#This Row],[COD CART]],[1]!MatrizCortoLargoCyl[#All],3,0),"")</f>
        <v/>
      </c>
      <c r="F5602" s="13" t="inlineStr">
        <is>
          <t>IPIX</t>
        </is>
      </c>
      <c r="G5602" s="6" t="n">
        <v>20000</v>
      </c>
      <c r="H5602" s="6" t="n">
        <v>-2199.8</v>
      </c>
      <c r="I5602" s="7">
        <f>-H5602/G5602</f>
        <v/>
      </c>
      <c r="J5602" s="11" t="n"/>
      <c r="K5602" s="6" t="n"/>
      <c r="L5602" s="6" t="n"/>
      <c r="M5602" s="7">
        <f>IF(N5602=0,+L5602+H5602,0)</f>
        <v/>
      </c>
      <c r="N5602" s="7">
        <f>IF((+G5602-K5602)=0,0,+G5602-K5602)</f>
        <v/>
      </c>
      <c r="O5602" s="7">
        <f>IF(N5602=0,0,(L5602+H5602)/-N5602)</f>
        <v/>
      </c>
      <c r="P5602" s="7">
        <f>VLOOKUP(OPERAC[[#This Row],[especie]],[1]!ESPECIES[#All],6,0)</f>
        <v/>
      </c>
      <c r="Q5602" s="7">
        <f>IF(N5602&lt;&gt;0,P5602*N5602,0)</f>
        <v/>
      </c>
      <c r="R5602" s="8">
        <f>IF(Q5602&lt;&gt;0,Q5602+H5602+L5602,0)</f>
        <v/>
      </c>
      <c r="S5602" s="9">
        <f>VLOOKUP(OPERAC[[#This Row],[especie]],[1]!ESPECIES[#Data],9,FALSE)</f>
        <v/>
      </c>
    </row>
    <row r="5603">
      <c r="A5603" s="4" t="n">
        <v>19867</v>
      </c>
      <c r="B5603" s="5" t="n">
        <v>44511</v>
      </c>
      <c r="C5603" s="13" t="inlineStr">
        <is>
          <t>VTA</t>
        </is>
      </c>
      <c r="D5603" s="13" t="n">
        <v>31</v>
      </c>
      <c r="E5603" s="10">
        <f>IF(D5603&gt;0,VLOOKUP(OPERAC[[#This Row],[COD CART]],[1]!MatrizCortoLargoCyl[#All],3,0),"")</f>
        <v/>
      </c>
      <c r="F5603" s="13" t="inlineStr">
        <is>
          <t>IPIX</t>
        </is>
      </c>
      <c r="G5603" s="6" t="n">
        <v>20000</v>
      </c>
      <c r="H5603" s="6" t="n">
        <v>-2199.8</v>
      </c>
      <c r="I5603" s="7">
        <f>-H5603/G5603</f>
        <v/>
      </c>
      <c r="J5603" s="11" t="n"/>
      <c r="K5603" s="6" t="n"/>
      <c r="L5603" s="6" t="n"/>
      <c r="M5603" s="7">
        <f>IF(N5603=0,+L5603+H5603,0)</f>
        <v/>
      </c>
      <c r="N5603" s="7">
        <f>IF((+G5603-K5603)=0,0,+G5603-K5603)</f>
        <v/>
      </c>
      <c r="O5603" s="7">
        <f>IF(N5603=0,0,(L5603+H5603)/-N5603)</f>
        <v/>
      </c>
      <c r="P5603" s="7">
        <f>VLOOKUP(OPERAC[[#This Row],[especie]],[1]!ESPECIES[#All],6,0)</f>
        <v/>
      </c>
      <c r="Q5603" s="7">
        <f>IF(N5603&lt;&gt;0,P5603*N5603,0)</f>
        <v/>
      </c>
      <c r="R5603" s="8">
        <f>IF(Q5603&lt;&gt;0,Q5603+H5603+L5603,0)</f>
        <v/>
      </c>
      <c r="S5603" s="9">
        <f>VLOOKUP(OPERAC[[#This Row],[especie]],[1]!ESPECIES[#Data],9,FALSE)</f>
        <v/>
      </c>
    </row>
    <row r="5604">
      <c r="A5604" s="4" t="n">
        <v>18651</v>
      </c>
      <c r="B5604" s="5" t="n">
        <v>44722</v>
      </c>
      <c r="C5604" s="13" t="inlineStr">
        <is>
          <t>VTA</t>
        </is>
      </c>
      <c r="D5604" s="13" t="n">
        <v>32</v>
      </c>
      <c r="E5604" s="10">
        <f>IF(D5604&gt;0,VLOOKUP(OPERAC[[#This Row],[COD CART]],[1]!MatrizCortoLargoCyl[#All],3,0),"")</f>
        <v/>
      </c>
      <c r="F5604" s="13" t="inlineStr">
        <is>
          <t>CCL/CYL/13,00/24-06-22</t>
        </is>
      </c>
      <c r="G5604" s="6" t="n">
        <v>200</v>
      </c>
      <c r="H5604" s="6">
        <f>-2241.8955+37.677</f>
        <v/>
      </c>
      <c r="I5604" s="7">
        <f>-H5604/G5604</f>
        <v/>
      </c>
      <c r="J5604" s="5" t="n"/>
      <c r="K5604" s="6" t="n"/>
      <c r="L5604" s="6" t="n"/>
      <c r="M5604" s="7">
        <f>IF(N5604=0,+L5604+H5604,0)</f>
        <v/>
      </c>
      <c r="N5604" s="7">
        <f>IF((+G5604-K5604)=0,0,+G5604-K5604)</f>
        <v/>
      </c>
      <c r="O5604" s="7">
        <f>IF(N5604=0,0,(L5604+H5604)/-N5604)</f>
        <v/>
      </c>
      <c r="P5604" s="7">
        <f>VLOOKUP(OPERAC[[#This Row],[especie]],[1]!ESPECIES[#All],6,0)</f>
        <v/>
      </c>
      <c r="Q5604" s="7">
        <f>IF(N5604&lt;&gt;0,P5604*N5604,0)</f>
        <v/>
      </c>
      <c r="R5604" s="8">
        <f>IF(Q5604&lt;&gt;0,Q5604+H5604+L5604,0)</f>
        <v/>
      </c>
      <c r="S5604" s="9">
        <f>VLOOKUP(OPERAC[[#This Row],[especie]],[1]!ESPECIES[#Data],9,FALSE)</f>
        <v/>
      </c>
    </row>
    <row r="5605">
      <c r="A5605" s="4" t="n">
        <v>7914</v>
      </c>
      <c r="B5605" s="5" t="n">
        <v>44547</v>
      </c>
      <c r="C5605" s="13" t="inlineStr">
        <is>
          <t>VTA</t>
        </is>
      </c>
      <c r="D5605" s="13" t="n">
        <v>32</v>
      </c>
      <c r="E5605" s="10">
        <f>IF(D5605&gt;0,VLOOKUP(OPERAC[[#This Row],[COD CART]],[1]!MatrizCortoLargoCyl[#All],3,0),"")</f>
        <v/>
      </c>
      <c r="F5605" s="13" t="inlineStr">
        <is>
          <t>HIMX/CYL/12,00/21-01-22</t>
        </is>
      </c>
      <c r="G5605" s="6" t="n">
        <v>200</v>
      </c>
      <c r="H5605" s="6" t="n">
        <v>-2219.0608</v>
      </c>
      <c r="I5605" s="7">
        <f>-H5605/G5605</f>
        <v/>
      </c>
      <c r="J5605" s="11" t="n">
        <v>44575</v>
      </c>
      <c r="K5605" s="6" t="n">
        <v>200</v>
      </c>
      <c r="L5605" s="6" t="n">
        <v>2341.236</v>
      </c>
      <c r="M5605" s="7">
        <f>IF(N5605=0,+L5605+H5605,0)</f>
        <v/>
      </c>
      <c r="N5605" s="7">
        <f>IF((+G5605-K5605)=0,0,+G5605-K5605)</f>
        <v/>
      </c>
      <c r="O5605" s="7">
        <f>IF(N5605=0,0,(L5605+H5605)/-N5605)</f>
        <v/>
      </c>
      <c r="P5605" s="7">
        <f>VLOOKUP(OPERAC[[#This Row],[especie]],[1]!ESPECIES[#All],6,0)</f>
        <v/>
      </c>
      <c r="Q5605" s="7">
        <f>IF(N5605&lt;&gt;0,P5605*N5605,0)</f>
        <v/>
      </c>
      <c r="R5605" s="8">
        <f>IF(Q5605&lt;&gt;0,Q5605+H5605+L5605,0)</f>
        <v/>
      </c>
      <c r="S5605" s="9">
        <f>VLOOKUP(OPERAC[[#This Row],[especie]],[1]!ESPECIES[#Data],9,FALSE)</f>
        <v/>
      </c>
    </row>
    <row r="5606">
      <c r="A5606" s="4" t="n">
        <v>15189</v>
      </c>
      <c r="B5606" s="5" t="n">
        <v>44649</v>
      </c>
      <c r="C5606" s="13" t="inlineStr">
        <is>
          <t>VTA</t>
        </is>
      </c>
      <c r="D5606" s="13" t="n">
        <v>42</v>
      </c>
      <c r="E5606" s="10">
        <f>IF(D5606&gt;0,VLOOKUP(OPERAC[[#This Row],[COD CART]],[1]!MatrizCortoLargoCyl[#All],3,0),"")</f>
        <v/>
      </c>
      <c r="F5606" s="13" t="inlineStr">
        <is>
          <t>CRESY</t>
        </is>
      </c>
      <c r="G5606" s="6" t="n">
        <v>275</v>
      </c>
      <c r="H5606" s="6" t="n">
        <v>-2225.3506</v>
      </c>
      <c r="I5606" s="7">
        <f>-H5606/G5606</f>
        <v/>
      </c>
      <c r="J5606" s="11" t="n">
        <v>44657</v>
      </c>
      <c r="K5606" s="6">
        <f>+OPERAC[[#This Row],[cantidad]]</f>
        <v/>
      </c>
      <c r="L5606" s="6">
        <f>+OPERAC[[#This Row],[cantidad venta]]*7.664</f>
        <v/>
      </c>
      <c r="M5606" s="7">
        <f>IF(N5606=0,+L5606+H5606,0)</f>
        <v/>
      </c>
      <c r="N5606" s="7">
        <f>IF((+G5606-K5606)=0,0,+G5606-K5606)</f>
        <v/>
      </c>
      <c r="O5606" s="7">
        <f>IF(N5606=0,0,(L5606+H5606)/-N5606)</f>
        <v/>
      </c>
      <c r="P5606" s="7">
        <f>VLOOKUP(OPERAC[[#This Row],[especie]],[1]!ESPECIES[#All],6,0)</f>
        <v/>
      </c>
      <c r="Q5606" s="7">
        <f>IF(N5606&lt;&gt;0,P5606*N5606,0)</f>
        <v/>
      </c>
      <c r="R5606" s="8">
        <f>IF(Q5606&lt;&gt;0,Q5606+H5606+L5606,0)</f>
        <v/>
      </c>
      <c r="S5606" s="9">
        <f>VLOOKUP(OPERAC[[#This Row],[especie]],[1]!ESPECIES[#Data],9,FALSE)</f>
        <v/>
      </c>
    </row>
    <row r="5607">
      <c r="A5607" s="4" t="n">
        <v>15195</v>
      </c>
      <c r="B5607" s="5" t="n">
        <v>44649</v>
      </c>
      <c r="C5607" s="13" t="inlineStr">
        <is>
          <t>VTA</t>
        </is>
      </c>
      <c r="D5607" s="13" t="n">
        <v>42</v>
      </c>
      <c r="E5607" s="10">
        <f>IF(D5607&gt;0,VLOOKUP(OPERAC[[#This Row],[COD CART]],[1]!MatrizCortoLargoCyl[#All],3,0),"")</f>
        <v/>
      </c>
      <c r="F5607" s="13" t="inlineStr">
        <is>
          <t>CRESY</t>
        </is>
      </c>
      <c r="G5607" s="6" t="n">
        <v>275</v>
      </c>
      <c r="H5607" s="6" t="n">
        <v>-2225.3506</v>
      </c>
      <c r="I5607" s="7">
        <f>-H5607/G5607</f>
        <v/>
      </c>
      <c r="J5607" s="11" t="n">
        <v>44657</v>
      </c>
      <c r="K5607" s="6">
        <f>+OPERAC[[#This Row],[cantidad]]</f>
        <v/>
      </c>
      <c r="L5607" s="6">
        <f>+OPERAC[[#This Row],[cantidad venta]]*7.664</f>
        <v/>
      </c>
      <c r="M5607" s="7">
        <f>IF(N5607=0,+L5607+H5607,0)</f>
        <v/>
      </c>
      <c r="N5607" s="7">
        <f>IF((+G5607-K5607)=0,0,+G5607-K5607)</f>
        <v/>
      </c>
      <c r="O5607" s="7">
        <f>IF(N5607=0,0,(L5607+H5607)/-N5607)</f>
        <v/>
      </c>
      <c r="P5607" s="7">
        <f>VLOOKUP(OPERAC[[#This Row],[especie]],[1]!ESPECIES[#All],6,0)</f>
        <v/>
      </c>
      <c r="Q5607" s="7">
        <f>IF(N5607&lt;&gt;0,P5607*N5607,0)</f>
        <v/>
      </c>
      <c r="R5607" s="8">
        <f>IF(Q5607&lt;&gt;0,Q5607+H5607+L5607,0)</f>
        <v/>
      </c>
      <c r="S5607" s="9">
        <f>VLOOKUP(OPERAC[[#This Row],[especie]],[1]!ESPECIES[#Data],9,FALSE)</f>
        <v/>
      </c>
    </row>
    <row r="5608">
      <c r="A5608" s="4" t="n">
        <v>16780</v>
      </c>
      <c r="B5608" s="5" t="n">
        <v>44649</v>
      </c>
      <c r="C5608" s="13" t="inlineStr">
        <is>
          <t>VTA</t>
        </is>
      </c>
      <c r="D5608" s="13" t="n">
        <v>42</v>
      </c>
      <c r="E5608" s="10">
        <f>IF(D5608&gt;0,VLOOKUP(OPERAC[[#This Row],[COD CART]],[1]!MatrizCortoLargoCyl[#All],3,0),"")</f>
        <v/>
      </c>
      <c r="F5608" s="13" t="inlineStr">
        <is>
          <t>CRESY</t>
        </is>
      </c>
      <c r="G5608" s="6" t="n">
        <v>275</v>
      </c>
      <c r="H5608" s="6" t="n">
        <v>-2225.3506</v>
      </c>
      <c r="I5608" s="7">
        <f>-H5608/G5608</f>
        <v/>
      </c>
      <c r="J5608" s="11" t="n">
        <v>44657</v>
      </c>
      <c r="K5608" s="6">
        <f>+OPERAC[[#This Row],[cantidad]]</f>
        <v/>
      </c>
      <c r="L5608" s="6">
        <f>+OPERAC[[#This Row],[cantidad venta]]*7.664</f>
        <v/>
      </c>
      <c r="M5608" s="7">
        <f>IF(N5608=0,+L5608+H5608,0)</f>
        <v/>
      </c>
      <c r="N5608" s="7">
        <f>IF((+G5608-K5608)=0,0,+G5608-K5608)</f>
        <v/>
      </c>
      <c r="O5608" s="7">
        <f>IF(N5608=0,0,(L5608+H5608)/-N5608)</f>
        <v/>
      </c>
      <c r="P5608" s="7">
        <f>VLOOKUP(OPERAC[[#This Row],[especie]],[1]!ESPECIES[#All],6,0)</f>
        <v/>
      </c>
      <c r="Q5608" s="7">
        <f>IF(N5608&lt;&gt;0,P5608*N5608,0)</f>
        <v/>
      </c>
      <c r="R5608" s="8">
        <f>IF(Q5608&lt;&gt;0,Q5608+H5608+L5608,0)</f>
        <v/>
      </c>
      <c r="S5608" s="9">
        <f>VLOOKUP(OPERAC[[#This Row],[especie]],[1]!ESPECIES[#Data],9,FALSE)</f>
        <v/>
      </c>
    </row>
    <row r="5609">
      <c r="A5609" s="4" t="n">
        <v>15195</v>
      </c>
      <c r="B5609" s="5" t="n">
        <v>44662</v>
      </c>
      <c r="C5609" s="13" t="inlineStr">
        <is>
          <t>VTA</t>
        </is>
      </c>
      <c r="D5609" s="13" t="n">
        <v>42</v>
      </c>
      <c r="E5609" s="10">
        <f>IF(D5609&gt;0,VLOOKUP(OPERAC[[#This Row],[COD CART]],[1]!MatrizCortoLargoCyl[#All],3,0),"")</f>
        <v/>
      </c>
      <c r="F5609" s="13" t="inlineStr">
        <is>
          <t>HYDR</t>
        </is>
      </c>
      <c r="G5609" s="6" t="n">
        <v>120</v>
      </c>
      <c r="H5609" s="6" t="n">
        <v>-2228.44128</v>
      </c>
      <c r="I5609" s="7">
        <f>-H5609/G5609</f>
        <v/>
      </c>
      <c r="J5609" s="11" t="n">
        <v>44693</v>
      </c>
      <c r="K5609" s="6">
        <f>+OPERAC[[#This Row],[cantidad]]</f>
        <v/>
      </c>
      <c r="L5609" s="6">
        <f>+OPERAC[[#This Row],[cantidad venta]]*12.027</f>
        <v/>
      </c>
      <c r="M5609" s="7">
        <f>IF(N5609=0,+L5609+H5609,0)</f>
        <v/>
      </c>
      <c r="N5609" s="7">
        <f>IF((+G5609-K5609)=0,0,+G5609-K5609)</f>
        <v/>
      </c>
      <c r="O5609" s="7">
        <f>IF(N5609=0,0,(L5609+H5609)/-N5609)</f>
        <v/>
      </c>
      <c r="P5609" s="7">
        <f>VLOOKUP(OPERAC[[#This Row],[especie]],[1]!ESPECIES[#All],6,0)</f>
        <v/>
      </c>
      <c r="Q5609" s="7">
        <f>IF(N5609&lt;&gt;0,P5609*N5609,0)</f>
        <v/>
      </c>
      <c r="R5609" s="8">
        <f>IF(Q5609&lt;&gt;0,Q5609+H5609+L5609,0)</f>
        <v/>
      </c>
      <c r="S5609" s="9">
        <f>VLOOKUP(OPERAC[[#This Row],[especie]],[1]!ESPECIES[#Data],9,FALSE)</f>
        <v/>
      </c>
    </row>
    <row r="5610">
      <c r="A5610" s="4" t="n">
        <v>1779</v>
      </c>
      <c r="B5610" s="5" t="n">
        <v>44351</v>
      </c>
      <c r="C5610" s="13" t="inlineStr">
        <is>
          <t>VTA</t>
        </is>
      </c>
      <c r="D5610" s="13" t="n">
        <v>41</v>
      </c>
      <c r="E5610" s="10">
        <f>IF(D5610&gt;0,VLOOKUP(OPERAC[[#This Row],[COD CART]],[1]!MatrizCortoLargoCyl[#All],3,0),"")</f>
        <v/>
      </c>
      <c r="F5610" s="13" t="inlineStr">
        <is>
          <t>MOAT</t>
        </is>
      </c>
      <c r="G5610" s="6" t="n">
        <v>30</v>
      </c>
      <c r="H5610" s="6" t="n">
        <v>-2233.55872</v>
      </c>
      <c r="I5610" s="7">
        <f>-H5610/G5610</f>
        <v/>
      </c>
      <c r="J5610" s="11" t="n">
        <v>44718</v>
      </c>
      <c r="K5610" s="6" t="n">
        <v>15</v>
      </c>
      <c r="L5610" s="6" t="n">
        <v>1035.572</v>
      </c>
      <c r="M5610" s="7">
        <f>IF(N5610=0,+L5610+H5610,0)</f>
        <v/>
      </c>
      <c r="N5610" s="7">
        <f>IF((+G5610-K5610)=0,0,+G5610-K5610)</f>
        <v/>
      </c>
      <c r="O5610" s="7">
        <f>IF(N5610=0,0,(L5610+H5610)/-N5610)</f>
        <v/>
      </c>
      <c r="P5610" s="7">
        <f>VLOOKUP(OPERAC[[#This Row],[especie]],[1]!ESPECIES[#All],6,0)</f>
        <v/>
      </c>
      <c r="Q5610" s="7">
        <f>IF(N5610&lt;&gt;0,P5610*N5610,0)</f>
        <v/>
      </c>
      <c r="R5610" s="8">
        <f>IF(Q5610&lt;&gt;0,Q5610+H5610+L5610,0)</f>
        <v/>
      </c>
      <c r="S5610" s="9">
        <f>VLOOKUP(OPERAC[[#This Row],[especie]],[1]!ESPECIES[#Data],9,FALSE)</f>
        <v/>
      </c>
    </row>
    <row r="5611">
      <c r="A5611" s="4" t="n">
        <v>18651</v>
      </c>
      <c r="B5611" s="5" t="n">
        <v>44698</v>
      </c>
      <c r="C5611" s="13" t="inlineStr">
        <is>
          <t>VTA</t>
        </is>
      </c>
      <c r="D5611" s="13" t="n">
        <v>32</v>
      </c>
      <c r="E5611" s="10">
        <f>IF(D5611&gt;0,VLOOKUP(OPERAC[[#This Row],[COD CART]],[1]!MatrizCortoLargoCyl[#All],3,0),"")</f>
        <v/>
      </c>
      <c r="F5611" s="13" t="inlineStr">
        <is>
          <t>LAC/CYL/30,00/19-08-22</t>
        </is>
      </c>
      <c r="G5611" s="6" t="n">
        <v>100</v>
      </c>
      <c r="H5611" s="6" t="n">
        <v>-2238.32</v>
      </c>
      <c r="I5611" s="7">
        <f>-H5611/G5611</f>
        <v/>
      </c>
      <c r="J5611" s="11" t="n"/>
      <c r="K5611" s="6" t="n"/>
      <c r="L5611" s="6" t="n"/>
      <c r="M5611" s="7">
        <f>IF(N5611=0,+L5611+H5611,0)</f>
        <v/>
      </c>
      <c r="N5611" s="7">
        <f>IF((+G5611-K5611)=0,0,+G5611-K5611)</f>
        <v/>
      </c>
      <c r="O5611" s="7">
        <f>IF(N5611=0,0,(L5611+H5611)/-N5611)</f>
        <v/>
      </c>
      <c r="P5611" s="7">
        <f>VLOOKUP(OPERAC[[#This Row],[especie]],[1]!ESPECIES[#All],6,0)</f>
        <v/>
      </c>
      <c r="Q5611" s="7">
        <f>IF(N5611&lt;&gt;0,P5611*N5611,0)</f>
        <v/>
      </c>
      <c r="R5611" s="8">
        <f>IF(Q5611&lt;&gt;0,Q5611+H5611+L5611,0)</f>
        <v/>
      </c>
      <c r="S5611" s="9">
        <f>VLOOKUP(OPERAC[[#This Row],[especie]],[1]!ESPECIES[#Data],9,FALSE)</f>
        <v/>
      </c>
    </row>
    <row r="5612">
      <c r="A5612" s="4" t="n">
        <v>6579</v>
      </c>
      <c r="B5612" s="5" t="n">
        <v>44652</v>
      </c>
      <c r="C5612" s="13" t="inlineStr">
        <is>
          <t>VTA</t>
        </is>
      </c>
      <c r="D5612" s="13" t="n">
        <v>42</v>
      </c>
      <c r="E5612" s="10">
        <f>IF(D5612&gt;0,VLOOKUP(OPERAC[[#This Row],[COD CART]],[1]!MatrizCortoLargoCyl[#All],3,0),"")</f>
        <v/>
      </c>
      <c r="F5612" s="13" t="inlineStr">
        <is>
          <t>GBTC</t>
        </is>
      </c>
      <c r="G5612" s="6" t="n">
        <v>70</v>
      </c>
      <c r="H5612" s="6" t="n">
        <v>-2247.686</v>
      </c>
      <c r="I5612" s="7">
        <f>-H5612/G5612</f>
        <v/>
      </c>
      <c r="J5612" s="11" t="n">
        <v>44662</v>
      </c>
      <c r="K5612" s="6">
        <f>+OPERAC[[#This Row],[cantidad]]</f>
        <v/>
      </c>
      <c r="L5612" s="6">
        <f>27.99*OPERAC[[#This Row],[cantidad venta]]</f>
        <v/>
      </c>
      <c r="M5612" s="7">
        <f>IF(N5612=0,+L5612+H5612,0)</f>
        <v/>
      </c>
      <c r="N5612" s="7">
        <f>IF((+G5612-K5612)=0,0,+G5612-K5612)</f>
        <v/>
      </c>
      <c r="O5612" s="7">
        <f>IF(N5612=0,0,(L5612+H5612)/-N5612)</f>
        <v/>
      </c>
      <c r="P5612" s="7">
        <f>VLOOKUP(OPERAC[[#This Row],[especie]],[1]!ESPECIES[#All],6,0)</f>
        <v/>
      </c>
      <c r="Q5612" s="7">
        <f>IF(N5612&lt;&gt;0,P5612*N5612,0)</f>
        <v/>
      </c>
      <c r="R5612" s="8">
        <f>IF(Q5612&lt;&gt;0,Q5612+H5612+L5612,0)</f>
        <v/>
      </c>
      <c r="S5612" s="9">
        <f>VLOOKUP(OPERAC[[#This Row],[especie]],[1]!ESPECIES[#Data],9,FALSE)</f>
        <v/>
      </c>
    </row>
    <row r="5613">
      <c r="A5613" s="4" t="n">
        <v>3021</v>
      </c>
      <c r="B5613" s="5" t="n">
        <v>44481</v>
      </c>
      <c r="C5613" s="13" t="inlineStr">
        <is>
          <t>VTA</t>
        </is>
      </c>
      <c r="D5613" s="13" t="n">
        <v>40</v>
      </c>
      <c r="E5613" s="10">
        <f>IF(D5613&gt;0,VLOOKUP(OPERAC[[#This Row],[COD CART]],[1]!MatrizCortoLargoCyl[#All],3,0),"")</f>
        <v/>
      </c>
      <c r="F5613" s="13" t="inlineStr">
        <is>
          <t>SPCE</t>
        </is>
      </c>
      <c r="G5613" s="6" t="n">
        <v>100</v>
      </c>
      <c r="H5613" s="6">
        <f>-2393.39+99.28+19.802</f>
        <v/>
      </c>
      <c r="I5613" s="7">
        <f>-H5613/G5613</f>
        <v/>
      </c>
      <c r="J5613" s="11" t="n">
        <v>44691</v>
      </c>
      <c r="K5613" s="6" t="n">
        <v>100</v>
      </c>
      <c r="L5613" s="6" t="n">
        <v>571.428</v>
      </c>
      <c r="M5613" s="7">
        <f>IF(N5613=0,+L5613+H5613,0)</f>
        <v/>
      </c>
      <c r="N5613" s="7">
        <f>IF((+G5613-K5613)=0,0,+G5613-K5613)</f>
        <v/>
      </c>
      <c r="O5613" s="7">
        <f>IF(N5613=0,0,(L5613+H5613)/-N5613)</f>
        <v/>
      </c>
      <c r="P5613" s="7">
        <f>VLOOKUP(OPERAC[[#This Row],[especie]],[1]!ESPECIES[#All],6,0)</f>
        <v/>
      </c>
      <c r="Q5613" s="7">
        <f>IF(N5613&lt;&gt;0,P5613*N5613,0)</f>
        <v/>
      </c>
      <c r="R5613" s="8">
        <f>IF(Q5613&lt;&gt;0,Q5613+H5613+L5613,0)</f>
        <v/>
      </c>
      <c r="S5613" s="9">
        <f>VLOOKUP(OPERAC[[#This Row],[especie]],[1]!ESPECIES[#Data],9,FALSE)</f>
        <v/>
      </c>
    </row>
    <row r="5614">
      <c r="A5614" s="4" t="n">
        <v>16783</v>
      </c>
      <c r="B5614" s="5" t="n">
        <v>44662</v>
      </c>
      <c r="C5614" s="13" t="inlineStr">
        <is>
          <t>VTA</t>
        </is>
      </c>
      <c r="D5614" s="13" t="n">
        <v>42</v>
      </c>
      <c r="E5614" s="10">
        <f>IF(D5614&gt;0,VLOOKUP(OPERAC[[#This Row],[COD CART]],[1]!MatrizCortoLargoCyl[#All],3,0),"")</f>
        <v/>
      </c>
      <c r="F5614" s="13" t="inlineStr">
        <is>
          <t>UPST</t>
        </is>
      </c>
      <c r="G5614" s="6" t="n">
        <v>25</v>
      </c>
      <c r="H5614" s="6" t="n">
        <v>-2275.942</v>
      </c>
      <c r="I5614" s="7">
        <f>-H5614/G5614</f>
        <v/>
      </c>
      <c r="J5614" s="11" t="n">
        <v>44692</v>
      </c>
      <c r="K5614" s="6" t="n">
        <v>25</v>
      </c>
      <c r="L5614" s="6" t="n">
        <v>763.797</v>
      </c>
      <c r="M5614" s="7">
        <f>IF(N5614=0,+L5614+H5614,0)</f>
        <v/>
      </c>
      <c r="N5614" s="7">
        <f>IF((+G5614-K5614)=0,0,+G5614-K5614)</f>
        <v/>
      </c>
      <c r="O5614" s="7">
        <f>IF(N5614=0,0,(L5614+H5614)/-N5614)</f>
        <v/>
      </c>
      <c r="P5614" s="7">
        <f>VLOOKUP(OPERAC[[#This Row],[especie]],[1]!ESPECIES[#All],6,0)</f>
        <v/>
      </c>
      <c r="Q5614" s="7">
        <f>IF(N5614&lt;&gt;0,P5614*N5614,0)</f>
        <v/>
      </c>
      <c r="R5614" s="8">
        <f>IF(Q5614&lt;&gt;0,Q5614+H5614+L5614,0)</f>
        <v/>
      </c>
      <c r="S5614" s="9">
        <f>VLOOKUP(OPERAC[[#This Row],[especie]],[1]!ESPECIES[#Data],9,FALSE)</f>
        <v/>
      </c>
    </row>
    <row r="5615">
      <c r="A5615" s="4" t="n">
        <v>19932</v>
      </c>
      <c r="B5615" s="5" t="n">
        <v>44697</v>
      </c>
      <c r="C5615" s="13" t="inlineStr">
        <is>
          <t>VTA</t>
        </is>
      </c>
      <c r="D5615" s="13" t="n">
        <v>32</v>
      </c>
      <c r="E5615" s="10">
        <f>IF(D5615&gt;0,VLOOKUP(OPERAC[[#This Row],[COD CART]],[1]!MatrizCortoLargoCyl[#All],3,0),"")</f>
        <v/>
      </c>
      <c r="F5615" s="13" t="inlineStr">
        <is>
          <t>LAC/CYL/30,00/17-06-22</t>
        </is>
      </c>
      <c r="G5615" s="6" t="n">
        <v>100</v>
      </c>
      <c r="H5615" s="6" t="n">
        <v>-2276.25</v>
      </c>
      <c r="I5615" s="7">
        <f>-H5615/G5615</f>
        <v/>
      </c>
      <c r="J5615" s="11" t="n"/>
      <c r="K5615" s="6" t="n"/>
      <c r="L5615" s="6" t="n"/>
      <c r="M5615" s="7">
        <f>IF(N5615=0,+L5615+H5615,0)</f>
        <v/>
      </c>
      <c r="N5615" s="7">
        <f>IF((+G5615-K5615)=0,0,+G5615-K5615)</f>
        <v/>
      </c>
      <c r="O5615" s="7">
        <f>IF(N5615=0,0,(L5615+H5615)/-N5615)</f>
        <v/>
      </c>
      <c r="P5615" s="7">
        <f>VLOOKUP(OPERAC[[#This Row],[especie]],[1]!ESPECIES[#All],6,0)</f>
        <v/>
      </c>
      <c r="Q5615" s="7">
        <f>IF(N5615&lt;&gt;0,P5615*N5615,0)</f>
        <v/>
      </c>
      <c r="R5615" s="8">
        <f>IF(Q5615&lt;&gt;0,Q5615+H5615+L5615,0)</f>
        <v/>
      </c>
      <c r="S5615" s="9">
        <f>VLOOKUP(OPERAC[[#This Row],[especie]],[1]!ESPECIES[#Data],9,FALSE)</f>
        <v/>
      </c>
    </row>
    <row r="5616">
      <c r="A5616" s="4" t="n">
        <v>16776</v>
      </c>
      <c r="B5616" s="5" t="n">
        <v>44060</v>
      </c>
      <c r="C5616" s="13" t="inlineStr">
        <is>
          <t>VTA</t>
        </is>
      </c>
      <c r="D5616" s="13" t="n">
        <v>41</v>
      </c>
      <c r="E5616" s="10">
        <f>IF(D5616&gt;0,VLOOKUP(OPERAC[[#This Row],[COD CART]],[1]!MatrizCortoLargoCyl[#All],3,0),"")</f>
        <v/>
      </c>
      <c r="F5616" s="13" t="inlineStr">
        <is>
          <t>TEO</t>
        </is>
      </c>
      <c r="G5616" s="6" t="n">
        <v>300</v>
      </c>
      <c r="H5616" s="6" t="n">
        <v>-2284.596</v>
      </c>
      <c r="I5616" s="7" t="n">
        <v>7.61532</v>
      </c>
      <c r="J5616" s="5" t="n"/>
      <c r="K5616" s="6" t="n"/>
      <c r="L5616" s="6" t="n"/>
      <c r="M5616" s="7">
        <f>IF(N5616=0,+L5616+H5616,0)</f>
        <v/>
      </c>
      <c r="N5616" s="7">
        <f>IF((+G5616-K5616)=0,0,+G5616-K5616)</f>
        <v/>
      </c>
      <c r="O5616" s="7">
        <f>IF(N5616=0,0,(L5616+H5616)/-N5616)</f>
        <v/>
      </c>
      <c r="P5616" s="7">
        <f>VLOOKUP(OPERAC[[#This Row],[especie]],[1]!ESPECIES[#All],6,0)</f>
        <v/>
      </c>
      <c r="Q5616" s="7">
        <f>IF(N5616&lt;&gt;0,P5616*N5616,0)</f>
        <v/>
      </c>
      <c r="R5616" s="8">
        <f>IF(Q5616&lt;&gt;0,Q5616+H5616+L5616,0)</f>
        <v/>
      </c>
      <c r="S5616" s="9">
        <f>VLOOKUP(OPERAC[[#This Row],[especie]],[1]!ESPECIES[#Data],9,FALSE)</f>
        <v/>
      </c>
    </row>
    <row r="5617">
      <c r="A5617" s="4" t="n">
        <v>13246</v>
      </c>
      <c r="B5617" s="5" t="n">
        <v>44669</v>
      </c>
      <c r="C5617" s="13" t="inlineStr">
        <is>
          <t>VTA</t>
        </is>
      </c>
      <c r="D5617" s="13" t="n">
        <v>32</v>
      </c>
      <c r="E5617" s="10">
        <f>IF(D5617&gt;0,VLOOKUP(OPERAC[[#This Row],[COD CART]],[1]!MatrizCortoLargoCyl[#All],3,0),"")</f>
        <v/>
      </c>
      <c r="F5617" s="13" t="inlineStr">
        <is>
          <t>HMY/CYL/5,00/19-08-22</t>
        </is>
      </c>
      <c r="G5617" s="6" t="n">
        <v>500</v>
      </c>
      <c r="H5617" s="6">
        <f>-4.64*OPERAC[[#This Row],[cantidad]]+34.703</f>
        <v/>
      </c>
      <c r="I5617" s="7">
        <f>-H5617/G5617</f>
        <v/>
      </c>
      <c r="J5617" s="11" t="n"/>
      <c r="K5617" s="6" t="n"/>
      <c r="L5617" s="6" t="n"/>
      <c r="M5617" s="7">
        <f>IF(N5617=0,+L5617+H5617,0)</f>
        <v/>
      </c>
      <c r="N5617" s="7">
        <f>IF((+G5617-K5617)=0,0,+G5617-K5617)</f>
        <v/>
      </c>
      <c r="O5617" s="7">
        <f>IF(N5617=0,0,(L5617+H5617)/-N5617)</f>
        <v/>
      </c>
      <c r="P5617" s="7">
        <f>VLOOKUP(OPERAC[[#This Row],[especie]],[1]!ESPECIES[#All],6,0)</f>
        <v/>
      </c>
      <c r="Q5617" s="7">
        <f>IF(N5617&lt;&gt;0,P5617*N5617,0)</f>
        <v/>
      </c>
      <c r="R5617" s="8">
        <f>IF(Q5617&lt;&gt;0,Q5617+H5617+L5617,0)</f>
        <v/>
      </c>
      <c r="S5617" s="9">
        <f>VLOOKUP(OPERAC[[#This Row],[especie]],[1]!ESPECIES[#Data],9,FALSE)</f>
        <v/>
      </c>
    </row>
    <row r="5618">
      <c r="A5618" s="4" t="n">
        <v>13240</v>
      </c>
      <c r="B5618" s="5" t="n">
        <v>44671</v>
      </c>
      <c r="C5618" s="13" t="inlineStr">
        <is>
          <t>VTA</t>
        </is>
      </c>
      <c r="D5618" s="13" t="n">
        <v>42</v>
      </c>
      <c r="E5618" s="10">
        <f>IF(D5618&gt;0,VLOOKUP(OPERAC[[#This Row],[COD CART]],[1]!MatrizCortoLargoCyl[#All],3,0),"")</f>
        <v/>
      </c>
      <c r="F5618" s="13" t="inlineStr">
        <is>
          <t>NFLX</t>
        </is>
      </c>
      <c r="G5618" s="6" t="n">
        <v>9</v>
      </c>
      <c r="H5618" s="6" t="n">
        <v>-2290.54554</v>
      </c>
      <c r="I5618" s="7">
        <f>-H5618/G5618</f>
        <v/>
      </c>
      <c r="J5618" s="11" t="n"/>
      <c r="K5618" s="6" t="n"/>
      <c r="L5618" s="6" t="n"/>
      <c r="M5618" s="7">
        <f>IF(N5618=0,+L5618+H5618,0)</f>
        <v/>
      </c>
      <c r="N5618" s="7">
        <f>IF((+G5618-K5618)=0,0,+G5618-K5618)</f>
        <v/>
      </c>
      <c r="O5618" s="7">
        <f>IF(N5618=0,0,(L5618+H5618)/-N5618)</f>
        <v/>
      </c>
      <c r="P5618" s="7">
        <f>VLOOKUP(OPERAC[[#This Row],[especie]],[1]!ESPECIES[#All],6,0)</f>
        <v/>
      </c>
      <c r="Q5618" s="7">
        <f>IF(N5618&lt;&gt;0,P5618*N5618,0)</f>
        <v/>
      </c>
      <c r="R5618" s="8">
        <f>IF(Q5618&lt;&gt;0,Q5618+H5618+L5618,0)</f>
        <v/>
      </c>
      <c r="S5618" s="9">
        <f>VLOOKUP(OPERAC[[#This Row],[especie]],[1]!ESPECIES[#Data],9,FALSE)</f>
        <v/>
      </c>
    </row>
    <row r="5619">
      <c r="A5619" s="4" t="n">
        <v>19932</v>
      </c>
      <c r="B5619" s="5" t="n">
        <v>44671</v>
      </c>
      <c r="C5619" s="13" t="inlineStr">
        <is>
          <t>VTA</t>
        </is>
      </c>
      <c r="D5619" s="13" t="n">
        <v>42</v>
      </c>
      <c r="E5619" s="10">
        <f>IF(D5619&gt;0,VLOOKUP(OPERAC[[#This Row],[COD CART]],[1]!MatrizCortoLargoCyl[#All],3,0),"")</f>
        <v/>
      </c>
      <c r="F5619" s="13" t="inlineStr">
        <is>
          <t>NFLX</t>
        </is>
      </c>
      <c r="G5619" s="6" t="n">
        <v>9</v>
      </c>
      <c r="H5619" s="6" t="n">
        <v>-2290.54554</v>
      </c>
      <c r="I5619" s="7">
        <f>-H5619/G5619</f>
        <v/>
      </c>
      <c r="J5619" s="11" t="n">
        <v>44693</v>
      </c>
      <c r="K5619" s="6">
        <f>+OPERAC[[#This Row],[cantidad]]</f>
        <v/>
      </c>
      <c r="L5619" s="6">
        <f>+OPERAC[[#This Row],[cantidad venta]]*169.089</f>
        <v/>
      </c>
      <c r="M5619" s="7">
        <f>IF(N5619=0,+L5619+H5619,0)</f>
        <v/>
      </c>
      <c r="N5619" s="7">
        <f>IF((+G5619-K5619)=0,0,+G5619-K5619)</f>
        <v/>
      </c>
      <c r="O5619" s="7">
        <f>IF(N5619=0,0,(L5619+H5619)/-N5619)</f>
        <v/>
      </c>
      <c r="P5619" s="7">
        <f>VLOOKUP(OPERAC[[#This Row],[especie]],[1]!ESPECIES[#All],6,0)</f>
        <v/>
      </c>
      <c r="Q5619" s="7">
        <f>IF(N5619&lt;&gt;0,P5619*N5619,0)</f>
        <v/>
      </c>
      <c r="R5619" s="8">
        <f>IF(Q5619&lt;&gt;0,Q5619+H5619+L5619,0)</f>
        <v/>
      </c>
      <c r="S5619" s="9">
        <f>VLOOKUP(OPERAC[[#This Row],[especie]],[1]!ESPECIES[#Data],9,FALSE)</f>
        <v/>
      </c>
    </row>
    <row r="5620">
      <c r="A5620" s="4" t="n">
        <v>2194</v>
      </c>
      <c r="B5620" s="5" t="n">
        <v>44461</v>
      </c>
      <c r="C5620" s="13" t="inlineStr">
        <is>
          <t>VTA</t>
        </is>
      </c>
      <c r="D5620" s="13" t="n">
        <v>40</v>
      </c>
      <c r="E5620" s="10">
        <f>IF(D5620&gt;0,VLOOKUP(OPERAC[[#This Row],[COD CART]],[1]!MatrizCortoLargoCyl[#All],3,0),"")</f>
        <v/>
      </c>
      <c r="F5620" s="13" t="inlineStr">
        <is>
          <t>EDU</t>
        </is>
      </c>
      <c r="G5620" s="6" t="n">
        <v>1400</v>
      </c>
      <c r="H5620" s="6">
        <f>-1400*1.68+0.04*OPERAC[[#This Row],[cantidad]]</f>
        <v/>
      </c>
      <c r="I5620" s="7">
        <f>-H5620/G5620</f>
        <v/>
      </c>
      <c r="J5620" s="11" t="n">
        <v>44622</v>
      </c>
      <c r="K5620" s="6" t="n">
        <v>1400</v>
      </c>
      <c r="L5620" s="6">
        <f>+OPERAC[[#This Row],[cantidad venta]]*1.376</f>
        <v/>
      </c>
      <c r="M5620" s="7">
        <f>IF(N5620=0,+L5620+H5620,0)</f>
        <v/>
      </c>
      <c r="N5620" s="7">
        <f>IF((+G5620-K5620)=0,0,+G5620-K5620)</f>
        <v/>
      </c>
      <c r="O5620" s="7">
        <f>IF(N5620=0,0,(L5620+H5620)/-N5620)</f>
        <v/>
      </c>
      <c r="P5620" s="7">
        <f>VLOOKUP(OPERAC[[#This Row],[especie]],[1]!ESPECIES[#All],6,0)</f>
        <v/>
      </c>
      <c r="Q5620" s="7">
        <f>IF(N5620&lt;&gt;0,P5620*N5620,0)</f>
        <v/>
      </c>
      <c r="R5620" s="8">
        <f>IF(Q5620&lt;&gt;0,Q5620+H5620+L5620,0)</f>
        <v/>
      </c>
      <c r="S5620" s="9">
        <f>VLOOKUP(OPERAC[[#This Row],[especie]],[1]!ESPECIES[#Data],9,FALSE)</f>
        <v/>
      </c>
    </row>
    <row r="5621">
      <c r="A5621" s="4" t="n">
        <v>16776</v>
      </c>
      <c r="B5621" s="5" t="n">
        <v>44502</v>
      </c>
      <c r="C5621" s="13" t="inlineStr">
        <is>
          <t>VTA</t>
        </is>
      </c>
      <c r="D5621" s="13" t="n">
        <v>41</v>
      </c>
      <c r="E5621" s="10">
        <f>IF(D5621&gt;0,VLOOKUP(OPERAC[[#This Row],[COD CART]],[1]!MatrizCortoLargoCyl[#All],3,0),"")</f>
        <v/>
      </c>
      <c r="F5621" s="13" t="inlineStr">
        <is>
          <t>DESP</t>
        </is>
      </c>
      <c r="G5621" s="6" t="n">
        <v>200</v>
      </c>
      <c r="H5621" s="6" t="n">
        <v>-2299.24</v>
      </c>
      <c r="I5621" s="7">
        <f>-H5621/G5621</f>
        <v/>
      </c>
      <c r="J5621" s="11" t="n"/>
      <c r="K5621" s="6" t="n"/>
      <c r="L5621" s="6" t="n"/>
      <c r="M5621" s="7">
        <f>IF(N5621=0,+L5621+H5621,0)</f>
        <v/>
      </c>
      <c r="N5621" s="7">
        <f>IF((+G5621-K5621)=0,0,+G5621-K5621)</f>
        <v/>
      </c>
      <c r="O5621" s="7">
        <f>IF(N5621=0,0,(L5621+H5621)/-N5621)</f>
        <v/>
      </c>
      <c r="P5621" s="7">
        <f>VLOOKUP(OPERAC[[#This Row],[especie]],[1]!ESPECIES[#All],6,0)</f>
        <v/>
      </c>
      <c r="Q5621" s="7">
        <f>IF(N5621&lt;&gt;0,P5621*N5621,0)</f>
        <v/>
      </c>
      <c r="R5621" s="8">
        <f>IF(Q5621&lt;&gt;0,Q5621+H5621+L5621,0)</f>
        <v/>
      </c>
      <c r="S5621" s="9">
        <f>VLOOKUP(OPERAC[[#This Row],[especie]],[1]!ESPECIES[#Data],9,FALSE)</f>
        <v/>
      </c>
    </row>
    <row r="5622">
      <c r="A5622" s="4" t="n">
        <v>2218</v>
      </c>
      <c r="B5622" s="5" t="n">
        <v>44650</v>
      </c>
      <c r="C5622" s="13" t="inlineStr">
        <is>
          <t>VTA</t>
        </is>
      </c>
      <c r="D5622" s="13" t="n">
        <v>42</v>
      </c>
      <c r="E5622" s="10">
        <f>IF(D5622&gt;0,VLOOKUP(OPERAC[[#This Row],[COD CART]],[1]!MatrizCortoLargoCyl[#All],3,0),"")</f>
        <v/>
      </c>
      <c r="F5622" s="13" t="inlineStr">
        <is>
          <t>FB</t>
        </is>
      </c>
      <c r="G5622" s="6" t="n">
        <v>10</v>
      </c>
      <c r="H5622" s="6" t="n">
        <v>-2308.4817</v>
      </c>
      <c r="I5622" s="7">
        <f>-H5622/G5622</f>
        <v/>
      </c>
      <c r="J5622" s="11" t="n">
        <v>44671</v>
      </c>
      <c r="K5622" s="6">
        <f>+OPERAC[[#This Row],[cantidad]]</f>
        <v/>
      </c>
      <c r="L5622" s="6">
        <f>+OPERAC[[#This Row],[cantidad venta]]*213.173</f>
        <v/>
      </c>
      <c r="M5622" s="7">
        <f>IF(N5622=0,+L5622+H5622,0)</f>
        <v/>
      </c>
      <c r="N5622" s="7">
        <f>IF((+G5622-K5622)=0,0,+G5622-K5622)</f>
        <v/>
      </c>
      <c r="O5622" s="7">
        <f>IF(N5622=0,0,(L5622+H5622)/-N5622)</f>
        <v/>
      </c>
      <c r="P5622" s="7">
        <f>VLOOKUP(OPERAC[[#This Row],[especie]],[1]!ESPECIES[#All],6,0)</f>
        <v/>
      </c>
      <c r="Q5622" s="7">
        <f>IF(N5622&lt;&gt;0,P5622*N5622,0)</f>
        <v/>
      </c>
      <c r="R5622" s="8">
        <f>IF(Q5622&lt;&gt;0,Q5622+H5622+L5622,0)</f>
        <v/>
      </c>
      <c r="S5622" s="9">
        <f>VLOOKUP(OPERAC[[#This Row],[especie]],[1]!ESPECIES[#Data],9,FALSE)</f>
        <v/>
      </c>
    </row>
    <row r="5623">
      <c r="A5623" s="4" t="n">
        <v>1760</v>
      </c>
      <c r="B5623" s="5" t="n">
        <v>44705</v>
      </c>
      <c r="C5623" s="13" t="inlineStr">
        <is>
          <t>VTA</t>
        </is>
      </c>
      <c r="D5623" s="13" t="n">
        <v>42</v>
      </c>
      <c r="E5623" s="10">
        <f>IF(D5623&gt;0,VLOOKUP(OPERAC[[#This Row],[COD CART]],[1]!MatrizCortoLargoCyl[#All],3,0),"")</f>
        <v/>
      </c>
      <c r="F5623" s="13" t="inlineStr">
        <is>
          <t>AMD</t>
        </is>
      </c>
      <c r="G5623" s="6" t="n">
        <v>25</v>
      </c>
      <c r="H5623" s="6" t="n">
        <v>-2312.5885</v>
      </c>
      <c r="I5623" s="7">
        <f>-H5623/G5623</f>
        <v/>
      </c>
      <c r="J5623" s="5" t="n">
        <v>44707</v>
      </c>
      <c r="K5623" s="6">
        <f>+OPERAC[[#This Row],[cantidad]]</f>
        <v/>
      </c>
      <c r="L5623" s="6">
        <f>+OPERAC[[#This Row],[cantidad venta]]*94.8</f>
        <v/>
      </c>
      <c r="M5623" s="7">
        <f>IF(N5623=0,+L5623+H5623,0)</f>
        <v/>
      </c>
      <c r="N5623" s="7">
        <f>IF((+G5623-K5623)=0,0,+G5623-K5623)</f>
        <v/>
      </c>
      <c r="O5623" s="7">
        <f>IF(N5623=0,0,(L5623+H5623)/-N5623)</f>
        <v/>
      </c>
      <c r="P5623" s="7">
        <f>VLOOKUP(OPERAC[[#This Row],[especie]],[1]!ESPECIES[#All],6,0)</f>
        <v/>
      </c>
      <c r="Q5623" s="7">
        <f>IF(N5623&lt;&gt;0,P5623*N5623,0)</f>
        <v/>
      </c>
      <c r="R5623" s="8">
        <f>IF(Q5623&lt;&gt;0,Q5623+H5623+L5623,0)</f>
        <v/>
      </c>
      <c r="S5623" s="9">
        <f>VLOOKUP(OPERAC[[#This Row],[especie]],[1]!ESPECIES[#Data],9,FALSE)</f>
        <v/>
      </c>
    </row>
    <row r="5624">
      <c r="A5624" s="4" t="n">
        <v>13240</v>
      </c>
      <c r="B5624" s="5" t="n">
        <v>44533</v>
      </c>
      <c r="C5624" s="13" t="inlineStr">
        <is>
          <t>VTA</t>
        </is>
      </c>
      <c r="D5624" s="13" t="n">
        <v>32</v>
      </c>
      <c r="E5624" s="10">
        <f>IF(D5624&gt;0,VLOOKUP(OPERAC[[#This Row],[COD CART]],[1]!MatrizCortoLargoCyl[#All],3,0),"")</f>
        <v/>
      </c>
      <c r="F5624" s="13" t="inlineStr">
        <is>
          <t>SKLZ/CYL/10,00/21-01-22</t>
        </is>
      </c>
      <c r="G5624" s="6" t="n">
        <v>300</v>
      </c>
      <c r="H5624" s="6">
        <f>-7.94*OPERAC[[#This Row],[cantidad]]+66.878</f>
        <v/>
      </c>
      <c r="I5624" s="7">
        <f>-H5624/G5624</f>
        <v/>
      </c>
      <c r="J5624" s="11" t="n">
        <v>44579</v>
      </c>
      <c r="K5624" s="6">
        <f>+OPERAC[[#This Row],[cantidad]]</f>
        <v/>
      </c>
      <c r="L5624" s="6">
        <f>+OPERAC[[#This Row],[cantidad venta]]*5.679</f>
        <v/>
      </c>
      <c r="M5624" s="7">
        <f>IF(N5624=0,+L5624+H5624,0)</f>
        <v/>
      </c>
      <c r="N5624" s="7">
        <f>IF((+G5624-K5624)=0,0,+G5624-K5624)</f>
        <v/>
      </c>
      <c r="O5624" s="7">
        <f>IF(N5624=0,0,(L5624+H5624)/-N5624)</f>
        <v/>
      </c>
      <c r="P5624" s="7">
        <f>VLOOKUP(OPERAC[[#This Row],[especie]],[1]!ESPECIES[#All],6,0)</f>
        <v/>
      </c>
      <c r="Q5624" s="7">
        <f>IF(N5624&lt;&gt;0,P5624*N5624,0)</f>
        <v/>
      </c>
      <c r="R5624" s="8">
        <f>IF(Q5624&lt;&gt;0,Q5624+H5624+L5624,0)</f>
        <v/>
      </c>
      <c r="S5624" s="9">
        <f>VLOOKUP(OPERAC[[#This Row],[especie]],[1]!ESPECIES[#Data],9,FALSE)</f>
        <v/>
      </c>
    </row>
    <row r="5625">
      <c r="A5625" s="4" t="n">
        <v>22393</v>
      </c>
      <c r="B5625" s="5" t="n">
        <v>44698</v>
      </c>
      <c r="C5625" s="13" t="inlineStr">
        <is>
          <t>VTA</t>
        </is>
      </c>
      <c r="D5625" s="13" t="n">
        <v>41</v>
      </c>
      <c r="E5625" s="10">
        <f>IF(D5625&gt;0,VLOOKUP(OPERAC[[#This Row],[COD CART]],[1]!MatrizCortoLargoCyl[#All],3,0),"")</f>
        <v/>
      </c>
      <c r="F5625" s="13" t="inlineStr">
        <is>
          <t>AMZN</t>
        </is>
      </c>
      <c r="G5625" s="6" t="n">
        <v>1</v>
      </c>
      <c r="H5625" s="6" t="n">
        <v>-2316.057</v>
      </c>
      <c r="I5625" s="7">
        <f>-H5625/G5625</f>
        <v/>
      </c>
      <c r="J5625" s="11" t="n">
        <v>44699</v>
      </c>
      <c r="K5625" s="6" t="n">
        <v>1</v>
      </c>
      <c r="L5625" s="6" t="n">
        <v>2183.66</v>
      </c>
      <c r="M5625" s="7">
        <f>IF(N5625=0,+L5625+H5625,0)</f>
        <v/>
      </c>
      <c r="N5625" s="7">
        <f>IF((+G5625-K5625)=0,0,+G5625-K5625)</f>
        <v/>
      </c>
      <c r="O5625" s="7">
        <f>IF(N5625=0,0,(L5625+H5625)/-N5625)</f>
        <v/>
      </c>
      <c r="P5625" s="7">
        <f>VLOOKUP(OPERAC[[#This Row],[especie]],[1]!ESPECIES[#All],6,0)</f>
        <v/>
      </c>
      <c r="Q5625" s="7">
        <f>IF(N5625&lt;&gt;0,P5625*N5625,0)</f>
        <v/>
      </c>
      <c r="R5625" s="8">
        <f>IF(Q5625&lt;&gt;0,Q5625+H5625+L5625,0)</f>
        <v/>
      </c>
      <c r="S5625" s="9">
        <f>VLOOKUP(OPERAC[[#This Row],[especie]],[1]!ESPECIES[#Data],9,FALSE)</f>
        <v/>
      </c>
    </row>
    <row r="5626">
      <c r="A5626" s="4" t="n">
        <v>3728</v>
      </c>
      <c r="B5626" s="5" t="n">
        <v>44536</v>
      </c>
      <c r="C5626" s="13" t="inlineStr">
        <is>
          <t>VTA</t>
        </is>
      </c>
      <c r="D5626" s="13" t="n">
        <v>40</v>
      </c>
      <c r="E5626" s="10">
        <f>IF(D5626&gt;0,VLOOKUP(OPERAC[[#This Row],[COD CART]],[1]!MatrizCortoLargoCyl[#All],3,0),"")</f>
        <v/>
      </c>
      <c r="F5626" s="13" t="inlineStr">
        <is>
          <t>UVXY</t>
        </is>
      </c>
      <c r="G5626" s="6" t="n">
        <v>100</v>
      </c>
      <c r="H5626" s="6" t="n">
        <v>-2317.892</v>
      </c>
      <c r="I5626" s="7">
        <f>-H5626/G5626</f>
        <v/>
      </c>
      <c r="J5626" s="11" t="n">
        <v>44571</v>
      </c>
      <c r="K5626" s="6">
        <f>+OPERAC[[#This Row],[cantidad]]</f>
        <v/>
      </c>
      <c r="L5626" s="6">
        <f>+OPERAC[[#This Row],[cantidad venta]]*14.135</f>
        <v/>
      </c>
      <c r="M5626" s="7">
        <f>IF(N5626=0,+L5626+H5626,0)</f>
        <v/>
      </c>
      <c r="N5626" s="7">
        <f>IF((+G5626-K5626)=0,0,+G5626-K5626)</f>
        <v/>
      </c>
      <c r="O5626" s="7">
        <f>IF(N5626=0,0,(L5626+H5626)/-N5626)</f>
        <v/>
      </c>
      <c r="P5626" s="7">
        <f>VLOOKUP(OPERAC[[#This Row],[especie]],[1]!ESPECIES[#All],6,0)</f>
        <v/>
      </c>
      <c r="Q5626" s="7">
        <f>IF(N5626&lt;&gt;0,P5626*N5626,0)</f>
        <v/>
      </c>
      <c r="R5626" s="8">
        <f>IF(Q5626&lt;&gt;0,Q5626+H5626+L5626,0)</f>
        <v/>
      </c>
      <c r="S5626" s="9">
        <f>VLOOKUP(OPERAC[[#This Row],[especie]],[1]!ESPECIES[#Data],9,FALSE)</f>
        <v/>
      </c>
    </row>
    <row r="5627">
      <c r="A5627" s="4" t="n">
        <v>13180</v>
      </c>
      <c r="B5627" s="5" t="n">
        <v>44536</v>
      </c>
      <c r="C5627" s="13" t="inlineStr">
        <is>
          <t>VTA</t>
        </is>
      </c>
      <c r="D5627" s="13" t="n">
        <v>40</v>
      </c>
      <c r="E5627" s="10">
        <f>IF(D5627&gt;0,VLOOKUP(OPERAC[[#This Row],[COD CART]],[1]!MatrizCortoLargoCyl[#All],3,0),"")</f>
        <v/>
      </c>
      <c r="F5627" s="13" t="inlineStr">
        <is>
          <t>UVXY</t>
        </is>
      </c>
      <c r="G5627" s="6" t="n">
        <v>100</v>
      </c>
      <c r="H5627" s="6" t="n">
        <v>-2317.892</v>
      </c>
      <c r="I5627" s="7">
        <f>-H5627/G5627</f>
        <v/>
      </c>
      <c r="J5627" s="11" t="n">
        <v>44571</v>
      </c>
      <c r="K5627" s="6">
        <f>+OPERAC[[#This Row],[cantidad]]</f>
        <v/>
      </c>
      <c r="L5627" s="6">
        <f>+OPERAC[[#This Row],[cantidad venta]]*14.135</f>
        <v/>
      </c>
      <c r="M5627" s="7">
        <f>IF(N5627=0,+L5627+H5627,0)</f>
        <v/>
      </c>
      <c r="N5627" s="7">
        <f>IF((+G5627-K5627)=0,0,+G5627-K5627)</f>
        <v/>
      </c>
      <c r="O5627" s="7">
        <f>IF(N5627=0,0,(L5627+H5627)/-N5627)</f>
        <v/>
      </c>
      <c r="P5627" s="7">
        <f>VLOOKUP(OPERAC[[#This Row],[especie]],[1]!ESPECIES[#All],6,0)</f>
        <v/>
      </c>
      <c r="Q5627" s="7">
        <f>IF(N5627&lt;&gt;0,P5627*N5627,0)</f>
        <v/>
      </c>
      <c r="R5627" s="8">
        <f>IF(Q5627&lt;&gt;0,Q5627+H5627+L5627,0)</f>
        <v/>
      </c>
      <c r="S5627" s="9">
        <f>VLOOKUP(OPERAC[[#This Row],[especie]],[1]!ESPECIES[#Data],9,FALSE)</f>
        <v/>
      </c>
    </row>
    <row r="5628">
      <c r="A5628" s="4" t="n">
        <v>2257</v>
      </c>
      <c r="B5628" s="5" t="n">
        <v>44669</v>
      </c>
      <c r="C5628" s="13" t="inlineStr">
        <is>
          <t>VTA</t>
        </is>
      </c>
      <c r="D5628" s="13" t="n">
        <v>32</v>
      </c>
      <c r="E5628" s="10">
        <f>IF(D5628&gt;0,VLOOKUP(OPERAC[[#This Row],[COD CART]],[1]!MatrizCortoLargoCyl[#All],3,0),"")</f>
        <v/>
      </c>
      <c r="F5628" s="13" t="inlineStr">
        <is>
          <t>HMY</t>
        </is>
      </c>
      <c r="G5628" s="6" t="n">
        <v>500</v>
      </c>
      <c r="H5628" s="6">
        <f>-4.64*OPERAC[[#This Row],[cantidad]]</f>
        <v/>
      </c>
      <c r="I5628" s="7">
        <f>-H5628/G5628</f>
        <v/>
      </c>
      <c r="J5628" s="11" t="n">
        <v>44704</v>
      </c>
      <c r="K5628" s="6" t="n">
        <v>500</v>
      </c>
      <c r="L5628" s="6" t="n">
        <v>1834.511</v>
      </c>
      <c r="M5628" s="7">
        <f>IF(N5628=0,+L5628+H5628,0)</f>
        <v/>
      </c>
      <c r="N5628" s="7">
        <f>IF((+G5628-K5628)=0,0,+G5628-K5628)</f>
        <v/>
      </c>
      <c r="O5628" s="7">
        <f>IF(N5628=0,0,(L5628+H5628)/-N5628)</f>
        <v/>
      </c>
      <c r="P5628" s="7">
        <f>VLOOKUP(OPERAC[[#This Row],[especie]],[1]!ESPECIES[#All],6,0)</f>
        <v/>
      </c>
      <c r="Q5628" s="7">
        <f>IF(N5628&lt;&gt;0,P5628*N5628,0)</f>
        <v/>
      </c>
      <c r="R5628" s="8">
        <f>IF(Q5628&lt;&gt;0,Q5628+H5628+L5628,0)</f>
        <v/>
      </c>
      <c r="S5628" s="9">
        <f>VLOOKUP(OPERAC[[#This Row],[especie]],[1]!ESPECIES[#Data],9,FALSE)</f>
        <v/>
      </c>
    </row>
    <row r="5629">
      <c r="A5629" s="4" t="n">
        <v>2253</v>
      </c>
      <c r="B5629" s="5" t="n">
        <v>44669</v>
      </c>
      <c r="C5629" s="13" t="inlineStr">
        <is>
          <t>VTA</t>
        </is>
      </c>
      <c r="D5629" s="13" t="n">
        <v>32</v>
      </c>
      <c r="E5629" s="10">
        <f>IF(D5629&gt;0,VLOOKUP(OPERAC[[#This Row],[COD CART]],[1]!MatrizCortoLargoCyl[#All],3,0),"")</f>
        <v/>
      </c>
      <c r="F5629" s="13" t="inlineStr">
        <is>
          <t>HMY</t>
        </is>
      </c>
      <c r="G5629" s="6" t="n">
        <v>500</v>
      </c>
      <c r="H5629" s="6">
        <f>-4.64*OPERAC[[#This Row],[cantidad]]</f>
        <v/>
      </c>
      <c r="I5629" s="7">
        <f>-H5629/G5629</f>
        <v/>
      </c>
      <c r="J5629" s="11" t="n">
        <v>44704</v>
      </c>
      <c r="K5629" s="6" t="n">
        <v>500</v>
      </c>
      <c r="L5629" s="6">
        <f>+OPERAC[[#This Row],[cantidad venta]]*3.669</f>
        <v/>
      </c>
      <c r="M5629" s="7">
        <f>IF(N5629=0,+L5629+H5629,0)</f>
        <v/>
      </c>
      <c r="N5629" s="7">
        <f>IF((+G5629-K5629)=0,0,+G5629-K5629)</f>
        <v/>
      </c>
      <c r="O5629" s="7">
        <f>IF(N5629=0,0,(L5629+H5629)/-N5629)</f>
        <v/>
      </c>
      <c r="P5629" s="7">
        <f>VLOOKUP(OPERAC[[#This Row],[especie]],[1]!ESPECIES[#All],6,0)</f>
        <v/>
      </c>
      <c r="Q5629" s="7">
        <f>IF(N5629&lt;&gt;0,P5629*N5629,0)</f>
        <v/>
      </c>
      <c r="R5629" s="8">
        <f>IF(Q5629&lt;&gt;0,Q5629+H5629+L5629,0)</f>
        <v/>
      </c>
      <c r="S5629" s="9">
        <f>VLOOKUP(OPERAC[[#This Row],[especie]],[1]!ESPECIES[#Data],9,FALSE)</f>
        <v/>
      </c>
    </row>
    <row r="5630">
      <c r="A5630" s="4" t="n">
        <v>3021</v>
      </c>
      <c r="B5630" s="5" t="n">
        <v>44669</v>
      </c>
      <c r="C5630" s="13" t="inlineStr">
        <is>
          <t>VTA</t>
        </is>
      </c>
      <c r="D5630" s="13" t="n">
        <v>32</v>
      </c>
      <c r="E5630" s="10">
        <f>IF(D5630&gt;0,VLOOKUP(OPERAC[[#This Row],[COD CART]],[1]!MatrizCortoLargoCyl[#All],3,0),"")</f>
        <v/>
      </c>
      <c r="F5630" s="13" t="inlineStr">
        <is>
          <t>HMY</t>
        </is>
      </c>
      <c r="G5630" s="6" t="n">
        <v>500</v>
      </c>
      <c r="H5630" s="6">
        <f>-4.64*OPERAC[[#This Row],[cantidad]]</f>
        <v/>
      </c>
      <c r="I5630" s="7">
        <f>-H5630/G5630</f>
        <v/>
      </c>
      <c r="J5630" s="11" t="n">
        <v>44713</v>
      </c>
      <c r="K5630" s="6" t="n">
        <v>500</v>
      </c>
      <c r="L5630" s="6" t="n">
        <v>1664.834</v>
      </c>
      <c r="M5630" s="7">
        <f>IF(N5630=0,+L5630+H5630,0)</f>
        <v/>
      </c>
      <c r="N5630" s="7">
        <f>IF((+G5630-K5630)=0,0,+G5630-K5630)</f>
        <v/>
      </c>
      <c r="O5630" s="7">
        <f>IF(N5630=0,0,(L5630+H5630)/-N5630)</f>
        <v/>
      </c>
      <c r="P5630" s="7">
        <f>VLOOKUP(OPERAC[[#This Row],[especie]],[1]!ESPECIES[#All],6,0)</f>
        <v/>
      </c>
      <c r="Q5630" s="7">
        <f>IF(N5630&lt;&gt;0,P5630*N5630,0)</f>
        <v/>
      </c>
      <c r="R5630" s="8">
        <f>IF(Q5630&lt;&gt;0,Q5630+H5630+L5630,0)</f>
        <v/>
      </c>
      <c r="S5630" s="9">
        <f>VLOOKUP(OPERAC[[#This Row],[especie]],[1]!ESPECIES[#Data],9,FALSE)</f>
        <v/>
      </c>
    </row>
    <row r="5631">
      <c r="A5631" s="4" t="n">
        <v>3787</v>
      </c>
      <c r="B5631" s="5" t="n">
        <v>44669</v>
      </c>
      <c r="C5631" s="13" t="inlineStr">
        <is>
          <t>VTA</t>
        </is>
      </c>
      <c r="D5631" s="13" t="n">
        <v>32</v>
      </c>
      <c r="E5631" s="10">
        <f>IF(D5631&gt;0,VLOOKUP(OPERAC[[#This Row],[COD CART]],[1]!MatrizCortoLargoCyl[#All],3,0),"")</f>
        <v/>
      </c>
      <c r="F5631" s="13" t="inlineStr">
        <is>
          <t>HMY</t>
        </is>
      </c>
      <c r="G5631" s="6" t="n">
        <v>500</v>
      </c>
      <c r="H5631" s="6">
        <f>-4.64*OPERAC[[#This Row],[cantidad]]</f>
        <v/>
      </c>
      <c r="I5631" s="7">
        <f>-H5631/G5631</f>
        <v/>
      </c>
      <c r="J5631" s="11" t="n">
        <v>44704</v>
      </c>
      <c r="K5631" s="6" t="n">
        <v>500</v>
      </c>
      <c r="L5631" s="6" t="n">
        <v>1834.511</v>
      </c>
      <c r="M5631" s="7">
        <f>IF(N5631=0,+L5631+H5631,0)</f>
        <v/>
      </c>
      <c r="N5631" s="7">
        <f>IF((+G5631-K5631)=0,0,+G5631-K5631)</f>
        <v/>
      </c>
      <c r="O5631" s="7">
        <f>IF(N5631=0,0,(L5631+H5631)/-N5631)</f>
        <v/>
      </c>
      <c r="P5631" s="7">
        <f>VLOOKUP(OPERAC[[#This Row],[especie]],[1]!ESPECIES[#All],6,0)</f>
        <v/>
      </c>
      <c r="Q5631" s="7">
        <f>IF(N5631&lt;&gt;0,P5631*N5631,0)</f>
        <v/>
      </c>
      <c r="R5631" s="8">
        <f>IF(Q5631&lt;&gt;0,Q5631+H5631+L5631,0)</f>
        <v/>
      </c>
      <c r="S5631" s="9">
        <f>VLOOKUP(OPERAC[[#This Row],[especie]],[1]!ESPECIES[#Data],9,FALSE)</f>
        <v/>
      </c>
    </row>
    <row r="5632">
      <c r="A5632" s="4" t="n">
        <v>6579</v>
      </c>
      <c r="B5632" s="5" t="n">
        <v>44669</v>
      </c>
      <c r="C5632" s="13" t="inlineStr">
        <is>
          <t>VTA</t>
        </is>
      </c>
      <c r="D5632" s="13" t="n">
        <v>32</v>
      </c>
      <c r="E5632" s="10">
        <f>IF(D5632&gt;0,VLOOKUP(OPERAC[[#This Row],[COD CART]],[1]!MatrizCortoLargoCyl[#All],3,0),"")</f>
        <v/>
      </c>
      <c r="F5632" s="13" t="inlineStr">
        <is>
          <t>HMY</t>
        </is>
      </c>
      <c r="G5632" s="6" t="n">
        <v>500</v>
      </c>
      <c r="H5632" s="6">
        <f>-4.64*OPERAC[[#This Row],[cantidad]]</f>
        <v/>
      </c>
      <c r="I5632" s="7">
        <f>-H5632/G5632</f>
        <v/>
      </c>
      <c r="J5632" s="11" t="n"/>
      <c r="K5632" s="6" t="n"/>
      <c r="L5632" s="6" t="n"/>
      <c r="M5632" s="7">
        <f>IF(N5632=0,+L5632+H5632,0)</f>
        <v/>
      </c>
      <c r="N5632" s="7">
        <f>IF((+G5632-K5632)=0,0,+G5632-K5632)</f>
        <v/>
      </c>
      <c r="O5632" s="7">
        <f>IF(N5632=0,0,(L5632+H5632)/-N5632)</f>
        <v/>
      </c>
      <c r="P5632" s="7">
        <f>VLOOKUP(OPERAC[[#This Row],[especie]],[1]!ESPECIES[#All],6,0)</f>
        <v/>
      </c>
      <c r="Q5632" s="7">
        <f>IF(N5632&lt;&gt;0,P5632*N5632,0)</f>
        <v/>
      </c>
      <c r="R5632" s="8">
        <f>IF(Q5632&lt;&gt;0,Q5632+H5632+L5632,0)</f>
        <v/>
      </c>
      <c r="S5632" s="9">
        <f>VLOOKUP(OPERAC[[#This Row],[especie]],[1]!ESPECIES[#Data],9,FALSE)</f>
        <v/>
      </c>
    </row>
    <row r="5633">
      <c r="A5633" s="4" t="n">
        <v>12022</v>
      </c>
      <c r="B5633" s="5" t="n">
        <v>44669</v>
      </c>
      <c r="C5633" s="13" t="inlineStr">
        <is>
          <t>VTA</t>
        </is>
      </c>
      <c r="D5633" s="13" t="n">
        <v>32</v>
      </c>
      <c r="E5633" s="10">
        <f>IF(D5633&gt;0,VLOOKUP(OPERAC[[#This Row],[COD CART]],[1]!MatrizCortoLargoCyl[#All],3,0),"")</f>
        <v/>
      </c>
      <c r="F5633" s="13" t="inlineStr">
        <is>
          <t>HMY</t>
        </is>
      </c>
      <c r="G5633" s="6" t="n">
        <v>500</v>
      </c>
      <c r="H5633" s="6">
        <f>-4.64*OPERAC[[#This Row],[cantidad]]</f>
        <v/>
      </c>
      <c r="I5633" s="7">
        <f>-H5633/G5633</f>
        <v/>
      </c>
      <c r="J5633" s="11" t="n"/>
      <c r="K5633" s="6" t="n"/>
      <c r="L5633" s="6" t="n"/>
      <c r="M5633" s="7">
        <f>IF(N5633=0,+L5633+H5633,0)</f>
        <v/>
      </c>
      <c r="N5633" s="7">
        <f>IF((+G5633-K5633)=0,0,+G5633-K5633)</f>
        <v/>
      </c>
      <c r="O5633" s="7">
        <f>IF(N5633=0,0,(L5633+H5633)/-N5633)</f>
        <v/>
      </c>
      <c r="P5633" s="7">
        <f>VLOOKUP(OPERAC[[#This Row],[especie]],[1]!ESPECIES[#All],6,0)</f>
        <v/>
      </c>
      <c r="Q5633" s="7">
        <f>IF(N5633&lt;&gt;0,P5633*N5633,0)</f>
        <v/>
      </c>
      <c r="R5633" s="8">
        <f>IF(Q5633&lt;&gt;0,Q5633+H5633+L5633,0)</f>
        <v/>
      </c>
      <c r="S5633" s="9">
        <f>VLOOKUP(OPERAC[[#This Row],[especie]],[1]!ESPECIES[#Data],9,FALSE)</f>
        <v/>
      </c>
    </row>
    <row r="5634">
      <c r="A5634" s="4" t="n">
        <v>25070</v>
      </c>
      <c r="B5634" s="5" t="n">
        <v>44669</v>
      </c>
      <c r="C5634" s="13" t="inlineStr">
        <is>
          <t>VTA</t>
        </is>
      </c>
      <c r="D5634" s="13" t="n">
        <v>32</v>
      </c>
      <c r="E5634" s="10">
        <f>IF(D5634&gt;0,VLOOKUP(OPERAC[[#This Row],[COD CART]],[1]!MatrizCortoLargoCyl[#All],3,0),"")</f>
        <v/>
      </c>
      <c r="F5634" s="13" t="inlineStr">
        <is>
          <t>HMY</t>
        </is>
      </c>
      <c r="G5634" s="6" t="n">
        <v>500</v>
      </c>
      <c r="H5634" s="6">
        <f>-4.64*OPERAC[[#This Row],[cantidad]]</f>
        <v/>
      </c>
      <c r="I5634" s="7">
        <f>-H5634/G5634</f>
        <v/>
      </c>
      <c r="J5634" s="11" t="n">
        <v>44722</v>
      </c>
      <c r="K5634" s="6" t="n">
        <v>500</v>
      </c>
      <c r="L5634" s="6" t="n">
        <v>1662.25</v>
      </c>
      <c r="M5634" s="7">
        <f>IF(N5634=0,+L5634+H5634,0)</f>
        <v/>
      </c>
      <c r="N5634" s="7">
        <f>IF((+G5634-K5634)=0,0,+G5634-K5634)</f>
        <v/>
      </c>
      <c r="O5634" s="7">
        <f>IF(N5634=0,0,(L5634+H5634)/-N5634)</f>
        <v/>
      </c>
      <c r="P5634" s="7">
        <f>VLOOKUP(OPERAC[[#This Row],[especie]],[1]!ESPECIES[#All],6,0)</f>
        <v/>
      </c>
      <c r="Q5634" s="7">
        <f>IF(N5634&lt;&gt;0,P5634*N5634,0)</f>
        <v/>
      </c>
      <c r="R5634" s="8">
        <f>IF(Q5634&lt;&gt;0,Q5634+H5634+L5634,0)</f>
        <v/>
      </c>
      <c r="S5634" s="9">
        <f>VLOOKUP(OPERAC[[#This Row],[especie]],[1]!ESPECIES[#Data],9,FALSE)</f>
        <v/>
      </c>
    </row>
    <row r="5635">
      <c r="A5635" s="4" t="n">
        <v>18662</v>
      </c>
      <c r="B5635" s="5" t="n">
        <v>44634</v>
      </c>
      <c r="C5635" s="13" t="inlineStr">
        <is>
          <t>VTA</t>
        </is>
      </c>
      <c r="D5635" s="13" t="n">
        <v>42</v>
      </c>
      <c r="E5635" s="10">
        <f>IF(D5635&gt;0,VLOOKUP(OPERAC[[#This Row],[COD CART]],[1]!MatrizCortoLargoCyl[#All],3,0),"")</f>
        <v/>
      </c>
      <c r="F5635" s="13" t="inlineStr">
        <is>
          <t>INO</t>
        </is>
      </c>
      <c r="G5635" s="6" t="n">
        <v>700</v>
      </c>
      <c r="H5635" s="6" t="n">
        <v>-2324.5712</v>
      </c>
      <c r="I5635" s="7">
        <f>-H5635/G5635</f>
        <v/>
      </c>
      <c r="J5635" s="11" t="n">
        <v>44634</v>
      </c>
      <c r="K5635" s="6" t="n">
        <v>700</v>
      </c>
      <c r="L5635" s="6" t="n">
        <v>2092.1985</v>
      </c>
      <c r="M5635" s="7">
        <f>IF(N5635=0,+L5635+H5635,0)</f>
        <v/>
      </c>
      <c r="N5635" s="7">
        <f>IF((+G5635-K5635)=0,0,+G5635-K5635)</f>
        <v/>
      </c>
      <c r="O5635" s="7">
        <f>IF(N5635=0,0,(L5635+H5635)/-N5635)</f>
        <v/>
      </c>
      <c r="P5635" s="7">
        <f>VLOOKUP(OPERAC[[#This Row],[especie]],[1]!ESPECIES[#All],6,0)</f>
        <v/>
      </c>
      <c r="Q5635" s="7">
        <f>IF(N5635&lt;&gt;0,P5635*N5635,0)</f>
        <v/>
      </c>
      <c r="R5635" s="8">
        <f>IF(Q5635&lt;&gt;0,Q5635+H5635+L5635,0)</f>
        <v/>
      </c>
      <c r="S5635" s="9">
        <f>VLOOKUP(OPERAC[[#This Row],[especie]],[1]!ESPECIES[#Data],9,FALSE)</f>
        <v/>
      </c>
    </row>
    <row r="5636">
      <c r="A5636" s="4" t="n">
        <v>6578</v>
      </c>
      <c r="B5636" s="5" t="n">
        <v>44494</v>
      </c>
      <c r="C5636" s="13" t="inlineStr">
        <is>
          <t>CPR</t>
        </is>
      </c>
      <c r="D5636" s="13" t="n">
        <v>40</v>
      </c>
      <c r="E5636" s="10">
        <f>IF(D5636&gt;0,VLOOKUP(OPERAC[[#This Row],[COD CART]],[1]!MatrizCortoLargoCyl[#All],3,0),"")</f>
        <v/>
      </c>
      <c r="F5636" s="13" t="inlineStr">
        <is>
          <t>YPF</t>
        </is>
      </c>
      <c r="G5636" s="6" t="n">
        <v>500</v>
      </c>
      <c r="H5636" s="6" t="n">
        <v>-2326.36</v>
      </c>
      <c r="I5636" s="7">
        <f>-H5636/G5636</f>
        <v/>
      </c>
      <c r="J5636" s="11" t="n">
        <v>44606</v>
      </c>
      <c r="K5636" s="6">
        <f>+OPERAC[[#This Row],[cantidad]]</f>
        <v/>
      </c>
      <c r="L5636" s="6">
        <f>+OPERAC[[#This Row],[cantidad venta]]*4.161</f>
        <v/>
      </c>
      <c r="M5636" s="7">
        <f>IF(N5636=0,+L5636+H5636,0)</f>
        <v/>
      </c>
      <c r="N5636" s="7">
        <f>IF((+G5636-K5636)=0,0,+G5636-K5636)</f>
        <v/>
      </c>
      <c r="O5636" s="7">
        <f>IF(N5636=0,0,(L5636+H5636)/-N5636)</f>
        <v/>
      </c>
      <c r="P5636" s="7">
        <f>VLOOKUP(OPERAC[[#This Row],[especie]],[1]!ESPECIES[#All],6,0)</f>
        <v/>
      </c>
      <c r="Q5636" s="7">
        <f>IF(N5636&lt;&gt;0,P5636*N5636,0)</f>
        <v/>
      </c>
      <c r="R5636" s="8">
        <f>IF(Q5636&lt;&gt;0,Q5636+H5636+L5636,0)</f>
        <v/>
      </c>
      <c r="S5636" s="9">
        <f>VLOOKUP(OPERAC[[#This Row],[especie]],[1]!ESPECIES[#Data],9,FALSE)</f>
        <v/>
      </c>
    </row>
    <row r="5637">
      <c r="A5637" s="4" t="n">
        <v>12655</v>
      </c>
      <c r="B5637" s="5" t="n">
        <v>44533</v>
      </c>
      <c r="C5637" s="13" t="inlineStr">
        <is>
          <t>CPR</t>
        </is>
      </c>
      <c r="D5637" s="13" t="n">
        <v>32</v>
      </c>
      <c r="E5637" s="10">
        <f>IF(D5637&gt;0,VLOOKUP(OPERAC[[#This Row],[COD CART]],[1]!MatrizCortoLargoCyl[#All],3,0),"")</f>
        <v/>
      </c>
      <c r="F5637" s="13" t="inlineStr">
        <is>
          <t>INO/CYL/8,00/18-02-22</t>
        </is>
      </c>
      <c r="G5637" s="6" t="n">
        <v>400</v>
      </c>
      <c r="H5637" s="6">
        <f>-5.87*OPERAC[[#This Row],[cantidad]]+18.829</f>
        <v/>
      </c>
      <c r="I5637" s="7">
        <f>-H5637/G5637</f>
        <v/>
      </c>
      <c r="J5637" s="11" t="n">
        <v>44595</v>
      </c>
      <c r="K5637" s="6">
        <f>300+100</f>
        <v/>
      </c>
      <c r="L5637" s="6">
        <f>1070.708+366.629</f>
        <v/>
      </c>
      <c r="M5637" s="7">
        <f>IF(N5637=0,+L5637+H5637,0)</f>
        <v/>
      </c>
      <c r="N5637" s="7">
        <f>IF((+G5637-K5637)=0,0,+G5637-K5637)</f>
        <v/>
      </c>
      <c r="O5637" s="7">
        <f>IF(N5637=0,0,(L5637+H5637)/-N5637)</f>
        <v/>
      </c>
      <c r="P5637" s="7">
        <f>VLOOKUP(OPERAC[[#This Row],[especie]],[1]!ESPECIES[#All],6,0)</f>
        <v/>
      </c>
      <c r="Q5637" s="7">
        <f>IF(N5637&lt;&gt;0,P5637*N5637,0)</f>
        <v/>
      </c>
      <c r="R5637" s="8">
        <f>IF(Q5637&lt;&gt;0,Q5637+H5637+L5637,0)</f>
        <v/>
      </c>
      <c r="S5637" s="9">
        <f>VLOOKUP(OPERAC[[#This Row],[especie]],[1]!ESPECIES[#Data],9,FALSE)</f>
        <v/>
      </c>
    </row>
    <row r="5638">
      <c r="A5638" s="4" t="n">
        <v>19878</v>
      </c>
      <c r="B5638" s="5" t="n">
        <v>44622</v>
      </c>
      <c r="C5638" s="13" t="inlineStr">
        <is>
          <t>CPR</t>
        </is>
      </c>
      <c r="D5638" s="13" t="n">
        <v>32</v>
      </c>
      <c r="E5638" s="10">
        <f>IF(D5638&gt;0,VLOOKUP(OPERAC[[#This Row],[COD CART]],[1]!MatrizCortoLargoCyl[#All],3,0),"")</f>
        <v/>
      </c>
      <c r="F5638" s="13" t="inlineStr">
        <is>
          <t>HMY/CYL/5,00/18-03-22</t>
        </is>
      </c>
      <c r="G5638" s="6" t="n">
        <v>500</v>
      </c>
      <c r="H5638" s="6" t="n">
        <v>-2337.62</v>
      </c>
      <c r="I5638" s="7">
        <f>-H5638/G5638</f>
        <v/>
      </c>
      <c r="J5638" s="11" t="n">
        <v>44637</v>
      </c>
      <c r="K5638" s="6">
        <f>+OPERAC[[#This Row],[cantidad]]</f>
        <v/>
      </c>
      <c r="L5638" s="6">
        <f>4.85553*OPERAC[[#This Row],[cantidad venta]]</f>
        <v/>
      </c>
      <c r="M5638" s="7">
        <f>IF(N5638=0,+L5638+H5638,0)</f>
        <v/>
      </c>
      <c r="N5638" s="7">
        <f>IF((+G5638-K5638)=0,0,+G5638-K5638)</f>
        <v/>
      </c>
      <c r="O5638" s="7">
        <f>IF(N5638=0,0,(L5638+H5638)/-N5638)</f>
        <v/>
      </c>
      <c r="P5638" s="7">
        <f>VLOOKUP(OPERAC[[#This Row],[especie]],[1]!ESPECIES[#All],6,0)</f>
        <v/>
      </c>
      <c r="Q5638" s="7">
        <f>IF(N5638&lt;&gt;0,P5638*N5638,0)</f>
        <v/>
      </c>
      <c r="R5638" s="8">
        <f>IF(Q5638&lt;&gt;0,Q5638+H5638+L5638,0)</f>
        <v/>
      </c>
      <c r="S5638" s="9">
        <f>VLOOKUP(OPERAC[[#This Row],[especie]],[1]!ESPECIES[#Data],9,FALSE)</f>
        <v/>
      </c>
    </row>
    <row r="5639">
      <c r="A5639" s="4" t="n">
        <v>2253</v>
      </c>
      <c r="B5639" s="5" t="n">
        <v>44533</v>
      </c>
      <c r="C5639" s="13" t="inlineStr">
        <is>
          <t>CPR</t>
        </is>
      </c>
      <c r="D5639" s="13" t="n">
        <v>40</v>
      </c>
      <c r="E5639" s="10">
        <f>IF(D5639&gt;0,VLOOKUP(OPERAC[[#This Row],[COD CART]],[1]!MatrizCortoLargoCyl[#All],3,0),"")</f>
        <v/>
      </c>
      <c r="F5639" s="13" t="inlineStr">
        <is>
          <t>SSYS</t>
        </is>
      </c>
      <c r="G5639" s="6" t="n">
        <v>100</v>
      </c>
      <c r="H5639" s="6" t="n">
        <v>-2339.12</v>
      </c>
      <c r="I5639" s="7">
        <f>-H5639/G5639</f>
        <v/>
      </c>
      <c r="J5639" s="11" t="n">
        <v>44600</v>
      </c>
      <c r="K5639" s="6" t="n">
        <v>100</v>
      </c>
      <c r="L5639" s="6" t="n">
        <v>2405</v>
      </c>
      <c r="M5639" s="7">
        <f>IF(N5639=0,+L5639+H5639,0)</f>
        <v/>
      </c>
      <c r="N5639" s="7">
        <f>IF((+G5639-K5639)=0,0,+G5639-K5639)</f>
        <v/>
      </c>
      <c r="O5639" s="7">
        <f>IF(N5639=0,0,(L5639+H5639)/-N5639)</f>
        <v/>
      </c>
      <c r="P5639" s="7">
        <f>VLOOKUP(OPERAC[[#This Row],[especie]],[1]!ESPECIES[#All],6,0)</f>
        <v/>
      </c>
      <c r="Q5639" s="7">
        <f>IF(N5639&lt;&gt;0,P5639*N5639,0)</f>
        <v/>
      </c>
      <c r="R5639" s="8">
        <f>IF(Q5639&lt;&gt;0,Q5639+H5639+L5639,0)</f>
        <v/>
      </c>
      <c r="S5639" s="9">
        <f>VLOOKUP(OPERAC[[#This Row],[especie]],[1]!ESPECIES[#Data],9,FALSE)</f>
        <v/>
      </c>
    </row>
    <row r="5640">
      <c r="A5640" s="4" t="n">
        <v>2257</v>
      </c>
      <c r="B5640" s="5" t="n">
        <v>44533</v>
      </c>
      <c r="C5640" s="13" t="inlineStr">
        <is>
          <t>CPR</t>
        </is>
      </c>
      <c r="D5640" s="13" t="n">
        <v>40</v>
      </c>
      <c r="E5640" s="10">
        <f>IF(D5640&gt;0,VLOOKUP(OPERAC[[#This Row],[COD CART]],[1]!MatrizCortoLargoCyl[#All],3,0),"")</f>
        <v/>
      </c>
      <c r="F5640" s="13" t="inlineStr">
        <is>
          <t>SSYS</t>
        </is>
      </c>
      <c r="G5640" s="6" t="n">
        <v>100</v>
      </c>
      <c r="H5640" s="6" t="n">
        <v>-2339.12</v>
      </c>
      <c r="I5640" s="7">
        <f>-H5640/G5640</f>
        <v/>
      </c>
      <c r="J5640" s="11" t="n">
        <v>44600</v>
      </c>
      <c r="K5640" s="6" t="n">
        <v>100</v>
      </c>
      <c r="L5640" s="6" t="n">
        <v>2405</v>
      </c>
      <c r="M5640" s="7">
        <f>IF(N5640=0,+L5640+H5640,0)</f>
        <v/>
      </c>
      <c r="N5640" s="7">
        <f>IF((+G5640-K5640)=0,0,+G5640-K5640)</f>
        <v/>
      </c>
      <c r="O5640" s="7">
        <f>IF(N5640=0,0,(L5640+H5640)/-N5640)</f>
        <v/>
      </c>
      <c r="P5640" s="7">
        <f>VLOOKUP(OPERAC[[#This Row],[especie]],[1]!ESPECIES[#All],6,0)</f>
        <v/>
      </c>
      <c r="Q5640" s="7">
        <f>IF(N5640&lt;&gt;0,P5640*N5640,0)</f>
        <v/>
      </c>
      <c r="R5640" s="8">
        <f>IF(Q5640&lt;&gt;0,Q5640+H5640+L5640,0)</f>
        <v/>
      </c>
      <c r="S5640" s="9">
        <f>VLOOKUP(OPERAC[[#This Row],[especie]],[1]!ESPECIES[#Data],9,FALSE)</f>
        <v/>
      </c>
    </row>
    <row r="5641">
      <c r="A5641" s="4" t="n">
        <v>15195</v>
      </c>
      <c r="B5641" s="5" t="n">
        <v>44533</v>
      </c>
      <c r="C5641" s="13" t="inlineStr">
        <is>
          <t>CPR</t>
        </is>
      </c>
      <c r="D5641" s="13" t="n">
        <v>40</v>
      </c>
      <c r="E5641" s="10">
        <f>IF(D5641&gt;0,VLOOKUP(OPERAC[[#This Row],[COD CART]],[1]!MatrizCortoLargoCyl[#All],3,0),"")</f>
        <v/>
      </c>
      <c r="F5641" s="13" t="inlineStr">
        <is>
          <t>SSYS</t>
        </is>
      </c>
      <c r="G5641" s="6" t="n">
        <v>100</v>
      </c>
      <c r="H5641" s="6" t="n">
        <v>-2339.12</v>
      </c>
      <c r="I5641" s="7">
        <f>-H5641/G5641</f>
        <v/>
      </c>
      <c r="J5641" s="11" t="n">
        <v>44600</v>
      </c>
      <c r="K5641" s="6" t="n">
        <v>100</v>
      </c>
      <c r="L5641" s="6" t="n">
        <v>2405</v>
      </c>
      <c r="M5641" s="7">
        <f>IF(N5641=0,+L5641+H5641,0)</f>
        <v/>
      </c>
      <c r="N5641" s="7">
        <f>IF((+G5641-K5641)=0,0,+G5641-K5641)</f>
        <v/>
      </c>
      <c r="O5641" s="7">
        <f>IF(N5641=0,0,(L5641+H5641)/-N5641)</f>
        <v/>
      </c>
      <c r="P5641" s="7">
        <f>VLOOKUP(OPERAC[[#This Row],[especie]],[1]!ESPECIES[#All],6,0)</f>
        <v/>
      </c>
      <c r="Q5641" s="7">
        <f>IF(N5641&lt;&gt;0,P5641*N5641,0)</f>
        <v/>
      </c>
      <c r="R5641" s="8">
        <f>IF(Q5641&lt;&gt;0,Q5641+H5641+L5641,0)</f>
        <v/>
      </c>
      <c r="S5641" s="9">
        <f>VLOOKUP(OPERAC[[#This Row],[especie]],[1]!ESPECIES[#Data],9,FALSE)</f>
        <v/>
      </c>
    </row>
    <row r="5642">
      <c r="A5642" s="4" t="n">
        <v>12022</v>
      </c>
      <c r="B5642" s="5" t="n">
        <v>44622</v>
      </c>
      <c r="C5642" s="13" t="inlineStr">
        <is>
          <t>CPR</t>
        </is>
      </c>
      <c r="D5642" s="13" t="n">
        <v>32</v>
      </c>
      <c r="E5642" s="10">
        <f>IF(D5642&gt;0,VLOOKUP(OPERAC[[#This Row],[COD CART]],[1]!MatrizCortoLargoCyl[#All],3,0),"")</f>
        <v/>
      </c>
      <c r="F5642" s="13" t="inlineStr">
        <is>
          <t>HMY/CYL/5,00/18-03-22</t>
        </is>
      </c>
      <c r="G5642" s="6" t="n">
        <v>500</v>
      </c>
      <c r="H5642" s="6" t="n">
        <v>-2342.66</v>
      </c>
      <c r="I5642" s="7">
        <f>-H5642/G5642</f>
        <v/>
      </c>
      <c r="J5642" s="11" t="n">
        <v>44637</v>
      </c>
      <c r="K5642" s="6">
        <f>+OPERAC[[#This Row],[cantidad]]</f>
        <v/>
      </c>
      <c r="L5642" s="6">
        <f>4.85553*OPERAC[[#This Row],[cantidad venta]]</f>
        <v/>
      </c>
      <c r="M5642" s="7">
        <f>IF(N5642=0,+L5642+H5642,0)</f>
        <v/>
      </c>
      <c r="N5642" s="7">
        <f>IF((+G5642-K5642)=0,0,+G5642-K5642)</f>
        <v/>
      </c>
      <c r="O5642" s="7">
        <f>IF(N5642=0,0,(L5642+H5642)/-N5642)</f>
        <v/>
      </c>
      <c r="P5642" s="7">
        <f>VLOOKUP(OPERAC[[#This Row],[especie]],[1]!ESPECIES[#All],6,0)</f>
        <v/>
      </c>
      <c r="Q5642" s="7">
        <f>IF(N5642&lt;&gt;0,P5642*N5642,0)</f>
        <v/>
      </c>
      <c r="R5642" s="8">
        <f>IF(Q5642&lt;&gt;0,Q5642+H5642+L5642,0)</f>
        <v/>
      </c>
      <c r="S5642" s="9">
        <f>VLOOKUP(OPERAC[[#This Row],[especie]],[1]!ESPECIES[#Data],9,FALSE)</f>
        <v/>
      </c>
    </row>
    <row r="5643">
      <c r="A5643" s="4" t="n">
        <v>15195</v>
      </c>
      <c r="B5643" s="5" t="n">
        <v>44622</v>
      </c>
      <c r="C5643" s="13" t="inlineStr">
        <is>
          <t>CPR</t>
        </is>
      </c>
      <c r="D5643" s="13" t="n">
        <v>32</v>
      </c>
      <c r="E5643" s="10">
        <f>IF(D5643&gt;0,VLOOKUP(OPERAC[[#This Row],[COD CART]],[1]!MatrizCortoLargoCyl[#All],3,0),"")</f>
        <v/>
      </c>
      <c r="F5643" s="13" t="inlineStr">
        <is>
          <t>HMY/CYL/5,00/18-03-22</t>
        </is>
      </c>
      <c r="G5643" s="6" t="n">
        <v>500</v>
      </c>
      <c r="H5643" s="6" t="n">
        <v>-2342.66</v>
      </c>
      <c r="I5643" s="7">
        <f>-H5643/G5643</f>
        <v/>
      </c>
      <c r="J5643" s="11" t="n">
        <v>44637</v>
      </c>
      <c r="K5643" s="6">
        <f>+OPERAC[[#This Row],[cantidad]]</f>
        <v/>
      </c>
      <c r="L5643" s="6">
        <f>4.85553*OPERAC[[#This Row],[cantidad venta]]</f>
        <v/>
      </c>
      <c r="M5643" s="7">
        <f>IF(N5643=0,+L5643+H5643,0)</f>
        <v/>
      </c>
      <c r="N5643" s="7">
        <f>IF((+G5643-K5643)=0,0,+G5643-K5643)</f>
        <v/>
      </c>
      <c r="O5643" s="7">
        <f>IF(N5643=0,0,(L5643+H5643)/-N5643)</f>
        <v/>
      </c>
      <c r="P5643" s="7">
        <f>VLOOKUP(OPERAC[[#This Row],[especie]],[1]!ESPECIES[#All],6,0)</f>
        <v/>
      </c>
      <c r="Q5643" s="7">
        <f>IF(N5643&lt;&gt;0,P5643*N5643,0)</f>
        <v/>
      </c>
      <c r="R5643" s="8">
        <f>IF(Q5643&lt;&gt;0,Q5643+H5643+L5643,0)</f>
        <v/>
      </c>
      <c r="S5643" s="9">
        <f>VLOOKUP(OPERAC[[#This Row],[especie]],[1]!ESPECIES[#Data],9,FALSE)</f>
        <v/>
      </c>
    </row>
    <row r="5644">
      <c r="A5644" s="4" t="n">
        <v>18690</v>
      </c>
      <c r="B5644" s="5" t="n">
        <v>44582</v>
      </c>
      <c r="C5644" s="13" t="inlineStr">
        <is>
          <t>CPR</t>
        </is>
      </c>
      <c r="D5644" s="13" t="n">
        <v>40</v>
      </c>
      <c r="E5644" s="10">
        <f>IF(D5644&gt;0,VLOOKUP(OPERAC[[#This Row],[COD CART]],[1]!MatrizCortoLargoCyl[#All],3,0),"")</f>
        <v/>
      </c>
      <c r="F5644" s="13" t="inlineStr">
        <is>
          <t>NFLX</t>
        </is>
      </c>
      <c r="G5644" s="6" t="n">
        <v>6</v>
      </c>
      <c r="H5644" s="6" t="n">
        <v>-2343.8226</v>
      </c>
      <c r="I5644" s="7">
        <f>-H5644/G5644</f>
        <v/>
      </c>
      <c r="J5644" s="11" t="n">
        <v>44593</v>
      </c>
      <c r="K5644" s="6">
        <f>+OPERAC[[#This Row],[cantidad]]</f>
        <v/>
      </c>
      <c r="L5644" s="6">
        <f>+OPERAC[[#This Row],[cantidad venta]]*448.602</f>
        <v/>
      </c>
      <c r="M5644" s="7">
        <f>IF(N5644=0,+L5644+H5644,0)</f>
        <v/>
      </c>
      <c r="N5644" s="7">
        <f>IF((+G5644-K5644)=0,0,+G5644-K5644)</f>
        <v/>
      </c>
      <c r="O5644" s="7">
        <f>IF(N5644=0,0,(L5644+H5644)/-N5644)</f>
        <v/>
      </c>
      <c r="P5644" s="7">
        <f>VLOOKUP(OPERAC[[#This Row],[especie]],[1]!ESPECIES[#All],6,0)</f>
        <v/>
      </c>
      <c r="Q5644" s="7">
        <f>IF(N5644&lt;&gt;0,P5644*N5644,0)</f>
        <v/>
      </c>
      <c r="R5644" s="8">
        <f>IF(Q5644&lt;&gt;0,Q5644+H5644+L5644,0)</f>
        <v/>
      </c>
      <c r="S5644" s="9">
        <f>VLOOKUP(OPERAC[[#This Row],[especie]],[1]!ESPECIES[#Data],9,FALSE)</f>
        <v/>
      </c>
    </row>
    <row r="5645">
      <c r="A5645" s="4" t="n">
        <v>13253</v>
      </c>
      <c r="B5645" s="5" t="n">
        <v>44581</v>
      </c>
      <c r="C5645" s="13" t="inlineStr">
        <is>
          <t>CPR</t>
        </is>
      </c>
      <c r="D5645" s="13" t="n">
        <v>41</v>
      </c>
      <c r="E5645" s="10">
        <f>IF(D5645&gt;0,VLOOKUP(OPERAC[[#This Row],[COD CART]],[1]!MatrizCortoLargoCyl[#All],3,0),"")</f>
        <v/>
      </c>
      <c r="F5645" s="13" t="inlineStr">
        <is>
          <t>MPW</t>
        </is>
      </c>
      <c r="G5645" s="6" t="n">
        <v>100</v>
      </c>
      <c r="H5645" s="6" t="n">
        <v>-2358.2266</v>
      </c>
      <c r="I5645" s="7">
        <f>-H5645/G5645</f>
        <v/>
      </c>
      <c r="J5645" s="11" t="n"/>
      <c r="K5645" s="6" t="n"/>
      <c r="L5645" s="6" t="n"/>
      <c r="M5645" s="7">
        <f>IF(N5645=0,+L5645+H5645,0)</f>
        <v/>
      </c>
      <c r="N5645" s="7">
        <f>IF((+G5645-K5645)=0,0,+G5645-K5645)</f>
        <v/>
      </c>
      <c r="O5645" s="7">
        <f>IF(N5645=0,0,(L5645+H5645)/-N5645)</f>
        <v/>
      </c>
      <c r="P5645" s="7">
        <f>VLOOKUP(OPERAC[[#This Row],[especie]],[1]!ESPECIES[#All],6,0)</f>
        <v/>
      </c>
      <c r="Q5645" s="7">
        <f>IF(N5645&lt;&gt;0,P5645*N5645,0)</f>
        <v/>
      </c>
      <c r="R5645" s="8">
        <f>IF(Q5645&lt;&gt;0,Q5645+H5645+L5645,0)</f>
        <v/>
      </c>
      <c r="S5645" s="9">
        <f>VLOOKUP(OPERAC[[#This Row],[especie]],[1]!ESPECIES[#Data],9,FALSE)</f>
        <v/>
      </c>
    </row>
    <row r="5646">
      <c r="A5646" s="4" t="n">
        <v>3728</v>
      </c>
      <c r="B5646" s="5" t="n">
        <v>44637</v>
      </c>
      <c r="C5646" s="13" t="inlineStr">
        <is>
          <t>CPR</t>
        </is>
      </c>
      <c r="D5646" s="13" t="n">
        <v>31</v>
      </c>
      <c r="E5646" s="10">
        <f>IF(D5646&gt;0,VLOOKUP(OPERAC[[#This Row],[COD CART]],[1]!MatrizCortoLargoCyl[#All],3,0),"")</f>
        <v/>
      </c>
      <c r="F5646" s="13" t="inlineStr">
        <is>
          <t>INTC</t>
        </is>
      </c>
      <c r="G5646" s="6" t="n">
        <v>50</v>
      </c>
      <c r="H5646" s="6" t="n">
        <v>-2361.358</v>
      </c>
      <c r="I5646" s="7">
        <f>-H5646/G5646</f>
        <v/>
      </c>
      <c r="J5646" s="11" t="n">
        <v>44693</v>
      </c>
      <c r="K5646" s="6" t="n">
        <v>50</v>
      </c>
      <c r="L5646" s="6" t="n">
        <v>2133.539</v>
      </c>
      <c r="M5646" s="7">
        <f>IF(N5646=0,+L5646+H5646,0)</f>
        <v/>
      </c>
      <c r="N5646" s="7">
        <f>IF((+G5646-K5646)=0,0,+G5646-K5646)</f>
        <v/>
      </c>
      <c r="O5646" s="7">
        <f>IF(N5646=0,0,(L5646+H5646)/-N5646)</f>
        <v/>
      </c>
      <c r="P5646" s="7">
        <f>VLOOKUP(OPERAC[[#This Row],[especie]],[1]!ESPECIES[#All],6,0)</f>
        <v/>
      </c>
      <c r="Q5646" s="7">
        <f>IF(N5646&lt;&gt;0,P5646*N5646,0)</f>
        <v/>
      </c>
      <c r="R5646" s="8">
        <f>IF(Q5646&lt;&gt;0,Q5646+H5646+L5646,0)</f>
        <v/>
      </c>
      <c r="S5646" s="9">
        <f>VLOOKUP(OPERAC[[#This Row],[especie]],[1]!ESPECIES[#Data],9,FALSE)</f>
        <v/>
      </c>
    </row>
    <row r="5647">
      <c r="A5647" s="4" t="n">
        <v>10079</v>
      </c>
      <c r="B5647" s="5" t="n">
        <v>44664</v>
      </c>
      <c r="C5647" s="13" t="inlineStr">
        <is>
          <t>CPR</t>
        </is>
      </c>
      <c r="D5647" s="13" t="n">
        <v>39</v>
      </c>
      <c r="E5647" s="10">
        <f>IF(D5647&gt;0,VLOOKUP(OPERAC[[#This Row],[COD CART]],[1]!MatrizCortoLargoCyl[#All],3,0),"")</f>
        <v/>
      </c>
      <c r="F5647" s="13" t="inlineStr">
        <is>
          <t>BABA/C/80,00/17-06-2022</t>
        </is>
      </c>
      <c r="G5647" s="6" t="n">
        <v>100</v>
      </c>
      <c r="H5647" s="6" t="n">
        <v>-2369.975</v>
      </c>
      <c r="I5647" s="7">
        <f>-H5647/G5647</f>
        <v/>
      </c>
      <c r="J5647" s="11" t="n">
        <v>44720</v>
      </c>
      <c r="K5647" s="6" t="n">
        <v>100</v>
      </c>
      <c r="L5647" s="6" t="n">
        <v>3618.975</v>
      </c>
      <c r="M5647" s="7">
        <f>IF(N5647=0,+L5647+H5647,0)</f>
        <v/>
      </c>
      <c r="N5647" s="7">
        <f>IF((+G5647-K5647)=0,0,+G5647-K5647)</f>
        <v/>
      </c>
      <c r="O5647" s="7">
        <f>IF(N5647=0,0,(L5647+H5647)/-N5647)</f>
        <v/>
      </c>
      <c r="P5647" s="7">
        <f>VLOOKUP(OPERAC[[#This Row],[especie]],[1]!ESPECIES[#All],6,0)</f>
        <v/>
      </c>
      <c r="Q5647" s="7">
        <f>IF(N5647&lt;&gt;0,P5647*N5647,0)</f>
        <v/>
      </c>
      <c r="R5647" s="8">
        <f>IF(Q5647&lt;&gt;0,Q5647+H5647+L5647,0)</f>
        <v/>
      </c>
      <c r="S5647" s="9">
        <f>VLOOKUP(OPERAC[[#This Row],[especie]],[1]!ESPECIES[#Data],9,FALSE)</f>
        <v/>
      </c>
    </row>
    <row r="5648">
      <c r="A5648" s="4" t="n">
        <v>10079</v>
      </c>
      <c r="B5648" s="5" t="n">
        <v>44643</v>
      </c>
      <c r="C5648" s="13" t="inlineStr">
        <is>
          <t>CPR</t>
        </is>
      </c>
      <c r="D5648" s="13" t="n">
        <v>42</v>
      </c>
      <c r="E5648" s="10">
        <f>IF(D5648&gt;0,VLOOKUP(OPERAC[[#This Row],[COD CART]],[1]!MatrizCortoLargoCyl[#All],3,0),"")</f>
        <v/>
      </c>
      <c r="F5648" s="13" t="inlineStr">
        <is>
          <t>FB</t>
        </is>
      </c>
      <c r="G5648" s="6" t="n">
        <v>11</v>
      </c>
      <c r="H5648" s="6" t="n">
        <v>-2377.35586</v>
      </c>
      <c r="I5648" s="7">
        <f>-H5648/G5648</f>
        <v/>
      </c>
      <c r="J5648" s="11" t="n">
        <v>44671</v>
      </c>
      <c r="K5648" s="6">
        <f>+OPERAC[[#This Row],[cantidad]]</f>
        <v/>
      </c>
      <c r="L5648" s="6">
        <f>+OPERAC[[#This Row],[cantidad venta]]*213.173</f>
        <v/>
      </c>
      <c r="M5648" s="7">
        <f>IF(N5648=0,+L5648+H5648,0)</f>
        <v/>
      </c>
      <c r="N5648" s="7">
        <f>IF((+G5648-K5648)=0,0,+G5648-K5648)</f>
        <v/>
      </c>
      <c r="O5648" s="7">
        <f>IF(N5648=0,0,(L5648+H5648)/-N5648)</f>
        <v/>
      </c>
      <c r="P5648" s="7">
        <f>VLOOKUP(OPERAC[[#This Row],[especie]],[1]!ESPECIES[#All],6,0)</f>
        <v/>
      </c>
      <c r="Q5648" s="7">
        <f>IF(N5648&lt;&gt;0,P5648*N5648,0)</f>
        <v/>
      </c>
      <c r="R5648" s="8">
        <f>IF(Q5648&lt;&gt;0,Q5648+H5648+L5648,0)</f>
        <v/>
      </c>
      <c r="S5648" s="9">
        <f>VLOOKUP(OPERAC[[#This Row],[especie]],[1]!ESPECIES[#Data],9,FALSE)</f>
        <v/>
      </c>
    </row>
    <row r="5649">
      <c r="A5649" s="4" t="n">
        <v>12022</v>
      </c>
      <c r="B5649" s="5" t="n">
        <v>44641</v>
      </c>
      <c r="C5649" s="13" t="inlineStr">
        <is>
          <t>CPR</t>
        </is>
      </c>
      <c r="D5649" s="13" t="n">
        <v>32</v>
      </c>
      <c r="E5649" s="10">
        <f>IF(D5649&gt;0,VLOOKUP(OPERAC[[#This Row],[COD CART]],[1]!MatrizCortoLargoCyl[#All],3,0),"")</f>
        <v/>
      </c>
      <c r="F5649" s="13" t="inlineStr">
        <is>
          <t>HMY</t>
        </is>
      </c>
      <c r="G5649" s="6" t="n">
        <v>500</v>
      </c>
      <c r="H5649" s="6" t="n">
        <v>-2379.5195</v>
      </c>
      <c r="I5649" s="7">
        <f>-H5649/G5649</f>
        <v/>
      </c>
      <c r="J5649" s="11" t="n">
        <v>44669</v>
      </c>
      <c r="K5649" s="6">
        <f>+OPERAC[[#This Row],[cantidad]]</f>
        <v/>
      </c>
      <c r="L5649" s="6">
        <f>4.925*OPERAC[[#This Row],[cantidad venta]]</f>
        <v/>
      </c>
      <c r="M5649" s="7">
        <f>IF(N5649=0,+L5649+H5649,0)</f>
        <v/>
      </c>
      <c r="N5649" s="7">
        <f>IF((+G5649-K5649)=0,0,+G5649-K5649)</f>
        <v/>
      </c>
      <c r="O5649" s="7">
        <f>IF(N5649=0,0,(L5649+H5649)/-N5649)</f>
        <v/>
      </c>
      <c r="P5649" s="7">
        <f>VLOOKUP(OPERAC[[#This Row],[especie]],[1]!ESPECIES[#All],6,0)</f>
        <v/>
      </c>
      <c r="Q5649" s="7">
        <f>IF(N5649&lt;&gt;0,P5649*N5649,0)</f>
        <v/>
      </c>
      <c r="R5649" s="8">
        <f>IF(Q5649&lt;&gt;0,Q5649+H5649+L5649,0)</f>
        <v/>
      </c>
      <c r="S5649" s="9">
        <f>VLOOKUP(OPERAC[[#This Row],[especie]],[1]!ESPECIES[#Data],9,FALSE)</f>
        <v/>
      </c>
    </row>
    <row r="5650">
      <c r="A5650" s="4" t="n">
        <v>2203</v>
      </c>
      <c r="B5650" s="5" t="n">
        <v>44599</v>
      </c>
      <c r="C5650" s="13" t="inlineStr">
        <is>
          <t>CPR</t>
        </is>
      </c>
      <c r="D5650" s="13" t="n">
        <v>40</v>
      </c>
      <c r="E5650" s="10">
        <f>IF(D5650&gt;0,VLOOKUP(OPERAC[[#This Row],[COD CART]],[1]!MatrizCortoLargoCyl[#All],3,0),"")</f>
        <v/>
      </c>
      <c r="F5650" s="13" t="inlineStr">
        <is>
          <t>FB</t>
        </is>
      </c>
      <c r="G5650" s="6" t="n">
        <v>10</v>
      </c>
      <c r="H5650" s="6" t="n">
        <v>-2384.6</v>
      </c>
      <c r="I5650" s="7">
        <f>-H5650/G5650</f>
        <v/>
      </c>
      <c r="J5650" s="11" t="n">
        <v>44602</v>
      </c>
      <c r="K5650" s="6" t="n">
        <v>10</v>
      </c>
      <c r="L5650" s="6">
        <f>232*10</f>
        <v/>
      </c>
      <c r="M5650" s="7">
        <f>IF(N5650=0,+L5650+H5650,0)</f>
        <v/>
      </c>
      <c r="N5650" s="7">
        <f>IF((+G5650-K5650)=0,0,+G5650-K5650)</f>
        <v/>
      </c>
      <c r="O5650" s="7">
        <f>IF(N5650=0,0,(L5650+H5650)/-N5650)</f>
        <v/>
      </c>
      <c r="P5650" s="7">
        <f>VLOOKUP(OPERAC[[#This Row],[especie]],[1]!ESPECIES[#All],6,0)</f>
        <v/>
      </c>
      <c r="Q5650" s="7">
        <f>IF(N5650&lt;&gt;0,P5650*N5650,0)</f>
        <v/>
      </c>
      <c r="R5650" s="8">
        <f>IF(Q5650&lt;&gt;0,Q5650+H5650+L5650,0)</f>
        <v/>
      </c>
      <c r="S5650" s="9">
        <f>VLOOKUP(OPERAC[[#This Row],[especie]],[1]!ESPECIES[#Data],9,FALSE)</f>
        <v/>
      </c>
    </row>
    <row r="5651">
      <c r="A5651" s="4" t="n">
        <v>6578</v>
      </c>
      <c r="B5651" s="5" t="n">
        <v>44599</v>
      </c>
      <c r="C5651" s="13" t="inlineStr">
        <is>
          <t>CPR</t>
        </is>
      </c>
      <c r="D5651" s="13" t="n">
        <v>40</v>
      </c>
      <c r="E5651" s="10">
        <f>IF(D5651&gt;0,VLOOKUP(OPERAC[[#This Row],[COD CART]],[1]!MatrizCortoLargoCyl[#All],3,0),"")</f>
        <v/>
      </c>
      <c r="F5651" s="13" t="inlineStr">
        <is>
          <t>FB</t>
        </is>
      </c>
      <c r="G5651" s="6" t="n">
        <v>10</v>
      </c>
      <c r="H5651" s="6" t="n">
        <v>-2384.6</v>
      </c>
      <c r="I5651" s="7">
        <f>-H5651/G5651</f>
        <v/>
      </c>
      <c r="J5651" s="11" t="n">
        <v>44616</v>
      </c>
      <c r="K5651" s="6">
        <f>+OPERAC[[#This Row],[cantidad]]</f>
        <v/>
      </c>
      <c r="L5651" s="6">
        <f>200.299*OPERAC[[#This Row],[cantidad venta]]</f>
        <v/>
      </c>
      <c r="M5651" s="7">
        <f>IF(N5651=0,+L5651+H5651,0)</f>
        <v/>
      </c>
      <c r="N5651" s="7">
        <f>IF((+G5651-K5651)=0,0,+G5651-K5651)</f>
        <v/>
      </c>
      <c r="O5651" s="7">
        <f>IF(N5651=0,0,(L5651+H5651)/-N5651)</f>
        <v/>
      </c>
      <c r="P5651" s="7">
        <f>VLOOKUP(OPERAC[[#This Row],[especie]],[1]!ESPECIES[#All],6,0)</f>
        <v/>
      </c>
      <c r="Q5651" s="7">
        <f>IF(N5651&lt;&gt;0,P5651*N5651,0)</f>
        <v/>
      </c>
      <c r="R5651" s="8">
        <f>IF(Q5651&lt;&gt;0,Q5651+H5651+L5651,0)</f>
        <v/>
      </c>
      <c r="S5651" s="9">
        <f>VLOOKUP(OPERAC[[#This Row],[especie]],[1]!ESPECIES[#Data],9,FALSE)</f>
        <v/>
      </c>
    </row>
    <row r="5652">
      <c r="A5652" s="4" t="n">
        <v>10079</v>
      </c>
      <c r="B5652" s="5" t="n">
        <v>44599</v>
      </c>
      <c r="C5652" s="13" t="inlineStr">
        <is>
          <t>CPR</t>
        </is>
      </c>
      <c r="D5652" s="13" t="n">
        <v>40</v>
      </c>
      <c r="E5652" s="10">
        <f>IF(D5652&gt;0,VLOOKUP(OPERAC[[#This Row],[COD CART]],[1]!MatrizCortoLargoCyl[#All],3,0),"")</f>
        <v/>
      </c>
      <c r="F5652" s="13" t="inlineStr">
        <is>
          <t>FB</t>
        </is>
      </c>
      <c r="G5652" s="6" t="n">
        <v>10</v>
      </c>
      <c r="H5652" s="6" t="n">
        <v>-2384.6</v>
      </c>
      <c r="I5652" s="7">
        <f>-H5652/G5652</f>
        <v/>
      </c>
      <c r="J5652" s="11" t="n">
        <v>44616</v>
      </c>
      <c r="K5652" s="6">
        <f>+OPERAC[[#This Row],[cantidad]]</f>
        <v/>
      </c>
      <c r="L5652" s="6">
        <f>200.299*OPERAC[[#This Row],[cantidad venta]]</f>
        <v/>
      </c>
      <c r="M5652" s="7">
        <f>IF(N5652=0,+L5652+H5652,0)</f>
        <v/>
      </c>
      <c r="N5652" s="7">
        <f>IF((+G5652-K5652)=0,0,+G5652-K5652)</f>
        <v/>
      </c>
      <c r="O5652" s="7">
        <f>IF(N5652=0,0,(L5652+H5652)/-N5652)</f>
        <v/>
      </c>
      <c r="P5652" s="7">
        <f>VLOOKUP(OPERAC[[#This Row],[especie]],[1]!ESPECIES[#All],6,0)</f>
        <v/>
      </c>
      <c r="Q5652" s="7">
        <f>IF(N5652&lt;&gt;0,P5652*N5652,0)</f>
        <v/>
      </c>
      <c r="R5652" s="8">
        <f>IF(Q5652&lt;&gt;0,Q5652+H5652+L5652,0)</f>
        <v/>
      </c>
      <c r="S5652" s="9">
        <f>VLOOKUP(OPERAC[[#This Row],[especie]],[1]!ESPECIES[#Data],9,FALSE)</f>
        <v/>
      </c>
    </row>
    <row r="5653">
      <c r="A5653" s="4" t="n">
        <v>12627</v>
      </c>
      <c r="B5653" s="5" t="n">
        <v>44599</v>
      </c>
      <c r="C5653" s="13" t="inlineStr">
        <is>
          <t>CPR</t>
        </is>
      </c>
      <c r="D5653" s="13" t="n">
        <v>40</v>
      </c>
      <c r="E5653" s="10">
        <f>IF(D5653&gt;0,VLOOKUP(OPERAC[[#This Row],[COD CART]],[1]!MatrizCortoLargoCyl[#All],3,0),"")</f>
        <v/>
      </c>
      <c r="F5653" s="13" t="inlineStr">
        <is>
          <t>FB</t>
        </is>
      </c>
      <c r="G5653" s="6" t="n">
        <v>10</v>
      </c>
      <c r="H5653" s="6" t="n">
        <v>-2384.6</v>
      </c>
      <c r="I5653" s="7">
        <f>-H5653/G5653</f>
        <v/>
      </c>
      <c r="J5653" s="11" t="n">
        <v>44616</v>
      </c>
      <c r="K5653" s="6">
        <f>+OPERAC[[#This Row],[cantidad]]</f>
        <v/>
      </c>
      <c r="L5653" s="6">
        <f>200.299*OPERAC[[#This Row],[cantidad venta]]</f>
        <v/>
      </c>
      <c r="M5653" s="7">
        <f>IF(N5653=0,+L5653+H5653,0)</f>
        <v/>
      </c>
      <c r="N5653" s="7">
        <f>IF((+G5653-K5653)=0,0,+G5653-K5653)</f>
        <v/>
      </c>
      <c r="O5653" s="7">
        <f>IF(N5653=0,0,(L5653+H5653)/-N5653)</f>
        <v/>
      </c>
      <c r="P5653" s="7">
        <f>VLOOKUP(OPERAC[[#This Row],[especie]],[1]!ESPECIES[#All],6,0)</f>
        <v/>
      </c>
      <c r="Q5653" s="7">
        <f>IF(N5653&lt;&gt;0,P5653*N5653,0)</f>
        <v/>
      </c>
      <c r="R5653" s="8">
        <f>IF(Q5653&lt;&gt;0,Q5653+H5653+L5653,0)</f>
        <v/>
      </c>
      <c r="S5653" s="9">
        <f>VLOOKUP(OPERAC[[#This Row],[especie]],[1]!ESPECIES[#Data],9,FALSE)</f>
        <v/>
      </c>
    </row>
    <row r="5654">
      <c r="A5654" s="4" t="n">
        <v>16780</v>
      </c>
      <c r="B5654" s="5" t="n">
        <v>44599</v>
      </c>
      <c r="C5654" s="13" t="inlineStr">
        <is>
          <t>CPR</t>
        </is>
      </c>
      <c r="D5654" s="13" t="n">
        <v>40</v>
      </c>
      <c r="E5654" s="10">
        <f>IF(D5654&gt;0,VLOOKUP(OPERAC[[#This Row],[COD CART]],[1]!MatrizCortoLargoCyl[#All],3,0),"")</f>
        <v/>
      </c>
      <c r="F5654" s="13" t="inlineStr">
        <is>
          <t>FB</t>
        </is>
      </c>
      <c r="G5654" s="6" t="n">
        <v>10</v>
      </c>
      <c r="H5654" s="6" t="n">
        <v>-2384.6</v>
      </c>
      <c r="I5654" s="7">
        <f>-H5654/G5654</f>
        <v/>
      </c>
      <c r="J5654" s="11" t="n">
        <v>44616</v>
      </c>
      <c r="K5654" s="6">
        <f>+OPERAC[[#This Row],[cantidad]]</f>
        <v/>
      </c>
      <c r="L5654" s="6">
        <f>200.299*OPERAC[[#This Row],[cantidad venta]]</f>
        <v/>
      </c>
      <c r="M5654" s="7">
        <f>IF(N5654=0,+L5654+H5654,0)</f>
        <v/>
      </c>
      <c r="N5654" s="7">
        <f>IF((+G5654-K5654)=0,0,+G5654-K5654)</f>
        <v/>
      </c>
      <c r="O5654" s="7">
        <f>IF(N5654=0,0,(L5654+H5654)/-N5654)</f>
        <v/>
      </c>
      <c r="P5654" s="7">
        <f>VLOOKUP(OPERAC[[#This Row],[especie]],[1]!ESPECIES[#All],6,0)</f>
        <v/>
      </c>
      <c r="Q5654" s="7">
        <f>IF(N5654&lt;&gt;0,P5654*N5654,0)</f>
        <v/>
      </c>
      <c r="R5654" s="8">
        <f>IF(Q5654&lt;&gt;0,Q5654+H5654+L5654,0)</f>
        <v/>
      </c>
      <c r="S5654" s="9">
        <f>VLOOKUP(OPERAC[[#This Row],[especie]],[1]!ESPECIES[#Data],9,FALSE)</f>
        <v/>
      </c>
    </row>
    <row r="5655">
      <c r="A5655" s="4" t="n">
        <v>16783</v>
      </c>
      <c r="B5655" s="5" t="n">
        <v>44599</v>
      </c>
      <c r="C5655" s="13" t="inlineStr">
        <is>
          <t>CPR</t>
        </is>
      </c>
      <c r="D5655" s="13" t="n">
        <v>40</v>
      </c>
      <c r="E5655" s="10">
        <f>IF(D5655&gt;0,VLOOKUP(OPERAC[[#This Row],[COD CART]],[1]!MatrizCortoLargoCyl[#All],3,0),"")</f>
        <v/>
      </c>
      <c r="F5655" s="13" t="inlineStr">
        <is>
          <t>FB</t>
        </is>
      </c>
      <c r="G5655" s="6" t="n">
        <v>10</v>
      </c>
      <c r="H5655" s="6" t="n">
        <v>-2384.6</v>
      </c>
      <c r="I5655" s="7">
        <f>-H5655/G5655</f>
        <v/>
      </c>
      <c r="J5655" s="11" t="n">
        <v>44616</v>
      </c>
      <c r="K5655" s="6">
        <f>+OPERAC[[#This Row],[cantidad]]</f>
        <v/>
      </c>
      <c r="L5655" s="6">
        <f>200.299*OPERAC[[#This Row],[cantidad venta]]</f>
        <v/>
      </c>
      <c r="M5655" s="7">
        <f>IF(N5655=0,+L5655+H5655,0)</f>
        <v/>
      </c>
      <c r="N5655" s="7">
        <f>IF((+G5655-K5655)=0,0,+G5655-K5655)</f>
        <v/>
      </c>
      <c r="O5655" s="7">
        <f>IF(N5655=0,0,(L5655+H5655)/-N5655)</f>
        <v/>
      </c>
      <c r="P5655" s="7">
        <f>VLOOKUP(OPERAC[[#This Row],[especie]],[1]!ESPECIES[#All],6,0)</f>
        <v/>
      </c>
      <c r="Q5655" s="7">
        <f>IF(N5655&lt;&gt;0,P5655*N5655,0)</f>
        <v/>
      </c>
      <c r="R5655" s="8">
        <f>IF(Q5655&lt;&gt;0,Q5655+H5655+L5655,0)</f>
        <v/>
      </c>
      <c r="S5655" s="9">
        <f>VLOOKUP(OPERAC[[#This Row],[especie]],[1]!ESPECIES[#Data],9,FALSE)</f>
        <v/>
      </c>
    </row>
    <row r="5656">
      <c r="A5656" s="4" t="n">
        <v>18724</v>
      </c>
      <c r="B5656" s="5" t="n">
        <v>44599</v>
      </c>
      <c r="C5656" s="13" t="inlineStr">
        <is>
          <t>CPR</t>
        </is>
      </c>
      <c r="D5656" s="13" t="n">
        <v>40</v>
      </c>
      <c r="E5656" s="10">
        <f>IF(D5656&gt;0,VLOOKUP(OPERAC[[#This Row],[COD CART]],[1]!MatrizCortoLargoCyl[#All],3,0),"")</f>
        <v/>
      </c>
      <c r="F5656" s="13" t="inlineStr">
        <is>
          <t>FB</t>
        </is>
      </c>
      <c r="G5656" s="6" t="n">
        <v>10</v>
      </c>
      <c r="H5656" s="6" t="n">
        <v>-2384.6</v>
      </c>
      <c r="I5656" s="7">
        <f>-H5656/G5656</f>
        <v/>
      </c>
      <c r="J5656" s="11" t="n">
        <v>44616</v>
      </c>
      <c r="K5656" s="6">
        <f>+OPERAC[[#This Row],[cantidad]]</f>
        <v/>
      </c>
      <c r="L5656" s="6">
        <f>200.299*OPERAC[[#This Row],[cantidad venta]]</f>
        <v/>
      </c>
      <c r="M5656" s="7">
        <f>IF(N5656=0,+L5656+H5656,0)</f>
        <v/>
      </c>
      <c r="N5656" s="7">
        <f>IF((+G5656-K5656)=0,0,+G5656-K5656)</f>
        <v/>
      </c>
      <c r="O5656" s="7">
        <f>IF(N5656=0,0,(L5656+H5656)/-N5656)</f>
        <v/>
      </c>
      <c r="P5656" s="7">
        <f>VLOOKUP(OPERAC[[#This Row],[especie]],[1]!ESPECIES[#All],6,0)</f>
        <v/>
      </c>
      <c r="Q5656" s="7">
        <f>IF(N5656&lt;&gt;0,P5656*N5656,0)</f>
        <v/>
      </c>
      <c r="R5656" s="8">
        <f>IF(Q5656&lt;&gt;0,Q5656+H5656+L5656,0)</f>
        <v/>
      </c>
      <c r="S5656" s="9">
        <f>VLOOKUP(OPERAC[[#This Row],[especie]],[1]!ESPECIES[#Data],9,FALSE)</f>
        <v/>
      </c>
    </row>
    <row r="5657">
      <c r="A5657" s="4" t="n">
        <v>13246</v>
      </c>
      <c r="B5657" s="5" t="n">
        <v>44599</v>
      </c>
      <c r="C5657" s="13" t="inlineStr">
        <is>
          <t>CPR</t>
        </is>
      </c>
      <c r="D5657" s="13" t="n">
        <v>40</v>
      </c>
      <c r="E5657" s="10">
        <f>IF(D5657&gt;0,VLOOKUP(OPERAC[[#This Row],[COD CART]],[1]!MatrizCortoLargoCyl[#All],3,0),"")</f>
        <v/>
      </c>
      <c r="F5657" s="13" t="inlineStr">
        <is>
          <t>FB</t>
        </is>
      </c>
      <c r="G5657" s="6" t="n">
        <v>10</v>
      </c>
      <c r="H5657" s="6" t="n">
        <v>-2384.6</v>
      </c>
      <c r="I5657" s="7">
        <f>-H5657/G5657</f>
        <v/>
      </c>
      <c r="J5657" s="11" t="n">
        <v>44614</v>
      </c>
      <c r="K5657" s="6" t="n">
        <v>10</v>
      </c>
      <c r="L5657" s="6" t="n">
        <v>2050.019</v>
      </c>
      <c r="M5657" s="7">
        <f>IF(N5657=0,+L5657+H5657,0)</f>
        <v/>
      </c>
      <c r="N5657" s="7">
        <f>IF((+G5657-K5657)=0,0,+G5657-K5657)</f>
        <v/>
      </c>
      <c r="O5657" s="7">
        <f>IF(N5657=0,0,(L5657+H5657)/-N5657)</f>
        <v/>
      </c>
      <c r="P5657" s="7">
        <f>VLOOKUP(OPERAC[[#This Row],[especie]],[1]!ESPECIES[#All],6,0)</f>
        <v/>
      </c>
      <c r="Q5657" s="7">
        <f>IF(N5657&lt;&gt;0,P5657*N5657,0)</f>
        <v/>
      </c>
      <c r="R5657" s="8">
        <f>IF(Q5657&lt;&gt;0,Q5657+H5657+L5657,0)</f>
        <v/>
      </c>
      <c r="S5657" s="9">
        <f>VLOOKUP(OPERAC[[#This Row],[especie]],[1]!ESPECIES[#Data],9,FALSE)</f>
        <v/>
      </c>
    </row>
    <row r="5658">
      <c r="A5658" s="4" t="n">
        <v>2209</v>
      </c>
      <c r="B5658" s="5" t="n">
        <v>44148</v>
      </c>
      <c r="C5658" s="13" t="inlineStr">
        <is>
          <t>CPR</t>
        </is>
      </c>
      <c r="D5658" s="13" t="n">
        <v>41</v>
      </c>
      <c r="E5658" s="10">
        <f>IF(D5658&gt;0,VLOOKUP(OPERAC[[#This Row],[COD CART]],[1]!MatrizCortoLargoCyl[#All],3,0),"")</f>
        <v/>
      </c>
      <c r="F5658" s="13" t="inlineStr">
        <is>
          <t>SUPV</t>
        </is>
      </c>
      <c r="G5658" s="6" t="n">
        <v>1200</v>
      </c>
      <c r="H5658" s="6" t="n">
        <v>-2386.4928</v>
      </c>
      <c r="I5658" s="7">
        <f>-H5658/G5658</f>
        <v/>
      </c>
      <c r="J5658" s="11" t="n"/>
      <c r="K5658" s="6" t="n"/>
      <c r="L5658" s="6" t="n"/>
      <c r="M5658" s="7">
        <f>IF(N5658=0,+L5658+H5658,0)</f>
        <v/>
      </c>
      <c r="N5658" s="7">
        <f>IF((+G5658-K5658)=0,0,+G5658-K5658)</f>
        <v/>
      </c>
      <c r="O5658" s="7">
        <f>IF(N5658=0,0,(L5658+H5658)/-N5658)</f>
        <v/>
      </c>
      <c r="P5658" s="7">
        <f>VLOOKUP(OPERAC[[#This Row],[especie]],[1]!ESPECIES[#All],6,0)</f>
        <v/>
      </c>
      <c r="Q5658" s="7">
        <f>IF(N5658&lt;&gt;0,P5658*N5658,0)</f>
        <v/>
      </c>
      <c r="R5658" s="8">
        <f>IF(Q5658&lt;&gt;0,Q5658+H5658+L5658,0)</f>
        <v/>
      </c>
      <c r="S5658" s="9">
        <f>VLOOKUP(OPERAC[[#This Row],[especie]],[1]!ESPECIES[#Data],9,FALSE)</f>
        <v/>
      </c>
    </row>
    <row r="5659">
      <c r="A5659" s="4" t="n">
        <v>2218</v>
      </c>
      <c r="B5659" s="5" t="n">
        <v>44694</v>
      </c>
      <c r="C5659" s="13" t="inlineStr">
        <is>
          <t>CPR</t>
        </is>
      </c>
      <c r="D5659" s="13" t="n">
        <v>39</v>
      </c>
      <c r="E5659" s="10">
        <f>IF(D5659&gt;0,VLOOKUP(OPERAC[[#This Row],[COD CART]],[1]!MatrizCortoLargoCyl[#All],3,0),"")</f>
        <v/>
      </c>
      <c r="F5659" s="13" t="inlineStr">
        <is>
          <t>NTLA/C/65,00/15-07-22</t>
        </is>
      </c>
      <c r="G5659" s="6" t="n">
        <v>1000</v>
      </c>
      <c r="H5659" s="6" t="n">
        <v>-2402.4</v>
      </c>
      <c r="I5659" s="7">
        <f>-H5659/G5659</f>
        <v/>
      </c>
      <c r="J5659" s="11" t="n"/>
      <c r="K5659" s="6" t="n"/>
      <c r="L5659" s="6" t="n"/>
      <c r="M5659" s="7">
        <f>IF(N5659=0,+L5659+H5659,0)</f>
        <v/>
      </c>
      <c r="N5659" s="7">
        <f>IF((+G5659-K5659)=0,0,+G5659-K5659)</f>
        <v/>
      </c>
      <c r="O5659" s="7">
        <f>IF(N5659=0,0,(L5659+H5659)/-N5659)</f>
        <v/>
      </c>
      <c r="P5659" s="7">
        <f>VLOOKUP(OPERAC[[#This Row],[especie]],[1]!ESPECIES[#All],6,0)</f>
        <v/>
      </c>
      <c r="Q5659" s="7">
        <f>IF(N5659&lt;&gt;0,P5659*N5659,0)</f>
        <v/>
      </c>
      <c r="R5659" s="8">
        <f>IF(Q5659&lt;&gt;0,Q5659+H5659+L5659,0)</f>
        <v/>
      </c>
      <c r="S5659" s="9">
        <f>VLOOKUP(OPERAC[[#This Row],[especie]],[1]!ESPECIES[#Data],9,FALSE)</f>
        <v/>
      </c>
    </row>
    <row r="5660">
      <c r="A5660" s="4" t="n">
        <v>3728</v>
      </c>
      <c r="B5660" s="5" t="n">
        <v>44637</v>
      </c>
      <c r="C5660" s="13" t="inlineStr">
        <is>
          <t>CPR</t>
        </is>
      </c>
      <c r="D5660" s="13" t="n">
        <v>31</v>
      </c>
      <c r="E5660" s="10">
        <f>IF(D5660&gt;0,VLOOKUP(OPERAC[[#This Row],[COD CART]],[1]!MatrizCortoLargoCyl[#All],3,0),"")</f>
        <v/>
      </c>
      <c r="F5660" s="13" t="inlineStr">
        <is>
          <t>AAPL</t>
        </is>
      </c>
      <c r="G5660" s="6" t="n">
        <v>15</v>
      </c>
      <c r="H5660" s="6" t="n">
        <v>-2403.21982</v>
      </c>
      <c r="I5660" s="7">
        <f>-H5660/G5660</f>
        <v/>
      </c>
      <c r="J5660" s="11" t="n"/>
      <c r="K5660" s="6" t="n"/>
      <c r="L5660" s="6" t="n"/>
      <c r="M5660" s="7">
        <f>IF(N5660=0,+L5660+H5660,0)</f>
        <v/>
      </c>
      <c r="N5660" s="7">
        <f>IF((+G5660-K5660)=0,0,+G5660-K5660)</f>
        <v/>
      </c>
      <c r="O5660" s="7">
        <f>IF(N5660=0,0,(L5660+H5660)/-N5660)</f>
        <v/>
      </c>
      <c r="P5660" s="7">
        <f>VLOOKUP(OPERAC[[#This Row],[especie]],[1]!ESPECIES[#All],6,0)</f>
        <v/>
      </c>
      <c r="Q5660" s="7">
        <f>IF(N5660&lt;&gt;0,P5660*N5660,0)</f>
        <v/>
      </c>
      <c r="R5660" s="8">
        <f>IF(Q5660&lt;&gt;0,Q5660+H5660+L5660,0)</f>
        <v/>
      </c>
      <c r="S5660" s="9">
        <f>VLOOKUP(OPERAC[[#This Row],[especie]],[1]!ESPECIES[#Data],9,FALSE)</f>
        <v/>
      </c>
    </row>
    <row r="5661">
      <c r="A5661" s="4" t="n">
        <v>10079</v>
      </c>
      <c r="B5661" s="5" t="n">
        <v>44643</v>
      </c>
      <c r="C5661" s="13" t="inlineStr">
        <is>
          <t>CPR</t>
        </is>
      </c>
      <c r="D5661" s="13" t="n">
        <v>42</v>
      </c>
      <c r="E5661" s="10">
        <f>IF(D5661&gt;0,VLOOKUP(OPERAC[[#This Row],[COD CART]],[1]!MatrizCortoLargoCyl[#All],3,0),"")</f>
        <v/>
      </c>
      <c r="F5661" s="13" t="inlineStr">
        <is>
          <t>SMH</t>
        </is>
      </c>
      <c r="G5661" s="6" t="n">
        <v>9</v>
      </c>
      <c r="H5661" s="6" t="n">
        <v>-2404.466081999999</v>
      </c>
      <c r="I5661" s="7">
        <f>-H5661/G5661</f>
        <v/>
      </c>
      <c r="J5661" s="11" t="n">
        <v>44663</v>
      </c>
      <c r="K5661" s="6">
        <f>+OPERAC[[#This Row],[cantidad]]</f>
        <v/>
      </c>
      <c r="L5661" s="6">
        <f>+OPERAC[[#This Row],[cantidad venta]]*238.066</f>
        <v/>
      </c>
      <c r="M5661" s="7">
        <f>IF(N5661=0,+L5661+H5661,0)</f>
        <v/>
      </c>
      <c r="N5661" s="7">
        <f>IF((+G5661-K5661)=0,0,+G5661-K5661)</f>
        <v/>
      </c>
      <c r="O5661" s="7">
        <f>IF(N5661=0,0,(L5661+H5661)/-N5661)</f>
        <v/>
      </c>
      <c r="P5661" s="7">
        <f>VLOOKUP(OPERAC[[#This Row],[especie]],[1]!ESPECIES[#All],6,0)</f>
        <v/>
      </c>
      <c r="Q5661" s="7">
        <f>IF(N5661&lt;&gt;0,P5661*N5661,0)</f>
        <v/>
      </c>
      <c r="R5661" s="8">
        <f>IF(Q5661&lt;&gt;0,Q5661+H5661+L5661,0)</f>
        <v/>
      </c>
      <c r="S5661" s="9">
        <f>VLOOKUP(OPERAC[[#This Row],[especie]],[1]!ESPECIES[#Data],9,FALSE)</f>
        <v/>
      </c>
    </row>
    <row r="5662">
      <c r="A5662" s="4" t="n">
        <v>16783</v>
      </c>
      <c r="B5662" s="5" t="n">
        <v>44586</v>
      </c>
      <c r="C5662" s="13" t="inlineStr">
        <is>
          <t>CPR</t>
        </is>
      </c>
      <c r="D5662" s="13" t="n">
        <v>43</v>
      </c>
      <c r="E5662" s="10">
        <f>IF(D5662&gt;0,VLOOKUP(OPERAC[[#This Row],[COD CART]],[1]!MatrizCortoLargoCyl[#All],3,0),"")</f>
        <v/>
      </c>
      <c r="F5662" s="13" t="inlineStr">
        <is>
          <t>GMBL/CYL-PUT/2,50/20-01-23</t>
        </is>
      </c>
      <c r="G5662" s="6" t="n">
        <v>2500</v>
      </c>
      <c r="H5662" s="6" t="n">
        <v>-2407.1123</v>
      </c>
      <c r="I5662" s="7">
        <f>-H5662/G5662</f>
        <v/>
      </c>
      <c r="J5662" s="11" t="n"/>
      <c r="K5662" s="6" t="n"/>
      <c r="L5662" s="6" t="n"/>
      <c r="M5662" s="7">
        <f>IF(N5662=0,+L5662+H5662,0)</f>
        <v/>
      </c>
      <c r="N5662" s="7">
        <f>IF((+G5662-K5662)=0,0,+G5662-K5662)</f>
        <v/>
      </c>
      <c r="O5662" s="7">
        <f>IF(N5662=0,0,(L5662+H5662)/-N5662)</f>
        <v/>
      </c>
      <c r="P5662" s="7">
        <f>VLOOKUP(OPERAC[[#This Row],[especie]],[1]!ESPECIES[#All],6,0)</f>
        <v/>
      </c>
      <c r="Q5662" s="7">
        <f>IF(N5662&lt;&gt;0,P5662*N5662,0)</f>
        <v/>
      </c>
      <c r="R5662" s="8">
        <f>IF(Q5662&lt;&gt;0,Q5662+H5662+L5662,0)</f>
        <v/>
      </c>
      <c r="S5662" s="9">
        <f>VLOOKUP(OPERAC[[#This Row],[especie]],[1]!ESPECIES[#Data],9,FALSE)</f>
        <v/>
      </c>
    </row>
    <row r="5663">
      <c r="A5663" s="4" t="n">
        <v>2194</v>
      </c>
      <c r="B5663" s="5" t="n">
        <v>44652</v>
      </c>
      <c r="C5663" s="13" t="inlineStr">
        <is>
          <t>CPR</t>
        </is>
      </c>
      <c r="D5663" s="13" t="n">
        <v>42</v>
      </c>
      <c r="E5663" s="10">
        <f>IF(D5663&gt;0,VLOOKUP(OPERAC[[#This Row],[COD CART]],[1]!MatrizCortoLargoCyl[#All],3,0),"")</f>
        <v/>
      </c>
      <c r="F5663" s="13" t="inlineStr">
        <is>
          <t>GBTC</t>
        </is>
      </c>
      <c r="G5663" s="6" t="n">
        <v>75</v>
      </c>
      <c r="H5663" s="6" t="n">
        <v>-2408.235</v>
      </c>
      <c r="I5663" s="7">
        <f>-H5663/G5663</f>
        <v/>
      </c>
      <c r="J5663" s="11" t="n">
        <v>44662</v>
      </c>
      <c r="K5663" s="6">
        <f>+OPERAC[[#This Row],[cantidad]]</f>
        <v/>
      </c>
      <c r="L5663" s="6">
        <f>27.99*OPERAC[[#This Row],[cantidad venta]]</f>
        <v/>
      </c>
      <c r="M5663" s="7">
        <f>IF(N5663=0,+L5663+H5663,0)</f>
        <v/>
      </c>
      <c r="N5663" s="7">
        <f>IF((+G5663-K5663)=0,0,+G5663-K5663)</f>
        <v/>
      </c>
      <c r="O5663" s="7">
        <f>IF(N5663=0,0,(L5663+H5663)/-N5663)</f>
        <v/>
      </c>
      <c r="P5663" s="7">
        <f>VLOOKUP(OPERAC[[#This Row],[especie]],[1]!ESPECIES[#All],6,0)</f>
        <v/>
      </c>
      <c r="Q5663" s="7">
        <f>IF(N5663&lt;&gt;0,P5663*N5663,0)</f>
        <v/>
      </c>
      <c r="R5663" s="8">
        <f>IF(Q5663&lt;&gt;0,Q5663+H5663+L5663,0)</f>
        <v/>
      </c>
      <c r="S5663" s="9">
        <f>VLOOKUP(OPERAC[[#This Row],[especie]],[1]!ESPECIES[#Data],9,FALSE)</f>
        <v/>
      </c>
    </row>
    <row r="5664">
      <c r="A5664" s="4" t="n">
        <v>13246</v>
      </c>
      <c r="B5664" s="5" t="n">
        <v>44533</v>
      </c>
      <c r="C5664" s="13" t="inlineStr">
        <is>
          <t>CPR</t>
        </is>
      </c>
      <c r="D5664" s="13" t="n">
        <v>32</v>
      </c>
      <c r="E5664" s="10">
        <f>IF(D5664&gt;0,VLOOKUP(OPERAC[[#This Row],[COD CART]],[1]!MatrizCortoLargoCyl[#All],3,0),"")</f>
        <v/>
      </c>
      <c r="F5664" s="13" t="inlineStr">
        <is>
          <t>TLRY/CYL/10,00/21-01-22</t>
        </is>
      </c>
      <c r="G5664" s="6" t="n">
        <v>300</v>
      </c>
      <c r="H5664" s="6">
        <f>-8.04*OPERAC[[#This Row],[cantidad]]</f>
        <v/>
      </c>
      <c r="I5664" s="7">
        <f>-H5664/G5664</f>
        <v/>
      </c>
      <c r="J5664" s="11" t="n">
        <v>44572</v>
      </c>
      <c r="K5664" s="6" t="n">
        <v>300</v>
      </c>
      <c r="L5664" s="6" t="n">
        <v>2213.49</v>
      </c>
      <c r="M5664" s="7">
        <f>IF(N5664=0,+L5664+H5664,0)</f>
        <v/>
      </c>
      <c r="N5664" s="7">
        <f>IF((+G5664-K5664)=0,0,+G5664-K5664)</f>
        <v/>
      </c>
      <c r="O5664" s="7">
        <f>IF(N5664=0,0,(L5664+H5664)/-N5664)</f>
        <v/>
      </c>
      <c r="P5664" s="7">
        <f>VLOOKUP(OPERAC[[#This Row],[especie]],[1]!ESPECIES[#All],6,0)</f>
        <v/>
      </c>
      <c r="Q5664" s="7">
        <f>IF(N5664&lt;&gt;0,P5664*N5664,0)</f>
        <v/>
      </c>
      <c r="R5664" s="8">
        <f>IF(Q5664&lt;&gt;0,Q5664+H5664+L5664,0)</f>
        <v/>
      </c>
      <c r="S5664" s="9">
        <f>VLOOKUP(OPERAC[[#This Row],[especie]],[1]!ESPECIES[#Data],9,FALSE)</f>
        <v/>
      </c>
    </row>
    <row r="5665">
      <c r="A5665" s="4" t="n">
        <v>13180</v>
      </c>
      <c r="B5665" s="5" t="n">
        <v>44712</v>
      </c>
      <c r="C5665" s="13" t="inlineStr">
        <is>
          <t>CPR</t>
        </is>
      </c>
      <c r="D5665" s="13" t="n">
        <v>41</v>
      </c>
      <c r="E5665" s="10">
        <f>IF(D5665&gt;0,VLOOKUP(OPERAC[[#This Row],[COD CART]],[1]!MatrizCortoLargoCyl[#All],3,0),"")</f>
        <v/>
      </c>
      <c r="F5665" s="13" t="inlineStr">
        <is>
          <t>APA</t>
        </is>
      </c>
      <c r="G5665" s="6" t="n">
        <v>50</v>
      </c>
      <c r="H5665" s="6" t="n">
        <v>-2417.778</v>
      </c>
      <c r="I5665" s="7">
        <f>-H5665/G5665</f>
        <v/>
      </c>
      <c r="J5665" s="5" t="n"/>
      <c r="K5665" s="6" t="n"/>
      <c r="L5665" s="6" t="n"/>
      <c r="M5665" s="7">
        <f>IF(N5665=0,+L5665+H5665,0)</f>
        <v/>
      </c>
      <c r="N5665" s="7">
        <f>IF((+G5665-K5665)=0,0,+G5665-K5665)</f>
        <v/>
      </c>
      <c r="O5665" s="7">
        <f>IF(N5665=0,0,(L5665+H5665)/-N5665)</f>
        <v/>
      </c>
      <c r="P5665" s="7">
        <f>VLOOKUP(OPERAC[[#This Row],[especie]],[1]!ESPECIES[#All],6,0)</f>
        <v/>
      </c>
      <c r="Q5665" s="7">
        <f>IF(N5665&lt;&gt;0,P5665*N5665,0)</f>
        <v/>
      </c>
      <c r="R5665" s="8">
        <f>IF(Q5665&lt;&gt;0,Q5665+H5665+L5665,0)</f>
        <v/>
      </c>
      <c r="S5665" s="9">
        <f>VLOOKUP(OPERAC[[#This Row],[especie]],[1]!ESPECIES[#Data],9,FALSE)</f>
        <v/>
      </c>
    </row>
    <row r="5666">
      <c r="A5666" s="4" t="n">
        <v>1760</v>
      </c>
      <c r="B5666" s="5" t="n">
        <v>44378</v>
      </c>
      <c r="C5666" s="13" t="inlineStr">
        <is>
          <t>CPR</t>
        </is>
      </c>
      <c r="D5666" s="13" t="n">
        <v>43</v>
      </c>
      <c r="E5666" s="10">
        <f>IF(D5666&gt;0,VLOOKUP(OPERAC[[#This Row],[COD CART]],[1]!MatrizCortoLargoCyl[#All],3,0),"")</f>
        <v/>
      </c>
      <c r="F5666" s="13" t="inlineStr">
        <is>
          <t>INO/CYL-PUT/7,00/21-01-22</t>
        </is>
      </c>
      <c r="G5666" s="6" t="n">
        <v>500</v>
      </c>
      <c r="H5666" s="6">
        <f>-7.87*OPERAC[[#This Row],[cantidad]]+77.01+494.58+940.97</f>
        <v/>
      </c>
      <c r="I5666" s="7">
        <f>-H5666/G5666</f>
        <v/>
      </c>
      <c r="J5666" s="11" t="n">
        <v>44581</v>
      </c>
      <c r="K5666" s="6" t="n">
        <v>500</v>
      </c>
      <c r="L5666" s="6" t="n">
        <v>628.797</v>
      </c>
      <c r="M5666" s="7">
        <f>IF(N5666=0,+L5666+H5666,0)</f>
        <v/>
      </c>
      <c r="N5666" s="7">
        <f>IF((+G5666-K5666)=0,0,+G5666-K5666)</f>
        <v/>
      </c>
      <c r="O5666" s="7">
        <f>IF(N5666=0,0,(L5666+H5666)/-N5666)</f>
        <v/>
      </c>
      <c r="P5666" s="7">
        <f>VLOOKUP(OPERAC[[#This Row],[especie]],[1]!ESPECIES[#All],6,0)</f>
        <v/>
      </c>
      <c r="Q5666" s="7">
        <f>IF(N5666&lt;&gt;0,P5666*N5666,0)</f>
        <v/>
      </c>
      <c r="R5666" s="8">
        <f>IF(Q5666&lt;&gt;0,Q5666+H5666+L5666,0)</f>
        <v/>
      </c>
      <c r="S5666" s="9">
        <f>VLOOKUP(OPERAC[[#This Row],[especie]],[1]!ESPECIES[#Data],9,FALSE)</f>
        <v/>
      </c>
    </row>
    <row r="5667">
      <c r="A5667" s="4" t="n">
        <v>3787</v>
      </c>
      <c r="B5667" s="5" t="n">
        <v>44587</v>
      </c>
      <c r="C5667" s="13" t="inlineStr">
        <is>
          <t>CPR</t>
        </is>
      </c>
      <c r="D5667" s="13" t="n">
        <v>40</v>
      </c>
      <c r="E5667" s="10">
        <f>IF(D5667&gt;0,VLOOKUP(OPERAC[[#This Row],[COD CART]],[1]!MatrizCortoLargoCyl[#All],3,0),"")</f>
        <v/>
      </c>
      <c r="F5667" s="13" t="inlineStr">
        <is>
          <t>MSFT</t>
        </is>
      </c>
      <c r="G5667" s="6" t="n">
        <v>8</v>
      </c>
      <c r="H5667" s="6" t="n">
        <v>-2427.29008</v>
      </c>
      <c r="I5667" s="7">
        <f>-H5667/G5667</f>
        <v/>
      </c>
      <c r="J5667" s="11" t="n">
        <v>44606</v>
      </c>
      <c r="K5667" s="6">
        <f>+OPERAC[[#This Row],[cantidad]]</f>
        <v/>
      </c>
      <c r="L5667" s="6">
        <f>+OPERAC[[#This Row],[cantidad venta]]*290.091</f>
        <v/>
      </c>
      <c r="M5667" s="7">
        <f>IF(N5667=0,+L5667+H5667,0)</f>
        <v/>
      </c>
      <c r="N5667" s="7">
        <f>IF((+G5667-K5667)=0,0,+G5667-K5667)</f>
        <v/>
      </c>
      <c r="O5667" s="7">
        <f>IF(N5667=0,0,(L5667+H5667)/-N5667)</f>
        <v/>
      </c>
      <c r="P5667" s="7">
        <f>VLOOKUP(OPERAC[[#This Row],[especie]],[1]!ESPECIES[#All],6,0)</f>
        <v/>
      </c>
      <c r="Q5667" s="7">
        <f>IF(N5667&lt;&gt;0,P5667*N5667,0)</f>
        <v/>
      </c>
      <c r="R5667" s="8">
        <f>IF(Q5667&lt;&gt;0,Q5667+H5667+L5667,0)</f>
        <v/>
      </c>
      <c r="S5667" s="9">
        <f>VLOOKUP(OPERAC[[#This Row],[especie]],[1]!ESPECIES[#Data],9,FALSE)</f>
        <v/>
      </c>
    </row>
    <row r="5668">
      <c r="A5668" s="4" t="n">
        <v>18690</v>
      </c>
      <c r="B5668" s="5" t="n">
        <v>44587</v>
      </c>
      <c r="C5668" s="13" t="inlineStr">
        <is>
          <t>CPR</t>
        </is>
      </c>
      <c r="D5668" s="13" t="n">
        <v>40</v>
      </c>
      <c r="E5668" s="10">
        <f>IF(D5668&gt;0,VLOOKUP(OPERAC[[#This Row],[COD CART]],[1]!MatrizCortoLargoCyl[#All],3,0),"")</f>
        <v/>
      </c>
      <c r="F5668" s="13" t="inlineStr">
        <is>
          <t>MSFT</t>
        </is>
      </c>
      <c r="G5668" s="6" t="n">
        <v>8</v>
      </c>
      <c r="H5668" s="6" t="n">
        <v>-2427.29008</v>
      </c>
      <c r="I5668" s="7">
        <f>-H5668/G5668</f>
        <v/>
      </c>
      <c r="J5668" s="11" t="n">
        <v>44606</v>
      </c>
      <c r="K5668" s="6">
        <f>+OPERAC[[#This Row],[cantidad]]</f>
        <v/>
      </c>
      <c r="L5668" s="6">
        <f>+OPERAC[[#This Row],[cantidad venta]]*290.091</f>
        <v/>
      </c>
      <c r="M5668" s="7">
        <f>IF(N5668=0,+L5668+H5668,0)</f>
        <v/>
      </c>
      <c r="N5668" s="7">
        <f>IF((+G5668-K5668)=0,0,+G5668-K5668)</f>
        <v/>
      </c>
      <c r="O5668" s="7">
        <f>IF(N5668=0,0,(L5668+H5668)/-N5668)</f>
        <v/>
      </c>
      <c r="P5668" s="7">
        <f>VLOOKUP(OPERAC[[#This Row],[especie]],[1]!ESPECIES[#All],6,0)</f>
        <v/>
      </c>
      <c r="Q5668" s="7">
        <f>IF(N5668&lt;&gt;0,P5668*N5668,0)</f>
        <v/>
      </c>
      <c r="R5668" s="8">
        <f>IF(Q5668&lt;&gt;0,Q5668+H5668+L5668,0)</f>
        <v/>
      </c>
      <c r="S5668" s="9">
        <f>VLOOKUP(OPERAC[[#This Row],[especie]],[1]!ESPECIES[#Data],9,FALSE)</f>
        <v/>
      </c>
    </row>
    <row r="5669">
      <c r="A5669" s="4" t="n">
        <v>3728</v>
      </c>
      <c r="B5669" s="5" t="n">
        <v>44662</v>
      </c>
      <c r="C5669" s="13" t="inlineStr">
        <is>
          <t>CPR</t>
        </is>
      </c>
      <c r="D5669" s="13" t="n">
        <v>40</v>
      </c>
      <c r="E5669" s="10">
        <f>IF(D5669&gt;0,VLOOKUP(OPERAC[[#This Row],[COD CART]],[1]!MatrizCortoLargoCyl[#All],3,0),"")</f>
        <v/>
      </c>
      <c r="F5669" s="13" t="inlineStr">
        <is>
          <t>SMH</t>
        </is>
      </c>
      <c r="G5669" s="6" t="n">
        <v>10</v>
      </c>
      <c r="H5669" s="6" t="n">
        <v>-2433.1297</v>
      </c>
      <c r="I5669" s="7">
        <f>-H5669/G5669</f>
        <v/>
      </c>
      <c r="J5669" s="11" t="n"/>
      <c r="K5669" s="6" t="n"/>
      <c r="L5669" s="6" t="n"/>
      <c r="M5669" s="7">
        <f>IF(N5669=0,+L5669+H5669,0)</f>
        <v/>
      </c>
      <c r="N5669" s="7">
        <f>IF((+G5669-K5669)=0,0,+G5669-K5669)</f>
        <v/>
      </c>
      <c r="O5669" s="7">
        <f>IF(N5669=0,0,(L5669+H5669)/-N5669)</f>
        <v/>
      </c>
      <c r="P5669" s="7">
        <f>VLOOKUP(OPERAC[[#This Row],[especie]],[1]!ESPECIES[#All],6,0)</f>
        <v/>
      </c>
      <c r="Q5669" s="7">
        <f>IF(N5669&lt;&gt;0,P5669*N5669,0)</f>
        <v/>
      </c>
      <c r="R5669" s="8">
        <f>IF(Q5669&lt;&gt;0,Q5669+H5669+L5669,0)</f>
        <v/>
      </c>
      <c r="S5669" s="9">
        <f>VLOOKUP(OPERAC[[#This Row],[especie]],[1]!ESPECIES[#Data],9,FALSE)</f>
        <v/>
      </c>
    </row>
    <row r="5670">
      <c r="A5670" s="4" t="n">
        <v>20339</v>
      </c>
      <c r="B5670" s="5" t="n">
        <v>44690</v>
      </c>
      <c r="C5670" s="13" t="inlineStr">
        <is>
          <t>CPR</t>
        </is>
      </c>
      <c r="D5670" s="13" t="n">
        <v>32</v>
      </c>
      <c r="E5670" s="10">
        <f>IF(D5670&gt;0,VLOOKUP(OPERAC[[#This Row],[COD CART]],[1]!MatrizCortoLargoCyl[#All],3,0),"")</f>
        <v/>
      </c>
      <c r="F5670" s="13" t="inlineStr">
        <is>
          <t>SFM</t>
        </is>
      </c>
      <c r="G5670" s="6" t="n">
        <v>100</v>
      </c>
      <c r="H5670" s="6" t="n">
        <v>-2449.535</v>
      </c>
      <c r="I5670" s="7">
        <f>-H5670/G5670</f>
        <v/>
      </c>
      <c r="J5670" s="11" t="n">
        <v>44707</v>
      </c>
      <c r="K5670" s="6" t="n">
        <v>100</v>
      </c>
      <c r="L5670" s="6" t="n">
        <v>2577.642</v>
      </c>
      <c r="M5670" s="7">
        <f>IF(N5670=0,+L5670+H5670,0)</f>
        <v/>
      </c>
      <c r="N5670" s="7">
        <f>IF((+G5670-K5670)=0,0,+G5670-K5670)</f>
        <v/>
      </c>
      <c r="O5670" s="7">
        <f>IF(N5670=0,0,(L5670+H5670)/-N5670)</f>
        <v/>
      </c>
      <c r="P5670" s="7">
        <f>VLOOKUP(OPERAC[[#This Row],[especie]],[1]!ESPECIES[#All],6,0)</f>
        <v/>
      </c>
      <c r="Q5670" s="7">
        <f>IF(N5670&lt;&gt;0,P5670*N5670,0)</f>
        <v/>
      </c>
      <c r="R5670" s="8">
        <f>IF(Q5670&lt;&gt;0,Q5670+H5670+L5670,0)</f>
        <v/>
      </c>
      <c r="S5670" s="9">
        <f>VLOOKUP(OPERAC[[#This Row],[especie]],[1]!ESPECIES[#Data],9,FALSE)</f>
        <v/>
      </c>
    </row>
    <row r="5671">
      <c r="A5671" s="4" t="n">
        <v>18651</v>
      </c>
      <c r="B5671" s="5" t="n">
        <v>44489</v>
      </c>
      <c r="C5671" s="13" t="inlineStr">
        <is>
          <t>CPR</t>
        </is>
      </c>
      <c r="D5671" s="13" t="n">
        <v>43</v>
      </c>
      <c r="E5671" s="10">
        <f>IF(D5671&gt;0,VLOOKUP(OPERAC[[#This Row],[COD CART]],[1]!MatrizCortoLargoCyl[#All],3,0),"")</f>
        <v/>
      </c>
      <c r="F5671" s="13" t="inlineStr">
        <is>
          <t>SESN/CYL-PUT/1,00/19-01-24</t>
        </is>
      </c>
      <c r="G5671" s="6" t="n">
        <v>13000</v>
      </c>
      <c r="H5671" s="6">
        <f>-0.1885*OPERAC[[#This Row],[cantidad]]</f>
        <v/>
      </c>
      <c r="I5671" s="7">
        <f>-H5671/G5671</f>
        <v/>
      </c>
      <c r="J5671" s="11" t="n">
        <v>44614</v>
      </c>
      <c r="K5671" s="6">
        <f>2000+2000</f>
        <v/>
      </c>
      <c r="L5671" s="6">
        <f>532.136+519.55</f>
        <v/>
      </c>
      <c r="M5671" s="7">
        <f>IF(N5671=0,+L5671+H5671,0)</f>
        <v/>
      </c>
      <c r="N5671" s="7">
        <f>IF((+G5671-K5671)=0,0,+G5671-K5671)</f>
        <v/>
      </c>
      <c r="O5671" s="7">
        <f>IF(N5671=0,0,(L5671+H5671)/-N5671)</f>
        <v/>
      </c>
      <c r="P5671" s="7">
        <f>VLOOKUP(OPERAC[[#This Row],[especie]],[1]!ESPECIES[#All],6,0)</f>
        <v/>
      </c>
      <c r="Q5671" s="7">
        <f>IF(N5671&lt;&gt;0,P5671*N5671,0)</f>
        <v/>
      </c>
      <c r="R5671" s="8">
        <f>IF(Q5671&lt;&gt;0,Q5671+H5671+L5671,0)</f>
        <v/>
      </c>
      <c r="S5671" s="9">
        <f>VLOOKUP(OPERAC[[#This Row],[especie]],[1]!ESPECIES[#Data],9,FALSE)</f>
        <v/>
      </c>
    </row>
    <row r="5672">
      <c r="A5672" s="4" t="n">
        <v>19932</v>
      </c>
      <c r="B5672" s="5" t="n">
        <v>44489</v>
      </c>
      <c r="C5672" s="13" t="inlineStr">
        <is>
          <t>CPR</t>
        </is>
      </c>
      <c r="D5672" s="13" t="n">
        <v>43</v>
      </c>
      <c r="E5672" s="10">
        <f>IF(D5672&gt;0,VLOOKUP(OPERAC[[#This Row],[COD CART]],[1]!MatrizCortoLargoCyl[#All],3,0),"")</f>
        <v/>
      </c>
      <c r="F5672" s="13" t="inlineStr">
        <is>
          <t>SESN/CYL-PUT/1,00/19-01-24</t>
        </is>
      </c>
      <c r="G5672" s="6" t="n">
        <v>13000</v>
      </c>
      <c r="H5672" s="6">
        <f>-0.1885*OPERAC[[#This Row],[cantidad]]</f>
        <v/>
      </c>
      <c r="I5672" s="7">
        <f>-H5672/G5672</f>
        <v/>
      </c>
      <c r="J5672" s="11" t="n">
        <v>44629</v>
      </c>
      <c r="K5672" s="6" t="n">
        <v>10000</v>
      </c>
      <c r="L5672" s="6">
        <f>6482.28-2031.71</f>
        <v/>
      </c>
      <c r="M5672" s="7">
        <f>IF(N5672=0,+L5672+H5672,0)</f>
        <v/>
      </c>
      <c r="N5672" s="7">
        <f>IF((+G5672-K5672)=0,0,+G5672-K5672)</f>
        <v/>
      </c>
      <c r="O5672" s="7">
        <f>IF(N5672=0,0,(L5672+H5672)/-N5672)</f>
        <v/>
      </c>
      <c r="P5672" s="7">
        <f>VLOOKUP(OPERAC[[#This Row],[especie]],[1]!ESPECIES[#All],6,0)</f>
        <v/>
      </c>
      <c r="Q5672" s="7">
        <f>IF(N5672&lt;&gt;0,P5672*N5672,0)</f>
        <v/>
      </c>
      <c r="R5672" s="8">
        <f>IF(Q5672&lt;&gt;0,Q5672+H5672+L5672,0)</f>
        <v/>
      </c>
      <c r="S5672" s="9">
        <f>VLOOKUP(OPERAC[[#This Row],[especie]],[1]!ESPECIES[#Data],9,FALSE)</f>
        <v/>
      </c>
    </row>
    <row r="5673">
      <c r="A5673" s="4" t="n">
        <v>3867</v>
      </c>
      <c r="B5673" s="5" t="n">
        <v>44641</v>
      </c>
      <c r="C5673" s="13" t="inlineStr">
        <is>
          <t>CPR</t>
        </is>
      </c>
      <c r="D5673" s="13" t="n">
        <v>32</v>
      </c>
      <c r="E5673" s="10">
        <f>IF(D5673&gt;0,VLOOKUP(OPERAC[[#This Row],[COD CART]],[1]!MatrizCortoLargoCyl[#All],3,0),"")</f>
        <v/>
      </c>
      <c r="F5673" s="13" t="inlineStr">
        <is>
          <t>LAC/CYL/25,00/14-04-22</t>
        </is>
      </c>
      <c r="G5673" s="6" t="n">
        <v>100</v>
      </c>
      <c r="H5673" s="6" t="n">
        <v>-2453.918</v>
      </c>
      <c r="I5673" s="7">
        <f>-H5673/G5673</f>
        <v/>
      </c>
      <c r="J5673" s="11" t="n">
        <v>44644</v>
      </c>
      <c r="K5673" s="6">
        <f>+OPERAC[[#This Row],[cantidad]]</f>
        <v/>
      </c>
      <c r="L5673" s="6" t="n">
        <v>2485.061</v>
      </c>
      <c r="M5673" s="7">
        <f>IF(N5673=0,+L5673+H5673,0)</f>
        <v/>
      </c>
      <c r="N5673" s="7">
        <f>IF((+G5673-K5673)=0,0,+G5673-K5673)</f>
        <v/>
      </c>
      <c r="O5673" s="7">
        <f>IF(N5673=0,0,(L5673+H5673)/-N5673)</f>
        <v/>
      </c>
      <c r="P5673" s="7">
        <f>VLOOKUP(OPERAC[[#This Row],[especie]],[1]!ESPECIES[#All],6,0)</f>
        <v/>
      </c>
      <c r="Q5673" s="7">
        <f>IF(N5673&lt;&gt;0,P5673*N5673,0)</f>
        <v/>
      </c>
      <c r="R5673" s="8">
        <f>IF(Q5673&lt;&gt;0,Q5673+H5673+L5673,0)</f>
        <v/>
      </c>
      <c r="S5673" s="9">
        <f>VLOOKUP(OPERAC[[#This Row],[especie]],[1]!ESPECIES[#Data],9,FALSE)</f>
        <v/>
      </c>
    </row>
    <row r="5674">
      <c r="A5674" s="4" t="n">
        <v>6578</v>
      </c>
      <c r="B5674" s="5" t="n">
        <v>44641</v>
      </c>
      <c r="C5674" s="13" t="inlineStr">
        <is>
          <t>CPR</t>
        </is>
      </c>
      <c r="D5674" s="13" t="n">
        <v>32</v>
      </c>
      <c r="E5674" s="10">
        <f>IF(D5674&gt;0,VLOOKUP(OPERAC[[#This Row],[COD CART]],[1]!MatrizCortoLargoCyl[#All],3,0),"")</f>
        <v/>
      </c>
      <c r="F5674" s="13" t="inlineStr">
        <is>
          <t>LAC/CYL/25,00/14-04-22</t>
        </is>
      </c>
      <c r="G5674" s="6" t="n">
        <v>100</v>
      </c>
      <c r="H5674" s="6" t="n">
        <v>-2453.918</v>
      </c>
      <c r="I5674" s="7">
        <f>-H5674/G5674</f>
        <v/>
      </c>
      <c r="J5674" s="11" t="n">
        <v>44644</v>
      </c>
      <c r="K5674" s="6">
        <f>+OPERAC[[#This Row],[cantidad]]</f>
        <v/>
      </c>
      <c r="L5674" s="6" t="n">
        <v>2485.061</v>
      </c>
      <c r="M5674" s="7">
        <f>IF(N5674=0,+L5674+H5674,0)</f>
        <v/>
      </c>
      <c r="N5674" s="7">
        <f>IF((+G5674-K5674)=0,0,+G5674-K5674)</f>
        <v/>
      </c>
      <c r="O5674" s="7">
        <f>IF(N5674=0,0,(L5674+H5674)/-N5674)</f>
        <v/>
      </c>
      <c r="P5674" s="7">
        <f>VLOOKUP(OPERAC[[#This Row],[especie]],[1]!ESPECIES[#All],6,0)</f>
        <v/>
      </c>
      <c r="Q5674" s="7">
        <f>IF(N5674&lt;&gt;0,P5674*N5674,0)</f>
        <v/>
      </c>
      <c r="R5674" s="8">
        <f>IF(Q5674&lt;&gt;0,Q5674+H5674+L5674,0)</f>
        <v/>
      </c>
      <c r="S5674" s="9">
        <f>VLOOKUP(OPERAC[[#This Row],[especie]],[1]!ESPECIES[#Data],9,FALSE)</f>
        <v/>
      </c>
    </row>
    <row r="5675">
      <c r="A5675" s="4" t="n">
        <v>6628</v>
      </c>
      <c r="B5675" s="5" t="n">
        <v>44641</v>
      </c>
      <c r="C5675" s="13" t="inlineStr">
        <is>
          <t>CPR</t>
        </is>
      </c>
      <c r="D5675" s="13" t="n">
        <v>32</v>
      </c>
      <c r="E5675" s="10">
        <f>IF(D5675&gt;0,VLOOKUP(OPERAC[[#This Row],[COD CART]],[1]!MatrizCortoLargoCyl[#All],3,0),"")</f>
        <v/>
      </c>
      <c r="F5675" s="13" t="inlineStr">
        <is>
          <t>LAC/CYL/25,00/14-04-22</t>
        </is>
      </c>
      <c r="G5675" s="6" t="n">
        <v>100</v>
      </c>
      <c r="H5675" s="6" t="n">
        <v>-2453.918</v>
      </c>
      <c r="I5675" s="7">
        <f>-H5675/G5675</f>
        <v/>
      </c>
      <c r="J5675" s="11" t="n">
        <v>44644</v>
      </c>
      <c r="K5675" s="6">
        <f>+OPERAC[[#This Row],[cantidad]]</f>
        <v/>
      </c>
      <c r="L5675" s="6" t="n">
        <v>2485.061</v>
      </c>
      <c r="M5675" s="7">
        <f>IF(N5675=0,+L5675+H5675,0)</f>
        <v/>
      </c>
      <c r="N5675" s="7">
        <f>IF((+G5675-K5675)=0,0,+G5675-K5675)</f>
        <v/>
      </c>
      <c r="O5675" s="7">
        <f>IF(N5675=0,0,(L5675+H5675)/-N5675)</f>
        <v/>
      </c>
      <c r="P5675" s="7">
        <f>VLOOKUP(OPERAC[[#This Row],[especie]],[1]!ESPECIES[#All],6,0)</f>
        <v/>
      </c>
      <c r="Q5675" s="7">
        <f>IF(N5675&lt;&gt;0,P5675*N5675,0)</f>
        <v/>
      </c>
      <c r="R5675" s="8">
        <f>IF(Q5675&lt;&gt;0,Q5675+H5675+L5675,0)</f>
        <v/>
      </c>
      <c r="S5675" s="9">
        <f>VLOOKUP(OPERAC[[#This Row],[especie]],[1]!ESPECIES[#Data],9,FALSE)</f>
        <v/>
      </c>
    </row>
    <row r="5676">
      <c r="A5676" s="4" t="n">
        <v>18724</v>
      </c>
      <c r="B5676" s="5" t="n">
        <v>44641</v>
      </c>
      <c r="C5676" s="13" t="inlineStr">
        <is>
          <t>CPR</t>
        </is>
      </c>
      <c r="D5676" s="13" t="n">
        <v>32</v>
      </c>
      <c r="E5676" s="10">
        <f>IF(D5676&gt;0,VLOOKUP(OPERAC[[#This Row],[COD CART]],[1]!MatrizCortoLargoCyl[#All],3,0),"")</f>
        <v/>
      </c>
      <c r="F5676" s="13" t="inlineStr">
        <is>
          <t>LAC/CYL/25,00/14-04-22</t>
        </is>
      </c>
      <c r="G5676" s="6" t="n">
        <v>100</v>
      </c>
      <c r="H5676" s="6" t="n">
        <v>-2453.918</v>
      </c>
      <c r="I5676" s="7">
        <f>-H5676/G5676</f>
        <v/>
      </c>
      <c r="J5676" s="11" t="n">
        <v>44644</v>
      </c>
      <c r="K5676" s="6">
        <f>+OPERAC[[#This Row],[cantidad]]</f>
        <v/>
      </c>
      <c r="L5676" s="6" t="n">
        <v>2485.061</v>
      </c>
      <c r="M5676" s="7">
        <f>IF(N5676=0,+L5676+H5676,0)</f>
        <v/>
      </c>
      <c r="N5676" s="7">
        <f>IF((+G5676-K5676)=0,0,+G5676-K5676)</f>
        <v/>
      </c>
      <c r="O5676" s="7">
        <f>IF(N5676=0,0,(L5676+H5676)/-N5676)</f>
        <v/>
      </c>
      <c r="P5676" s="7">
        <f>VLOOKUP(OPERAC[[#This Row],[especie]],[1]!ESPECIES[#All],6,0)</f>
        <v/>
      </c>
      <c r="Q5676" s="7">
        <f>IF(N5676&lt;&gt;0,P5676*N5676,0)</f>
        <v/>
      </c>
      <c r="R5676" s="8">
        <f>IF(Q5676&lt;&gt;0,Q5676+H5676+L5676,0)</f>
        <v/>
      </c>
      <c r="S5676" s="9">
        <f>VLOOKUP(OPERAC[[#This Row],[especie]],[1]!ESPECIES[#Data],9,FALSE)</f>
        <v/>
      </c>
    </row>
    <row r="5677">
      <c r="A5677" s="4" t="n">
        <v>13185</v>
      </c>
      <c r="B5677" s="5" t="n">
        <v>44587</v>
      </c>
      <c r="C5677" s="13" t="inlineStr">
        <is>
          <t>CPR</t>
        </is>
      </c>
      <c r="D5677" s="13" t="n">
        <v>40</v>
      </c>
      <c r="E5677" s="10">
        <f>IF(D5677&gt;0,VLOOKUP(OPERAC[[#This Row],[COD CART]],[1]!MatrizCortoLargoCyl[#All],3,0),"")</f>
        <v/>
      </c>
      <c r="F5677" s="13" t="inlineStr">
        <is>
          <t>AAPL</t>
        </is>
      </c>
      <c r="G5677" s="6" t="n">
        <v>15</v>
      </c>
      <c r="H5677" s="6" t="n">
        <v>-2460.8163</v>
      </c>
      <c r="I5677" s="7">
        <f>-H5677/G5677</f>
        <v/>
      </c>
      <c r="J5677" s="11" t="n">
        <v>44601</v>
      </c>
      <c r="K5677" s="6" t="n">
        <v>15</v>
      </c>
      <c r="L5677" s="6">
        <f>175.66*OPERAC[[#This Row],[cantidad venta]]</f>
        <v/>
      </c>
      <c r="M5677" s="7">
        <f>IF(N5677=0,+L5677+H5677,0)</f>
        <v/>
      </c>
      <c r="N5677" s="7">
        <f>IF((+G5677-K5677)=0,0,+G5677-K5677)</f>
        <v/>
      </c>
      <c r="O5677" s="7">
        <f>IF(N5677=0,0,(L5677+H5677)/-N5677)</f>
        <v/>
      </c>
      <c r="P5677" s="7">
        <f>VLOOKUP(OPERAC[[#This Row],[especie]],[1]!ESPECIES[#All],6,0)</f>
        <v/>
      </c>
      <c r="Q5677" s="7">
        <f>IF(N5677&lt;&gt;0,P5677*N5677,0)</f>
        <v/>
      </c>
      <c r="R5677" s="8">
        <f>IF(Q5677&lt;&gt;0,Q5677+H5677+L5677,0)</f>
        <v/>
      </c>
      <c r="S5677" s="9">
        <f>VLOOKUP(OPERAC[[#This Row],[especie]],[1]!ESPECIES[#Data],9,FALSE)</f>
        <v/>
      </c>
    </row>
    <row r="5678">
      <c r="A5678" s="4" t="n">
        <v>18690</v>
      </c>
      <c r="B5678" s="5" t="n">
        <v>44587</v>
      </c>
      <c r="C5678" s="13" t="inlineStr">
        <is>
          <t>CPR</t>
        </is>
      </c>
      <c r="D5678" s="13" t="n">
        <v>40</v>
      </c>
      <c r="E5678" s="10">
        <f>IF(D5678&gt;0,VLOOKUP(OPERAC[[#This Row],[COD CART]],[1]!MatrizCortoLargoCyl[#All],3,0),"")</f>
        <v/>
      </c>
      <c r="F5678" s="13" t="inlineStr">
        <is>
          <t>AAPL</t>
        </is>
      </c>
      <c r="G5678" s="6" t="n">
        <v>15</v>
      </c>
      <c r="H5678" s="6" t="n">
        <v>-2460.8163</v>
      </c>
      <c r="I5678" s="7">
        <f>-H5678/G5678</f>
        <v/>
      </c>
      <c r="J5678" s="11" t="n">
        <v>44601</v>
      </c>
      <c r="K5678" s="6" t="n">
        <v>15</v>
      </c>
      <c r="L5678" s="6">
        <f>175.66*OPERAC[[#This Row],[cantidad venta]]</f>
        <v/>
      </c>
      <c r="M5678" s="7">
        <f>IF(N5678=0,+L5678+H5678,0)</f>
        <v/>
      </c>
      <c r="N5678" s="7">
        <f>IF((+G5678-K5678)=0,0,+G5678-K5678)</f>
        <v/>
      </c>
      <c r="O5678" s="7">
        <f>IF(N5678=0,0,(L5678+H5678)/-N5678)</f>
        <v/>
      </c>
      <c r="P5678" s="7">
        <f>VLOOKUP(OPERAC[[#This Row],[especie]],[1]!ESPECIES[#All],6,0)</f>
        <v/>
      </c>
      <c r="Q5678" s="7">
        <f>IF(N5678&lt;&gt;0,P5678*N5678,0)</f>
        <v/>
      </c>
      <c r="R5678" s="8">
        <f>IF(Q5678&lt;&gt;0,Q5678+H5678+L5678,0)</f>
        <v/>
      </c>
      <c r="S5678" s="9">
        <f>VLOOKUP(OPERAC[[#This Row],[especie]],[1]!ESPECIES[#Data],9,FALSE)</f>
        <v/>
      </c>
    </row>
    <row r="5679">
      <c r="A5679" s="4" t="n">
        <v>10079</v>
      </c>
      <c r="B5679" s="5" t="n">
        <v>44712</v>
      </c>
      <c r="C5679" s="13" t="inlineStr">
        <is>
          <t>CPR</t>
        </is>
      </c>
      <c r="D5679" s="13" t="n">
        <v>32</v>
      </c>
      <c r="E5679" s="10">
        <f>IF(D5679&gt;0,VLOOKUP(OPERAC[[#This Row],[COD CART]],[1]!MatrizCortoLargoCyl[#All],3,0),"")</f>
        <v/>
      </c>
      <c r="F5679" s="13" t="inlineStr">
        <is>
          <t>AMC/CYL/13,00/10-06-22</t>
        </is>
      </c>
      <c r="G5679" s="6" t="n">
        <v>200</v>
      </c>
      <c r="H5679" s="6" t="n">
        <v>-2465.5</v>
      </c>
      <c r="I5679" s="7">
        <f>-H5679/G5679</f>
        <v/>
      </c>
      <c r="J5679" s="5" t="n">
        <v>44722</v>
      </c>
      <c r="K5679" s="6" t="n">
        <v>200</v>
      </c>
      <c r="L5679" s="6" t="n">
        <v>2468.57</v>
      </c>
      <c r="M5679" s="7">
        <f>IF(N5679=0,+L5679+H5679,0)</f>
        <v/>
      </c>
      <c r="N5679" s="7">
        <f>IF((+G5679-K5679)=0,0,+G5679-K5679)</f>
        <v/>
      </c>
      <c r="O5679" s="7">
        <f>IF(N5679=0,0,(L5679+H5679)/-N5679)</f>
        <v/>
      </c>
      <c r="P5679" s="7">
        <f>VLOOKUP(OPERAC[[#This Row],[especie]],[1]!ESPECIES[#All],6,0)</f>
        <v/>
      </c>
      <c r="Q5679" s="7">
        <f>IF(N5679&lt;&gt;0,P5679*N5679,0)</f>
        <v/>
      </c>
      <c r="R5679" s="8">
        <f>IF(Q5679&lt;&gt;0,Q5679+H5679+L5679,0)</f>
        <v/>
      </c>
      <c r="S5679" s="9">
        <f>VLOOKUP(OPERAC[[#This Row],[especie]],[1]!ESPECIES[#Data],9,FALSE)</f>
        <v/>
      </c>
    </row>
    <row r="5680">
      <c r="A5680" s="4" t="n">
        <v>18651</v>
      </c>
      <c r="B5680" s="5" t="n">
        <v>44712</v>
      </c>
      <c r="C5680" s="13" t="inlineStr">
        <is>
          <t>CPR</t>
        </is>
      </c>
      <c r="D5680" s="13" t="n">
        <v>32</v>
      </c>
      <c r="E5680" s="10">
        <f>IF(D5680&gt;0,VLOOKUP(OPERAC[[#This Row],[COD CART]],[1]!MatrizCortoLargoCyl[#All],3,0),"")</f>
        <v/>
      </c>
      <c r="F5680" s="13" t="inlineStr">
        <is>
          <t>AMC/CYL/13,00/10-06-22</t>
        </is>
      </c>
      <c r="G5680" s="6" t="n">
        <v>200</v>
      </c>
      <c r="H5680" s="6" t="n">
        <v>-2465.5</v>
      </c>
      <c r="I5680" s="7">
        <f>-H5680/G5680</f>
        <v/>
      </c>
      <c r="J5680" s="5" t="n">
        <v>44722</v>
      </c>
      <c r="K5680" s="6" t="n">
        <v>200</v>
      </c>
      <c r="L5680" s="6" t="n">
        <v>2468.57</v>
      </c>
      <c r="M5680" s="7">
        <f>IF(N5680=0,+L5680+H5680,0)</f>
        <v/>
      </c>
      <c r="N5680" s="7">
        <f>IF((+G5680-K5680)=0,0,+G5680-K5680)</f>
        <v/>
      </c>
      <c r="O5680" s="7">
        <f>IF(N5680=0,0,(L5680+H5680)/-N5680)</f>
        <v/>
      </c>
      <c r="P5680" s="7">
        <f>VLOOKUP(OPERAC[[#This Row],[especie]],[1]!ESPECIES[#All],6,0)</f>
        <v/>
      </c>
      <c r="Q5680" s="7">
        <f>IF(N5680&lt;&gt;0,P5680*N5680,0)</f>
        <v/>
      </c>
      <c r="R5680" s="8">
        <f>IF(Q5680&lt;&gt;0,Q5680+H5680+L5680,0)</f>
        <v/>
      </c>
      <c r="S5680" s="9">
        <f>VLOOKUP(OPERAC[[#This Row],[especie]],[1]!ESPECIES[#Data],9,FALSE)</f>
        <v/>
      </c>
    </row>
    <row r="5681">
      <c r="A5681" s="4" t="n">
        <v>19867</v>
      </c>
      <c r="B5681" s="5" t="n">
        <v>44712</v>
      </c>
      <c r="C5681" s="13" t="inlineStr">
        <is>
          <t>CPR</t>
        </is>
      </c>
      <c r="D5681" s="13" t="n">
        <v>32</v>
      </c>
      <c r="E5681" s="10">
        <f>IF(D5681&gt;0,VLOOKUP(OPERAC[[#This Row],[COD CART]],[1]!MatrizCortoLargoCyl[#All],3,0),"")</f>
        <v/>
      </c>
      <c r="F5681" s="13" t="inlineStr">
        <is>
          <t>AMC/CYL/13,00/10-06-22</t>
        </is>
      </c>
      <c r="G5681" s="6" t="n">
        <v>200</v>
      </c>
      <c r="H5681" s="6" t="n">
        <v>-2465.5</v>
      </c>
      <c r="I5681" s="7">
        <f>-H5681/G5681</f>
        <v/>
      </c>
      <c r="J5681" s="5" t="n">
        <v>44722</v>
      </c>
      <c r="K5681" s="6" t="n">
        <v>200</v>
      </c>
      <c r="L5681" s="6" t="n">
        <v>2468.57</v>
      </c>
      <c r="M5681" s="7">
        <f>IF(N5681=0,+L5681+H5681,0)</f>
        <v/>
      </c>
      <c r="N5681" s="7">
        <f>IF((+G5681-K5681)=0,0,+G5681-K5681)</f>
        <v/>
      </c>
      <c r="O5681" s="7">
        <f>IF(N5681=0,0,(L5681+H5681)/-N5681)</f>
        <v/>
      </c>
      <c r="P5681" s="7">
        <f>VLOOKUP(OPERAC[[#This Row],[especie]],[1]!ESPECIES[#All],6,0)</f>
        <v/>
      </c>
      <c r="Q5681" s="7">
        <f>IF(N5681&lt;&gt;0,P5681*N5681,0)</f>
        <v/>
      </c>
      <c r="R5681" s="8">
        <f>IF(Q5681&lt;&gt;0,Q5681+H5681+L5681,0)</f>
        <v/>
      </c>
      <c r="S5681" s="9">
        <f>VLOOKUP(OPERAC[[#This Row],[especie]],[1]!ESPECIES[#Data],9,FALSE)</f>
        <v/>
      </c>
    </row>
    <row r="5682">
      <c r="A5682" s="4" t="n">
        <v>13185</v>
      </c>
      <c r="B5682" s="5" t="n">
        <v>44664</v>
      </c>
      <c r="C5682" s="13" t="inlineStr">
        <is>
          <t>CPR</t>
        </is>
      </c>
      <c r="D5682" s="13" t="n">
        <v>42</v>
      </c>
      <c r="E5682" s="10">
        <f>IF(D5682&gt;0,VLOOKUP(OPERAC[[#This Row],[COD CART]],[1]!MatrizCortoLargoCyl[#All],3,0),"")</f>
        <v/>
      </c>
      <c r="F5682" s="13" t="inlineStr">
        <is>
          <t>AMD</t>
        </is>
      </c>
      <c r="G5682" s="6" t="n">
        <v>25</v>
      </c>
      <c r="H5682" s="6" t="n">
        <v>-2469.26636325</v>
      </c>
      <c r="I5682" s="7">
        <f>-H5682/G5682</f>
        <v/>
      </c>
      <c r="J5682" s="11" t="n">
        <v>44693</v>
      </c>
      <c r="K5682" s="6">
        <f>+OPERAC[[#This Row],[cantidad]]</f>
        <v/>
      </c>
      <c r="L5682" s="6">
        <f>+OPERAC[[#This Row],[cantidad venta]]*85.26</f>
        <v/>
      </c>
      <c r="M5682" s="7">
        <f>IF(N5682=0,+L5682+H5682,0)</f>
        <v/>
      </c>
      <c r="N5682" s="7">
        <f>IF((+G5682-K5682)=0,0,+G5682-K5682)</f>
        <v/>
      </c>
      <c r="O5682" s="7">
        <f>IF(N5682=0,0,(L5682+H5682)/-N5682)</f>
        <v/>
      </c>
      <c r="P5682" s="7">
        <f>VLOOKUP(OPERAC[[#This Row],[especie]],[1]!ESPECIES[#All],6,0)</f>
        <v/>
      </c>
      <c r="Q5682" s="7">
        <f>IF(N5682&lt;&gt;0,P5682*N5682,0)</f>
        <v/>
      </c>
      <c r="R5682" s="8">
        <f>IF(Q5682&lt;&gt;0,Q5682+H5682+L5682,0)</f>
        <v/>
      </c>
      <c r="S5682" s="9">
        <f>VLOOKUP(OPERAC[[#This Row],[especie]],[1]!ESPECIES[#Data],9,FALSE)</f>
        <v/>
      </c>
    </row>
    <row r="5683">
      <c r="A5683" s="4" t="n">
        <v>16783</v>
      </c>
      <c r="B5683" s="5" t="n">
        <v>44664</v>
      </c>
      <c r="C5683" s="13" t="inlineStr">
        <is>
          <t>CPR</t>
        </is>
      </c>
      <c r="D5683" s="13" t="n">
        <v>42</v>
      </c>
      <c r="E5683" s="10">
        <f>IF(D5683&gt;0,VLOOKUP(OPERAC[[#This Row],[COD CART]],[1]!MatrizCortoLargoCyl[#All],3,0),"")</f>
        <v/>
      </c>
      <c r="F5683" s="13" t="inlineStr">
        <is>
          <t>PSQ</t>
        </is>
      </c>
      <c r="G5683" s="6" t="n">
        <v>200</v>
      </c>
      <c r="H5683" s="6" t="n">
        <v>-2476.6522074</v>
      </c>
      <c r="I5683" s="7">
        <f>-H5683/G5683</f>
        <v/>
      </c>
      <c r="J5683" s="11" t="n">
        <v>44680</v>
      </c>
      <c r="K5683" s="6">
        <f>+OPERAC[[#This Row],[cantidad]]</f>
        <v/>
      </c>
      <c r="L5683" s="6">
        <f>12.848*OPERAC[[#This Row],[cantidad venta]]</f>
        <v/>
      </c>
      <c r="M5683" s="7">
        <f>IF(N5683=0,+L5683+H5683,0)</f>
        <v/>
      </c>
      <c r="N5683" s="7">
        <f>IF((+G5683-K5683)=0,0,+G5683-K5683)</f>
        <v/>
      </c>
      <c r="O5683" s="7">
        <f>IF(N5683=0,0,(L5683+H5683)/-N5683)</f>
        <v/>
      </c>
      <c r="P5683" s="7">
        <f>VLOOKUP(OPERAC[[#This Row],[especie]],[1]!ESPECIES[#All],6,0)</f>
        <v/>
      </c>
      <c r="Q5683" s="7">
        <f>IF(N5683&lt;&gt;0,P5683*N5683,0)</f>
        <v/>
      </c>
      <c r="R5683" s="8">
        <f>IF(Q5683&lt;&gt;0,Q5683+H5683+L5683,0)</f>
        <v/>
      </c>
      <c r="S5683" s="9">
        <f>VLOOKUP(OPERAC[[#This Row],[especie]],[1]!ESPECIES[#Data],9,FALSE)</f>
        <v/>
      </c>
    </row>
    <row r="5684">
      <c r="A5684" s="4" t="n">
        <v>22393</v>
      </c>
      <c r="B5684" s="5" t="n">
        <v>44393</v>
      </c>
      <c r="C5684" s="13" t="inlineStr">
        <is>
          <t>CPR</t>
        </is>
      </c>
      <c r="D5684" s="13" t="n">
        <v>31</v>
      </c>
      <c r="E5684" s="10">
        <f>IF(D5684&gt;0,VLOOKUP(OPERAC[[#This Row],[COD CART]],[1]!MatrizCortoLargoCyl[#All],3,0),"")</f>
        <v/>
      </c>
      <c r="F5684" s="13" t="inlineStr">
        <is>
          <t>MPW</t>
        </is>
      </c>
      <c r="G5684" s="6" t="n">
        <v>120</v>
      </c>
      <c r="H5684" s="6" t="n">
        <v>-2478.5544</v>
      </c>
      <c r="I5684" s="7">
        <f>-H5684/G5684</f>
        <v/>
      </c>
      <c r="J5684" s="11" t="n">
        <v>44498</v>
      </c>
      <c r="K5684" s="6">
        <f>20+100</f>
        <v/>
      </c>
      <c r="L5684" s="6">
        <f>427.463+2049.444</f>
        <v/>
      </c>
      <c r="M5684" s="7">
        <f>IF(N5684=0,+L5684+H5684,0)</f>
        <v/>
      </c>
      <c r="N5684" s="7">
        <f>IF((+G5684-K5684)=0,0,+G5684-K5684)</f>
        <v/>
      </c>
      <c r="O5684" s="7">
        <f>IF(N5684=0,0,(L5684+H5684)/-N5684)</f>
        <v/>
      </c>
      <c r="P5684" s="7">
        <f>VLOOKUP(OPERAC[[#This Row],[especie]],[1]!ESPECIES[#All],6,0)</f>
        <v/>
      </c>
      <c r="Q5684" s="7">
        <f>IF(N5684&lt;&gt;0,P5684*N5684,0)</f>
        <v/>
      </c>
      <c r="R5684" s="8">
        <f>IF(Q5684&lt;&gt;0,Q5684+H5684+L5684,0)</f>
        <v/>
      </c>
      <c r="S5684" s="9">
        <f>VLOOKUP(OPERAC[[#This Row],[especie]],[1]!ESPECIES[#Data],9,FALSE)</f>
        <v/>
      </c>
    </row>
    <row r="5685">
      <c r="A5685" s="4" t="n">
        <v>1760</v>
      </c>
      <c r="B5685" s="5" t="n">
        <v>44686</v>
      </c>
      <c r="C5685" s="13" t="inlineStr">
        <is>
          <t>CPR</t>
        </is>
      </c>
      <c r="D5685" s="13" t="n">
        <v>40</v>
      </c>
      <c r="E5685" s="10">
        <f>IF(D5685&gt;0,VLOOKUP(OPERAC[[#This Row],[COD CART]],[1]!MatrizCortoLargoCyl[#All],3,0),"")</f>
        <v/>
      </c>
      <c r="F5685" s="13" t="inlineStr">
        <is>
          <t>SFM</t>
        </is>
      </c>
      <c r="G5685" s="6" t="n">
        <v>100</v>
      </c>
      <c r="H5685" s="6">
        <f>-2530.83+44.618</f>
        <v/>
      </c>
      <c r="I5685" s="7">
        <f>-H5685/G5685</f>
        <v/>
      </c>
      <c r="J5685" s="11" t="n">
        <v>44704</v>
      </c>
      <c r="K5685" s="6" t="n">
        <v>100</v>
      </c>
      <c r="L5685" s="6" t="n">
        <v>2338.254</v>
      </c>
      <c r="M5685" s="7">
        <f>IF(N5685=0,+L5685+H5685,0)</f>
        <v/>
      </c>
      <c r="N5685" s="7">
        <f>IF((+G5685-K5685)=0,0,+G5685-K5685)</f>
        <v/>
      </c>
      <c r="O5685" s="7">
        <f>IF(N5685=0,0,(L5685+H5685)/-N5685)</f>
        <v/>
      </c>
      <c r="P5685" s="7">
        <f>VLOOKUP(OPERAC[[#This Row],[especie]],[1]!ESPECIES[#All],6,0)</f>
        <v/>
      </c>
      <c r="Q5685" s="7">
        <f>IF(N5685&lt;&gt;0,P5685*N5685,0)</f>
        <v/>
      </c>
      <c r="R5685" s="8">
        <f>IF(Q5685&lt;&gt;0,Q5685+H5685+L5685,0)</f>
        <v/>
      </c>
      <c r="S5685" s="9">
        <f>VLOOKUP(OPERAC[[#This Row],[especie]],[1]!ESPECIES[#Data],9,FALSE)</f>
        <v/>
      </c>
    </row>
    <row r="5686">
      <c r="A5686" s="4" t="n">
        <v>10079</v>
      </c>
      <c r="B5686" s="5" t="n">
        <v>44686</v>
      </c>
      <c r="C5686" s="13" t="inlineStr">
        <is>
          <t>CPR</t>
        </is>
      </c>
      <c r="D5686" s="13" t="n">
        <v>40</v>
      </c>
      <c r="E5686" s="10">
        <f>IF(D5686&gt;0,VLOOKUP(OPERAC[[#This Row],[COD CART]],[1]!MatrizCortoLargoCyl[#All],3,0),"")</f>
        <v/>
      </c>
      <c r="F5686" s="13" t="inlineStr">
        <is>
          <t>SFM</t>
        </is>
      </c>
      <c r="G5686" s="6" t="n">
        <v>100</v>
      </c>
      <c r="H5686" s="6">
        <f>-2530.83+44.618</f>
        <v/>
      </c>
      <c r="I5686" s="7">
        <f>-H5686/G5686</f>
        <v/>
      </c>
      <c r="J5686" s="11" t="n">
        <v>44707</v>
      </c>
      <c r="K5686" s="6" t="n">
        <v>100</v>
      </c>
      <c r="L5686" s="6" t="n">
        <v>2577.642</v>
      </c>
      <c r="M5686" s="7">
        <f>IF(N5686=0,+L5686+H5686,0)</f>
        <v/>
      </c>
      <c r="N5686" s="7">
        <f>IF((+G5686-K5686)=0,0,+G5686-K5686)</f>
        <v/>
      </c>
      <c r="O5686" s="7">
        <f>IF(N5686=0,0,(L5686+H5686)/-N5686)</f>
        <v/>
      </c>
      <c r="P5686" s="7">
        <f>VLOOKUP(OPERAC[[#This Row],[especie]],[1]!ESPECIES[#All],6,0)</f>
        <v/>
      </c>
      <c r="Q5686" s="7">
        <f>IF(N5686&lt;&gt;0,P5686*N5686,0)</f>
        <v/>
      </c>
      <c r="R5686" s="8">
        <f>IF(Q5686&lt;&gt;0,Q5686+H5686+L5686,0)</f>
        <v/>
      </c>
      <c r="S5686" s="9">
        <f>VLOOKUP(OPERAC[[#This Row],[especie]],[1]!ESPECIES[#Data],9,FALSE)</f>
        <v/>
      </c>
    </row>
    <row r="5687">
      <c r="A5687" s="4" t="n">
        <v>12022</v>
      </c>
      <c r="B5687" s="5" t="n">
        <v>44664</v>
      </c>
      <c r="C5687" s="13" t="inlineStr">
        <is>
          <t>CPR</t>
        </is>
      </c>
      <c r="D5687" s="13" t="n">
        <v>42</v>
      </c>
      <c r="E5687" s="10">
        <f>IF(D5687&gt;0,VLOOKUP(OPERAC[[#This Row],[COD CART]],[1]!MatrizCortoLargoCyl[#All],3,0),"")</f>
        <v/>
      </c>
      <c r="F5687" s="13" t="inlineStr">
        <is>
          <t>PSQ</t>
        </is>
      </c>
      <c r="G5687" s="6" t="n">
        <v>200</v>
      </c>
      <c r="H5687" s="6" t="n">
        <v>-2486.5144362</v>
      </c>
      <c r="I5687" s="7">
        <f>-H5687/G5687</f>
        <v/>
      </c>
      <c r="J5687" s="11" t="n">
        <v>44680</v>
      </c>
      <c r="K5687" s="6">
        <f>+OPERAC[[#This Row],[cantidad]]</f>
        <v/>
      </c>
      <c r="L5687" s="6">
        <f>12.848*OPERAC[[#This Row],[cantidad venta]]</f>
        <v/>
      </c>
      <c r="M5687" s="7">
        <f>IF(N5687=0,+L5687+H5687,0)</f>
        <v/>
      </c>
      <c r="N5687" s="7">
        <f>IF((+G5687-K5687)=0,0,+G5687-K5687)</f>
        <v/>
      </c>
      <c r="O5687" s="7">
        <f>IF(N5687=0,0,(L5687+H5687)/-N5687)</f>
        <v/>
      </c>
      <c r="P5687" s="7">
        <f>VLOOKUP(OPERAC[[#This Row],[especie]],[1]!ESPECIES[#All],6,0)</f>
        <v/>
      </c>
      <c r="Q5687" s="7">
        <f>IF(N5687&lt;&gt;0,P5687*N5687,0)</f>
        <v/>
      </c>
      <c r="R5687" s="8">
        <f>IF(Q5687&lt;&gt;0,Q5687+H5687+L5687,0)</f>
        <v/>
      </c>
      <c r="S5687" s="9">
        <f>VLOOKUP(OPERAC[[#This Row],[especie]],[1]!ESPECIES[#Data],9,FALSE)</f>
        <v/>
      </c>
    </row>
    <row r="5688">
      <c r="A5688" s="4" t="n">
        <v>12627</v>
      </c>
      <c r="B5688" s="5" t="n">
        <v>44664</v>
      </c>
      <c r="C5688" s="13" t="inlineStr">
        <is>
          <t>CPR</t>
        </is>
      </c>
      <c r="D5688" s="13" t="n">
        <v>42</v>
      </c>
      <c r="E5688" s="10">
        <f>IF(D5688&gt;0,VLOOKUP(OPERAC[[#This Row],[COD CART]],[1]!MatrizCortoLargoCyl[#All],3,0),"")</f>
        <v/>
      </c>
      <c r="F5688" s="13" t="inlineStr">
        <is>
          <t>PSQ</t>
        </is>
      </c>
      <c r="G5688" s="6" t="n">
        <v>200</v>
      </c>
      <c r="H5688" s="6" t="n">
        <v>-2486.5144362</v>
      </c>
      <c r="I5688" s="7">
        <f>-H5688/G5688</f>
        <v/>
      </c>
      <c r="J5688" s="11" t="n">
        <v>44680</v>
      </c>
      <c r="K5688" s="6">
        <f>+OPERAC[[#This Row],[cantidad]]</f>
        <v/>
      </c>
      <c r="L5688" s="6">
        <f>12.848*OPERAC[[#This Row],[cantidad venta]]</f>
        <v/>
      </c>
      <c r="M5688" s="7">
        <f>IF(N5688=0,+L5688+H5688,0)</f>
        <v/>
      </c>
      <c r="N5688" s="7">
        <f>IF((+G5688-K5688)=0,0,+G5688-K5688)</f>
        <v/>
      </c>
      <c r="O5688" s="7">
        <f>IF(N5688=0,0,(L5688+H5688)/-N5688)</f>
        <v/>
      </c>
      <c r="P5688" s="7">
        <f>VLOOKUP(OPERAC[[#This Row],[especie]],[1]!ESPECIES[#All],6,0)</f>
        <v/>
      </c>
      <c r="Q5688" s="7">
        <f>IF(N5688&lt;&gt;0,P5688*N5688,0)</f>
        <v/>
      </c>
      <c r="R5688" s="8">
        <f>IF(Q5688&lt;&gt;0,Q5688+H5688+L5688,0)</f>
        <v/>
      </c>
      <c r="S5688" s="9">
        <f>VLOOKUP(OPERAC[[#This Row],[especie]],[1]!ESPECIES[#Data],9,FALSE)</f>
        <v/>
      </c>
    </row>
    <row r="5689">
      <c r="A5689" s="4" t="n">
        <v>12655</v>
      </c>
      <c r="B5689" s="5" t="n">
        <v>44664</v>
      </c>
      <c r="C5689" s="13" t="inlineStr">
        <is>
          <t>CPR</t>
        </is>
      </c>
      <c r="D5689" s="13" t="n">
        <v>42</v>
      </c>
      <c r="E5689" s="10">
        <f>IF(D5689&gt;0,VLOOKUP(OPERAC[[#This Row],[COD CART]],[1]!MatrizCortoLargoCyl[#All],3,0),"")</f>
        <v/>
      </c>
      <c r="F5689" s="13" t="inlineStr">
        <is>
          <t>PSQ</t>
        </is>
      </c>
      <c r="G5689" s="6" t="n">
        <v>200</v>
      </c>
      <c r="H5689" s="6" t="n">
        <v>-2486.5144362</v>
      </c>
      <c r="I5689" s="7">
        <f>-H5689/G5689</f>
        <v/>
      </c>
      <c r="J5689" s="11" t="n">
        <v>44669</v>
      </c>
      <c r="K5689" s="6">
        <f>100+100</f>
        <v/>
      </c>
      <c r="L5689" s="6">
        <f>1230.452+1284.84</f>
        <v/>
      </c>
      <c r="M5689" s="7">
        <f>IF(N5689=0,+L5689+H5689,0)</f>
        <v/>
      </c>
      <c r="N5689" s="7">
        <f>IF((+G5689-K5689)=0,0,+G5689-K5689)</f>
        <v/>
      </c>
      <c r="O5689" s="7">
        <f>IF(N5689=0,0,(L5689+H5689)/-N5689)</f>
        <v/>
      </c>
      <c r="P5689" s="7">
        <f>VLOOKUP(OPERAC[[#This Row],[especie]],[1]!ESPECIES[#All],6,0)</f>
        <v/>
      </c>
      <c r="Q5689" s="7">
        <f>IF(N5689&lt;&gt;0,P5689*N5689,0)</f>
        <v/>
      </c>
      <c r="R5689" s="8">
        <f>IF(Q5689&lt;&gt;0,Q5689+H5689+L5689,0)</f>
        <v/>
      </c>
      <c r="S5689" s="9">
        <f>VLOOKUP(OPERAC[[#This Row],[especie]],[1]!ESPECIES[#Data],9,FALSE)</f>
        <v/>
      </c>
    </row>
    <row r="5690">
      <c r="A5690" s="4" t="n">
        <v>15189</v>
      </c>
      <c r="B5690" s="5" t="n">
        <v>44664</v>
      </c>
      <c r="C5690" s="13" t="inlineStr">
        <is>
          <t>CPR</t>
        </is>
      </c>
      <c r="D5690" s="13" t="n">
        <v>42</v>
      </c>
      <c r="E5690" s="10">
        <f>IF(D5690&gt;0,VLOOKUP(OPERAC[[#This Row],[COD CART]],[1]!MatrizCortoLargoCyl[#All],3,0),"")</f>
        <v/>
      </c>
      <c r="F5690" s="13" t="inlineStr">
        <is>
          <t>PSQ</t>
        </is>
      </c>
      <c r="G5690" s="6" t="n">
        <v>200</v>
      </c>
      <c r="H5690" s="6" t="n">
        <v>-2486.5144362</v>
      </c>
      <c r="I5690" s="7">
        <f>-H5690/G5690</f>
        <v/>
      </c>
      <c r="J5690" s="11" t="n">
        <v>44671</v>
      </c>
      <c r="K5690" s="6" t="n">
        <v>200</v>
      </c>
      <c r="L5690" s="6" t="n">
        <v>2426.201</v>
      </c>
      <c r="M5690" s="7">
        <f>IF(N5690=0,+L5690+H5690,0)</f>
        <v/>
      </c>
      <c r="N5690" s="7">
        <f>IF((+G5690-K5690)=0,0,+G5690-K5690)</f>
        <v/>
      </c>
      <c r="O5690" s="7">
        <f>IF(N5690=0,0,(L5690+H5690)/-N5690)</f>
        <v/>
      </c>
      <c r="P5690" s="7">
        <f>VLOOKUP(OPERAC[[#This Row],[especie]],[1]!ESPECIES[#All],6,0)</f>
        <v/>
      </c>
      <c r="Q5690" s="7">
        <f>IF(N5690&lt;&gt;0,P5690*N5690,0)</f>
        <v/>
      </c>
      <c r="R5690" s="8">
        <f>IF(Q5690&lt;&gt;0,Q5690+H5690+L5690,0)</f>
        <v/>
      </c>
      <c r="S5690" s="9">
        <f>VLOOKUP(OPERAC[[#This Row],[especie]],[1]!ESPECIES[#Data],9,FALSE)</f>
        <v/>
      </c>
    </row>
    <row r="5691">
      <c r="A5691" s="4" t="n">
        <v>15194</v>
      </c>
      <c r="B5691" s="5" t="n">
        <v>44664</v>
      </c>
      <c r="C5691" s="13" t="inlineStr">
        <is>
          <t>CPR</t>
        </is>
      </c>
      <c r="D5691" s="13" t="n">
        <v>42</v>
      </c>
      <c r="E5691" s="10">
        <f>IF(D5691&gt;0,VLOOKUP(OPERAC[[#This Row],[COD CART]],[1]!MatrizCortoLargoCyl[#All],3,0),"")</f>
        <v/>
      </c>
      <c r="F5691" s="13" t="inlineStr">
        <is>
          <t>PSQ</t>
        </is>
      </c>
      <c r="G5691" s="6" t="n">
        <v>200</v>
      </c>
      <c r="H5691" s="6" t="n">
        <v>-2486.5144362</v>
      </c>
      <c r="I5691" s="7">
        <f>-H5691/G5691</f>
        <v/>
      </c>
      <c r="J5691" s="11" t="n">
        <v>44680</v>
      </c>
      <c r="K5691" s="6">
        <f>+OPERAC[[#This Row],[cantidad]]</f>
        <v/>
      </c>
      <c r="L5691" s="6">
        <f>12.848*OPERAC[[#This Row],[cantidad venta]]</f>
        <v/>
      </c>
      <c r="M5691" s="7">
        <f>IF(N5691=0,+L5691+H5691,0)</f>
        <v/>
      </c>
      <c r="N5691" s="7">
        <f>IF((+G5691-K5691)=0,0,+G5691-K5691)</f>
        <v/>
      </c>
      <c r="O5691" s="7">
        <f>IF(N5691=0,0,(L5691+H5691)/-N5691)</f>
        <v/>
      </c>
      <c r="P5691" s="7">
        <f>VLOOKUP(OPERAC[[#This Row],[especie]],[1]!ESPECIES[#All],6,0)</f>
        <v/>
      </c>
      <c r="Q5691" s="7">
        <f>IF(N5691&lt;&gt;0,P5691*N5691,0)</f>
        <v/>
      </c>
      <c r="R5691" s="8">
        <f>IF(Q5691&lt;&gt;0,Q5691+H5691+L5691,0)</f>
        <v/>
      </c>
      <c r="S5691" s="9">
        <f>VLOOKUP(OPERAC[[#This Row],[especie]],[1]!ESPECIES[#Data],9,FALSE)</f>
        <v/>
      </c>
    </row>
    <row r="5692">
      <c r="A5692" s="4" t="n">
        <v>15195</v>
      </c>
      <c r="B5692" s="5" t="n">
        <v>44664</v>
      </c>
      <c r="C5692" s="13" t="inlineStr">
        <is>
          <t>CPR</t>
        </is>
      </c>
      <c r="D5692" s="13" t="n">
        <v>42</v>
      </c>
      <c r="E5692" s="10">
        <f>IF(D5692&gt;0,VLOOKUP(OPERAC[[#This Row],[COD CART]],[1]!MatrizCortoLargoCyl[#All],3,0),"")</f>
        <v/>
      </c>
      <c r="F5692" s="13" t="inlineStr">
        <is>
          <t>PSQ</t>
        </is>
      </c>
      <c r="G5692" s="6" t="n">
        <v>200</v>
      </c>
      <c r="H5692" s="6" t="n">
        <v>-2486.5144362</v>
      </c>
      <c r="I5692" s="7">
        <f>-H5692/G5692</f>
        <v/>
      </c>
      <c r="J5692" s="11" t="n">
        <v>44680</v>
      </c>
      <c r="K5692" s="6">
        <f>+OPERAC[[#This Row],[cantidad]]</f>
        <v/>
      </c>
      <c r="L5692" s="6">
        <f>12.848*OPERAC[[#This Row],[cantidad venta]]</f>
        <v/>
      </c>
      <c r="M5692" s="7">
        <f>IF(N5692=0,+L5692+H5692,0)</f>
        <v/>
      </c>
      <c r="N5692" s="7">
        <f>IF((+G5692-K5692)=0,0,+G5692-K5692)</f>
        <v/>
      </c>
      <c r="O5692" s="7">
        <f>IF(N5692=0,0,(L5692+H5692)/-N5692)</f>
        <v/>
      </c>
      <c r="P5692" s="7">
        <f>VLOOKUP(OPERAC[[#This Row],[especie]],[1]!ESPECIES[#All],6,0)</f>
        <v/>
      </c>
      <c r="Q5692" s="7">
        <f>IF(N5692&lt;&gt;0,P5692*N5692,0)</f>
        <v/>
      </c>
      <c r="R5692" s="8">
        <f>IF(Q5692&lt;&gt;0,Q5692+H5692+L5692,0)</f>
        <v/>
      </c>
      <c r="S5692" s="9">
        <f>VLOOKUP(OPERAC[[#This Row],[especie]],[1]!ESPECIES[#Data],9,FALSE)</f>
        <v/>
      </c>
    </row>
    <row r="5693">
      <c r="A5693" s="4" t="n">
        <v>16780</v>
      </c>
      <c r="B5693" s="5" t="n">
        <v>44664</v>
      </c>
      <c r="C5693" s="13" t="inlineStr">
        <is>
          <t>CPR</t>
        </is>
      </c>
      <c r="D5693" s="13" t="n">
        <v>42</v>
      </c>
      <c r="E5693" s="10">
        <f>IF(D5693&gt;0,VLOOKUP(OPERAC[[#This Row],[COD CART]],[1]!MatrizCortoLargoCyl[#All],3,0),"")</f>
        <v/>
      </c>
      <c r="F5693" s="13" t="inlineStr">
        <is>
          <t>PSQ</t>
        </is>
      </c>
      <c r="G5693" s="6" t="n">
        <v>200</v>
      </c>
      <c r="H5693" s="6" t="n">
        <v>-2486.5144362</v>
      </c>
      <c r="I5693" s="7">
        <f>-H5693/G5693</f>
        <v/>
      </c>
      <c r="J5693" s="11" t="n">
        <v>44680</v>
      </c>
      <c r="K5693" s="6">
        <f>+OPERAC[[#This Row],[cantidad]]</f>
        <v/>
      </c>
      <c r="L5693" s="6">
        <f>12.848*OPERAC[[#This Row],[cantidad venta]]</f>
        <v/>
      </c>
      <c r="M5693" s="7">
        <f>IF(N5693=0,+L5693+H5693,0)</f>
        <v/>
      </c>
      <c r="N5693" s="7">
        <f>IF((+G5693-K5693)=0,0,+G5693-K5693)</f>
        <v/>
      </c>
      <c r="O5693" s="7">
        <f>IF(N5693=0,0,(L5693+H5693)/-N5693)</f>
        <v/>
      </c>
      <c r="P5693" s="7">
        <f>VLOOKUP(OPERAC[[#This Row],[especie]],[1]!ESPECIES[#All],6,0)</f>
        <v/>
      </c>
      <c r="Q5693" s="7">
        <f>IF(N5693&lt;&gt;0,P5693*N5693,0)</f>
        <v/>
      </c>
      <c r="R5693" s="8">
        <f>IF(Q5693&lt;&gt;0,Q5693+H5693+L5693,0)</f>
        <v/>
      </c>
      <c r="S5693" s="9">
        <f>VLOOKUP(OPERAC[[#This Row],[especie]],[1]!ESPECIES[#Data],9,FALSE)</f>
        <v/>
      </c>
    </row>
    <row r="5694">
      <c r="A5694" s="4" t="n">
        <v>18651</v>
      </c>
      <c r="B5694" s="5" t="n">
        <v>44664</v>
      </c>
      <c r="C5694" s="13" t="inlineStr">
        <is>
          <t>CPR</t>
        </is>
      </c>
      <c r="D5694" s="13" t="n">
        <v>42</v>
      </c>
      <c r="E5694" s="10">
        <f>IF(D5694&gt;0,VLOOKUP(OPERAC[[#This Row],[COD CART]],[1]!MatrizCortoLargoCyl[#All],3,0),"")</f>
        <v/>
      </c>
      <c r="F5694" s="13" t="inlineStr">
        <is>
          <t>PSQ</t>
        </is>
      </c>
      <c r="G5694" s="6" t="n">
        <v>200</v>
      </c>
      <c r="H5694" s="6" t="n">
        <v>-2486.5144362</v>
      </c>
      <c r="I5694" s="7">
        <f>-H5694/G5694</f>
        <v/>
      </c>
      <c r="J5694" s="11" t="n">
        <v>44680</v>
      </c>
      <c r="K5694" s="6">
        <f>+OPERAC[[#This Row],[cantidad]]</f>
        <v/>
      </c>
      <c r="L5694" s="6">
        <f>12.848*OPERAC[[#This Row],[cantidad venta]]</f>
        <v/>
      </c>
      <c r="M5694" s="7">
        <f>IF(N5694=0,+L5694+H5694,0)</f>
        <v/>
      </c>
      <c r="N5694" s="7">
        <f>IF((+G5694-K5694)=0,0,+G5694-K5694)</f>
        <v/>
      </c>
      <c r="O5694" s="7">
        <f>IF(N5694=0,0,(L5694+H5694)/-N5694)</f>
        <v/>
      </c>
      <c r="P5694" s="7">
        <f>VLOOKUP(OPERAC[[#This Row],[especie]],[1]!ESPECIES[#All],6,0)</f>
        <v/>
      </c>
      <c r="Q5694" s="7">
        <f>IF(N5694&lt;&gt;0,P5694*N5694,0)</f>
        <v/>
      </c>
      <c r="R5694" s="8">
        <f>IF(Q5694&lt;&gt;0,Q5694+H5694+L5694,0)</f>
        <v/>
      </c>
      <c r="S5694" s="9">
        <f>VLOOKUP(OPERAC[[#This Row],[especie]],[1]!ESPECIES[#Data],9,FALSE)</f>
        <v/>
      </c>
    </row>
    <row r="5695">
      <c r="A5695" s="4" t="n">
        <v>19867</v>
      </c>
      <c r="B5695" s="5" t="n">
        <v>44664</v>
      </c>
      <c r="C5695" s="13" t="inlineStr">
        <is>
          <t>CPR</t>
        </is>
      </c>
      <c r="D5695" s="13" t="n">
        <v>42</v>
      </c>
      <c r="E5695" s="10">
        <f>IF(D5695&gt;0,VLOOKUP(OPERAC[[#This Row],[COD CART]],[1]!MatrizCortoLargoCyl[#All],3,0),"")</f>
        <v/>
      </c>
      <c r="F5695" s="13" t="inlineStr">
        <is>
          <t>PSQ</t>
        </is>
      </c>
      <c r="G5695" s="6" t="n">
        <v>200</v>
      </c>
      <c r="H5695" s="6" t="n">
        <v>-2486.5144362</v>
      </c>
      <c r="I5695" s="7">
        <f>-H5695/G5695</f>
        <v/>
      </c>
      <c r="J5695" s="11" t="n">
        <v>44680</v>
      </c>
      <c r="K5695" s="6">
        <f>+OPERAC[[#This Row],[cantidad]]</f>
        <v/>
      </c>
      <c r="L5695" s="6">
        <f>12.848*OPERAC[[#This Row],[cantidad venta]]</f>
        <v/>
      </c>
      <c r="M5695" s="7">
        <f>IF(N5695=0,+L5695+H5695,0)</f>
        <v/>
      </c>
      <c r="N5695" s="7">
        <f>IF((+G5695-K5695)=0,0,+G5695-K5695)</f>
        <v/>
      </c>
      <c r="O5695" s="7">
        <f>IF(N5695=0,0,(L5695+H5695)/-N5695)</f>
        <v/>
      </c>
      <c r="P5695" s="7">
        <f>VLOOKUP(OPERAC[[#This Row],[especie]],[1]!ESPECIES[#All],6,0)</f>
        <v/>
      </c>
      <c r="Q5695" s="7">
        <f>IF(N5695&lt;&gt;0,P5695*N5695,0)</f>
        <v/>
      </c>
      <c r="R5695" s="8">
        <f>IF(Q5695&lt;&gt;0,Q5695+H5695+L5695,0)</f>
        <v/>
      </c>
      <c r="S5695" s="9">
        <f>VLOOKUP(OPERAC[[#This Row],[especie]],[1]!ESPECIES[#Data],9,FALSE)</f>
        <v/>
      </c>
    </row>
    <row r="5696">
      <c r="A5696" s="4" t="n">
        <v>19888</v>
      </c>
      <c r="B5696" s="5" t="n">
        <v>44664</v>
      </c>
      <c r="C5696" s="13" t="inlineStr">
        <is>
          <t>CPR</t>
        </is>
      </c>
      <c r="D5696" s="13" t="n">
        <v>42</v>
      </c>
      <c r="E5696" s="10">
        <f>IF(D5696&gt;0,VLOOKUP(OPERAC[[#This Row],[COD CART]],[1]!MatrizCortoLargoCyl[#All],3,0),"")</f>
        <v/>
      </c>
      <c r="F5696" s="13" t="inlineStr">
        <is>
          <t>PSQ</t>
        </is>
      </c>
      <c r="G5696" s="6" t="n">
        <v>200</v>
      </c>
      <c r="H5696" s="6" t="n">
        <v>-2486.5144362</v>
      </c>
      <c r="I5696" s="7">
        <f>-H5696/G5696</f>
        <v/>
      </c>
      <c r="J5696" s="11" t="n">
        <v>44677</v>
      </c>
      <c r="K5696" s="6" t="n">
        <v>200</v>
      </c>
      <c r="L5696" s="6" t="n">
        <v>2555.096</v>
      </c>
      <c r="M5696" s="7">
        <f>IF(N5696=0,+L5696+H5696,0)</f>
        <v/>
      </c>
      <c r="N5696" s="7">
        <f>IF((+G5696-K5696)=0,0,+G5696-K5696)</f>
        <v/>
      </c>
      <c r="O5696" s="7">
        <f>IF(N5696=0,0,(L5696+H5696)/-N5696)</f>
        <v/>
      </c>
      <c r="P5696" s="7">
        <f>VLOOKUP(OPERAC[[#This Row],[especie]],[1]!ESPECIES[#All],6,0)</f>
        <v/>
      </c>
      <c r="Q5696" s="7">
        <f>IF(N5696&lt;&gt;0,P5696*N5696,0)</f>
        <v/>
      </c>
      <c r="R5696" s="8">
        <f>IF(Q5696&lt;&gt;0,Q5696+H5696+L5696,0)</f>
        <v/>
      </c>
      <c r="S5696" s="9">
        <f>VLOOKUP(OPERAC[[#This Row],[especie]],[1]!ESPECIES[#Data],9,FALSE)</f>
        <v/>
      </c>
    </row>
    <row r="5697">
      <c r="A5697" s="4" t="n">
        <v>19920</v>
      </c>
      <c r="B5697" s="5" t="n">
        <v>44664</v>
      </c>
      <c r="C5697" s="13" t="inlineStr">
        <is>
          <t>CPR</t>
        </is>
      </c>
      <c r="D5697" s="13" t="n">
        <v>42</v>
      </c>
      <c r="E5697" s="10">
        <f>IF(D5697&gt;0,VLOOKUP(OPERAC[[#This Row],[COD CART]],[1]!MatrizCortoLargoCyl[#All],3,0),"")</f>
        <v/>
      </c>
      <c r="F5697" s="13" t="inlineStr">
        <is>
          <t>PSQ</t>
        </is>
      </c>
      <c r="G5697" s="6" t="n">
        <v>200</v>
      </c>
      <c r="H5697" s="6" t="n">
        <v>-2486.5144362</v>
      </c>
      <c r="I5697" s="7">
        <f>-H5697/G5697</f>
        <v/>
      </c>
      <c r="J5697" s="11" t="n">
        <v>44680</v>
      </c>
      <c r="K5697" s="6">
        <f>+OPERAC[[#This Row],[cantidad]]</f>
        <v/>
      </c>
      <c r="L5697" s="6">
        <f>12.848*OPERAC[[#This Row],[cantidad venta]]</f>
        <v/>
      </c>
      <c r="M5697" s="7">
        <f>IF(N5697=0,+L5697+H5697,0)</f>
        <v/>
      </c>
      <c r="N5697" s="7">
        <f>IF((+G5697-K5697)=0,0,+G5697-K5697)</f>
        <v/>
      </c>
      <c r="O5697" s="7">
        <f>IF(N5697=0,0,(L5697+H5697)/-N5697)</f>
        <v/>
      </c>
      <c r="P5697" s="7">
        <f>VLOOKUP(OPERAC[[#This Row],[especie]],[1]!ESPECIES[#All],6,0)</f>
        <v/>
      </c>
      <c r="Q5697" s="7">
        <f>IF(N5697&lt;&gt;0,P5697*N5697,0)</f>
        <v/>
      </c>
      <c r="R5697" s="8">
        <f>IF(Q5697&lt;&gt;0,Q5697+H5697+L5697,0)</f>
        <v/>
      </c>
      <c r="S5697" s="9">
        <f>VLOOKUP(OPERAC[[#This Row],[especie]],[1]!ESPECIES[#Data],9,FALSE)</f>
        <v/>
      </c>
    </row>
    <row r="5698">
      <c r="A5698" s="4" t="n">
        <v>19932</v>
      </c>
      <c r="B5698" s="5" t="n">
        <v>44664</v>
      </c>
      <c r="C5698" s="13" t="inlineStr">
        <is>
          <t>CPR</t>
        </is>
      </c>
      <c r="D5698" s="13" t="n">
        <v>42</v>
      </c>
      <c r="E5698" s="10">
        <f>IF(D5698&gt;0,VLOOKUP(OPERAC[[#This Row],[COD CART]],[1]!MatrizCortoLargoCyl[#All],3,0),"")</f>
        <v/>
      </c>
      <c r="F5698" s="13" t="inlineStr">
        <is>
          <t>PSQ</t>
        </is>
      </c>
      <c r="G5698" s="6" t="n">
        <v>200</v>
      </c>
      <c r="H5698" s="6" t="n">
        <v>-2486.5144362</v>
      </c>
      <c r="I5698" s="7">
        <f>-H5698/G5698</f>
        <v/>
      </c>
      <c r="J5698" s="11" t="n">
        <v>44680</v>
      </c>
      <c r="K5698" s="6">
        <f>+OPERAC[[#This Row],[cantidad]]</f>
        <v/>
      </c>
      <c r="L5698" s="6">
        <f>12.848*OPERAC[[#This Row],[cantidad venta]]</f>
        <v/>
      </c>
      <c r="M5698" s="7">
        <f>IF(N5698=0,+L5698+H5698,0)</f>
        <v/>
      </c>
      <c r="N5698" s="7">
        <f>IF((+G5698-K5698)=0,0,+G5698-K5698)</f>
        <v/>
      </c>
      <c r="O5698" s="7">
        <f>IF(N5698=0,0,(L5698+H5698)/-N5698)</f>
        <v/>
      </c>
      <c r="P5698" s="7">
        <f>VLOOKUP(OPERAC[[#This Row],[especie]],[1]!ESPECIES[#All],6,0)</f>
        <v/>
      </c>
      <c r="Q5698" s="7">
        <f>IF(N5698&lt;&gt;0,P5698*N5698,0)</f>
        <v/>
      </c>
      <c r="R5698" s="8">
        <f>IF(Q5698&lt;&gt;0,Q5698+H5698+L5698,0)</f>
        <v/>
      </c>
      <c r="S5698" s="9">
        <f>VLOOKUP(OPERAC[[#This Row],[especie]],[1]!ESPECIES[#Data],9,FALSE)</f>
        <v/>
      </c>
    </row>
    <row r="5699">
      <c r="A5699" s="4" t="n">
        <v>22407</v>
      </c>
      <c r="B5699" s="5" t="n">
        <v>44664</v>
      </c>
      <c r="C5699" s="13" t="inlineStr">
        <is>
          <t>CPR</t>
        </is>
      </c>
      <c r="D5699" s="13" t="n">
        <v>42</v>
      </c>
      <c r="E5699" s="10">
        <f>IF(D5699&gt;0,VLOOKUP(OPERAC[[#This Row],[COD CART]],[1]!MatrizCortoLargoCyl[#All],3,0),"")</f>
        <v/>
      </c>
      <c r="F5699" s="13" t="inlineStr">
        <is>
          <t>PSQ</t>
        </is>
      </c>
      <c r="G5699" s="6" t="n">
        <v>200</v>
      </c>
      <c r="H5699" s="6" t="n">
        <v>-2486.5144362</v>
      </c>
      <c r="I5699" s="7">
        <f>-H5699/G5699</f>
        <v/>
      </c>
      <c r="J5699" s="11" t="n">
        <v>44671</v>
      </c>
      <c r="K5699" s="6">
        <f>100+100</f>
        <v/>
      </c>
      <c r="L5699" s="6">
        <f>1208.639+1284.84</f>
        <v/>
      </c>
      <c r="M5699" s="7">
        <f>IF(N5699=0,+L5699+H5699,0)</f>
        <v/>
      </c>
      <c r="N5699" s="7">
        <f>IF((+G5699-K5699)=0,0,+G5699-K5699)</f>
        <v/>
      </c>
      <c r="O5699" s="7">
        <f>IF(N5699=0,0,(L5699+H5699)/-N5699)</f>
        <v/>
      </c>
      <c r="P5699" s="7">
        <f>VLOOKUP(OPERAC[[#This Row],[especie]],[1]!ESPECIES[#All],6,0)</f>
        <v/>
      </c>
      <c r="Q5699" s="7">
        <f>IF(N5699&lt;&gt;0,P5699*N5699,0)</f>
        <v/>
      </c>
      <c r="R5699" s="8">
        <f>IF(Q5699&lt;&gt;0,Q5699+H5699+L5699,0)</f>
        <v/>
      </c>
      <c r="S5699" s="9">
        <f>VLOOKUP(OPERAC[[#This Row],[especie]],[1]!ESPECIES[#Data],9,FALSE)</f>
        <v/>
      </c>
    </row>
    <row r="5700">
      <c r="A5700" s="4" t="n">
        <v>18724</v>
      </c>
      <c r="B5700" s="5" t="n">
        <v>44705</v>
      </c>
      <c r="C5700" s="13" t="inlineStr">
        <is>
          <t>CPR</t>
        </is>
      </c>
      <c r="D5700" s="13" t="n">
        <v>32</v>
      </c>
      <c r="E5700" s="10">
        <f>IF(D5700&gt;0,VLOOKUP(OPERAC[[#This Row],[COD CART]],[1]!MatrizCortoLargoCyl[#All],3,0),"")</f>
        <v/>
      </c>
      <c r="F5700" s="13" t="inlineStr">
        <is>
          <t>HIMX/CYL/8,50/03-06-22</t>
        </is>
      </c>
      <c r="G5700" s="6" t="n">
        <v>300</v>
      </c>
      <c r="H5700" s="6" t="n">
        <v>-2491.041</v>
      </c>
      <c r="I5700" s="7">
        <f>-H5700/G5700</f>
        <v/>
      </c>
      <c r="J5700" s="5" t="n">
        <v>44715</v>
      </c>
      <c r="K5700" s="6">
        <f>+OPERAC[[#This Row],[cantidad]]</f>
        <v/>
      </c>
      <c r="L5700" s="6">
        <f>+OPERAC[[#This Row],[cantidad venta]]*8.462</f>
        <v/>
      </c>
      <c r="M5700" s="7">
        <f>IF(N5700=0,+L5700+H5700,0)</f>
        <v/>
      </c>
      <c r="N5700" s="7">
        <f>IF((+G5700-K5700)=0,0,+G5700-K5700)</f>
        <v/>
      </c>
      <c r="O5700" s="7">
        <f>IF(N5700=0,0,(L5700+H5700)/-N5700)</f>
        <v/>
      </c>
      <c r="P5700" s="7">
        <f>VLOOKUP(OPERAC[[#This Row],[especie]],[1]!ESPECIES[#All],6,0)</f>
        <v/>
      </c>
      <c r="Q5700" s="7">
        <f>IF(N5700&lt;&gt;0,P5700*N5700,0)</f>
        <v/>
      </c>
      <c r="R5700" s="8">
        <f>IF(Q5700&lt;&gt;0,Q5700+H5700+L5700,0)</f>
        <v/>
      </c>
      <c r="S5700" s="9">
        <f>VLOOKUP(OPERAC[[#This Row],[especie]],[1]!ESPECIES[#Data],9,FALSE)</f>
        <v/>
      </c>
    </row>
    <row r="5701">
      <c r="A5701" s="4" t="n">
        <v>3728</v>
      </c>
      <c r="B5701" s="5" t="n">
        <v>44671</v>
      </c>
      <c r="C5701" s="13" t="inlineStr">
        <is>
          <t>CPR</t>
        </is>
      </c>
      <c r="D5701" s="13" t="n">
        <v>39</v>
      </c>
      <c r="E5701" s="10">
        <f>IF(D5701&gt;0,VLOOKUP(OPERAC[[#This Row],[COD CART]],[1]!MatrizCortoLargoCyl[#All],3,0),"")</f>
        <v/>
      </c>
      <c r="F5701" s="13" t="inlineStr">
        <is>
          <t>NFLX/C/230,00/22-04-22</t>
        </is>
      </c>
      <c r="G5701" s="6" t="n">
        <v>400</v>
      </c>
      <c r="H5701" s="6">
        <f>-1601.6-890.89</f>
        <v/>
      </c>
      <c r="I5701" s="7">
        <f>-H5701/G5701</f>
        <v/>
      </c>
      <c r="J5701" s="11" t="n">
        <v>44673</v>
      </c>
      <c r="K5701" s="6" t="n">
        <v>400</v>
      </c>
      <c r="L5701" s="6" t="n">
        <v>0</v>
      </c>
      <c r="M5701" s="7">
        <f>IF(N5701=0,+L5701+H5701,0)</f>
        <v/>
      </c>
      <c r="N5701" s="7">
        <f>IF((+G5701-K5701)=0,0,+G5701-K5701)</f>
        <v/>
      </c>
      <c r="O5701" s="7">
        <f>IF(N5701=0,0,(L5701+H5701)/-N5701)</f>
        <v/>
      </c>
      <c r="P5701" s="7">
        <f>VLOOKUP(OPERAC[[#This Row],[especie]],[1]!ESPECIES[#All],6,0)</f>
        <v/>
      </c>
      <c r="Q5701" s="7">
        <f>IF(N5701&lt;&gt;0,P5701*N5701,0)</f>
        <v/>
      </c>
      <c r="R5701" s="8">
        <f>IF(Q5701&lt;&gt;0,Q5701+H5701+L5701,0)</f>
        <v/>
      </c>
      <c r="S5701" s="9">
        <f>VLOOKUP(OPERAC[[#This Row],[especie]],[1]!ESPECIES[#Data],9,FALSE)</f>
        <v/>
      </c>
    </row>
    <row r="5702">
      <c r="A5702" s="4" t="n">
        <v>19888</v>
      </c>
      <c r="B5702" s="5" t="n">
        <v>44658</v>
      </c>
      <c r="C5702" s="13" t="inlineStr">
        <is>
          <t>CPR</t>
        </is>
      </c>
      <c r="D5702" s="13" t="n">
        <v>32</v>
      </c>
      <c r="E5702" s="10">
        <f>IF(D5702&gt;0,VLOOKUP(OPERAC[[#This Row],[COD CART]],[1]!MatrizCortoLargoCyl[#All],3,0),"")</f>
        <v/>
      </c>
      <c r="F5702" s="13" t="inlineStr">
        <is>
          <t>KWEB/CYL/26,00/20-05-22</t>
        </is>
      </c>
      <c r="G5702" s="6" t="n">
        <v>100</v>
      </c>
      <c r="H5702" s="6" t="n">
        <v>-2497.698</v>
      </c>
      <c r="I5702" s="7">
        <f>-H5702/G5702</f>
        <v/>
      </c>
      <c r="J5702" s="11" t="n">
        <v>44698</v>
      </c>
      <c r="K5702" s="6" t="n">
        <v>100</v>
      </c>
      <c r="L5702" s="6" t="n">
        <v>2548.013</v>
      </c>
      <c r="M5702" s="7">
        <f>IF(N5702=0,+L5702+H5702,0)</f>
        <v/>
      </c>
      <c r="N5702" s="7">
        <f>IF((+G5702-K5702)=0,0,+G5702-K5702)</f>
        <v/>
      </c>
      <c r="O5702" s="7">
        <f>IF(N5702=0,0,(L5702+H5702)/-N5702)</f>
        <v/>
      </c>
      <c r="P5702" s="7">
        <f>VLOOKUP(OPERAC[[#This Row],[especie]],[1]!ESPECIES[#All],6,0)</f>
        <v/>
      </c>
      <c r="Q5702" s="7">
        <f>IF(N5702&lt;&gt;0,P5702*N5702,0)</f>
        <v/>
      </c>
      <c r="R5702" s="8">
        <f>IF(Q5702&lt;&gt;0,Q5702+H5702+L5702,0)</f>
        <v/>
      </c>
      <c r="S5702" s="9">
        <f>VLOOKUP(OPERAC[[#This Row],[especie]],[1]!ESPECIES[#Data],9,FALSE)</f>
        <v/>
      </c>
    </row>
    <row r="5703">
      <c r="A5703" s="4" t="n">
        <v>12690</v>
      </c>
      <c r="B5703" s="5" t="n">
        <v>44558</v>
      </c>
      <c r="C5703" s="13" t="inlineStr">
        <is>
          <t>CPR</t>
        </is>
      </c>
      <c r="D5703" s="13" t="n">
        <v>32</v>
      </c>
      <c r="E5703" s="10">
        <f>IF(D5703&gt;0,VLOOKUP(OPERAC[[#This Row],[COD CART]],[1]!MatrizCortoLargoCyl[#All],3,0),"")</f>
        <v/>
      </c>
      <c r="F5703" s="13" t="inlineStr">
        <is>
          <t>EDIT</t>
        </is>
      </c>
      <c r="G5703" s="6" t="n">
        <v>100</v>
      </c>
      <c r="H5703" s="6">
        <f>-2559.296+29.76+24.8</f>
        <v/>
      </c>
      <c r="I5703" s="7">
        <f>-H5703/G5703</f>
        <v/>
      </c>
      <c r="J5703" s="11" t="n"/>
      <c r="K5703" s="6" t="n"/>
      <c r="L5703" s="6" t="n"/>
      <c r="M5703" s="7">
        <f>IF(N5703=0,+L5703+H5703,0)</f>
        <v/>
      </c>
      <c r="N5703" s="7">
        <f>IF((+G5703-K5703)=0,0,+G5703-K5703)</f>
        <v/>
      </c>
      <c r="O5703" s="7">
        <f>IF(N5703=0,0,(L5703+H5703)/-N5703)</f>
        <v/>
      </c>
      <c r="P5703" s="7">
        <f>VLOOKUP(OPERAC[[#This Row],[especie]],[1]!ESPECIES[#All],6,0)</f>
        <v/>
      </c>
      <c r="Q5703" s="7">
        <f>IF(N5703&lt;&gt;0,P5703*N5703,0)</f>
        <v/>
      </c>
      <c r="R5703" s="8">
        <f>IF(Q5703&lt;&gt;0,Q5703+H5703+L5703,0)</f>
        <v/>
      </c>
      <c r="S5703" s="9">
        <f>VLOOKUP(OPERAC[[#This Row],[especie]],[1]!ESPECIES[#Data],9,FALSE)</f>
        <v/>
      </c>
    </row>
    <row r="5704">
      <c r="A5704" s="4" t="n">
        <v>13185</v>
      </c>
      <c r="B5704" s="5" t="n">
        <v>44662</v>
      </c>
      <c r="C5704" s="13" t="inlineStr">
        <is>
          <t>CPR</t>
        </is>
      </c>
      <c r="D5704" s="13" t="n">
        <v>42</v>
      </c>
      <c r="E5704" s="10">
        <f>IF(D5704&gt;0,VLOOKUP(OPERAC[[#This Row],[COD CART]],[1]!MatrizCortoLargoCyl[#All],3,0),"")</f>
        <v/>
      </c>
      <c r="F5704" s="13" t="inlineStr">
        <is>
          <t>HYDR</t>
        </is>
      </c>
      <c r="G5704" s="6" t="n">
        <v>135</v>
      </c>
      <c r="H5704" s="6" t="n">
        <v>-2506.99644</v>
      </c>
      <c r="I5704" s="7">
        <f>-H5704/G5704</f>
        <v/>
      </c>
      <c r="J5704" s="11" t="n">
        <v>44693</v>
      </c>
      <c r="K5704" s="6">
        <f>+OPERAC[[#This Row],[cantidad]]</f>
        <v/>
      </c>
      <c r="L5704" s="6">
        <f>+OPERAC[[#This Row],[cantidad venta]]*12.027</f>
        <v/>
      </c>
      <c r="M5704" s="7">
        <f>IF(N5704=0,+L5704+H5704,0)</f>
        <v/>
      </c>
      <c r="N5704" s="7">
        <f>IF((+G5704-K5704)=0,0,+G5704-K5704)</f>
        <v/>
      </c>
      <c r="O5704" s="7">
        <f>IF(N5704=0,0,(L5704+H5704)/-N5704)</f>
        <v/>
      </c>
      <c r="P5704" s="7">
        <f>VLOOKUP(OPERAC[[#This Row],[especie]],[1]!ESPECIES[#All],6,0)</f>
        <v/>
      </c>
      <c r="Q5704" s="7">
        <f>IF(N5704&lt;&gt;0,P5704*N5704,0)</f>
        <v/>
      </c>
      <c r="R5704" s="8">
        <f>IF(Q5704&lt;&gt;0,Q5704+H5704+L5704,0)</f>
        <v/>
      </c>
      <c r="S5704" s="9">
        <f>VLOOKUP(OPERAC[[#This Row],[especie]],[1]!ESPECIES[#Data],9,FALSE)</f>
        <v/>
      </c>
    </row>
    <row r="5705">
      <c r="A5705" s="4" t="n">
        <v>13253</v>
      </c>
      <c r="B5705" s="5" t="n">
        <v>44571</v>
      </c>
      <c r="C5705" s="13" t="inlineStr">
        <is>
          <t>CPR</t>
        </is>
      </c>
      <c r="D5705" s="13" t="n">
        <v>41</v>
      </c>
      <c r="E5705" s="10">
        <f>IF(D5705&gt;0,VLOOKUP(OPERAC[[#This Row],[COD CART]],[1]!MatrizCortoLargoCyl[#All],3,0),"")</f>
        <v/>
      </c>
      <c r="F5705" s="13" t="inlineStr">
        <is>
          <t>CSDOO</t>
        </is>
      </c>
      <c r="G5705" s="6" t="n">
        <v>2500</v>
      </c>
      <c r="H5705" s="6" t="n">
        <v>-2507.4</v>
      </c>
      <c r="I5705" s="7">
        <f>-H5705/G5705</f>
        <v/>
      </c>
      <c r="J5705" s="11" t="n"/>
      <c r="K5705" s="6" t="n"/>
      <c r="L5705" s="6" t="n"/>
      <c r="M5705" s="7">
        <f>IF(N5705=0,+L5705+H5705,0)</f>
        <v/>
      </c>
      <c r="N5705" s="7">
        <f>IF((+G5705-K5705)=0,0,+G5705-K5705)</f>
        <v/>
      </c>
      <c r="O5705" s="7">
        <f>IF(N5705=0,0,(L5705+H5705)/-N5705)</f>
        <v/>
      </c>
      <c r="P5705" s="7">
        <f>VLOOKUP(OPERAC[[#This Row],[especie]],[1]!ESPECIES[#All],6,0)</f>
        <v/>
      </c>
      <c r="Q5705" s="7">
        <f>IF(N5705&lt;&gt;0,P5705*N5705,0)</f>
        <v/>
      </c>
      <c r="R5705" s="8">
        <f>IF(Q5705&lt;&gt;0,Q5705+H5705+L5705,0)</f>
        <v/>
      </c>
      <c r="S5705" s="9">
        <f>VLOOKUP(OPERAC[[#This Row],[especie]],[1]!ESPECIES[#Data],9,FALSE)</f>
        <v/>
      </c>
    </row>
    <row r="5706">
      <c r="A5706" s="4" t="n">
        <v>12690</v>
      </c>
      <c r="B5706" s="5" t="n">
        <v>44715</v>
      </c>
      <c r="C5706" s="13" t="inlineStr">
        <is>
          <t>CPR</t>
        </is>
      </c>
      <c r="D5706" s="13" t="n">
        <v>32</v>
      </c>
      <c r="E5706" s="10">
        <f>IF(D5706&gt;0,VLOOKUP(OPERAC[[#This Row],[COD CART]],[1]!MatrizCortoLargoCyl[#All],3,0),"")</f>
        <v/>
      </c>
      <c r="F5706" s="13" t="inlineStr">
        <is>
          <t>CCL/CYL/13,00/17-06-22</t>
        </is>
      </c>
      <c r="G5706" s="6" t="n">
        <v>200</v>
      </c>
      <c r="H5706" s="6" t="n">
        <v>-2508.08</v>
      </c>
      <c r="I5706" s="7">
        <f>-H5706/G5706</f>
        <v/>
      </c>
      <c r="J5706" s="5" t="n"/>
      <c r="K5706" s="6" t="n"/>
      <c r="L5706" s="6" t="n"/>
      <c r="M5706" s="7">
        <f>IF(N5706=0,+L5706+H5706,0)</f>
        <v/>
      </c>
      <c r="N5706" s="7">
        <f>IF((+G5706-K5706)=0,0,+G5706-K5706)</f>
        <v/>
      </c>
      <c r="O5706" s="7">
        <f>IF(N5706=0,0,(L5706+H5706)/-N5706)</f>
        <v/>
      </c>
      <c r="P5706" s="7">
        <f>VLOOKUP(OPERAC[[#This Row],[especie]],[1]!ESPECIES[#All],6,0)</f>
        <v/>
      </c>
      <c r="Q5706" s="7">
        <f>IF(N5706&lt;&gt;0,P5706*N5706,0)</f>
        <v/>
      </c>
      <c r="R5706" s="8">
        <f>IF(Q5706&lt;&gt;0,Q5706+H5706+L5706,0)</f>
        <v/>
      </c>
      <c r="S5706" s="9">
        <f>VLOOKUP(OPERAC[[#This Row],[especie]],[1]!ESPECIES[#Data],9,FALSE)</f>
        <v/>
      </c>
    </row>
    <row r="5707">
      <c r="A5707" s="4" t="n">
        <v>16783</v>
      </c>
      <c r="B5707" s="5" t="n">
        <v>44698</v>
      </c>
      <c r="C5707" s="13" t="inlineStr">
        <is>
          <t>CPR</t>
        </is>
      </c>
      <c r="D5707" s="13" t="n">
        <v>39</v>
      </c>
      <c r="E5707" s="10">
        <f>IF(D5707&gt;0,VLOOKUP(OPERAC[[#This Row],[COD CART]],[1]!MatrizCortoLargoCyl[#All],3,0),"")</f>
        <v/>
      </c>
      <c r="F5707" s="13" t="inlineStr">
        <is>
          <t>NTLA/C/65,00/15-07-22</t>
        </is>
      </c>
      <c r="G5707" s="6" t="n">
        <v>1000</v>
      </c>
      <c r="H5707" s="6" t="n">
        <v>-2511.25</v>
      </c>
      <c r="I5707" s="7">
        <f>-H5707/G5707</f>
        <v/>
      </c>
      <c r="J5707" s="11" t="n"/>
      <c r="K5707" s="6" t="n"/>
      <c r="L5707" s="6" t="n"/>
      <c r="M5707" s="7">
        <f>IF(N5707=0,+L5707+H5707,0)</f>
        <v/>
      </c>
      <c r="N5707" s="7">
        <f>IF((+G5707-K5707)=0,0,+G5707-K5707)</f>
        <v/>
      </c>
      <c r="O5707" s="7">
        <f>IF(N5707=0,0,(L5707+H5707)/-N5707)</f>
        <v/>
      </c>
      <c r="P5707" s="7">
        <f>VLOOKUP(OPERAC[[#This Row],[especie]],[1]!ESPECIES[#All],6,0)</f>
        <v/>
      </c>
      <c r="Q5707" s="7">
        <f>IF(N5707&lt;&gt;0,P5707*N5707,0)</f>
        <v/>
      </c>
      <c r="R5707" s="8">
        <f>IF(Q5707&lt;&gt;0,Q5707+H5707+L5707,0)</f>
        <v/>
      </c>
      <c r="S5707" s="9">
        <f>VLOOKUP(OPERAC[[#This Row],[especie]],[1]!ESPECIES[#Data],9,FALSE)</f>
        <v/>
      </c>
    </row>
    <row r="5708">
      <c r="A5708" s="4" t="n">
        <v>10079</v>
      </c>
      <c r="B5708" s="5" t="n">
        <v>44698</v>
      </c>
      <c r="C5708" s="13" t="inlineStr">
        <is>
          <t>CPR</t>
        </is>
      </c>
      <c r="D5708" s="13" t="n">
        <v>39</v>
      </c>
      <c r="E5708" s="10">
        <f>IF(D5708&gt;0,VLOOKUP(OPERAC[[#This Row],[COD CART]],[1]!MatrizCortoLargoCyl[#All],3,0),"")</f>
        <v/>
      </c>
      <c r="F5708" s="13" t="inlineStr">
        <is>
          <t>NTLA/C/65,00/15-07-22</t>
        </is>
      </c>
      <c r="G5708" s="6" t="n">
        <v>1000</v>
      </c>
      <c r="H5708" s="6" t="n">
        <v>-2521.25</v>
      </c>
      <c r="I5708" s="7">
        <f>-H5708/G5708</f>
        <v/>
      </c>
      <c r="J5708" s="11" t="n"/>
      <c r="K5708" s="6" t="n"/>
      <c r="L5708" s="6" t="n"/>
      <c r="M5708" s="7">
        <f>IF(N5708=0,+L5708+H5708,0)</f>
        <v/>
      </c>
      <c r="N5708" s="7">
        <f>IF((+G5708-K5708)=0,0,+G5708-K5708)</f>
        <v/>
      </c>
      <c r="O5708" s="7">
        <f>IF(N5708=0,0,(L5708+H5708)/-N5708)</f>
        <v/>
      </c>
      <c r="P5708" s="7">
        <f>VLOOKUP(OPERAC[[#This Row],[especie]],[1]!ESPECIES[#All],6,0)</f>
        <v/>
      </c>
      <c r="Q5708" s="7">
        <f>IF(N5708&lt;&gt;0,P5708*N5708,0)</f>
        <v/>
      </c>
      <c r="R5708" s="8">
        <f>IF(Q5708&lt;&gt;0,Q5708+H5708+L5708,0)</f>
        <v/>
      </c>
      <c r="S5708" s="9">
        <f>VLOOKUP(OPERAC[[#This Row],[especie]],[1]!ESPECIES[#Data],9,FALSE)</f>
        <v/>
      </c>
    </row>
    <row r="5709">
      <c r="A5709" s="4" t="n">
        <v>19867</v>
      </c>
      <c r="B5709" s="5" t="n">
        <v>44643</v>
      </c>
      <c r="C5709" s="13" t="inlineStr">
        <is>
          <t>CPR</t>
        </is>
      </c>
      <c r="D5709" s="13" t="n">
        <v>42</v>
      </c>
      <c r="E5709" s="10">
        <f>IF(D5709&gt;0,VLOOKUP(OPERAC[[#This Row],[COD CART]],[1]!MatrizCortoLargoCyl[#All],3,0),"")</f>
        <v/>
      </c>
      <c r="F5709" s="13" t="inlineStr">
        <is>
          <t>ADBE</t>
        </is>
      </c>
      <c r="G5709" s="6" t="n">
        <v>6</v>
      </c>
      <c r="H5709" s="6" t="n">
        <v>-2526.32865</v>
      </c>
      <c r="I5709" s="7">
        <f>-H5709/G5709</f>
        <v/>
      </c>
      <c r="J5709" s="11" t="n">
        <v>44687</v>
      </c>
      <c r="K5709" s="6">
        <f>+OPERAC[[#This Row],[cantidad]]</f>
        <v/>
      </c>
      <c r="L5709" s="6" t="n">
        <v>2318.53</v>
      </c>
      <c r="M5709" s="7">
        <f>IF(N5709=0,+L5709+H5709,0)</f>
        <v/>
      </c>
      <c r="N5709" s="7">
        <f>IF((+G5709-K5709)=0,0,+G5709-K5709)</f>
        <v/>
      </c>
      <c r="O5709" s="7">
        <f>IF(N5709=0,0,(L5709+H5709)/-N5709)</f>
        <v/>
      </c>
      <c r="P5709" s="7">
        <f>VLOOKUP(OPERAC[[#This Row],[especie]],[1]!ESPECIES[#All],6,0)</f>
        <v/>
      </c>
      <c r="Q5709" s="7">
        <f>IF(N5709&lt;&gt;0,P5709*N5709,0)</f>
        <v/>
      </c>
      <c r="R5709" s="8">
        <f>IF(Q5709&lt;&gt;0,Q5709+H5709+L5709,0)</f>
        <v/>
      </c>
      <c r="S5709" s="9">
        <f>VLOOKUP(OPERAC[[#This Row],[especie]],[1]!ESPECIES[#Data],9,FALSE)</f>
        <v/>
      </c>
    </row>
    <row r="5710">
      <c r="A5710" s="4" t="n">
        <v>13240</v>
      </c>
      <c r="B5710" s="5" t="n">
        <v>44523</v>
      </c>
      <c r="C5710" s="13" t="inlineStr">
        <is>
          <t>CPR</t>
        </is>
      </c>
      <c r="D5710" s="13" t="n">
        <v>32</v>
      </c>
      <c r="E5710" s="10">
        <f>IF(D5710&gt;0,VLOOKUP(OPERAC[[#This Row],[COD CART]],[1]!MatrizCortoLargoCyl[#All],3,0),"")</f>
        <v/>
      </c>
      <c r="F5710" s="13" t="inlineStr">
        <is>
          <t>TEVA/CYL/9,00/21-01-22</t>
        </is>
      </c>
      <c r="G5710" s="6" t="n">
        <v>300</v>
      </c>
      <c r="H5710" s="6">
        <f>-2584.8996+56.621</f>
        <v/>
      </c>
      <c r="I5710" s="7">
        <f>-H5710/G5710</f>
        <v/>
      </c>
      <c r="J5710" s="11" t="n">
        <v>44575</v>
      </c>
      <c r="K5710" s="6" t="n">
        <v>300</v>
      </c>
      <c r="L5710" s="6" t="n">
        <v>2636.75</v>
      </c>
      <c r="M5710" s="7">
        <f>IF(N5710=0,+L5710+H5710,0)</f>
        <v/>
      </c>
      <c r="N5710" s="7">
        <f>IF((+G5710-K5710)=0,0,+G5710-K5710)</f>
        <v/>
      </c>
      <c r="O5710" s="7">
        <f>IF(N5710=0,0,(L5710+H5710)/-N5710)</f>
        <v/>
      </c>
      <c r="P5710" s="7">
        <f>VLOOKUP(OPERAC[[#This Row],[especie]],[1]!ESPECIES[#All],6,0)</f>
        <v/>
      </c>
      <c r="Q5710" s="7">
        <f>IF(N5710&lt;&gt;0,P5710*N5710,0)</f>
        <v/>
      </c>
      <c r="R5710" s="8">
        <f>IF(Q5710&lt;&gt;0,Q5710+H5710+L5710,0)</f>
        <v/>
      </c>
      <c r="S5710" s="9">
        <f>VLOOKUP(OPERAC[[#This Row],[especie]],[1]!ESPECIES[#Data],9,FALSE)</f>
        <v/>
      </c>
    </row>
    <row r="5711">
      <c r="A5711" s="4" t="n">
        <v>3728</v>
      </c>
      <c r="B5711" s="5" t="n">
        <v>44720</v>
      </c>
      <c r="C5711" s="13" t="inlineStr">
        <is>
          <t>CPR</t>
        </is>
      </c>
      <c r="D5711" s="13" t="n">
        <v>39</v>
      </c>
      <c r="E5711" s="10">
        <f>IF(D5711&gt;0,VLOOKUP(OPERAC[[#This Row],[COD CART]],[1]!MatrizCortoLargoCyl[#All],3,0),"")</f>
        <v/>
      </c>
      <c r="F5711" s="13" t="inlineStr">
        <is>
          <t>BABA/C/110,00/15-07-22</t>
        </is>
      </c>
      <c r="G5711" s="6" t="n">
        <v>200</v>
      </c>
      <c r="H5711" s="6" t="n">
        <v>-2532.53</v>
      </c>
      <c r="I5711" s="7">
        <f>-H5711/G5711</f>
        <v/>
      </c>
      <c r="J5711" s="5" t="n"/>
      <c r="K5711" s="6" t="n"/>
      <c r="L5711" s="6" t="n"/>
      <c r="M5711" s="7">
        <f>IF(N5711=0,+L5711+H5711,0)</f>
        <v/>
      </c>
      <c r="N5711" s="7">
        <f>IF((+G5711-K5711)=0,0,+G5711-K5711)</f>
        <v/>
      </c>
      <c r="O5711" s="7">
        <f>IF(N5711=0,0,(L5711+H5711)/-N5711)</f>
        <v/>
      </c>
      <c r="P5711" s="7">
        <f>VLOOKUP(OPERAC[[#This Row],[especie]],[1]!ESPECIES[#All],6,0)</f>
        <v/>
      </c>
      <c r="Q5711" s="7">
        <f>IF(N5711&lt;&gt;0,P5711*N5711,0)</f>
        <v/>
      </c>
      <c r="R5711" s="8">
        <f>IF(Q5711&lt;&gt;0,Q5711+H5711+L5711,0)</f>
        <v/>
      </c>
      <c r="S5711" s="9">
        <f>VLOOKUP(OPERAC[[#This Row],[especie]],[1]!ESPECIES[#Data],9,FALSE)</f>
        <v/>
      </c>
    </row>
    <row r="5712">
      <c r="A5712" s="4" t="n">
        <v>12674</v>
      </c>
      <c r="B5712" s="5" t="n">
        <v>44586</v>
      </c>
      <c r="C5712" s="13" t="inlineStr">
        <is>
          <t>CPR</t>
        </is>
      </c>
      <c r="D5712" s="13" t="n">
        <v>43</v>
      </c>
      <c r="E5712" s="10">
        <f>IF(D5712&gt;0,VLOOKUP(OPERAC[[#This Row],[COD CART]],[1]!MatrizCortoLargoCyl[#All],3,0),"")</f>
        <v/>
      </c>
      <c r="F5712" s="13" t="inlineStr">
        <is>
          <t>GMBL/CYL-PUT/2,50/20-01-23</t>
        </is>
      </c>
      <c r="G5712" s="6" t="n">
        <v>2500</v>
      </c>
      <c r="H5712" s="6" t="n">
        <v>-2540.1023</v>
      </c>
      <c r="I5712" s="7">
        <f>-H5712/G5712</f>
        <v/>
      </c>
      <c r="J5712" s="11" t="n">
        <v>44652</v>
      </c>
      <c r="K5712" s="6">
        <f>500+1000+500+500</f>
        <v/>
      </c>
      <c r="L5712" s="6">
        <f>-650.5-1231.69-933.26-892.87</f>
        <v/>
      </c>
      <c r="M5712" s="7">
        <f>IF(N5712=0,+L5712+H5712,0)</f>
        <v/>
      </c>
      <c r="N5712" s="7">
        <f>IF((+G5712-K5712)=0,0,+G5712-K5712)</f>
        <v/>
      </c>
      <c r="O5712" s="7" t="n">
        <v>1.02</v>
      </c>
      <c r="P5712" s="7">
        <f>VLOOKUP(OPERAC[[#This Row],[especie]],[1]!ESPECIES[#All],6,0)</f>
        <v/>
      </c>
      <c r="Q5712" s="7">
        <f>IF(N5712&lt;&gt;0,P5712*N5712,0)</f>
        <v/>
      </c>
      <c r="R5712" s="8">
        <f>IF(Q5712&lt;&gt;0,Q5712+H5712+L5712,0)</f>
        <v/>
      </c>
      <c r="S5712" s="9">
        <f>VLOOKUP(OPERAC[[#This Row],[especie]],[1]!ESPECIES[#Data],9,FALSE)</f>
        <v/>
      </c>
    </row>
    <row r="5713">
      <c r="A5713" s="4" t="n">
        <v>13185</v>
      </c>
      <c r="B5713" s="5" t="n">
        <v>44671</v>
      </c>
      <c r="C5713" s="13" t="inlineStr">
        <is>
          <t>CPR</t>
        </is>
      </c>
      <c r="D5713" s="13" t="n">
        <v>42</v>
      </c>
      <c r="E5713" s="10">
        <f>IF(D5713&gt;0,VLOOKUP(OPERAC[[#This Row],[COD CART]],[1]!MatrizCortoLargoCyl[#All],3,0),"")</f>
        <v/>
      </c>
      <c r="F5713" s="13" t="inlineStr">
        <is>
          <t>NFLX</t>
        </is>
      </c>
      <c r="G5713" s="6" t="n">
        <v>10</v>
      </c>
      <c r="H5713" s="6" t="n">
        <v>-2545.0506</v>
      </c>
      <c r="I5713" s="7">
        <f>-H5713/G5713</f>
        <v/>
      </c>
      <c r="J5713" s="11" t="n">
        <v>44693</v>
      </c>
      <c r="K5713" s="6">
        <f>+OPERAC[[#This Row],[cantidad]]</f>
        <v/>
      </c>
      <c r="L5713" s="6">
        <f>+OPERAC[[#This Row],[cantidad venta]]*169.079</f>
        <v/>
      </c>
      <c r="M5713" s="7">
        <f>IF(N5713=0,+L5713+H5713,0)</f>
        <v/>
      </c>
      <c r="N5713" s="7">
        <f>IF((+G5713-K5713)=0,0,+G5713-K5713)</f>
        <v/>
      </c>
      <c r="O5713" s="7">
        <f>IF(N5713=0,0,(L5713+H5713)/-N5713)</f>
        <v/>
      </c>
      <c r="P5713" s="7">
        <f>VLOOKUP(OPERAC[[#This Row],[especie]],[1]!ESPECIES[#All],6,0)</f>
        <v/>
      </c>
      <c r="Q5713" s="7">
        <f>IF(N5713&lt;&gt;0,P5713*N5713,0)</f>
        <v/>
      </c>
      <c r="R5713" s="8">
        <f>IF(Q5713&lt;&gt;0,Q5713+H5713+L5713,0)</f>
        <v/>
      </c>
      <c r="S5713" s="9">
        <f>VLOOKUP(OPERAC[[#This Row],[especie]],[1]!ESPECIES[#Data],9,FALSE)</f>
        <v/>
      </c>
    </row>
    <row r="5714">
      <c r="A5714" s="4" t="n">
        <v>19878</v>
      </c>
      <c r="B5714" s="5" t="n">
        <v>44536</v>
      </c>
      <c r="C5714" s="13" t="inlineStr">
        <is>
          <t>CPR</t>
        </is>
      </c>
      <c r="D5714" s="13" t="n">
        <v>40</v>
      </c>
      <c r="E5714" s="10">
        <f>IF(D5714&gt;0,VLOOKUP(OPERAC[[#This Row],[COD CART]],[1]!MatrizCortoLargoCyl[#All],3,0),"")</f>
        <v/>
      </c>
      <c r="F5714" s="13" t="inlineStr">
        <is>
          <t>UVXY</t>
        </is>
      </c>
      <c r="G5714" s="6" t="n">
        <v>110</v>
      </c>
      <c r="H5714" s="6" t="n">
        <v>-2549.6812</v>
      </c>
      <c r="I5714" s="7">
        <f>-H5714/G5714</f>
        <v/>
      </c>
      <c r="J5714" s="11" t="n">
        <v>44559</v>
      </c>
      <c r="K5714" s="6">
        <f>25+85</f>
        <v/>
      </c>
      <c r="L5714" s="6">
        <f>320.656+1201.456</f>
        <v/>
      </c>
      <c r="M5714" s="7">
        <f>IF(N5714=0,+L5714+H5714,0)</f>
        <v/>
      </c>
      <c r="N5714" s="7">
        <f>IF((+G5714-K5714)=0,0,+G5714-K5714)</f>
        <v/>
      </c>
      <c r="O5714" s="7">
        <f>IF(N5714=0,0,(L5714+H5714)/-N5714)</f>
        <v/>
      </c>
      <c r="P5714" s="7">
        <f>VLOOKUP(OPERAC[[#This Row],[especie]],[1]!ESPECIES[#All],6,0)</f>
        <v/>
      </c>
      <c r="Q5714" s="7">
        <f>IF(N5714&lt;&gt;0,P5714*N5714,0)</f>
        <v/>
      </c>
      <c r="R5714" s="8">
        <f>IF(Q5714&lt;&gt;0,Q5714+H5714+L5714,0)</f>
        <v/>
      </c>
      <c r="S5714" s="9">
        <f>VLOOKUP(OPERAC[[#This Row],[especie]],[1]!ESPECIES[#Data],9,FALSE)</f>
        <v/>
      </c>
    </row>
    <row r="5715">
      <c r="A5715" s="4" t="n">
        <v>19888</v>
      </c>
      <c r="B5715" s="5" t="n">
        <v>44536</v>
      </c>
      <c r="C5715" s="13" t="inlineStr">
        <is>
          <t>CPR</t>
        </is>
      </c>
      <c r="D5715" s="13" t="n">
        <v>40</v>
      </c>
      <c r="E5715" s="10">
        <f>IF(D5715&gt;0,VLOOKUP(OPERAC[[#This Row],[COD CART]],[1]!MatrizCortoLargoCyl[#All],3,0),"")</f>
        <v/>
      </c>
      <c r="F5715" s="13" t="inlineStr">
        <is>
          <t>UVXY</t>
        </is>
      </c>
      <c r="G5715" s="6" t="n">
        <v>110</v>
      </c>
      <c r="H5715" s="6" t="n">
        <v>-2549.6812</v>
      </c>
      <c r="I5715" s="7">
        <f>-H5715/G5715</f>
        <v/>
      </c>
      <c r="J5715" s="11" t="n">
        <v>44571</v>
      </c>
      <c r="K5715" s="6">
        <f>+OPERAC[[#This Row],[cantidad]]</f>
        <v/>
      </c>
      <c r="L5715" s="6">
        <f>+OPERAC[[#This Row],[cantidad venta]]*14.135</f>
        <v/>
      </c>
      <c r="M5715" s="7">
        <f>IF(N5715=0,+L5715+H5715,0)</f>
        <v/>
      </c>
      <c r="N5715" s="7">
        <f>IF((+G5715-K5715)=0,0,+G5715-K5715)</f>
        <v/>
      </c>
      <c r="O5715" s="7">
        <f>IF(N5715=0,0,(L5715+H5715)/-N5715)</f>
        <v/>
      </c>
      <c r="P5715" s="7">
        <f>VLOOKUP(OPERAC[[#This Row],[especie]],[1]!ESPECIES[#All],6,0)</f>
        <v/>
      </c>
      <c r="Q5715" s="7">
        <f>IF(N5715&lt;&gt;0,P5715*N5715,0)</f>
        <v/>
      </c>
      <c r="R5715" s="8">
        <f>IF(Q5715&lt;&gt;0,Q5715+H5715+L5715,0)</f>
        <v/>
      </c>
      <c r="S5715" s="9">
        <f>VLOOKUP(OPERAC[[#This Row],[especie]],[1]!ESPECIES[#Data],9,FALSE)</f>
        <v/>
      </c>
    </row>
    <row r="5716">
      <c r="A5716" s="4" t="n">
        <v>2218</v>
      </c>
      <c r="B5716" s="5" t="n">
        <v>44680</v>
      </c>
      <c r="C5716" s="13" t="inlineStr">
        <is>
          <t>CPR</t>
        </is>
      </c>
      <c r="D5716" s="13" t="n">
        <v>31</v>
      </c>
      <c r="E5716" s="10">
        <f>IF(D5716&gt;0,VLOOKUP(OPERAC[[#This Row],[COD CART]],[1]!MatrizCortoLargoCyl[#All],3,0),"")</f>
        <v/>
      </c>
      <c r="F5716" s="13" t="inlineStr">
        <is>
          <t>DHR</t>
        </is>
      </c>
      <c r="G5716" s="6" t="n">
        <v>10</v>
      </c>
      <c r="H5716" s="6" t="n">
        <v>-2553.951</v>
      </c>
      <c r="I5716" s="7">
        <f>-H5716/G5716</f>
        <v/>
      </c>
      <c r="J5716" s="11" t="n">
        <v>44690</v>
      </c>
      <c r="K5716" s="6" t="n">
        <v>10</v>
      </c>
      <c r="L5716" s="6" t="n">
        <v>2378.619</v>
      </c>
      <c r="M5716" s="7">
        <f>IF(N5716=0,+L5716+H5716,0)</f>
        <v/>
      </c>
      <c r="N5716" s="7">
        <f>IF((+G5716-K5716)=0,0,+G5716-K5716)</f>
        <v/>
      </c>
      <c r="O5716" s="7">
        <f>IF(N5716=0,0,(L5716+H5716)/-N5716)</f>
        <v/>
      </c>
      <c r="P5716" s="7">
        <f>VLOOKUP(OPERAC[[#This Row],[especie]],[1]!ESPECIES[#All],6,0)</f>
        <v/>
      </c>
      <c r="Q5716" s="7">
        <f>IF(N5716&lt;&gt;0,P5716*N5716,0)</f>
        <v/>
      </c>
      <c r="R5716" s="8">
        <f>IF(Q5716&lt;&gt;0,Q5716+H5716+L5716,0)</f>
        <v/>
      </c>
      <c r="S5716" s="9">
        <f>VLOOKUP(OPERAC[[#This Row],[especie]],[1]!ESPECIES[#Data],9,FALSE)</f>
        <v/>
      </c>
    </row>
    <row r="5717">
      <c r="A5717" s="4" t="n">
        <v>2255</v>
      </c>
      <c r="B5717" s="5" t="n">
        <v>44539</v>
      </c>
      <c r="C5717" s="13" t="inlineStr">
        <is>
          <t>CPR</t>
        </is>
      </c>
      <c r="D5717" s="13" t="n">
        <v>40</v>
      </c>
      <c r="E5717" s="10">
        <f>IF(D5717&gt;0,VLOOKUP(OPERAC[[#This Row],[COD CART]],[1]!MatrizCortoLargoCyl[#All],3,0),"")</f>
        <v/>
      </c>
      <c r="F5717" s="13" t="inlineStr">
        <is>
          <t>ROKU</t>
        </is>
      </c>
      <c r="G5717" s="6" t="n">
        <v>10</v>
      </c>
      <c r="H5717" s="6" t="n">
        <v>-2577.2036</v>
      </c>
      <c r="I5717" s="7">
        <f>-H5717/G5717</f>
        <v/>
      </c>
      <c r="J5717" s="11" t="n">
        <v>44606</v>
      </c>
      <c r="K5717" s="6">
        <f>+OPERAC[[#This Row],[cantidad]]</f>
        <v/>
      </c>
      <c r="L5717" s="6">
        <f>+OPERAC[[#This Row],[cantidad venta]]*160.574</f>
        <v/>
      </c>
      <c r="M5717" s="7">
        <f>IF(N5717=0,+L5717+H5717,0)</f>
        <v/>
      </c>
      <c r="N5717" s="7">
        <f>IF((+G5717-K5717)=0,0,+G5717-K5717)</f>
        <v/>
      </c>
      <c r="O5717" s="7">
        <f>IF(N5717=0,0,(L5717+H5717)/-N5717)</f>
        <v/>
      </c>
      <c r="P5717" s="7">
        <f>VLOOKUP(OPERAC[[#This Row],[especie]],[1]!ESPECIES[#All],6,0)</f>
        <v/>
      </c>
      <c r="Q5717" s="7">
        <f>IF(N5717&lt;&gt;0,P5717*N5717,0)</f>
        <v/>
      </c>
      <c r="R5717" s="8">
        <f>IF(Q5717&lt;&gt;0,Q5717+H5717+L5717,0)</f>
        <v/>
      </c>
      <c r="S5717" s="9">
        <f>VLOOKUP(OPERAC[[#This Row],[especie]],[1]!ESPECIES[#Data],9,FALSE)</f>
        <v/>
      </c>
    </row>
    <row r="5718">
      <c r="A5718" s="4" t="n">
        <v>3787</v>
      </c>
      <c r="B5718" s="5" t="n">
        <v>44539</v>
      </c>
      <c r="C5718" s="13" t="inlineStr">
        <is>
          <t>CPR</t>
        </is>
      </c>
      <c r="D5718" s="13" t="n">
        <v>40</v>
      </c>
      <c r="E5718" s="10">
        <f>IF(D5718&gt;0,VLOOKUP(OPERAC[[#This Row],[COD CART]],[1]!MatrizCortoLargoCyl[#All],3,0),"")</f>
        <v/>
      </c>
      <c r="F5718" s="13" t="inlineStr">
        <is>
          <t>ROKU</t>
        </is>
      </c>
      <c r="G5718" s="6" t="n">
        <v>10</v>
      </c>
      <c r="H5718" s="6" t="n">
        <v>-2577.2036</v>
      </c>
      <c r="I5718" s="7">
        <f>-H5718/G5718</f>
        <v/>
      </c>
      <c r="J5718" s="11" t="n">
        <v>44606</v>
      </c>
      <c r="K5718" s="6">
        <f>+OPERAC[[#This Row],[cantidad]]</f>
        <v/>
      </c>
      <c r="L5718" s="6">
        <f>+OPERAC[[#This Row],[cantidad venta]]*160.574</f>
        <v/>
      </c>
      <c r="M5718" s="7">
        <f>IF(N5718=0,+L5718+H5718,0)</f>
        <v/>
      </c>
      <c r="N5718" s="7">
        <f>IF((+G5718-K5718)=0,0,+G5718-K5718)</f>
        <v/>
      </c>
      <c r="O5718" s="7">
        <f>IF(N5718=0,0,(L5718+H5718)/-N5718)</f>
        <v/>
      </c>
      <c r="P5718" s="7">
        <f>VLOOKUP(OPERAC[[#This Row],[especie]],[1]!ESPECIES[#All],6,0)</f>
        <v/>
      </c>
      <c r="Q5718" s="7">
        <f>IF(N5718&lt;&gt;0,P5718*N5718,0)</f>
        <v/>
      </c>
      <c r="R5718" s="8">
        <f>IF(Q5718&lt;&gt;0,Q5718+H5718+L5718,0)</f>
        <v/>
      </c>
      <c r="S5718" s="9">
        <f>VLOOKUP(OPERAC[[#This Row],[especie]],[1]!ESPECIES[#Data],9,FALSE)</f>
        <v/>
      </c>
    </row>
    <row r="5719">
      <c r="A5719" s="4" t="n">
        <v>3853</v>
      </c>
      <c r="B5719" s="5" t="n">
        <v>44539</v>
      </c>
      <c r="C5719" s="13" t="inlineStr">
        <is>
          <t>CPR</t>
        </is>
      </c>
      <c r="D5719" s="13" t="n">
        <v>40</v>
      </c>
      <c r="E5719" s="10">
        <f>IF(D5719&gt;0,VLOOKUP(OPERAC[[#This Row],[COD CART]],[1]!MatrizCortoLargoCyl[#All],3,0),"")</f>
        <v/>
      </c>
      <c r="F5719" s="13" t="inlineStr">
        <is>
          <t>ROKU</t>
        </is>
      </c>
      <c r="G5719" s="6" t="n">
        <v>10</v>
      </c>
      <c r="H5719" s="6" t="n">
        <v>-2577.2036</v>
      </c>
      <c r="I5719" s="7">
        <f>-H5719/G5719</f>
        <v/>
      </c>
      <c r="J5719" s="11" t="n">
        <v>44606</v>
      </c>
      <c r="K5719" s="6">
        <f>+OPERAC[[#This Row],[cantidad]]</f>
        <v/>
      </c>
      <c r="L5719" s="6">
        <f>+OPERAC[[#This Row],[cantidad venta]]*160.574</f>
        <v/>
      </c>
      <c r="M5719" s="7">
        <f>IF(N5719=0,+L5719+H5719,0)</f>
        <v/>
      </c>
      <c r="N5719" s="7">
        <f>IF((+G5719-K5719)=0,0,+G5719-K5719)</f>
        <v/>
      </c>
      <c r="O5719" s="7">
        <f>IF(N5719=0,0,(L5719+H5719)/-N5719)</f>
        <v/>
      </c>
      <c r="P5719" s="7">
        <f>VLOOKUP(OPERAC[[#This Row],[especie]],[1]!ESPECIES[#All],6,0)</f>
        <v/>
      </c>
      <c r="Q5719" s="7">
        <f>IF(N5719&lt;&gt;0,P5719*N5719,0)</f>
        <v/>
      </c>
      <c r="R5719" s="8">
        <f>IF(Q5719&lt;&gt;0,Q5719+H5719+L5719,0)</f>
        <v/>
      </c>
      <c r="S5719" s="9">
        <f>VLOOKUP(OPERAC[[#This Row],[especie]],[1]!ESPECIES[#Data],9,FALSE)</f>
        <v/>
      </c>
    </row>
    <row r="5720">
      <c r="A5720" s="4" t="n">
        <v>4561</v>
      </c>
      <c r="B5720" s="5" t="n">
        <v>44539</v>
      </c>
      <c r="C5720" s="13" t="inlineStr">
        <is>
          <t>CPR</t>
        </is>
      </c>
      <c r="D5720" s="13" t="n">
        <v>40</v>
      </c>
      <c r="E5720" s="10">
        <f>IF(D5720&gt;0,VLOOKUP(OPERAC[[#This Row],[COD CART]],[1]!MatrizCortoLargoCyl[#All],3,0),"")</f>
        <v/>
      </c>
      <c r="F5720" s="13" t="inlineStr">
        <is>
          <t>ROKU</t>
        </is>
      </c>
      <c r="G5720" s="6" t="n">
        <v>10</v>
      </c>
      <c r="H5720" s="6" t="n">
        <v>-2577.2036</v>
      </c>
      <c r="I5720" s="7">
        <f>-H5720/G5720</f>
        <v/>
      </c>
      <c r="J5720" s="11" t="n">
        <v>44606</v>
      </c>
      <c r="K5720" s="6">
        <f>+OPERAC[[#This Row],[cantidad]]</f>
        <v/>
      </c>
      <c r="L5720" s="6">
        <f>+OPERAC[[#This Row],[cantidad venta]]*160.574</f>
        <v/>
      </c>
      <c r="M5720" s="7">
        <f>IF(N5720=0,+L5720+H5720,0)</f>
        <v/>
      </c>
      <c r="N5720" s="7">
        <f>IF((+G5720-K5720)=0,0,+G5720-K5720)</f>
        <v/>
      </c>
      <c r="O5720" s="7">
        <f>IF(N5720=0,0,(L5720+H5720)/-N5720)</f>
        <v/>
      </c>
      <c r="P5720" s="7">
        <f>VLOOKUP(OPERAC[[#This Row],[especie]],[1]!ESPECIES[#All],6,0)</f>
        <v/>
      </c>
      <c r="Q5720" s="7">
        <f>IF(N5720&lt;&gt;0,P5720*N5720,0)</f>
        <v/>
      </c>
      <c r="R5720" s="8">
        <f>IF(Q5720&lt;&gt;0,Q5720+H5720+L5720,0)</f>
        <v/>
      </c>
      <c r="S5720" s="9">
        <f>VLOOKUP(OPERAC[[#This Row],[especie]],[1]!ESPECIES[#Data],9,FALSE)</f>
        <v/>
      </c>
    </row>
    <row r="5721">
      <c r="A5721" s="4" t="n">
        <v>7914</v>
      </c>
      <c r="B5721" s="5" t="n">
        <v>44539</v>
      </c>
      <c r="C5721" s="13" t="inlineStr">
        <is>
          <t>CPR</t>
        </is>
      </c>
      <c r="D5721" s="13" t="n">
        <v>40</v>
      </c>
      <c r="E5721" s="10">
        <f>IF(D5721&gt;0,VLOOKUP(OPERAC[[#This Row],[COD CART]],[1]!MatrizCortoLargoCyl[#All],3,0),"")</f>
        <v/>
      </c>
      <c r="F5721" s="13" t="inlineStr">
        <is>
          <t>ROKU</t>
        </is>
      </c>
      <c r="G5721" s="6" t="n">
        <v>10</v>
      </c>
      <c r="H5721" s="6" t="n">
        <v>-2577.2036</v>
      </c>
      <c r="I5721" s="7">
        <f>-H5721/G5721</f>
        <v/>
      </c>
      <c r="J5721" s="11" t="n">
        <v>44573</v>
      </c>
      <c r="K5721" s="6" t="n">
        <v>10</v>
      </c>
      <c r="L5721" s="6" t="n">
        <v>1865.24</v>
      </c>
      <c r="M5721" s="7">
        <f>IF(N5721=0,+L5721+H5721,0)</f>
        <v/>
      </c>
      <c r="N5721" s="7">
        <f>IF((+G5721-K5721)=0,0,+G5721-K5721)</f>
        <v/>
      </c>
      <c r="O5721" s="7">
        <f>IF(N5721=0,0,(L5721+H5721)/-N5721)</f>
        <v/>
      </c>
      <c r="P5721" s="7">
        <f>VLOOKUP(OPERAC[[#This Row],[especie]],[1]!ESPECIES[#All],6,0)</f>
        <v/>
      </c>
      <c r="Q5721" s="7">
        <f>IF(N5721&lt;&gt;0,P5721*N5721,0)</f>
        <v/>
      </c>
      <c r="R5721" s="8">
        <f>IF(Q5721&lt;&gt;0,Q5721+H5721+L5721,0)</f>
        <v/>
      </c>
      <c r="S5721" s="9">
        <f>VLOOKUP(OPERAC[[#This Row],[especie]],[1]!ESPECIES[#Data],9,FALSE)</f>
        <v/>
      </c>
    </row>
    <row r="5722">
      <c r="A5722" s="4" t="n">
        <v>12674</v>
      </c>
      <c r="B5722" s="5" t="n">
        <v>44539</v>
      </c>
      <c r="C5722" s="13" t="inlineStr">
        <is>
          <t>CPR</t>
        </is>
      </c>
      <c r="D5722" s="13" t="n">
        <v>40</v>
      </c>
      <c r="E5722" s="10">
        <f>IF(D5722&gt;0,VLOOKUP(OPERAC[[#This Row],[COD CART]],[1]!MatrizCortoLargoCyl[#All],3,0),"")</f>
        <v/>
      </c>
      <c r="F5722" s="13" t="inlineStr">
        <is>
          <t>ROKU</t>
        </is>
      </c>
      <c r="G5722" s="6" t="n">
        <v>10</v>
      </c>
      <c r="H5722" s="6" t="n">
        <v>-2577.2036</v>
      </c>
      <c r="I5722" s="7">
        <f>-H5722/G5722</f>
        <v/>
      </c>
      <c r="J5722" s="11" t="n">
        <v>44592</v>
      </c>
      <c r="K5722" s="6">
        <f>5+5</f>
        <v/>
      </c>
      <c r="L5722" s="6">
        <f>785.557+804.492</f>
        <v/>
      </c>
      <c r="M5722" s="7">
        <f>IF(N5722=0,+L5722+H5722,0)</f>
        <v/>
      </c>
      <c r="N5722" s="7">
        <f>IF((+G5722-K5722)=0,0,+G5722-K5722)</f>
        <v/>
      </c>
      <c r="O5722" s="7">
        <f>IF(N5722=0,0,(L5722+H5722)/-N5722)</f>
        <v/>
      </c>
      <c r="P5722" s="7">
        <f>VLOOKUP(OPERAC[[#This Row],[especie]],[1]!ESPECIES[#All],6,0)</f>
        <v/>
      </c>
      <c r="Q5722" s="7">
        <f>IF(N5722&lt;&gt;0,P5722*N5722,0)</f>
        <v/>
      </c>
      <c r="R5722" s="8">
        <f>IF(Q5722&lt;&gt;0,Q5722+H5722+L5722,0)</f>
        <v/>
      </c>
      <c r="S5722" s="9">
        <f>VLOOKUP(OPERAC[[#This Row],[especie]],[1]!ESPECIES[#Data],9,FALSE)</f>
        <v/>
      </c>
    </row>
    <row r="5723">
      <c r="A5723" s="4" t="n">
        <v>13240</v>
      </c>
      <c r="B5723" s="5" t="n">
        <v>44539</v>
      </c>
      <c r="C5723" s="13" t="inlineStr">
        <is>
          <t>CPR</t>
        </is>
      </c>
      <c r="D5723" s="13" t="n">
        <v>40</v>
      </c>
      <c r="E5723" s="10">
        <f>IF(D5723&gt;0,VLOOKUP(OPERAC[[#This Row],[COD CART]],[1]!MatrizCortoLargoCyl[#All],3,0),"")</f>
        <v/>
      </c>
      <c r="F5723" s="13" t="inlineStr">
        <is>
          <t>ROKU</t>
        </is>
      </c>
      <c r="G5723" s="6" t="n">
        <v>10</v>
      </c>
      <c r="H5723" s="6" t="n">
        <v>-2577.2036</v>
      </c>
      <c r="I5723" s="7">
        <f>-H5723/G5723</f>
        <v/>
      </c>
      <c r="J5723" s="11" t="n">
        <v>44606</v>
      </c>
      <c r="K5723" s="6">
        <f>+OPERAC[[#This Row],[cantidad]]</f>
        <v/>
      </c>
      <c r="L5723" s="6">
        <f>+OPERAC[[#This Row],[cantidad venta]]*160.574</f>
        <v/>
      </c>
      <c r="M5723" s="7">
        <f>IF(N5723=0,+L5723+H5723,0)</f>
        <v/>
      </c>
      <c r="N5723" s="7">
        <f>IF((+G5723-K5723)=0,0,+G5723-K5723)</f>
        <v/>
      </c>
      <c r="O5723" s="7">
        <f>IF(N5723=0,0,(L5723+H5723)/-N5723)</f>
        <v/>
      </c>
      <c r="P5723" s="7">
        <f>VLOOKUP(OPERAC[[#This Row],[especie]],[1]!ESPECIES[#All],6,0)</f>
        <v/>
      </c>
      <c r="Q5723" s="7">
        <f>IF(N5723&lt;&gt;0,P5723*N5723,0)</f>
        <v/>
      </c>
      <c r="R5723" s="8">
        <f>IF(Q5723&lt;&gt;0,Q5723+H5723+L5723,0)</f>
        <v/>
      </c>
      <c r="S5723" s="9">
        <f>VLOOKUP(OPERAC[[#This Row],[especie]],[1]!ESPECIES[#Data],9,FALSE)</f>
        <v/>
      </c>
    </row>
    <row r="5724">
      <c r="A5724" s="4" t="n">
        <v>19888</v>
      </c>
      <c r="B5724" s="5" t="n">
        <v>44539</v>
      </c>
      <c r="C5724" s="13" t="inlineStr">
        <is>
          <t>CPR</t>
        </is>
      </c>
      <c r="D5724" s="13" t="n">
        <v>40</v>
      </c>
      <c r="E5724" s="10">
        <f>IF(D5724&gt;0,VLOOKUP(OPERAC[[#This Row],[COD CART]],[1]!MatrizCortoLargoCyl[#All],3,0),"")</f>
        <v/>
      </c>
      <c r="F5724" s="13" t="inlineStr">
        <is>
          <t>ROKU</t>
        </is>
      </c>
      <c r="G5724" s="6" t="n">
        <v>10</v>
      </c>
      <c r="H5724" s="6" t="n">
        <v>-2577.2036</v>
      </c>
      <c r="I5724" s="7">
        <f>-H5724/G5724</f>
        <v/>
      </c>
      <c r="J5724" s="11" t="n">
        <v>44606</v>
      </c>
      <c r="K5724" s="6">
        <f>+OPERAC[[#This Row],[cantidad]]</f>
        <v/>
      </c>
      <c r="L5724" s="6">
        <f>+OPERAC[[#This Row],[cantidad venta]]*160.574</f>
        <v/>
      </c>
      <c r="M5724" s="7">
        <f>IF(N5724=0,+L5724+H5724,0)</f>
        <v/>
      </c>
      <c r="N5724" s="7">
        <f>IF((+G5724-K5724)=0,0,+G5724-K5724)</f>
        <v/>
      </c>
      <c r="O5724" s="7">
        <f>IF(N5724=0,0,(L5724+H5724)/-N5724)</f>
        <v/>
      </c>
      <c r="P5724" s="7">
        <f>VLOOKUP(OPERAC[[#This Row],[especie]],[1]!ESPECIES[#All],6,0)</f>
        <v/>
      </c>
      <c r="Q5724" s="7">
        <f>IF(N5724&lt;&gt;0,P5724*N5724,0)</f>
        <v/>
      </c>
      <c r="R5724" s="8">
        <f>IF(Q5724&lt;&gt;0,Q5724+H5724+L5724,0)</f>
        <v/>
      </c>
      <c r="S5724" s="9">
        <f>VLOOKUP(OPERAC[[#This Row],[especie]],[1]!ESPECIES[#Data],9,FALSE)</f>
        <v/>
      </c>
    </row>
    <row r="5725">
      <c r="A5725" s="4" t="n">
        <v>19920</v>
      </c>
      <c r="B5725" s="5" t="n">
        <v>44539</v>
      </c>
      <c r="C5725" s="13" t="inlineStr">
        <is>
          <t>CPR</t>
        </is>
      </c>
      <c r="D5725" s="13" t="n">
        <v>40</v>
      </c>
      <c r="E5725" s="10">
        <f>IF(D5725&gt;0,VLOOKUP(OPERAC[[#This Row],[COD CART]],[1]!MatrizCortoLargoCyl[#All],3,0),"")</f>
        <v/>
      </c>
      <c r="F5725" s="13" t="inlineStr">
        <is>
          <t>ROKU</t>
        </is>
      </c>
      <c r="G5725" s="6" t="n">
        <v>10</v>
      </c>
      <c r="H5725" s="6" t="n">
        <v>-2577.2036</v>
      </c>
      <c r="I5725" s="7">
        <f>-H5725/G5725</f>
        <v/>
      </c>
      <c r="J5725" s="11" t="n">
        <v>44606</v>
      </c>
      <c r="K5725" s="6">
        <f>+OPERAC[[#This Row],[cantidad]]</f>
        <v/>
      </c>
      <c r="L5725" s="6">
        <f>+OPERAC[[#This Row],[cantidad venta]]*160.574</f>
        <v/>
      </c>
      <c r="M5725" s="7">
        <f>IF(N5725=0,+L5725+H5725,0)</f>
        <v/>
      </c>
      <c r="N5725" s="7">
        <f>IF((+G5725-K5725)=0,0,+G5725-K5725)</f>
        <v/>
      </c>
      <c r="O5725" s="7">
        <f>IF(N5725=0,0,(L5725+H5725)/-N5725)</f>
        <v/>
      </c>
      <c r="P5725" s="7">
        <f>VLOOKUP(OPERAC[[#This Row],[especie]],[1]!ESPECIES[#All],6,0)</f>
        <v/>
      </c>
      <c r="Q5725" s="7">
        <f>IF(N5725&lt;&gt;0,P5725*N5725,0)</f>
        <v/>
      </c>
      <c r="R5725" s="8">
        <f>IF(Q5725&lt;&gt;0,Q5725+H5725+L5725,0)</f>
        <v/>
      </c>
      <c r="S5725" s="9">
        <f>VLOOKUP(OPERAC[[#This Row],[especie]],[1]!ESPECIES[#Data],9,FALSE)</f>
        <v/>
      </c>
    </row>
    <row r="5726">
      <c r="A5726" s="4" t="n">
        <v>22407</v>
      </c>
      <c r="B5726" s="5" t="n">
        <v>44539</v>
      </c>
      <c r="C5726" s="13" t="inlineStr">
        <is>
          <t>CPR</t>
        </is>
      </c>
      <c r="D5726" s="13" t="n">
        <v>40</v>
      </c>
      <c r="E5726" s="10">
        <f>IF(D5726&gt;0,VLOOKUP(OPERAC[[#This Row],[COD CART]],[1]!MatrizCortoLargoCyl[#All],3,0),"")</f>
        <v/>
      </c>
      <c r="F5726" s="13" t="inlineStr">
        <is>
          <t>ROKU</t>
        </is>
      </c>
      <c r="G5726" s="6" t="n">
        <v>10</v>
      </c>
      <c r="H5726" s="6" t="n">
        <v>-2577.2036</v>
      </c>
      <c r="I5726" s="7">
        <f>-H5726/G5726</f>
        <v/>
      </c>
      <c r="J5726" s="11" t="n">
        <v>44606</v>
      </c>
      <c r="K5726" s="6">
        <f>+OPERAC[[#This Row],[cantidad]]</f>
        <v/>
      </c>
      <c r="L5726" s="6">
        <f>+OPERAC[[#This Row],[cantidad venta]]*160.574</f>
        <v/>
      </c>
      <c r="M5726" s="7">
        <f>IF(N5726=0,+L5726+H5726,0)</f>
        <v/>
      </c>
      <c r="N5726" s="7">
        <f>IF((+G5726-K5726)=0,0,+G5726-K5726)</f>
        <v/>
      </c>
      <c r="O5726" s="7">
        <f>IF(N5726=0,0,(L5726+H5726)/-N5726)</f>
        <v/>
      </c>
      <c r="P5726" s="7">
        <f>VLOOKUP(OPERAC[[#This Row],[especie]],[1]!ESPECIES[#All],6,0)</f>
        <v/>
      </c>
      <c r="Q5726" s="7">
        <f>IF(N5726&lt;&gt;0,P5726*N5726,0)</f>
        <v/>
      </c>
      <c r="R5726" s="8">
        <f>IF(Q5726&lt;&gt;0,Q5726+H5726+L5726,0)</f>
        <v/>
      </c>
      <c r="S5726" s="9">
        <f>VLOOKUP(OPERAC[[#This Row],[especie]],[1]!ESPECIES[#Data],9,FALSE)</f>
        <v/>
      </c>
    </row>
    <row r="5727">
      <c r="A5727" s="4" t="n">
        <v>13246</v>
      </c>
      <c r="B5727" s="5" t="n">
        <v>44533</v>
      </c>
      <c r="C5727" s="13" t="inlineStr">
        <is>
          <t>CPR</t>
        </is>
      </c>
      <c r="D5727" s="13" t="n">
        <v>32</v>
      </c>
      <c r="E5727" s="10">
        <f>IF(D5727&gt;0,VLOOKUP(OPERAC[[#This Row],[COD CART]],[1]!MatrizCortoLargoCyl[#All],3,0),"")</f>
        <v/>
      </c>
      <c r="F5727" s="13" t="inlineStr">
        <is>
          <t>EDIT/CYL/30,00/20-05-22</t>
        </is>
      </c>
      <c r="G5727" s="6" t="n">
        <v>100</v>
      </c>
      <c r="H5727" s="6">
        <f>-26.42*OPERAC[[#This Row],[cantidad]]+29.76+24.8</f>
        <v/>
      </c>
      <c r="I5727" s="7">
        <f>-H5727/G5727</f>
        <v/>
      </c>
      <c r="J5727" s="11" t="n">
        <v>44692</v>
      </c>
      <c r="K5727" s="6" t="n">
        <v>100</v>
      </c>
      <c r="L5727" s="6" t="n">
        <v>1086.684</v>
      </c>
      <c r="M5727" s="7">
        <f>IF(N5727=0,+L5727+H5727,0)</f>
        <v/>
      </c>
      <c r="N5727" s="7">
        <f>IF((+G5727-K5727)=0,0,+G5727-K5727)</f>
        <v/>
      </c>
      <c r="O5727" s="7">
        <f>IF(N5727=0,0,(L5727+H5727)/-N5727)</f>
        <v/>
      </c>
      <c r="P5727" s="7">
        <f>VLOOKUP(OPERAC[[#This Row],[especie]],[1]!ESPECIES[#All],6,0)</f>
        <v/>
      </c>
      <c r="Q5727" s="7">
        <f>IF(N5727&lt;&gt;0,P5727*N5727,0)</f>
        <v/>
      </c>
      <c r="R5727" s="8">
        <f>IF(Q5727&lt;&gt;0,Q5727+H5727+L5727,0)</f>
        <v/>
      </c>
      <c r="S5727" s="9">
        <f>VLOOKUP(OPERAC[[#This Row],[especie]],[1]!ESPECIES[#Data],9,FALSE)</f>
        <v/>
      </c>
    </row>
    <row r="5728">
      <c r="A5728" s="4" t="n">
        <v>16795</v>
      </c>
      <c r="B5728" s="5" t="n">
        <v>44533</v>
      </c>
      <c r="C5728" s="13" t="inlineStr">
        <is>
          <t>CPR</t>
        </is>
      </c>
      <c r="D5728" s="13" t="n">
        <v>32</v>
      </c>
      <c r="E5728" s="10">
        <f>IF(D5728&gt;0,VLOOKUP(OPERAC[[#This Row],[COD CART]],[1]!MatrizCortoLargoCyl[#All],3,0),"")</f>
        <v/>
      </c>
      <c r="F5728" s="13" t="inlineStr">
        <is>
          <t>EDIT/CYL/30,00/19-08-22</t>
        </is>
      </c>
      <c r="G5728" s="6" t="n">
        <v>100</v>
      </c>
      <c r="H5728" s="6">
        <f>-26.42*OPERAC[[#This Row],[cantidad]]+4.952+24.55+9.915+7.93</f>
        <v/>
      </c>
      <c r="I5728" s="7">
        <f>-H5728/G5728</f>
        <v/>
      </c>
      <c r="J5728" s="11" t="n"/>
      <c r="K5728" s="6" t="n"/>
      <c r="L5728" s="6" t="n"/>
      <c r="M5728" s="7">
        <f>IF(N5728=0,+L5728+H5728,0)</f>
        <v/>
      </c>
      <c r="N5728" s="7">
        <f>IF((+G5728-K5728)=0,0,+G5728-K5728)</f>
        <v/>
      </c>
      <c r="O5728" s="7">
        <f>IF(N5728=0,0,(L5728+H5728)/-N5728)</f>
        <v/>
      </c>
      <c r="P5728" s="7">
        <f>VLOOKUP(OPERAC[[#This Row],[especie]],[1]!ESPECIES[#All],6,0)</f>
        <v/>
      </c>
      <c r="Q5728" s="7">
        <f>IF(N5728&lt;&gt;0,P5728*N5728,0)</f>
        <v/>
      </c>
      <c r="R5728" s="8">
        <f>IF(Q5728&lt;&gt;0,Q5728+H5728+L5728,0)</f>
        <v/>
      </c>
      <c r="S5728" s="9">
        <f>VLOOKUP(OPERAC[[#This Row],[especie]],[1]!ESPECIES[#Data],9,FALSE)</f>
        <v/>
      </c>
    </row>
    <row r="5729">
      <c r="A5729" s="4" t="n">
        <v>3728</v>
      </c>
      <c r="B5729" s="5" t="n">
        <v>44658</v>
      </c>
      <c r="C5729" s="13" t="inlineStr">
        <is>
          <t>CPR</t>
        </is>
      </c>
      <c r="D5729" s="13" t="n">
        <v>32</v>
      </c>
      <c r="E5729" s="10">
        <f>IF(D5729&gt;0,VLOOKUP(OPERAC[[#This Row],[COD CART]],[1]!MatrizCortoLargoCyl[#All],3,0),"")</f>
        <v/>
      </c>
      <c r="F5729" s="13" t="inlineStr">
        <is>
          <t>KWEB/CYL/28,00/20-05-22</t>
        </is>
      </c>
      <c r="G5729" s="6" t="n">
        <v>100</v>
      </c>
      <c r="H5729" s="6" t="n">
        <v>-2599</v>
      </c>
      <c r="I5729" s="7">
        <f>-H5729/G5729</f>
        <v/>
      </c>
      <c r="J5729" s="11" t="n">
        <v>44701</v>
      </c>
      <c r="K5729" s="6" t="n">
        <v>100</v>
      </c>
      <c r="L5729" s="6" t="n">
        <v>2735.35</v>
      </c>
      <c r="M5729" s="7">
        <f>IF(N5729=0,+L5729+H5729,0)</f>
        <v/>
      </c>
      <c r="N5729" s="7">
        <f>IF((+G5729-K5729)=0,0,+G5729-K5729)</f>
        <v/>
      </c>
      <c r="O5729" s="7">
        <f>IF(N5729=0,0,(L5729+H5729)/-N5729)</f>
        <v/>
      </c>
      <c r="P5729" s="7">
        <f>VLOOKUP(OPERAC[[#This Row],[especie]],[1]!ESPECIES[#All],6,0)</f>
        <v/>
      </c>
      <c r="Q5729" s="7">
        <f>IF(N5729&lt;&gt;0,P5729*N5729,0)</f>
        <v/>
      </c>
      <c r="R5729" s="8">
        <f>IF(Q5729&lt;&gt;0,Q5729+H5729+L5729,0)</f>
        <v/>
      </c>
      <c r="S5729" s="9">
        <f>VLOOKUP(OPERAC[[#This Row],[especie]],[1]!ESPECIES[#Data],9,FALSE)</f>
        <v/>
      </c>
    </row>
    <row r="5730">
      <c r="A5730" s="4" t="n">
        <v>2218</v>
      </c>
      <c r="B5730" s="5" t="n">
        <v>44658</v>
      </c>
      <c r="C5730" s="13" t="inlineStr">
        <is>
          <t>CPR</t>
        </is>
      </c>
      <c r="D5730" s="13" t="n">
        <v>32</v>
      </c>
      <c r="E5730" s="10">
        <f>IF(D5730&gt;0,VLOOKUP(OPERAC[[#This Row],[COD CART]],[1]!MatrizCortoLargoCyl[#All],3,0),"")</f>
        <v/>
      </c>
      <c r="F5730" s="13" t="inlineStr">
        <is>
          <t>KWEB/CYL/28,00/20-05-22</t>
        </is>
      </c>
      <c r="G5730" s="6" t="n">
        <v>100</v>
      </c>
      <c r="H5730" s="6" t="n">
        <v>-2599</v>
      </c>
      <c r="I5730" s="7">
        <f>-H5730/G5730</f>
        <v/>
      </c>
      <c r="J5730" s="11" t="n">
        <v>44701</v>
      </c>
      <c r="K5730" s="6" t="n">
        <v>100</v>
      </c>
      <c r="L5730" s="6" t="n">
        <v>2735.35</v>
      </c>
      <c r="M5730" s="7">
        <f>IF(N5730=0,+L5730+H5730,0)</f>
        <v/>
      </c>
      <c r="N5730" s="7">
        <f>IF((+G5730-K5730)=0,0,+G5730-K5730)</f>
        <v/>
      </c>
      <c r="O5730" s="7">
        <f>IF(N5730=0,0,(L5730+H5730)/-N5730)</f>
        <v/>
      </c>
      <c r="P5730" s="7">
        <f>VLOOKUP(OPERAC[[#This Row],[especie]],[1]!ESPECIES[#All],6,0)</f>
        <v/>
      </c>
      <c r="Q5730" s="7">
        <f>IF(N5730&lt;&gt;0,P5730*N5730,0)</f>
        <v/>
      </c>
      <c r="R5730" s="8">
        <f>IF(Q5730&lt;&gt;0,Q5730+H5730+L5730,0)</f>
        <v/>
      </c>
      <c r="S5730" s="9">
        <f>VLOOKUP(OPERAC[[#This Row],[especie]],[1]!ESPECIES[#Data],9,FALSE)</f>
        <v/>
      </c>
    </row>
    <row r="5731">
      <c r="A5731" s="4" t="n">
        <v>18651</v>
      </c>
      <c r="B5731" s="5" t="n">
        <v>44537</v>
      </c>
      <c r="C5731" s="13" t="inlineStr">
        <is>
          <t>CPR</t>
        </is>
      </c>
      <c r="D5731" s="13" t="n">
        <v>43</v>
      </c>
      <c r="E5731" s="10">
        <f>IF(D5731&gt;0,VLOOKUP(OPERAC[[#This Row],[COD CART]],[1]!MatrizCortoLargoCyl[#All],3,0),"")</f>
        <v/>
      </c>
      <c r="F5731" s="13" t="inlineStr">
        <is>
          <t>XSPA/CYL-PUT/1,50/20-01-23</t>
        </is>
      </c>
      <c r="G5731" s="6" t="n">
        <v>5000</v>
      </c>
      <c r="H5731" s="6">
        <f>-0.52*OPERAC[[#This Row],[cantidad]]</f>
        <v/>
      </c>
      <c r="I5731" s="7">
        <f>-H5731/G5731</f>
        <v/>
      </c>
      <c r="J5731" s="11" t="n"/>
      <c r="K5731" s="6" t="n"/>
      <c r="L5731" s="6" t="n"/>
      <c r="M5731" s="7">
        <f>IF(N5731=0,+L5731+H5731,0)</f>
        <v/>
      </c>
      <c r="N5731" s="7">
        <f>IF((+G5731-K5731)=0,0,+G5731-K5731)</f>
        <v/>
      </c>
      <c r="O5731" s="7">
        <f>IF(N5731=0,0,(L5731+H5731)/-N5731)</f>
        <v/>
      </c>
      <c r="P5731" s="7">
        <f>VLOOKUP(OPERAC[[#This Row],[especie]],[1]!ESPECIES[#All],6,0)</f>
        <v/>
      </c>
      <c r="Q5731" s="7">
        <f>IF(N5731&lt;&gt;0,P5731*N5731,0)</f>
        <v/>
      </c>
      <c r="R5731" s="8">
        <f>IF(Q5731&lt;&gt;0,Q5731+H5731+L5731,0)</f>
        <v/>
      </c>
      <c r="S5731" s="9">
        <f>VLOOKUP(OPERAC[[#This Row],[especie]],[1]!ESPECIES[#Data],9,FALSE)</f>
        <v/>
      </c>
    </row>
    <row r="5732">
      <c r="A5732" s="4" t="n">
        <v>16776</v>
      </c>
      <c r="B5732" s="5" t="n">
        <v>44601</v>
      </c>
      <c r="C5732" s="13" t="inlineStr">
        <is>
          <t>CPR</t>
        </is>
      </c>
      <c r="D5732" s="13" t="n">
        <v>41</v>
      </c>
      <c r="E5732" s="10">
        <f>IF(D5732&gt;0,VLOOKUP(OPERAC[[#This Row],[COD CART]],[1]!MatrizCortoLargoCyl[#All],3,0),"")</f>
        <v/>
      </c>
      <c r="F5732" s="13" t="inlineStr">
        <is>
          <t>AMD</t>
        </is>
      </c>
      <c r="G5732" s="6" t="n">
        <v>20</v>
      </c>
      <c r="H5732" s="6" t="n">
        <v>-2601.25</v>
      </c>
      <c r="I5732" s="7">
        <f>-H5732/G5732</f>
        <v/>
      </c>
      <c r="J5732" s="11" t="n"/>
      <c r="K5732" s="6" t="n"/>
      <c r="L5732" s="6" t="n"/>
      <c r="M5732" s="7">
        <f>IF(N5732=0,+L5732+H5732,0)</f>
        <v/>
      </c>
      <c r="N5732" s="7">
        <f>IF((+G5732-K5732)=0,0,+G5732-K5732)</f>
        <v/>
      </c>
      <c r="O5732" s="7">
        <f>IF(N5732=0,0,(L5732+H5732)/-N5732)</f>
        <v/>
      </c>
      <c r="P5732" s="7">
        <f>VLOOKUP(OPERAC[[#This Row],[especie]],[1]!ESPECIES[#All],6,0)</f>
        <v/>
      </c>
      <c r="Q5732" s="7">
        <f>IF(N5732&lt;&gt;0,P5732*N5732,0)</f>
        <v/>
      </c>
      <c r="R5732" s="8">
        <f>IF(Q5732&lt;&gt;0,Q5732+H5732+L5732,0)</f>
        <v/>
      </c>
      <c r="S5732" s="9">
        <f>VLOOKUP(OPERAC[[#This Row],[especie]],[1]!ESPECIES[#Data],9,FALSE)</f>
        <v/>
      </c>
    </row>
    <row r="5733">
      <c r="A5733" s="4" t="n">
        <v>16783</v>
      </c>
      <c r="B5733" s="5" t="n">
        <v>44658</v>
      </c>
      <c r="C5733" s="13" t="inlineStr">
        <is>
          <t>CPR</t>
        </is>
      </c>
      <c r="D5733" s="13" t="n">
        <v>32</v>
      </c>
      <c r="E5733" s="10">
        <f>IF(D5733&gt;0,VLOOKUP(OPERAC[[#This Row],[COD CART]],[1]!MatrizCortoLargoCyl[#All],3,0),"")</f>
        <v/>
      </c>
      <c r="F5733" s="13" t="inlineStr">
        <is>
          <t>KWEB/CYL/28,00/20-05-22</t>
        </is>
      </c>
      <c r="G5733" s="6" t="n">
        <v>100</v>
      </c>
      <c r="H5733" s="6" t="n">
        <v>-2608.6189</v>
      </c>
      <c r="I5733" s="7">
        <f>-H5733/G5733</f>
        <v/>
      </c>
      <c r="J5733" s="11" t="n">
        <v>44701</v>
      </c>
      <c r="K5733" s="6" t="n">
        <v>100</v>
      </c>
      <c r="L5733" s="6" t="n">
        <v>2725.71</v>
      </c>
      <c r="M5733" s="7">
        <f>IF(N5733=0,+L5733+H5733,0)</f>
        <v/>
      </c>
      <c r="N5733" s="7">
        <f>IF((+G5733-K5733)=0,0,+G5733-K5733)</f>
        <v/>
      </c>
      <c r="O5733" s="7">
        <f>IF(N5733=0,0,(L5733+H5733)/-N5733)</f>
        <v/>
      </c>
      <c r="P5733" s="7">
        <f>VLOOKUP(OPERAC[[#This Row],[especie]],[1]!ESPECIES[#All],6,0)</f>
        <v/>
      </c>
      <c r="Q5733" s="7">
        <f>IF(N5733&lt;&gt;0,P5733*N5733,0)</f>
        <v/>
      </c>
      <c r="R5733" s="8">
        <f>IF(Q5733&lt;&gt;0,Q5733+H5733+L5733,0)</f>
        <v/>
      </c>
      <c r="S5733" s="9">
        <f>VLOOKUP(OPERAC[[#This Row],[especie]],[1]!ESPECIES[#Data],9,FALSE)</f>
        <v/>
      </c>
    </row>
    <row r="5734">
      <c r="A5734" s="4" t="n">
        <v>16783</v>
      </c>
      <c r="B5734" s="5" t="n">
        <v>44680</v>
      </c>
      <c r="C5734" s="13" t="inlineStr">
        <is>
          <t>CPR</t>
        </is>
      </c>
      <c r="D5734" s="13" t="n">
        <v>42</v>
      </c>
      <c r="E5734" s="10">
        <f>IF(D5734&gt;0,VLOOKUP(OPERAC[[#This Row],[COD CART]],[1]!MatrizCortoLargoCyl[#All],3,0),"")</f>
        <v/>
      </c>
      <c r="F5734" s="14" t="inlineStr">
        <is>
          <t>XLP</t>
        </is>
      </c>
      <c r="G5734" s="6" t="n">
        <v>33</v>
      </c>
      <c r="H5734" s="6" t="n">
        <v>-2610.9416025</v>
      </c>
      <c r="I5734" s="7">
        <f>-H5734/G5734</f>
        <v/>
      </c>
      <c r="J5734" s="11" t="n">
        <v>44693</v>
      </c>
      <c r="K5734" s="6">
        <f>+OPERAC[[#This Row],[cantidad]]</f>
        <v/>
      </c>
      <c r="L5734" s="6">
        <f>+OPERAC[[#This Row],[cantidad venta]]*74.848</f>
        <v/>
      </c>
      <c r="M5734" s="7">
        <f>IF(N5734=0,+L5734+H5734,0)</f>
        <v/>
      </c>
      <c r="N5734" s="7">
        <f>IF((+G5734-K5734)=0,0,+G5734-K5734)</f>
        <v/>
      </c>
      <c r="O5734" s="7">
        <f>IF(N5734=0,0,(L5734+H5734)/-N5734)</f>
        <v/>
      </c>
      <c r="P5734" s="7">
        <f>VLOOKUP(OPERAC[[#This Row],[especie]],[1]!ESPECIES[#All],6,0)</f>
        <v/>
      </c>
      <c r="Q5734" s="7">
        <f>IF(N5734&lt;&gt;0,P5734*N5734,0)</f>
        <v/>
      </c>
      <c r="R5734" s="8">
        <f>IF(Q5734&lt;&gt;0,Q5734+H5734+L5734,0)</f>
        <v/>
      </c>
      <c r="S5734" s="9">
        <f>VLOOKUP(OPERAC[[#This Row],[especie]],[1]!ESPECIES[#Data],9,FALSE)</f>
        <v/>
      </c>
    </row>
    <row r="5735">
      <c r="A5735" s="4" t="n">
        <v>3728</v>
      </c>
      <c r="B5735" s="5" t="n">
        <v>44608</v>
      </c>
      <c r="C5735" s="13" t="inlineStr">
        <is>
          <t>CPR</t>
        </is>
      </c>
      <c r="D5735" s="13" t="n">
        <v>40</v>
      </c>
      <c r="E5735" s="10">
        <f>IF(D5735&gt;0,VLOOKUP(OPERAC[[#This Row],[COD CART]],[1]!MatrizCortoLargoCyl[#All],3,0),"")</f>
        <v/>
      </c>
      <c r="F5735" s="13" t="inlineStr">
        <is>
          <t>NVDA</t>
        </is>
      </c>
      <c r="G5735" s="6" t="n">
        <v>10</v>
      </c>
      <c r="H5735" s="6" t="n">
        <v>-2611.659</v>
      </c>
      <c r="I5735" s="7">
        <f>-H5735/G5735</f>
        <v/>
      </c>
      <c r="J5735" s="11" t="n">
        <v>44616</v>
      </c>
      <c r="K5735" s="6">
        <f>+OPERAC[[#This Row],[cantidad]]</f>
        <v/>
      </c>
      <c r="L5735" s="6">
        <f>+OPERAC[[#This Row],[cantidad venta]]*224.117</f>
        <v/>
      </c>
      <c r="M5735" s="7">
        <f>IF(N5735=0,+L5735+H5735,0)</f>
        <v/>
      </c>
      <c r="N5735" s="7">
        <f>IF((+G5735-K5735)=0,0,+G5735-K5735)</f>
        <v/>
      </c>
      <c r="O5735" s="7">
        <f>IF(N5735=0,0,(L5735+H5735)/-N5735)</f>
        <v/>
      </c>
      <c r="P5735" s="7">
        <f>VLOOKUP(OPERAC[[#This Row],[especie]],[1]!ESPECIES[#All],6,0)</f>
        <v/>
      </c>
      <c r="Q5735" s="7">
        <f>IF(N5735&lt;&gt;0,P5735*N5735,0)</f>
        <v/>
      </c>
      <c r="R5735" s="8">
        <f>IF(Q5735&lt;&gt;0,Q5735+H5735+L5735,0)</f>
        <v/>
      </c>
      <c r="S5735" s="9">
        <f>VLOOKUP(OPERAC[[#This Row],[especie]],[1]!ESPECIES[#Data],9,FALSE)</f>
        <v/>
      </c>
    </row>
    <row r="5736">
      <c r="A5736" s="4" t="n">
        <v>12674</v>
      </c>
      <c r="B5736" s="5" t="n">
        <v>44505</v>
      </c>
      <c r="C5736" s="13" t="inlineStr">
        <is>
          <t>CPR</t>
        </is>
      </c>
      <c r="D5736" s="13" t="n">
        <v>32</v>
      </c>
      <c r="E5736" s="10">
        <f>IF(D5736&gt;0,VLOOKUP(OPERAC[[#This Row],[COD CART]],[1]!MatrizCortoLargoCyl[#All],3,0),"")</f>
        <v/>
      </c>
      <c r="F5736" s="13" t="inlineStr">
        <is>
          <t>DDD/CYL/28,00/21-01-22</t>
        </is>
      </c>
      <c r="G5736" s="6" t="n">
        <v>100</v>
      </c>
      <c r="H5736" s="6">
        <f>-2682.032+69.44</f>
        <v/>
      </c>
      <c r="I5736" s="7">
        <f>-H5736/G5736</f>
        <v/>
      </c>
      <c r="J5736" s="11" t="n">
        <v>44573</v>
      </c>
      <c r="K5736" s="6" t="n">
        <v>100</v>
      </c>
      <c r="L5736" s="6" t="n">
        <v>2032.88</v>
      </c>
      <c r="M5736" s="7">
        <f>IF(N5736=0,+L5736+H5736,0)</f>
        <v/>
      </c>
      <c r="N5736" s="7">
        <f>IF((+G5736-K5736)=0,0,+G5736-K5736)</f>
        <v/>
      </c>
      <c r="O5736" s="7">
        <f>IF(N5736=0,0,(L5736+H5736)/-N5736)</f>
        <v/>
      </c>
      <c r="P5736" s="7">
        <f>VLOOKUP(OPERAC[[#This Row],[especie]],[1]!ESPECIES[#All],6,0)</f>
        <v/>
      </c>
      <c r="Q5736" s="7">
        <f>IF(N5736&lt;&gt;0,P5736*N5736,0)</f>
        <v/>
      </c>
      <c r="R5736" s="8">
        <f>IF(Q5736&lt;&gt;0,Q5736+H5736+L5736,0)</f>
        <v/>
      </c>
      <c r="S5736" s="9">
        <f>VLOOKUP(OPERAC[[#This Row],[especie]],[1]!ESPECIES[#Data],9,FALSE)</f>
        <v/>
      </c>
    </row>
    <row r="5737">
      <c r="A5737" s="4" t="n">
        <v>7895</v>
      </c>
      <c r="B5737" s="5" t="n">
        <v>44533</v>
      </c>
      <c r="C5737" s="13" t="inlineStr">
        <is>
          <t>CPR</t>
        </is>
      </c>
      <c r="D5737" s="13" t="n">
        <v>32</v>
      </c>
      <c r="E5737" s="10">
        <f>IF(D5737&gt;0,VLOOKUP(OPERAC[[#This Row],[COD CART]],[1]!MatrizCortoLargoCyl[#All],3,0),"")</f>
        <v/>
      </c>
      <c r="F5737" s="13" t="inlineStr">
        <is>
          <t>EDIT</t>
        </is>
      </c>
      <c r="G5737" s="6" t="n">
        <v>100</v>
      </c>
      <c r="H5737" s="6">
        <f>-2641.735+4.952+19.54</f>
        <v/>
      </c>
      <c r="I5737" s="7">
        <f>-H5737/G5737</f>
        <v/>
      </c>
      <c r="J5737" s="11" t="n">
        <v>44704</v>
      </c>
      <c r="K5737" s="6" t="n">
        <v>100</v>
      </c>
      <c r="L5737" s="6" t="n">
        <v>1090.947</v>
      </c>
      <c r="M5737" s="7">
        <f>IF(N5737=0,+L5737+H5737,0)</f>
        <v/>
      </c>
      <c r="N5737" s="7">
        <f>IF((+G5737-K5737)=0,0,+G5737-K5737)</f>
        <v/>
      </c>
      <c r="O5737" s="7">
        <f>IF(N5737=0,0,(L5737+H5737)/-N5737)</f>
        <v/>
      </c>
      <c r="P5737" s="7">
        <f>VLOOKUP(OPERAC[[#This Row],[especie]],[1]!ESPECIES[#All],6,0)</f>
        <v/>
      </c>
      <c r="Q5737" s="7">
        <f>IF(N5737&lt;&gt;0,P5737*N5737,0)</f>
        <v/>
      </c>
      <c r="R5737" s="8">
        <f>IF(Q5737&lt;&gt;0,Q5737+H5737+L5737,0)</f>
        <v/>
      </c>
      <c r="S5737" s="9">
        <f>VLOOKUP(OPERAC[[#This Row],[especie]],[1]!ESPECIES[#Data],9,FALSE)</f>
        <v/>
      </c>
    </row>
    <row r="5738">
      <c r="A5738" s="4" t="n">
        <v>6579</v>
      </c>
      <c r="B5738" s="5" t="n">
        <v>44032</v>
      </c>
      <c r="C5738" s="13" t="inlineStr">
        <is>
          <t>CPR</t>
        </is>
      </c>
      <c r="D5738" s="13" t="n">
        <v>41</v>
      </c>
      <c r="E5738" s="10">
        <f>IF(D5738&gt;0,VLOOKUP(OPERAC[[#This Row],[COD CART]],[1]!MatrizCortoLargoCyl[#All],3,0),"")</f>
        <v/>
      </c>
      <c r="F5738" s="13" t="inlineStr">
        <is>
          <t>YPF</t>
        </is>
      </c>
      <c r="G5738" s="6" t="n">
        <v>425</v>
      </c>
      <c r="H5738" s="6" t="n">
        <v>-2619.1625875</v>
      </c>
      <c r="I5738" s="7" t="n">
        <v>6.162735500000001</v>
      </c>
      <c r="J5738" s="5" t="n"/>
      <c r="K5738" s="6" t="n"/>
      <c r="L5738" s="6" t="n"/>
      <c r="M5738" s="7">
        <f>IF(N5738=0,+L5738+H5738,0)</f>
        <v/>
      </c>
      <c r="N5738" s="7">
        <f>IF((+G5738-K5738)=0,0,+G5738-K5738)</f>
        <v/>
      </c>
      <c r="O5738" s="7">
        <f>IF(N5738=0,0,(L5738+H5738)/-N5738)</f>
        <v/>
      </c>
      <c r="P5738" s="7">
        <f>VLOOKUP(OPERAC[[#This Row],[especie]],[1]!ESPECIES[#All],6,0)</f>
        <v/>
      </c>
      <c r="Q5738" s="7">
        <f>IF(N5738&lt;&gt;0,P5738*N5738,0)</f>
        <v/>
      </c>
      <c r="R5738" s="8">
        <f>IF(Q5738&lt;&gt;0,Q5738+H5738+L5738,0)</f>
        <v/>
      </c>
      <c r="S5738" s="9">
        <f>VLOOKUP(OPERAC[[#This Row],[especie]],[1]!ESPECIES[#Data],9,FALSE)</f>
        <v/>
      </c>
    </row>
    <row r="5739">
      <c r="A5739" s="4" t="n">
        <v>16783</v>
      </c>
      <c r="B5739" s="5" t="n">
        <v>44608</v>
      </c>
      <c r="C5739" s="13" t="inlineStr">
        <is>
          <t>CPR</t>
        </is>
      </c>
      <c r="D5739" s="13" t="n">
        <v>40</v>
      </c>
      <c r="E5739" s="10">
        <f>IF(D5739&gt;0,VLOOKUP(OPERAC[[#This Row],[COD CART]],[1]!MatrizCortoLargoCyl[#All],3,0),"")</f>
        <v/>
      </c>
      <c r="F5739" s="13" t="inlineStr">
        <is>
          <t>NVDA</t>
        </is>
      </c>
      <c r="G5739" s="6" t="n">
        <v>10</v>
      </c>
      <c r="H5739" s="6" t="n">
        <v>-2619.486</v>
      </c>
      <c r="I5739" s="7">
        <f>-H5739/G5739</f>
        <v/>
      </c>
      <c r="J5739" s="11" t="n">
        <v>44616</v>
      </c>
      <c r="K5739" s="6">
        <f>+OPERAC[[#This Row],[cantidad]]</f>
        <v/>
      </c>
      <c r="L5739" s="6">
        <f>+OPERAC[[#This Row],[cantidad venta]]*224.117</f>
        <v/>
      </c>
      <c r="M5739" s="7">
        <f>IF(N5739=0,+L5739+H5739,0)</f>
        <v/>
      </c>
      <c r="N5739" s="7">
        <f>IF((+G5739-K5739)=0,0,+G5739-K5739)</f>
        <v/>
      </c>
      <c r="O5739" s="7">
        <f>IF(N5739=0,0,(L5739+H5739)/-N5739)</f>
        <v/>
      </c>
      <c r="P5739" s="7">
        <f>VLOOKUP(OPERAC[[#This Row],[especie]],[1]!ESPECIES[#All],6,0)</f>
        <v/>
      </c>
      <c r="Q5739" s="7">
        <f>IF(N5739&lt;&gt;0,P5739*N5739,0)</f>
        <v/>
      </c>
      <c r="R5739" s="8">
        <f>IF(Q5739&lt;&gt;0,Q5739+H5739+L5739,0)</f>
        <v/>
      </c>
      <c r="S5739" s="9">
        <f>VLOOKUP(OPERAC[[#This Row],[especie]],[1]!ESPECIES[#Data],9,FALSE)</f>
        <v/>
      </c>
    </row>
    <row r="5740">
      <c r="A5740" s="4" t="n">
        <v>12022</v>
      </c>
      <c r="B5740" s="5" t="n">
        <v>44680</v>
      </c>
      <c r="C5740" s="13" t="inlineStr">
        <is>
          <t>CPR</t>
        </is>
      </c>
      <c r="D5740" s="13" t="n">
        <v>42</v>
      </c>
      <c r="E5740" s="10">
        <f>IF(D5740&gt;0,VLOOKUP(OPERAC[[#This Row],[COD CART]],[1]!MatrizCortoLargoCyl[#All],3,0),"")</f>
        <v/>
      </c>
      <c r="F5740" s="14" t="inlineStr">
        <is>
          <t>XLP</t>
        </is>
      </c>
      <c r="G5740" s="6" t="n">
        <v>33</v>
      </c>
      <c r="H5740" s="6" t="n">
        <v>-2621.3385825</v>
      </c>
      <c r="I5740" s="7">
        <f>-H5740/G5740</f>
        <v/>
      </c>
      <c r="J5740" s="11" t="n">
        <v>44693</v>
      </c>
      <c r="K5740" s="6">
        <f>+OPERAC[[#This Row],[cantidad]]</f>
        <v/>
      </c>
      <c r="L5740" s="6">
        <f>+OPERAC[[#This Row],[cantidad venta]]*74.848</f>
        <v/>
      </c>
      <c r="M5740" s="7">
        <f>IF(N5740=0,+L5740+H5740,0)</f>
        <v/>
      </c>
      <c r="N5740" s="7">
        <f>IF((+G5740-K5740)=0,0,+G5740-K5740)</f>
        <v/>
      </c>
      <c r="O5740" s="7">
        <f>IF(N5740=0,0,(L5740+H5740)/-N5740)</f>
        <v/>
      </c>
      <c r="P5740" s="7">
        <f>VLOOKUP(OPERAC[[#This Row],[especie]],[1]!ESPECIES[#All],6,0)</f>
        <v/>
      </c>
      <c r="Q5740" s="7">
        <f>IF(N5740&lt;&gt;0,P5740*N5740,0)</f>
        <v/>
      </c>
      <c r="R5740" s="8">
        <f>IF(Q5740&lt;&gt;0,Q5740+H5740+L5740,0)</f>
        <v/>
      </c>
      <c r="S5740" s="9">
        <f>VLOOKUP(OPERAC[[#This Row],[especie]],[1]!ESPECIES[#Data],9,FALSE)</f>
        <v/>
      </c>
    </row>
    <row r="5741">
      <c r="A5741" s="4" t="n">
        <v>12627</v>
      </c>
      <c r="B5741" s="5" t="n">
        <v>44680</v>
      </c>
      <c r="C5741" s="13" t="inlineStr">
        <is>
          <t>CPR</t>
        </is>
      </c>
      <c r="D5741" s="13" t="n">
        <v>42</v>
      </c>
      <c r="E5741" s="10">
        <f>IF(D5741&gt;0,VLOOKUP(OPERAC[[#This Row],[COD CART]],[1]!MatrizCortoLargoCyl[#All],3,0),"")</f>
        <v/>
      </c>
      <c r="F5741" s="14" t="inlineStr">
        <is>
          <t>XLP</t>
        </is>
      </c>
      <c r="G5741" s="6" t="n">
        <v>33</v>
      </c>
      <c r="H5741" s="6" t="n">
        <v>-2621.3385825</v>
      </c>
      <c r="I5741" s="7">
        <f>-H5741/G5741</f>
        <v/>
      </c>
      <c r="J5741" s="11" t="n">
        <v>44693</v>
      </c>
      <c r="K5741" s="6">
        <f>+OPERAC[[#This Row],[cantidad]]</f>
        <v/>
      </c>
      <c r="L5741" s="6">
        <f>+OPERAC[[#This Row],[cantidad venta]]*74.848</f>
        <v/>
      </c>
      <c r="M5741" s="7">
        <f>IF(N5741=0,+L5741+H5741,0)</f>
        <v/>
      </c>
      <c r="N5741" s="7">
        <f>IF((+G5741-K5741)=0,0,+G5741-K5741)</f>
        <v/>
      </c>
      <c r="O5741" s="7">
        <f>IF(N5741=0,0,(L5741+H5741)/-N5741)</f>
        <v/>
      </c>
      <c r="P5741" s="7">
        <f>VLOOKUP(OPERAC[[#This Row],[especie]],[1]!ESPECIES[#All],6,0)</f>
        <v/>
      </c>
      <c r="Q5741" s="7">
        <f>IF(N5741&lt;&gt;0,P5741*N5741,0)</f>
        <v/>
      </c>
      <c r="R5741" s="8">
        <f>IF(Q5741&lt;&gt;0,Q5741+H5741+L5741,0)</f>
        <v/>
      </c>
      <c r="S5741" s="9">
        <f>VLOOKUP(OPERAC[[#This Row],[especie]],[1]!ESPECIES[#Data],9,FALSE)</f>
        <v/>
      </c>
    </row>
    <row r="5742">
      <c r="A5742" s="4" t="n">
        <v>15194</v>
      </c>
      <c r="B5742" s="5" t="n">
        <v>44680</v>
      </c>
      <c r="C5742" s="13" t="inlineStr">
        <is>
          <t>CPR</t>
        </is>
      </c>
      <c r="D5742" s="13" t="n">
        <v>42</v>
      </c>
      <c r="E5742" s="10">
        <f>IF(D5742&gt;0,VLOOKUP(OPERAC[[#This Row],[COD CART]],[1]!MatrizCortoLargoCyl[#All],3,0),"")</f>
        <v/>
      </c>
      <c r="F5742" s="14" t="inlineStr">
        <is>
          <t>XLP</t>
        </is>
      </c>
      <c r="G5742" s="6" t="n">
        <v>33</v>
      </c>
      <c r="H5742" s="6" t="n">
        <v>-2621.3385825</v>
      </c>
      <c r="I5742" s="7">
        <f>-H5742/G5742</f>
        <v/>
      </c>
      <c r="J5742" s="11" t="n">
        <v>44693</v>
      </c>
      <c r="K5742" s="6">
        <f>+OPERAC[[#This Row],[cantidad]]</f>
        <v/>
      </c>
      <c r="L5742" s="6">
        <f>+OPERAC[[#This Row],[cantidad venta]]*74.848</f>
        <v/>
      </c>
      <c r="M5742" s="7">
        <f>IF(N5742=0,+L5742+H5742,0)</f>
        <v/>
      </c>
      <c r="N5742" s="7">
        <f>IF((+G5742-K5742)=0,0,+G5742-K5742)</f>
        <v/>
      </c>
      <c r="O5742" s="7">
        <f>IF(N5742=0,0,(L5742+H5742)/-N5742)</f>
        <v/>
      </c>
      <c r="P5742" s="7">
        <f>VLOOKUP(OPERAC[[#This Row],[especie]],[1]!ESPECIES[#All],6,0)</f>
        <v/>
      </c>
      <c r="Q5742" s="7">
        <f>IF(N5742&lt;&gt;0,P5742*N5742,0)</f>
        <v/>
      </c>
      <c r="R5742" s="8">
        <f>IF(Q5742&lt;&gt;0,Q5742+H5742+L5742,0)</f>
        <v/>
      </c>
      <c r="S5742" s="9">
        <f>VLOOKUP(OPERAC[[#This Row],[especie]],[1]!ESPECIES[#Data],9,FALSE)</f>
        <v/>
      </c>
    </row>
    <row r="5743">
      <c r="A5743" s="4" t="n">
        <v>15195</v>
      </c>
      <c r="B5743" s="5" t="n">
        <v>44680</v>
      </c>
      <c r="C5743" s="13" t="inlineStr">
        <is>
          <t>CPR</t>
        </is>
      </c>
      <c r="D5743" s="13" t="n">
        <v>42</v>
      </c>
      <c r="E5743" s="10">
        <f>IF(D5743&gt;0,VLOOKUP(OPERAC[[#This Row],[COD CART]],[1]!MatrizCortoLargoCyl[#All],3,0),"")</f>
        <v/>
      </c>
      <c r="F5743" s="14" t="inlineStr">
        <is>
          <t>XLP</t>
        </is>
      </c>
      <c r="G5743" s="6" t="n">
        <v>33</v>
      </c>
      <c r="H5743" s="6" t="n">
        <v>-2621.3385825</v>
      </c>
      <c r="I5743" s="7">
        <f>-H5743/G5743</f>
        <v/>
      </c>
      <c r="J5743" s="11" t="n">
        <v>44693</v>
      </c>
      <c r="K5743" s="6">
        <f>+OPERAC[[#This Row],[cantidad]]</f>
        <v/>
      </c>
      <c r="L5743" s="6">
        <f>+OPERAC[[#This Row],[cantidad venta]]*74.848</f>
        <v/>
      </c>
      <c r="M5743" s="7">
        <f>IF(N5743=0,+L5743+H5743,0)</f>
        <v/>
      </c>
      <c r="N5743" s="7">
        <f>IF((+G5743-K5743)=0,0,+G5743-K5743)</f>
        <v/>
      </c>
      <c r="O5743" s="7">
        <f>IF(N5743=0,0,(L5743+H5743)/-N5743)</f>
        <v/>
      </c>
      <c r="P5743" s="7">
        <f>VLOOKUP(OPERAC[[#This Row],[especie]],[1]!ESPECIES[#All],6,0)</f>
        <v/>
      </c>
      <c r="Q5743" s="7">
        <f>IF(N5743&lt;&gt;0,P5743*N5743,0)</f>
        <v/>
      </c>
      <c r="R5743" s="8">
        <f>IF(Q5743&lt;&gt;0,Q5743+H5743+L5743,0)</f>
        <v/>
      </c>
      <c r="S5743" s="9">
        <f>VLOOKUP(OPERAC[[#This Row],[especie]],[1]!ESPECIES[#Data],9,FALSE)</f>
        <v/>
      </c>
    </row>
    <row r="5744">
      <c r="A5744" s="4" t="n">
        <v>16780</v>
      </c>
      <c r="B5744" s="5" t="n">
        <v>44680</v>
      </c>
      <c r="C5744" s="13" t="inlineStr">
        <is>
          <t>CPR</t>
        </is>
      </c>
      <c r="D5744" s="13" t="n">
        <v>42</v>
      </c>
      <c r="E5744" s="10">
        <f>IF(D5744&gt;0,VLOOKUP(OPERAC[[#This Row],[COD CART]],[1]!MatrizCortoLargoCyl[#All],3,0),"")</f>
        <v/>
      </c>
      <c r="F5744" s="14" t="inlineStr">
        <is>
          <t>XLP</t>
        </is>
      </c>
      <c r="G5744" s="6" t="n">
        <v>33</v>
      </c>
      <c r="H5744" s="6" t="n">
        <v>-2621.3385825</v>
      </c>
      <c r="I5744" s="7">
        <f>-H5744/G5744</f>
        <v/>
      </c>
      <c r="J5744" s="11" t="n">
        <v>44693</v>
      </c>
      <c r="K5744" s="6">
        <f>+OPERAC[[#This Row],[cantidad]]</f>
        <v/>
      </c>
      <c r="L5744" s="6">
        <f>+OPERAC[[#This Row],[cantidad venta]]*74.848</f>
        <v/>
      </c>
      <c r="M5744" s="7">
        <f>IF(N5744=0,+L5744+H5744,0)</f>
        <v/>
      </c>
      <c r="N5744" s="7">
        <f>IF((+G5744-K5744)=0,0,+G5744-K5744)</f>
        <v/>
      </c>
      <c r="O5744" s="7">
        <f>IF(N5744=0,0,(L5744+H5744)/-N5744)</f>
        <v/>
      </c>
      <c r="P5744" s="7">
        <f>VLOOKUP(OPERAC[[#This Row],[especie]],[1]!ESPECIES[#All],6,0)</f>
        <v/>
      </c>
      <c r="Q5744" s="7">
        <f>IF(N5744&lt;&gt;0,P5744*N5744,0)</f>
        <v/>
      </c>
      <c r="R5744" s="8">
        <f>IF(Q5744&lt;&gt;0,Q5744+H5744+L5744,0)</f>
        <v/>
      </c>
      <c r="S5744" s="9">
        <f>VLOOKUP(OPERAC[[#This Row],[especie]],[1]!ESPECIES[#Data],9,FALSE)</f>
        <v/>
      </c>
    </row>
    <row r="5745">
      <c r="A5745" s="4" t="n">
        <v>18651</v>
      </c>
      <c r="B5745" s="5" t="n">
        <v>44680</v>
      </c>
      <c r="C5745" s="13" t="inlineStr">
        <is>
          <t>CPR</t>
        </is>
      </c>
      <c r="D5745" s="13" t="n">
        <v>42</v>
      </c>
      <c r="E5745" s="10">
        <f>IF(D5745&gt;0,VLOOKUP(OPERAC[[#This Row],[COD CART]],[1]!MatrizCortoLargoCyl[#All],3,0),"")</f>
        <v/>
      </c>
      <c r="F5745" s="14" t="inlineStr">
        <is>
          <t>XLP</t>
        </is>
      </c>
      <c r="G5745" s="6" t="n">
        <v>33</v>
      </c>
      <c r="H5745" s="6" t="n">
        <v>-2621.3385825</v>
      </c>
      <c r="I5745" s="7">
        <f>-H5745/G5745</f>
        <v/>
      </c>
      <c r="J5745" s="11" t="n">
        <v>44693</v>
      </c>
      <c r="K5745" s="6">
        <f>+OPERAC[[#This Row],[cantidad]]</f>
        <v/>
      </c>
      <c r="L5745" s="6">
        <f>+OPERAC[[#This Row],[cantidad venta]]*74.848</f>
        <v/>
      </c>
      <c r="M5745" s="7">
        <f>IF(N5745=0,+L5745+H5745,0)</f>
        <v/>
      </c>
      <c r="N5745" s="7">
        <f>IF((+G5745-K5745)=0,0,+G5745-K5745)</f>
        <v/>
      </c>
      <c r="O5745" s="7">
        <f>IF(N5745=0,0,(L5745+H5745)/-N5745)</f>
        <v/>
      </c>
      <c r="P5745" s="7">
        <f>VLOOKUP(OPERAC[[#This Row],[especie]],[1]!ESPECIES[#All],6,0)</f>
        <v/>
      </c>
      <c r="Q5745" s="7">
        <f>IF(N5745&lt;&gt;0,P5745*N5745,0)</f>
        <v/>
      </c>
      <c r="R5745" s="8">
        <f>IF(Q5745&lt;&gt;0,Q5745+H5745+L5745,0)</f>
        <v/>
      </c>
      <c r="S5745" s="9">
        <f>VLOOKUP(OPERAC[[#This Row],[especie]],[1]!ESPECIES[#Data],9,FALSE)</f>
        <v/>
      </c>
    </row>
    <row r="5746">
      <c r="A5746" s="4" t="n">
        <v>19867</v>
      </c>
      <c r="B5746" s="5" t="n">
        <v>44680</v>
      </c>
      <c r="C5746" s="13" t="inlineStr">
        <is>
          <t>CPR</t>
        </is>
      </c>
      <c r="D5746" s="13" t="n">
        <v>42</v>
      </c>
      <c r="E5746" s="10">
        <f>IF(D5746&gt;0,VLOOKUP(OPERAC[[#This Row],[COD CART]],[1]!MatrizCortoLargoCyl[#All],3,0),"")</f>
        <v/>
      </c>
      <c r="F5746" s="14" t="inlineStr">
        <is>
          <t>XLP</t>
        </is>
      </c>
      <c r="G5746" s="6" t="n">
        <v>33</v>
      </c>
      <c r="H5746" s="6" t="n">
        <v>-2621.3385825</v>
      </c>
      <c r="I5746" s="7">
        <f>-H5746/G5746</f>
        <v/>
      </c>
      <c r="J5746" s="11" t="n">
        <v>44693</v>
      </c>
      <c r="K5746" s="6">
        <f>+OPERAC[[#This Row],[cantidad]]</f>
        <v/>
      </c>
      <c r="L5746" s="6">
        <f>+OPERAC[[#This Row],[cantidad venta]]*74.848</f>
        <v/>
      </c>
      <c r="M5746" s="7">
        <f>IF(N5746=0,+L5746+H5746,0)</f>
        <v/>
      </c>
      <c r="N5746" s="7">
        <f>IF((+G5746-K5746)=0,0,+G5746-K5746)</f>
        <v/>
      </c>
      <c r="O5746" s="7">
        <f>IF(N5746=0,0,(L5746+H5746)/-N5746)</f>
        <v/>
      </c>
      <c r="P5746" s="7">
        <f>VLOOKUP(OPERAC[[#This Row],[especie]],[1]!ESPECIES[#All],6,0)</f>
        <v/>
      </c>
      <c r="Q5746" s="7">
        <f>IF(N5746&lt;&gt;0,P5746*N5746,0)</f>
        <v/>
      </c>
      <c r="R5746" s="8">
        <f>IF(Q5746&lt;&gt;0,Q5746+H5746+L5746,0)</f>
        <v/>
      </c>
      <c r="S5746" s="9">
        <f>VLOOKUP(OPERAC[[#This Row],[especie]],[1]!ESPECIES[#Data],9,FALSE)</f>
        <v/>
      </c>
    </row>
    <row r="5747">
      <c r="A5747" s="4" t="n">
        <v>19920</v>
      </c>
      <c r="B5747" s="5" t="n">
        <v>44680</v>
      </c>
      <c r="C5747" s="13" t="inlineStr">
        <is>
          <t>CPR</t>
        </is>
      </c>
      <c r="D5747" s="13" t="n">
        <v>42</v>
      </c>
      <c r="E5747" s="10">
        <f>IF(D5747&gt;0,VLOOKUP(OPERAC[[#This Row],[COD CART]],[1]!MatrizCortoLargoCyl[#All],3,0),"")</f>
        <v/>
      </c>
      <c r="F5747" s="14" t="inlineStr">
        <is>
          <t>XLP</t>
        </is>
      </c>
      <c r="G5747" s="6" t="n">
        <v>33</v>
      </c>
      <c r="H5747" s="6" t="n">
        <v>-2621.3385825</v>
      </c>
      <c r="I5747" s="7">
        <f>-H5747/G5747</f>
        <v/>
      </c>
      <c r="J5747" s="11" t="n">
        <v>44693</v>
      </c>
      <c r="K5747" s="6">
        <f>+OPERAC[[#This Row],[cantidad]]</f>
        <v/>
      </c>
      <c r="L5747" s="6">
        <f>+OPERAC[[#This Row],[cantidad venta]]*74.848</f>
        <v/>
      </c>
      <c r="M5747" s="7">
        <f>IF(N5747=0,+L5747+H5747,0)</f>
        <v/>
      </c>
      <c r="N5747" s="7">
        <f>IF((+G5747-K5747)=0,0,+G5747-K5747)</f>
        <v/>
      </c>
      <c r="O5747" s="7">
        <f>IF(N5747=0,0,(L5747+H5747)/-N5747)</f>
        <v/>
      </c>
      <c r="P5747" s="7">
        <f>VLOOKUP(OPERAC[[#This Row],[especie]],[1]!ESPECIES[#All],6,0)</f>
        <v/>
      </c>
      <c r="Q5747" s="7">
        <f>IF(N5747&lt;&gt;0,P5747*N5747,0)</f>
        <v/>
      </c>
      <c r="R5747" s="8">
        <f>IF(Q5747&lt;&gt;0,Q5747+H5747+L5747,0)</f>
        <v/>
      </c>
      <c r="S5747" s="9">
        <f>VLOOKUP(OPERAC[[#This Row],[especie]],[1]!ESPECIES[#Data],9,FALSE)</f>
        <v/>
      </c>
    </row>
    <row r="5748">
      <c r="A5748" s="4" t="n">
        <v>19932</v>
      </c>
      <c r="B5748" s="5" t="n">
        <v>44680</v>
      </c>
      <c r="C5748" s="13" t="inlineStr">
        <is>
          <t>CPR</t>
        </is>
      </c>
      <c r="D5748" s="13" t="n">
        <v>42</v>
      </c>
      <c r="E5748" s="10">
        <f>IF(D5748&gt;0,VLOOKUP(OPERAC[[#This Row],[COD CART]],[1]!MatrizCortoLargoCyl[#All],3,0),"")</f>
        <v/>
      </c>
      <c r="F5748" s="14" t="inlineStr">
        <is>
          <t>XLP</t>
        </is>
      </c>
      <c r="G5748" s="6" t="n">
        <v>33</v>
      </c>
      <c r="H5748" s="6" t="n">
        <v>-2621.3385825</v>
      </c>
      <c r="I5748" s="7">
        <f>-H5748/G5748</f>
        <v/>
      </c>
      <c r="J5748" s="11" t="n">
        <v>44693</v>
      </c>
      <c r="K5748" s="6">
        <f>+OPERAC[[#This Row],[cantidad]]</f>
        <v/>
      </c>
      <c r="L5748" s="6">
        <f>+OPERAC[[#This Row],[cantidad venta]]*74.848</f>
        <v/>
      </c>
      <c r="M5748" s="7">
        <f>IF(N5748=0,+L5748+H5748,0)</f>
        <v/>
      </c>
      <c r="N5748" s="7">
        <f>IF((+G5748-K5748)=0,0,+G5748-K5748)</f>
        <v/>
      </c>
      <c r="O5748" s="7">
        <f>IF(N5748=0,0,(L5748+H5748)/-N5748)</f>
        <v/>
      </c>
      <c r="P5748" s="7">
        <f>VLOOKUP(OPERAC[[#This Row],[especie]],[1]!ESPECIES[#All],6,0)</f>
        <v/>
      </c>
      <c r="Q5748" s="7">
        <f>IF(N5748&lt;&gt;0,P5748*N5748,0)</f>
        <v/>
      </c>
      <c r="R5748" s="8">
        <f>IF(Q5748&lt;&gt;0,Q5748+H5748+L5748,0)</f>
        <v/>
      </c>
      <c r="S5748" s="9">
        <f>VLOOKUP(OPERAC[[#This Row],[especie]],[1]!ESPECIES[#Data],9,FALSE)</f>
        <v/>
      </c>
    </row>
    <row r="5749">
      <c r="A5749" s="4" t="n">
        <v>16780</v>
      </c>
      <c r="B5749" s="5" t="n">
        <v>44658</v>
      </c>
      <c r="C5749" s="13" t="inlineStr">
        <is>
          <t>CPR</t>
        </is>
      </c>
      <c r="D5749" s="13" t="n">
        <v>32</v>
      </c>
      <c r="E5749" s="10">
        <f>IF(D5749&gt;0,VLOOKUP(OPERAC[[#This Row],[COD CART]],[1]!MatrizCortoLargoCyl[#All],3,0),"")</f>
        <v/>
      </c>
      <c r="F5749" s="13" t="inlineStr">
        <is>
          <t>KWEB/CYL/28,00/20-05-22</t>
        </is>
      </c>
      <c r="G5749" s="6" t="n">
        <v>100</v>
      </c>
      <c r="H5749" s="6" t="n">
        <v>-2621.438</v>
      </c>
      <c r="I5749" s="7">
        <f>-H5749/G5749</f>
        <v/>
      </c>
      <c r="J5749" s="11" t="n">
        <v>44701</v>
      </c>
      <c r="K5749" s="6" t="n">
        <v>100</v>
      </c>
      <c r="L5749" s="6" t="n">
        <v>2714.698</v>
      </c>
      <c r="M5749" s="7">
        <f>IF(N5749=0,+L5749+H5749,0)</f>
        <v/>
      </c>
      <c r="N5749" s="7">
        <f>IF((+G5749-K5749)=0,0,+G5749-K5749)</f>
        <v/>
      </c>
      <c r="O5749" s="7">
        <f>IF(N5749=0,0,(L5749+H5749)/-N5749)</f>
        <v/>
      </c>
      <c r="P5749" s="7">
        <f>VLOOKUP(OPERAC[[#This Row],[especie]],[1]!ESPECIES[#All],6,0)</f>
        <v/>
      </c>
      <c r="Q5749" s="7">
        <f>IF(N5749&lt;&gt;0,P5749*N5749,0)</f>
        <v/>
      </c>
      <c r="R5749" s="8">
        <f>IF(Q5749&lt;&gt;0,Q5749+H5749+L5749,0)</f>
        <v/>
      </c>
      <c r="S5749" s="9">
        <f>VLOOKUP(OPERAC[[#This Row],[especie]],[1]!ESPECIES[#Data],9,FALSE)</f>
        <v/>
      </c>
    </row>
    <row r="5750">
      <c r="A5750" s="4" t="n">
        <v>13253</v>
      </c>
      <c r="B5750" s="5" t="n">
        <v>44614</v>
      </c>
      <c r="C5750" s="13" t="inlineStr">
        <is>
          <t>CPR</t>
        </is>
      </c>
      <c r="D5750" s="13" t="n">
        <v>41</v>
      </c>
      <c r="E5750" s="10">
        <f>IF(D5750&gt;0,VLOOKUP(OPERAC[[#This Row],[COD CART]],[1]!MatrizCortoLargoCyl[#All],3,0),"")</f>
        <v/>
      </c>
      <c r="F5750" s="13" t="inlineStr">
        <is>
          <t>NRZ</t>
        </is>
      </c>
      <c r="G5750" s="6" t="n">
        <v>250</v>
      </c>
      <c r="H5750" s="6" t="n">
        <v>-2629.61</v>
      </c>
      <c r="I5750" s="7">
        <f>-H5750/G5750</f>
        <v/>
      </c>
      <c r="J5750" s="11" t="n"/>
      <c r="K5750" s="6" t="n"/>
      <c r="L5750" s="6" t="n"/>
      <c r="M5750" s="7">
        <f>IF(N5750=0,+L5750+H5750,0)</f>
        <v/>
      </c>
      <c r="N5750" s="7">
        <f>IF((+G5750-K5750)=0,0,+G5750-K5750)</f>
        <v/>
      </c>
      <c r="O5750" s="7">
        <f>IF(N5750=0,0,(L5750+H5750)/-N5750)</f>
        <v/>
      </c>
      <c r="P5750" s="7">
        <f>VLOOKUP(OPERAC[[#This Row],[especie]],[1]!ESPECIES[#All],6,0)</f>
        <v/>
      </c>
      <c r="Q5750" s="7">
        <f>IF(N5750&lt;&gt;0,P5750*N5750,0)</f>
        <v/>
      </c>
      <c r="R5750" s="8">
        <f>IF(Q5750&lt;&gt;0,Q5750+H5750+L5750,0)</f>
        <v/>
      </c>
      <c r="S5750" s="9">
        <f>VLOOKUP(OPERAC[[#This Row],[especie]],[1]!ESPECIES[#Data],9,FALSE)</f>
        <v/>
      </c>
    </row>
    <row r="5751">
      <c r="A5751" s="4" t="n">
        <v>10079</v>
      </c>
      <c r="B5751" s="5" t="n">
        <v>44608</v>
      </c>
      <c r="C5751" s="13" t="inlineStr">
        <is>
          <t>CPR</t>
        </is>
      </c>
      <c r="D5751" s="13" t="n">
        <v>40</v>
      </c>
      <c r="E5751" s="10">
        <f>IF(D5751&gt;0,VLOOKUP(OPERAC[[#This Row],[COD CART]],[1]!MatrizCortoLargoCyl[#All],3,0),"")</f>
        <v/>
      </c>
      <c r="F5751" s="13" t="inlineStr">
        <is>
          <t>NVDA</t>
        </is>
      </c>
      <c r="G5751" s="6" t="n">
        <v>10</v>
      </c>
      <c r="H5751" s="6" t="n">
        <v>-2635.14</v>
      </c>
      <c r="I5751" s="7">
        <f>-H5751/G5751</f>
        <v/>
      </c>
      <c r="J5751" s="11" t="n">
        <v>44616</v>
      </c>
      <c r="K5751" s="6">
        <f>+OPERAC[[#This Row],[cantidad]]</f>
        <v/>
      </c>
      <c r="L5751" s="6">
        <f>+OPERAC[[#This Row],[cantidad venta]]*224.117</f>
        <v/>
      </c>
      <c r="M5751" s="7">
        <f>IF(N5751=0,+L5751+H5751,0)</f>
        <v/>
      </c>
      <c r="N5751" s="7">
        <f>IF((+G5751-K5751)=0,0,+G5751-K5751)</f>
        <v/>
      </c>
      <c r="O5751" s="7">
        <f>IF(N5751=0,0,(L5751+H5751)/-N5751)</f>
        <v/>
      </c>
      <c r="P5751" s="7">
        <f>VLOOKUP(OPERAC[[#This Row],[especie]],[1]!ESPECIES[#All],6,0)</f>
        <v/>
      </c>
      <c r="Q5751" s="7">
        <f>IF(N5751&lt;&gt;0,P5751*N5751,0)</f>
        <v/>
      </c>
      <c r="R5751" s="8">
        <f>IF(Q5751&lt;&gt;0,Q5751+H5751+L5751,0)</f>
        <v/>
      </c>
      <c r="S5751" s="9">
        <f>VLOOKUP(OPERAC[[#This Row],[especie]],[1]!ESPECIES[#Data],9,FALSE)</f>
        <v/>
      </c>
    </row>
    <row r="5752">
      <c r="A5752" s="4" t="n">
        <v>15189</v>
      </c>
      <c r="B5752" s="5" t="n">
        <v>44608</v>
      </c>
      <c r="C5752" s="13" t="inlineStr">
        <is>
          <t>CPR</t>
        </is>
      </c>
      <c r="D5752" s="13" t="n">
        <v>40</v>
      </c>
      <c r="E5752" s="10">
        <f>IF(D5752&gt;0,VLOOKUP(OPERAC[[#This Row],[COD CART]],[1]!MatrizCortoLargoCyl[#All],3,0),"")</f>
        <v/>
      </c>
      <c r="F5752" s="13" t="inlineStr">
        <is>
          <t>NVDA</t>
        </is>
      </c>
      <c r="G5752" s="6" t="n">
        <v>10</v>
      </c>
      <c r="H5752" s="6" t="n">
        <v>-2635.14</v>
      </c>
      <c r="I5752" s="7">
        <f>-H5752/G5752</f>
        <v/>
      </c>
      <c r="J5752" s="11" t="n">
        <v>44616</v>
      </c>
      <c r="K5752" s="6">
        <f>+OPERAC[[#This Row],[cantidad]]</f>
        <v/>
      </c>
      <c r="L5752" s="6">
        <f>+OPERAC[[#This Row],[cantidad venta]]*224.117</f>
        <v/>
      </c>
      <c r="M5752" s="7">
        <f>IF(N5752=0,+L5752+H5752,0)</f>
        <v/>
      </c>
      <c r="N5752" s="7">
        <f>IF((+G5752-K5752)=0,0,+G5752-K5752)</f>
        <v/>
      </c>
      <c r="O5752" s="7">
        <f>IF(N5752=0,0,(L5752+H5752)/-N5752)</f>
        <v/>
      </c>
      <c r="P5752" s="7">
        <f>VLOOKUP(OPERAC[[#This Row],[especie]],[1]!ESPECIES[#All],6,0)</f>
        <v/>
      </c>
      <c r="Q5752" s="7">
        <f>IF(N5752&lt;&gt;0,P5752*N5752,0)</f>
        <v/>
      </c>
      <c r="R5752" s="8">
        <f>IF(Q5752&lt;&gt;0,Q5752+H5752+L5752,0)</f>
        <v/>
      </c>
      <c r="S5752" s="9">
        <f>VLOOKUP(OPERAC[[#This Row],[especie]],[1]!ESPECIES[#Data],9,FALSE)</f>
        <v/>
      </c>
    </row>
    <row r="5753">
      <c r="A5753" s="4" t="n">
        <v>16780</v>
      </c>
      <c r="B5753" s="5" t="n">
        <v>44608</v>
      </c>
      <c r="C5753" s="13" t="inlineStr">
        <is>
          <t>CPR</t>
        </is>
      </c>
      <c r="D5753" s="13" t="n">
        <v>40</v>
      </c>
      <c r="E5753" s="10">
        <f>IF(D5753&gt;0,VLOOKUP(OPERAC[[#This Row],[COD CART]],[1]!MatrizCortoLargoCyl[#All],3,0),"")</f>
        <v/>
      </c>
      <c r="F5753" s="13" t="inlineStr">
        <is>
          <t>NVDA</t>
        </is>
      </c>
      <c r="G5753" s="6" t="n">
        <v>10</v>
      </c>
      <c r="H5753" s="6" t="n">
        <v>-2635.14</v>
      </c>
      <c r="I5753" s="7">
        <f>-H5753/G5753</f>
        <v/>
      </c>
      <c r="J5753" s="11" t="n">
        <v>44616</v>
      </c>
      <c r="K5753" s="6">
        <f>+OPERAC[[#This Row],[cantidad]]</f>
        <v/>
      </c>
      <c r="L5753" s="6">
        <f>+OPERAC[[#This Row],[cantidad venta]]*224.117</f>
        <v/>
      </c>
      <c r="M5753" s="7">
        <f>IF(N5753=0,+L5753+H5753,0)</f>
        <v/>
      </c>
      <c r="N5753" s="7">
        <f>IF((+G5753-K5753)=0,0,+G5753-K5753)</f>
        <v/>
      </c>
      <c r="O5753" s="7">
        <f>IF(N5753=0,0,(L5753+H5753)/-N5753)</f>
        <v/>
      </c>
      <c r="P5753" s="7">
        <f>VLOOKUP(OPERAC[[#This Row],[especie]],[1]!ESPECIES[#All],6,0)</f>
        <v/>
      </c>
      <c r="Q5753" s="7">
        <f>IF(N5753&lt;&gt;0,P5753*N5753,0)</f>
        <v/>
      </c>
      <c r="R5753" s="8">
        <f>IF(Q5753&lt;&gt;0,Q5753+H5753+L5753,0)</f>
        <v/>
      </c>
      <c r="S5753" s="9">
        <f>VLOOKUP(OPERAC[[#This Row],[especie]],[1]!ESPECIES[#Data],9,FALSE)</f>
        <v/>
      </c>
    </row>
    <row r="5754">
      <c r="A5754" s="4" t="n">
        <v>18651</v>
      </c>
      <c r="B5754" s="5" t="n">
        <v>44608</v>
      </c>
      <c r="C5754" s="13" t="inlineStr">
        <is>
          <t>CPR</t>
        </is>
      </c>
      <c r="D5754" s="13" t="n">
        <v>40</v>
      </c>
      <c r="E5754" s="10">
        <f>IF(D5754&gt;0,VLOOKUP(OPERAC[[#This Row],[COD CART]],[1]!MatrizCortoLargoCyl[#All],3,0),"")</f>
        <v/>
      </c>
      <c r="F5754" s="13" t="inlineStr">
        <is>
          <t>NVDA</t>
        </is>
      </c>
      <c r="G5754" s="6" t="n">
        <v>10</v>
      </c>
      <c r="H5754" s="6" t="n">
        <v>-2635.14</v>
      </c>
      <c r="I5754" s="7">
        <f>-H5754/G5754</f>
        <v/>
      </c>
      <c r="J5754" s="11" t="n">
        <v>44616</v>
      </c>
      <c r="K5754" s="6">
        <f>+OPERAC[[#This Row],[cantidad]]</f>
        <v/>
      </c>
      <c r="L5754" s="6">
        <f>+OPERAC[[#This Row],[cantidad venta]]*224.117</f>
        <v/>
      </c>
      <c r="M5754" s="7">
        <f>IF(N5754=0,+L5754+H5754,0)</f>
        <v/>
      </c>
      <c r="N5754" s="7">
        <f>IF((+G5754-K5754)=0,0,+G5754-K5754)</f>
        <v/>
      </c>
      <c r="O5754" s="7">
        <f>IF(N5754=0,0,(L5754+H5754)/-N5754)</f>
        <v/>
      </c>
      <c r="P5754" s="7">
        <f>VLOOKUP(OPERAC[[#This Row],[especie]],[1]!ESPECIES[#All],6,0)</f>
        <v/>
      </c>
      <c r="Q5754" s="7">
        <f>IF(N5754&lt;&gt;0,P5754*N5754,0)</f>
        <v/>
      </c>
      <c r="R5754" s="8">
        <f>IF(Q5754&lt;&gt;0,Q5754+H5754+L5754,0)</f>
        <v/>
      </c>
      <c r="S5754" s="9">
        <f>VLOOKUP(OPERAC[[#This Row],[especie]],[1]!ESPECIES[#Data],9,FALSE)</f>
        <v/>
      </c>
    </row>
    <row r="5755">
      <c r="A5755" s="4" t="n">
        <v>19888</v>
      </c>
      <c r="B5755" s="5" t="n">
        <v>44608</v>
      </c>
      <c r="C5755" s="13" t="inlineStr">
        <is>
          <t>CPR</t>
        </is>
      </c>
      <c r="D5755" s="13" t="n">
        <v>40</v>
      </c>
      <c r="E5755" s="10">
        <f>IF(D5755&gt;0,VLOOKUP(OPERAC[[#This Row],[COD CART]],[1]!MatrizCortoLargoCyl[#All],3,0),"")</f>
        <v/>
      </c>
      <c r="F5755" s="13" t="inlineStr">
        <is>
          <t>NVDA</t>
        </is>
      </c>
      <c r="G5755" s="6" t="n">
        <v>10</v>
      </c>
      <c r="H5755" s="6" t="n">
        <v>-2635.14</v>
      </c>
      <c r="I5755" s="7">
        <f>-H5755/G5755</f>
        <v/>
      </c>
      <c r="J5755" s="11" t="n">
        <v>44616</v>
      </c>
      <c r="K5755" s="6">
        <f>+OPERAC[[#This Row],[cantidad]]</f>
        <v/>
      </c>
      <c r="L5755" s="6">
        <f>+OPERAC[[#This Row],[cantidad venta]]*224.117</f>
        <v/>
      </c>
      <c r="M5755" s="7">
        <f>IF(N5755=0,+L5755+H5755,0)</f>
        <v/>
      </c>
      <c r="N5755" s="7">
        <f>IF((+G5755-K5755)=0,0,+G5755-K5755)</f>
        <v/>
      </c>
      <c r="O5755" s="7">
        <f>IF(N5755=0,0,(L5755+H5755)/-N5755)</f>
        <v/>
      </c>
      <c r="P5755" s="7">
        <f>VLOOKUP(OPERAC[[#This Row],[especie]],[1]!ESPECIES[#All],6,0)</f>
        <v/>
      </c>
      <c r="Q5755" s="7">
        <f>IF(N5755&lt;&gt;0,P5755*N5755,0)</f>
        <v/>
      </c>
      <c r="R5755" s="8">
        <f>IF(Q5755&lt;&gt;0,Q5755+H5755+L5755,0)</f>
        <v/>
      </c>
      <c r="S5755" s="9">
        <f>VLOOKUP(OPERAC[[#This Row],[especie]],[1]!ESPECIES[#Data],9,FALSE)</f>
        <v/>
      </c>
    </row>
    <row r="5756">
      <c r="A5756" s="4" t="n">
        <v>1760</v>
      </c>
      <c r="B5756" s="5" t="n">
        <v>44707</v>
      </c>
      <c r="C5756" s="13" t="inlineStr">
        <is>
          <t>CPR</t>
        </is>
      </c>
      <c r="D5756" s="13" t="n">
        <v>32</v>
      </c>
      <c r="E5756" s="10">
        <f>IF(D5756&gt;0,VLOOKUP(OPERAC[[#This Row],[COD CART]],[1]!MatrizCortoLargoCyl[#All],3,0),"")</f>
        <v/>
      </c>
      <c r="F5756" s="13" t="inlineStr">
        <is>
          <t>BIG/CYL/27,50/17-06-22</t>
        </is>
      </c>
      <c r="G5756" s="6" t="n">
        <v>100</v>
      </c>
      <c r="H5756" s="6" t="n">
        <v>-2636.628</v>
      </c>
      <c r="I5756" s="7">
        <f>-H5756/G5756</f>
        <v/>
      </c>
      <c r="J5756" s="5" t="n"/>
      <c r="K5756" s="6" t="n"/>
      <c r="L5756" s="6" t="n"/>
      <c r="M5756" s="7">
        <f>IF(N5756=0,+L5756+H5756,0)</f>
        <v/>
      </c>
      <c r="N5756" s="7">
        <f>IF((+G5756-K5756)=0,0,+G5756-K5756)</f>
        <v/>
      </c>
      <c r="O5756" s="7">
        <f>IF(N5756=0,0,(L5756+H5756)/-N5756)</f>
        <v/>
      </c>
      <c r="P5756" s="7">
        <f>VLOOKUP(OPERAC[[#This Row],[especie]],[1]!ESPECIES[#All],6,0)</f>
        <v/>
      </c>
      <c r="Q5756" s="7">
        <f>IF(N5756&lt;&gt;0,P5756*N5756,0)</f>
        <v/>
      </c>
      <c r="R5756" s="8">
        <f>IF(Q5756&lt;&gt;0,Q5756+H5756+L5756,0)</f>
        <v/>
      </c>
      <c r="S5756" s="9">
        <f>VLOOKUP(OPERAC[[#This Row],[especie]],[1]!ESPECIES[#Data],9,FALSE)</f>
        <v/>
      </c>
    </row>
    <row r="5757">
      <c r="A5757" s="4" t="n">
        <v>2194</v>
      </c>
      <c r="B5757" s="5" t="n">
        <v>44707</v>
      </c>
      <c r="C5757" s="13" t="inlineStr">
        <is>
          <t>CPR</t>
        </is>
      </c>
      <c r="D5757" s="13" t="n">
        <v>32</v>
      </c>
      <c r="E5757" s="10">
        <f>IF(D5757&gt;0,VLOOKUP(OPERAC[[#This Row],[COD CART]],[1]!MatrizCortoLargoCyl[#All],3,0),"")</f>
        <v/>
      </c>
      <c r="F5757" s="13" t="inlineStr">
        <is>
          <t>BIG/CYL/27,50/17-06-22</t>
        </is>
      </c>
      <c r="G5757" s="6" t="n">
        <v>100</v>
      </c>
      <c r="H5757" s="6" t="n">
        <v>-2636.628</v>
      </c>
      <c r="I5757" s="7">
        <f>-H5757/G5757</f>
        <v/>
      </c>
      <c r="J5757" s="5" t="n"/>
      <c r="K5757" s="6" t="n"/>
      <c r="L5757" s="6" t="n"/>
      <c r="M5757" s="7">
        <f>IF(N5757=0,+L5757+H5757,0)</f>
        <v/>
      </c>
      <c r="N5757" s="7">
        <f>IF((+G5757-K5757)=0,0,+G5757-K5757)</f>
        <v/>
      </c>
      <c r="O5757" s="7">
        <f>IF(N5757=0,0,(L5757+H5757)/-N5757)</f>
        <v/>
      </c>
      <c r="P5757" s="7">
        <f>VLOOKUP(OPERAC[[#This Row],[especie]],[1]!ESPECIES[#All],6,0)</f>
        <v/>
      </c>
      <c r="Q5757" s="7">
        <f>IF(N5757&lt;&gt;0,P5757*N5757,0)</f>
        <v/>
      </c>
      <c r="R5757" s="8">
        <f>IF(Q5757&lt;&gt;0,Q5757+H5757+L5757,0)</f>
        <v/>
      </c>
      <c r="S5757" s="9">
        <f>VLOOKUP(OPERAC[[#This Row],[especie]],[1]!ESPECIES[#Data],9,FALSE)</f>
        <v/>
      </c>
    </row>
    <row r="5758">
      <c r="A5758" s="4" t="n">
        <v>2218</v>
      </c>
      <c r="B5758" s="5" t="n">
        <v>44707</v>
      </c>
      <c r="C5758" s="13" t="inlineStr">
        <is>
          <t>CPR</t>
        </is>
      </c>
      <c r="D5758" s="13" t="n">
        <v>32</v>
      </c>
      <c r="E5758" s="10">
        <f>IF(D5758&gt;0,VLOOKUP(OPERAC[[#This Row],[COD CART]],[1]!MatrizCortoLargoCyl[#All],3,0),"")</f>
        <v/>
      </c>
      <c r="F5758" s="13" t="inlineStr">
        <is>
          <t>BIG/CYL/27,50/17-06-22</t>
        </is>
      </c>
      <c r="G5758" s="6" t="n">
        <v>100</v>
      </c>
      <c r="H5758" s="6" t="n">
        <v>-2636.628</v>
      </c>
      <c r="I5758" s="7">
        <f>-H5758/G5758</f>
        <v/>
      </c>
      <c r="J5758" s="5" t="n"/>
      <c r="K5758" s="6" t="n"/>
      <c r="L5758" s="6" t="n"/>
      <c r="M5758" s="7">
        <f>IF(N5758=0,+L5758+H5758,0)</f>
        <v/>
      </c>
      <c r="N5758" s="7">
        <f>IF((+G5758-K5758)=0,0,+G5758-K5758)</f>
        <v/>
      </c>
      <c r="O5758" s="7">
        <f>IF(N5758=0,0,(L5758+H5758)/-N5758)</f>
        <v/>
      </c>
      <c r="P5758" s="7">
        <f>VLOOKUP(OPERAC[[#This Row],[especie]],[1]!ESPECIES[#All],6,0)</f>
        <v/>
      </c>
      <c r="Q5758" s="7">
        <f>IF(N5758&lt;&gt;0,P5758*N5758,0)</f>
        <v/>
      </c>
      <c r="R5758" s="8">
        <f>IF(Q5758&lt;&gt;0,Q5758+H5758+L5758,0)</f>
        <v/>
      </c>
      <c r="S5758" s="9">
        <f>VLOOKUP(OPERAC[[#This Row],[especie]],[1]!ESPECIES[#Data],9,FALSE)</f>
        <v/>
      </c>
    </row>
    <row r="5759">
      <c r="A5759" s="4" t="n">
        <v>7493</v>
      </c>
      <c r="B5759" s="5" t="n">
        <v>44707</v>
      </c>
      <c r="C5759" s="13" t="inlineStr">
        <is>
          <t>CPR</t>
        </is>
      </c>
      <c r="D5759" s="13" t="n">
        <v>32</v>
      </c>
      <c r="E5759" s="10">
        <f>IF(D5759&gt;0,VLOOKUP(OPERAC[[#This Row],[COD CART]],[1]!MatrizCortoLargoCyl[#All],3,0),"")</f>
        <v/>
      </c>
      <c r="F5759" s="13" t="inlineStr">
        <is>
          <t>BIG/CYL/27,50/17-06-22</t>
        </is>
      </c>
      <c r="G5759" s="6" t="n">
        <v>100</v>
      </c>
      <c r="H5759" s="6" t="n">
        <v>-2636.628</v>
      </c>
      <c r="I5759" s="7">
        <f>-H5759/G5759</f>
        <v/>
      </c>
      <c r="J5759" s="5" t="n"/>
      <c r="K5759" s="6" t="n"/>
      <c r="L5759" s="6" t="n"/>
      <c r="M5759" s="7">
        <f>IF(N5759=0,+L5759+H5759,0)</f>
        <v/>
      </c>
      <c r="N5759" s="7">
        <f>IF((+G5759-K5759)=0,0,+G5759-K5759)</f>
        <v/>
      </c>
      <c r="O5759" s="7">
        <f>IF(N5759=0,0,(L5759+H5759)/-N5759)</f>
        <v/>
      </c>
      <c r="P5759" s="7">
        <f>VLOOKUP(OPERAC[[#This Row],[especie]],[1]!ESPECIES[#All],6,0)</f>
        <v/>
      </c>
      <c r="Q5759" s="7">
        <f>IF(N5759&lt;&gt;0,P5759*N5759,0)</f>
        <v/>
      </c>
      <c r="R5759" s="8">
        <f>IF(Q5759&lt;&gt;0,Q5759+H5759+L5759,0)</f>
        <v/>
      </c>
      <c r="S5759" s="9">
        <f>VLOOKUP(OPERAC[[#This Row],[especie]],[1]!ESPECIES[#Data],9,FALSE)</f>
        <v/>
      </c>
    </row>
    <row r="5760">
      <c r="A5760" s="4" t="n">
        <v>10079</v>
      </c>
      <c r="B5760" s="5" t="n">
        <v>44707</v>
      </c>
      <c r="C5760" s="13" t="inlineStr">
        <is>
          <t>CPR</t>
        </is>
      </c>
      <c r="D5760" s="13" t="n">
        <v>32</v>
      </c>
      <c r="E5760" s="10">
        <f>IF(D5760&gt;0,VLOOKUP(OPERAC[[#This Row],[COD CART]],[1]!MatrizCortoLargoCyl[#All],3,0),"")</f>
        <v/>
      </c>
      <c r="F5760" s="13" t="inlineStr">
        <is>
          <t>BIG/CYL/27,50/17-06-22</t>
        </is>
      </c>
      <c r="G5760" s="6" t="n">
        <v>100</v>
      </c>
      <c r="H5760" s="6" t="n">
        <v>-2636.628</v>
      </c>
      <c r="I5760" s="7">
        <f>-H5760/G5760</f>
        <v/>
      </c>
      <c r="J5760" s="5" t="n"/>
      <c r="K5760" s="6" t="n"/>
      <c r="L5760" s="6" t="n"/>
      <c r="M5760" s="7">
        <f>IF(N5760=0,+L5760+H5760,0)</f>
        <v/>
      </c>
      <c r="N5760" s="7">
        <f>IF((+G5760-K5760)=0,0,+G5760-K5760)</f>
        <v/>
      </c>
      <c r="O5760" s="7">
        <f>IF(N5760=0,0,(L5760+H5760)/-N5760)</f>
        <v/>
      </c>
      <c r="P5760" s="7">
        <f>VLOOKUP(OPERAC[[#This Row],[especie]],[1]!ESPECIES[#All],6,0)</f>
        <v/>
      </c>
      <c r="Q5760" s="7">
        <f>IF(N5760&lt;&gt;0,P5760*N5760,0)</f>
        <v/>
      </c>
      <c r="R5760" s="8">
        <f>IF(Q5760&lt;&gt;0,Q5760+H5760+L5760,0)</f>
        <v/>
      </c>
      <c r="S5760" s="9">
        <f>VLOOKUP(OPERAC[[#This Row],[especie]],[1]!ESPECIES[#Data],9,FALSE)</f>
        <v/>
      </c>
    </row>
    <row r="5761">
      <c r="A5761" s="4" t="n">
        <v>13185</v>
      </c>
      <c r="B5761" s="5" t="n">
        <v>44707</v>
      </c>
      <c r="C5761" s="13" t="inlineStr">
        <is>
          <t>CPR</t>
        </is>
      </c>
      <c r="D5761" s="13" t="n">
        <v>32</v>
      </c>
      <c r="E5761" s="10">
        <f>IF(D5761&gt;0,VLOOKUP(OPERAC[[#This Row],[COD CART]],[1]!MatrizCortoLargoCyl[#All],3,0),"")</f>
        <v/>
      </c>
      <c r="F5761" s="13" t="inlineStr">
        <is>
          <t>BIG/CYL/27,50/17-06-22</t>
        </is>
      </c>
      <c r="G5761" s="6" t="n">
        <v>100</v>
      </c>
      <c r="H5761" s="6" t="n">
        <v>-2636.628</v>
      </c>
      <c r="I5761" s="7">
        <f>-H5761/G5761</f>
        <v/>
      </c>
      <c r="J5761" s="5" t="n"/>
      <c r="K5761" s="6" t="n"/>
      <c r="L5761" s="6" t="n"/>
      <c r="M5761" s="7">
        <f>IF(N5761=0,+L5761+H5761,0)</f>
        <v/>
      </c>
      <c r="N5761" s="7">
        <f>IF((+G5761-K5761)=0,0,+G5761-K5761)</f>
        <v/>
      </c>
      <c r="O5761" s="7">
        <f>IF(N5761=0,0,(L5761+H5761)/-N5761)</f>
        <v/>
      </c>
      <c r="P5761" s="7">
        <f>VLOOKUP(OPERAC[[#This Row],[especie]],[1]!ESPECIES[#All],6,0)</f>
        <v/>
      </c>
      <c r="Q5761" s="7">
        <f>IF(N5761&lt;&gt;0,P5761*N5761,0)</f>
        <v/>
      </c>
      <c r="R5761" s="8">
        <f>IF(Q5761&lt;&gt;0,Q5761+H5761+L5761,0)</f>
        <v/>
      </c>
      <c r="S5761" s="9">
        <f>VLOOKUP(OPERAC[[#This Row],[especie]],[1]!ESPECIES[#Data],9,FALSE)</f>
        <v/>
      </c>
    </row>
    <row r="5762">
      <c r="A5762" s="4" t="n">
        <v>15189</v>
      </c>
      <c r="B5762" s="5" t="n">
        <v>44707</v>
      </c>
      <c r="C5762" s="13" t="inlineStr">
        <is>
          <t>CPR</t>
        </is>
      </c>
      <c r="D5762" s="13" t="n">
        <v>32</v>
      </c>
      <c r="E5762" s="10">
        <f>IF(D5762&gt;0,VLOOKUP(OPERAC[[#This Row],[COD CART]],[1]!MatrizCortoLargoCyl[#All],3,0),"")</f>
        <v/>
      </c>
      <c r="F5762" s="13" t="inlineStr">
        <is>
          <t>BIG/CYL/27,50/17-06-22</t>
        </is>
      </c>
      <c r="G5762" s="6" t="n">
        <v>100</v>
      </c>
      <c r="H5762" s="6" t="n">
        <v>-2636.628</v>
      </c>
      <c r="I5762" s="7">
        <f>-H5762/G5762</f>
        <v/>
      </c>
      <c r="J5762" s="5" t="n"/>
      <c r="K5762" s="6" t="n"/>
      <c r="L5762" s="6" t="n"/>
      <c r="M5762" s="7">
        <f>IF(N5762=0,+L5762+H5762,0)</f>
        <v/>
      </c>
      <c r="N5762" s="7">
        <f>IF((+G5762-K5762)=0,0,+G5762-K5762)</f>
        <v/>
      </c>
      <c r="O5762" s="7">
        <f>IF(N5762=0,0,(L5762+H5762)/-N5762)</f>
        <v/>
      </c>
      <c r="P5762" s="7">
        <f>VLOOKUP(OPERAC[[#This Row],[especie]],[1]!ESPECIES[#All],6,0)</f>
        <v/>
      </c>
      <c r="Q5762" s="7">
        <f>IF(N5762&lt;&gt;0,P5762*N5762,0)</f>
        <v/>
      </c>
      <c r="R5762" s="8">
        <f>IF(Q5762&lt;&gt;0,Q5762+H5762+L5762,0)</f>
        <v/>
      </c>
      <c r="S5762" s="9">
        <f>VLOOKUP(OPERAC[[#This Row],[especie]],[1]!ESPECIES[#Data],9,FALSE)</f>
        <v/>
      </c>
    </row>
    <row r="5763">
      <c r="A5763" s="4" t="n">
        <v>15194</v>
      </c>
      <c r="B5763" s="5" t="n">
        <v>44707</v>
      </c>
      <c r="C5763" s="13" t="inlineStr">
        <is>
          <t>CPR</t>
        </is>
      </c>
      <c r="D5763" s="13" t="n">
        <v>32</v>
      </c>
      <c r="E5763" s="10">
        <f>IF(D5763&gt;0,VLOOKUP(OPERAC[[#This Row],[COD CART]],[1]!MatrizCortoLargoCyl[#All],3,0),"")</f>
        <v/>
      </c>
      <c r="F5763" s="13" t="inlineStr">
        <is>
          <t>BIG/CYL/27,50/17-06-22</t>
        </is>
      </c>
      <c r="G5763" s="6" t="n">
        <v>100</v>
      </c>
      <c r="H5763" s="6" t="n">
        <v>-2636.628</v>
      </c>
      <c r="I5763" s="7">
        <f>-H5763/G5763</f>
        <v/>
      </c>
      <c r="J5763" s="5" t="n"/>
      <c r="K5763" s="6" t="n"/>
      <c r="L5763" s="6" t="n"/>
      <c r="M5763" s="7">
        <f>IF(N5763=0,+L5763+H5763,0)</f>
        <v/>
      </c>
      <c r="N5763" s="7">
        <f>IF((+G5763-K5763)=0,0,+G5763-K5763)</f>
        <v/>
      </c>
      <c r="O5763" s="7">
        <f>IF(N5763=0,0,(L5763+H5763)/-N5763)</f>
        <v/>
      </c>
      <c r="P5763" s="7">
        <f>VLOOKUP(OPERAC[[#This Row],[especie]],[1]!ESPECIES[#All],6,0)</f>
        <v/>
      </c>
      <c r="Q5763" s="7">
        <f>IF(N5763&lt;&gt;0,P5763*N5763,0)</f>
        <v/>
      </c>
      <c r="R5763" s="8">
        <f>IF(Q5763&lt;&gt;0,Q5763+H5763+L5763,0)</f>
        <v/>
      </c>
      <c r="S5763" s="9">
        <f>VLOOKUP(OPERAC[[#This Row],[especie]],[1]!ESPECIES[#Data],9,FALSE)</f>
        <v/>
      </c>
    </row>
    <row r="5764">
      <c r="A5764" s="4" t="n">
        <v>16783</v>
      </c>
      <c r="B5764" s="5" t="n">
        <v>44707</v>
      </c>
      <c r="C5764" s="13" t="inlineStr">
        <is>
          <t>CPR</t>
        </is>
      </c>
      <c r="D5764" s="13" t="n">
        <v>32</v>
      </c>
      <c r="E5764" s="10">
        <f>IF(D5764&gt;0,VLOOKUP(OPERAC[[#This Row],[COD CART]],[1]!MatrizCortoLargoCyl[#All],3,0),"")</f>
        <v/>
      </c>
      <c r="F5764" s="13" t="inlineStr">
        <is>
          <t>BIG/CYL/27,50/17-06-22</t>
        </is>
      </c>
      <c r="G5764" s="6" t="n">
        <v>100</v>
      </c>
      <c r="H5764" s="6" t="n">
        <v>-2636.628</v>
      </c>
      <c r="I5764" s="7">
        <f>-H5764/G5764</f>
        <v/>
      </c>
      <c r="J5764" s="5" t="n"/>
      <c r="K5764" s="6" t="n"/>
      <c r="L5764" s="6" t="n"/>
      <c r="M5764" s="7">
        <f>IF(N5764=0,+L5764+H5764,0)</f>
        <v/>
      </c>
      <c r="N5764" s="7">
        <f>IF((+G5764-K5764)=0,0,+G5764-K5764)</f>
        <v/>
      </c>
      <c r="O5764" s="7">
        <f>IF(N5764=0,0,(L5764+H5764)/-N5764)</f>
        <v/>
      </c>
      <c r="P5764" s="7">
        <f>VLOOKUP(OPERAC[[#This Row],[especie]],[1]!ESPECIES[#All],6,0)</f>
        <v/>
      </c>
      <c r="Q5764" s="7">
        <f>IF(N5764&lt;&gt;0,P5764*N5764,0)</f>
        <v/>
      </c>
      <c r="R5764" s="8">
        <f>IF(Q5764&lt;&gt;0,Q5764+H5764+L5764,0)</f>
        <v/>
      </c>
      <c r="S5764" s="9">
        <f>VLOOKUP(OPERAC[[#This Row],[especie]],[1]!ESPECIES[#Data],9,FALSE)</f>
        <v/>
      </c>
    </row>
    <row r="5765">
      <c r="A5765" s="4" t="n">
        <v>16795</v>
      </c>
      <c r="B5765" s="5" t="n">
        <v>44707</v>
      </c>
      <c r="C5765" s="13" t="inlineStr">
        <is>
          <t>CPR</t>
        </is>
      </c>
      <c r="D5765" s="13" t="n">
        <v>32</v>
      </c>
      <c r="E5765" s="10">
        <f>IF(D5765&gt;0,VLOOKUP(OPERAC[[#This Row],[COD CART]],[1]!MatrizCortoLargoCyl[#All],3,0),"")</f>
        <v/>
      </c>
      <c r="F5765" s="13" t="inlineStr">
        <is>
          <t>BIG/CYL/27,50/17-06-22</t>
        </is>
      </c>
      <c r="G5765" s="6" t="n">
        <v>100</v>
      </c>
      <c r="H5765" s="6" t="n">
        <v>-2636.628</v>
      </c>
      <c r="I5765" s="7">
        <f>-H5765/G5765</f>
        <v/>
      </c>
      <c r="J5765" s="5" t="n"/>
      <c r="K5765" s="6" t="n"/>
      <c r="L5765" s="6" t="n"/>
      <c r="M5765" s="7">
        <f>IF(N5765=0,+L5765+H5765,0)</f>
        <v/>
      </c>
      <c r="N5765" s="7">
        <f>IF((+G5765-K5765)=0,0,+G5765-K5765)</f>
        <v/>
      </c>
      <c r="O5765" s="7">
        <f>IF(N5765=0,0,(L5765+H5765)/-N5765)</f>
        <v/>
      </c>
      <c r="P5765" s="7">
        <f>VLOOKUP(OPERAC[[#This Row],[especie]],[1]!ESPECIES[#All],6,0)</f>
        <v/>
      </c>
      <c r="Q5765" s="7">
        <f>IF(N5765&lt;&gt;0,P5765*N5765,0)</f>
        <v/>
      </c>
      <c r="R5765" s="8">
        <f>IF(Q5765&lt;&gt;0,Q5765+H5765+L5765,0)</f>
        <v/>
      </c>
      <c r="S5765" s="9">
        <f>VLOOKUP(OPERAC[[#This Row],[especie]],[1]!ESPECIES[#Data],9,FALSE)</f>
        <v/>
      </c>
    </row>
    <row r="5766">
      <c r="A5766" s="4" t="n">
        <v>2255</v>
      </c>
      <c r="B5766" s="5" t="n">
        <v>44532</v>
      </c>
      <c r="C5766" s="13" t="inlineStr">
        <is>
          <t>CPR</t>
        </is>
      </c>
      <c r="D5766" s="13" t="n">
        <v>32</v>
      </c>
      <c r="E5766" s="10">
        <f>IF(D5766&gt;0,VLOOKUP(OPERAC[[#This Row],[COD CART]],[1]!MatrizCortoLargoCyl[#All],3,0),"")</f>
        <v/>
      </c>
      <c r="F5766" s="13" t="inlineStr">
        <is>
          <t>COTY/CYL/10,00/18-02-22</t>
        </is>
      </c>
      <c r="G5766" s="6" t="n">
        <v>300</v>
      </c>
      <c r="H5766" s="6">
        <f>-2704.797+62.779</f>
        <v/>
      </c>
      <c r="I5766" s="7">
        <f>-H5766/G5766</f>
        <v/>
      </c>
      <c r="J5766" s="11" t="n">
        <v>44608</v>
      </c>
      <c r="K5766" s="6">
        <f>+OPERAC[[#This Row],[cantidad]]</f>
        <v/>
      </c>
      <c r="L5766" s="6" t="n">
        <v>2825.1</v>
      </c>
      <c r="M5766" s="7">
        <f>IF(N5766=0,+L5766+H5766,0)</f>
        <v/>
      </c>
      <c r="N5766" s="7">
        <f>IF((+G5766-K5766)=0,0,+G5766-K5766)</f>
        <v/>
      </c>
      <c r="O5766" s="7">
        <f>IF(N5766=0,0,(L5766+H5766)/-N5766)</f>
        <v/>
      </c>
      <c r="P5766" s="7">
        <f>VLOOKUP(OPERAC[[#This Row],[especie]],[1]!ESPECIES[#All],6,0)</f>
        <v/>
      </c>
      <c r="Q5766" s="7">
        <f>IF(N5766&lt;&gt;0,P5766*N5766,0)</f>
        <v/>
      </c>
      <c r="R5766" s="8">
        <f>IF(Q5766&lt;&gt;0,Q5766+H5766+L5766,0)</f>
        <v/>
      </c>
      <c r="S5766" s="9">
        <f>VLOOKUP(OPERAC[[#This Row],[especie]],[1]!ESPECIES[#Data],9,FALSE)</f>
        <v/>
      </c>
    </row>
    <row r="5767">
      <c r="A5767" s="4" t="n">
        <v>1760</v>
      </c>
      <c r="B5767" s="5" t="n">
        <v>44602</v>
      </c>
      <c r="C5767" s="13" t="inlineStr">
        <is>
          <t>CPR</t>
        </is>
      </c>
      <c r="D5767" s="13" t="n">
        <v>32</v>
      </c>
      <c r="E5767" s="10">
        <f>IF(D5767&gt;0,VLOOKUP(OPERAC[[#This Row],[COD CART]],[1]!MatrizCortoLargoCyl[#All],3,0),"")</f>
        <v/>
      </c>
      <c r="F5767" s="13" t="inlineStr">
        <is>
          <t>BIOX</t>
        </is>
      </c>
      <c r="G5767" s="6" t="n">
        <v>200</v>
      </c>
      <c r="H5767" s="6">
        <f>-2672+29.76</f>
        <v/>
      </c>
      <c r="I5767" s="7">
        <f>-H5767/G5767</f>
        <v/>
      </c>
      <c r="J5767" s="11" t="n">
        <v>44680</v>
      </c>
      <c r="K5767" s="6">
        <f>+OPERAC[[#This Row],[cantidad]]</f>
        <v/>
      </c>
      <c r="L5767" s="6">
        <f>13.688*OPERAC[[#This Row],[cantidad venta]]</f>
        <v/>
      </c>
      <c r="M5767" s="7">
        <f>IF(N5767=0,+L5767+H5767,0)</f>
        <v/>
      </c>
      <c r="N5767" s="7">
        <f>IF((+G5767-K5767)=0,0,+G5767-K5767)</f>
        <v/>
      </c>
      <c r="O5767" s="7">
        <f>IF(N5767=0,0,(L5767+H5767)/-N5767)</f>
        <v/>
      </c>
      <c r="P5767" s="7">
        <f>VLOOKUP(OPERAC[[#This Row],[especie]],[1]!ESPECIES[#All],6,0)</f>
        <v/>
      </c>
      <c r="Q5767" s="7">
        <f>IF(N5767&lt;&gt;0,P5767*N5767,0)</f>
        <v/>
      </c>
      <c r="R5767" s="8">
        <f>IF(Q5767&lt;&gt;0,Q5767+H5767+L5767,0)</f>
        <v/>
      </c>
      <c r="S5767" s="9">
        <f>VLOOKUP(OPERAC[[#This Row],[especie]],[1]!ESPECIES[#Data],9,FALSE)</f>
        <v/>
      </c>
    </row>
    <row r="5768">
      <c r="A5768" s="4" t="n">
        <v>2253</v>
      </c>
      <c r="B5768" s="5" t="n">
        <v>44602</v>
      </c>
      <c r="C5768" s="13" t="inlineStr">
        <is>
          <t>CPR</t>
        </is>
      </c>
      <c r="D5768" s="13" t="n">
        <v>32</v>
      </c>
      <c r="E5768" s="10">
        <f>IF(D5768&gt;0,VLOOKUP(OPERAC[[#This Row],[COD CART]],[1]!MatrizCortoLargoCyl[#All],3,0),"")</f>
        <v/>
      </c>
      <c r="F5768" s="13" t="inlineStr">
        <is>
          <t>BIOX</t>
        </is>
      </c>
      <c r="G5768" s="6" t="n">
        <v>200</v>
      </c>
      <c r="H5768" s="6">
        <f>-2672+29.76</f>
        <v/>
      </c>
      <c r="I5768" s="7">
        <f>-H5768/G5768</f>
        <v/>
      </c>
      <c r="J5768" s="11" t="n">
        <v>44671</v>
      </c>
      <c r="K5768" s="6">
        <f>100+100</f>
        <v/>
      </c>
      <c r="L5768" s="6">
        <f>1213.596+1368.847</f>
        <v/>
      </c>
      <c r="M5768" s="7">
        <f>IF(N5768=0,+L5768+H5768,0)</f>
        <v/>
      </c>
      <c r="N5768" s="7">
        <f>IF((+G5768-K5768)=0,0,+G5768-K5768)</f>
        <v/>
      </c>
      <c r="O5768" s="7">
        <f>IF(N5768=0,0,(L5768+H5768)/-N5768)</f>
        <v/>
      </c>
      <c r="P5768" s="7">
        <f>VLOOKUP(OPERAC[[#This Row],[especie]],[1]!ESPECIES[#All],6,0)</f>
        <v/>
      </c>
      <c r="Q5768" s="7">
        <f>IF(N5768&lt;&gt;0,P5768*N5768,0)</f>
        <v/>
      </c>
      <c r="R5768" s="8">
        <f>IF(Q5768&lt;&gt;0,Q5768+H5768+L5768,0)</f>
        <v/>
      </c>
      <c r="S5768" s="9">
        <f>VLOOKUP(OPERAC[[#This Row],[especie]],[1]!ESPECIES[#Data],9,FALSE)</f>
        <v/>
      </c>
    </row>
    <row r="5769">
      <c r="A5769" s="4" t="n">
        <v>2257</v>
      </c>
      <c r="B5769" s="5" t="n">
        <v>44602</v>
      </c>
      <c r="C5769" s="13" t="inlineStr">
        <is>
          <t>CPR</t>
        </is>
      </c>
      <c r="D5769" s="13" t="n">
        <v>32</v>
      </c>
      <c r="E5769" s="10">
        <f>IF(D5769&gt;0,VLOOKUP(OPERAC[[#This Row],[COD CART]],[1]!MatrizCortoLargoCyl[#All],3,0),"")</f>
        <v/>
      </c>
      <c r="F5769" s="13" t="inlineStr">
        <is>
          <t>BIOX</t>
        </is>
      </c>
      <c r="G5769" s="6" t="n">
        <v>200</v>
      </c>
      <c r="H5769" s="6">
        <f>-2672+29.76</f>
        <v/>
      </c>
      <c r="I5769" s="7">
        <f>-H5769/G5769</f>
        <v/>
      </c>
      <c r="J5769" s="11" t="n">
        <v>44680</v>
      </c>
      <c r="K5769" s="6">
        <f>+OPERAC[[#This Row],[cantidad]]</f>
        <v/>
      </c>
      <c r="L5769" s="6">
        <f>13.688*OPERAC[[#This Row],[cantidad venta]]</f>
        <v/>
      </c>
      <c r="M5769" s="7">
        <f>IF(N5769=0,+L5769+H5769,0)</f>
        <v/>
      </c>
      <c r="N5769" s="7">
        <f>IF((+G5769-K5769)=0,0,+G5769-K5769)</f>
        <v/>
      </c>
      <c r="O5769" s="7">
        <f>IF(N5769=0,0,(L5769+H5769)/-N5769)</f>
        <v/>
      </c>
      <c r="P5769" s="7">
        <f>VLOOKUP(OPERAC[[#This Row],[especie]],[1]!ESPECIES[#All],6,0)</f>
        <v/>
      </c>
      <c r="Q5769" s="7">
        <f>IF(N5769&lt;&gt;0,P5769*N5769,0)</f>
        <v/>
      </c>
      <c r="R5769" s="8">
        <f>IF(Q5769&lt;&gt;0,Q5769+H5769+L5769,0)</f>
        <v/>
      </c>
      <c r="S5769" s="9">
        <f>VLOOKUP(OPERAC[[#This Row],[especie]],[1]!ESPECIES[#Data],9,FALSE)</f>
        <v/>
      </c>
    </row>
    <row r="5770">
      <c r="A5770" s="4" t="n">
        <v>10079</v>
      </c>
      <c r="B5770" s="5" t="n">
        <v>44602</v>
      </c>
      <c r="C5770" s="13" t="inlineStr">
        <is>
          <t>CPR</t>
        </is>
      </c>
      <c r="D5770" s="13" t="n">
        <v>32</v>
      </c>
      <c r="E5770" s="10">
        <f>IF(D5770&gt;0,VLOOKUP(OPERAC[[#This Row],[COD CART]],[1]!MatrizCortoLargoCyl[#All],3,0),"")</f>
        <v/>
      </c>
      <c r="F5770" s="13" t="inlineStr">
        <is>
          <t>BIOX</t>
        </is>
      </c>
      <c r="G5770" s="6" t="n">
        <v>200</v>
      </c>
      <c r="H5770" s="6">
        <f>-2672+29.76</f>
        <v/>
      </c>
      <c r="I5770" s="7">
        <f>-H5770/G5770</f>
        <v/>
      </c>
      <c r="J5770" s="11" t="n">
        <v>44680</v>
      </c>
      <c r="K5770" s="6">
        <f>+OPERAC[[#This Row],[cantidad]]</f>
        <v/>
      </c>
      <c r="L5770" s="6">
        <f>13.688*OPERAC[[#This Row],[cantidad venta]]</f>
        <v/>
      </c>
      <c r="M5770" s="7">
        <f>IF(N5770=0,+L5770+H5770,0)</f>
        <v/>
      </c>
      <c r="N5770" s="7">
        <f>IF((+G5770-K5770)=0,0,+G5770-K5770)</f>
        <v/>
      </c>
      <c r="O5770" s="7">
        <f>IF(N5770=0,0,(L5770+H5770)/-N5770)</f>
        <v/>
      </c>
      <c r="P5770" s="7">
        <f>VLOOKUP(OPERAC[[#This Row],[especie]],[1]!ESPECIES[#All],6,0)</f>
        <v/>
      </c>
      <c r="Q5770" s="7">
        <f>IF(N5770&lt;&gt;0,P5770*N5770,0)</f>
        <v/>
      </c>
      <c r="R5770" s="8">
        <f>IF(Q5770&lt;&gt;0,Q5770+H5770+L5770,0)</f>
        <v/>
      </c>
      <c r="S5770" s="9">
        <f>VLOOKUP(OPERAC[[#This Row],[especie]],[1]!ESPECIES[#Data],9,FALSE)</f>
        <v/>
      </c>
    </row>
    <row r="5771">
      <c r="A5771" s="4" t="n">
        <v>12022</v>
      </c>
      <c r="B5771" s="5" t="n">
        <v>44602</v>
      </c>
      <c r="C5771" s="13" t="inlineStr">
        <is>
          <t>CPR</t>
        </is>
      </c>
      <c r="D5771" s="13" t="n">
        <v>32</v>
      </c>
      <c r="E5771" s="10">
        <f>IF(D5771&gt;0,VLOOKUP(OPERAC[[#This Row],[COD CART]],[1]!MatrizCortoLargoCyl[#All],3,0),"")</f>
        <v/>
      </c>
      <c r="F5771" s="13" t="inlineStr">
        <is>
          <t>BIOX</t>
        </is>
      </c>
      <c r="G5771" s="6" t="n">
        <v>200</v>
      </c>
      <c r="H5771" s="6">
        <f>-2672+29.76</f>
        <v/>
      </c>
      <c r="I5771" s="7">
        <f>-H5771/G5771</f>
        <v/>
      </c>
      <c r="J5771" s="11" t="n">
        <v>44680</v>
      </c>
      <c r="K5771" s="6">
        <f>+OPERAC[[#This Row],[cantidad]]</f>
        <v/>
      </c>
      <c r="L5771" s="6">
        <f>13.688*OPERAC[[#This Row],[cantidad venta]]</f>
        <v/>
      </c>
      <c r="M5771" s="7">
        <f>IF(N5771=0,+L5771+H5771,0)</f>
        <v/>
      </c>
      <c r="N5771" s="7">
        <f>IF((+G5771-K5771)=0,0,+G5771-K5771)</f>
        <v/>
      </c>
      <c r="O5771" s="7">
        <f>IF(N5771=0,0,(L5771+H5771)/-N5771)</f>
        <v/>
      </c>
      <c r="P5771" s="7">
        <f>VLOOKUP(OPERAC[[#This Row],[especie]],[1]!ESPECIES[#All],6,0)</f>
        <v/>
      </c>
      <c r="Q5771" s="7">
        <f>IF(N5771&lt;&gt;0,P5771*N5771,0)</f>
        <v/>
      </c>
      <c r="R5771" s="8">
        <f>IF(Q5771&lt;&gt;0,Q5771+H5771+L5771,0)</f>
        <v/>
      </c>
      <c r="S5771" s="9">
        <f>VLOOKUP(OPERAC[[#This Row],[especie]],[1]!ESPECIES[#Data],9,FALSE)</f>
        <v/>
      </c>
    </row>
    <row r="5772">
      <c r="A5772" s="4" t="n">
        <v>12627</v>
      </c>
      <c r="B5772" s="5" t="n">
        <v>44602</v>
      </c>
      <c r="C5772" s="13" t="inlineStr">
        <is>
          <t>CPR</t>
        </is>
      </c>
      <c r="D5772" s="13" t="n">
        <v>32</v>
      </c>
      <c r="E5772" s="10">
        <f>IF(D5772&gt;0,VLOOKUP(OPERAC[[#This Row],[COD CART]],[1]!MatrizCortoLargoCyl[#All],3,0),"")</f>
        <v/>
      </c>
      <c r="F5772" s="13" t="inlineStr">
        <is>
          <t>BIOX</t>
        </is>
      </c>
      <c r="G5772" s="6" t="n">
        <v>200</v>
      </c>
      <c r="H5772" s="6">
        <f>-2672+29.76</f>
        <v/>
      </c>
      <c r="I5772" s="7">
        <f>-H5772/G5772</f>
        <v/>
      </c>
      <c r="J5772" s="11" t="n">
        <v>44680</v>
      </c>
      <c r="K5772" s="6">
        <f>+OPERAC[[#This Row],[cantidad]]</f>
        <v/>
      </c>
      <c r="L5772" s="6">
        <f>13.688*OPERAC[[#This Row],[cantidad venta]]</f>
        <v/>
      </c>
      <c r="M5772" s="7">
        <f>IF(N5772=0,+L5772+H5772,0)</f>
        <v/>
      </c>
      <c r="N5772" s="7">
        <f>IF((+G5772-K5772)=0,0,+G5772-K5772)</f>
        <v/>
      </c>
      <c r="O5772" s="7">
        <f>IF(N5772=0,0,(L5772+H5772)/-N5772)</f>
        <v/>
      </c>
      <c r="P5772" s="7">
        <f>VLOOKUP(OPERAC[[#This Row],[especie]],[1]!ESPECIES[#All],6,0)</f>
        <v/>
      </c>
      <c r="Q5772" s="7">
        <f>IF(N5772&lt;&gt;0,P5772*N5772,0)</f>
        <v/>
      </c>
      <c r="R5772" s="8">
        <f>IF(Q5772&lt;&gt;0,Q5772+H5772+L5772,0)</f>
        <v/>
      </c>
      <c r="S5772" s="9">
        <f>VLOOKUP(OPERAC[[#This Row],[especie]],[1]!ESPECIES[#Data],9,FALSE)</f>
        <v/>
      </c>
    </row>
    <row r="5773">
      <c r="A5773" s="4" t="n">
        <v>12655</v>
      </c>
      <c r="B5773" s="5" t="n">
        <v>44602</v>
      </c>
      <c r="C5773" s="13" t="inlineStr">
        <is>
          <t>CPR</t>
        </is>
      </c>
      <c r="D5773" s="13" t="n">
        <v>32</v>
      </c>
      <c r="E5773" s="10">
        <f>IF(D5773&gt;0,VLOOKUP(OPERAC[[#This Row],[COD CART]],[1]!MatrizCortoLargoCyl[#All],3,0),"")</f>
        <v/>
      </c>
      <c r="F5773" s="13" t="inlineStr">
        <is>
          <t>BIOX</t>
        </is>
      </c>
      <c r="G5773" s="6" t="n">
        <v>200</v>
      </c>
      <c r="H5773" s="6">
        <f>-2672+29.76</f>
        <v/>
      </c>
      <c r="I5773" s="7">
        <f>-H5773/G5773</f>
        <v/>
      </c>
      <c r="J5773" s="11" t="n">
        <v>44669</v>
      </c>
      <c r="K5773" s="6">
        <f>100+100</f>
        <v/>
      </c>
      <c r="L5773" s="6">
        <f>1189.8+1209.63</f>
        <v/>
      </c>
      <c r="M5773" s="7">
        <f>IF(N5773=0,+L5773+H5773,0)</f>
        <v/>
      </c>
      <c r="N5773" s="7">
        <f>IF((+G5773-K5773)=0,0,+G5773-K5773)</f>
        <v/>
      </c>
      <c r="O5773" s="7">
        <f>IF(N5773=0,0,(L5773+H5773)/-N5773)</f>
        <v/>
      </c>
      <c r="P5773" s="7">
        <f>VLOOKUP(OPERAC[[#This Row],[especie]],[1]!ESPECIES[#All],6,0)</f>
        <v/>
      </c>
      <c r="Q5773" s="7">
        <f>IF(N5773&lt;&gt;0,P5773*N5773,0)</f>
        <v/>
      </c>
      <c r="R5773" s="8">
        <f>IF(Q5773&lt;&gt;0,Q5773+H5773+L5773,0)</f>
        <v/>
      </c>
      <c r="S5773" s="9">
        <f>VLOOKUP(OPERAC[[#This Row],[especie]],[1]!ESPECIES[#Data],9,FALSE)</f>
        <v/>
      </c>
    </row>
    <row r="5774">
      <c r="A5774" s="4" t="n">
        <v>12662</v>
      </c>
      <c r="B5774" s="5" t="n">
        <v>44602</v>
      </c>
      <c r="C5774" s="13" t="inlineStr">
        <is>
          <t>CPR</t>
        </is>
      </c>
      <c r="D5774" s="13" t="n">
        <v>32</v>
      </c>
      <c r="E5774" s="10">
        <f>IF(D5774&gt;0,VLOOKUP(OPERAC[[#This Row],[COD CART]],[1]!MatrizCortoLargoCyl[#All],3,0),"")</f>
        <v/>
      </c>
      <c r="F5774" s="13" t="inlineStr">
        <is>
          <t>BIOX</t>
        </is>
      </c>
      <c r="G5774" s="6" t="n">
        <v>200</v>
      </c>
      <c r="H5774" s="6">
        <f>-2672+29.76</f>
        <v/>
      </c>
      <c r="I5774" s="7">
        <f>-H5774/G5774</f>
        <v/>
      </c>
      <c r="J5774" s="11" t="n">
        <v>44669</v>
      </c>
      <c r="K5774" s="6">
        <f>100+100</f>
        <v/>
      </c>
      <c r="L5774" s="6">
        <f>1189.8+1368.847</f>
        <v/>
      </c>
      <c r="M5774" s="7">
        <f>IF(N5774=0,+L5774+H5774,0)</f>
        <v/>
      </c>
      <c r="N5774" s="7">
        <f>IF((+G5774-K5774)=0,0,+G5774-K5774)</f>
        <v/>
      </c>
      <c r="O5774" s="7">
        <f>IF(N5774=0,0,(L5774+H5774)/-N5774)</f>
        <v/>
      </c>
      <c r="P5774" s="7">
        <f>VLOOKUP(OPERAC[[#This Row],[especie]],[1]!ESPECIES[#All],6,0)</f>
        <v/>
      </c>
      <c r="Q5774" s="7">
        <f>IF(N5774&lt;&gt;0,P5774*N5774,0)</f>
        <v/>
      </c>
      <c r="R5774" s="8">
        <f>IF(Q5774&lt;&gt;0,Q5774+H5774+L5774,0)</f>
        <v/>
      </c>
      <c r="S5774" s="9">
        <f>VLOOKUP(OPERAC[[#This Row],[especie]],[1]!ESPECIES[#Data],9,FALSE)</f>
        <v/>
      </c>
    </row>
    <row r="5775">
      <c r="A5775" s="4" t="n">
        <v>13180</v>
      </c>
      <c r="B5775" s="5" t="n">
        <v>44602</v>
      </c>
      <c r="C5775" s="13" t="inlineStr">
        <is>
          <t>CPR</t>
        </is>
      </c>
      <c r="D5775" s="13" t="n">
        <v>32</v>
      </c>
      <c r="E5775" s="10">
        <f>IF(D5775&gt;0,VLOOKUP(OPERAC[[#This Row],[COD CART]],[1]!MatrizCortoLargoCyl[#All],3,0),"")</f>
        <v/>
      </c>
      <c r="F5775" s="13" t="inlineStr">
        <is>
          <t>BIOX</t>
        </is>
      </c>
      <c r="G5775" s="6" t="n">
        <v>200</v>
      </c>
      <c r="H5775" s="6">
        <f>-2672+29.76</f>
        <v/>
      </c>
      <c r="I5775" s="7">
        <f>-H5775/G5775</f>
        <v/>
      </c>
      <c r="J5775" s="11" t="n">
        <v>44680</v>
      </c>
      <c r="K5775" s="6">
        <f>+OPERAC[[#This Row],[cantidad]]</f>
        <v/>
      </c>
      <c r="L5775" s="6">
        <f>13.688*OPERAC[[#This Row],[cantidad venta]]</f>
        <v/>
      </c>
      <c r="M5775" s="7">
        <f>IF(N5775=0,+L5775+H5775,0)</f>
        <v/>
      </c>
      <c r="N5775" s="7">
        <f>IF((+G5775-K5775)=0,0,+G5775-K5775)</f>
        <v/>
      </c>
      <c r="O5775" s="7">
        <f>IF(N5775=0,0,(L5775+H5775)/-N5775)</f>
        <v/>
      </c>
      <c r="P5775" s="7">
        <f>VLOOKUP(OPERAC[[#This Row],[especie]],[1]!ESPECIES[#All],6,0)</f>
        <v/>
      </c>
      <c r="Q5775" s="7">
        <f>IF(N5775&lt;&gt;0,P5775*N5775,0)</f>
        <v/>
      </c>
      <c r="R5775" s="8">
        <f>IF(Q5775&lt;&gt;0,Q5775+H5775+L5775,0)</f>
        <v/>
      </c>
      <c r="S5775" s="9">
        <f>VLOOKUP(OPERAC[[#This Row],[especie]],[1]!ESPECIES[#Data],9,FALSE)</f>
        <v/>
      </c>
    </row>
    <row r="5776">
      <c r="A5776" s="4" t="n">
        <v>13185</v>
      </c>
      <c r="B5776" s="5" t="n">
        <v>44602</v>
      </c>
      <c r="C5776" s="13" t="inlineStr">
        <is>
          <t>CPR</t>
        </is>
      </c>
      <c r="D5776" s="13" t="n">
        <v>32</v>
      </c>
      <c r="E5776" s="10">
        <f>IF(D5776&gt;0,VLOOKUP(OPERAC[[#This Row],[COD CART]],[1]!MatrizCortoLargoCyl[#All],3,0),"")</f>
        <v/>
      </c>
      <c r="F5776" s="13" t="inlineStr">
        <is>
          <t>BIOX</t>
        </is>
      </c>
      <c r="G5776" s="6" t="n">
        <v>200</v>
      </c>
      <c r="H5776" s="6">
        <f>-2672+29.76</f>
        <v/>
      </c>
      <c r="I5776" s="7">
        <f>-H5776/G5776</f>
        <v/>
      </c>
      <c r="J5776" s="11" t="n">
        <v>44680</v>
      </c>
      <c r="K5776" s="6">
        <f>+OPERAC[[#This Row],[cantidad]]</f>
        <v/>
      </c>
      <c r="L5776" s="6">
        <f>13.688*OPERAC[[#This Row],[cantidad venta]]</f>
        <v/>
      </c>
      <c r="M5776" s="7">
        <f>IF(N5776=0,+L5776+H5776,0)</f>
        <v/>
      </c>
      <c r="N5776" s="7">
        <f>IF((+G5776-K5776)=0,0,+G5776-K5776)</f>
        <v/>
      </c>
      <c r="O5776" s="7">
        <f>IF(N5776=0,0,(L5776+H5776)/-N5776)</f>
        <v/>
      </c>
      <c r="P5776" s="7">
        <f>VLOOKUP(OPERAC[[#This Row],[especie]],[1]!ESPECIES[#All],6,0)</f>
        <v/>
      </c>
      <c r="Q5776" s="7">
        <f>IF(N5776&lt;&gt;0,P5776*N5776,0)</f>
        <v/>
      </c>
      <c r="R5776" s="8">
        <f>IF(Q5776&lt;&gt;0,Q5776+H5776+L5776,0)</f>
        <v/>
      </c>
      <c r="S5776" s="9">
        <f>VLOOKUP(OPERAC[[#This Row],[especie]],[1]!ESPECIES[#Data],9,FALSE)</f>
        <v/>
      </c>
    </row>
    <row r="5777">
      <c r="A5777" s="4" t="n">
        <v>3728</v>
      </c>
      <c r="B5777" s="5" t="n">
        <v>44602</v>
      </c>
      <c r="C5777" s="13" t="inlineStr">
        <is>
          <t>CPR</t>
        </is>
      </c>
      <c r="D5777" s="13" t="n">
        <v>32</v>
      </c>
      <c r="E5777" s="10">
        <f>IF(D5777&gt;0,VLOOKUP(OPERAC[[#This Row],[COD CART]],[1]!MatrizCortoLargoCyl[#All],3,0),"")</f>
        <v/>
      </c>
      <c r="F5777" s="13" t="inlineStr">
        <is>
          <t>BIOX</t>
        </is>
      </c>
      <c r="G5777" s="6" t="n">
        <v>200</v>
      </c>
      <c r="H5777" s="6">
        <f>-2672+29.76</f>
        <v/>
      </c>
      <c r="I5777" s="7">
        <f>-H5777/G5777</f>
        <v/>
      </c>
      <c r="J5777" s="11" t="n">
        <v>44680</v>
      </c>
      <c r="K5777" s="6">
        <f>+OPERAC[[#This Row],[cantidad]]</f>
        <v/>
      </c>
      <c r="L5777" s="6">
        <f>13.688*OPERAC[[#This Row],[cantidad venta]]</f>
        <v/>
      </c>
      <c r="M5777" s="7">
        <f>IF(N5777=0,+L5777+H5777,0)</f>
        <v/>
      </c>
      <c r="N5777" s="7">
        <f>IF((+G5777-K5777)=0,0,+G5777-K5777)</f>
        <v/>
      </c>
      <c r="O5777" s="7">
        <f>IF(N5777=0,0,(L5777+H5777)/-N5777)</f>
        <v/>
      </c>
      <c r="P5777" s="7">
        <f>VLOOKUP(OPERAC[[#This Row],[especie]],[1]!ESPECIES[#All],6,0)</f>
        <v/>
      </c>
      <c r="Q5777" s="7">
        <f>IF(N5777&lt;&gt;0,P5777*N5777,0)</f>
        <v/>
      </c>
      <c r="R5777" s="8">
        <f>IF(Q5777&lt;&gt;0,Q5777+H5777+L5777,0)</f>
        <v/>
      </c>
      <c r="S5777" s="9">
        <f>VLOOKUP(OPERAC[[#This Row],[especie]],[1]!ESPECIES[#Data],9,FALSE)</f>
        <v/>
      </c>
    </row>
    <row r="5778">
      <c r="A5778" s="4" t="n">
        <v>13246</v>
      </c>
      <c r="B5778" s="5" t="n">
        <v>44602</v>
      </c>
      <c r="C5778" s="13" t="inlineStr">
        <is>
          <t>CPR</t>
        </is>
      </c>
      <c r="D5778" s="13" t="n">
        <v>32</v>
      </c>
      <c r="E5778" s="10">
        <f>IF(D5778&gt;0,VLOOKUP(OPERAC[[#This Row],[COD CART]],[1]!MatrizCortoLargoCyl[#All],3,0),"")</f>
        <v/>
      </c>
      <c r="F5778" s="13" t="inlineStr">
        <is>
          <t>BIOX</t>
        </is>
      </c>
      <c r="G5778" s="6" t="n">
        <v>200</v>
      </c>
      <c r="H5778" s="6">
        <f>-2672+29.76</f>
        <v/>
      </c>
      <c r="I5778" s="7">
        <f>-H5778/G5778</f>
        <v/>
      </c>
      <c r="J5778" s="11" t="n">
        <v>44680</v>
      </c>
      <c r="K5778" s="6">
        <f>+OPERAC[[#This Row],[cantidad]]</f>
        <v/>
      </c>
      <c r="L5778" s="6">
        <f>13.688*OPERAC[[#This Row],[cantidad venta]]</f>
        <v/>
      </c>
      <c r="M5778" s="7">
        <f>IF(N5778=0,+L5778+H5778,0)</f>
        <v/>
      </c>
      <c r="N5778" s="7">
        <f>IF((+G5778-K5778)=0,0,+G5778-K5778)</f>
        <v/>
      </c>
      <c r="O5778" s="7">
        <f>IF(N5778=0,0,(L5778+H5778)/-N5778)</f>
        <v/>
      </c>
      <c r="P5778" s="7">
        <f>VLOOKUP(OPERAC[[#This Row],[especie]],[1]!ESPECIES[#All],6,0)</f>
        <v/>
      </c>
      <c r="Q5778" s="7">
        <f>IF(N5778&lt;&gt;0,P5778*N5778,0)</f>
        <v/>
      </c>
      <c r="R5778" s="8">
        <f>IF(Q5778&lt;&gt;0,Q5778+H5778+L5778,0)</f>
        <v/>
      </c>
      <c r="S5778" s="9">
        <f>VLOOKUP(OPERAC[[#This Row],[especie]],[1]!ESPECIES[#Data],9,FALSE)</f>
        <v/>
      </c>
    </row>
    <row r="5779">
      <c r="A5779" s="4" t="n">
        <v>16795</v>
      </c>
      <c r="B5779" s="5" t="n">
        <v>44602</v>
      </c>
      <c r="C5779" s="13" t="inlineStr">
        <is>
          <t>CPR</t>
        </is>
      </c>
      <c r="D5779" s="13" t="n">
        <v>32</v>
      </c>
      <c r="E5779" s="10">
        <f>IF(D5779&gt;0,VLOOKUP(OPERAC[[#This Row],[COD CART]],[1]!MatrizCortoLargoCyl[#All],3,0),"")</f>
        <v/>
      </c>
      <c r="F5779" s="13" t="inlineStr">
        <is>
          <t>BIOX</t>
        </is>
      </c>
      <c r="G5779" s="6" t="n">
        <v>200</v>
      </c>
      <c r="H5779" s="6">
        <f>-2672+29.76</f>
        <v/>
      </c>
      <c r="I5779" s="7">
        <f>-H5779/G5779</f>
        <v/>
      </c>
      <c r="J5779" s="11" t="n">
        <v>44680</v>
      </c>
      <c r="K5779" s="6">
        <f>+OPERAC[[#This Row],[cantidad]]</f>
        <v/>
      </c>
      <c r="L5779" s="6">
        <f>13.688*OPERAC[[#This Row],[cantidad venta]]</f>
        <v/>
      </c>
      <c r="M5779" s="7">
        <f>IF(N5779=0,+L5779+H5779,0)</f>
        <v/>
      </c>
      <c r="N5779" s="7">
        <f>IF((+G5779-K5779)=0,0,+G5779-K5779)</f>
        <v/>
      </c>
      <c r="O5779" s="7">
        <f>IF(N5779=0,0,(L5779+H5779)/-N5779)</f>
        <v/>
      </c>
      <c r="P5779" s="7">
        <f>VLOOKUP(OPERAC[[#This Row],[especie]],[1]!ESPECIES[#All],6,0)</f>
        <v/>
      </c>
      <c r="Q5779" s="7">
        <f>IF(N5779&lt;&gt;0,P5779*N5779,0)</f>
        <v/>
      </c>
      <c r="R5779" s="8">
        <f>IF(Q5779&lt;&gt;0,Q5779+H5779+L5779,0)</f>
        <v/>
      </c>
      <c r="S5779" s="9">
        <f>VLOOKUP(OPERAC[[#This Row],[especie]],[1]!ESPECIES[#Data],9,FALSE)</f>
        <v/>
      </c>
    </row>
    <row r="5780">
      <c r="A5780" s="4" t="n">
        <v>16824</v>
      </c>
      <c r="B5780" s="5" t="n">
        <v>44602</v>
      </c>
      <c r="C5780" s="13" t="inlineStr">
        <is>
          <t>CPR</t>
        </is>
      </c>
      <c r="D5780" s="13" t="n">
        <v>32</v>
      </c>
      <c r="E5780" s="10">
        <f>IF(D5780&gt;0,VLOOKUP(OPERAC[[#This Row],[COD CART]],[1]!MatrizCortoLargoCyl[#All],3,0),"")</f>
        <v/>
      </c>
      <c r="F5780" s="13" t="inlineStr">
        <is>
          <t>BIOX</t>
        </is>
      </c>
      <c r="G5780" s="6" t="n">
        <v>200</v>
      </c>
      <c r="H5780" s="6">
        <f>-2672+29.76</f>
        <v/>
      </c>
      <c r="I5780" s="7">
        <f>-H5780/G5780</f>
        <v/>
      </c>
      <c r="J5780" s="11" t="n">
        <v>44669</v>
      </c>
      <c r="K5780" s="6">
        <f>100+100</f>
        <v/>
      </c>
      <c r="L5780" s="6">
        <f>1189.8+1368.847</f>
        <v/>
      </c>
      <c r="M5780" s="7">
        <f>IF(N5780=0,+L5780+H5780,0)</f>
        <v/>
      </c>
      <c r="N5780" s="7">
        <f>IF((+G5780-K5780)=0,0,+G5780-K5780)</f>
        <v/>
      </c>
      <c r="O5780" s="7">
        <f>IF(N5780=0,0,(L5780+H5780)/-N5780)</f>
        <v/>
      </c>
      <c r="P5780" s="7">
        <f>VLOOKUP(OPERAC[[#This Row],[especie]],[1]!ESPECIES[#All],6,0)</f>
        <v/>
      </c>
      <c r="Q5780" s="7">
        <f>IF(N5780&lt;&gt;0,P5780*N5780,0)</f>
        <v/>
      </c>
      <c r="R5780" s="8">
        <f>IF(Q5780&lt;&gt;0,Q5780+H5780+L5780,0)</f>
        <v/>
      </c>
      <c r="S5780" s="9">
        <f>VLOOKUP(OPERAC[[#This Row],[especie]],[1]!ESPECIES[#Data],9,FALSE)</f>
        <v/>
      </c>
    </row>
    <row r="5781">
      <c r="A5781" s="4" t="n">
        <v>18724</v>
      </c>
      <c r="B5781" s="5" t="n">
        <v>44602</v>
      </c>
      <c r="C5781" s="13" t="inlineStr">
        <is>
          <t>CPR</t>
        </is>
      </c>
      <c r="D5781" s="13" t="n">
        <v>32</v>
      </c>
      <c r="E5781" s="10">
        <f>IF(D5781&gt;0,VLOOKUP(OPERAC[[#This Row],[COD CART]],[1]!MatrizCortoLargoCyl[#All],3,0),"")</f>
        <v/>
      </c>
      <c r="F5781" s="13" t="inlineStr">
        <is>
          <t>BIOX</t>
        </is>
      </c>
      <c r="G5781" s="6" t="n">
        <v>200</v>
      </c>
      <c r="H5781" s="6">
        <f>-2672+29.76</f>
        <v/>
      </c>
      <c r="I5781" s="7">
        <f>-H5781/G5781</f>
        <v/>
      </c>
      <c r="J5781" s="11" t="n">
        <v>44680</v>
      </c>
      <c r="K5781" s="6">
        <f>+OPERAC[[#This Row],[cantidad]]</f>
        <v/>
      </c>
      <c r="L5781" s="6">
        <f>13.688*OPERAC[[#This Row],[cantidad venta]]</f>
        <v/>
      </c>
      <c r="M5781" s="7">
        <f>IF(N5781=0,+L5781+H5781,0)</f>
        <v/>
      </c>
      <c r="N5781" s="7">
        <f>IF((+G5781-K5781)=0,0,+G5781-K5781)</f>
        <v/>
      </c>
      <c r="O5781" s="7">
        <f>IF(N5781=0,0,(L5781+H5781)/-N5781)</f>
        <v/>
      </c>
      <c r="P5781" s="7">
        <f>VLOOKUP(OPERAC[[#This Row],[especie]],[1]!ESPECIES[#All],6,0)</f>
        <v/>
      </c>
      <c r="Q5781" s="7">
        <f>IF(N5781&lt;&gt;0,P5781*N5781,0)</f>
        <v/>
      </c>
      <c r="R5781" s="8">
        <f>IF(Q5781&lt;&gt;0,Q5781+H5781+L5781,0)</f>
        <v/>
      </c>
      <c r="S5781" s="9">
        <f>VLOOKUP(OPERAC[[#This Row],[especie]],[1]!ESPECIES[#Data],9,FALSE)</f>
        <v/>
      </c>
    </row>
    <row r="5782">
      <c r="A5782" s="4" t="n">
        <v>2194</v>
      </c>
      <c r="B5782" s="5" t="n">
        <v>44532</v>
      </c>
      <c r="C5782" s="13" t="inlineStr">
        <is>
          <t>CPR</t>
        </is>
      </c>
      <c r="D5782" s="13" t="n">
        <v>32</v>
      </c>
      <c r="E5782" s="10">
        <f>IF(D5782&gt;0,VLOOKUP(OPERAC[[#This Row],[COD CART]],[1]!MatrizCortoLargoCyl[#All],3,0),"")</f>
        <v/>
      </c>
      <c r="F5782" s="13" t="inlineStr">
        <is>
          <t>COTY/CYL/10,00/18-02-22</t>
        </is>
      </c>
      <c r="G5782" s="6" t="n">
        <v>300</v>
      </c>
      <c r="H5782" s="6">
        <f>-2704.797+62.513</f>
        <v/>
      </c>
      <c r="I5782" s="7">
        <f>-H5782/G5782</f>
        <v/>
      </c>
      <c r="J5782" s="11" t="n">
        <v>44608</v>
      </c>
      <c r="K5782" s="6">
        <f>+OPERAC[[#This Row],[cantidad]]</f>
        <v/>
      </c>
      <c r="L5782" s="6" t="n">
        <v>2825.1</v>
      </c>
      <c r="M5782" s="7">
        <f>IF(N5782=0,+L5782+H5782,0)</f>
        <v/>
      </c>
      <c r="N5782" s="7">
        <f>IF((+G5782-K5782)=0,0,+G5782-K5782)</f>
        <v/>
      </c>
      <c r="O5782" s="7">
        <f>IF(N5782=0,0,(L5782+H5782)/-N5782)</f>
        <v/>
      </c>
      <c r="P5782" s="7">
        <f>VLOOKUP(OPERAC[[#This Row],[especie]],[1]!ESPECIES[#All],6,0)</f>
        <v/>
      </c>
      <c r="Q5782" s="7">
        <f>IF(N5782&lt;&gt;0,P5782*N5782,0)</f>
        <v/>
      </c>
      <c r="R5782" s="8">
        <f>IF(Q5782&lt;&gt;0,Q5782+H5782+L5782,0)</f>
        <v/>
      </c>
      <c r="S5782" s="9">
        <f>VLOOKUP(OPERAC[[#This Row],[especie]],[1]!ESPECIES[#Data],9,FALSE)</f>
        <v/>
      </c>
    </row>
    <row r="5783">
      <c r="A5783" s="4" t="n">
        <v>2257</v>
      </c>
      <c r="B5783" s="5" t="n">
        <v>44532</v>
      </c>
      <c r="C5783" s="13" t="inlineStr">
        <is>
          <t>CPR</t>
        </is>
      </c>
      <c r="D5783" s="13" t="n">
        <v>32</v>
      </c>
      <c r="E5783" s="10">
        <f>IF(D5783&gt;0,VLOOKUP(OPERAC[[#This Row],[COD CART]],[1]!MatrizCortoLargoCyl[#All],3,0),"")</f>
        <v/>
      </c>
      <c r="F5783" s="13" t="inlineStr">
        <is>
          <t>COTY/CYL/10,00/18-02-22</t>
        </is>
      </c>
      <c r="G5783" s="6" t="n">
        <v>300</v>
      </c>
      <c r="H5783" s="6">
        <f>-2704.797+62.513</f>
        <v/>
      </c>
      <c r="I5783" s="7">
        <f>-H5783/G5783</f>
        <v/>
      </c>
      <c r="J5783" s="11" t="n">
        <v>44608</v>
      </c>
      <c r="K5783" s="6">
        <f>+OPERAC[[#This Row],[cantidad]]</f>
        <v/>
      </c>
      <c r="L5783" s="6" t="n">
        <v>2825.1</v>
      </c>
      <c r="M5783" s="7">
        <f>IF(N5783=0,+L5783+H5783,0)</f>
        <v/>
      </c>
      <c r="N5783" s="7">
        <f>IF((+G5783-K5783)=0,0,+G5783-K5783)</f>
        <v/>
      </c>
      <c r="O5783" s="7">
        <f>IF(N5783=0,0,(L5783+H5783)/-N5783)</f>
        <v/>
      </c>
      <c r="P5783" s="7">
        <f>VLOOKUP(OPERAC[[#This Row],[especie]],[1]!ESPECIES[#All],6,0)</f>
        <v/>
      </c>
      <c r="Q5783" s="7">
        <f>IF(N5783&lt;&gt;0,P5783*N5783,0)</f>
        <v/>
      </c>
      <c r="R5783" s="8">
        <f>IF(Q5783&lt;&gt;0,Q5783+H5783+L5783,0)</f>
        <v/>
      </c>
      <c r="S5783" s="9">
        <f>VLOOKUP(OPERAC[[#This Row],[especie]],[1]!ESPECIES[#Data],9,FALSE)</f>
        <v/>
      </c>
    </row>
    <row r="5784">
      <c r="A5784" s="4" t="n">
        <v>13180</v>
      </c>
      <c r="B5784" s="5" t="n">
        <v>44641</v>
      </c>
      <c r="C5784" s="13" t="inlineStr">
        <is>
          <t>CPR</t>
        </is>
      </c>
      <c r="D5784" s="13" t="n">
        <v>42</v>
      </c>
      <c r="E5784" s="10">
        <f>IF(D5784&gt;0,VLOOKUP(OPERAC[[#This Row],[COD CART]],[1]!MatrizCortoLargoCyl[#All],3,0),"")</f>
        <v/>
      </c>
      <c r="F5784" s="13" t="inlineStr">
        <is>
          <t>NVDA</t>
        </is>
      </c>
      <c r="G5784" s="6" t="n">
        <v>10</v>
      </c>
      <c r="H5784" s="6" t="n">
        <v>-2650.7296</v>
      </c>
      <c r="I5784" s="7">
        <f>-H5784/G5784</f>
        <v/>
      </c>
      <c r="J5784" s="11" t="n">
        <v>44652</v>
      </c>
      <c r="K5784" s="6" t="n">
        <v>10</v>
      </c>
      <c r="L5784" s="6" t="n">
        <v>2677.904</v>
      </c>
      <c r="M5784" s="7">
        <f>IF(N5784=0,+L5784+H5784,0)</f>
        <v/>
      </c>
      <c r="N5784" s="7">
        <f>IF((+G5784-K5784)=0,0,+G5784-K5784)</f>
        <v/>
      </c>
      <c r="O5784" s="7">
        <f>IF(N5784=0,0,(L5784+H5784)/-N5784)</f>
        <v/>
      </c>
      <c r="P5784" s="7">
        <f>VLOOKUP(OPERAC[[#This Row],[especie]],[1]!ESPECIES[#All],6,0)</f>
        <v/>
      </c>
      <c r="Q5784" s="7">
        <f>IF(N5784&lt;&gt;0,P5784*N5784,0)</f>
        <v/>
      </c>
      <c r="R5784" s="8">
        <f>IF(Q5784&lt;&gt;0,Q5784+H5784+L5784,0)</f>
        <v/>
      </c>
      <c r="S5784" s="9">
        <f>VLOOKUP(OPERAC[[#This Row],[especie]],[1]!ESPECIES[#Data],9,FALSE)</f>
        <v/>
      </c>
    </row>
    <row r="5785">
      <c r="A5785" s="4" t="n">
        <v>1760</v>
      </c>
      <c r="B5785" s="5" t="n">
        <v>44505</v>
      </c>
      <c r="C5785" s="13" t="inlineStr">
        <is>
          <t>CPR</t>
        </is>
      </c>
      <c r="D5785" s="13" t="n">
        <v>32</v>
      </c>
      <c r="E5785" s="10">
        <f>IF(D5785&gt;0,VLOOKUP(OPERAC[[#This Row],[COD CART]],[1]!MatrizCortoLargoCyl[#All],3,0),"")</f>
        <v/>
      </c>
      <c r="F5785" s="13" t="inlineStr">
        <is>
          <t>DDD/CYL/32,00/21-01-22</t>
        </is>
      </c>
      <c r="G5785" s="6" t="n">
        <v>100</v>
      </c>
      <c r="H5785" s="6">
        <f>-2682.032+29.76</f>
        <v/>
      </c>
      <c r="I5785" s="7">
        <f>-H5785/G5785</f>
        <v/>
      </c>
      <c r="J5785" s="11" t="n">
        <v>44582</v>
      </c>
      <c r="K5785" s="6" t="n">
        <v>100</v>
      </c>
      <c r="L5785" s="6">
        <f>17.262*OPERAC[[#This Row],[cantidad venta]]</f>
        <v/>
      </c>
      <c r="M5785" s="7">
        <f>IF(N5785=0,+L5785+H5785,0)</f>
        <v/>
      </c>
      <c r="N5785" s="7">
        <f>IF((+G5785-K5785)=0,0,+G5785-K5785)</f>
        <v/>
      </c>
      <c r="O5785" s="7">
        <f>IF(N5785=0,0,(L5785+H5785)/-N5785)</f>
        <v/>
      </c>
      <c r="P5785" s="7">
        <f>VLOOKUP(OPERAC[[#This Row],[especie]],[1]!ESPECIES[#All],6,0)</f>
        <v/>
      </c>
      <c r="Q5785" s="7">
        <f>IF(N5785&lt;&gt;0,P5785*N5785,0)</f>
        <v/>
      </c>
      <c r="R5785" s="8">
        <f>IF(Q5785&lt;&gt;0,Q5785+H5785+L5785,0)</f>
        <v/>
      </c>
      <c r="S5785" s="9">
        <f>VLOOKUP(OPERAC[[#This Row],[especie]],[1]!ESPECIES[#Data],9,FALSE)</f>
        <v/>
      </c>
    </row>
    <row r="5786">
      <c r="A5786" s="4" t="n">
        <v>15189</v>
      </c>
      <c r="B5786" s="5" t="n">
        <v>44369</v>
      </c>
      <c r="C5786" s="13" t="inlineStr">
        <is>
          <t>CPR</t>
        </is>
      </c>
      <c r="D5786" s="13" t="n">
        <v>40</v>
      </c>
      <c r="E5786" s="10">
        <f>IF(D5786&gt;0,VLOOKUP(OPERAC[[#This Row],[COD CART]],[1]!MatrizCortoLargoCyl[#All],3,0),"")</f>
        <v/>
      </c>
      <c r="F5786" s="13" t="inlineStr">
        <is>
          <t>DDD</t>
        </is>
      </c>
      <c r="G5786" s="6" t="n">
        <v>100</v>
      </c>
      <c r="H5786" s="6">
        <f>-3080.779+342.24+10.237+39.782+29.76</f>
        <v/>
      </c>
      <c r="I5786" s="7">
        <f>-H5786/G5786</f>
        <v/>
      </c>
      <c r="J5786" s="11" t="n">
        <v>44606</v>
      </c>
      <c r="K5786" s="6" t="n">
        <v>100</v>
      </c>
      <c r="L5786" s="6">
        <f>+OPERAC[[#This Row],[cantidad venta]]*18.06</f>
        <v/>
      </c>
      <c r="M5786" s="7">
        <f>IF(N5786=0,+L5786+H5786,0)</f>
        <v/>
      </c>
      <c r="N5786" s="7">
        <f>IF((+G5786-K5786)=0,0,+G5786-K5786)</f>
        <v/>
      </c>
      <c r="O5786" s="7">
        <f>IF(N5786=0,0,(L5786+H5786)/-N5786)</f>
        <v/>
      </c>
      <c r="P5786" s="7">
        <f>VLOOKUP(OPERAC[[#This Row],[especie]],[1]!ESPECIES[#All],6,0)</f>
        <v/>
      </c>
      <c r="Q5786" s="7">
        <f>IF(N5786&lt;&gt;0,P5786*N5786,0)</f>
        <v/>
      </c>
      <c r="R5786" s="8">
        <f>IF(Q5786&lt;&gt;0,Q5786+H5786+L5786,0)</f>
        <v/>
      </c>
      <c r="S5786" s="9">
        <f>VLOOKUP(OPERAC[[#This Row],[especie]],[1]!ESPECIES[#Data],9,FALSE)</f>
        <v/>
      </c>
    </row>
    <row r="5787">
      <c r="A5787" s="4" t="n">
        <v>15194</v>
      </c>
      <c r="B5787" s="5" t="n">
        <v>44536</v>
      </c>
      <c r="C5787" s="13" t="inlineStr">
        <is>
          <t>CPR</t>
        </is>
      </c>
      <c r="D5787" s="13" t="n">
        <v>40</v>
      </c>
      <c r="E5787" s="10">
        <f>IF(D5787&gt;0,VLOOKUP(OPERAC[[#This Row],[COD CART]],[1]!MatrizCortoLargoCyl[#All],3,0),"")</f>
        <v/>
      </c>
      <c r="F5787" s="13" t="inlineStr">
        <is>
          <t>UVXY</t>
        </is>
      </c>
      <c r="G5787" s="6" t="n">
        <v>115</v>
      </c>
      <c r="H5787" s="6" t="n">
        <v>-2665.5758</v>
      </c>
      <c r="I5787" s="7">
        <f>-H5787/G5787</f>
        <v/>
      </c>
      <c r="J5787" s="11" t="n">
        <v>44571</v>
      </c>
      <c r="K5787" s="6">
        <f>+OPERAC[[#This Row],[cantidad]]</f>
        <v/>
      </c>
      <c r="L5787" s="6">
        <f>+OPERAC[[#This Row],[cantidad venta]]*14.135</f>
        <v/>
      </c>
      <c r="M5787" s="7">
        <f>IF(N5787=0,+L5787+H5787,0)</f>
        <v/>
      </c>
      <c r="N5787" s="7">
        <f>IF((+G5787-K5787)=0,0,+G5787-K5787)</f>
        <v/>
      </c>
      <c r="O5787" s="7">
        <f>IF(N5787=0,0,(L5787+H5787)/-N5787)</f>
        <v/>
      </c>
      <c r="P5787" s="7">
        <f>VLOOKUP(OPERAC[[#This Row],[especie]],[1]!ESPECIES[#All],6,0)</f>
        <v/>
      </c>
      <c r="Q5787" s="7">
        <f>IF(N5787&lt;&gt;0,P5787*N5787,0)</f>
        <v/>
      </c>
      <c r="R5787" s="8">
        <f>IF(Q5787&lt;&gt;0,Q5787+H5787+L5787,0)</f>
        <v/>
      </c>
      <c r="S5787" s="9">
        <f>VLOOKUP(OPERAC[[#This Row],[especie]],[1]!ESPECIES[#Data],9,FALSE)</f>
        <v/>
      </c>
    </row>
    <row r="5788">
      <c r="A5788" s="4" t="n">
        <v>16783</v>
      </c>
      <c r="B5788" s="5" t="n">
        <v>44536</v>
      </c>
      <c r="C5788" s="13" t="inlineStr">
        <is>
          <t>CPR</t>
        </is>
      </c>
      <c r="D5788" s="13" t="n">
        <v>40</v>
      </c>
      <c r="E5788" s="10">
        <f>IF(D5788&gt;0,VLOOKUP(OPERAC[[#This Row],[COD CART]],[1]!MatrizCortoLargoCyl[#All],3,0),"")</f>
        <v/>
      </c>
      <c r="F5788" s="13" t="inlineStr">
        <is>
          <t>UVXY</t>
        </is>
      </c>
      <c r="G5788" s="6" t="n">
        <v>115</v>
      </c>
      <c r="H5788" s="6" t="n">
        <v>-2665.5758</v>
      </c>
      <c r="I5788" s="7">
        <f>-H5788/G5788</f>
        <v/>
      </c>
      <c r="J5788" s="11" t="n">
        <v>44544</v>
      </c>
      <c r="K5788" s="6">
        <f>15+100</f>
        <v/>
      </c>
      <c r="L5788" s="6">
        <f>253.528+1419.179</f>
        <v/>
      </c>
      <c r="M5788" s="7">
        <f>IF(N5788=0,+L5788+H5788,0)</f>
        <v/>
      </c>
      <c r="N5788" s="7">
        <f>IF((+G5788-K5788)=0,0,+G5788-K5788)</f>
        <v/>
      </c>
      <c r="O5788" s="7">
        <f>IF(N5788=0,0,(L5788+H5788)/-N5788)</f>
        <v/>
      </c>
      <c r="P5788" s="7">
        <f>VLOOKUP(OPERAC[[#This Row],[especie]],[1]!ESPECIES[#All],6,0)</f>
        <v/>
      </c>
      <c r="Q5788" s="7">
        <f>IF(N5788&lt;&gt;0,P5788*N5788,0)</f>
        <v/>
      </c>
      <c r="R5788" s="8">
        <f>IF(Q5788&lt;&gt;0,Q5788+H5788+L5788,0)</f>
        <v/>
      </c>
      <c r="S5788" s="9">
        <f>VLOOKUP(OPERAC[[#This Row],[especie]],[1]!ESPECIES[#Data],9,FALSE)</f>
        <v/>
      </c>
    </row>
    <row r="5789">
      <c r="A5789" s="4" t="n">
        <v>16776</v>
      </c>
      <c r="B5789" s="5" t="n">
        <v>44505</v>
      </c>
      <c r="C5789" s="13" t="inlineStr">
        <is>
          <t>CPR</t>
        </is>
      </c>
      <c r="D5789" s="13" t="n">
        <v>32</v>
      </c>
      <c r="E5789" s="10">
        <f>IF(D5789&gt;0,VLOOKUP(OPERAC[[#This Row],[COD CART]],[1]!MatrizCortoLargoCyl[#All],3,0),"")</f>
        <v/>
      </c>
      <c r="F5789" s="13" t="inlineStr">
        <is>
          <t>DDD</t>
        </is>
      </c>
      <c r="G5789" s="6" t="n">
        <v>100</v>
      </c>
      <c r="H5789" s="6">
        <f>-2682.032+12.196</f>
        <v/>
      </c>
      <c r="I5789" s="7">
        <f>-H5789/G5789</f>
        <v/>
      </c>
      <c r="J5789" s="11" t="n"/>
      <c r="K5789" s="6" t="n"/>
      <c r="L5789" s="6" t="n"/>
      <c r="M5789" s="7">
        <f>IF(N5789=0,+L5789+H5789,0)</f>
        <v/>
      </c>
      <c r="N5789" s="7">
        <f>IF((+G5789-K5789)=0,0,+G5789-K5789)</f>
        <v/>
      </c>
      <c r="O5789" s="7">
        <f>IF(N5789=0,0,(L5789+H5789)/-N5789)</f>
        <v/>
      </c>
      <c r="P5789" s="7">
        <f>VLOOKUP(OPERAC[[#This Row],[especie]],[1]!ESPECIES[#All],6,0)</f>
        <v/>
      </c>
      <c r="Q5789" s="7">
        <f>IF(N5789&lt;&gt;0,P5789*N5789,0)</f>
        <v/>
      </c>
      <c r="R5789" s="8">
        <f>IF(Q5789&lt;&gt;0,Q5789+H5789+L5789,0)</f>
        <v/>
      </c>
      <c r="S5789" s="9">
        <f>VLOOKUP(OPERAC[[#This Row],[especie]],[1]!ESPECIES[#Data],9,FALSE)</f>
        <v/>
      </c>
    </row>
    <row r="5790">
      <c r="A5790" s="4" t="n">
        <v>3853</v>
      </c>
      <c r="B5790" s="5" t="n">
        <v>44704</v>
      </c>
      <c r="C5790" s="13" t="inlineStr">
        <is>
          <t>CPR</t>
        </is>
      </c>
      <c r="D5790" s="13" t="n">
        <v>32</v>
      </c>
      <c r="E5790" s="10">
        <f>IF(D5790&gt;0,VLOOKUP(OPERAC[[#This Row],[COD CART]],[1]!MatrizCortoLargoCyl[#All],3,0),"")</f>
        <v/>
      </c>
      <c r="F5790" s="13" t="inlineStr">
        <is>
          <t>KWEB/CYL/35,00/24-06-22</t>
        </is>
      </c>
      <c r="G5790" s="6" t="n">
        <v>100</v>
      </c>
      <c r="H5790" s="6" t="n">
        <v>-2673.85</v>
      </c>
      <c r="I5790" s="7">
        <f>-H5790/G5790</f>
        <v/>
      </c>
      <c r="J5790" s="5" t="n"/>
      <c r="K5790" s="6" t="n"/>
      <c r="L5790" s="6" t="n"/>
      <c r="M5790" s="7">
        <f>IF(N5790=0,+L5790+H5790,0)</f>
        <v/>
      </c>
      <c r="N5790" s="7">
        <f>IF((+G5790-K5790)=0,0,+G5790-K5790)</f>
        <v/>
      </c>
      <c r="O5790" s="7">
        <f>IF(N5790=0,0,(L5790+H5790)/-N5790)</f>
        <v/>
      </c>
      <c r="P5790" s="7">
        <f>VLOOKUP(OPERAC[[#This Row],[especie]],[1]!ESPECIES[#All],6,0)</f>
        <v/>
      </c>
      <c r="Q5790" s="7">
        <f>IF(N5790&lt;&gt;0,P5790*N5790,0)</f>
        <v/>
      </c>
      <c r="R5790" s="8">
        <f>IF(Q5790&lt;&gt;0,Q5790+H5790+L5790,0)</f>
        <v/>
      </c>
      <c r="S5790" s="9">
        <f>VLOOKUP(OPERAC[[#This Row],[especie]],[1]!ESPECIES[#Data],9,FALSE)</f>
        <v/>
      </c>
    </row>
    <row r="5791">
      <c r="A5791" s="4" t="n">
        <v>3787</v>
      </c>
      <c r="B5791" s="5" t="n">
        <v>44704</v>
      </c>
      <c r="C5791" s="13" t="inlineStr">
        <is>
          <t>CPR</t>
        </is>
      </c>
      <c r="D5791" s="13" t="n">
        <v>32</v>
      </c>
      <c r="E5791" s="10">
        <f>IF(D5791&gt;0,VLOOKUP(OPERAC[[#This Row],[COD CART]],[1]!MatrizCortoLargoCyl[#All],3,0),"")</f>
        <v/>
      </c>
      <c r="F5791" s="13" t="inlineStr">
        <is>
          <t>KWEB/CYL/35,00/24-06-22</t>
        </is>
      </c>
      <c r="G5791" s="6" t="n">
        <v>100</v>
      </c>
      <c r="H5791" s="6" t="n">
        <v>-2673.85</v>
      </c>
      <c r="I5791" s="7">
        <f>-H5791/G5791</f>
        <v/>
      </c>
      <c r="J5791" s="5" t="n"/>
      <c r="K5791" s="6" t="n"/>
      <c r="L5791" s="6" t="n"/>
      <c r="M5791" s="7">
        <f>IF(N5791=0,+L5791+H5791,0)</f>
        <v/>
      </c>
      <c r="N5791" s="7">
        <f>IF((+G5791-K5791)=0,0,+G5791-K5791)</f>
        <v/>
      </c>
      <c r="O5791" s="7">
        <f>IF(N5791=0,0,(L5791+H5791)/-N5791)</f>
        <v/>
      </c>
      <c r="P5791" s="7">
        <f>VLOOKUP(OPERAC[[#This Row],[especie]],[1]!ESPECIES[#All],6,0)</f>
        <v/>
      </c>
      <c r="Q5791" s="7">
        <f>IF(N5791&lt;&gt;0,P5791*N5791,0)</f>
        <v/>
      </c>
      <c r="R5791" s="8">
        <f>IF(Q5791&lt;&gt;0,Q5791+H5791+L5791,0)</f>
        <v/>
      </c>
      <c r="S5791" s="9">
        <f>VLOOKUP(OPERAC[[#This Row],[especie]],[1]!ESPECIES[#Data],9,FALSE)</f>
        <v/>
      </c>
    </row>
    <row r="5792">
      <c r="A5792" s="4" t="n">
        <v>13185</v>
      </c>
      <c r="B5792" s="5" t="n">
        <v>44704</v>
      </c>
      <c r="C5792" s="13" t="inlineStr">
        <is>
          <t>CPR</t>
        </is>
      </c>
      <c r="D5792" s="13" t="n">
        <v>32</v>
      </c>
      <c r="E5792" s="10">
        <f>IF(D5792&gt;0,VLOOKUP(OPERAC[[#This Row],[COD CART]],[1]!MatrizCortoLargoCyl[#All],3,0),"")</f>
        <v/>
      </c>
      <c r="F5792" s="13" t="inlineStr">
        <is>
          <t>KWEB/CYL/35,00/24-06-22</t>
        </is>
      </c>
      <c r="G5792" s="6" t="n">
        <v>100</v>
      </c>
      <c r="H5792" s="6" t="n">
        <v>-2673.85</v>
      </c>
      <c r="I5792" s="7">
        <f>-H5792/G5792</f>
        <v/>
      </c>
      <c r="J5792" s="5" t="n"/>
      <c r="K5792" s="6" t="n"/>
      <c r="L5792" s="6" t="n"/>
      <c r="M5792" s="7">
        <f>IF(N5792=0,+L5792+H5792,0)</f>
        <v/>
      </c>
      <c r="N5792" s="7">
        <f>IF((+G5792-K5792)=0,0,+G5792-K5792)</f>
        <v/>
      </c>
      <c r="O5792" s="7">
        <f>IF(N5792=0,0,(L5792+H5792)/-N5792)</f>
        <v/>
      </c>
      <c r="P5792" s="7">
        <f>VLOOKUP(OPERAC[[#This Row],[especie]],[1]!ESPECIES[#All],6,0)</f>
        <v/>
      </c>
      <c r="Q5792" s="7">
        <f>IF(N5792&lt;&gt;0,P5792*N5792,0)</f>
        <v/>
      </c>
      <c r="R5792" s="8">
        <f>IF(Q5792&lt;&gt;0,Q5792+H5792+L5792,0)</f>
        <v/>
      </c>
      <c r="S5792" s="9">
        <f>VLOOKUP(OPERAC[[#This Row],[especie]],[1]!ESPECIES[#Data],9,FALSE)</f>
        <v/>
      </c>
    </row>
    <row r="5793">
      <c r="A5793" s="4" t="n">
        <v>15195</v>
      </c>
      <c r="B5793" s="5" t="n">
        <v>44704</v>
      </c>
      <c r="C5793" s="13" t="inlineStr">
        <is>
          <t>CPR</t>
        </is>
      </c>
      <c r="D5793" s="13" t="n">
        <v>32</v>
      </c>
      <c r="E5793" s="10">
        <f>IF(D5793&gt;0,VLOOKUP(OPERAC[[#This Row],[COD CART]],[1]!MatrizCortoLargoCyl[#All],3,0),"")</f>
        <v/>
      </c>
      <c r="F5793" s="13" t="inlineStr">
        <is>
          <t>KWEB/CYL/35,00/24-06-22</t>
        </is>
      </c>
      <c r="G5793" s="6" t="n">
        <v>100</v>
      </c>
      <c r="H5793" s="6" t="n">
        <v>-2673.85</v>
      </c>
      <c r="I5793" s="7">
        <f>-H5793/G5793</f>
        <v/>
      </c>
      <c r="J5793" s="5" t="n"/>
      <c r="K5793" s="6" t="n"/>
      <c r="L5793" s="6" t="n"/>
      <c r="M5793" s="7">
        <f>IF(N5793=0,+L5793+H5793,0)</f>
        <v/>
      </c>
      <c r="N5793" s="7">
        <f>IF((+G5793-K5793)=0,0,+G5793-K5793)</f>
        <v/>
      </c>
      <c r="O5793" s="7">
        <f>IF(N5793=0,0,(L5793+H5793)/-N5793)</f>
        <v/>
      </c>
      <c r="P5793" s="7">
        <f>VLOOKUP(OPERAC[[#This Row],[especie]],[1]!ESPECIES[#All],6,0)</f>
        <v/>
      </c>
      <c r="Q5793" s="7">
        <f>IF(N5793&lt;&gt;0,P5793*N5793,0)</f>
        <v/>
      </c>
      <c r="R5793" s="8">
        <f>IF(Q5793&lt;&gt;0,Q5793+H5793+L5793,0)</f>
        <v/>
      </c>
      <c r="S5793" s="9">
        <f>VLOOKUP(OPERAC[[#This Row],[especie]],[1]!ESPECIES[#Data],9,FALSE)</f>
        <v/>
      </c>
    </row>
    <row r="5794">
      <c r="A5794" s="4" t="n">
        <v>19867</v>
      </c>
      <c r="B5794" s="5" t="n">
        <v>44533</v>
      </c>
      <c r="C5794" s="13" t="inlineStr">
        <is>
          <t>CPR</t>
        </is>
      </c>
      <c r="D5794" s="13" t="n">
        <v>32</v>
      </c>
      <c r="E5794" s="10">
        <f>IF(D5794&gt;0,VLOOKUP(OPERAC[[#This Row],[COD CART]],[1]!MatrizCortoLargoCyl[#All],3,0),"")</f>
        <v/>
      </c>
      <c r="F5794" s="13" t="inlineStr">
        <is>
          <t>GMBL/CYL/5,00/21-01-22</t>
        </is>
      </c>
      <c r="G5794" s="6" t="n">
        <v>700</v>
      </c>
      <c r="H5794" s="6">
        <f>-3.83*OPERAC[[#This Row],[cantidad]]</f>
        <v/>
      </c>
      <c r="I5794" s="7">
        <f>-H5794/G5794</f>
        <v/>
      </c>
      <c r="J5794" s="11" t="n">
        <v>44581</v>
      </c>
      <c r="K5794" s="6" t="n">
        <v>700</v>
      </c>
      <c r="L5794" s="6" t="n">
        <v>2053.211</v>
      </c>
      <c r="M5794" s="7">
        <f>IF(N5794=0,+L5794+H5794,0)</f>
        <v/>
      </c>
      <c r="N5794" s="7">
        <f>IF((+G5794-K5794)=0,0,+G5794-K5794)</f>
        <v/>
      </c>
      <c r="O5794" s="7">
        <f>IF(N5794=0,0,(L5794+H5794)/-N5794)</f>
        <v/>
      </c>
      <c r="P5794" s="7">
        <f>VLOOKUP(OPERAC[[#This Row],[especie]],[1]!ESPECIES[#All],6,0)</f>
        <v/>
      </c>
      <c r="Q5794" s="7">
        <f>IF(N5794&lt;&gt;0,P5794*N5794,0)</f>
        <v/>
      </c>
      <c r="R5794" s="8">
        <f>IF(Q5794&lt;&gt;0,Q5794+H5794+L5794,0)</f>
        <v/>
      </c>
      <c r="S5794" s="9">
        <f>VLOOKUP(OPERAC[[#This Row],[especie]],[1]!ESPECIES[#Data],9,FALSE)</f>
        <v/>
      </c>
    </row>
    <row r="5795">
      <c r="A5795" s="4" t="n">
        <v>19932</v>
      </c>
      <c r="B5795" s="5" t="n">
        <v>44533</v>
      </c>
      <c r="C5795" s="13" t="inlineStr">
        <is>
          <t>CPR</t>
        </is>
      </c>
      <c r="D5795" s="13" t="n">
        <v>32</v>
      </c>
      <c r="E5795" s="10">
        <f>IF(D5795&gt;0,VLOOKUP(OPERAC[[#This Row],[COD CART]],[1]!MatrizCortoLargoCyl[#All],3,0),"")</f>
        <v/>
      </c>
      <c r="F5795" s="13" t="inlineStr">
        <is>
          <t>GMBL/CYL/5,00/21-01-22</t>
        </is>
      </c>
      <c r="G5795" s="6" t="n">
        <v>700</v>
      </c>
      <c r="H5795" s="6">
        <f>-3.83*OPERAC[[#This Row],[cantidad]]</f>
        <v/>
      </c>
      <c r="I5795" s="7">
        <f>-H5795/G5795</f>
        <v/>
      </c>
      <c r="J5795" s="11" t="n">
        <v>44581</v>
      </c>
      <c r="K5795" s="6" t="n">
        <v>700</v>
      </c>
      <c r="L5795" s="6" t="n">
        <v>2053.211</v>
      </c>
      <c r="M5795" s="7">
        <f>IF(N5795=0,+L5795+H5795,0)</f>
        <v/>
      </c>
      <c r="N5795" s="7">
        <f>IF((+G5795-K5795)=0,0,+G5795-K5795)</f>
        <v/>
      </c>
      <c r="O5795" s="7">
        <f>IF(N5795=0,0,(L5795+H5795)/-N5795)</f>
        <v/>
      </c>
      <c r="P5795" s="7">
        <f>VLOOKUP(OPERAC[[#This Row],[especie]],[1]!ESPECIES[#All],6,0)</f>
        <v/>
      </c>
      <c r="Q5795" s="7">
        <f>IF(N5795&lt;&gt;0,P5795*N5795,0)</f>
        <v/>
      </c>
      <c r="R5795" s="8">
        <f>IF(Q5795&lt;&gt;0,Q5795+H5795+L5795,0)</f>
        <v/>
      </c>
      <c r="S5795" s="9">
        <f>VLOOKUP(OPERAC[[#This Row],[especie]],[1]!ESPECIES[#Data],9,FALSE)</f>
        <v/>
      </c>
    </row>
    <row r="5796">
      <c r="A5796" s="4" t="n">
        <v>16824</v>
      </c>
      <c r="B5796" s="5" t="n">
        <v>44533</v>
      </c>
      <c r="C5796" s="13" t="inlineStr">
        <is>
          <t>CPR</t>
        </is>
      </c>
      <c r="D5796" s="13" t="n">
        <v>40</v>
      </c>
      <c r="E5796" s="10">
        <f>IF(D5796&gt;0,VLOOKUP(OPERAC[[#This Row],[COD CART]],[1]!MatrizCortoLargoCyl[#All],3,0),"")</f>
        <v/>
      </c>
      <c r="F5796" s="13" t="inlineStr">
        <is>
          <t>EDIT</t>
        </is>
      </c>
      <c r="G5796" s="6" t="n">
        <v>100</v>
      </c>
      <c r="H5796" s="6">
        <f>-26.92*OPERAC[[#This Row],[cantidad]]+4.952</f>
        <v/>
      </c>
      <c r="I5796" s="7">
        <f>-H5796/G5796</f>
        <v/>
      </c>
      <c r="J5796" s="11" t="n">
        <v>44623</v>
      </c>
      <c r="K5796" s="6" t="n">
        <v>100</v>
      </c>
      <c r="L5796" s="6" t="n">
        <v>1684.388</v>
      </c>
      <c r="M5796" s="7">
        <f>IF(N5796=0,+L5796+H5796,0)</f>
        <v/>
      </c>
      <c r="N5796" s="7">
        <f>IF((+G5796-K5796)=0,0,+G5796-K5796)</f>
        <v/>
      </c>
      <c r="O5796" s="7">
        <f>IF(N5796=0,0,(L5796+H5796)/-N5796)</f>
        <v/>
      </c>
      <c r="P5796" s="7">
        <f>VLOOKUP(OPERAC[[#This Row],[especie]],[1]!ESPECIES[#All],6,0)</f>
        <v/>
      </c>
      <c r="Q5796" s="7">
        <f>IF(N5796&lt;&gt;0,P5796*N5796,0)</f>
        <v/>
      </c>
      <c r="R5796" s="8">
        <f>IF(Q5796&lt;&gt;0,Q5796+H5796+L5796,0)</f>
        <v/>
      </c>
      <c r="S5796" s="9">
        <f>VLOOKUP(OPERAC[[#This Row],[especie]],[1]!ESPECIES[#Data],9,FALSE)</f>
        <v/>
      </c>
    </row>
    <row r="5797">
      <c r="A5797" s="4" t="n">
        <v>19878</v>
      </c>
      <c r="B5797" s="5" t="n">
        <v>44533</v>
      </c>
      <c r="C5797" s="13" t="inlineStr">
        <is>
          <t>CPR</t>
        </is>
      </c>
      <c r="D5797" s="13" t="n">
        <v>40</v>
      </c>
      <c r="E5797" s="10">
        <f>IF(D5797&gt;0,VLOOKUP(OPERAC[[#This Row],[COD CART]],[1]!MatrizCortoLargoCyl[#All],3,0),"")</f>
        <v/>
      </c>
      <c r="F5797" s="13" t="inlineStr">
        <is>
          <t>EDIT</t>
        </is>
      </c>
      <c r="G5797" s="6" t="n">
        <v>100</v>
      </c>
      <c r="H5797" s="6">
        <f>-26.92*OPERAC[[#This Row],[cantidad]]+4.952</f>
        <v/>
      </c>
      <c r="I5797" s="7">
        <f>-H5797/G5797</f>
        <v/>
      </c>
      <c r="J5797" s="11" t="n">
        <v>44614</v>
      </c>
      <c r="K5797" s="6" t="n">
        <v>100</v>
      </c>
      <c r="L5797" s="6" t="n">
        <v>1487.47</v>
      </c>
      <c r="M5797" s="7">
        <f>IF(N5797=0,+L5797+H5797,0)</f>
        <v/>
      </c>
      <c r="N5797" s="7">
        <f>IF((+G5797-K5797)=0,0,+G5797-K5797)</f>
        <v/>
      </c>
      <c r="O5797" s="7">
        <f>IF(N5797=0,0,(L5797+H5797)/-N5797)</f>
        <v/>
      </c>
      <c r="P5797" s="7">
        <f>VLOOKUP(OPERAC[[#This Row],[especie]],[1]!ESPECIES[#All],6,0)</f>
        <v/>
      </c>
      <c r="Q5797" s="7">
        <f>IF(N5797&lt;&gt;0,P5797*N5797,0)</f>
        <v/>
      </c>
      <c r="R5797" s="8">
        <f>IF(Q5797&lt;&gt;0,Q5797+H5797+L5797,0)</f>
        <v/>
      </c>
      <c r="S5797" s="9">
        <f>VLOOKUP(OPERAC[[#This Row],[especie]],[1]!ESPECIES[#Data],9,FALSE)</f>
        <v/>
      </c>
    </row>
    <row r="5798">
      <c r="A5798" s="4" t="n">
        <v>12627</v>
      </c>
      <c r="B5798" s="5" t="n">
        <v>44533</v>
      </c>
      <c r="C5798" s="13" t="inlineStr">
        <is>
          <t>CPR</t>
        </is>
      </c>
      <c r="D5798" s="13" t="n">
        <v>40</v>
      </c>
      <c r="E5798" s="10">
        <f>IF(D5798&gt;0,VLOOKUP(OPERAC[[#This Row],[COD CART]],[1]!MatrizCortoLargoCyl[#All],3,0),"")</f>
        <v/>
      </c>
      <c r="F5798" s="13" t="inlineStr">
        <is>
          <t>EDIT</t>
        </is>
      </c>
      <c r="G5798" s="6" t="n">
        <v>100</v>
      </c>
      <c r="H5798" s="6">
        <f>-2692.145+4.952</f>
        <v/>
      </c>
      <c r="I5798" s="7">
        <f>-H5798/G5798</f>
        <v/>
      </c>
      <c r="J5798" s="11" t="n">
        <v>44669</v>
      </c>
      <c r="K5798" s="6" t="n">
        <v>100</v>
      </c>
      <c r="L5798" s="6" t="n">
        <v>1533.176</v>
      </c>
      <c r="M5798" s="7">
        <f>IF(N5798=0,+L5798+H5798,0)</f>
        <v/>
      </c>
      <c r="N5798" s="7">
        <f>IF((+G5798-K5798)=0,0,+G5798-K5798)</f>
        <v/>
      </c>
      <c r="O5798" s="7">
        <f>IF(N5798=0,0,(L5798+H5798)/-N5798)</f>
        <v/>
      </c>
      <c r="P5798" s="7">
        <f>VLOOKUP(OPERAC[[#This Row],[especie]],[1]!ESPECIES[#All],6,0)</f>
        <v/>
      </c>
      <c r="Q5798" s="7">
        <f>IF(N5798&lt;&gt;0,P5798*N5798,0)</f>
        <v/>
      </c>
      <c r="R5798" s="8">
        <f>IF(Q5798&lt;&gt;0,Q5798+H5798+L5798,0)</f>
        <v/>
      </c>
      <c r="S5798" s="9">
        <f>VLOOKUP(OPERAC[[#This Row],[especie]],[1]!ESPECIES[#Data],9,FALSE)</f>
        <v/>
      </c>
    </row>
    <row r="5799">
      <c r="A5799" s="4" t="n">
        <v>18651</v>
      </c>
      <c r="B5799" s="5" t="n">
        <v>44670</v>
      </c>
      <c r="C5799" s="13" t="inlineStr">
        <is>
          <t>CPR</t>
        </is>
      </c>
      <c r="D5799" s="13" t="n">
        <v>32</v>
      </c>
      <c r="E5799" s="10">
        <f>IF(D5799&gt;0,VLOOKUP(OPERAC[[#This Row],[COD CART]],[1]!MatrizCortoLargoCyl[#All],3,0),"")</f>
        <v/>
      </c>
      <c r="F5799" s="13" t="inlineStr">
        <is>
          <t>DDD</t>
        </is>
      </c>
      <c r="G5799" s="6" t="n">
        <v>200</v>
      </c>
      <c r="H5799" s="6" t="n">
        <v>-2694.62</v>
      </c>
      <c r="I5799" s="7">
        <f>-H5799/G5799</f>
        <v/>
      </c>
      <c r="J5799" s="11" t="n"/>
      <c r="K5799" s="6" t="n"/>
      <c r="L5799" s="6" t="n"/>
      <c r="M5799" s="7">
        <f>IF(N5799=0,+L5799+H5799,0)</f>
        <v/>
      </c>
      <c r="N5799" s="7">
        <f>IF((+G5799-K5799)=0,0,+G5799-K5799)</f>
        <v/>
      </c>
      <c r="O5799" s="7">
        <f>IF(N5799=0,0,(L5799+H5799)/-N5799)</f>
        <v/>
      </c>
      <c r="P5799" s="7">
        <f>VLOOKUP(OPERAC[[#This Row],[especie]],[1]!ESPECIES[#All],6,0)</f>
        <v/>
      </c>
      <c r="Q5799" s="7">
        <f>IF(N5799&lt;&gt;0,P5799*N5799,0)</f>
        <v/>
      </c>
      <c r="R5799" s="8">
        <f>IF(Q5799&lt;&gt;0,Q5799+H5799+L5799,0)</f>
        <v/>
      </c>
      <c r="S5799" s="9">
        <f>VLOOKUP(OPERAC[[#This Row],[especie]],[1]!ESPECIES[#Data],9,FALSE)</f>
        <v/>
      </c>
    </row>
    <row r="5800">
      <c r="A5800" s="4" t="n">
        <v>3728</v>
      </c>
      <c r="B5800" s="5" t="n">
        <v>44672</v>
      </c>
      <c r="C5800" s="13" t="inlineStr">
        <is>
          <t>CPR</t>
        </is>
      </c>
      <c r="D5800" s="13" t="n">
        <v>39</v>
      </c>
      <c r="E5800" s="10">
        <f>IF(D5800&gt;0,VLOOKUP(OPERAC[[#This Row],[COD CART]],[1]!MatrizCortoLargoCyl[#All],3,0),"")</f>
        <v/>
      </c>
      <c r="F5800" s="13" t="inlineStr">
        <is>
          <t>BABA/C/80,00/17-06-2022</t>
        </is>
      </c>
      <c r="G5800" s="6" t="n">
        <v>200</v>
      </c>
      <c r="H5800" s="6" t="n">
        <v>-2702.7</v>
      </c>
      <c r="I5800" s="7">
        <f>-H5800/G5800</f>
        <v/>
      </c>
      <c r="J5800" s="11" t="n">
        <v>44720</v>
      </c>
      <c r="K5800" s="6" t="n">
        <v>200</v>
      </c>
      <c r="L5800" s="6" t="n">
        <v>7292.7</v>
      </c>
      <c r="M5800" s="7">
        <f>IF(N5800=0,+L5800+H5800,0)</f>
        <v/>
      </c>
      <c r="N5800" s="7">
        <f>IF((+G5800-K5800)=0,0,+G5800-K5800)</f>
        <v/>
      </c>
      <c r="O5800" s="7">
        <f>IF(N5800=0,0,(L5800+H5800)/-N5800)</f>
        <v/>
      </c>
      <c r="P5800" s="7">
        <f>VLOOKUP(OPERAC[[#This Row],[especie]],[1]!ESPECIES[#All],6,0)</f>
        <v/>
      </c>
      <c r="Q5800" s="7">
        <f>IF(N5800&lt;&gt;0,P5800*N5800,0)</f>
        <v/>
      </c>
      <c r="R5800" s="8">
        <f>IF(Q5800&lt;&gt;0,Q5800+H5800+L5800,0)</f>
        <v/>
      </c>
      <c r="S5800" s="9">
        <f>VLOOKUP(OPERAC[[#This Row],[especie]],[1]!ESPECIES[#Data],9,FALSE)</f>
        <v/>
      </c>
    </row>
    <row r="5801">
      <c r="A5801" s="4" t="n">
        <v>16795</v>
      </c>
      <c r="B5801" s="5" t="n">
        <v>44581</v>
      </c>
      <c r="C5801" s="13" t="inlineStr">
        <is>
          <t>CPR</t>
        </is>
      </c>
      <c r="D5801" s="13" t="n">
        <v>32</v>
      </c>
      <c r="E5801" s="10">
        <f>IF(D5801&gt;0,VLOOKUP(OPERAC[[#This Row],[COD CART]],[1]!MatrizCortoLargoCyl[#All],3,0),"")</f>
        <v/>
      </c>
      <c r="F5801" s="13" t="inlineStr">
        <is>
          <t>HMY/CYL/4,00/18-02-22</t>
        </is>
      </c>
      <c r="G5801" s="6" t="n">
        <v>700</v>
      </c>
      <c r="H5801" s="6" t="n">
        <v>-2712.275972</v>
      </c>
      <c r="I5801" s="7">
        <f>-H5801/G5801</f>
        <v/>
      </c>
      <c r="J5801" s="11" t="n">
        <v>44610</v>
      </c>
      <c r="K5801" s="6">
        <f>+OPERAC[[#This Row],[cantidad]]</f>
        <v/>
      </c>
      <c r="L5801" s="6">
        <f>+OPERAC[[#This Row],[cantidad venta]]*3.8323</f>
        <v/>
      </c>
      <c r="M5801" s="7">
        <f>IF(N5801=0,+L5801+H5801,0)</f>
        <v/>
      </c>
      <c r="N5801" s="7">
        <f>IF((+G5801-K5801)=0,0,+G5801-K5801)</f>
        <v/>
      </c>
      <c r="O5801" s="7">
        <f>IF(N5801=0,0,(L5801+H5801)/-N5801)</f>
        <v/>
      </c>
      <c r="P5801" s="7">
        <f>VLOOKUP(OPERAC[[#This Row],[especie]],[1]!ESPECIES[#All],6,0)</f>
        <v/>
      </c>
      <c r="Q5801" s="7">
        <f>IF(N5801&lt;&gt;0,P5801*N5801,0)</f>
        <v/>
      </c>
      <c r="R5801" s="8">
        <f>IF(Q5801&lt;&gt;0,Q5801+H5801+L5801,0)</f>
        <v/>
      </c>
      <c r="S5801" s="9">
        <f>VLOOKUP(OPERAC[[#This Row],[especie]],[1]!ESPECIES[#Data],9,FALSE)</f>
        <v/>
      </c>
    </row>
    <row r="5802">
      <c r="A5802" s="4" t="n">
        <v>12690</v>
      </c>
      <c r="B5802" s="5" t="n">
        <v>44602</v>
      </c>
      <c r="C5802" s="13" t="inlineStr">
        <is>
          <t>CPR</t>
        </is>
      </c>
      <c r="D5802" s="13" t="n">
        <v>32</v>
      </c>
      <c r="E5802" s="10">
        <f>IF(D5802&gt;0,VLOOKUP(OPERAC[[#This Row],[COD CART]],[1]!MatrizCortoLargoCyl[#All],3,0),"")</f>
        <v/>
      </c>
      <c r="F5802" s="13" t="inlineStr">
        <is>
          <t>BIOX</t>
        </is>
      </c>
      <c r="G5802" s="6" t="n">
        <v>200</v>
      </c>
      <c r="H5802" s="6">
        <f>-2672+29.76+39.66-193.63+72.5</f>
        <v/>
      </c>
      <c r="I5802" s="7">
        <f>-H5802/G5802</f>
        <v/>
      </c>
      <c r="J5802" s="11" t="n">
        <v>44715</v>
      </c>
      <c r="K5802" s="6" t="n">
        <v>200</v>
      </c>
      <c r="L5802" s="6" t="n">
        <v>3019.118</v>
      </c>
      <c r="M5802" s="7">
        <f>IF(N5802=0,+L5802+H5802,0)</f>
        <v/>
      </c>
      <c r="N5802" s="7">
        <f>IF((+G5802-K5802)=0,0,+G5802-K5802)</f>
        <v/>
      </c>
      <c r="O5802" s="7">
        <f>IF(N5802=0,0,(L5802+H5802)/-N5802)</f>
        <v/>
      </c>
      <c r="P5802" s="7">
        <f>VLOOKUP(OPERAC[[#This Row],[especie]],[1]!ESPECIES[#All],6,0)</f>
        <v/>
      </c>
      <c r="Q5802" s="7">
        <f>IF(N5802&lt;&gt;0,P5802*N5802,0)</f>
        <v/>
      </c>
      <c r="R5802" s="8">
        <f>IF(Q5802&lt;&gt;0,Q5802+H5802+L5802,0)</f>
        <v/>
      </c>
      <c r="S5802" s="9">
        <f>VLOOKUP(OPERAC[[#This Row],[especie]],[1]!ESPECIES[#Data],9,FALSE)</f>
        <v/>
      </c>
    </row>
    <row r="5803">
      <c r="A5803" s="4" t="n">
        <v>13180</v>
      </c>
      <c r="B5803" s="5" t="n">
        <v>44652</v>
      </c>
      <c r="C5803" s="13" t="inlineStr">
        <is>
          <t>CPR</t>
        </is>
      </c>
      <c r="D5803" s="13" t="n">
        <v>42</v>
      </c>
      <c r="E5803" s="10">
        <f>IF(D5803&gt;0,VLOOKUP(OPERAC[[#This Row],[COD CART]],[1]!MatrizCortoLargoCyl[#All],3,0),"")</f>
        <v/>
      </c>
      <c r="F5803" s="13" t="inlineStr">
        <is>
          <t>AMD</t>
        </is>
      </c>
      <c r="G5803" s="6" t="n">
        <v>25</v>
      </c>
      <c r="H5803" s="6" t="n">
        <v>-2728.404</v>
      </c>
      <c r="I5803" s="7">
        <f>-H5803/G5803</f>
        <v/>
      </c>
      <c r="J5803" s="11" t="n">
        <v>44669</v>
      </c>
      <c r="K5803" s="6" t="n">
        <v>20</v>
      </c>
      <c r="L5803" s="6">
        <f>20*92.408</f>
        <v/>
      </c>
      <c r="M5803" s="7">
        <f>IF(N5803=0,+L5803+H5803,0)</f>
        <v/>
      </c>
      <c r="N5803" s="7">
        <f>IF((+G5803-K5803)=0,0,+G5803-K5803)</f>
        <v/>
      </c>
      <c r="O5803" s="7" t="n">
        <v>100.25</v>
      </c>
      <c r="P5803" s="7">
        <f>VLOOKUP(OPERAC[[#This Row],[especie]],[1]!ESPECIES[#All],6,0)</f>
        <v/>
      </c>
      <c r="Q5803" s="7">
        <f>IF(N5803&lt;&gt;0,P5803*N5803,0)</f>
        <v/>
      </c>
      <c r="R5803" s="8">
        <f>IF(Q5803&lt;&gt;0,Q5803+H5803+L5803,0)</f>
        <v/>
      </c>
      <c r="S5803" s="9">
        <f>VLOOKUP(OPERAC[[#This Row],[especie]],[1]!ESPECIES[#Data],9,FALSE)</f>
        <v/>
      </c>
    </row>
    <row r="5804">
      <c r="A5804" s="4" t="n">
        <v>13185</v>
      </c>
      <c r="B5804" s="5" t="n">
        <v>44533</v>
      </c>
      <c r="C5804" s="13" t="inlineStr">
        <is>
          <t>CPR</t>
        </is>
      </c>
      <c r="D5804" s="13" t="n">
        <v>32</v>
      </c>
      <c r="E5804" s="10">
        <f>IF(D5804&gt;0,VLOOKUP(OPERAC[[#This Row],[COD CART]],[1]!MatrizCortoLargoCyl[#All],3,0),"")</f>
        <v/>
      </c>
      <c r="F5804" s="13" t="inlineStr">
        <is>
          <t>SPCE/CYL/20,00/21-01-22</t>
        </is>
      </c>
      <c r="G5804" s="6" t="n">
        <v>200</v>
      </c>
      <c r="H5804" s="6">
        <f>-13.67*OPERAC[[#This Row],[cantidad]]</f>
        <v/>
      </c>
      <c r="I5804" s="7">
        <f>-H5804/G5804</f>
        <v/>
      </c>
      <c r="J5804" s="11" t="n">
        <v>44579</v>
      </c>
      <c r="K5804" s="6" t="n">
        <v>200</v>
      </c>
      <c r="L5804" s="6">
        <f>+OPERAC[[#This Row],[cantidad venta]]*9.64</f>
        <v/>
      </c>
      <c r="M5804" s="7">
        <f>IF(N5804=0,+L5804+H5804,0)</f>
        <v/>
      </c>
      <c r="N5804" s="7">
        <f>IF((+G5804-K5804)=0,0,+G5804-K5804)</f>
        <v/>
      </c>
      <c r="O5804" s="7">
        <f>IF(N5804=0,0,(L5804+H5804)/-N5804)</f>
        <v/>
      </c>
      <c r="P5804" s="7">
        <f>VLOOKUP(OPERAC[[#This Row],[especie]],[1]!ESPECIES[#All],6,0)</f>
        <v/>
      </c>
      <c r="Q5804" s="7">
        <f>IF(N5804&lt;&gt;0,P5804*N5804,0)</f>
        <v/>
      </c>
      <c r="R5804" s="8">
        <f>IF(Q5804&lt;&gt;0,Q5804+H5804+L5804,0)</f>
        <v/>
      </c>
      <c r="S5804" s="9">
        <f>VLOOKUP(OPERAC[[#This Row],[especie]],[1]!ESPECIES[#Data],9,FALSE)</f>
        <v/>
      </c>
    </row>
    <row r="5805">
      <c r="A5805" s="4" t="n">
        <v>16824</v>
      </c>
      <c r="B5805" s="5" t="n">
        <v>44533</v>
      </c>
      <c r="C5805" s="13" t="inlineStr">
        <is>
          <t>CPR</t>
        </is>
      </c>
      <c r="D5805" s="13" t="n">
        <v>32</v>
      </c>
      <c r="E5805" s="10">
        <f>IF(D5805&gt;0,VLOOKUP(OPERAC[[#This Row],[COD CART]],[1]!MatrizCortoLargoCyl[#All],3,0),"")</f>
        <v/>
      </c>
      <c r="F5805" s="13" t="inlineStr">
        <is>
          <t>SPCE/CYL/20,00/21-01-22</t>
        </is>
      </c>
      <c r="G5805" s="6" t="n">
        <v>200</v>
      </c>
      <c r="H5805" s="6">
        <f>-13.67*OPERAC[[#This Row],[cantidad]]</f>
        <v/>
      </c>
      <c r="I5805" s="7">
        <f>-H5805/G5805</f>
        <v/>
      </c>
      <c r="J5805" s="11" t="n">
        <v>44579</v>
      </c>
      <c r="K5805" s="6" t="n">
        <v>200</v>
      </c>
      <c r="L5805" s="6">
        <f>+OPERAC[[#This Row],[cantidad venta]]*9.64</f>
        <v/>
      </c>
      <c r="M5805" s="7">
        <f>IF(N5805=0,+L5805+H5805,0)</f>
        <v/>
      </c>
      <c r="N5805" s="7">
        <f>IF((+G5805-K5805)=0,0,+G5805-K5805)</f>
        <v/>
      </c>
      <c r="O5805" s="7">
        <f>IF(N5805=0,0,(L5805+H5805)/-N5805)</f>
        <v/>
      </c>
      <c r="P5805" s="7">
        <f>VLOOKUP(OPERAC[[#This Row],[especie]],[1]!ESPECIES[#All],6,0)</f>
        <v/>
      </c>
      <c r="Q5805" s="7">
        <f>IF(N5805&lt;&gt;0,P5805*N5805,0)</f>
        <v/>
      </c>
      <c r="R5805" s="8">
        <f>IF(Q5805&lt;&gt;0,Q5805+H5805+L5805,0)</f>
        <v/>
      </c>
      <c r="S5805" s="9">
        <f>VLOOKUP(OPERAC[[#This Row],[especie]],[1]!ESPECIES[#Data],9,FALSE)</f>
        <v/>
      </c>
    </row>
    <row r="5806">
      <c r="A5806" s="4" t="n">
        <v>19878</v>
      </c>
      <c r="B5806" s="5" t="n">
        <v>44533</v>
      </c>
      <c r="C5806" s="13" t="inlineStr">
        <is>
          <t>CPR</t>
        </is>
      </c>
      <c r="D5806" s="13" t="n">
        <v>32</v>
      </c>
      <c r="E5806" s="10">
        <f>IF(D5806&gt;0,VLOOKUP(OPERAC[[#This Row],[COD CART]],[1]!MatrizCortoLargoCyl[#All],3,0),"")</f>
        <v/>
      </c>
      <c r="F5806" s="13" t="inlineStr">
        <is>
          <t>SPCE/CYL/20,00/21-01-22</t>
        </is>
      </c>
      <c r="G5806" s="6" t="n">
        <v>200</v>
      </c>
      <c r="H5806" s="6">
        <f>-13.67*OPERAC[[#This Row],[cantidad]]</f>
        <v/>
      </c>
      <c r="I5806" s="7">
        <f>-H5806/G5806</f>
        <v/>
      </c>
      <c r="J5806" s="11" t="n">
        <v>44579</v>
      </c>
      <c r="K5806" s="6" t="n">
        <v>200</v>
      </c>
      <c r="L5806" s="6">
        <f>+OPERAC[[#This Row],[cantidad venta]]*9.64</f>
        <v/>
      </c>
      <c r="M5806" s="7">
        <f>IF(N5806=0,+L5806+H5806,0)</f>
        <v/>
      </c>
      <c r="N5806" s="7">
        <f>IF((+G5806-K5806)=0,0,+G5806-K5806)</f>
        <v/>
      </c>
      <c r="O5806" s="7">
        <f>IF(N5806=0,0,(L5806+H5806)/-N5806)</f>
        <v/>
      </c>
      <c r="P5806" s="7">
        <f>VLOOKUP(OPERAC[[#This Row],[especie]],[1]!ESPECIES[#All],6,0)</f>
        <v/>
      </c>
      <c r="Q5806" s="7">
        <f>IF(N5806&lt;&gt;0,P5806*N5806,0)</f>
        <v/>
      </c>
      <c r="R5806" s="8">
        <f>IF(Q5806&lt;&gt;0,Q5806+H5806+L5806,0)</f>
        <v/>
      </c>
      <c r="S5806" s="9">
        <f>VLOOKUP(OPERAC[[#This Row],[especie]],[1]!ESPECIES[#Data],9,FALSE)</f>
        <v/>
      </c>
    </row>
    <row r="5807">
      <c r="A5807" s="4" t="n">
        <v>18651</v>
      </c>
      <c r="B5807" s="5" t="n">
        <v>44616</v>
      </c>
      <c r="C5807" s="13" t="inlineStr">
        <is>
          <t>CPR</t>
        </is>
      </c>
      <c r="D5807" s="13" t="n">
        <v>32</v>
      </c>
      <c r="E5807" s="10">
        <f>IF(D5807&gt;0,VLOOKUP(OPERAC[[#This Row],[COD CART]],[1]!MatrizCortoLargoCyl[#All],3,0),"")</f>
        <v/>
      </c>
      <c r="F5807" s="13" t="inlineStr">
        <is>
          <t>UUUU/CYL/8,00/18-03-22</t>
        </is>
      </c>
      <c r="G5807" s="6" t="n">
        <v>400</v>
      </c>
      <c r="H5807" s="6" t="n">
        <v>-2735.304</v>
      </c>
      <c r="I5807" s="7">
        <f>-H5807/G5807</f>
        <v/>
      </c>
      <c r="J5807" s="11" t="n">
        <v>44636</v>
      </c>
      <c r="K5807" s="6">
        <f>+OPERAC[[#This Row],[cantidad]]</f>
        <v/>
      </c>
      <c r="L5807" s="6" t="n">
        <v>3069.855</v>
      </c>
      <c r="M5807" s="7">
        <f>IF(N5807=0,+L5807+H5807,0)</f>
        <v/>
      </c>
      <c r="N5807" s="7">
        <f>IF((+G5807-K5807)=0,0,+G5807-K5807)</f>
        <v/>
      </c>
      <c r="O5807" s="7">
        <f>IF(N5807=0,0,(L5807+H5807)/-N5807)</f>
        <v/>
      </c>
      <c r="P5807" s="7">
        <f>VLOOKUP(OPERAC[[#This Row],[especie]],[1]!ESPECIES[#All],6,0)</f>
        <v/>
      </c>
      <c r="Q5807" s="7">
        <f>IF(N5807&lt;&gt;0,P5807*N5807,0)</f>
        <v/>
      </c>
      <c r="R5807" s="8">
        <f>IF(Q5807&lt;&gt;0,Q5807+H5807+L5807,0)</f>
        <v/>
      </c>
      <c r="S5807" s="9">
        <f>VLOOKUP(OPERAC[[#This Row],[especie]],[1]!ESPECIES[#Data],9,FALSE)</f>
        <v/>
      </c>
    </row>
    <row r="5808">
      <c r="A5808" s="4" t="n">
        <v>12672</v>
      </c>
      <c r="B5808" s="5" t="n">
        <v>44602</v>
      </c>
      <c r="C5808" s="13" t="inlineStr">
        <is>
          <t>CPR</t>
        </is>
      </c>
      <c r="D5808" s="13" t="n">
        <v>32</v>
      </c>
      <c r="E5808" s="10">
        <f>IF(D5808&gt;0,VLOOKUP(OPERAC[[#This Row],[COD CART]],[1]!MatrizCortoLargoCyl[#All],3,0),"")</f>
        <v/>
      </c>
      <c r="F5808" s="13" t="inlineStr">
        <is>
          <t>BIOX</t>
        </is>
      </c>
      <c r="G5808" s="6" t="n">
        <v>200</v>
      </c>
      <c r="H5808" s="6">
        <f>-2672+29.76+19.83-193.63+72.5</f>
        <v/>
      </c>
      <c r="I5808" s="7">
        <f>-H5808/G5808</f>
        <v/>
      </c>
      <c r="J5808" s="11" t="n">
        <v>44715</v>
      </c>
      <c r="K5808" s="6" t="n">
        <v>200</v>
      </c>
      <c r="L5808" s="6" t="n">
        <v>3019.118</v>
      </c>
      <c r="M5808" s="7">
        <f>IF(N5808=0,+L5808+H5808,0)</f>
        <v/>
      </c>
      <c r="N5808" s="7">
        <f>IF((+G5808-K5808)=0,0,+G5808-K5808)</f>
        <v/>
      </c>
      <c r="O5808" s="7">
        <f>IF(N5808=0,0,(L5808+H5808)/-N5808)</f>
        <v/>
      </c>
      <c r="P5808" s="7">
        <f>VLOOKUP(OPERAC[[#This Row],[especie]],[1]!ESPECIES[#All],6,0)</f>
        <v/>
      </c>
      <c r="Q5808" s="7">
        <f>IF(N5808&lt;&gt;0,P5808*N5808,0)</f>
        <v/>
      </c>
      <c r="R5808" s="8">
        <f>IF(Q5808&lt;&gt;0,Q5808+H5808+L5808,0)</f>
        <v/>
      </c>
      <c r="S5808" s="9">
        <f>VLOOKUP(OPERAC[[#This Row],[especie]],[1]!ESPECIES[#Data],9,FALSE)</f>
        <v/>
      </c>
    </row>
    <row r="5809">
      <c r="A5809" s="4" t="n">
        <v>3728</v>
      </c>
      <c r="B5809" s="5" t="n">
        <v>44637</v>
      </c>
      <c r="C5809" s="13" t="inlineStr">
        <is>
          <t>CPR</t>
        </is>
      </c>
      <c r="D5809" s="13" t="n">
        <v>31</v>
      </c>
      <c r="E5809" s="10">
        <f>IF(D5809&gt;0,VLOOKUP(OPERAC[[#This Row],[COD CART]],[1]!MatrizCortoLargoCyl[#All],3,0),"")</f>
        <v/>
      </c>
      <c r="F5809" s="13" t="inlineStr">
        <is>
          <t>LAC</t>
        </is>
      </c>
      <c r="G5809" s="6" t="n">
        <v>100</v>
      </c>
      <c r="H5809" s="6" t="n">
        <v>-2752.479</v>
      </c>
      <c r="I5809" s="7">
        <f>-H5809/G5809</f>
        <v/>
      </c>
      <c r="J5809" s="11" t="n">
        <v>44657</v>
      </c>
      <c r="K5809" s="6" t="n">
        <v>100</v>
      </c>
      <c r="L5809" s="6" t="n">
        <v>3345.62</v>
      </c>
      <c r="M5809" s="7">
        <f>IF(N5809=0,+L5809+H5809,0)</f>
        <v/>
      </c>
      <c r="N5809" s="7">
        <f>IF((+G5809-K5809)=0,0,+G5809-K5809)</f>
        <v/>
      </c>
      <c r="O5809" s="7">
        <f>IF(N5809=0,0,(L5809+H5809)/-N5809)</f>
        <v/>
      </c>
      <c r="P5809" s="7">
        <f>VLOOKUP(OPERAC[[#This Row],[especie]],[1]!ESPECIES[#All],6,0)</f>
        <v/>
      </c>
      <c r="Q5809" s="7">
        <f>IF(N5809&lt;&gt;0,P5809*N5809,0)</f>
        <v/>
      </c>
      <c r="R5809" s="8">
        <f>IF(Q5809&lt;&gt;0,Q5809+H5809+L5809,0)</f>
        <v/>
      </c>
      <c r="S5809" s="9">
        <f>VLOOKUP(OPERAC[[#This Row],[especie]],[1]!ESPECIES[#Data],9,FALSE)</f>
        <v/>
      </c>
    </row>
    <row r="5810">
      <c r="A5810" s="4" t="n">
        <v>1760</v>
      </c>
      <c r="B5810" s="5" t="n">
        <v>44655</v>
      </c>
      <c r="C5810" s="13" t="inlineStr">
        <is>
          <t>CPR</t>
        </is>
      </c>
      <c r="D5810" s="13" t="n">
        <v>32</v>
      </c>
      <c r="E5810" s="10">
        <f>IF(D5810&gt;0,VLOOKUP(OPERAC[[#This Row],[COD CART]],[1]!MatrizCortoLargoCyl[#All],3,0),"")</f>
        <v/>
      </c>
      <c r="F5810" s="13" t="inlineStr">
        <is>
          <t>PLUG/CYL/30,00/20-05-22</t>
        </is>
      </c>
      <c r="G5810" s="6" t="n">
        <v>100</v>
      </c>
      <c r="H5810" s="6" t="n">
        <v>-2769.489</v>
      </c>
      <c r="I5810" s="7">
        <f>-H5810/G5810</f>
        <v/>
      </c>
      <c r="J5810" s="11" t="n">
        <v>44693</v>
      </c>
      <c r="K5810" s="6" t="n">
        <v>100</v>
      </c>
      <c r="L5810" s="6" t="n">
        <v>1271.525</v>
      </c>
      <c r="M5810" s="7">
        <f>IF(N5810=0,+L5810+H5810,0)</f>
        <v/>
      </c>
      <c r="N5810" s="7">
        <f>IF((+G5810-K5810)=0,0,+G5810-K5810)</f>
        <v/>
      </c>
      <c r="O5810" s="7">
        <f>IF(N5810=0,0,(L5810+H5810)/-N5810)</f>
        <v/>
      </c>
      <c r="P5810" s="7">
        <f>VLOOKUP(OPERAC[[#This Row],[especie]],[1]!ESPECIES[#All],6,0)</f>
        <v/>
      </c>
      <c r="Q5810" s="7">
        <f>IF(N5810&lt;&gt;0,P5810*N5810,0)</f>
        <v/>
      </c>
      <c r="R5810" s="8">
        <f>IF(Q5810&lt;&gt;0,Q5810+H5810+L5810,0)</f>
        <v/>
      </c>
      <c r="S5810" s="9">
        <f>VLOOKUP(OPERAC[[#This Row],[especie]],[1]!ESPECIES[#Data],9,FALSE)</f>
        <v/>
      </c>
    </row>
    <row r="5811">
      <c r="A5811" s="4" t="n">
        <v>16780</v>
      </c>
      <c r="B5811" s="5" t="n">
        <v>44655</v>
      </c>
      <c r="C5811" s="13" t="inlineStr">
        <is>
          <t>CPR</t>
        </is>
      </c>
      <c r="D5811" s="13" t="n">
        <v>32</v>
      </c>
      <c r="E5811" s="10">
        <f>IF(D5811&gt;0,VLOOKUP(OPERAC[[#This Row],[COD CART]],[1]!MatrizCortoLargoCyl[#All],3,0),"")</f>
        <v/>
      </c>
      <c r="F5811" s="13" t="inlineStr">
        <is>
          <t>PLUG</t>
        </is>
      </c>
      <c r="G5811" s="6" t="n">
        <v>100</v>
      </c>
      <c r="H5811" s="6" t="n">
        <v>-2769.489</v>
      </c>
      <c r="I5811" s="7">
        <f>-H5811/G5811</f>
        <v/>
      </c>
      <c r="J5811" s="11" t="n">
        <v>44705</v>
      </c>
      <c r="K5811" s="6" t="n">
        <v>100</v>
      </c>
      <c r="L5811" s="6" t="n">
        <v>1524.203</v>
      </c>
      <c r="M5811" s="7">
        <f>IF(N5811=0,+L5811+H5811,0)</f>
        <v/>
      </c>
      <c r="N5811" s="7">
        <f>IF((+G5811-K5811)=0,0,+G5811-K5811)</f>
        <v/>
      </c>
      <c r="O5811" s="7">
        <f>IF(N5811=0,0,(L5811+H5811)/-N5811)</f>
        <v/>
      </c>
      <c r="P5811" s="7">
        <f>VLOOKUP(OPERAC[[#This Row],[especie]],[1]!ESPECIES[#All],6,0)</f>
        <v/>
      </c>
      <c r="Q5811" s="7">
        <f>IF(N5811&lt;&gt;0,P5811*N5811,0)</f>
        <v/>
      </c>
      <c r="R5811" s="8">
        <f>IF(Q5811&lt;&gt;0,Q5811+H5811+L5811,0)</f>
        <v/>
      </c>
      <c r="S5811" s="9">
        <f>VLOOKUP(OPERAC[[#This Row],[especie]],[1]!ESPECIES[#Data],9,FALSE)</f>
        <v/>
      </c>
    </row>
    <row r="5812">
      <c r="A5812" s="4" t="n">
        <v>3728</v>
      </c>
      <c r="B5812" s="5" t="n">
        <v>44704</v>
      </c>
      <c r="C5812" s="13" t="inlineStr">
        <is>
          <t>CPR</t>
        </is>
      </c>
      <c r="D5812" s="13" t="n">
        <v>32</v>
      </c>
      <c r="E5812" s="10">
        <f>IF(D5812&gt;0,VLOOKUP(OPERAC[[#This Row],[COD CART]],[1]!MatrizCortoLargoCyl[#All],3,0),"")</f>
        <v/>
      </c>
      <c r="F5812" s="13" t="inlineStr">
        <is>
          <t>AMC/CYL/9,50/03-06-22</t>
        </is>
      </c>
      <c r="G5812" s="6" t="n">
        <v>300</v>
      </c>
      <c r="H5812" s="6" t="n">
        <v>-2769.51</v>
      </c>
      <c r="I5812" s="7">
        <f>-H5812/G5812</f>
        <v/>
      </c>
      <c r="J5812" s="5" t="n">
        <v>44715</v>
      </c>
      <c r="K5812" s="6">
        <f>+OPERAC[[#This Row],[cantidad]]</f>
        <v/>
      </c>
      <c r="L5812" s="6">
        <f>+OPERAC[[#This Row],[cantidad venta]]*9.457</f>
        <v/>
      </c>
      <c r="M5812" s="7">
        <f>IF(N5812=0,+L5812+H5812,0)</f>
        <v/>
      </c>
      <c r="N5812" s="7">
        <f>IF((+G5812-K5812)=0,0,+G5812-K5812)</f>
        <v/>
      </c>
      <c r="O5812" s="7">
        <f>IF(N5812=0,0,(L5812+H5812)/-N5812)</f>
        <v/>
      </c>
      <c r="P5812" s="7">
        <f>VLOOKUP(OPERAC[[#This Row],[especie]],[1]!ESPECIES[#All],6,0)</f>
        <v/>
      </c>
      <c r="Q5812" s="7">
        <f>IF(N5812&lt;&gt;0,P5812*N5812,0)</f>
        <v/>
      </c>
      <c r="R5812" s="8">
        <f>IF(Q5812&lt;&gt;0,Q5812+H5812+L5812,0)</f>
        <v/>
      </c>
      <c r="S5812" s="9">
        <f>VLOOKUP(OPERAC[[#This Row],[especie]],[1]!ESPECIES[#Data],9,FALSE)</f>
        <v/>
      </c>
    </row>
    <row r="5813">
      <c r="A5813" s="4" t="n">
        <v>3728</v>
      </c>
      <c r="B5813" s="5" t="n">
        <v>44643</v>
      </c>
      <c r="C5813" s="13" t="inlineStr">
        <is>
          <t>CPR</t>
        </is>
      </c>
      <c r="D5813" s="13" t="n">
        <v>31</v>
      </c>
      <c r="E5813" s="10">
        <f>IF(D5813&gt;0,VLOOKUP(OPERAC[[#This Row],[COD CART]],[1]!MatrizCortoLargoCyl[#All],3,0),"")</f>
        <v/>
      </c>
      <c r="F5813" s="13" t="inlineStr">
        <is>
          <t>COST</t>
        </is>
      </c>
      <c r="G5813" s="6" t="n">
        <v>5</v>
      </c>
      <c r="H5813" s="6" t="n">
        <v>-2771.893625</v>
      </c>
      <c r="I5813" s="7">
        <f>-H5813/G5813</f>
        <v/>
      </c>
      <c r="J5813" s="11" t="n">
        <v>44692</v>
      </c>
      <c r="K5813" s="6" t="n">
        <v>5</v>
      </c>
      <c r="L5813" s="6" t="n">
        <v>2452.095</v>
      </c>
      <c r="M5813" s="7">
        <f>IF(N5813=0,+L5813+H5813,0)</f>
        <v/>
      </c>
      <c r="N5813" s="7">
        <f>IF((+G5813-K5813)=0,0,+G5813-K5813)</f>
        <v/>
      </c>
      <c r="O5813" s="7">
        <f>IF(N5813=0,0,(L5813+H5813)/-N5813)</f>
        <v/>
      </c>
      <c r="P5813" s="7">
        <f>VLOOKUP(OPERAC[[#This Row],[especie]],[1]!ESPECIES[#All],6,0)</f>
        <v/>
      </c>
      <c r="Q5813" s="7">
        <f>IF(N5813&lt;&gt;0,P5813*N5813,0)</f>
        <v/>
      </c>
      <c r="R5813" s="8">
        <f>IF(Q5813&lt;&gt;0,Q5813+H5813+L5813,0)</f>
        <v/>
      </c>
      <c r="S5813" s="9">
        <f>VLOOKUP(OPERAC[[#This Row],[especie]],[1]!ESPECIES[#Data],9,FALSE)</f>
        <v/>
      </c>
    </row>
    <row r="5814">
      <c r="A5814" s="4" t="n">
        <v>12022</v>
      </c>
      <c r="B5814" s="5" t="n">
        <v>44705</v>
      </c>
      <c r="C5814" s="13" t="inlineStr">
        <is>
          <t>CPR</t>
        </is>
      </c>
      <c r="D5814" s="13" t="n">
        <v>42</v>
      </c>
      <c r="E5814" s="10">
        <f>IF(D5814&gt;0,VLOOKUP(OPERAC[[#This Row],[COD CART]],[1]!MatrizCortoLargoCyl[#All],3,0),"")</f>
        <v/>
      </c>
      <c r="F5814" s="13" t="inlineStr">
        <is>
          <t>AMD</t>
        </is>
      </c>
      <c r="G5814" s="6" t="n">
        <v>30</v>
      </c>
      <c r="H5814" s="6" t="n">
        <v>-2775.1062</v>
      </c>
      <c r="I5814" s="7">
        <f>-H5814/G5814</f>
        <v/>
      </c>
      <c r="J5814" s="5" t="n">
        <v>44707</v>
      </c>
      <c r="K5814" s="6">
        <f>+OPERAC[[#This Row],[cantidad]]</f>
        <v/>
      </c>
      <c r="L5814" s="6">
        <f>+OPERAC[[#This Row],[cantidad venta]]*94.8</f>
        <v/>
      </c>
      <c r="M5814" s="7">
        <f>IF(N5814=0,+L5814+H5814,0)</f>
        <v/>
      </c>
      <c r="N5814" s="7">
        <f>IF((+G5814-K5814)=0,0,+G5814-K5814)</f>
        <v/>
      </c>
      <c r="O5814" s="7">
        <f>IF(N5814=0,0,(L5814+H5814)/-N5814)</f>
        <v/>
      </c>
      <c r="P5814" s="7">
        <f>VLOOKUP(OPERAC[[#This Row],[especie]],[1]!ESPECIES[#All],6,0)</f>
        <v/>
      </c>
      <c r="Q5814" s="7">
        <f>IF(N5814&lt;&gt;0,P5814*N5814,0)</f>
        <v/>
      </c>
      <c r="R5814" s="8">
        <f>IF(Q5814&lt;&gt;0,Q5814+H5814+L5814,0)</f>
        <v/>
      </c>
      <c r="S5814" s="9">
        <f>VLOOKUP(OPERAC[[#This Row],[especie]],[1]!ESPECIES[#Data],9,FALSE)</f>
        <v/>
      </c>
    </row>
    <row r="5815">
      <c r="A5815" s="4" t="n">
        <v>13180</v>
      </c>
      <c r="B5815" s="5" t="n">
        <v>44705</v>
      </c>
      <c r="C5815" s="13" t="inlineStr">
        <is>
          <t>CPR</t>
        </is>
      </c>
      <c r="D5815" s="13" t="n">
        <v>42</v>
      </c>
      <c r="E5815" s="10">
        <f>IF(D5815&gt;0,VLOOKUP(OPERAC[[#This Row],[COD CART]],[1]!MatrizCortoLargoCyl[#All],3,0),"")</f>
        <v/>
      </c>
      <c r="F5815" s="13" t="inlineStr">
        <is>
          <t>AMD</t>
        </is>
      </c>
      <c r="G5815" s="6" t="n">
        <v>30</v>
      </c>
      <c r="H5815" s="6" t="n">
        <v>-2775.1062</v>
      </c>
      <c r="I5815" s="7">
        <f>-H5815/G5815</f>
        <v/>
      </c>
      <c r="J5815" s="5" t="n">
        <v>44707</v>
      </c>
      <c r="K5815" s="6">
        <f>+OPERAC[[#This Row],[cantidad]]</f>
        <v/>
      </c>
      <c r="L5815" s="6">
        <f>+OPERAC[[#This Row],[cantidad venta]]*94.8</f>
        <v/>
      </c>
      <c r="M5815" s="7">
        <f>IF(N5815=0,+L5815+H5815,0)</f>
        <v/>
      </c>
      <c r="N5815" s="7">
        <f>IF((+G5815-K5815)=0,0,+G5815-K5815)</f>
        <v/>
      </c>
      <c r="O5815" s="7">
        <f>IF(N5815=0,0,(L5815+H5815)/-N5815)</f>
        <v/>
      </c>
      <c r="P5815" s="7">
        <f>VLOOKUP(OPERAC[[#This Row],[especie]],[1]!ESPECIES[#All],6,0)</f>
        <v/>
      </c>
      <c r="Q5815" s="7">
        <f>IF(N5815&lt;&gt;0,P5815*N5815,0)</f>
        <v/>
      </c>
      <c r="R5815" s="8">
        <f>IF(Q5815&lt;&gt;0,Q5815+H5815+L5815,0)</f>
        <v/>
      </c>
      <c r="S5815" s="9">
        <f>VLOOKUP(OPERAC[[#This Row],[especie]],[1]!ESPECIES[#Data],9,FALSE)</f>
        <v/>
      </c>
    </row>
    <row r="5816">
      <c r="A5816" s="4" t="n">
        <v>13185</v>
      </c>
      <c r="B5816" s="5" t="n">
        <v>44705</v>
      </c>
      <c r="C5816" s="13" t="inlineStr">
        <is>
          <t>CPR</t>
        </is>
      </c>
      <c r="D5816" s="13" t="n">
        <v>42</v>
      </c>
      <c r="E5816" s="10">
        <f>IF(D5816&gt;0,VLOOKUP(OPERAC[[#This Row],[COD CART]],[1]!MatrizCortoLargoCyl[#All],3,0),"")</f>
        <v/>
      </c>
      <c r="F5816" s="13" t="inlineStr">
        <is>
          <t>AMD</t>
        </is>
      </c>
      <c r="G5816" s="6" t="n">
        <v>30</v>
      </c>
      <c r="H5816" s="6" t="n">
        <v>-2775.1062</v>
      </c>
      <c r="I5816" s="7">
        <f>-H5816/G5816</f>
        <v/>
      </c>
      <c r="J5816" s="5" t="n">
        <v>44707</v>
      </c>
      <c r="K5816" s="6">
        <f>+OPERAC[[#This Row],[cantidad]]</f>
        <v/>
      </c>
      <c r="L5816" s="6">
        <f>+OPERAC[[#This Row],[cantidad venta]]*94.8</f>
        <v/>
      </c>
      <c r="M5816" s="7">
        <f>IF(N5816=0,+L5816+H5816,0)</f>
        <v/>
      </c>
      <c r="N5816" s="7">
        <f>IF((+G5816-K5816)=0,0,+G5816-K5816)</f>
        <v/>
      </c>
      <c r="O5816" s="7">
        <f>IF(N5816=0,0,(L5816+H5816)/-N5816)</f>
        <v/>
      </c>
      <c r="P5816" s="7">
        <f>VLOOKUP(OPERAC[[#This Row],[especie]],[1]!ESPECIES[#All],6,0)</f>
        <v/>
      </c>
      <c r="Q5816" s="7">
        <f>IF(N5816&lt;&gt;0,P5816*N5816,0)</f>
        <v/>
      </c>
      <c r="R5816" s="8">
        <f>IF(Q5816&lt;&gt;0,Q5816+H5816+L5816,0)</f>
        <v/>
      </c>
      <c r="S5816" s="9">
        <f>VLOOKUP(OPERAC[[#This Row],[especie]],[1]!ESPECIES[#Data],9,FALSE)</f>
        <v/>
      </c>
    </row>
    <row r="5817">
      <c r="A5817" s="4" t="n">
        <v>2255</v>
      </c>
      <c r="B5817" s="5" t="n">
        <v>44536</v>
      </c>
      <c r="C5817" s="13" t="inlineStr">
        <is>
          <t>CPR</t>
        </is>
      </c>
      <c r="D5817" s="13" t="n">
        <v>40</v>
      </c>
      <c r="E5817" s="10">
        <f>IF(D5817&gt;0,VLOOKUP(OPERAC[[#This Row],[COD CART]],[1]!MatrizCortoLargoCyl[#All],3,0),"")</f>
        <v/>
      </c>
      <c r="F5817" s="13" t="inlineStr">
        <is>
          <t>UVXY</t>
        </is>
      </c>
      <c r="G5817" s="6" t="n">
        <v>120</v>
      </c>
      <c r="H5817" s="6" t="n">
        <v>-2781.4704</v>
      </c>
      <c r="I5817" s="7">
        <f>-H5817/G5817</f>
        <v/>
      </c>
      <c r="J5817" s="11" t="n">
        <v>44538</v>
      </c>
      <c r="K5817" s="6">
        <f>20+100</f>
        <v/>
      </c>
      <c r="L5817" s="6">
        <f>20*16.153+1419.179</f>
        <v/>
      </c>
      <c r="M5817" s="7">
        <f>IF(N5817=0,+L5817+H5817,0)</f>
        <v/>
      </c>
      <c r="N5817" s="7">
        <f>IF((+G5817-K5817)=0,0,+G5817-K5817)</f>
        <v/>
      </c>
      <c r="O5817" s="7">
        <f>IF(N5817=0,0,(L5817+H5817)/-N5817)</f>
        <v/>
      </c>
      <c r="P5817" s="7">
        <f>VLOOKUP(OPERAC[[#This Row],[especie]],[1]!ESPECIES[#All],6,0)</f>
        <v/>
      </c>
      <c r="Q5817" s="7">
        <f>IF(N5817&lt;&gt;0,P5817*N5817,0)</f>
        <v/>
      </c>
      <c r="R5817" s="8">
        <f>IF(Q5817&lt;&gt;0,Q5817+H5817+L5817,0)</f>
        <v/>
      </c>
      <c r="S5817" s="9">
        <f>VLOOKUP(OPERAC[[#This Row],[especie]],[1]!ESPECIES[#Data],9,FALSE)</f>
        <v/>
      </c>
    </row>
    <row r="5818">
      <c r="A5818" s="4" t="n">
        <v>13269</v>
      </c>
      <c r="B5818" s="5" t="n">
        <v>44536</v>
      </c>
      <c r="C5818" s="13" t="inlineStr">
        <is>
          <t>CPR</t>
        </is>
      </c>
      <c r="D5818" s="13" t="n">
        <v>40</v>
      </c>
      <c r="E5818" s="10">
        <f>IF(D5818&gt;0,VLOOKUP(OPERAC[[#This Row],[COD CART]],[1]!MatrizCortoLargoCyl[#All],3,0),"")</f>
        <v/>
      </c>
      <c r="F5818" s="13" t="inlineStr">
        <is>
          <t>UVXY</t>
        </is>
      </c>
      <c r="G5818" s="6" t="n">
        <v>120</v>
      </c>
      <c r="H5818" s="6" t="n">
        <v>-2781.4704</v>
      </c>
      <c r="I5818" s="7">
        <f>-H5818/G5818</f>
        <v/>
      </c>
      <c r="J5818" s="11" t="n">
        <v>44571</v>
      </c>
      <c r="K5818" s="6">
        <f>+OPERAC[[#This Row],[cantidad]]</f>
        <v/>
      </c>
      <c r="L5818" s="6">
        <f>+OPERAC[[#This Row],[cantidad venta]]*14.135</f>
        <v/>
      </c>
      <c r="M5818" s="7">
        <f>IF(N5818=0,+L5818+H5818,0)</f>
        <v/>
      </c>
      <c r="N5818" s="7">
        <f>IF((+G5818-K5818)=0,0,+G5818-K5818)</f>
        <v/>
      </c>
      <c r="O5818" s="7">
        <f>IF(N5818=0,0,(L5818+H5818)/-N5818)</f>
        <v/>
      </c>
      <c r="P5818" s="7">
        <f>VLOOKUP(OPERAC[[#This Row],[especie]],[1]!ESPECIES[#All],6,0)</f>
        <v/>
      </c>
      <c r="Q5818" s="7">
        <f>IF(N5818&lt;&gt;0,P5818*N5818,0)</f>
        <v/>
      </c>
      <c r="R5818" s="8">
        <f>IF(Q5818&lt;&gt;0,Q5818+H5818+L5818,0)</f>
        <v/>
      </c>
      <c r="S5818" s="9">
        <f>VLOOKUP(OPERAC[[#This Row],[especie]],[1]!ESPECIES[#Data],9,FALSE)</f>
        <v/>
      </c>
    </row>
    <row r="5819">
      <c r="A5819" s="4" t="n">
        <v>1760</v>
      </c>
      <c r="B5819" s="5" t="n">
        <v>44369</v>
      </c>
      <c r="C5819" s="13" t="inlineStr">
        <is>
          <t>CPR</t>
        </is>
      </c>
      <c r="D5819" s="13" t="n">
        <v>32</v>
      </c>
      <c r="E5819" s="10">
        <f>IF(D5819&gt;0,VLOOKUP(OPERAC[[#This Row],[COD CART]],[1]!MatrizCortoLargoCyl[#All],3,0),"")</f>
        <v/>
      </c>
      <c r="F5819" s="13" t="inlineStr">
        <is>
          <t>DDD/CYL/32,00/21-01-22</t>
        </is>
      </c>
      <c r="G5819" s="6" t="n">
        <v>100</v>
      </c>
      <c r="H5819" s="6">
        <f>-3080.779+124+78.797+26.07+40.172+29.76</f>
        <v/>
      </c>
      <c r="I5819" s="7">
        <f>-H5819/G5819</f>
        <v/>
      </c>
      <c r="J5819" s="11" t="n">
        <v>44582</v>
      </c>
      <c r="K5819" s="6" t="n">
        <v>100</v>
      </c>
      <c r="L5819" s="6">
        <f>17.262*OPERAC[[#This Row],[cantidad venta]]</f>
        <v/>
      </c>
      <c r="M5819" s="7">
        <f>IF(N5819=0,+L5819+H5819,0)</f>
        <v/>
      </c>
      <c r="N5819" s="7">
        <f>IF((+G5819-K5819)=0,0,+G5819-K5819)</f>
        <v/>
      </c>
      <c r="O5819" s="7">
        <f>IF(N5819=0,0,(L5819+H5819)/-N5819)</f>
        <v/>
      </c>
      <c r="P5819" s="7">
        <f>VLOOKUP(OPERAC[[#This Row],[especie]],[1]!ESPECIES[#All],6,0)</f>
        <v/>
      </c>
      <c r="Q5819" s="7">
        <f>IF(N5819&lt;&gt;0,P5819*N5819,0)</f>
        <v/>
      </c>
      <c r="R5819" s="8">
        <f>IF(Q5819&lt;&gt;0,Q5819+H5819+L5819,0)</f>
        <v/>
      </c>
      <c r="S5819" s="9">
        <f>VLOOKUP(OPERAC[[#This Row],[especie]],[1]!ESPECIES[#Data],9,FALSE)</f>
        <v/>
      </c>
    </row>
    <row r="5820">
      <c r="A5820" s="4" t="n">
        <v>15194</v>
      </c>
      <c r="B5820" s="5" t="n">
        <v>44630</v>
      </c>
      <c r="C5820" s="13" t="inlineStr">
        <is>
          <t>CPR</t>
        </is>
      </c>
      <c r="D5820" s="13" t="n">
        <v>32</v>
      </c>
      <c r="E5820" s="10">
        <f>IF(D5820&gt;0,VLOOKUP(OPERAC[[#This Row],[COD CART]],[1]!MatrizCortoLargoCyl[#All],3,0),"")</f>
        <v/>
      </c>
      <c r="F5820" s="13" t="inlineStr">
        <is>
          <t>AAL/CYL/17,00/14-04-22</t>
        </is>
      </c>
      <c r="G5820" s="6" t="n">
        <v>200</v>
      </c>
      <c r="H5820" s="6" t="n">
        <v>-2782.925</v>
      </c>
      <c r="I5820" s="7">
        <f>-H5820/G5820</f>
        <v/>
      </c>
      <c r="J5820" s="11" t="n">
        <v>44651</v>
      </c>
      <c r="K5820" s="6" t="n">
        <v>200</v>
      </c>
      <c r="L5820" s="6" t="n">
        <v>3325.43</v>
      </c>
      <c r="M5820" s="7">
        <f>IF(N5820=0,+L5820+H5820,0)</f>
        <v/>
      </c>
      <c r="N5820" s="7">
        <f>IF((+G5820-K5820)=0,0,+G5820-K5820)</f>
        <v/>
      </c>
      <c r="O5820" s="7">
        <f>IF(N5820=0,0,(L5820+H5820)/-N5820)</f>
        <v/>
      </c>
      <c r="P5820" s="7">
        <f>VLOOKUP(OPERAC[[#This Row],[especie]],[1]!ESPECIES[#All],6,0)</f>
        <v/>
      </c>
      <c r="Q5820" s="7">
        <f>IF(N5820&lt;&gt;0,P5820*N5820,0)</f>
        <v/>
      </c>
      <c r="R5820" s="8">
        <f>IF(Q5820&lt;&gt;0,Q5820+H5820+L5820,0)</f>
        <v/>
      </c>
      <c r="S5820" s="9">
        <f>VLOOKUP(OPERAC[[#This Row],[especie]],[1]!ESPECIES[#Data],9,FALSE)</f>
        <v/>
      </c>
    </row>
    <row r="5821">
      <c r="A5821" s="4" t="n">
        <v>18703</v>
      </c>
      <c r="B5821" s="5" t="n">
        <v>44669</v>
      </c>
      <c r="C5821" s="13" t="inlineStr">
        <is>
          <t>CPR</t>
        </is>
      </c>
      <c r="D5821" s="13" t="n">
        <v>32</v>
      </c>
      <c r="E5821" s="10">
        <f>IF(D5821&gt;0,VLOOKUP(OPERAC[[#This Row],[COD CART]],[1]!MatrizCortoLargoCyl[#All],3,0),"")</f>
        <v/>
      </c>
      <c r="F5821" s="13" t="inlineStr">
        <is>
          <t>HMY</t>
        </is>
      </c>
      <c r="G5821" s="6" t="n">
        <v>600</v>
      </c>
      <c r="H5821" s="6">
        <f>-4.64*OPERAC[[#This Row],[cantidad]]</f>
        <v/>
      </c>
      <c r="I5821" s="7">
        <f>-H5821/G5821</f>
        <v/>
      </c>
      <c r="J5821" s="11" t="n"/>
      <c r="K5821" s="6" t="n"/>
      <c r="L5821" s="6" t="n"/>
      <c r="M5821" s="7">
        <f>IF(N5821=0,+L5821+H5821,0)</f>
        <v/>
      </c>
      <c r="N5821" s="7">
        <f>IF((+G5821-K5821)=0,0,+G5821-K5821)</f>
        <v/>
      </c>
      <c r="O5821" s="7">
        <f>IF(N5821=0,0,(L5821+H5821)/-N5821)</f>
        <v/>
      </c>
      <c r="P5821" s="7">
        <f>VLOOKUP(OPERAC[[#This Row],[especie]],[1]!ESPECIES[#All],6,0)</f>
        <v/>
      </c>
      <c r="Q5821" s="7">
        <f>IF(N5821&lt;&gt;0,P5821*N5821,0)</f>
        <v/>
      </c>
      <c r="R5821" s="8">
        <f>IF(Q5821&lt;&gt;0,Q5821+H5821+L5821,0)</f>
        <v/>
      </c>
      <c r="S5821" s="9">
        <f>VLOOKUP(OPERAC[[#This Row],[especie]],[1]!ESPECIES[#Data],9,FALSE)</f>
        <v/>
      </c>
    </row>
    <row r="5822">
      <c r="A5822" s="4" t="n">
        <v>16776</v>
      </c>
      <c r="B5822" s="5" t="n">
        <v>44662</v>
      </c>
      <c r="C5822" s="13" t="inlineStr">
        <is>
          <t>CPR</t>
        </is>
      </c>
      <c r="D5822" s="13" t="n">
        <v>42</v>
      </c>
      <c r="E5822" s="10">
        <f>IF(D5822&gt;0,VLOOKUP(OPERAC[[#This Row],[COD CART]],[1]!MatrizCortoLargoCyl[#All],3,0),"")</f>
        <v/>
      </c>
      <c r="F5822" s="13" t="inlineStr">
        <is>
          <t>HYDR</t>
        </is>
      </c>
      <c r="G5822" s="6" t="n">
        <v>150</v>
      </c>
      <c r="H5822" s="6" t="n">
        <v>-2785.5516</v>
      </c>
      <c r="I5822" s="7">
        <f>-H5822/G5822</f>
        <v/>
      </c>
      <c r="J5822" s="11" t="n"/>
      <c r="K5822" s="6" t="n"/>
      <c r="L5822" s="6" t="n"/>
      <c r="M5822" s="7">
        <f>IF(N5822=0,+L5822+H5822,0)</f>
        <v/>
      </c>
      <c r="N5822" s="7">
        <f>IF((+G5822-K5822)=0,0,+G5822-K5822)</f>
        <v/>
      </c>
      <c r="O5822" s="7">
        <f>IF(N5822=0,0,(L5822+H5822)/-N5822)</f>
        <v/>
      </c>
      <c r="P5822" s="7">
        <f>VLOOKUP(OPERAC[[#This Row],[especie]],[1]!ESPECIES[#All],6,0)</f>
        <v/>
      </c>
      <c r="Q5822" s="7">
        <f>IF(N5822&lt;&gt;0,P5822*N5822,0)</f>
        <v/>
      </c>
      <c r="R5822" s="8">
        <f>IF(Q5822&lt;&gt;0,Q5822+H5822+L5822,0)</f>
        <v/>
      </c>
      <c r="S5822" s="9">
        <f>VLOOKUP(OPERAC[[#This Row],[especie]],[1]!ESPECIES[#Data],9,FALSE)</f>
        <v/>
      </c>
    </row>
    <row r="5823">
      <c r="A5823" s="4" t="n">
        <v>3835</v>
      </c>
      <c r="B5823" s="5" t="n">
        <v>44579</v>
      </c>
      <c r="C5823" s="13" t="inlineStr">
        <is>
          <t>CPR</t>
        </is>
      </c>
      <c r="D5823" s="13" t="n">
        <v>39</v>
      </c>
      <c r="E5823" s="10">
        <f>IF(D5823&gt;0,VLOOKUP(OPERAC[[#This Row],[COD CART]],[1]!MatrizCortoLargoCyl[#All],3,0),"")</f>
        <v/>
      </c>
      <c r="F5823" s="13" t="inlineStr">
        <is>
          <t>ACB/C/5,00/21-01-22</t>
        </is>
      </c>
      <c r="G5823" s="6" t="n">
        <v>10000</v>
      </c>
      <c r="H5823" s="6" t="n">
        <v>-2787.58</v>
      </c>
      <c r="I5823" s="7">
        <f>-H5823/G5823</f>
        <v/>
      </c>
      <c r="J5823" s="11" t="n">
        <v>44582</v>
      </c>
      <c r="K5823" s="6" t="n">
        <v>10000</v>
      </c>
      <c r="L5823" s="6" t="n">
        <v>0</v>
      </c>
      <c r="M5823" s="7">
        <f>IF(N5823=0,+L5823+H5823,0)</f>
        <v/>
      </c>
      <c r="N5823" s="7">
        <f>IF((+G5823-K5823)=0,0,+G5823-K5823)</f>
        <v/>
      </c>
      <c r="O5823" s="7">
        <f>IF(N5823=0,0,(L5823+H5823)/-N5823)</f>
        <v/>
      </c>
      <c r="P5823" s="7">
        <f>VLOOKUP(OPERAC[[#This Row],[especie]],[1]!ESPECIES[#All],6,0)</f>
        <v/>
      </c>
      <c r="Q5823" s="7">
        <f>IF(N5823&lt;&gt;0,P5823*N5823,0)</f>
        <v/>
      </c>
      <c r="R5823" s="8">
        <f>IF(Q5823&lt;&gt;0,Q5823+H5823+L5823,0)</f>
        <v/>
      </c>
      <c r="S5823" s="9">
        <f>VLOOKUP(OPERAC[[#This Row],[especie]],[1]!ESPECIES[#Data],9,FALSE)</f>
        <v/>
      </c>
    </row>
    <row r="5824">
      <c r="A5824" s="4" t="n">
        <v>26140</v>
      </c>
      <c r="B5824" s="5" t="n">
        <v>44645</v>
      </c>
      <c r="C5824" s="13" t="inlineStr">
        <is>
          <t>CPR</t>
        </is>
      </c>
      <c r="D5824" s="13" t="n">
        <v>42</v>
      </c>
      <c r="E5824" s="10">
        <f>IF(D5824&gt;0,VLOOKUP(OPERAC[[#This Row],[COD CART]],[1]!MatrizCortoLargoCyl[#All],3,0),"")</f>
        <v/>
      </c>
      <c r="F5824" s="13" t="inlineStr">
        <is>
          <t>PLUG</t>
        </is>
      </c>
      <c r="G5824" s="6" t="n">
        <v>100</v>
      </c>
      <c r="H5824" s="6" t="n">
        <v>-2793.164</v>
      </c>
      <c r="I5824" s="7">
        <f>-H5824/G5824</f>
        <v/>
      </c>
      <c r="J5824" s="11" t="n">
        <v>44652</v>
      </c>
      <c r="K5824" s="6">
        <f>+OPERAC[[#This Row],[cantidad]]</f>
        <v/>
      </c>
      <c r="L5824" s="6">
        <f>+OPERAC[[#This Row],[cantidad venta]]*27.754</f>
        <v/>
      </c>
      <c r="M5824" s="7">
        <f>IF(N5824=0,+L5824+H5824,0)</f>
        <v/>
      </c>
      <c r="N5824" s="7">
        <f>IF((+G5824-K5824)=0,0,+G5824-K5824)</f>
        <v/>
      </c>
      <c r="O5824" s="7">
        <f>IF(N5824=0,0,(L5824+H5824)/-N5824)</f>
        <v/>
      </c>
      <c r="P5824" s="7">
        <f>VLOOKUP(OPERAC[[#This Row],[especie]],[1]!ESPECIES[#All],6,0)</f>
        <v/>
      </c>
      <c r="Q5824" s="7">
        <f>IF(N5824&lt;&gt;0,P5824*N5824,0)</f>
        <v/>
      </c>
      <c r="R5824" s="8">
        <f>IF(Q5824&lt;&gt;0,Q5824+H5824+L5824,0)</f>
        <v/>
      </c>
      <c r="S5824" s="9">
        <f>VLOOKUP(OPERAC[[#This Row],[especie]],[1]!ESPECIES[#Data],9,FALSE)</f>
        <v/>
      </c>
    </row>
    <row r="5825">
      <c r="A5825" s="4" t="n">
        <v>1760</v>
      </c>
      <c r="B5825" s="5" t="n">
        <v>44664</v>
      </c>
      <c r="C5825" s="13" t="inlineStr">
        <is>
          <t>CPR</t>
        </is>
      </c>
      <c r="D5825" s="13" t="n">
        <v>42</v>
      </c>
      <c r="E5825" s="10">
        <f>IF(D5825&gt;0,VLOOKUP(OPERAC[[#This Row],[COD CART]],[1]!MatrizCortoLargoCyl[#All],3,0),"")</f>
        <v/>
      </c>
      <c r="F5825" s="13" t="inlineStr">
        <is>
          <t>PSQ</t>
        </is>
      </c>
      <c r="G5825" s="6" t="n">
        <v>225</v>
      </c>
      <c r="H5825" s="6" t="n">
        <v>-2797.328740725</v>
      </c>
      <c r="I5825" s="7">
        <f>-H5825/G5825</f>
        <v/>
      </c>
      <c r="J5825" s="11" t="n">
        <v>44680</v>
      </c>
      <c r="K5825" s="6">
        <f>+OPERAC[[#This Row],[cantidad]]</f>
        <v/>
      </c>
      <c r="L5825" s="6">
        <f>12.848*OPERAC[[#This Row],[cantidad venta]]</f>
        <v/>
      </c>
      <c r="M5825" s="7">
        <f>IF(N5825=0,+L5825+H5825,0)</f>
        <v/>
      </c>
      <c r="N5825" s="7">
        <f>IF((+G5825-K5825)=0,0,+G5825-K5825)</f>
        <v/>
      </c>
      <c r="O5825" s="7">
        <f>IF(N5825=0,0,(L5825+H5825)/-N5825)</f>
        <v/>
      </c>
      <c r="P5825" s="7">
        <f>VLOOKUP(OPERAC[[#This Row],[especie]],[1]!ESPECIES[#All],6,0)</f>
        <v/>
      </c>
      <c r="Q5825" s="7">
        <f>IF(N5825&lt;&gt;0,P5825*N5825,0)</f>
        <v/>
      </c>
      <c r="R5825" s="8">
        <f>IF(Q5825&lt;&gt;0,Q5825+H5825+L5825,0)</f>
        <v/>
      </c>
      <c r="S5825" s="9">
        <f>VLOOKUP(OPERAC[[#This Row],[especie]],[1]!ESPECIES[#Data],9,FALSE)</f>
        <v/>
      </c>
    </row>
    <row r="5826">
      <c r="A5826" s="4" t="n">
        <v>18651</v>
      </c>
      <c r="B5826" s="5" t="n">
        <v>44671</v>
      </c>
      <c r="C5826" s="13" t="inlineStr">
        <is>
          <t>CPR</t>
        </is>
      </c>
      <c r="D5826" s="13" t="n">
        <v>42</v>
      </c>
      <c r="E5826" s="10">
        <f>IF(D5826&gt;0,VLOOKUP(OPERAC[[#This Row],[COD CART]],[1]!MatrizCortoLargoCyl[#All],3,0),"")</f>
        <v/>
      </c>
      <c r="F5826" s="13" t="inlineStr">
        <is>
          <t>NFLX</t>
        </is>
      </c>
      <c r="G5826" s="6" t="n">
        <v>11</v>
      </c>
      <c r="H5826" s="6" t="n">
        <v>-2799.55566</v>
      </c>
      <c r="I5826" s="7">
        <f>-H5826/G5826</f>
        <v/>
      </c>
      <c r="J5826" s="11" t="n">
        <v>44693</v>
      </c>
      <c r="K5826" s="6">
        <f>+OPERAC[[#This Row],[cantidad]]</f>
        <v/>
      </c>
      <c r="L5826" s="6">
        <f>+OPERAC[[#This Row],[cantidad venta]]*169.089</f>
        <v/>
      </c>
      <c r="M5826" s="7">
        <f>IF(N5826=0,+L5826+H5826,0)</f>
        <v/>
      </c>
      <c r="N5826" s="7">
        <f>IF((+G5826-K5826)=0,0,+G5826-K5826)</f>
        <v/>
      </c>
      <c r="O5826" s="7">
        <f>IF(N5826=0,0,(L5826+H5826)/-N5826)</f>
        <v/>
      </c>
      <c r="P5826" s="7">
        <f>VLOOKUP(OPERAC[[#This Row],[especie]],[1]!ESPECIES[#All],6,0)</f>
        <v/>
      </c>
      <c r="Q5826" s="7">
        <f>IF(N5826&lt;&gt;0,P5826*N5826,0)</f>
        <v/>
      </c>
      <c r="R5826" s="8">
        <f>IF(Q5826&lt;&gt;0,Q5826+H5826+L5826,0)</f>
        <v/>
      </c>
      <c r="S5826" s="9">
        <f>VLOOKUP(OPERAC[[#This Row],[especie]],[1]!ESPECIES[#Data],9,FALSE)</f>
        <v/>
      </c>
    </row>
    <row r="5827">
      <c r="A5827" s="4" t="n">
        <v>16783</v>
      </c>
      <c r="B5827" s="5" t="n">
        <v>44536</v>
      </c>
      <c r="C5827" s="13" t="inlineStr">
        <is>
          <t>CPR</t>
        </is>
      </c>
      <c r="D5827" s="13" t="n">
        <v>43</v>
      </c>
      <c r="E5827" s="10">
        <f>IF(D5827&gt;0,VLOOKUP(OPERAC[[#This Row],[COD CART]],[1]!MatrizCortoLargoCyl[#All],3,0),"")</f>
        <v/>
      </c>
      <c r="F5827" s="13" t="inlineStr">
        <is>
          <t>NNDM/CYL-PUT/2,50/19-01-24</t>
        </is>
      </c>
      <c r="G5827" s="6" t="n">
        <v>2600</v>
      </c>
      <c r="H5827" s="6">
        <f>-1.08*OPERAC[[#This Row],[cantidad]]</f>
        <v/>
      </c>
      <c r="I5827" s="7">
        <f>-H5827/G5827</f>
        <v/>
      </c>
      <c r="J5827" s="11" t="n"/>
      <c r="K5827" s="6" t="n"/>
      <c r="L5827" s="6" t="n"/>
      <c r="M5827" s="7">
        <f>IF(N5827=0,+L5827+H5827,0)</f>
        <v/>
      </c>
      <c r="N5827" s="7">
        <f>IF((+G5827-K5827)=0,0,+G5827-K5827)</f>
        <v/>
      </c>
      <c r="O5827" s="7">
        <f>IF(N5827=0,0,(L5827+H5827)/-N5827)</f>
        <v/>
      </c>
      <c r="P5827" s="7">
        <f>VLOOKUP(OPERAC[[#This Row],[especie]],[1]!ESPECIES[#All],6,0)</f>
        <v/>
      </c>
      <c r="Q5827" s="7">
        <f>IF(N5827&lt;&gt;0,P5827*N5827,0)</f>
        <v/>
      </c>
      <c r="R5827" s="8">
        <f>IF(Q5827&lt;&gt;0,Q5827+H5827+L5827,0)</f>
        <v/>
      </c>
      <c r="S5827" s="9">
        <f>VLOOKUP(OPERAC[[#This Row],[especie]],[1]!ESPECIES[#Data],9,FALSE)</f>
        <v/>
      </c>
    </row>
    <row r="5828">
      <c r="A5828" s="4" t="n">
        <v>7879</v>
      </c>
      <c r="B5828" s="5" t="n">
        <v>44508</v>
      </c>
      <c r="C5828" s="13" t="inlineStr">
        <is>
          <t>CPR</t>
        </is>
      </c>
      <c r="D5828" s="13" t="n">
        <v>41</v>
      </c>
      <c r="E5828" s="10">
        <f>IF(D5828&gt;0,VLOOKUP(OPERAC[[#This Row],[COD CART]],[1]!MatrizCortoLargoCyl[#All],3,0),"")</f>
        <v/>
      </c>
      <c r="F5828" s="13" t="inlineStr">
        <is>
          <t>ETHE</t>
        </is>
      </c>
      <c r="G5828" s="6" t="n">
        <v>60</v>
      </c>
      <c r="H5828" s="6" t="n">
        <v>-2808.598</v>
      </c>
      <c r="I5828" s="7">
        <f>-H5828/G5828</f>
        <v/>
      </c>
      <c r="J5828" s="11" t="n"/>
      <c r="K5828" s="6" t="n"/>
      <c r="L5828" s="6" t="n"/>
      <c r="M5828" s="7">
        <f>IF(N5828=0,+L5828+H5828,0)</f>
        <v/>
      </c>
      <c r="N5828" s="7">
        <f>IF((+G5828-K5828)=0,0,+G5828-K5828)</f>
        <v/>
      </c>
      <c r="O5828" s="7" t="n">
        <v>31.09</v>
      </c>
      <c r="P5828" s="7">
        <f>VLOOKUP(OPERAC[[#This Row],[especie]],[1]!ESPECIES[#All],6,0)</f>
        <v/>
      </c>
      <c r="Q5828" s="7">
        <f>IF(N5828&lt;&gt;0,P5828*N5828,0)</f>
        <v/>
      </c>
      <c r="R5828" s="8">
        <f>IF(Q5828&lt;&gt;0,Q5828+H5828+L5828,0)</f>
        <v/>
      </c>
      <c r="S5828" s="9">
        <f>VLOOKUP(OPERAC[[#This Row],[especie]],[1]!ESPECIES[#Data],9,FALSE)</f>
        <v/>
      </c>
    </row>
    <row r="5829">
      <c r="A5829" s="4" t="n">
        <v>4543</v>
      </c>
      <c r="B5829" s="5" t="n">
        <v>44040</v>
      </c>
      <c r="C5829" s="13" t="inlineStr">
        <is>
          <t>CPR</t>
        </is>
      </c>
      <c r="D5829" s="13" t="n">
        <v>41</v>
      </c>
      <c r="E5829" s="10">
        <f>IF(D5829&gt;0,VLOOKUP(OPERAC[[#This Row],[COD CART]],[1]!MatrizCortoLargoCyl[#All],3,0),"")</f>
        <v/>
      </c>
      <c r="F5829" s="13" t="inlineStr">
        <is>
          <t>GLD</t>
        </is>
      </c>
      <c r="G5829" s="6" t="n">
        <v>15</v>
      </c>
      <c r="H5829" s="6" t="n">
        <v>-2811.4878</v>
      </c>
      <c r="I5829" s="7" t="n">
        <v>187.43252</v>
      </c>
      <c r="J5829" s="5" t="n">
        <v>44658</v>
      </c>
      <c r="K5829" s="6" t="n">
        <v>15</v>
      </c>
      <c r="L5829" s="6" t="n">
        <v>2686.777</v>
      </c>
      <c r="M5829" s="7">
        <f>IF(N5829=0,+L5829+H5829,0)</f>
        <v/>
      </c>
      <c r="N5829" s="7">
        <f>IF((+G5829-K5829)=0,0,+G5829-K5829)</f>
        <v/>
      </c>
      <c r="O5829" s="7">
        <f>IF(N5829=0,0,(L5829+H5829)/-N5829)</f>
        <v/>
      </c>
      <c r="P5829" s="7">
        <f>VLOOKUP(OPERAC[[#This Row],[especie]],[1]!ESPECIES[#All],6,0)</f>
        <v/>
      </c>
      <c r="Q5829" s="7">
        <f>IF(N5829&lt;&gt;0,P5829*N5829,0)</f>
        <v/>
      </c>
      <c r="R5829" s="8">
        <f>IF(Q5829&lt;&gt;0,Q5829+H5829+L5829,0)</f>
        <v/>
      </c>
      <c r="S5829" s="9">
        <f>VLOOKUP(OPERAC[[#This Row],[especie]],[1]!ESPECIES[#Data],9,FALSE)</f>
        <v/>
      </c>
    </row>
    <row r="5830">
      <c r="A5830" s="4" t="n">
        <v>13253</v>
      </c>
      <c r="B5830" s="5" t="n">
        <v>44722</v>
      </c>
      <c r="C5830" s="13" t="inlineStr">
        <is>
          <t>CPR</t>
        </is>
      </c>
      <c r="D5830" s="13" t="n">
        <v>41</v>
      </c>
      <c r="E5830" s="10">
        <f>IF(D5830&gt;0,VLOOKUP(OPERAC[[#This Row],[COD CART]],[1]!MatrizCortoLargoCyl[#All],3,0),"")</f>
        <v/>
      </c>
      <c r="F5830" s="13" t="inlineStr">
        <is>
          <t>JEPI</t>
        </is>
      </c>
      <c r="G5830" s="6" t="n">
        <v>50</v>
      </c>
      <c r="H5830" s="6" t="n">
        <v>-2816.23625</v>
      </c>
      <c r="I5830" s="7">
        <f>-H5830/G5830</f>
        <v/>
      </c>
      <c r="J5830" s="5" t="n"/>
      <c r="K5830" s="6" t="n"/>
      <c r="L5830" s="6" t="n"/>
      <c r="M5830" s="7">
        <f>IF(N5830=0,+L5830+H5830,0)</f>
        <v/>
      </c>
      <c r="N5830" s="7">
        <f>IF((+G5830-K5830)=0,0,+G5830-K5830)</f>
        <v/>
      </c>
      <c r="O5830" s="7">
        <f>IF(N5830=0,0,(L5830+H5830)/-N5830)</f>
        <v/>
      </c>
      <c r="P5830" s="7">
        <f>VLOOKUP(OPERAC[[#This Row],[especie]],[1]!ESPECIES[#All],6,0)</f>
        <v/>
      </c>
      <c r="Q5830" s="7">
        <f>IF(N5830&lt;&gt;0,P5830*N5830,0)</f>
        <v/>
      </c>
      <c r="R5830" s="8">
        <f>IF(Q5830&lt;&gt;0,Q5830+H5830+L5830,0)</f>
        <v/>
      </c>
      <c r="S5830" s="9">
        <f>VLOOKUP(OPERAC[[#This Row],[especie]],[1]!ESPECIES[#Data],9,FALSE)</f>
        <v/>
      </c>
    </row>
    <row r="5831">
      <c r="A5831" s="4" t="n">
        <v>22393</v>
      </c>
      <c r="B5831" s="5" t="n">
        <v>44683</v>
      </c>
      <c r="C5831" s="13" t="inlineStr">
        <is>
          <t>CPR</t>
        </is>
      </c>
      <c r="D5831" s="13" t="n">
        <v>39</v>
      </c>
      <c r="E5831" s="10">
        <f>IF(D5831&gt;0,VLOOKUP(OPERAC[[#This Row],[COD CART]],[1]!MatrizCortoLargoCyl[#All],3,0),"")</f>
        <v/>
      </c>
      <c r="F5831" s="13" t="inlineStr">
        <is>
          <t>BABA/C/75,00/15-07-22</t>
        </is>
      </c>
      <c r="G5831" s="6" t="n">
        <v>100</v>
      </c>
      <c r="H5831" s="6" t="n">
        <v>-2818.2</v>
      </c>
      <c r="I5831" s="7">
        <f>-H5831/G5831</f>
        <v/>
      </c>
      <c r="J5831" s="11" t="n">
        <v>44720</v>
      </c>
      <c r="K5831" s="6" t="n">
        <v>100</v>
      </c>
      <c r="L5831" s="6" t="n">
        <v>3974</v>
      </c>
      <c r="M5831" s="7">
        <f>IF(N5831=0,+L5831+H5831,0)</f>
        <v/>
      </c>
      <c r="N5831" s="7">
        <f>IF((+G5831-K5831)=0,0,+G5831-K5831)</f>
        <v/>
      </c>
      <c r="O5831" s="7">
        <f>IF(N5831=0,0,(L5831+H5831)/-N5831)</f>
        <v/>
      </c>
      <c r="P5831" s="7">
        <f>VLOOKUP(OPERAC[[#This Row],[especie]],[1]!ESPECIES[#All],6,0)</f>
        <v/>
      </c>
      <c r="Q5831" s="7">
        <f>IF(N5831&lt;&gt;0,P5831*N5831,0)</f>
        <v/>
      </c>
      <c r="R5831" s="8">
        <f>IF(Q5831&lt;&gt;0,Q5831+H5831+L5831,0)</f>
        <v/>
      </c>
      <c r="S5831" s="9">
        <f>VLOOKUP(OPERAC[[#This Row],[especie]],[1]!ESPECIES[#Data],9,FALSE)</f>
        <v/>
      </c>
    </row>
    <row r="5832">
      <c r="A5832" s="4" t="n">
        <v>2194</v>
      </c>
      <c r="B5832" s="5" t="n">
        <v>44594</v>
      </c>
      <c r="C5832" s="13" t="inlineStr">
        <is>
          <t>CPR</t>
        </is>
      </c>
      <c r="D5832" s="13" t="n">
        <v>40</v>
      </c>
      <c r="E5832" s="10">
        <f>IF(D5832&gt;0,VLOOKUP(OPERAC[[#This Row],[COD CART]],[1]!MatrizCortoLargoCyl[#All],3,0),"")</f>
        <v/>
      </c>
      <c r="F5832" s="13" t="inlineStr">
        <is>
          <t>EDU</t>
        </is>
      </c>
      <c r="G5832" s="6" t="n">
        <v>1400</v>
      </c>
      <c r="H5832" s="6" t="n">
        <v>-2822.4</v>
      </c>
      <c r="I5832" s="7">
        <f>-H5832/G5832</f>
        <v/>
      </c>
      <c r="J5832" s="11" t="n">
        <v>44601</v>
      </c>
      <c r="K5832" s="6" t="n">
        <v>1400</v>
      </c>
      <c r="L5832" s="6">
        <f>1.472*1400</f>
        <v/>
      </c>
      <c r="M5832" s="7">
        <f>IF(N5832=0,+L5832+H5832,0)</f>
        <v/>
      </c>
      <c r="N5832" s="7">
        <f>IF((+G5832-K5832)=0,0,+G5832-K5832)</f>
        <v/>
      </c>
      <c r="O5832" s="7">
        <f>IF(N5832=0,0,(L5832+H5832)/-N5832)</f>
        <v/>
      </c>
      <c r="P5832" s="7">
        <f>VLOOKUP(OPERAC[[#This Row],[especie]],[1]!ESPECIES[#All],6,0)</f>
        <v/>
      </c>
      <c r="Q5832" s="7">
        <f>IF(N5832&lt;&gt;0,P5832*N5832,0)</f>
        <v/>
      </c>
      <c r="R5832" s="8">
        <f>IF(Q5832&lt;&gt;0,Q5832+H5832+L5832,0)</f>
        <v/>
      </c>
      <c r="S5832" s="9">
        <f>VLOOKUP(OPERAC[[#This Row],[especie]],[1]!ESPECIES[#Data],9,FALSE)</f>
        <v/>
      </c>
    </row>
    <row r="5833">
      <c r="A5833" s="4" t="n">
        <v>19920</v>
      </c>
      <c r="B5833" s="5" t="n">
        <v>44489</v>
      </c>
      <c r="C5833" s="13" t="inlineStr">
        <is>
          <t>CPR</t>
        </is>
      </c>
      <c r="D5833" s="13" t="n">
        <v>43</v>
      </c>
      <c r="E5833" s="10">
        <f>IF(D5833&gt;0,VLOOKUP(OPERAC[[#This Row],[COD CART]],[1]!MatrizCortoLargoCyl[#All],3,0),"")</f>
        <v/>
      </c>
      <c r="F5833" s="13" t="inlineStr">
        <is>
          <t>SESN/CYL-PUT/1,00/19-01-24</t>
        </is>
      </c>
      <c r="G5833" s="6" t="n">
        <v>15000</v>
      </c>
      <c r="H5833" s="6">
        <f>-0.1885*OPERAC[[#This Row],[cantidad]]</f>
        <v/>
      </c>
      <c r="I5833" s="7">
        <f>-H5833/G5833</f>
        <v/>
      </c>
      <c r="J5833" s="11" t="n">
        <v>44609</v>
      </c>
      <c r="K5833" s="6">
        <f>3300+11700</f>
        <v/>
      </c>
      <c r="L5833" s="6">
        <f>951.549+3112.996</f>
        <v/>
      </c>
      <c r="M5833" s="7">
        <f>IF(N5833=0,+L5833+H5833,0)</f>
        <v/>
      </c>
      <c r="N5833" s="7">
        <f>IF((+G5833-K5833)=0,0,+G5833-K5833)</f>
        <v/>
      </c>
      <c r="O5833" s="7">
        <f>IF(N5833=0,0,(L5833+H5833)/-N5833)</f>
        <v/>
      </c>
      <c r="P5833" s="7">
        <f>VLOOKUP(OPERAC[[#This Row],[especie]],[1]!ESPECIES[#All],6,0)</f>
        <v/>
      </c>
      <c r="Q5833" s="7">
        <f>IF(N5833&lt;&gt;0,P5833*N5833,0)</f>
        <v/>
      </c>
      <c r="R5833" s="8">
        <f>IF(Q5833&lt;&gt;0,Q5833+H5833+L5833,0)</f>
        <v/>
      </c>
      <c r="S5833" s="9">
        <f>VLOOKUP(OPERAC[[#This Row],[especie]],[1]!ESPECIES[#Data],9,FALSE)</f>
        <v/>
      </c>
    </row>
    <row r="5834">
      <c r="A5834" s="4" t="n">
        <v>18668</v>
      </c>
      <c r="B5834" s="5" t="n">
        <v>44237</v>
      </c>
      <c r="C5834" s="13" t="inlineStr">
        <is>
          <t>CPR</t>
        </is>
      </c>
      <c r="D5834" s="13" t="n">
        <v>40</v>
      </c>
      <c r="E5834" s="10">
        <f>IF(D5834&gt;0,VLOOKUP(OPERAC[[#This Row],[COD CART]],[1]!MatrizCortoLargoCyl[#All],3,0),"")</f>
        <v/>
      </c>
      <c r="F5834" s="13" t="inlineStr">
        <is>
          <t>ACB</t>
        </is>
      </c>
      <c r="G5834" s="6" t="n">
        <v>200</v>
      </c>
      <c r="H5834" s="6" t="n">
        <v>-2837.294</v>
      </c>
      <c r="I5834" s="7">
        <f>-H5834/G5834</f>
        <v/>
      </c>
      <c r="J5834" s="11" t="n">
        <v>44606</v>
      </c>
      <c r="K5834" s="6" t="n">
        <v>200</v>
      </c>
      <c r="L5834" s="6" t="n">
        <v>874.112</v>
      </c>
      <c r="M5834" s="7">
        <f>IF(N5834=0,+L5834+H5834,0)</f>
        <v/>
      </c>
      <c r="N5834" s="7">
        <f>IF((+G5834-K5834)=0,0,+G5834-K5834)</f>
        <v/>
      </c>
      <c r="O5834" s="7">
        <f>IF(N5834=0,0,(L5834+H5834)/-N5834)</f>
        <v/>
      </c>
      <c r="P5834" s="7">
        <f>VLOOKUP(OPERAC[[#This Row],[especie]],[1]!ESPECIES[#All],6,0)</f>
        <v/>
      </c>
      <c r="Q5834" s="7">
        <f>IF(N5834&lt;&gt;0,P5834*N5834,0)</f>
        <v/>
      </c>
      <c r="R5834" s="8">
        <f>IF(Q5834&lt;&gt;0,Q5834+H5834+L5834,0)</f>
        <v/>
      </c>
      <c r="S5834" s="9">
        <f>VLOOKUP(OPERAC[[#This Row],[especie]],[1]!ESPECIES[#Data],9,FALSE)</f>
        <v/>
      </c>
    </row>
    <row r="5835">
      <c r="A5835" s="4" t="n">
        <v>16795</v>
      </c>
      <c r="B5835" s="5" t="n">
        <v>43851</v>
      </c>
      <c r="C5835" s="13" t="inlineStr">
        <is>
          <t>CPR</t>
        </is>
      </c>
      <c r="D5835" s="13" t="n">
        <v>31</v>
      </c>
      <c r="E5835" s="10">
        <f>IF(D5835&gt;0,VLOOKUP(OPERAC[[#This Row],[COD CART]],[1]!MatrizCortoLargoCyl[#All],3,0),"")</f>
        <v/>
      </c>
      <c r="F5835" s="13" t="inlineStr">
        <is>
          <t>GGAL</t>
        </is>
      </c>
      <c r="G5835" s="6" t="n">
        <v>200</v>
      </c>
      <c r="H5835" s="6" t="n">
        <v>-2840</v>
      </c>
      <c r="I5835" s="7" t="n">
        <v>14.2</v>
      </c>
      <c r="J5835" s="5" t="n">
        <v>44456</v>
      </c>
      <c r="K5835" s="6" t="n">
        <v>100</v>
      </c>
      <c r="L5835" s="6" t="n">
        <v>1106.415</v>
      </c>
      <c r="M5835" s="7">
        <f>IF(N5835=0,+L5835+H5835,0)</f>
        <v/>
      </c>
      <c r="N5835" s="7">
        <f>IF((+G5835-K5835)=0,0,+G5835-K5835)</f>
        <v/>
      </c>
      <c r="O5835" s="7">
        <f>IF(N5835=0,0,(L5835+H5835)/-N5835)</f>
        <v/>
      </c>
      <c r="P5835" s="7">
        <f>VLOOKUP(OPERAC[[#This Row],[especie]],[1]!ESPECIES[#All],6,0)</f>
        <v/>
      </c>
      <c r="Q5835" s="7">
        <f>IF(N5835&lt;&gt;0,P5835*N5835,0)</f>
        <v/>
      </c>
      <c r="R5835" s="8">
        <f>IF(Q5835&lt;&gt;0,Q5835+H5835+L5835,0)</f>
        <v/>
      </c>
      <c r="S5835" s="9">
        <f>VLOOKUP(OPERAC[[#This Row],[especie]],[1]!ESPECIES[#Data],9,FALSE)</f>
        <v/>
      </c>
    </row>
    <row r="5836">
      <c r="A5836" s="4" t="n">
        <v>22393</v>
      </c>
      <c r="B5836" s="5" t="n">
        <v>44357</v>
      </c>
      <c r="C5836" s="13" t="inlineStr">
        <is>
          <t>CPR</t>
        </is>
      </c>
      <c r="D5836" s="13" t="n">
        <v>32</v>
      </c>
      <c r="E5836" s="10">
        <f>IF(D5836&gt;0,VLOOKUP(OPERAC[[#This Row],[COD CART]],[1]!MatrizCortoLargoCyl[#All],3,0),"")</f>
        <v/>
      </c>
      <c r="F5836" s="13" t="inlineStr">
        <is>
          <t>SFM/CYL/29,00/18-02-2022</t>
        </is>
      </c>
      <c r="G5836" s="6" t="n">
        <v>100</v>
      </c>
      <c r="H5836" s="6">
        <f>-2928.364+80</f>
        <v/>
      </c>
      <c r="I5836" s="7">
        <f>-H5836/G5836</f>
        <v/>
      </c>
      <c r="J5836" s="11" t="n">
        <v>44610</v>
      </c>
      <c r="K5836" s="6" t="n">
        <v>100</v>
      </c>
      <c r="L5836" s="6" t="n">
        <v>2876.8</v>
      </c>
      <c r="M5836" s="7">
        <f>IF(N5836=0,+L5836+H5836,0)</f>
        <v/>
      </c>
      <c r="N5836" s="7">
        <f>IF((+G5836-K5836)=0,0,+G5836-K5836)</f>
        <v/>
      </c>
      <c r="O5836" s="7">
        <f>IF(N5836=0,0,(L5836+H5836)/-N5836)</f>
        <v/>
      </c>
      <c r="P5836" s="7">
        <f>VLOOKUP(OPERAC[[#This Row],[especie]],[1]!ESPECIES[#All],6,0)</f>
        <v/>
      </c>
      <c r="Q5836" s="7">
        <f>IF(N5836&lt;&gt;0,P5836*N5836,0)</f>
        <v/>
      </c>
      <c r="R5836" s="8">
        <f>IF(Q5836&lt;&gt;0,Q5836+H5836+L5836,0)</f>
        <v/>
      </c>
      <c r="S5836" s="9">
        <f>VLOOKUP(OPERAC[[#This Row],[especie]],[1]!ESPECIES[#Data],9,FALSE)</f>
        <v/>
      </c>
    </row>
    <row r="5837">
      <c r="A5837" s="4" t="n">
        <v>12672</v>
      </c>
      <c r="B5837" s="5" t="n">
        <v>44533</v>
      </c>
      <c r="C5837" s="13" t="inlineStr">
        <is>
          <t>CPR</t>
        </is>
      </c>
      <c r="D5837" s="13" t="n">
        <v>32</v>
      </c>
      <c r="E5837" s="10">
        <f>IF(D5837&gt;0,VLOOKUP(OPERAC[[#This Row],[COD CART]],[1]!MatrizCortoLargoCyl[#All],3,0),"")</f>
        <v/>
      </c>
      <c r="F5837" s="13" t="inlineStr">
        <is>
          <t>INO/CYL/7,00/21-01-22</t>
        </is>
      </c>
      <c r="G5837" s="6" t="n">
        <v>500</v>
      </c>
      <c r="H5837" s="6" t="n">
        <v>-2849.49</v>
      </c>
      <c r="I5837" s="7">
        <f>-H5837/G5837</f>
        <v/>
      </c>
      <c r="J5837" s="11" t="n">
        <v>44581</v>
      </c>
      <c r="K5837" s="6" t="n">
        <v>500</v>
      </c>
      <c r="L5837" s="6" t="n">
        <v>2131.712</v>
      </c>
      <c r="M5837" s="7">
        <f>IF(N5837=0,+L5837+H5837,0)</f>
        <v/>
      </c>
      <c r="N5837" s="7">
        <f>IF((+G5837-K5837)=0,0,+G5837-K5837)</f>
        <v/>
      </c>
      <c r="O5837" s="7">
        <f>IF(N5837=0,0,(L5837+H5837)/-N5837)</f>
        <v/>
      </c>
      <c r="P5837" s="7">
        <f>VLOOKUP(OPERAC[[#This Row],[especie]],[1]!ESPECIES[#All],6,0)</f>
        <v/>
      </c>
      <c r="Q5837" s="7">
        <f>IF(N5837&lt;&gt;0,P5837*N5837,0)</f>
        <v/>
      </c>
      <c r="R5837" s="8">
        <f>IF(Q5837&lt;&gt;0,Q5837+H5837+L5837,0)</f>
        <v/>
      </c>
      <c r="S5837" s="9">
        <f>VLOOKUP(OPERAC[[#This Row],[especie]],[1]!ESPECIES[#Data],9,FALSE)</f>
        <v/>
      </c>
    </row>
    <row r="5838">
      <c r="A5838" s="4" t="n">
        <v>13180</v>
      </c>
      <c r="B5838" s="5" t="n">
        <v>44533</v>
      </c>
      <c r="C5838" s="13" t="inlineStr">
        <is>
          <t>CPR</t>
        </is>
      </c>
      <c r="D5838" s="13" t="n">
        <v>32</v>
      </c>
      <c r="E5838" s="10">
        <f>IF(D5838&gt;0,VLOOKUP(OPERAC[[#This Row],[COD CART]],[1]!MatrizCortoLargoCyl[#All],3,0),"")</f>
        <v/>
      </c>
      <c r="F5838" s="13" t="inlineStr">
        <is>
          <t>INO/CYL/7,00/21-01-22</t>
        </is>
      </c>
      <c r="G5838" s="6" t="n">
        <v>500</v>
      </c>
      <c r="H5838" s="6">
        <f>-5.7*OPERAC[[#This Row],[cantidad]]</f>
        <v/>
      </c>
      <c r="I5838" s="7">
        <f>-H5838/G5838</f>
        <v/>
      </c>
      <c r="J5838" s="11" t="n">
        <v>44581</v>
      </c>
      <c r="K5838" s="6" t="n">
        <v>500</v>
      </c>
      <c r="L5838" s="6" t="n">
        <v>2131.712</v>
      </c>
      <c r="M5838" s="7">
        <f>IF(N5838=0,+L5838+H5838,0)</f>
        <v/>
      </c>
      <c r="N5838" s="7">
        <f>IF((+G5838-K5838)=0,0,+G5838-K5838)</f>
        <v/>
      </c>
      <c r="O5838" s="7">
        <f>IF(N5838=0,0,(L5838+H5838)/-N5838)</f>
        <v/>
      </c>
      <c r="P5838" s="7">
        <f>VLOOKUP(OPERAC[[#This Row],[especie]],[1]!ESPECIES[#All],6,0)</f>
        <v/>
      </c>
      <c r="Q5838" s="7">
        <f>IF(N5838&lt;&gt;0,P5838*N5838,0)</f>
        <v/>
      </c>
      <c r="R5838" s="8">
        <f>IF(Q5838&lt;&gt;0,Q5838+H5838+L5838,0)</f>
        <v/>
      </c>
      <c r="S5838" s="9">
        <f>VLOOKUP(OPERAC[[#This Row],[especie]],[1]!ESPECIES[#Data],9,FALSE)</f>
        <v/>
      </c>
    </row>
    <row r="5839">
      <c r="A5839" s="4" t="n">
        <v>16795</v>
      </c>
      <c r="B5839" s="5" t="n">
        <v>44533</v>
      </c>
      <c r="C5839" s="13" t="inlineStr">
        <is>
          <t>CPR</t>
        </is>
      </c>
      <c r="D5839" s="13" t="n">
        <v>32</v>
      </c>
      <c r="E5839" s="10">
        <f>IF(D5839&gt;0,VLOOKUP(OPERAC[[#This Row],[COD CART]],[1]!MatrizCortoLargoCyl[#All],3,0),"")</f>
        <v/>
      </c>
      <c r="F5839" s="13" t="inlineStr">
        <is>
          <t>INO/CYL/7,00/21-01-22</t>
        </is>
      </c>
      <c r="G5839" s="6" t="n">
        <v>500</v>
      </c>
      <c r="H5839" s="6">
        <f>-5.7*OPERAC[[#This Row],[cantidad]]</f>
        <v/>
      </c>
      <c r="I5839" s="7">
        <f>-H5839/G5839</f>
        <v/>
      </c>
      <c r="J5839" s="11" t="n">
        <v>44581</v>
      </c>
      <c r="K5839" s="6" t="n">
        <v>500</v>
      </c>
      <c r="L5839" s="6" t="n">
        <v>2131.712</v>
      </c>
      <c r="M5839" s="7">
        <f>IF(N5839=0,+L5839+H5839,0)</f>
        <v/>
      </c>
      <c r="N5839" s="7">
        <f>IF((+G5839-K5839)=0,0,+G5839-K5839)</f>
        <v/>
      </c>
      <c r="O5839" s="7">
        <f>IF(N5839=0,0,(L5839+H5839)/-N5839)</f>
        <v/>
      </c>
      <c r="P5839" s="7">
        <f>VLOOKUP(OPERAC[[#This Row],[especie]],[1]!ESPECIES[#All],6,0)</f>
        <v/>
      </c>
      <c r="Q5839" s="7">
        <f>IF(N5839&lt;&gt;0,P5839*N5839,0)</f>
        <v/>
      </c>
      <c r="R5839" s="8">
        <f>IF(Q5839&lt;&gt;0,Q5839+H5839+L5839,0)</f>
        <v/>
      </c>
      <c r="S5839" s="9">
        <f>VLOOKUP(OPERAC[[#This Row],[especie]],[1]!ESPECIES[#Data],9,FALSE)</f>
        <v/>
      </c>
    </row>
    <row r="5840">
      <c r="A5840" s="4" t="n">
        <v>18690</v>
      </c>
      <c r="B5840" s="5" t="n">
        <v>44533</v>
      </c>
      <c r="C5840" s="13" t="inlineStr">
        <is>
          <t>CPR</t>
        </is>
      </c>
      <c r="D5840" s="13" t="n">
        <v>32</v>
      </c>
      <c r="E5840" s="10">
        <f>IF(D5840&gt;0,VLOOKUP(OPERAC[[#This Row],[COD CART]],[1]!MatrizCortoLargoCyl[#All],3,0),"")</f>
        <v/>
      </c>
      <c r="F5840" s="13" t="inlineStr">
        <is>
          <t>INO/CYL/7,00/21-01-22</t>
        </is>
      </c>
      <c r="G5840" s="6" t="n">
        <v>500</v>
      </c>
      <c r="H5840" s="6">
        <f>-5.7*OPERAC[[#This Row],[cantidad]]</f>
        <v/>
      </c>
      <c r="I5840" s="7">
        <f>-H5840/G5840</f>
        <v/>
      </c>
      <c r="J5840" s="11" t="n">
        <v>44581</v>
      </c>
      <c r="K5840" s="6" t="n">
        <v>500</v>
      </c>
      <c r="L5840" s="6" t="n">
        <v>2131.712</v>
      </c>
      <c r="M5840" s="7">
        <f>IF(N5840=0,+L5840+H5840,0)</f>
        <v/>
      </c>
      <c r="N5840" s="7">
        <f>IF((+G5840-K5840)=0,0,+G5840-K5840)</f>
        <v/>
      </c>
      <c r="O5840" s="7">
        <f>IF(N5840=0,0,(L5840+H5840)/-N5840)</f>
        <v/>
      </c>
      <c r="P5840" s="7">
        <f>VLOOKUP(OPERAC[[#This Row],[especie]],[1]!ESPECIES[#All],6,0)</f>
        <v/>
      </c>
      <c r="Q5840" s="7">
        <f>IF(N5840&lt;&gt;0,P5840*N5840,0)</f>
        <v/>
      </c>
      <c r="R5840" s="8">
        <f>IF(Q5840&lt;&gt;0,Q5840+H5840+L5840,0)</f>
        <v/>
      </c>
      <c r="S5840" s="9">
        <f>VLOOKUP(OPERAC[[#This Row],[especie]],[1]!ESPECIES[#Data],9,FALSE)</f>
        <v/>
      </c>
    </row>
    <row r="5841">
      <c r="A5841" s="4" t="n">
        <v>19867</v>
      </c>
      <c r="B5841" s="5" t="n">
        <v>44533</v>
      </c>
      <c r="C5841" s="13" t="inlineStr">
        <is>
          <t>CPR</t>
        </is>
      </c>
      <c r="D5841" s="13" t="n">
        <v>32</v>
      </c>
      <c r="E5841" s="10">
        <f>IF(D5841&gt;0,VLOOKUP(OPERAC[[#This Row],[COD CART]],[1]!MatrizCortoLargoCyl[#All],3,0),"")</f>
        <v/>
      </c>
      <c r="F5841" s="13" t="inlineStr">
        <is>
          <t>INO/CYL/7,00/21-01-22</t>
        </is>
      </c>
      <c r="G5841" s="6" t="n">
        <v>500</v>
      </c>
      <c r="H5841" s="6">
        <f>-5.7*OPERAC[[#This Row],[cantidad]]</f>
        <v/>
      </c>
      <c r="I5841" s="7">
        <f>-H5841/G5841</f>
        <v/>
      </c>
      <c r="J5841" s="11" t="n">
        <v>44581</v>
      </c>
      <c r="K5841" s="6" t="n">
        <v>500</v>
      </c>
      <c r="L5841" s="6" t="n">
        <v>2131.712</v>
      </c>
      <c r="M5841" s="7">
        <f>IF(N5841=0,+L5841+H5841,0)</f>
        <v/>
      </c>
      <c r="N5841" s="7">
        <f>IF((+G5841-K5841)=0,0,+G5841-K5841)</f>
        <v/>
      </c>
      <c r="O5841" s="7">
        <f>IF(N5841=0,0,(L5841+H5841)/-N5841)</f>
        <v/>
      </c>
      <c r="P5841" s="7">
        <f>VLOOKUP(OPERAC[[#This Row],[especie]],[1]!ESPECIES[#All],6,0)</f>
        <v/>
      </c>
      <c r="Q5841" s="7">
        <f>IF(N5841&lt;&gt;0,P5841*N5841,0)</f>
        <v/>
      </c>
      <c r="R5841" s="8">
        <f>IF(Q5841&lt;&gt;0,Q5841+H5841+L5841,0)</f>
        <v/>
      </c>
      <c r="S5841" s="9">
        <f>VLOOKUP(OPERAC[[#This Row],[especie]],[1]!ESPECIES[#Data],9,FALSE)</f>
        <v/>
      </c>
    </row>
    <row r="5842">
      <c r="A5842" s="4" t="n">
        <v>18703</v>
      </c>
      <c r="B5842" s="5" t="n">
        <v>44641</v>
      </c>
      <c r="C5842" s="13" t="inlineStr">
        <is>
          <t>CPR</t>
        </is>
      </c>
      <c r="D5842" s="13" t="n">
        <v>32</v>
      </c>
      <c r="E5842" s="10">
        <f>IF(D5842&gt;0,VLOOKUP(OPERAC[[#This Row],[COD CART]],[1]!MatrizCortoLargoCyl[#All],3,0),"")</f>
        <v/>
      </c>
      <c r="F5842" s="13" t="inlineStr">
        <is>
          <t>HMY</t>
        </is>
      </c>
      <c r="G5842" s="6" t="n">
        <v>600</v>
      </c>
      <c r="H5842" s="6" t="n">
        <v>-2855.4234</v>
      </c>
      <c r="I5842" s="7">
        <f>-H5842/G5842</f>
        <v/>
      </c>
      <c r="J5842" s="11" t="n">
        <v>44669</v>
      </c>
      <c r="K5842" s="6">
        <f>+OPERAC[[#This Row],[cantidad]]</f>
        <v/>
      </c>
      <c r="L5842" s="6">
        <f>4.925*OPERAC[[#This Row],[cantidad venta]]</f>
        <v/>
      </c>
      <c r="M5842" s="7">
        <f>IF(N5842=0,+L5842+H5842,0)</f>
        <v/>
      </c>
      <c r="N5842" s="7">
        <f>IF((+G5842-K5842)=0,0,+G5842-K5842)</f>
        <v/>
      </c>
      <c r="O5842" s="7">
        <f>IF(N5842=0,0,(L5842+H5842)/-N5842)</f>
        <v/>
      </c>
      <c r="P5842" s="7">
        <f>VLOOKUP(OPERAC[[#This Row],[especie]],[1]!ESPECIES[#All],6,0)</f>
        <v/>
      </c>
      <c r="Q5842" s="7">
        <f>IF(N5842&lt;&gt;0,P5842*N5842,0)</f>
        <v/>
      </c>
      <c r="R5842" s="8">
        <f>IF(Q5842&lt;&gt;0,Q5842+H5842+L5842,0)</f>
        <v/>
      </c>
      <c r="S5842" s="9">
        <f>VLOOKUP(OPERAC[[#This Row],[especie]],[1]!ESPECIES[#Data],9,FALSE)</f>
        <v/>
      </c>
    </row>
    <row r="5843">
      <c r="A5843" s="4" t="n">
        <v>2218</v>
      </c>
      <c r="B5843" s="5" t="n">
        <v>44608</v>
      </c>
      <c r="C5843" s="13" t="inlineStr">
        <is>
          <t>CPR</t>
        </is>
      </c>
      <c r="D5843" s="13" t="n">
        <v>32</v>
      </c>
      <c r="E5843" s="10">
        <f>IF(D5843&gt;0,VLOOKUP(OPERAC[[#This Row],[COD CART]],[1]!MatrizCortoLargoCyl[#All],3,0),"")</f>
        <v/>
      </c>
      <c r="F5843" s="13" t="inlineStr">
        <is>
          <t>SPWR/CYL/15,00/18-03-22</t>
        </is>
      </c>
      <c r="G5843" s="6" t="n">
        <v>200</v>
      </c>
      <c r="H5843" s="6" t="n">
        <v>-2856.653</v>
      </c>
      <c r="I5843" s="7">
        <f>-H5843/G5843</f>
        <v/>
      </c>
      <c r="J5843" s="11" t="n">
        <v>44628</v>
      </c>
      <c r="K5843" s="6" t="n">
        <v>200</v>
      </c>
      <c r="L5843" s="6" t="n">
        <v>3008.55</v>
      </c>
      <c r="M5843" s="7">
        <f>IF(N5843=0,+L5843+H5843,0)</f>
        <v/>
      </c>
      <c r="N5843" s="7">
        <f>IF((+G5843-K5843)=0,0,+G5843-K5843)</f>
        <v/>
      </c>
      <c r="O5843" s="7">
        <f>IF(N5843=0,0,(L5843+H5843)/-N5843)</f>
        <v/>
      </c>
      <c r="P5843" s="7">
        <f>VLOOKUP(OPERAC[[#This Row],[especie]],[1]!ESPECIES[#All],6,0)</f>
        <v/>
      </c>
      <c r="Q5843" s="7">
        <f>IF(N5843&lt;&gt;0,P5843*N5843,0)</f>
        <v/>
      </c>
      <c r="R5843" s="8">
        <f>IF(Q5843&lt;&gt;0,Q5843+H5843+L5843,0)</f>
        <v/>
      </c>
      <c r="S5843" s="9">
        <f>VLOOKUP(OPERAC[[#This Row],[especie]],[1]!ESPECIES[#Data],9,FALSE)</f>
        <v/>
      </c>
    </row>
    <row r="5844">
      <c r="A5844" s="4" t="n">
        <v>16783</v>
      </c>
      <c r="B5844" s="5" t="n">
        <v>44683</v>
      </c>
      <c r="C5844" s="13" t="inlineStr">
        <is>
          <t>CPR</t>
        </is>
      </c>
      <c r="D5844" s="13" t="n">
        <v>40</v>
      </c>
      <c r="E5844" s="10">
        <f>IF(D5844&gt;0,VLOOKUP(OPERAC[[#This Row],[COD CART]],[1]!MatrizCortoLargoCyl[#All],3,0),"")</f>
        <v/>
      </c>
      <c r="F5844" s="13" t="inlineStr">
        <is>
          <t>BBAR</t>
        </is>
      </c>
      <c r="G5844" s="6" t="n">
        <v>1000</v>
      </c>
      <c r="H5844" s="6" t="n">
        <v>-2860.816</v>
      </c>
      <c r="I5844" s="7">
        <f>-H5844/G5844</f>
        <v/>
      </c>
      <c r="J5844" s="11" t="n"/>
      <c r="K5844" s="6" t="n"/>
      <c r="L5844" s="6" t="n"/>
      <c r="M5844" s="7">
        <f>IF(N5844=0,+L5844+H5844,0)</f>
        <v/>
      </c>
      <c r="N5844" s="7">
        <f>IF((+G5844-K5844)=0,0,+G5844-K5844)</f>
        <v/>
      </c>
      <c r="O5844" s="7">
        <f>IF(N5844=0,0,(L5844+H5844)/-N5844)</f>
        <v/>
      </c>
      <c r="P5844" s="7">
        <f>VLOOKUP(OPERAC[[#This Row],[especie]],[1]!ESPECIES[#All],6,0)</f>
        <v/>
      </c>
      <c r="Q5844" s="7">
        <f>IF(N5844&lt;&gt;0,P5844*N5844,0)</f>
        <v/>
      </c>
      <c r="R5844" s="8">
        <f>IF(Q5844&lt;&gt;0,Q5844+H5844+L5844,0)</f>
        <v/>
      </c>
      <c r="S5844" s="9">
        <f>VLOOKUP(OPERAC[[#This Row],[especie]],[1]!ESPECIES[#Data],9,FALSE)</f>
        <v/>
      </c>
    </row>
    <row r="5845">
      <c r="A5845" s="4" t="n">
        <v>16783</v>
      </c>
      <c r="B5845" s="5" t="n">
        <v>44608</v>
      </c>
      <c r="C5845" s="13" t="inlineStr">
        <is>
          <t>CPR</t>
        </is>
      </c>
      <c r="D5845" s="13" t="n">
        <v>32</v>
      </c>
      <c r="E5845" s="10">
        <f>IF(D5845&gt;0,VLOOKUP(OPERAC[[#This Row],[COD CART]],[1]!MatrizCortoLargoCyl[#All],3,0),"")</f>
        <v/>
      </c>
      <c r="F5845" s="13" t="inlineStr">
        <is>
          <t>SPWR/CYL/15,00/18-03-22</t>
        </is>
      </c>
      <c r="G5845" s="6" t="n">
        <v>200</v>
      </c>
      <c r="H5845" s="6" t="n">
        <v>-2868.212</v>
      </c>
      <c r="I5845" s="7">
        <f>-H5845/G5845</f>
        <v/>
      </c>
      <c r="J5845" s="11" t="n">
        <v>44628</v>
      </c>
      <c r="K5845" s="6" t="n">
        <v>200</v>
      </c>
      <c r="L5845" s="6" t="n">
        <v>3008.55</v>
      </c>
      <c r="M5845" s="7">
        <f>IF(N5845=0,+L5845+H5845,0)</f>
        <v/>
      </c>
      <c r="N5845" s="7">
        <f>IF((+G5845-K5845)=0,0,+G5845-K5845)</f>
        <v/>
      </c>
      <c r="O5845" s="7">
        <f>IF(N5845=0,0,(L5845+H5845)/-N5845)</f>
        <v/>
      </c>
      <c r="P5845" s="7">
        <f>VLOOKUP(OPERAC[[#This Row],[especie]],[1]!ESPECIES[#All],6,0)</f>
        <v/>
      </c>
      <c r="Q5845" s="7">
        <f>IF(N5845&lt;&gt;0,P5845*N5845,0)</f>
        <v/>
      </c>
      <c r="R5845" s="8">
        <f>IF(Q5845&lt;&gt;0,Q5845+H5845+L5845,0)</f>
        <v/>
      </c>
      <c r="S5845" s="9">
        <f>VLOOKUP(OPERAC[[#This Row],[especie]],[1]!ESPECIES[#Data],9,FALSE)</f>
        <v/>
      </c>
    </row>
    <row r="5846">
      <c r="A5846" s="4" t="n">
        <v>3728</v>
      </c>
      <c r="B5846" s="5" t="n">
        <v>44662</v>
      </c>
      <c r="C5846" s="13" t="inlineStr">
        <is>
          <t>CPR</t>
        </is>
      </c>
      <c r="D5846" s="13" t="n">
        <v>40</v>
      </c>
      <c r="E5846" s="10">
        <f>IF(D5846&gt;0,VLOOKUP(OPERAC[[#This Row],[COD CART]],[1]!MatrizCortoLargoCyl[#All],3,0),"")</f>
        <v/>
      </c>
      <c r="F5846" s="13" t="inlineStr">
        <is>
          <t>MSFT</t>
        </is>
      </c>
      <c r="G5846" s="6" t="n">
        <v>10</v>
      </c>
      <c r="H5846" s="6" t="n">
        <v>-2879.6758</v>
      </c>
      <c r="I5846" s="7">
        <f>-H5846/G5846</f>
        <v/>
      </c>
      <c r="J5846" s="11" t="n">
        <v>44671</v>
      </c>
      <c r="K5846" s="6" t="n">
        <v>10</v>
      </c>
      <c r="L5846" s="6" t="n">
        <v>2869.727</v>
      </c>
      <c r="M5846" s="7">
        <f>IF(N5846=0,+L5846+H5846,0)</f>
        <v/>
      </c>
      <c r="N5846" s="7">
        <f>IF((+G5846-K5846)=0,0,+G5846-K5846)</f>
        <v/>
      </c>
      <c r="O5846" s="7">
        <f>IF(N5846=0,0,(L5846+H5846)/-N5846)</f>
        <v/>
      </c>
      <c r="P5846" s="7">
        <f>VLOOKUP(OPERAC[[#This Row],[especie]],[1]!ESPECIES[#All],6,0)</f>
        <v/>
      </c>
      <c r="Q5846" s="7">
        <f>IF(N5846&lt;&gt;0,P5846*N5846,0)</f>
        <v/>
      </c>
      <c r="R5846" s="8">
        <f>IF(Q5846&lt;&gt;0,Q5846+H5846+L5846,0)</f>
        <v/>
      </c>
      <c r="S5846" s="9">
        <f>VLOOKUP(OPERAC[[#This Row],[especie]],[1]!ESPECIES[#Data],9,FALSE)</f>
        <v/>
      </c>
    </row>
    <row r="5847">
      <c r="A5847" s="4" t="n">
        <v>10079</v>
      </c>
      <c r="B5847" s="5" t="n">
        <v>44608</v>
      </c>
      <c r="C5847" s="13" t="inlineStr">
        <is>
          <t>CPR</t>
        </is>
      </c>
      <c r="D5847" s="13" t="n">
        <v>32</v>
      </c>
      <c r="E5847" s="10">
        <f>IF(D5847&gt;0,VLOOKUP(OPERAC[[#This Row],[COD CART]],[1]!MatrizCortoLargoCyl[#All],3,0),"")</f>
        <v/>
      </c>
      <c r="F5847" s="13" t="inlineStr">
        <is>
          <t>SPWR/CYL/15,00/18-03-22</t>
        </is>
      </c>
      <c r="G5847" s="6" t="n">
        <v>200</v>
      </c>
      <c r="H5847" s="6" t="n">
        <v>-2883.624</v>
      </c>
      <c r="I5847" s="7">
        <f>-H5847/G5847</f>
        <v/>
      </c>
      <c r="J5847" s="11" t="n">
        <v>44628</v>
      </c>
      <c r="K5847" s="6" t="n">
        <v>200</v>
      </c>
      <c r="L5847" s="6" t="n">
        <v>3008.55</v>
      </c>
      <c r="M5847" s="7">
        <f>IF(N5847=0,+L5847+H5847,0)</f>
        <v/>
      </c>
      <c r="N5847" s="7">
        <f>IF((+G5847-K5847)=0,0,+G5847-K5847)</f>
        <v/>
      </c>
      <c r="O5847" s="7">
        <f>IF(N5847=0,0,(L5847+H5847)/-N5847)</f>
        <v/>
      </c>
      <c r="P5847" s="7">
        <f>VLOOKUP(OPERAC[[#This Row],[especie]],[1]!ESPECIES[#All],6,0)</f>
        <v/>
      </c>
      <c r="Q5847" s="7">
        <f>IF(N5847&lt;&gt;0,P5847*N5847,0)</f>
        <v/>
      </c>
      <c r="R5847" s="8">
        <f>IF(Q5847&lt;&gt;0,Q5847+H5847+L5847,0)</f>
        <v/>
      </c>
      <c r="S5847" s="9">
        <f>VLOOKUP(OPERAC[[#This Row],[especie]],[1]!ESPECIES[#Data],9,FALSE)</f>
        <v/>
      </c>
    </row>
    <row r="5848">
      <c r="A5848" s="4" t="n">
        <v>13185</v>
      </c>
      <c r="B5848" s="5" t="n">
        <v>44608</v>
      </c>
      <c r="C5848" s="13" t="inlineStr">
        <is>
          <t>CPR</t>
        </is>
      </c>
      <c r="D5848" s="13" t="n">
        <v>32</v>
      </c>
      <c r="E5848" s="10">
        <f>IF(D5848&gt;0,VLOOKUP(OPERAC[[#This Row],[COD CART]],[1]!MatrizCortoLargoCyl[#All],3,0),"")</f>
        <v/>
      </c>
      <c r="F5848" s="13" t="inlineStr">
        <is>
          <t>SPWR/CYL/15,00/18-03-22</t>
        </is>
      </c>
      <c r="G5848" s="6" t="n">
        <v>200</v>
      </c>
      <c r="H5848" s="6" t="n">
        <v>-2883.624</v>
      </c>
      <c r="I5848" s="7">
        <f>-H5848/G5848</f>
        <v/>
      </c>
      <c r="J5848" s="11" t="n">
        <v>44628</v>
      </c>
      <c r="K5848" s="6" t="n">
        <v>200</v>
      </c>
      <c r="L5848" s="6" t="n">
        <v>3008.55</v>
      </c>
      <c r="M5848" s="7">
        <f>IF(N5848=0,+L5848+H5848,0)</f>
        <v/>
      </c>
      <c r="N5848" s="7">
        <f>IF((+G5848-K5848)=0,0,+G5848-K5848)</f>
        <v/>
      </c>
      <c r="O5848" s="7">
        <f>IF(N5848=0,0,(L5848+H5848)/-N5848)</f>
        <v/>
      </c>
      <c r="P5848" s="7">
        <f>VLOOKUP(OPERAC[[#This Row],[especie]],[1]!ESPECIES[#All],6,0)</f>
        <v/>
      </c>
      <c r="Q5848" s="7">
        <f>IF(N5848&lt;&gt;0,P5848*N5848,0)</f>
        <v/>
      </c>
      <c r="R5848" s="8">
        <f>IF(Q5848&lt;&gt;0,Q5848+H5848+L5848,0)</f>
        <v/>
      </c>
      <c r="S5848" s="9">
        <f>VLOOKUP(OPERAC[[#This Row],[especie]],[1]!ESPECIES[#Data],9,FALSE)</f>
        <v/>
      </c>
    </row>
    <row r="5849">
      <c r="A5849" s="4" t="n">
        <v>13240</v>
      </c>
      <c r="B5849" s="5" t="n">
        <v>44608</v>
      </c>
      <c r="C5849" s="13" t="inlineStr">
        <is>
          <t>CPR</t>
        </is>
      </c>
      <c r="D5849" s="13" t="n">
        <v>32</v>
      </c>
      <c r="E5849" s="10">
        <f>IF(D5849&gt;0,VLOOKUP(OPERAC[[#This Row],[COD CART]],[1]!MatrizCortoLargoCyl[#All],3,0),"")</f>
        <v/>
      </c>
      <c r="F5849" s="13" t="inlineStr">
        <is>
          <t>SPWR/CYL/15,00/18-03-22</t>
        </is>
      </c>
      <c r="G5849" s="6" t="n">
        <v>200</v>
      </c>
      <c r="H5849" s="6" t="n">
        <v>-2883.624</v>
      </c>
      <c r="I5849" s="7">
        <f>-H5849/G5849</f>
        <v/>
      </c>
      <c r="J5849" s="11" t="n">
        <v>44628</v>
      </c>
      <c r="K5849" s="6" t="n">
        <v>200</v>
      </c>
      <c r="L5849" s="6" t="n">
        <v>3008.55</v>
      </c>
      <c r="M5849" s="7">
        <f>IF(N5849=0,+L5849+H5849,0)</f>
        <v/>
      </c>
      <c r="N5849" s="7">
        <f>IF((+G5849-K5849)=0,0,+G5849-K5849)</f>
        <v/>
      </c>
      <c r="O5849" s="7">
        <f>IF(N5849=0,0,(L5849+H5849)/-N5849)</f>
        <v/>
      </c>
      <c r="P5849" s="7">
        <f>VLOOKUP(OPERAC[[#This Row],[especie]],[1]!ESPECIES[#All],6,0)</f>
        <v/>
      </c>
      <c r="Q5849" s="7">
        <f>IF(N5849&lt;&gt;0,P5849*N5849,0)</f>
        <v/>
      </c>
      <c r="R5849" s="8">
        <f>IF(Q5849&lt;&gt;0,Q5849+H5849+L5849,0)</f>
        <v/>
      </c>
      <c r="S5849" s="9">
        <f>VLOOKUP(OPERAC[[#This Row],[especie]],[1]!ESPECIES[#Data],9,FALSE)</f>
        <v/>
      </c>
    </row>
    <row r="5850">
      <c r="A5850" s="4" t="n">
        <v>15189</v>
      </c>
      <c r="B5850" s="5" t="n">
        <v>44608</v>
      </c>
      <c r="C5850" s="13" t="inlineStr">
        <is>
          <t>CPR</t>
        </is>
      </c>
      <c r="D5850" s="13" t="n">
        <v>32</v>
      </c>
      <c r="E5850" s="10">
        <f>IF(D5850&gt;0,VLOOKUP(OPERAC[[#This Row],[COD CART]],[1]!MatrizCortoLargoCyl[#All],3,0),"")</f>
        <v/>
      </c>
      <c r="F5850" s="13" t="inlineStr">
        <is>
          <t>SPWR/CYL/15,00/18-03-22</t>
        </is>
      </c>
      <c r="G5850" s="6" t="n">
        <v>200</v>
      </c>
      <c r="H5850" s="6" t="n">
        <v>-2883.624</v>
      </c>
      <c r="I5850" s="7">
        <f>-H5850/G5850</f>
        <v/>
      </c>
      <c r="J5850" s="11" t="n">
        <v>44628</v>
      </c>
      <c r="K5850" s="6" t="n">
        <v>200</v>
      </c>
      <c r="L5850" s="6" t="n">
        <v>3008.55</v>
      </c>
      <c r="M5850" s="7">
        <f>IF(N5850=0,+L5850+H5850,0)</f>
        <v/>
      </c>
      <c r="N5850" s="7">
        <f>IF((+G5850-K5850)=0,0,+G5850-K5850)</f>
        <v/>
      </c>
      <c r="O5850" s="7">
        <f>IF(N5850=0,0,(L5850+H5850)/-N5850)</f>
        <v/>
      </c>
      <c r="P5850" s="7">
        <f>VLOOKUP(OPERAC[[#This Row],[especie]],[1]!ESPECIES[#All],6,0)</f>
        <v/>
      </c>
      <c r="Q5850" s="7">
        <f>IF(N5850&lt;&gt;0,P5850*N5850,0)</f>
        <v/>
      </c>
      <c r="R5850" s="8">
        <f>IF(Q5850&lt;&gt;0,Q5850+H5850+L5850,0)</f>
        <v/>
      </c>
      <c r="S5850" s="9">
        <f>VLOOKUP(OPERAC[[#This Row],[especie]],[1]!ESPECIES[#Data],9,FALSE)</f>
        <v/>
      </c>
    </row>
    <row r="5851">
      <c r="A5851" s="4" t="n">
        <v>15194</v>
      </c>
      <c r="B5851" s="5" t="n">
        <v>44608</v>
      </c>
      <c r="C5851" s="13" t="inlineStr">
        <is>
          <t>CPR</t>
        </is>
      </c>
      <c r="D5851" s="13" t="n">
        <v>32</v>
      </c>
      <c r="E5851" s="10">
        <f>IF(D5851&gt;0,VLOOKUP(OPERAC[[#This Row],[COD CART]],[1]!MatrizCortoLargoCyl[#All],3,0),"")</f>
        <v/>
      </c>
      <c r="F5851" s="13" t="inlineStr">
        <is>
          <t>SPWR/CYL/15,00/18-03-22</t>
        </is>
      </c>
      <c r="G5851" s="6" t="n">
        <v>200</v>
      </c>
      <c r="H5851" s="6" t="n">
        <v>-2883.624</v>
      </c>
      <c r="I5851" s="7">
        <f>-H5851/G5851</f>
        <v/>
      </c>
      <c r="J5851" s="11" t="n">
        <v>44628</v>
      </c>
      <c r="K5851" s="6" t="n">
        <v>200</v>
      </c>
      <c r="L5851" s="6" t="n">
        <v>3008.55</v>
      </c>
      <c r="M5851" s="7">
        <f>IF(N5851=0,+L5851+H5851,0)</f>
        <v/>
      </c>
      <c r="N5851" s="7">
        <f>IF((+G5851-K5851)=0,0,+G5851-K5851)</f>
        <v/>
      </c>
      <c r="O5851" s="7">
        <f>IF(N5851=0,0,(L5851+H5851)/-N5851)</f>
        <v/>
      </c>
      <c r="P5851" s="7">
        <f>VLOOKUP(OPERAC[[#This Row],[especie]],[1]!ESPECIES[#All],6,0)</f>
        <v/>
      </c>
      <c r="Q5851" s="7">
        <f>IF(N5851&lt;&gt;0,P5851*N5851,0)</f>
        <v/>
      </c>
      <c r="R5851" s="8">
        <f>IF(Q5851&lt;&gt;0,Q5851+H5851+L5851,0)</f>
        <v/>
      </c>
      <c r="S5851" s="9">
        <f>VLOOKUP(OPERAC[[#This Row],[especie]],[1]!ESPECIES[#Data],9,FALSE)</f>
        <v/>
      </c>
    </row>
    <row r="5852">
      <c r="A5852" s="4" t="n">
        <v>15195</v>
      </c>
      <c r="B5852" s="5" t="n">
        <v>44608</v>
      </c>
      <c r="C5852" s="13" t="inlineStr">
        <is>
          <t>CPR</t>
        </is>
      </c>
      <c r="D5852" s="13" t="n">
        <v>32</v>
      </c>
      <c r="E5852" s="10">
        <f>IF(D5852&gt;0,VLOOKUP(OPERAC[[#This Row],[COD CART]],[1]!MatrizCortoLargoCyl[#All],3,0),"")</f>
        <v/>
      </c>
      <c r="F5852" s="13" t="inlineStr">
        <is>
          <t>SPWR/CYL/15,00/18-03-22</t>
        </is>
      </c>
      <c r="G5852" s="6" t="n">
        <v>200</v>
      </c>
      <c r="H5852" s="6" t="n">
        <v>-2883.624</v>
      </c>
      <c r="I5852" s="7">
        <f>-H5852/G5852</f>
        <v/>
      </c>
      <c r="J5852" s="11" t="n">
        <v>44628</v>
      </c>
      <c r="K5852" s="6" t="n">
        <v>200</v>
      </c>
      <c r="L5852" s="6" t="n">
        <v>3008.55</v>
      </c>
      <c r="M5852" s="7">
        <f>IF(N5852=0,+L5852+H5852,0)</f>
        <v/>
      </c>
      <c r="N5852" s="7">
        <f>IF((+G5852-K5852)=0,0,+G5852-K5852)</f>
        <v/>
      </c>
      <c r="O5852" s="7">
        <f>IF(N5852=0,0,(L5852+H5852)/-N5852)</f>
        <v/>
      </c>
      <c r="P5852" s="7">
        <f>VLOOKUP(OPERAC[[#This Row],[especie]],[1]!ESPECIES[#All],6,0)</f>
        <v/>
      </c>
      <c r="Q5852" s="7">
        <f>IF(N5852&lt;&gt;0,P5852*N5852,0)</f>
        <v/>
      </c>
      <c r="R5852" s="8">
        <f>IF(Q5852&lt;&gt;0,Q5852+H5852+L5852,0)</f>
        <v/>
      </c>
      <c r="S5852" s="9">
        <f>VLOOKUP(OPERAC[[#This Row],[especie]],[1]!ESPECIES[#Data],9,FALSE)</f>
        <v/>
      </c>
    </row>
    <row r="5853">
      <c r="A5853" s="4" t="n">
        <v>16780</v>
      </c>
      <c r="B5853" s="5" t="n">
        <v>44608</v>
      </c>
      <c r="C5853" s="13" t="inlineStr">
        <is>
          <t>CPR</t>
        </is>
      </c>
      <c r="D5853" s="13" t="n">
        <v>32</v>
      </c>
      <c r="E5853" s="10">
        <f>IF(D5853&gt;0,VLOOKUP(OPERAC[[#This Row],[COD CART]],[1]!MatrizCortoLargoCyl[#All],3,0),"")</f>
        <v/>
      </c>
      <c r="F5853" s="13" t="inlineStr">
        <is>
          <t>SPWR/CYL/15,00/18-03-22</t>
        </is>
      </c>
      <c r="G5853" s="6" t="n">
        <v>200</v>
      </c>
      <c r="H5853" s="6" t="n">
        <v>-2883.624</v>
      </c>
      <c r="I5853" s="7">
        <f>-H5853/G5853</f>
        <v/>
      </c>
      <c r="J5853" s="11" t="n">
        <v>44628</v>
      </c>
      <c r="K5853" s="6" t="n">
        <v>200</v>
      </c>
      <c r="L5853" s="6" t="n">
        <v>3008.55</v>
      </c>
      <c r="M5853" s="7">
        <f>IF(N5853=0,+L5853+H5853,0)</f>
        <v/>
      </c>
      <c r="N5853" s="7">
        <f>IF((+G5853-K5853)=0,0,+G5853-K5853)</f>
        <v/>
      </c>
      <c r="O5853" s="7">
        <f>IF(N5853=0,0,(L5853+H5853)/-N5853)</f>
        <v/>
      </c>
      <c r="P5853" s="7">
        <f>VLOOKUP(OPERAC[[#This Row],[especie]],[1]!ESPECIES[#All],6,0)</f>
        <v/>
      </c>
      <c r="Q5853" s="7">
        <f>IF(N5853&lt;&gt;0,P5853*N5853,0)</f>
        <v/>
      </c>
      <c r="R5853" s="8">
        <f>IF(Q5853&lt;&gt;0,Q5853+H5853+L5853,0)</f>
        <v/>
      </c>
      <c r="S5853" s="9">
        <f>VLOOKUP(OPERAC[[#This Row],[especie]],[1]!ESPECIES[#Data],9,FALSE)</f>
        <v/>
      </c>
    </row>
    <row r="5854">
      <c r="A5854" s="4" t="n">
        <v>3021</v>
      </c>
      <c r="B5854" s="5" t="n">
        <v>44622</v>
      </c>
      <c r="C5854" s="13" t="inlineStr">
        <is>
          <t>CPR</t>
        </is>
      </c>
      <c r="D5854" s="13" t="n">
        <v>32</v>
      </c>
      <c r="E5854" s="10">
        <f>IF(D5854&gt;0,VLOOKUP(OPERAC[[#This Row],[COD CART]],[1]!MatrizCortoLargoCyl[#All],3,0),"")</f>
        <v/>
      </c>
      <c r="F5854" s="13" t="inlineStr">
        <is>
          <t>AMC/CYL/16,00/14-04-22</t>
        </is>
      </c>
      <c r="G5854" s="6" t="n">
        <v>200</v>
      </c>
      <c r="H5854" s="6" t="n">
        <v>-2890.6306</v>
      </c>
      <c r="I5854" s="7">
        <f>-H5854/G5854</f>
        <v/>
      </c>
      <c r="J5854" s="11" t="n">
        <v>44648</v>
      </c>
      <c r="K5854" s="6" t="n">
        <v>200</v>
      </c>
      <c r="L5854" s="6" t="n">
        <v>3163.55</v>
      </c>
      <c r="M5854" s="7">
        <f>IF(N5854=0,+L5854+H5854,0)</f>
        <v/>
      </c>
      <c r="N5854" s="7">
        <f>IF((+G5854-K5854)=0,0,+G5854-K5854)</f>
        <v/>
      </c>
      <c r="O5854" s="7">
        <f>IF(N5854=0,0,(L5854+H5854)/-N5854)</f>
        <v/>
      </c>
      <c r="P5854" s="7">
        <f>VLOOKUP(OPERAC[[#This Row],[especie]],[1]!ESPECIES[#All],6,0)</f>
        <v/>
      </c>
      <c r="Q5854" s="7">
        <f>IF(N5854&lt;&gt;0,P5854*N5854,0)</f>
        <v/>
      </c>
      <c r="R5854" s="8">
        <f>IF(Q5854&lt;&gt;0,Q5854+H5854+L5854,0)</f>
        <v/>
      </c>
      <c r="S5854" s="9">
        <f>VLOOKUP(OPERAC[[#This Row],[especie]],[1]!ESPECIES[#Data],9,FALSE)</f>
        <v/>
      </c>
    </row>
    <row r="5855">
      <c r="A5855" s="4" t="n">
        <v>3835</v>
      </c>
      <c r="B5855" s="5" t="n">
        <v>44622</v>
      </c>
      <c r="C5855" s="13" t="inlineStr">
        <is>
          <t>CPR</t>
        </is>
      </c>
      <c r="D5855" s="13" t="n">
        <v>32</v>
      </c>
      <c r="E5855" s="10">
        <f>IF(D5855&gt;0,VLOOKUP(OPERAC[[#This Row],[COD CART]],[1]!MatrizCortoLargoCyl[#All],3,0),"")</f>
        <v/>
      </c>
      <c r="F5855" s="13" t="inlineStr">
        <is>
          <t>AMC/CYL/16,00/14-04-22</t>
        </is>
      </c>
      <c r="G5855" s="6" t="n">
        <v>200</v>
      </c>
      <c r="H5855" s="6" t="n">
        <v>-2890.6306</v>
      </c>
      <c r="I5855" s="7">
        <f>-H5855/G5855</f>
        <v/>
      </c>
      <c r="J5855" s="11" t="n">
        <v>44648</v>
      </c>
      <c r="K5855" s="6" t="n">
        <v>200</v>
      </c>
      <c r="L5855" s="6" t="n">
        <v>3163.55</v>
      </c>
      <c r="M5855" s="7">
        <f>IF(N5855=0,+L5855+H5855,0)</f>
        <v/>
      </c>
      <c r="N5855" s="7">
        <f>IF((+G5855-K5855)=0,0,+G5855-K5855)</f>
        <v/>
      </c>
      <c r="O5855" s="7">
        <f>IF(N5855=0,0,(L5855+H5855)/-N5855)</f>
        <v/>
      </c>
      <c r="P5855" s="7">
        <f>VLOOKUP(OPERAC[[#This Row],[especie]],[1]!ESPECIES[#All],6,0)</f>
        <v/>
      </c>
      <c r="Q5855" s="7">
        <f>IF(N5855&lt;&gt;0,P5855*N5855,0)</f>
        <v/>
      </c>
      <c r="R5855" s="8">
        <f>IF(Q5855&lt;&gt;0,Q5855+H5855+L5855,0)</f>
        <v/>
      </c>
      <c r="S5855" s="9">
        <f>VLOOKUP(OPERAC[[#This Row],[especie]],[1]!ESPECIES[#Data],9,FALSE)</f>
        <v/>
      </c>
    </row>
    <row r="5856">
      <c r="A5856" s="4" t="n">
        <v>15189</v>
      </c>
      <c r="B5856" s="5" t="n">
        <v>44533</v>
      </c>
      <c r="C5856" s="13" t="inlineStr">
        <is>
          <t>CPR</t>
        </is>
      </c>
      <c r="D5856" s="13" t="n">
        <v>32</v>
      </c>
      <c r="E5856" s="10">
        <f>IF(D5856&gt;0,VLOOKUP(OPERAC[[#This Row],[COD CART]],[1]!MatrizCortoLargoCyl[#All],3,0),"")</f>
        <v/>
      </c>
      <c r="F5856" s="13" t="inlineStr">
        <is>
          <t>INO/CYL/8,00/18-02-22</t>
        </is>
      </c>
      <c r="G5856" s="6" t="n">
        <v>500</v>
      </c>
      <c r="H5856" s="6">
        <f>-5.87*OPERAC[[#This Row],[cantidad]]+23.536</f>
        <v/>
      </c>
      <c r="I5856" s="7">
        <f>-H5856/G5856</f>
        <v/>
      </c>
      <c r="J5856" s="11" t="n">
        <v>44594</v>
      </c>
      <c r="K5856" s="6">
        <f>200+300</f>
        <v/>
      </c>
      <c r="L5856" s="6">
        <f>771.343+1070.708</f>
        <v/>
      </c>
      <c r="M5856" s="7">
        <f>IF(N5856=0,+L5856+H5856,0)</f>
        <v/>
      </c>
      <c r="N5856" s="7">
        <f>IF((+G5856-K5856)=0,0,+G5856-K5856)</f>
        <v/>
      </c>
      <c r="O5856" s="7">
        <f>IF(N5856=0,0,(L5856+H5856)/-N5856)</f>
        <v/>
      </c>
      <c r="P5856" s="7">
        <f>VLOOKUP(OPERAC[[#This Row],[especie]],[1]!ESPECIES[#All],6,0)</f>
        <v/>
      </c>
      <c r="Q5856" s="7">
        <f>IF(N5856&lt;&gt;0,P5856*N5856,0)</f>
        <v/>
      </c>
      <c r="R5856" s="8">
        <f>IF(Q5856&lt;&gt;0,Q5856+H5856+L5856,0)</f>
        <v/>
      </c>
      <c r="S5856" s="9">
        <f>VLOOKUP(OPERAC[[#This Row],[especie]],[1]!ESPECIES[#Data],9,FALSE)</f>
        <v/>
      </c>
    </row>
    <row r="5857">
      <c r="A5857" s="4" t="n">
        <v>19878</v>
      </c>
      <c r="B5857" s="5" t="n">
        <v>44533</v>
      </c>
      <c r="C5857" s="13" t="inlineStr">
        <is>
          <t>CPR</t>
        </is>
      </c>
      <c r="D5857" s="13" t="n">
        <v>32</v>
      </c>
      <c r="E5857" s="10">
        <f>IF(D5857&gt;0,VLOOKUP(OPERAC[[#This Row],[COD CART]],[1]!MatrizCortoLargoCyl[#All],3,0),"")</f>
        <v/>
      </c>
      <c r="F5857" s="13" t="inlineStr">
        <is>
          <t>INO/CYL/8,00/18-02-22</t>
        </is>
      </c>
      <c r="G5857" s="6" t="n">
        <v>500</v>
      </c>
      <c r="H5857" s="6">
        <f>-5.87*OPERAC[[#This Row],[cantidad]]+23.536</f>
        <v/>
      </c>
      <c r="I5857" s="7">
        <f>-H5857/G5857</f>
        <v/>
      </c>
      <c r="J5857" s="11" t="n">
        <v>44594</v>
      </c>
      <c r="K5857" s="6">
        <f>300+200</f>
        <v/>
      </c>
      <c r="L5857" s="6">
        <f>1157.015+366</f>
        <v/>
      </c>
      <c r="M5857" s="7">
        <f>IF(N5857=0,+L5857+H5857,0)</f>
        <v/>
      </c>
      <c r="N5857" s="7">
        <f>IF((+G5857-K5857)=0,0,+G5857-K5857)</f>
        <v/>
      </c>
      <c r="O5857" s="7">
        <f>IF(N5857=0,0,(L5857+H5857)/-N5857)</f>
        <v/>
      </c>
      <c r="P5857" s="7">
        <f>VLOOKUP(OPERAC[[#This Row],[especie]],[1]!ESPECIES[#All],6,0)</f>
        <v/>
      </c>
      <c r="Q5857" s="7">
        <f>IF(N5857&lt;&gt;0,P5857*N5857,0)</f>
        <v/>
      </c>
      <c r="R5857" s="8">
        <f>IF(Q5857&lt;&gt;0,Q5857+H5857+L5857,0)</f>
        <v/>
      </c>
      <c r="S5857" s="9">
        <f>VLOOKUP(OPERAC[[#This Row],[especie]],[1]!ESPECIES[#Data],9,FALSE)</f>
        <v/>
      </c>
    </row>
    <row r="5858">
      <c r="A5858" s="4" t="n">
        <v>10079</v>
      </c>
      <c r="B5858" s="5" t="n">
        <v>44622</v>
      </c>
      <c r="C5858" s="13" t="inlineStr">
        <is>
          <t>CPR</t>
        </is>
      </c>
      <c r="D5858" s="13" t="n">
        <v>32</v>
      </c>
      <c r="E5858" s="10">
        <f>IF(D5858&gt;0,VLOOKUP(OPERAC[[#This Row],[COD CART]],[1]!MatrizCortoLargoCyl[#All],3,0),"")</f>
        <v/>
      </c>
      <c r="F5858" s="13" t="inlineStr">
        <is>
          <t>AMC/CYL/16,00/14-04-22</t>
        </is>
      </c>
      <c r="G5858" s="6" t="n">
        <v>200</v>
      </c>
      <c r="H5858" s="6" t="n">
        <v>-2921.7372</v>
      </c>
      <c r="I5858" s="7">
        <f>-H5858/G5858</f>
        <v/>
      </c>
      <c r="J5858" s="11" t="n">
        <v>44648</v>
      </c>
      <c r="K5858" s="6" t="n">
        <v>200</v>
      </c>
      <c r="L5858" s="6" t="n">
        <v>3163.55</v>
      </c>
      <c r="M5858" s="7">
        <f>IF(N5858=0,+L5858+H5858,0)</f>
        <v/>
      </c>
      <c r="N5858" s="7">
        <f>IF((+G5858-K5858)=0,0,+G5858-K5858)</f>
        <v/>
      </c>
      <c r="O5858" s="7">
        <f>IF(N5858=0,0,(L5858+H5858)/-N5858)</f>
        <v/>
      </c>
      <c r="P5858" s="7">
        <f>VLOOKUP(OPERAC[[#This Row],[especie]],[1]!ESPECIES[#All],6,0)</f>
        <v/>
      </c>
      <c r="Q5858" s="7">
        <f>IF(N5858&lt;&gt;0,P5858*N5858,0)</f>
        <v/>
      </c>
      <c r="R5858" s="8">
        <f>IF(Q5858&lt;&gt;0,Q5858+H5858+L5858,0)</f>
        <v/>
      </c>
      <c r="S5858" s="9">
        <f>VLOOKUP(OPERAC[[#This Row],[especie]],[1]!ESPECIES[#Data],9,FALSE)</f>
        <v/>
      </c>
    </row>
    <row r="5859">
      <c r="A5859" s="4" t="n">
        <v>16780</v>
      </c>
      <c r="B5859" s="5" t="n">
        <v>44622</v>
      </c>
      <c r="C5859" s="13" t="inlineStr">
        <is>
          <t>CPR</t>
        </is>
      </c>
      <c r="D5859" s="13" t="n">
        <v>32</v>
      </c>
      <c r="E5859" s="10">
        <f>IF(D5859&gt;0,VLOOKUP(OPERAC[[#This Row],[COD CART]],[1]!MatrizCortoLargoCyl[#All],3,0),"")</f>
        <v/>
      </c>
      <c r="F5859" s="13" t="inlineStr">
        <is>
          <t>AMC/CYL/16,00/14-04-22</t>
        </is>
      </c>
      <c r="G5859" s="6" t="n">
        <v>200</v>
      </c>
      <c r="H5859" s="6" t="n">
        <v>-2921.7372</v>
      </c>
      <c r="I5859" s="7">
        <f>-H5859/G5859</f>
        <v/>
      </c>
      <c r="J5859" s="11" t="n">
        <v>44648</v>
      </c>
      <c r="K5859" s="6" t="n">
        <v>200</v>
      </c>
      <c r="L5859" s="6" t="n">
        <v>3163.55</v>
      </c>
      <c r="M5859" s="7">
        <f>IF(N5859=0,+L5859+H5859,0)</f>
        <v/>
      </c>
      <c r="N5859" s="7">
        <f>IF((+G5859-K5859)=0,0,+G5859-K5859)</f>
        <v/>
      </c>
      <c r="O5859" s="7">
        <f>IF(N5859=0,0,(L5859+H5859)/-N5859)</f>
        <v/>
      </c>
      <c r="P5859" s="7">
        <f>VLOOKUP(OPERAC[[#This Row],[especie]],[1]!ESPECIES[#All],6,0)</f>
        <v/>
      </c>
      <c r="Q5859" s="7">
        <f>IF(N5859&lt;&gt;0,P5859*N5859,0)</f>
        <v/>
      </c>
      <c r="R5859" s="8">
        <f>IF(Q5859&lt;&gt;0,Q5859+H5859+L5859,0)</f>
        <v/>
      </c>
      <c r="S5859" s="9">
        <f>VLOOKUP(OPERAC[[#This Row],[especie]],[1]!ESPECIES[#Data],9,FALSE)</f>
        <v/>
      </c>
    </row>
    <row r="5860">
      <c r="A5860" s="4" t="n">
        <v>2218</v>
      </c>
      <c r="B5860" s="5" t="n">
        <v>44550</v>
      </c>
      <c r="C5860" s="13" t="inlineStr">
        <is>
          <t>CPR</t>
        </is>
      </c>
      <c r="D5860" s="13" t="n">
        <v>40</v>
      </c>
      <c r="E5860" s="10">
        <f>IF(D5860&gt;0,VLOOKUP(OPERAC[[#This Row],[COD CART]],[1]!MatrizCortoLargoCyl[#All],3,0),"")</f>
        <v/>
      </c>
      <c r="F5860" s="13" t="inlineStr">
        <is>
          <t>SMH</t>
        </is>
      </c>
      <c r="G5860" s="6" t="n">
        <v>10</v>
      </c>
      <c r="H5860" s="6" t="n">
        <v>-2928.0652</v>
      </c>
      <c r="I5860" s="7">
        <f>-H5860/G5860</f>
        <v/>
      </c>
      <c r="J5860" s="11" t="n">
        <v>44574</v>
      </c>
      <c r="K5860" s="6">
        <f>+OPERAC[[#This Row],[cantidad]]</f>
        <v/>
      </c>
      <c r="L5860" s="6">
        <f>+OPERAC[[#This Row],[cantidad venta]]*306.843</f>
        <v/>
      </c>
      <c r="M5860" s="7">
        <f>IF(N5860=0,+L5860+H5860,0)</f>
        <v/>
      </c>
      <c r="N5860" s="7">
        <f>IF((+G5860-K5860)=0,0,+G5860-K5860)</f>
        <v/>
      </c>
      <c r="O5860" s="7">
        <f>IF(N5860=0,0,(L5860+H5860)/-N5860)</f>
        <v/>
      </c>
      <c r="P5860" s="7">
        <f>VLOOKUP(OPERAC[[#This Row],[especie]],[1]!ESPECIES[#All],6,0)</f>
        <v/>
      </c>
      <c r="Q5860" s="7">
        <f>IF(N5860&lt;&gt;0,P5860*N5860,0)</f>
        <v/>
      </c>
      <c r="R5860" s="8">
        <f>IF(Q5860&lt;&gt;0,Q5860+H5860+L5860,0)</f>
        <v/>
      </c>
      <c r="S5860" s="9">
        <f>VLOOKUP(OPERAC[[#This Row],[especie]],[1]!ESPECIES[#Data],9,FALSE)</f>
        <v/>
      </c>
    </row>
    <row r="5861">
      <c r="A5861" s="4" t="n">
        <v>1760</v>
      </c>
      <c r="B5861" s="5" t="n">
        <v>44680</v>
      </c>
      <c r="C5861" s="13" t="inlineStr">
        <is>
          <t>CPR</t>
        </is>
      </c>
      <c r="D5861" s="13" t="n">
        <v>42</v>
      </c>
      <c r="E5861" s="10">
        <f>IF(D5861&gt;0,VLOOKUP(OPERAC[[#This Row],[COD CART]],[1]!MatrizCortoLargoCyl[#All],3,0),"")</f>
        <v/>
      </c>
      <c r="F5861" s="14" t="inlineStr">
        <is>
          <t>XLP</t>
        </is>
      </c>
      <c r="G5861" s="6" t="n">
        <v>37</v>
      </c>
      <c r="H5861" s="6" t="n">
        <v>-2939.0765925</v>
      </c>
      <c r="I5861" s="7">
        <f>-H5861/G5861</f>
        <v/>
      </c>
      <c r="J5861" s="11" t="n">
        <v>44704</v>
      </c>
      <c r="K5861" s="6" t="n">
        <v>37</v>
      </c>
      <c r="L5861" s="6" t="n">
        <v>2632.99</v>
      </c>
      <c r="M5861" s="7">
        <f>IF(N5861=0,+L5861+H5861,0)</f>
        <v/>
      </c>
      <c r="N5861" s="7">
        <f>IF((+G5861-K5861)=0,0,+G5861-K5861)</f>
        <v/>
      </c>
      <c r="O5861" s="7">
        <f>IF(N5861=0,0,(L5861+H5861)/-N5861)</f>
        <v/>
      </c>
      <c r="P5861" s="7">
        <f>VLOOKUP(OPERAC[[#This Row],[especie]],[1]!ESPECIES[#All],6,0)</f>
        <v/>
      </c>
      <c r="Q5861" s="7">
        <f>IF(N5861&lt;&gt;0,P5861*N5861,0)</f>
        <v/>
      </c>
      <c r="R5861" s="8">
        <f>IF(Q5861&lt;&gt;0,Q5861+H5861+L5861,0)</f>
        <v/>
      </c>
      <c r="S5861" s="9">
        <f>VLOOKUP(OPERAC[[#This Row],[especie]],[1]!ESPECIES[#Data],9,FALSE)</f>
        <v/>
      </c>
    </row>
    <row r="5862">
      <c r="A5862" s="4" t="n">
        <v>3728</v>
      </c>
      <c r="B5862" s="5" t="n">
        <v>44550</v>
      </c>
      <c r="C5862" s="13" t="inlineStr">
        <is>
          <t>CPR</t>
        </is>
      </c>
      <c r="D5862" s="13" t="n">
        <v>40</v>
      </c>
      <c r="E5862" s="10">
        <f>IF(D5862&gt;0,VLOOKUP(OPERAC[[#This Row],[COD CART]],[1]!MatrizCortoLargoCyl[#All],3,0),"")</f>
        <v/>
      </c>
      <c r="F5862" s="13" t="inlineStr">
        <is>
          <t>SMH</t>
        </is>
      </c>
      <c r="G5862" s="6" t="n">
        <v>10</v>
      </c>
      <c r="H5862" s="6" t="n">
        <v>-2939.7304</v>
      </c>
      <c r="I5862" s="7">
        <f>-H5862/G5862</f>
        <v/>
      </c>
      <c r="J5862" s="11" t="n">
        <v>44574</v>
      </c>
      <c r="K5862" s="6">
        <f>+OPERAC[[#This Row],[cantidad]]</f>
        <v/>
      </c>
      <c r="L5862" s="6">
        <f>+OPERAC[[#This Row],[cantidad venta]]*306.843</f>
        <v/>
      </c>
      <c r="M5862" s="7">
        <f>IF(N5862=0,+L5862+H5862,0)</f>
        <v/>
      </c>
      <c r="N5862" s="7">
        <f>IF((+G5862-K5862)=0,0,+G5862-K5862)</f>
        <v/>
      </c>
      <c r="O5862" s="7">
        <f>IF(N5862=0,0,(L5862+H5862)/-N5862)</f>
        <v/>
      </c>
      <c r="P5862" s="7">
        <f>VLOOKUP(OPERAC[[#This Row],[especie]],[1]!ESPECIES[#All],6,0)</f>
        <v/>
      </c>
      <c r="Q5862" s="7">
        <f>IF(N5862&lt;&gt;0,P5862*N5862,0)</f>
        <v/>
      </c>
      <c r="R5862" s="8">
        <f>IF(Q5862&lt;&gt;0,Q5862+H5862+L5862,0)</f>
        <v/>
      </c>
      <c r="S5862" s="9">
        <f>VLOOKUP(OPERAC[[#This Row],[especie]],[1]!ESPECIES[#Data],9,FALSE)</f>
        <v/>
      </c>
    </row>
    <row r="5863">
      <c r="A5863" s="4" t="n">
        <v>13240</v>
      </c>
      <c r="B5863" s="5" t="n">
        <v>44550</v>
      </c>
      <c r="C5863" s="13" t="inlineStr">
        <is>
          <t>CPR</t>
        </is>
      </c>
      <c r="D5863" s="13" t="n">
        <v>40</v>
      </c>
      <c r="E5863" s="10">
        <f>IF(D5863&gt;0,VLOOKUP(OPERAC[[#This Row],[COD CART]],[1]!MatrizCortoLargoCyl[#All],3,0),"")</f>
        <v/>
      </c>
      <c r="F5863" s="13" t="inlineStr">
        <is>
          <t>SMH</t>
        </is>
      </c>
      <c r="G5863" s="6" t="n">
        <v>10</v>
      </c>
      <c r="H5863" s="6" t="n">
        <v>-2939.7304</v>
      </c>
      <c r="I5863" s="7">
        <f>-H5863/G5863</f>
        <v/>
      </c>
      <c r="J5863" s="11" t="n">
        <v>44574</v>
      </c>
      <c r="K5863" s="6">
        <f>+OPERAC[[#This Row],[cantidad]]</f>
        <v/>
      </c>
      <c r="L5863" s="6">
        <f>+OPERAC[[#This Row],[cantidad venta]]*306.843</f>
        <v/>
      </c>
      <c r="M5863" s="7">
        <f>IF(N5863=0,+L5863+H5863,0)</f>
        <v/>
      </c>
      <c r="N5863" s="7">
        <f>IF((+G5863-K5863)=0,0,+G5863-K5863)</f>
        <v/>
      </c>
      <c r="O5863" s="7">
        <f>IF(N5863=0,0,(L5863+H5863)/-N5863)</f>
        <v/>
      </c>
      <c r="P5863" s="7">
        <f>VLOOKUP(OPERAC[[#This Row],[especie]],[1]!ESPECIES[#All],6,0)</f>
        <v/>
      </c>
      <c r="Q5863" s="7">
        <f>IF(N5863&lt;&gt;0,P5863*N5863,0)</f>
        <v/>
      </c>
      <c r="R5863" s="8">
        <f>IF(Q5863&lt;&gt;0,Q5863+H5863+L5863,0)</f>
        <v/>
      </c>
      <c r="S5863" s="9">
        <f>VLOOKUP(OPERAC[[#This Row],[especie]],[1]!ESPECIES[#Data],9,FALSE)</f>
        <v/>
      </c>
    </row>
    <row r="5864">
      <c r="A5864" s="4" t="n">
        <v>2218</v>
      </c>
      <c r="B5864" s="5" t="n">
        <v>44680</v>
      </c>
      <c r="C5864" s="13" t="inlineStr">
        <is>
          <t>CPR</t>
        </is>
      </c>
      <c r="D5864" s="13" t="n">
        <v>32</v>
      </c>
      <c r="E5864" s="10">
        <f>IF(D5864&gt;0,VLOOKUP(OPERAC[[#This Row],[COD CART]],[1]!MatrizCortoLargoCyl[#All],3,0),"")</f>
        <v/>
      </c>
      <c r="F5864" s="13" t="inlineStr">
        <is>
          <t>TDOC/CYL/31,00/20-05-22</t>
        </is>
      </c>
      <c r="G5864" s="6" t="n">
        <v>100</v>
      </c>
      <c r="H5864" s="6" t="n">
        <v>-2944.75</v>
      </c>
      <c r="I5864" s="7">
        <f>-H5864/G5864</f>
        <v/>
      </c>
      <c r="J5864" s="11" t="n">
        <v>44701</v>
      </c>
      <c r="K5864" s="6" t="n">
        <v>100</v>
      </c>
      <c r="L5864" s="6" t="n">
        <v>3096.07</v>
      </c>
      <c r="M5864" s="7">
        <f>IF(N5864=0,+L5864+H5864,0)</f>
        <v/>
      </c>
      <c r="N5864" s="7">
        <f>IF((+G5864-K5864)=0,0,+G5864-K5864)</f>
        <v/>
      </c>
      <c r="O5864" s="7">
        <f>IF(N5864=0,0,(L5864+H5864)/-N5864)</f>
        <v/>
      </c>
      <c r="P5864" s="7">
        <f>VLOOKUP(OPERAC[[#This Row],[especie]],[1]!ESPECIES[#All],6,0)</f>
        <v/>
      </c>
      <c r="Q5864" s="7">
        <f>IF(N5864&lt;&gt;0,P5864*N5864,0)</f>
        <v/>
      </c>
      <c r="R5864" s="8">
        <f>IF(Q5864&lt;&gt;0,Q5864+H5864+L5864,0)</f>
        <v/>
      </c>
      <c r="S5864" s="9">
        <f>VLOOKUP(OPERAC[[#This Row],[especie]],[1]!ESPECIES[#Data],9,FALSE)</f>
        <v/>
      </c>
    </row>
    <row r="5865">
      <c r="A5865" s="4" t="n">
        <v>3728</v>
      </c>
      <c r="B5865" s="5" t="n">
        <v>44680</v>
      </c>
      <c r="C5865" s="13" t="inlineStr">
        <is>
          <t>CPR</t>
        </is>
      </c>
      <c r="D5865" s="13" t="n">
        <v>32</v>
      </c>
      <c r="E5865" s="10">
        <f>IF(D5865&gt;0,VLOOKUP(OPERAC[[#This Row],[COD CART]],[1]!MatrizCortoLargoCyl[#All],3,0),"")</f>
        <v/>
      </c>
      <c r="F5865" s="13" t="inlineStr">
        <is>
          <t>TDOC/CYL/31,00/20-05-22</t>
        </is>
      </c>
      <c r="G5865" s="6" t="n">
        <v>100</v>
      </c>
      <c r="H5865" s="6" t="n">
        <v>-2944.75</v>
      </c>
      <c r="I5865" s="7">
        <f>-H5865/G5865</f>
        <v/>
      </c>
      <c r="J5865" s="11" t="n">
        <v>44701</v>
      </c>
      <c r="K5865" s="6" t="n">
        <v>100</v>
      </c>
      <c r="L5865" s="6" t="n">
        <v>3096.07</v>
      </c>
      <c r="M5865" s="7">
        <f>IF(N5865=0,+L5865+H5865,0)</f>
        <v/>
      </c>
      <c r="N5865" s="7">
        <f>IF((+G5865-K5865)=0,0,+G5865-K5865)</f>
        <v/>
      </c>
      <c r="O5865" s="7">
        <f>IF(N5865=0,0,(L5865+H5865)/-N5865)</f>
        <v/>
      </c>
      <c r="P5865" s="7">
        <f>VLOOKUP(OPERAC[[#This Row],[especie]],[1]!ESPECIES[#All],6,0)</f>
        <v/>
      </c>
      <c r="Q5865" s="7">
        <f>IF(N5865&lt;&gt;0,P5865*N5865,0)</f>
        <v/>
      </c>
      <c r="R5865" s="8">
        <f>IF(Q5865&lt;&gt;0,Q5865+H5865+L5865,0)</f>
        <v/>
      </c>
      <c r="S5865" s="9">
        <f>VLOOKUP(OPERAC[[#This Row],[especie]],[1]!ESPECIES[#Data],9,FALSE)</f>
        <v/>
      </c>
    </row>
    <row r="5866">
      <c r="A5866" s="4" t="n">
        <v>2218</v>
      </c>
      <c r="B5866" s="5" t="n">
        <v>44712</v>
      </c>
      <c r="C5866" s="13" t="inlineStr">
        <is>
          <t>CPR</t>
        </is>
      </c>
      <c r="D5866" s="13" t="n">
        <v>42</v>
      </c>
      <c r="E5866" s="10">
        <f>IF(D5866&gt;0,VLOOKUP(OPERAC[[#This Row],[COD CART]],[1]!MatrizCortoLargoCyl[#All],3,0),"")</f>
        <v/>
      </c>
      <c r="F5866" s="13" t="inlineStr">
        <is>
          <t>KWEB</t>
        </is>
      </c>
      <c r="G5866" s="6" t="n">
        <v>100</v>
      </c>
      <c r="H5866" s="6" t="n">
        <v>-2947.945</v>
      </c>
      <c r="I5866" s="7">
        <f>-H5866/G5866</f>
        <v/>
      </c>
      <c r="J5866" s="5" t="n"/>
      <c r="K5866" s="6" t="n"/>
      <c r="L5866" s="6" t="n"/>
      <c r="M5866" s="7">
        <f>IF(N5866=0,+L5866+H5866,0)</f>
        <v/>
      </c>
      <c r="N5866" s="7">
        <f>IF((+G5866-K5866)=0,0,+G5866-K5866)</f>
        <v/>
      </c>
      <c r="O5866" s="7">
        <f>IF(N5866=0,0,(L5866+H5866)/-N5866)</f>
        <v/>
      </c>
      <c r="P5866" s="7">
        <f>VLOOKUP(OPERAC[[#This Row],[especie]],[1]!ESPECIES[#All],6,0)</f>
        <v/>
      </c>
      <c r="Q5866" s="7">
        <f>IF(N5866&lt;&gt;0,P5866*N5866,0)</f>
        <v/>
      </c>
      <c r="R5866" s="8">
        <f>IF(Q5866&lt;&gt;0,Q5866+H5866+L5866,0)</f>
        <v/>
      </c>
      <c r="S5866" s="9">
        <f>VLOOKUP(OPERAC[[#This Row],[especie]],[1]!ESPECIES[#Data],9,FALSE)</f>
        <v/>
      </c>
    </row>
    <row r="5867">
      <c r="A5867" s="4" t="n">
        <v>3728</v>
      </c>
      <c r="B5867" s="5" t="n">
        <v>44712</v>
      </c>
      <c r="C5867" s="13" t="inlineStr">
        <is>
          <t>CPR</t>
        </is>
      </c>
      <c r="D5867" s="13" t="n">
        <v>42</v>
      </c>
      <c r="E5867" s="10">
        <f>IF(D5867&gt;0,VLOOKUP(OPERAC[[#This Row],[COD CART]],[1]!MatrizCortoLargoCyl[#All],3,0),"")</f>
        <v/>
      </c>
      <c r="F5867" s="15" t="inlineStr">
        <is>
          <t>KWEB</t>
        </is>
      </c>
      <c r="G5867" s="6" t="n">
        <v>100</v>
      </c>
      <c r="H5867" s="6" t="n">
        <v>-2947.945</v>
      </c>
      <c r="I5867" s="7">
        <f>-H5867/G5867</f>
        <v/>
      </c>
      <c r="J5867" s="5" t="n"/>
      <c r="K5867" s="6" t="n"/>
      <c r="L5867" s="6" t="n"/>
      <c r="M5867" s="7">
        <f>IF(N5867=0,+L5867+H5867,0)</f>
        <v/>
      </c>
      <c r="N5867" s="7">
        <f>IF((+G5867-K5867)=0,0,+G5867-K5867)</f>
        <v/>
      </c>
      <c r="O5867" s="7">
        <f>IF(N5867=0,0,(L5867+H5867)/-N5867)</f>
        <v/>
      </c>
      <c r="P5867" s="7">
        <f>VLOOKUP(OPERAC[[#This Row],[especie]],[1]!ESPECIES[#All],6,0)</f>
        <v/>
      </c>
      <c r="Q5867" s="7">
        <f>IF(N5867&lt;&gt;0,P5867*N5867,0)</f>
        <v/>
      </c>
      <c r="R5867" s="8">
        <f>IF(Q5867&lt;&gt;0,Q5867+H5867+L5867,0)</f>
        <v/>
      </c>
      <c r="S5867" s="9">
        <f>VLOOKUP(OPERAC[[#This Row],[especie]],[1]!ESPECIES[#Data],9,FALSE)</f>
        <v/>
      </c>
    </row>
    <row r="5868">
      <c r="A5868" s="4" t="n">
        <v>12674</v>
      </c>
      <c r="B5868" s="5" t="n">
        <v>44712</v>
      </c>
      <c r="C5868" s="13" t="inlineStr">
        <is>
          <t>CPR</t>
        </is>
      </c>
      <c r="D5868" s="13" t="n">
        <v>32</v>
      </c>
      <c r="E5868" s="10">
        <f>IF(D5868&gt;0,VLOOKUP(OPERAC[[#This Row],[COD CART]],[1]!MatrizCortoLargoCyl[#All],3,0),"")</f>
        <v/>
      </c>
      <c r="F5868" s="13" t="inlineStr">
        <is>
          <t>KWEB/CYL/35,00/17-06-22</t>
        </is>
      </c>
      <c r="G5868" s="6" t="n">
        <v>100</v>
      </c>
      <c r="H5868" s="6">
        <f>-2959.725+10.907</f>
        <v/>
      </c>
      <c r="I5868" s="7">
        <f>-H5868/G5868</f>
        <v/>
      </c>
      <c r="J5868" s="5" t="n"/>
      <c r="K5868" s="6" t="n"/>
      <c r="L5868" s="6" t="n"/>
      <c r="M5868" s="7">
        <f>IF(N5868=0,+L5868+H5868,0)</f>
        <v/>
      </c>
      <c r="N5868" s="7">
        <f>IF((+G5868-K5868)=0,0,+G5868-K5868)</f>
        <v/>
      </c>
      <c r="O5868" s="7">
        <f>IF(N5868=0,0,(L5868+H5868)/-N5868)</f>
        <v/>
      </c>
      <c r="P5868" s="7">
        <f>VLOOKUP(OPERAC[[#This Row],[especie]],[1]!ESPECIES[#All],6,0)</f>
        <v/>
      </c>
      <c r="Q5868" s="7">
        <f>IF(N5868&lt;&gt;0,P5868*N5868,0)</f>
        <v/>
      </c>
      <c r="R5868" s="8">
        <f>IF(Q5868&lt;&gt;0,Q5868+H5868+L5868,0)</f>
        <v/>
      </c>
      <c r="S5868" s="9">
        <f>VLOOKUP(OPERAC[[#This Row],[especie]],[1]!ESPECIES[#Data],9,FALSE)</f>
        <v/>
      </c>
    </row>
    <row r="5869">
      <c r="A5869" s="4" t="n">
        <v>3021</v>
      </c>
      <c r="B5869" s="5" t="n">
        <v>44537</v>
      </c>
      <c r="C5869" s="13" t="inlineStr">
        <is>
          <t>CPR</t>
        </is>
      </c>
      <c r="D5869" s="13" t="n">
        <v>40</v>
      </c>
      <c r="E5869" s="10">
        <f>IF(D5869&gt;0,VLOOKUP(OPERAC[[#This Row],[COD CART]],[1]!MatrizCortoLargoCyl[#All],3,0),"")</f>
        <v/>
      </c>
      <c r="F5869" s="13" t="inlineStr">
        <is>
          <t>EDIT</t>
        </is>
      </c>
      <c r="G5869" s="6" t="n">
        <v>100</v>
      </c>
      <c r="H5869" s="6" t="n">
        <v>-2950.036</v>
      </c>
      <c r="I5869" s="7">
        <f>-H5869/G5869</f>
        <v/>
      </c>
      <c r="J5869" s="11" t="n">
        <v>44606</v>
      </c>
      <c r="K5869" s="6" t="n">
        <v>100</v>
      </c>
      <c r="L5869" s="6" t="n">
        <v>1617.858</v>
      </c>
      <c r="M5869" s="7">
        <f>IF(N5869=0,+L5869+H5869,0)</f>
        <v/>
      </c>
      <c r="N5869" s="7">
        <f>IF((+G5869-K5869)=0,0,+G5869-K5869)</f>
        <v/>
      </c>
      <c r="O5869" s="7">
        <f>IF(N5869=0,0,(L5869+H5869)/-N5869)</f>
        <v/>
      </c>
      <c r="P5869" s="7">
        <f>VLOOKUP(OPERAC[[#This Row],[especie]],[1]!ESPECIES[#All],6,0)</f>
        <v/>
      </c>
      <c r="Q5869" s="7">
        <f>IF(N5869&lt;&gt;0,P5869*N5869,0)</f>
        <v/>
      </c>
      <c r="R5869" s="8">
        <f>IF(Q5869&lt;&gt;0,Q5869+H5869+L5869,0)</f>
        <v/>
      </c>
      <c r="S5869" s="9">
        <f>VLOOKUP(OPERAC[[#This Row],[especie]],[1]!ESPECIES[#Data],9,FALSE)</f>
        <v/>
      </c>
    </row>
    <row r="5870">
      <c r="A5870" s="4" t="n">
        <v>16780</v>
      </c>
      <c r="B5870" s="5" t="n">
        <v>44712</v>
      </c>
      <c r="C5870" s="13" t="inlineStr">
        <is>
          <t>CPR</t>
        </is>
      </c>
      <c r="D5870" s="13" t="n">
        <v>42</v>
      </c>
      <c r="E5870" s="10">
        <f>IF(D5870&gt;0,VLOOKUP(OPERAC[[#This Row],[COD CART]],[1]!MatrizCortoLargoCyl[#All],3,0),"")</f>
        <v/>
      </c>
      <c r="F5870" s="13" t="inlineStr">
        <is>
          <t>KWEB</t>
        </is>
      </c>
      <c r="G5870" s="6" t="n">
        <v>100</v>
      </c>
      <c r="H5870" s="6" t="n">
        <v>-2951.8795</v>
      </c>
      <c r="I5870" s="7">
        <f>-H5870/G5870</f>
        <v/>
      </c>
      <c r="J5870" s="5" t="n"/>
      <c r="K5870" s="6" t="n"/>
      <c r="L5870" s="6" t="n"/>
      <c r="M5870" s="7">
        <f>IF(N5870=0,+L5870+H5870,0)</f>
        <v/>
      </c>
      <c r="N5870" s="7">
        <f>IF((+G5870-K5870)=0,0,+G5870-K5870)</f>
        <v/>
      </c>
      <c r="O5870" s="7">
        <f>IF(N5870=0,0,(L5870+H5870)/-N5870)</f>
        <v/>
      </c>
      <c r="P5870" s="7">
        <f>VLOOKUP(OPERAC[[#This Row],[especie]],[1]!ESPECIES[#All],6,0)</f>
        <v/>
      </c>
      <c r="Q5870" s="7">
        <f>IF(N5870&lt;&gt;0,P5870*N5870,0)</f>
        <v/>
      </c>
      <c r="R5870" s="8">
        <f>IF(Q5870&lt;&gt;0,Q5870+H5870+L5870,0)</f>
        <v/>
      </c>
      <c r="S5870" s="9">
        <f>VLOOKUP(OPERAC[[#This Row],[especie]],[1]!ESPECIES[#Data],9,FALSE)</f>
        <v/>
      </c>
    </row>
    <row r="5871">
      <c r="A5871" s="4" t="n">
        <v>2255</v>
      </c>
      <c r="B5871" s="5" t="n">
        <v>44712</v>
      </c>
      <c r="C5871" s="13" t="inlineStr">
        <is>
          <t>CPR</t>
        </is>
      </c>
      <c r="D5871" s="13" t="n">
        <v>42</v>
      </c>
      <c r="E5871" s="10">
        <f>IF(D5871&gt;0,VLOOKUP(OPERAC[[#This Row],[COD CART]],[1]!MatrizCortoLargoCyl[#All],3,0),"")</f>
        <v/>
      </c>
      <c r="F5871" s="13" t="inlineStr">
        <is>
          <t>KWEB</t>
        </is>
      </c>
      <c r="G5871" s="6" t="n">
        <v>100</v>
      </c>
      <c r="H5871" s="6" t="n">
        <v>-2958.2525</v>
      </c>
      <c r="I5871" s="7">
        <f>-H5871/G5871</f>
        <v/>
      </c>
      <c r="J5871" s="5" t="n"/>
      <c r="K5871" s="6" t="n"/>
      <c r="L5871" s="6" t="n"/>
      <c r="M5871" s="7">
        <f>IF(N5871=0,+L5871+H5871,0)</f>
        <v/>
      </c>
      <c r="N5871" s="7">
        <f>IF((+G5871-K5871)=0,0,+G5871-K5871)</f>
        <v/>
      </c>
      <c r="O5871" s="7">
        <f>IF(N5871=0,0,(L5871+H5871)/-N5871)</f>
        <v/>
      </c>
      <c r="P5871" s="7">
        <f>VLOOKUP(OPERAC[[#This Row],[especie]],[1]!ESPECIES[#All],6,0)</f>
        <v/>
      </c>
      <c r="Q5871" s="7">
        <f>IF(N5871&lt;&gt;0,P5871*N5871,0)</f>
        <v/>
      </c>
      <c r="R5871" s="8">
        <f>IF(Q5871&lt;&gt;0,Q5871+H5871+L5871,0)</f>
        <v/>
      </c>
      <c r="S5871" s="9">
        <f>VLOOKUP(OPERAC[[#This Row],[especie]],[1]!ESPECIES[#Data],9,FALSE)</f>
        <v/>
      </c>
    </row>
    <row r="5872">
      <c r="A5872" s="4" t="n">
        <v>2253</v>
      </c>
      <c r="B5872" s="5" t="n">
        <v>44712</v>
      </c>
      <c r="C5872" s="13" t="inlineStr">
        <is>
          <t>CPR</t>
        </is>
      </c>
      <c r="D5872" s="13" t="n">
        <v>42</v>
      </c>
      <c r="E5872" s="10">
        <f>IF(D5872&gt;0,VLOOKUP(OPERAC[[#This Row],[COD CART]],[1]!MatrizCortoLargoCyl[#All],3,0),"")</f>
        <v/>
      </c>
      <c r="F5872" s="13" t="inlineStr">
        <is>
          <t>KWEB</t>
        </is>
      </c>
      <c r="G5872" s="6" t="n">
        <v>100</v>
      </c>
      <c r="H5872" s="6" t="n">
        <v>-2959.725</v>
      </c>
      <c r="I5872" s="7">
        <f>-H5872/G5872</f>
        <v/>
      </c>
      <c r="J5872" s="5" t="n"/>
      <c r="K5872" s="6" t="n"/>
      <c r="L5872" s="6" t="n"/>
      <c r="M5872" s="7">
        <f>IF(N5872=0,+L5872+H5872,0)</f>
        <v/>
      </c>
      <c r="N5872" s="7">
        <f>IF((+G5872-K5872)=0,0,+G5872-K5872)</f>
        <v/>
      </c>
      <c r="O5872" s="7">
        <f>IF(N5872=0,0,(L5872+H5872)/-N5872)</f>
        <v/>
      </c>
      <c r="P5872" s="7">
        <f>VLOOKUP(OPERAC[[#This Row],[especie]],[1]!ESPECIES[#All],6,0)</f>
        <v/>
      </c>
      <c r="Q5872" s="7">
        <f>IF(N5872&lt;&gt;0,P5872*N5872,0)</f>
        <v/>
      </c>
      <c r="R5872" s="8">
        <f>IF(Q5872&lt;&gt;0,Q5872+H5872+L5872,0)</f>
        <v/>
      </c>
      <c r="S5872" s="9">
        <f>VLOOKUP(OPERAC[[#This Row],[especie]],[1]!ESPECIES[#Data],9,FALSE)</f>
        <v/>
      </c>
    </row>
    <row r="5873">
      <c r="A5873" s="4" t="n">
        <v>2257</v>
      </c>
      <c r="B5873" s="5" t="n">
        <v>44712</v>
      </c>
      <c r="C5873" s="13" t="inlineStr">
        <is>
          <t>CPR</t>
        </is>
      </c>
      <c r="D5873" s="13" t="n">
        <v>42</v>
      </c>
      <c r="E5873" s="10">
        <f>IF(D5873&gt;0,VLOOKUP(OPERAC[[#This Row],[COD CART]],[1]!MatrizCortoLargoCyl[#All],3,0),"")</f>
        <v/>
      </c>
      <c r="F5873" s="15" t="inlineStr">
        <is>
          <t>KWEB</t>
        </is>
      </c>
      <c r="G5873" s="6" t="n">
        <v>100</v>
      </c>
      <c r="H5873" s="6" t="n">
        <v>-2959.725</v>
      </c>
      <c r="I5873" s="7">
        <f>-H5873/G5873</f>
        <v/>
      </c>
      <c r="J5873" s="5" t="n"/>
      <c r="K5873" s="6" t="n"/>
      <c r="L5873" s="6" t="n"/>
      <c r="M5873" s="7">
        <f>IF(N5873=0,+L5873+H5873,0)</f>
        <v/>
      </c>
      <c r="N5873" s="7">
        <f>IF((+G5873-K5873)=0,0,+G5873-K5873)</f>
        <v/>
      </c>
      <c r="O5873" s="7">
        <f>IF(N5873=0,0,(L5873+H5873)/-N5873)</f>
        <v/>
      </c>
      <c r="P5873" s="7">
        <f>VLOOKUP(OPERAC[[#This Row],[especie]],[1]!ESPECIES[#All],6,0)</f>
        <v/>
      </c>
      <c r="Q5873" s="7">
        <f>IF(N5873&lt;&gt;0,P5873*N5873,0)</f>
        <v/>
      </c>
      <c r="R5873" s="8">
        <f>IF(Q5873&lt;&gt;0,Q5873+H5873+L5873,0)</f>
        <v/>
      </c>
      <c r="S5873" s="9">
        <f>VLOOKUP(OPERAC[[#This Row],[especie]],[1]!ESPECIES[#Data],9,FALSE)</f>
        <v/>
      </c>
    </row>
    <row r="5874">
      <c r="A5874" s="4" t="n">
        <v>7895</v>
      </c>
      <c r="B5874" s="5" t="n">
        <v>44712</v>
      </c>
      <c r="C5874" s="13" t="inlineStr">
        <is>
          <t>CPR</t>
        </is>
      </c>
      <c r="D5874" s="13" t="n">
        <v>42</v>
      </c>
      <c r="E5874" s="10">
        <f>IF(D5874&gt;0,VLOOKUP(OPERAC[[#This Row],[COD CART]],[1]!MatrizCortoLargoCyl[#All],3,0),"")</f>
        <v/>
      </c>
      <c r="F5874" s="15" t="inlineStr">
        <is>
          <t>KWEB</t>
        </is>
      </c>
      <c r="G5874" s="6" t="n">
        <v>100</v>
      </c>
      <c r="H5874" s="6" t="n">
        <v>-2959.725</v>
      </c>
      <c r="I5874" s="7">
        <f>-H5874/G5874</f>
        <v/>
      </c>
      <c r="J5874" s="5" t="n"/>
      <c r="K5874" s="6" t="n"/>
      <c r="L5874" s="6" t="n"/>
      <c r="M5874" s="7">
        <f>IF(N5874=0,+L5874+H5874,0)</f>
        <v/>
      </c>
      <c r="N5874" s="7">
        <f>IF((+G5874-K5874)=0,0,+G5874-K5874)</f>
        <v/>
      </c>
      <c r="O5874" s="7">
        <f>IF(N5874=0,0,(L5874+H5874)/-N5874)</f>
        <v/>
      </c>
      <c r="P5874" s="7">
        <f>VLOOKUP(OPERAC[[#This Row],[especie]],[1]!ESPECIES[#All],6,0)</f>
        <v/>
      </c>
      <c r="Q5874" s="7">
        <f>IF(N5874&lt;&gt;0,P5874*N5874,0)</f>
        <v/>
      </c>
      <c r="R5874" s="8">
        <f>IF(Q5874&lt;&gt;0,Q5874+H5874+L5874,0)</f>
        <v/>
      </c>
      <c r="S5874" s="9">
        <f>VLOOKUP(OPERAC[[#This Row],[especie]],[1]!ESPECIES[#Data],9,FALSE)</f>
        <v/>
      </c>
    </row>
    <row r="5875">
      <c r="A5875" s="4" t="n">
        <v>7916</v>
      </c>
      <c r="B5875" s="5" t="n">
        <v>44712</v>
      </c>
      <c r="C5875" s="13" t="inlineStr">
        <is>
          <t>CPR</t>
        </is>
      </c>
      <c r="D5875" s="13" t="n">
        <v>42</v>
      </c>
      <c r="E5875" s="10">
        <f>IF(D5875&gt;0,VLOOKUP(OPERAC[[#This Row],[COD CART]],[1]!MatrizCortoLargoCyl[#All],3,0),"")</f>
        <v/>
      </c>
      <c r="F5875" s="13" t="inlineStr">
        <is>
          <t>KWEB</t>
        </is>
      </c>
      <c r="G5875" s="6" t="n">
        <v>100</v>
      </c>
      <c r="H5875" s="6" t="n">
        <v>-2959.725</v>
      </c>
      <c r="I5875" s="7">
        <f>-H5875/G5875</f>
        <v/>
      </c>
      <c r="J5875" s="5" t="n"/>
      <c r="K5875" s="6" t="n"/>
      <c r="L5875" s="6" t="n"/>
      <c r="M5875" s="7">
        <f>IF(N5875=0,+L5875+H5875,0)</f>
        <v/>
      </c>
      <c r="N5875" s="7">
        <f>IF((+G5875-K5875)=0,0,+G5875-K5875)</f>
        <v/>
      </c>
      <c r="O5875" s="7">
        <f>IF(N5875=0,0,(L5875+H5875)/-N5875)</f>
        <v/>
      </c>
      <c r="P5875" s="7">
        <f>VLOOKUP(OPERAC[[#This Row],[especie]],[1]!ESPECIES[#All],6,0)</f>
        <v/>
      </c>
      <c r="Q5875" s="7">
        <f>IF(N5875&lt;&gt;0,P5875*N5875,0)</f>
        <v/>
      </c>
      <c r="R5875" s="8">
        <f>IF(Q5875&lt;&gt;0,Q5875+H5875+L5875,0)</f>
        <v/>
      </c>
      <c r="S5875" s="9">
        <f>VLOOKUP(OPERAC[[#This Row],[especie]],[1]!ESPECIES[#Data],9,FALSE)</f>
        <v/>
      </c>
    </row>
    <row r="5876">
      <c r="A5876" s="4" t="n">
        <v>10079</v>
      </c>
      <c r="B5876" s="5" t="n">
        <v>44712</v>
      </c>
      <c r="C5876" s="13" t="inlineStr">
        <is>
          <t>CPR</t>
        </is>
      </c>
      <c r="D5876" s="13" t="n">
        <v>42</v>
      </c>
      <c r="E5876" s="10">
        <f>IF(D5876&gt;0,VLOOKUP(OPERAC[[#This Row],[COD CART]],[1]!MatrizCortoLargoCyl[#All],3,0),"")</f>
        <v/>
      </c>
      <c r="F5876" s="13" t="inlineStr">
        <is>
          <t>KWEB</t>
        </is>
      </c>
      <c r="G5876" s="6" t="n">
        <v>100</v>
      </c>
      <c r="H5876" s="6" t="n">
        <v>-2959.725</v>
      </c>
      <c r="I5876" s="7">
        <f>-H5876/G5876</f>
        <v/>
      </c>
      <c r="J5876" s="5" t="n"/>
      <c r="K5876" s="6" t="n"/>
      <c r="L5876" s="6" t="n"/>
      <c r="M5876" s="7">
        <f>IF(N5876=0,+L5876+H5876,0)</f>
        <v/>
      </c>
      <c r="N5876" s="7">
        <f>IF((+G5876-K5876)=0,0,+G5876-K5876)</f>
        <v/>
      </c>
      <c r="O5876" s="7">
        <f>IF(N5876=0,0,(L5876+H5876)/-N5876)</f>
        <v/>
      </c>
      <c r="P5876" s="7">
        <f>VLOOKUP(OPERAC[[#This Row],[especie]],[1]!ESPECIES[#All],6,0)</f>
        <v/>
      </c>
      <c r="Q5876" s="7">
        <f>IF(N5876&lt;&gt;0,P5876*N5876,0)</f>
        <v/>
      </c>
      <c r="R5876" s="8">
        <f>IF(Q5876&lt;&gt;0,Q5876+H5876+L5876,0)</f>
        <v/>
      </c>
      <c r="S5876" s="9">
        <f>VLOOKUP(OPERAC[[#This Row],[especie]],[1]!ESPECIES[#Data],9,FALSE)</f>
        <v/>
      </c>
    </row>
    <row r="5877">
      <c r="A5877" s="4" t="n">
        <v>11168</v>
      </c>
      <c r="B5877" s="5" t="n">
        <v>44712</v>
      </c>
      <c r="C5877" s="13" t="inlineStr">
        <is>
          <t>CPR</t>
        </is>
      </c>
      <c r="D5877" s="13" t="n">
        <v>42</v>
      </c>
      <c r="E5877" s="10">
        <f>IF(D5877&gt;0,VLOOKUP(OPERAC[[#This Row],[COD CART]],[1]!MatrizCortoLargoCyl[#All],3,0),"")</f>
        <v/>
      </c>
      <c r="F5877" s="13" t="inlineStr">
        <is>
          <t>KWEB</t>
        </is>
      </c>
      <c r="G5877" s="6" t="n">
        <v>100</v>
      </c>
      <c r="H5877" s="6" t="n">
        <v>-2959.725</v>
      </c>
      <c r="I5877" s="7">
        <f>-H5877/G5877</f>
        <v/>
      </c>
      <c r="J5877" s="5" t="n"/>
      <c r="K5877" s="6" t="n"/>
      <c r="L5877" s="6" t="n"/>
      <c r="M5877" s="7">
        <f>IF(N5877=0,+L5877+H5877,0)</f>
        <v/>
      </c>
      <c r="N5877" s="7">
        <f>IF((+G5877-K5877)=0,0,+G5877-K5877)</f>
        <v/>
      </c>
      <c r="O5877" s="7">
        <f>IF(N5877=0,0,(L5877+H5877)/-N5877)</f>
        <v/>
      </c>
      <c r="P5877" s="7">
        <f>VLOOKUP(OPERAC[[#This Row],[especie]],[1]!ESPECIES[#All],6,0)</f>
        <v/>
      </c>
      <c r="Q5877" s="7">
        <f>IF(N5877&lt;&gt;0,P5877*N5877,0)</f>
        <v/>
      </c>
      <c r="R5877" s="8">
        <f>IF(Q5877&lt;&gt;0,Q5877+H5877+L5877,0)</f>
        <v/>
      </c>
      <c r="S5877" s="9">
        <f>VLOOKUP(OPERAC[[#This Row],[especie]],[1]!ESPECIES[#Data],9,FALSE)</f>
        <v/>
      </c>
    </row>
    <row r="5878">
      <c r="A5878" s="4" t="n">
        <v>12022</v>
      </c>
      <c r="B5878" s="5" t="n">
        <v>44712</v>
      </c>
      <c r="C5878" s="13" t="inlineStr">
        <is>
          <t>CPR</t>
        </is>
      </c>
      <c r="D5878" s="13" t="n">
        <v>42</v>
      </c>
      <c r="E5878" s="10">
        <f>IF(D5878&gt;0,VLOOKUP(OPERAC[[#This Row],[COD CART]],[1]!MatrizCortoLargoCyl[#All],3,0),"")</f>
        <v/>
      </c>
      <c r="F5878" s="13" t="inlineStr">
        <is>
          <t>KWEB</t>
        </is>
      </c>
      <c r="G5878" s="6" t="n">
        <v>100</v>
      </c>
      <c r="H5878" s="6" t="n">
        <v>-2959.725</v>
      </c>
      <c r="I5878" s="7">
        <f>-H5878/G5878</f>
        <v/>
      </c>
      <c r="J5878" s="5" t="n"/>
      <c r="K5878" s="6" t="n"/>
      <c r="L5878" s="6" t="n"/>
      <c r="M5878" s="7">
        <f>IF(N5878=0,+L5878+H5878,0)</f>
        <v/>
      </c>
      <c r="N5878" s="7">
        <f>IF((+G5878-K5878)=0,0,+G5878-K5878)</f>
        <v/>
      </c>
      <c r="O5878" s="7">
        <f>IF(N5878=0,0,(L5878+H5878)/-N5878)</f>
        <v/>
      </c>
      <c r="P5878" s="7">
        <f>VLOOKUP(OPERAC[[#This Row],[especie]],[1]!ESPECIES[#All],6,0)</f>
        <v/>
      </c>
      <c r="Q5878" s="7">
        <f>IF(N5878&lt;&gt;0,P5878*N5878,0)</f>
        <v/>
      </c>
      <c r="R5878" s="8">
        <f>IF(Q5878&lt;&gt;0,Q5878+H5878+L5878,0)</f>
        <v/>
      </c>
      <c r="S5878" s="9">
        <f>VLOOKUP(OPERAC[[#This Row],[especie]],[1]!ESPECIES[#Data],9,FALSE)</f>
        <v/>
      </c>
    </row>
    <row r="5879">
      <c r="A5879" s="4" t="n">
        <v>12627</v>
      </c>
      <c r="B5879" s="5" t="n">
        <v>44712</v>
      </c>
      <c r="C5879" s="13" t="inlineStr">
        <is>
          <t>CPR</t>
        </is>
      </c>
      <c r="D5879" s="13" t="n">
        <v>42</v>
      </c>
      <c r="E5879" s="10">
        <f>IF(D5879&gt;0,VLOOKUP(OPERAC[[#This Row],[COD CART]],[1]!MatrizCortoLargoCyl[#All],3,0),"")</f>
        <v/>
      </c>
      <c r="F5879" s="13" t="inlineStr">
        <is>
          <t>KWEB</t>
        </is>
      </c>
      <c r="G5879" s="6" t="n">
        <v>100</v>
      </c>
      <c r="H5879" s="6" t="n">
        <v>-2959.725</v>
      </c>
      <c r="I5879" s="7">
        <f>-H5879/G5879</f>
        <v/>
      </c>
      <c r="J5879" s="5" t="n"/>
      <c r="K5879" s="6" t="n"/>
      <c r="L5879" s="6" t="n"/>
      <c r="M5879" s="7">
        <f>IF(N5879=0,+L5879+H5879,0)</f>
        <v/>
      </c>
      <c r="N5879" s="7">
        <f>IF((+G5879-K5879)=0,0,+G5879-K5879)</f>
        <v/>
      </c>
      <c r="O5879" s="7">
        <f>IF(N5879=0,0,(L5879+H5879)/-N5879)</f>
        <v/>
      </c>
      <c r="P5879" s="7">
        <f>VLOOKUP(OPERAC[[#This Row],[especie]],[1]!ESPECIES[#All],6,0)</f>
        <v/>
      </c>
      <c r="Q5879" s="7">
        <f>IF(N5879&lt;&gt;0,P5879*N5879,0)</f>
        <v/>
      </c>
      <c r="R5879" s="8">
        <f>IF(Q5879&lt;&gt;0,Q5879+H5879+L5879,0)</f>
        <v/>
      </c>
      <c r="S5879" s="9">
        <f>VLOOKUP(OPERAC[[#This Row],[especie]],[1]!ESPECIES[#Data],9,FALSE)</f>
        <v/>
      </c>
    </row>
    <row r="5880">
      <c r="A5880" s="4" t="n">
        <v>12652</v>
      </c>
      <c r="B5880" s="5" t="n">
        <v>44712</v>
      </c>
      <c r="C5880" s="13" t="inlineStr">
        <is>
          <t>CPR</t>
        </is>
      </c>
      <c r="D5880" s="13" t="n">
        <v>42</v>
      </c>
      <c r="E5880" s="10">
        <f>IF(D5880&gt;0,VLOOKUP(OPERAC[[#This Row],[COD CART]],[1]!MatrizCortoLargoCyl[#All],3,0),"")</f>
        <v/>
      </c>
      <c r="F5880" s="13" t="inlineStr">
        <is>
          <t>KWEB</t>
        </is>
      </c>
      <c r="G5880" s="6" t="n">
        <v>100</v>
      </c>
      <c r="H5880" s="6" t="n">
        <v>-2959.725</v>
      </c>
      <c r="I5880" s="7">
        <f>-H5880/G5880</f>
        <v/>
      </c>
      <c r="J5880" s="5" t="n"/>
      <c r="K5880" s="6" t="n"/>
      <c r="L5880" s="6" t="n"/>
      <c r="M5880" s="7">
        <f>IF(N5880=0,+L5880+H5880,0)</f>
        <v/>
      </c>
      <c r="N5880" s="7">
        <f>IF((+G5880-K5880)=0,0,+G5880-K5880)</f>
        <v/>
      </c>
      <c r="O5880" s="7">
        <f>IF(N5880=0,0,(L5880+H5880)/-N5880)</f>
        <v/>
      </c>
      <c r="P5880" s="7">
        <f>VLOOKUP(OPERAC[[#This Row],[especie]],[1]!ESPECIES[#All],6,0)</f>
        <v/>
      </c>
      <c r="Q5880" s="7">
        <f>IF(N5880&lt;&gt;0,P5880*N5880,0)</f>
        <v/>
      </c>
      <c r="R5880" s="8">
        <f>IF(Q5880&lt;&gt;0,Q5880+H5880+L5880,0)</f>
        <v/>
      </c>
      <c r="S5880" s="9">
        <f>VLOOKUP(OPERAC[[#This Row],[especie]],[1]!ESPECIES[#Data],9,FALSE)</f>
        <v/>
      </c>
    </row>
    <row r="5881">
      <c r="A5881" s="4" t="n">
        <v>12655</v>
      </c>
      <c r="B5881" s="5" t="n">
        <v>44712</v>
      </c>
      <c r="C5881" s="13" t="inlineStr">
        <is>
          <t>CPR</t>
        </is>
      </c>
      <c r="D5881" s="13" t="n">
        <v>42</v>
      </c>
      <c r="E5881" s="10">
        <f>IF(D5881&gt;0,VLOOKUP(OPERAC[[#This Row],[COD CART]],[1]!MatrizCortoLargoCyl[#All],3,0),"")</f>
        <v/>
      </c>
      <c r="F5881" s="13" t="inlineStr">
        <is>
          <t>KWEB</t>
        </is>
      </c>
      <c r="G5881" s="6" t="n">
        <v>100</v>
      </c>
      <c r="H5881" s="6" t="n">
        <v>-2959.725</v>
      </c>
      <c r="I5881" s="7">
        <f>-H5881/G5881</f>
        <v/>
      </c>
      <c r="J5881" s="5" t="n"/>
      <c r="K5881" s="6" t="n"/>
      <c r="L5881" s="6" t="n"/>
      <c r="M5881" s="7">
        <f>IF(N5881=0,+L5881+H5881,0)</f>
        <v/>
      </c>
      <c r="N5881" s="7">
        <f>IF((+G5881-K5881)=0,0,+G5881-K5881)</f>
        <v/>
      </c>
      <c r="O5881" s="7">
        <f>IF(N5881=0,0,(L5881+H5881)/-N5881)</f>
        <v/>
      </c>
      <c r="P5881" s="7">
        <f>VLOOKUP(OPERAC[[#This Row],[especie]],[1]!ESPECIES[#All],6,0)</f>
        <v/>
      </c>
      <c r="Q5881" s="7">
        <f>IF(N5881&lt;&gt;0,P5881*N5881,0)</f>
        <v/>
      </c>
      <c r="R5881" s="8">
        <f>IF(Q5881&lt;&gt;0,Q5881+H5881+L5881,0)</f>
        <v/>
      </c>
      <c r="S5881" s="9">
        <f>VLOOKUP(OPERAC[[#This Row],[especie]],[1]!ESPECIES[#Data],9,FALSE)</f>
        <v/>
      </c>
    </row>
    <row r="5882">
      <c r="A5882" s="4" t="n">
        <v>13185</v>
      </c>
      <c r="B5882" s="5" t="n">
        <v>44712</v>
      </c>
      <c r="C5882" s="13" t="inlineStr">
        <is>
          <t>CPR</t>
        </is>
      </c>
      <c r="D5882" s="13" t="n">
        <v>42</v>
      </c>
      <c r="E5882" s="10">
        <f>IF(D5882&gt;0,VLOOKUP(OPERAC[[#This Row],[COD CART]],[1]!MatrizCortoLargoCyl[#All],3,0),"")</f>
        <v/>
      </c>
      <c r="F5882" s="13" t="inlineStr">
        <is>
          <t>KWEB</t>
        </is>
      </c>
      <c r="G5882" s="6" t="n">
        <v>100</v>
      </c>
      <c r="H5882" s="6" t="n">
        <v>-2959.725</v>
      </c>
      <c r="I5882" s="7">
        <f>-H5882/G5882</f>
        <v/>
      </c>
      <c r="J5882" s="5" t="n">
        <v>44725</v>
      </c>
      <c r="K5882" s="6" t="n">
        <v>100</v>
      </c>
      <c r="L5882" s="6" t="n">
        <v>2921.46</v>
      </c>
      <c r="M5882" s="7">
        <f>IF(N5882=0,+L5882+H5882,0)</f>
        <v/>
      </c>
      <c r="N5882" s="7">
        <f>IF((+G5882-K5882)=0,0,+G5882-K5882)</f>
        <v/>
      </c>
      <c r="O5882" s="7">
        <f>IF(N5882=0,0,(L5882+H5882)/-N5882)</f>
        <v/>
      </c>
      <c r="P5882" s="7">
        <f>VLOOKUP(OPERAC[[#This Row],[especie]],[1]!ESPECIES[#All],6,0)</f>
        <v/>
      </c>
      <c r="Q5882" s="7">
        <f>IF(N5882&lt;&gt;0,P5882*N5882,0)</f>
        <v/>
      </c>
      <c r="R5882" s="8">
        <f>IF(Q5882&lt;&gt;0,Q5882+H5882+L5882,0)</f>
        <v/>
      </c>
      <c r="S5882" s="9">
        <f>VLOOKUP(OPERAC[[#This Row],[especie]],[1]!ESPECIES[#Data],9,FALSE)</f>
        <v/>
      </c>
    </row>
    <row r="5883">
      <c r="A5883" s="4" t="n">
        <v>13240</v>
      </c>
      <c r="B5883" s="5" t="n">
        <v>44712</v>
      </c>
      <c r="C5883" s="13" t="inlineStr">
        <is>
          <t>CPR</t>
        </is>
      </c>
      <c r="D5883" s="13" t="n">
        <v>42</v>
      </c>
      <c r="E5883" s="10">
        <f>IF(D5883&gt;0,VLOOKUP(OPERAC[[#This Row],[COD CART]],[1]!MatrizCortoLargoCyl[#All],3,0),"")</f>
        <v/>
      </c>
      <c r="F5883" s="13" t="inlineStr">
        <is>
          <t>KWEB</t>
        </is>
      </c>
      <c r="G5883" s="6" t="n">
        <v>100</v>
      </c>
      <c r="H5883" s="6" t="n">
        <v>-2959.725</v>
      </c>
      <c r="I5883" s="7">
        <f>-H5883/G5883</f>
        <v/>
      </c>
      <c r="J5883" s="5" t="n"/>
      <c r="K5883" s="6" t="n"/>
      <c r="L5883" s="6" t="n"/>
      <c r="M5883" s="7">
        <f>IF(N5883=0,+L5883+H5883,0)</f>
        <v/>
      </c>
      <c r="N5883" s="7">
        <f>IF((+G5883-K5883)=0,0,+G5883-K5883)</f>
        <v/>
      </c>
      <c r="O5883" s="7">
        <f>IF(N5883=0,0,(L5883+H5883)/-N5883)</f>
        <v/>
      </c>
      <c r="P5883" s="7">
        <f>VLOOKUP(OPERAC[[#This Row],[especie]],[1]!ESPECIES[#All],6,0)</f>
        <v/>
      </c>
      <c r="Q5883" s="7">
        <f>IF(N5883&lt;&gt;0,P5883*N5883,0)</f>
        <v/>
      </c>
      <c r="R5883" s="8">
        <f>IF(Q5883&lt;&gt;0,Q5883+H5883+L5883,0)</f>
        <v/>
      </c>
      <c r="S5883" s="9">
        <f>VLOOKUP(OPERAC[[#This Row],[especie]],[1]!ESPECIES[#Data],9,FALSE)</f>
        <v/>
      </c>
    </row>
    <row r="5884">
      <c r="A5884" s="4" t="n">
        <v>15194</v>
      </c>
      <c r="B5884" s="5" t="n">
        <v>44712</v>
      </c>
      <c r="C5884" s="13" t="inlineStr">
        <is>
          <t>CPR</t>
        </is>
      </c>
      <c r="D5884" s="13" t="n">
        <v>42</v>
      </c>
      <c r="E5884" s="10">
        <f>IF(D5884&gt;0,VLOOKUP(OPERAC[[#This Row],[COD CART]],[1]!MatrizCortoLargoCyl[#All],3,0),"")</f>
        <v/>
      </c>
      <c r="F5884" s="13" t="inlineStr">
        <is>
          <t>KWEB</t>
        </is>
      </c>
      <c r="G5884" s="6" t="n">
        <v>100</v>
      </c>
      <c r="H5884" s="6" t="n">
        <v>-2959.725</v>
      </c>
      <c r="I5884" s="7">
        <f>-H5884/G5884</f>
        <v/>
      </c>
      <c r="J5884" s="5" t="n"/>
      <c r="K5884" s="6" t="n"/>
      <c r="L5884" s="6" t="n"/>
      <c r="M5884" s="7">
        <f>IF(N5884=0,+L5884+H5884,0)</f>
        <v/>
      </c>
      <c r="N5884" s="7">
        <f>IF((+G5884-K5884)=0,0,+G5884-K5884)</f>
        <v/>
      </c>
      <c r="O5884" s="7">
        <f>IF(N5884=0,0,(L5884+H5884)/-N5884)</f>
        <v/>
      </c>
      <c r="P5884" s="7">
        <f>VLOOKUP(OPERAC[[#This Row],[especie]],[1]!ESPECIES[#All],6,0)</f>
        <v/>
      </c>
      <c r="Q5884" s="7">
        <f>IF(N5884&lt;&gt;0,P5884*N5884,0)</f>
        <v/>
      </c>
      <c r="R5884" s="8">
        <f>IF(Q5884&lt;&gt;0,Q5884+H5884+L5884,0)</f>
        <v/>
      </c>
      <c r="S5884" s="9">
        <f>VLOOKUP(OPERAC[[#This Row],[especie]],[1]!ESPECIES[#Data],9,FALSE)</f>
        <v/>
      </c>
    </row>
    <row r="5885">
      <c r="A5885" s="4" t="n">
        <v>16786</v>
      </c>
      <c r="B5885" s="5" t="n">
        <v>44712</v>
      </c>
      <c r="C5885" s="13" t="inlineStr">
        <is>
          <t>CPR</t>
        </is>
      </c>
      <c r="D5885" s="13" t="n">
        <v>42</v>
      </c>
      <c r="E5885" s="10">
        <f>IF(D5885&gt;0,VLOOKUP(OPERAC[[#This Row],[COD CART]],[1]!MatrizCortoLargoCyl[#All],3,0),"")</f>
        <v/>
      </c>
      <c r="F5885" s="13" t="inlineStr">
        <is>
          <t>KWEB</t>
        </is>
      </c>
      <c r="G5885" s="6" t="n">
        <v>100</v>
      </c>
      <c r="H5885" s="6" t="n">
        <v>-2959.725</v>
      </c>
      <c r="I5885" s="7">
        <f>-H5885/G5885</f>
        <v/>
      </c>
      <c r="J5885" s="5" t="n"/>
      <c r="K5885" s="6" t="n"/>
      <c r="L5885" s="6" t="n"/>
      <c r="M5885" s="7">
        <f>IF(N5885=0,+L5885+H5885,0)</f>
        <v/>
      </c>
      <c r="N5885" s="7">
        <f>IF((+G5885-K5885)=0,0,+G5885-K5885)</f>
        <v/>
      </c>
      <c r="O5885" s="7">
        <f>IF(N5885=0,0,(L5885+H5885)/-N5885)</f>
        <v/>
      </c>
      <c r="P5885" s="7">
        <f>VLOOKUP(OPERAC[[#This Row],[especie]],[1]!ESPECIES[#All],6,0)</f>
        <v/>
      </c>
      <c r="Q5885" s="7">
        <f>IF(N5885&lt;&gt;0,P5885*N5885,0)</f>
        <v/>
      </c>
      <c r="R5885" s="8">
        <f>IF(Q5885&lt;&gt;0,Q5885+H5885+L5885,0)</f>
        <v/>
      </c>
      <c r="S5885" s="9">
        <f>VLOOKUP(OPERAC[[#This Row],[especie]],[1]!ESPECIES[#Data],9,FALSE)</f>
        <v/>
      </c>
    </row>
    <row r="5886">
      <c r="A5886" s="4" t="n">
        <v>16795</v>
      </c>
      <c r="B5886" s="5" t="n">
        <v>44712</v>
      </c>
      <c r="C5886" s="13" t="inlineStr">
        <is>
          <t>CPR</t>
        </is>
      </c>
      <c r="D5886" s="13" t="n">
        <v>42</v>
      </c>
      <c r="E5886" s="10">
        <f>IF(D5886&gt;0,VLOOKUP(OPERAC[[#This Row],[COD CART]],[1]!MatrizCortoLargoCyl[#All],3,0),"")</f>
        <v/>
      </c>
      <c r="F5886" s="13" t="inlineStr">
        <is>
          <t>KWEB</t>
        </is>
      </c>
      <c r="G5886" s="6" t="n">
        <v>100</v>
      </c>
      <c r="H5886" s="6" t="n">
        <v>-2959.725</v>
      </c>
      <c r="I5886" s="7">
        <f>-H5886/G5886</f>
        <v/>
      </c>
      <c r="J5886" s="5" t="n"/>
      <c r="K5886" s="6" t="n"/>
      <c r="L5886" s="6" t="n"/>
      <c r="M5886" s="7">
        <f>IF(N5886=0,+L5886+H5886,0)</f>
        <v/>
      </c>
      <c r="N5886" s="7">
        <f>IF((+G5886-K5886)=0,0,+G5886-K5886)</f>
        <v/>
      </c>
      <c r="O5886" s="7">
        <f>IF(N5886=0,0,(L5886+H5886)/-N5886)</f>
        <v/>
      </c>
      <c r="P5886" s="7">
        <f>VLOOKUP(OPERAC[[#This Row],[especie]],[1]!ESPECIES[#All],6,0)</f>
        <v/>
      </c>
      <c r="Q5886" s="7">
        <f>IF(N5886&lt;&gt;0,P5886*N5886,0)</f>
        <v/>
      </c>
      <c r="R5886" s="8">
        <f>IF(Q5886&lt;&gt;0,Q5886+H5886+L5886,0)</f>
        <v/>
      </c>
      <c r="S5886" s="9">
        <f>VLOOKUP(OPERAC[[#This Row],[especie]],[1]!ESPECIES[#Data],9,FALSE)</f>
        <v/>
      </c>
    </row>
    <row r="5887">
      <c r="A5887" s="4" t="n">
        <v>13180</v>
      </c>
      <c r="B5887" s="5" t="n">
        <v>44664</v>
      </c>
      <c r="C5887" s="13" t="inlineStr">
        <is>
          <t>CPR</t>
        </is>
      </c>
      <c r="D5887" s="13" t="n">
        <v>42</v>
      </c>
      <c r="E5887" s="10">
        <f>IF(D5887&gt;0,VLOOKUP(OPERAC[[#This Row],[COD CART]],[1]!MatrizCortoLargoCyl[#All],3,0),"")</f>
        <v/>
      </c>
      <c r="F5887" s="13" t="inlineStr">
        <is>
          <t>AMD</t>
        </is>
      </c>
      <c r="G5887" s="6" t="n">
        <v>30</v>
      </c>
      <c r="H5887" s="6" t="n">
        <v>-2963.1196359</v>
      </c>
      <c r="I5887" s="7">
        <f>-H5887/G5887</f>
        <v/>
      </c>
      <c r="J5887" s="11" t="n"/>
      <c r="K5887" s="6" t="n"/>
      <c r="L5887" s="6" t="n"/>
      <c r="M5887" s="7">
        <f>IF(N5887=0,+L5887+H5887,0)</f>
        <v/>
      </c>
      <c r="N5887" s="7">
        <f>IF((+G5887-K5887)=0,0,+G5887-K5887)</f>
        <v/>
      </c>
      <c r="O5887" s="7" t="n">
        <v>100.25</v>
      </c>
      <c r="P5887" s="7">
        <f>VLOOKUP(OPERAC[[#This Row],[especie]],[1]!ESPECIES[#All],6,0)</f>
        <v/>
      </c>
      <c r="Q5887" s="7">
        <f>IF(N5887&lt;&gt;0,P5887*N5887,0)</f>
        <v/>
      </c>
      <c r="R5887" s="8">
        <f>IF(Q5887&lt;&gt;0,Q5887+H5887+L5887,0)</f>
        <v/>
      </c>
      <c r="S5887" s="9">
        <f>VLOOKUP(OPERAC[[#This Row],[especie]],[1]!ESPECIES[#Data],9,FALSE)</f>
        <v/>
      </c>
    </row>
    <row r="5888">
      <c r="A5888" s="4" t="n">
        <v>16783</v>
      </c>
      <c r="B5888" s="5" t="n">
        <v>44631</v>
      </c>
      <c r="C5888" s="13" t="inlineStr">
        <is>
          <t>CPR</t>
        </is>
      </c>
      <c r="D5888" s="13" t="n">
        <v>42</v>
      </c>
      <c r="E5888" s="10">
        <f>IF(D5888&gt;0,VLOOKUP(OPERAC[[#This Row],[COD CART]],[1]!MatrizCortoLargoCyl[#All],3,0),"")</f>
        <v/>
      </c>
      <c r="F5888" s="13" t="inlineStr">
        <is>
          <t>AMZN</t>
        </is>
      </c>
      <c r="G5888" s="6" t="n">
        <v>1</v>
      </c>
      <c r="H5888" s="6" t="n">
        <v>-2966.98968</v>
      </c>
      <c r="I5888" s="7">
        <f>-H5888/G5888</f>
        <v/>
      </c>
      <c r="J5888" s="11" t="n">
        <v>44642</v>
      </c>
      <c r="K5888" s="6" t="n">
        <v>1</v>
      </c>
      <c r="L5888" s="6" t="n">
        <v>3286.55</v>
      </c>
      <c r="M5888" s="7">
        <f>IF(N5888=0,+L5888+H5888,0)</f>
        <v/>
      </c>
      <c r="N5888" s="7">
        <f>IF((+G5888-K5888)=0,0,+G5888-K5888)</f>
        <v/>
      </c>
      <c r="O5888" s="7">
        <f>IF(N5888=0,0,(L5888+H5888)/-N5888)</f>
        <v/>
      </c>
      <c r="P5888" s="7">
        <f>VLOOKUP(OPERAC[[#This Row],[especie]],[1]!ESPECIES[#All],6,0)</f>
        <v/>
      </c>
      <c r="Q5888" s="7">
        <f>IF(N5888&lt;&gt;0,P5888*N5888,0)</f>
        <v/>
      </c>
      <c r="R5888" s="8">
        <f>IF(Q5888&lt;&gt;0,Q5888+H5888+L5888,0)</f>
        <v/>
      </c>
      <c r="S5888" s="9">
        <f>VLOOKUP(OPERAC[[#This Row],[especie]],[1]!ESPECIES[#Data],9,FALSE)</f>
        <v/>
      </c>
    </row>
    <row r="5889">
      <c r="A5889" s="4" t="n">
        <v>2218</v>
      </c>
      <c r="B5889" s="5" t="n">
        <v>44649</v>
      </c>
      <c r="C5889" s="13" t="inlineStr">
        <is>
          <t>CPR</t>
        </is>
      </c>
      <c r="D5889" s="13" t="n">
        <v>32</v>
      </c>
      <c r="E5889" s="10">
        <f>IF(D5889&gt;0,VLOOKUP(OPERAC[[#This Row],[COD CART]],[1]!MatrizCortoLargoCyl[#All],3,0),"")</f>
        <v/>
      </c>
      <c r="F5889" s="13" t="inlineStr">
        <is>
          <t>DDD</t>
        </is>
      </c>
      <c r="G5889" s="6" t="n">
        <v>200</v>
      </c>
      <c r="H5889" s="6" t="n">
        <v>-2969.58</v>
      </c>
      <c r="I5889" s="7">
        <f>-H5889/G5889</f>
        <v/>
      </c>
      <c r="J5889" s="11" t="n"/>
      <c r="K5889" s="6" t="n"/>
      <c r="L5889" s="6" t="n"/>
      <c r="M5889" s="7">
        <f>IF(N5889=0,+L5889+H5889,0)</f>
        <v/>
      </c>
      <c r="N5889" s="7">
        <f>IF((+G5889-K5889)=0,0,+G5889-K5889)</f>
        <v/>
      </c>
      <c r="O5889" s="7">
        <f>IF(N5889=0,0,(L5889+H5889)/-N5889)</f>
        <v/>
      </c>
      <c r="P5889" s="7">
        <f>VLOOKUP(OPERAC[[#This Row],[especie]],[1]!ESPECIES[#All],6,0)</f>
        <v/>
      </c>
      <c r="Q5889" s="7">
        <f>IF(N5889&lt;&gt;0,P5889*N5889,0)</f>
        <v/>
      </c>
      <c r="R5889" s="8">
        <f>IF(Q5889&lt;&gt;0,Q5889+H5889+L5889,0)</f>
        <v/>
      </c>
      <c r="S5889" s="9">
        <f>VLOOKUP(OPERAC[[#This Row],[especie]],[1]!ESPECIES[#Data],9,FALSE)</f>
        <v/>
      </c>
    </row>
    <row r="5890">
      <c r="A5890" s="4" t="n">
        <v>15189</v>
      </c>
      <c r="B5890" s="5" t="n">
        <v>44533</v>
      </c>
      <c r="C5890" s="13" t="inlineStr">
        <is>
          <t>CPR</t>
        </is>
      </c>
      <c r="D5890" s="13" t="n">
        <v>32</v>
      </c>
      <c r="E5890" s="10">
        <f>IF(D5890&gt;0,VLOOKUP(OPERAC[[#This Row],[COD CART]],[1]!MatrizCortoLargoCyl[#All],3,0),"")</f>
        <v/>
      </c>
      <c r="F5890" s="13" t="inlineStr">
        <is>
          <t>HIMX/CYL/12,00/21-01-22</t>
        </is>
      </c>
      <c r="G5890" s="6" t="n">
        <v>300</v>
      </c>
      <c r="H5890" s="6">
        <f>-9.9*OPERAC[[#This Row],[cantidad]]</f>
        <v/>
      </c>
      <c r="I5890" s="7">
        <f>-H5890/G5890</f>
        <v/>
      </c>
      <c r="J5890" s="11" t="n">
        <v>44575</v>
      </c>
      <c r="K5890" s="6" t="n">
        <v>300</v>
      </c>
      <c r="L5890" s="6" t="n">
        <v>3511.854</v>
      </c>
      <c r="M5890" s="7">
        <f>IF(N5890=0,+L5890+H5890,0)</f>
        <v/>
      </c>
      <c r="N5890" s="7">
        <f>IF((+G5890-K5890)=0,0,+G5890-K5890)</f>
        <v/>
      </c>
      <c r="O5890" s="7">
        <f>IF(N5890=0,0,(L5890+H5890)/-N5890)</f>
        <v/>
      </c>
      <c r="P5890" s="7">
        <f>VLOOKUP(OPERAC[[#This Row],[especie]],[1]!ESPECIES[#All],6,0)</f>
        <v/>
      </c>
      <c r="Q5890" s="7">
        <f>IF(N5890&lt;&gt;0,P5890*N5890,0)</f>
        <v/>
      </c>
      <c r="R5890" s="8">
        <f>IF(Q5890&lt;&gt;0,Q5890+H5890+L5890,0)</f>
        <v/>
      </c>
      <c r="S5890" s="9">
        <f>VLOOKUP(OPERAC[[#This Row],[especie]],[1]!ESPECIES[#Data],9,FALSE)</f>
        <v/>
      </c>
    </row>
    <row r="5891">
      <c r="A5891" s="4" t="n">
        <v>15195</v>
      </c>
      <c r="B5891" s="5" t="n">
        <v>44533</v>
      </c>
      <c r="C5891" s="13" t="inlineStr">
        <is>
          <t>CPR</t>
        </is>
      </c>
      <c r="D5891" s="13" t="n">
        <v>32</v>
      </c>
      <c r="E5891" s="10">
        <f>IF(D5891&gt;0,VLOOKUP(OPERAC[[#This Row],[COD CART]],[1]!MatrizCortoLargoCyl[#All],3,0),"")</f>
        <v/>
      </c>
      <c r="F5891" s="13" t="inlineStr">
        <is>
          <t>HIMX/CYL/12,00/21-01-22</t>
        </is>
      </c>
      <c r="G5891" s="6" t="n">
        <v>300</v>
      </c>
      <c r="H5891" s="6">
        <f>-9.9*OPERAC[[#This Row],[cantidad]]</f>
        <v/>
      </c>
      <c r="I5891" s="7">
        <f>-H5891/G5891</f>
        <v/>
      </c>
      <c r="J5891" s="11" t="n">
        <v>44575</v>
      </c>
      <c r="K5891" s="6" t="n">
        <v>300</v>
      </c>
      <c r="L5891" s="6" t="n">
        <v>3511.854</v>
      </c>
      <c r="M5891" s="7">
        <f>IF(N5891=0,+L5891+H5891,0)</f>
        <v/>
      </c>
      <c r="N5891" s="7">
        <f>IF((+G5891-K5891)=0,0,+G5891-K5891)</f>
        <v/>
      </c>
      <c r="O5891" s="7">
        <f>IF(N5891=0,0,(L5891+H5891)/-N5891)</f>
        <v/>
      </c>
      <c r="P5891" s="7">
        <f>VLOOKUP(OPERAC[[#This Row],[especie]],[1]!ESPECIES[#All],6,0)</f>
        <v/>
      </c>
      <c r="Q5891" s="7">
        <f>IF(N5891&lt;&gt;0,P5891*N5891,0)</f>
        <v/>
      </c>
      <c r="R5891" s="8">
        <f>IF(Q5891&lt;&gt;0,Q5891+H5891+L5891,0)</f>
        <v/>
      </c>
      <c r="S5891" s="9">
        <f>VLOOKUP(OPERAC[[#This Row],[especie]],[1]!ESPECIES[#Data],9,FALSE)</f>
        <v/>
      </c>
    </row>
    <row r="5892">
      <c r="A5892" s="4" t="n">
        <v>18690</v>
      </c>
      <c r="B5892" s="5" t="n">
        <v>44533</v>
      </c>
      <c r="C5892" s="13" t="inlineStr">
        <is>
          <t>CPR</t>
        </is>
      </c>
      <c r="D5892" s="13" t="n">
        <v>32</v>
      </c>
      <c r="E5892" s="10">
        <f>IF(D5892&gt;0,VLOOKUP(OPERAC[[#This Row],[COD CART]],[1]!MatrizCortoLargoCyl[#All],3,0),"")</f>
        <v/>
      </c>
      <c r="F5892" s="13" t="inlineStr">
        <is>
          <t>HIMX/CYL/12,00/21-01-22</t>
        </is>
      </c>
      <c r="G5892" s="6" t="n">
        <v>300</v>
      </c>
      <c r="H5892" s="6">
        <f>-9.9*OPERAC[[#This Row],[cantidad]]</f>
        <v/>
      </c>
      <c r="I5892" s="7">
        <f>-H5892/G5892</f>
        <v/>
      </c>
      <c r="J5892" s="11" t="n">
        <v>44575</v>
      </c>
      <c r="K5892" s="6" t="n">
        <v>300</v>
      </c>
      <c r="L5892" s="6" t="n">
        <v>3511.854</v>
      </c>
      <c r="M5892" s="7">
        <f>IF(N5892=0,+L5892+H5892,0)</f>
        <v/>
      </c>
      <c r="N5892" s="7">
        <f>IF((+G5892-K5892)=0,0,+G5892-K5892)</f>
        <v/>
      </c>
      <c r="O5892" s="7">
        <f>IF(N5892=0,0,(L5892+H5892)/-N5892)</f>
        <v/>
      </c>
      <c r="P5892" s="7">
        <f>VLOOKUP(OPERAC[[#This Row],[especie]],[1]!ESPECIES[#All],6,0)</f>
        <v/>
      </c>
      <c r="Q5892" s="7">
        <f>IF(N5892&lt;&gt;0,P5892*N5892,0)</f>
        <v/>
      </c>
      <c r="R5892" s="8">
        <f>IF(Q5892&lt;&gt;0,Q5892+H5892+L5892,0)</f>
        <v/>
      </c>
      <c r="S5892" s="9">
        <f>VLOOKUP(OPERAC[[#This Row],[especie]],[1]!ESPECIES[#Data],9,FALSE)</f>
        <v/>
      </c>
    </row>
    <row r="5893">
      <c r="A5893" s="4" t="n">
        <v>12022</v>
      </c>
      <c r="B5893" s="5" t="n">
        <v>44680</v>
      </c>
      <c r="C5893" s="13" t="inlineStr">
        <is>
          <t>CPR</t>
        </is>
      </c>
      <c r="D5893" s="13" t="n">
        <v>32</v>
      </c>
      <c r="E5893" s="10">
        <f>IF(D5893&gt;0,VLOOKUP(OPERAC[[#This Row],[COD CART]],[1]!MatrizCortoLargoCyl[#All],3,0),"")</f>
        <v/>
      </c>
      <c r="F5893" s="13" t="inlineStr">
        <is>
          <t>TDOC/CYL/31,00/20-05-22</t>
        </is>
      </c>
      <c r="G5893" s="6" t="n">
        <v>100</v>
      </c>
      <c r="H5893" s="6" t="n">
        <v>-2974.26</v>
      </c>
      <c r="I5893" s="7">
        <f>-H5893/G5893</f>
        <v/>
      </c>
      <c r="J5893" s="11" t="n">
        <v>44701</v>
      </c>
      <c r="K5893" s="6" t="n">
        <v>100</v>
      </c>
      <c r="L5893" s="6" t="n">
        <v>3069.598</v>
      </c>
      <c r="M5893" s="7">
        <f>IF(N5893=0,+L5893+H5893,0)</f>
        <v/>
      </c>
      <c r="N5893" s="7">
        <f>IF((+G5893-K5893)=0,0,+G5893-K5893)</f>
        <v/>
      </c>
      <c r="O5893" s="7">
        <f>IF(N5893=0,0,(L5893+H5893)/-N5893)</f>
        <v/>
      </c>
      <c r="P5893" s="7">
        <f>VLOOKUP(OPERAC[[#This Row],[especie]],[1]!ESPECIES[#All],6,0)</f>
        <v/>
      </c>
      <c r="Q5893" s="7">
        <f>IF(N5893&lt;&gt;0,P5893*N5893,0)</f>
        <v/>
      </c>
      <c r="R5893" s="8">
        <f>IF(Q5893&lt;&gt;0,Q5893+H5893+L5893,0)</f>
        <v/>
      </c>
      <c r="S5893" s="9">
        <f>VLOOKUP(OPERAC[[#This Row],[especie]],[1]!ESPECIES[#Data],9,FALSE)</f>
        <v/>
      </c>
    </row>
    <row r="5894">
      <c r="A5894" s="4" t="n">
        <v>13240</v>
      </c>
      <c r="B5894" s="5" t="n">
        <v>44631</v>
      </c>
      <c r="C5894" s="13" t="inlineStr">
        <is>
          <t>CPR</t>
        </is>
      </c>
      <c r="D5894" s="13" t="n">
        <v>42</v>
      </c>
      <c r="E5894" s="10">
        <f>IF(D5894&gt;0,VLOOKUP(OPERAC[[#This Row],[COD CART]],[1]!MatrizCortoLargoCyl[#All],3,0),"")</f>
        <v/>
      </c>
      <c r="F5894" s="13" t="inlineStr">
        <is>
          <t>AMZN</t>
        </is>
      </c>
      <c r="G5894" s="6" t="n">
        <v>1</v>
      </c>
      <c r="H5894" s="6" t="n">
        <v>-2978.80936</v>
      </c>
      <c r="I5894" s="7">
        <f>-H5894/G5894</f>
        <v/>
      </c>
      <c r="J5894" s="11" t="n">
        <v>44642</v>
      </c>
      <c r="K5894" s="6" t="n">
        <v>1</v>
      </c>
      <c r="L5894" s="6" t="n">
        <v>3273.35</v>
      </c>
      <c r="M5894" s="7">
        <f>IF(N5894=0,+L5894+H5894,0)</f>
        <v/>
      </c>
      <c r="N5894" s="7">
        <f>IF((+G5894-K5894)=0,0,+G5894-K5894)</f>
        <v/>
      </c>
      <c r="O5894" s="7">
        <f>IF(N5894=0,0,(L5894+H5894)/-N5894)</f>
        <v/>
      </c>
      <c r="P5894" s="7">
        <f>VLOOKUP(OPERAC[[#This Row],[especie]],[1]!ESPECIES[#All],6,0)</f>
        <v/>
      </c>
      <c r="Q5894" s="7">
        <f>IF(N5894&lt;&gt;0,P5894*N5894,0)</f>
        <v/>
      </c>
      <c r="R5894" s="8">
        <f>IF(Q5894&lt;&gt;0,Q5894+H5894+L5894,0)</f>
        <v/>
      </c>
      <c r="S5894" s="9">
        <f>VLOOKUP(OPERAC[[#This Row],[especie]],[1]!ESPECIES[#Data],9,FALSE)</f>
        <v/>
      </c>
    </row>
    <row r="5895">
      <c r="A5895" s="4" t="n">
        <v>19932</v>
      </c>
      <c r="B5895" s="5" t="n">
        <v>44631</v>
      </c>
      <c r="C5895" s="13" t="inlineStr">
        <is>
          <t>CPR</t>
        </is>
      </c>
      <c r="D5895" s="13" t="n">
        <v>42</v>
      </c>
      <c r="E5895" s="10">
        <f>IF(D5895&gt;0,VLOOKUP(OPERAC[[#This Row],[COD CART]],[1]!MatrizCortoLargoCyl[#All],3,0),"")</f>
        <v/>
      </c>
      <c r="F5895" s="13" t="inlineStr">
        <is>
          <t>AMZN</t>
        </is>
      </c>
      <c r="G5895" s="6" t="n">
        <v>1</v>
      </c>
      <c r="H5895" s="6" t="n">
        <v>-2978.80936</v>
      </c>
      <c r="I5895" s="7">
        <f>-H5895/G5895</f>
        <v/>
      </c>
      <c r="J5895" s="11" t="n">
        <v>44642</v>
      </c>
      <c r="K5895" s="6" t="n">
        <v>1</v>
      </c>
      <c r="L5895" s="6" t="n">
        <v>3273.35</v>
      </c>
      <c r="M5895" s="7">
        <f>IF(N5895=0,+L5895+H5895,0)</f>
        <v/>
      </c>
      <c r="N5895" s="7">
        <f>IF((+G5895-K5895)=0,0,+G5895-K5895)</f>
        <v/>
      </c>
      <c r="O5895" s="7">
        <f>IF(N5895=0,0,(L5895+H5895)/-N5895)</f>
        <v/>
      </c>
      <c r="P5895" s="7">
        <f>VLOOKUP(OPERAC[[#This Row],[especie]],[1]!ESPECIES[#All],6,0)</f>
        <v/>
      </c>
      <c r="Q5895" s="7">
        <f>IF(N5895&lt;&gt;0,P5895*N5895,0)</f>
        <v/>
      </c>
      <c r="R5895" s="8">
        <f>IF(Q5895&lt;&gt;0,Q5895+H5895+L5895,0)</f>
        <v/>
      </c>
      <c r="S5895" s="9">
        <f>VLOOKUP(OPERAC[[#This Row],[especie]],[1]!ESPECIES[#Data],9,FALSE)</f>
        <v/>
      </c>
    </row>
    <row r="5896">
      <c r="A5896" s="4" t="n">
        <v>13180</v>
      </c>
      <c r="B5896" s="5" t="n">
        <v>44616</v>
      </c>
      <c r="C5896" s="13" t="inlineStr">
        <is>
          <t>CPR</t>
        </is>
      </c>
      <c r="D5896" s="13" t="n">
        <v>32</v>
      </c>
      <c r="E5896" s="10">
        <f>IF(D5896&gt;0,VLOOKUP(OPERAC[[#This Row],[COD CART]],[1]!MatrizCortoLargoCyl[#All],3,0),"")</f>
        <v/>
      </c>
      <c r="F5896" s="13" t="inlineStr">
        <is>
          <t>HMY/CYL/4,00/14-04-22</t>
        </is>
      </c>
      <c r="G5896" s="6" t="n">
        <v>800</v>
      </c>
      <c r="H5896" s="6" t="n">
        <v>-2981.344</v>
      </c>
      <c r="I5896" s="7">
        <f>-H5896/G5896</f>
        <v/>
      </c>
      <c r="J5896" s="11" t="n">
        <v>44643</v>
      </c>
      <c r="K5896" s="6" t="n">
        <v>800</v>
      </c>
      <c r="L5896" s="6" t="n">
        <v>3147.18</v>
      </c>
      <c r="M5896" s="7">
        <f>IF(N5896=0,+L5896+H5896,0)</f>
        <v/>
      </c>
      <c r="N5896" s="7">
        <f>IF((+G5896-K5896)=0,0,+G5896-K5896)</f>
        <v/>
      </c>
      <c r="O5896" s="7">
        <f>IF(N5896=0,0,(L5896+H5896)/-N5896)</f>
        <v/>
      </c>
      <c r="P5896" s="7">
        <f>VLOOKUP(OPERAC[[#This Row],[especie]],[1]!ESPECIES[#All],6,0)</f>
        <v/>
      </c>
      <c r="Q5896" s="7">
        <f>IF(N5896&lt;&gt;0,P5896*N5896,0)</f>
        <v/>
      </c>
      <c r="R5896" s="8">
        <f>IF(Q5896&lt;&gt;0,Q5896+H5896+L5896,0)</f>
        <v/>
      </c>
      <c r="S5896" s="9">
        <f>VLOOKUP(OPERAC[[#This Row],[especie]],[1]!ESPECIES[#Data],9,FALSE)</f>
        <v/>
      </c>
    </row>
    <row r="5897">
      <c r="A5897" s="4" t="n">
        <v>13253</v>
      </c>
      <c r="B5897" s="5" t="n">
        <v>44616</v>
      </c>
      <c r="C5897" s="13" t="inlineStr">
        <is>
          <t>CPR</t>
        </is>
      </c>
      <c r="D5897" s="13" t="n">
        <v>41</v>
      </c>
      <c r="E5897" s="10">
        <f>IF(D5897&gt;0,VLOOKUP(OPERAC[[#This Row],[COD CART]],[1]!MatrizCortoLargoCyl[#All],3,0),"")</f>
        <v/>
      </c>
      <c r="F5897" s="13" t="inlineStr">
        <is>
          <t>KWEB/CYL/30,00/10-06-22</t>
        </is>
      </c>
      <c r="G5897" s="6" t="n">
        <v>100</v>
      </c>
      <c r="H5897" s="6">
        <f>-30.41*OPERAC[[#This Row],[cantidad]]+52.55</f>
        <v/>
      </c>
      <c r="I5897" s="7">
        <f>-H5897/G5897</f>
        <v/>
      </c>
      <c r="J5897" s="11" t="n">
        <v>44722</v>
      </c>
      <c r="K5897" s="6" t="n">
        <v>100</v>
      </c>
      <c r="L5897" s="6" t="n">
        <v>2974.5</v>
      </c>
      <c r="M5897" s="7">
        <f>IF(N5897=0,+L5897+H5897,0)</f>
        <v/>
      </c>
      <c r="N5897" s="7">
        <f>IF((+G5897-K5897)=0,0,+G5897-K5897)</f>
        <v/>
      </c>
      <c r="O5897" s="7">
        <f>IF(N5897=0,0,(L5897+H5897)/-N5897)</f>
        <v/>
      </c>
      <c r="P5897" s="7">
        <f>VLOOKUP(OPERAC[[#This Row],[especie]],[1]!ESPECIES[#All],6,0)</f>
        <v/>
      </c>
      <c r="Q5897" s="7">
        <f>IF(N5897&lt;&gt;0,P5897*N5897,0)</f>
        <v/>
      </c>
      <c r="R5897" s="8">
        <f>IF(Q5897&lt;&gt;0,Q5897+H5897+L5897,0)</f>
        <v/>
      </c>
      <c r="S5897" s="9">
        <f>VLOOKUP(OPERAC[[#This Row],[especie]],[1]!ESPECIES[#Data],9,FALSE)</f>
        <v/>
      </c>
    </row>
    <row r="5898">
      <c r="A5898" s="4" t="n">
        <v>2218</v>
      </c>
      <c r="B5898" s="5" t="n">
        <v>44558</v>
      </c>
      <c r="C5898" s="13" t="inlineStr">
        <is>
          <t>CPR</t>
        </is>
      </c>
      <c r="D5898" s="13" t="n">
        <v>40</v>
      </c>
      <c r="E5898" s="10">
        <f>IF(D5898&gt;0,VLOOKUP(OPERAC[[#This Row],[COD CART]],[1]!MatrizCortoLargoCyl[#All],3,0),"")</f>
        <v/>
      </c>
      <c r="F5898" s="13" t="inlineStr">
        <is>
          <t>UPST</t>
        </is>
      </c>
      <c r="G5898" s="6" t="n">
        <v>20</v>
      </c>
      <c r="H5898" s="6" t="n">
        <v>-2991.088</v>
      </c>
      <c r="I5898" s="7">
        <f>-H5898/G5898</f>
        <v/>
      </c>
      <c r="J5898" s="11" t="n">
        <v>44606</v>
      </c>
      <c r="K5898" s="6">
        <f>+OPERAC[[#This Row],[cantidad]]</f>
        <v/>
      </c>
      <c r="L5898" s="6">
        <f>+OPERAC[[#This Row],[cantidad venta]]*98.994</f>
        <v/>
      </c>
      <c r="M5898" s="7">
        <f>IF(N5898=0,+L5898+H5898,0)</f>
        <v/>
      </c>
      <c r="N5898" s="7">
        <f>IF((+G5898-K5898)=0,0,+G5898-K5898)</f>
        <v/>
      </c>
      <c r="O5898" s="7">
        <f>IF(N5898=0,0,(L5898+H5898)/-N5898)</f>
        <v/>
      </c>
      <c r="P5898" s="7">
        <f>VLOOKUP(OPERAC[[#This Row],[especie]],[1]!ESPECIES[#All],6,0)</f>
        <v/>
      </c>
      <c r="Q5898" s="7">
        <f>IF(N5898&lt;&gt;0,P5898*N5898,0)</f>
        <v/>
      </c>
      <c r="R5898" s="8">
        <f>IF(Q5898&lt;&gt;0,Q5898+H5898+L5898,0)</f>
        <v/>
      </c>
      <c r="S5898" s="9">
        <f>VLOOKUP(OPERAC[[#This Row],[especie]],[1]!ESPECIES[#Data],9,FALSE)</f>
        <v/>
      </c>
    </row>
    <row r="5899">
      <c r="A5899" s="4" t="n">
        <v>3728</v>
      </c>
      <c r="B5899" s="5" t="n">
        <v>44558</v>
      </c>
      <c r="C5899" s="13" t="inlineStr">
        <is>
          <t>CPR</t>
        </is>
      </c>
      <c r="D5899" s="13" t="n">
        <v>40</v>
      </c>
      <c r="E5899" s="10">
        <f>IF(D5899&gt;0,VLOOKUP(OPERAC[[#This Row],[COD CART]],[1]!MatrizCortoLargoCyl[#All],3,0),"")</f>
        <v/>
      </c>
      <c r="F5899" s="13" t="inlineStr">
        <is>
          <t>UPST</t>
        </is>
      </c>
      <c r="G5899" s="6" t="n">
        <v>20</v>
      </c>
      <c r="H5899" s="6" t="n">
        <v>-2991.088</v>
      </c>
      <c r="I5899" s="7">
        <f>-H5899/G5899</f>
        <v/>
      </c>
      <c r="J5899" s="11" t="n">
        <v>44606</v>
      </c>
      <c r="K5899" s="6">
        <f>+OPERAC[[#This Row],[cantidad]]</f>
        <v/>
      </c>
      <c r="L5899" s="6">
        <f>+OPERAC[[#This Row],[cantidad venta]]*98.994</f>
        <v/>
      </c>
      <c r="M5899" s="7">
        <f>IF(N5899=0,+L5899+H5899,0)</f>
        <v/>
      </c>
      <c r="N5899" s="7">
        <f>IF((+G5899-K5899)=0,0,+G5899-K5899)</f>
        <v/>
      </c>
      <c r="O5899" s="7">
        <f>IF(N5899=0,0,(L5899+H5899)/-N5899)</f>
        <v/>
      </c>
      <c r="P5899" s="7">
        <f>VLOOKUP(OPERAC[[#This Row],[especie]],[1]!ESPECIES[#All],6,0)</f>
        <v/>
      </c>
      <c r="Q5899" s="7">
        <f>IF(N5899&lt;&gt;0,P5899*N5899,0)</f>
        <v/>
      </c>
      <c r="R5899" s="8">
        <f>IF(Q5899&lt;&gt;0,Q5899+H5899+L5899,0)</f>
        <v/>
      </c>
      <c r="S5899" s="9">
        <f>VLOOKUP(OPERAC[[#This Row],[especie]],[1]!ESPECIES[#Data],9,FALSE)</f>
        <v/>
      </c>
    </row>
    <row r="5900">
      <c r="A5900" s="4" t="n">
        <v>18651</v>
      </c>
      <c r="B5900" s="5" t="n">
        <v>44649</v>
      </c>
      <c r="C5900" s="13" t="inlineStr">
        <is>
          <t>CPR</t>
        </is>
      </c>
      <c r="D5900" s="13" t="n">
        <v>32</v>
      </c>
      <c r="E5900" s="10">
        <f>IF(D5900&gt;0,VLOOKUP(OPERAC[[#This Row],[COD CART]],[1]!MatrizCortoLargoCyl[#All],3,0),"")</f>
        <v/>
      </c>
      <c r="F5900" s="13" t="inlineStr">
        <is>
          <t>DDD</t>
        </is>
      </c>
      <c r="G5900" s="6" t="n">
        <v>200</v>
      </c>
      <c r="H5900" s="6" t="n">
        <v>-2997.897</v>
      </c>
      <c r="I5900" s="7">
        <f>-H5900/G5900</f>
        <v/>
      </c>
      <c r="J5900" s="11" t="n"/>
      <c r="K5900" s="6" t="n"/>
      <c r="L5900" s="6" t="n"/>
      <c r="M5900" s="7">
        <f>IF(N5900=0,+L5900+H5900,0)</f>
        <v/>
      </c>
      <c r="N5900" s="7">
        <f>IF((+G5900-K5900)=0,0,+G5900-K5900)</f>
        <v/>
      </c>
      <c r="O5900" s="7">
        <f>IF(N5900=0,0,(L5900+H5900)/-N5900)</f>
        <v/>
      </c>
      <c r="P5900" s="7">
        <f>VLOOKUP(OPERAC[[#This Row],[especie]],[1]!ESPECIES[#All],6,0)</f>
        <v/>
      </c>
      <c r="Q5900" s="7">
        <f>IF(N5900&lt;&gt;0,P5900*N5900,0)</f>
        <v/>
      </c>
      <c r="R5900" s="8">
        <f>IF(Q5900&lt;&gt;0,Q5900+H5900+L5900,0)</f>
        <v/>
      </c>
      <c r="S5900" s="9">
        <f>VLOOKUP(OPERAC[[#This Row],[especie]],[1]!ESPECIES[#Data],9,FALSE)</f>
        <v/>
      </c>
    </row>
    <row r="5901">
      <c r="A5901" s="4" t="n">
        <v>12690</v>
      </c>
      <c r="B5901" s="5" t="n">
        <v>44579</v>
      </c>
      <c r="C5901" s="13" t="inlineStr">
        <is>
          <t>CPR</t>
        </is>
      </c>
      <c r="D5901" s="13" t="n">
        <v>40</v>
      </c>
      <c r="E5901" s="10">
        <f>IF(D5901&gt;0,VLOOKUP(OPERAC[[#This Row],[COD CART]],[1]!MatrizCortoLargoCyl[#All],3,0),"")</f>
        <v/>
      </c>
      <c r="F5901" s="13" t="inlineStr">
        <is>
          <t>VLY</t>
        </is>
      </c>
      <c r="G5901" s="6" t="n">
        <v>200</v>
      </c>
      <c r="H5901" s="6" t="n">
        <v>-3008.87</v>
      </c>
      <c r="I5901" s="7">
        <f>-H5901/G5901</f>
        <v/>
      </c>
      <c r="J5901" s="11" t="n">
        <v>44606</v>
      </c>
      <c r="K5901" s="6">
        <f>+OPERAC[[#This Row],[cantidad]]</f>
        <v/>
      </c>
      <c r="L5901" s="6">
        <f>+OPERAC[[#This Row],[cantidad venta]]*14.121</f>
        <v/>
      </c>
      <c r="M5901" s="7">
        <f>IF(N5901=0,+L5901+H5901,0)</f>
        <v/>
      </c>
      <c r="N5901" s="7">
        <f>IF((+G5901-K5901)=0,0,+G5901-K5901)</f>
        <v/>
      </c>
      <c r="O5901" s="7">
        <f>IF(N5901=0,0,(L5901+H5901)/-N5901)</f>
        <v/>
      </c>
      <c r="P5901" s="7">
        <f>VLOOKUP(OPERAC[[#This Row],[especie]],[1]!ESPECIES[#All],6,0)</f>
        <v/>
      </c>
      <c r="Q5901" s="7">
        <f>IF(N5901&lt;&gt;0,P5901*N5901,0)</f>
        <v/>
      </c>
      <c r="R5901" s="8">
        <f>IF(Q5901&lt;&gt;0,Q5901+H5901+L5901,0)</f>
        <v/>
      </c>
      <c r="S5901" s="9">
        <f>VLOOKUP(OPERAC[[#This Row],[especie]],[1]!ESPECIES[#Data],9,FALSE)</f>
        <v/>
      </c>
    </row>
    <row r="5902">
      <c r="A5902" s="4" t="n">
        <v>13240</v>
      </c>
      <c r="B5902" s="5" t="n">
        <v>44579</v>
      </c>
      <c r="C5902" s="13" t="inlineStr">
        <is>
          <t>CPR</t>
        </is>
      </c>
      <c r="D5902" s="13" t="n">
        <v>40</v>
      </c>
      <c r="E5902" s="10">
        <f>IF(D5902&gt;0,VLOOKUP(OPERAC[[#This Row],[COD CART]],[1]!MatrizCortoLargoCyl[#All],3,0),"")</f>
        <v/>
      </c>
      <c r="F5902" s="13" t="inlineStr">
        <is>
          <t>VLY</t>
        </is>
      </c>
      <c r="G5902" s="6" t="n">
        <v>200</v>
      </c>
      <c r="H5902" s="6" t="n">
        <v>-3008.87</v>
      </c>
      <c r="I5902" s="7">
        <f>-H5902/G5902</f>
        <v/>
      </c>
      <c r="J5902" s="11" t="n">
        <v>44606</v>
      </c>
      <c r="K5902" s="6">
        <f>+OPERAC[[#This Row],[cantidad]]</f>
        <v/>
      </c>
      <c r="L5902" s="6">
        <f>+OPERAC[[#This Row],[cantidad venta]]*14.121</f>
        <v/>
      </c>
      <c r="M5902" s="7">
        <f>IF(N5902=0,+L5902+H5902,0)</f>
        <v/>
      </c>
      <c r="N5902" s="7">
        <f>IF((+G5902-K5902)=0,0,+G5902-K5902)</f>
        <v/>
      </c>
      <c r="O5902" s="7">
        <f>IF(N5902=0,0,(L5902+H5902)/-N5902)</f>
        <v/>
      </c>
      <c r="P5902" s="7">
        <f>VLOOKUP(OPERAC[[#This Row],[especie]],[1]!ESPECIES[#All],6,0)</f>
        <v/>
      </c>
      <c r="Q5902" s="7">
        <f>IF(N5902&lt;&gt;0,P5902*N5902,0)</f>
        <v/>
      </c>
      <c r="R5902" s="8">
        <f>IF(Q5902&lt;&gt;0,Q5902+H5902+L5902,0)</f>
        <v/>
      </c>
      <c r="S5902" s="9">
        <f>VLOOKUP(OPERAC[[#This Row],[especie]],[1]!ESPECIES[#Data],9,FALSE)</f>
        <v/>
      </c>
    </row>
    <row r="5903">
      <c r="A5903" s="4" t="n">
        <v>13246</v>
      </c>
      <c r="B5903" s="5" t="n">
        <v>44579</v>
      </c>
      <c r="C5903" s="13" t="inlineStr">
        <is>
          <t>CPR</t>
        </is>
      </c>
      <c r="D5903" s="13" t="n">
        <v>40</v>
      </c>
      <c r="E5903" s="10">
        <f>IF(D5903&gt;0,VLOOKUP(OPERAC[[#This Row],[COD CART]],[1]!MatrizCortoLargoCyl[#All],3,0),"")</f>
        <v/>
      </c>
      <c r="F5903" s="13" t="inlineStr">
        <is>
          <t>VLY</t>
        </is>
      </c>
      <c r="G5903" s="6" t="n">
        <v>200</v>
      </c>
      <c r="H5903" s="6" t="n">
        <v>-3008.87</v>
      </c>
      <c r="I5903" s="7">
        <f>-H5903/G5903</f>
        <v/>
      </c>
      <c r="J5903" s="11" t="n">
        <v>44606</v>
      </c>
      <c r="K5903" s="6">
        <f>+OPERAC[[#This Row],[cantidad]]</f>
        <v/>
      </c>
      <c r="L5903" s="6">
        <f>+OPERAC[[#This Row],[cantidad venta]]*14.121</f>
        <v/>
      </c>
      <c r="M5903" s="7">
        <f>IF(N5903=0,+L5903+H5903,0)</f>
        <v/>
      </c>
      <c r="N5903" s="7">
        <f>IF((+G5903-K5903)=0,0,+G5903-K5903)</f>
        <v/>
      </c>
      <c r="O5903" s="7">
        <f>IF(N5903=0,0,(L5903+H5903)/-N5903)</f>
        <v/>
      </c>
      <c r="P5903" s="7">
        <f>VLOOKUP(OPERAC[[#This Row],[especie]],[1]!ESPECIES[#All],6,0)</f>
        <v/>
      </c>
      <c r="Q5903" s="7">
        <f>IF(N5903&lt;&gt;0,P5903*N5903,0)</f>
        <v/>
      </c>
      <c r="R5903" s="8">
        <f>IF(Q5903&lt;&gt;0,Q5903+H5903+L5903,0)</f>
        <v/>
      </c>
      <c r="S5903" s="9">
        <f>VLOOKUP(OPERAC[[#This Row],[especie]],[1]!ESPECIES[#Data],9,FALSE)</f>
        <v/>
      </c>
    </row>
    <row r="5904">
      <c r="A5904" s="4" t="n">
        <v>16776</v>
      </c>
      <c r="B5904" s="5" t="n">
        <v>44579</v>
      </c>
      <c r="C5904" s="13" t="inlineStr">
        <is>
          <t>CPR</t>
        </is>
      </c>
      <c r="D5904" s="13" t="n">
        <v>40</v>
      </c>
      <c r="E5904" s="10">
        <f>IF(D5904&gt;0,VLOOKUP(OPERAC[[#This Row],[COD CART]],[1]!MatrizCortoLargoCyl[#All],3,0),"")</f>
        <v/>
      </c>
      <c r="F5904" s="13" t="inlineStr">
        <is>
          <t>VLY</t>
        </is>
      </c>
      <c r="G5904" s="6" t="n">
        <v>200</v>
      </c>
      <c r="H5904" s="6" t="n">
        <v>-3008.87</v>
      </c>
      <c r="I5904" s="7">
        <f>-H5904/G5904</f>
        <v/>
      </c>
      <c r="J5904" s="11" t="n">
        <v>44606</v>
      </c>
      <c r="K5904" s="6">
        <f>+OPERAC[[#This Row],[cantidad]]</f>
        <v/>
      </c>
      <c r="L5904" s="6">
        <f>+OPERAC[[#This Row],[cantidad venta]]*14.121</f>
        <v/>
      </c>
      <c r="M5904" s="7">
        <f>IF(N5904=0,+L5904+H5904,0)</f>
        <v/>
      </c>
      <c r="N5904" s="7">
        <f>IF((+G5904-K5904)=0,0,+G5904-K5904)</f>
        <v/>
      </c>
      <c r="O5904" s="7">
        <f>IF(N5904=0,0,(L5904+H5904)/-N5904)</f>
        <v/>
      </c>
      <c r="P5904" s="7">
        <f>VLOOKUP(OPERAC[[#This Row],[especie]],[1]!ESPECIES[#All],6,0)</f>
        <v/>
      </c>
      <c r="Q5904" s="7">
        <f>IF(N5904&lt;&gt;0,P5904*N5904,0)</f>
        <v/>
      </c>
      <c r="R5904" s="8">
        <f>IF(Q5904&lt;&gt;0,Q5904+H5904+L5904,0)</f>
        <v/>
      </c>
      <c r="S5904" s="9">
        <f>VLOOKUP(OPERAC[[#This Row],[especie]],[1]!ESPECIES[#Data],9,FALSE)</f>
        <v/>
      </c>
    </row>
    <row r="5905">
      <c r="A5905" s="4" t="n">
        <v>18651</v>
      </c>
      <c r="B5905" s="5" t="n">
        <v>44558</v>
      </c>
      <c r="C5905" s="13" t="inlineStr">
        <is>
          <t>CPR</t>
        </is>
      </c>
      <c r="D5905" s="13" t="n">
        <v>40</v>
      </c>
      <c r="E5905" s="10">
        <f>IF(D5905&gt;0,VLOOKUP(OPERAC[[#This Row],[COD CART]],[1]!MatrizCortoLargoCyl[#All],3,0),"")</f>
        <v/>
      </c>
      <c r="F5905" s="13" t="inlineStr">
        <is>
          <t>UPST</t>
        </is>
      </c>
      <c r="G5905" s="6" t="n">
        <v>20</v>
      </c>
      <c r="H5905" s="6" t="n">
        <v>-3012.004</v>
      </c>
      <c r="I5905" s="7">
        <f>-H5905/G5905</f>
        <v/>
      </c>
      <c r="J5905" s="11" t="n">
        <v>44606</v>
      </c>
      <c r="K5905" s="6">
        <f>+OPERAC[[#This Row],[cantidad]]</f>
        <v/>
      </c>
      <c r="L5905" s="6">
        <f>+OPERAC[[#This Row],[cantidad venta]]*98.994</f>
        <v/>
      </c>
      <c r="M5905" s="7">
        <f>IF(N5905=0,+L5905+H5905,0)</f>
        <v/>
      </c>
      <c r="N5905" s="7">
        <f>IF((+G5905-K5905)=0,0,+G5905-K5905)</f>
        <v/>
      </c>
      <c r="O5905" s="7">
        <f>IF(N5905=0,0,(L5905+H5905)/-N5905)</f>
        <v/>
      </c>
      <c r="P5905" s="7">
        <f>VLOOKUP(OPERAC[[#This Row],[especie]],[1]!ESPECIES[#All],6,0)</f>
        <v/>
      </c>
      <c r="Q5905" s="7">
        <f>IF(N5905&lt;&gt;0,P5905*N5905,0)</f>
        <v/>
      </c>
      <c r="R5905" s="8">
        <f>IF(Q5905&lt;&gt;0,Q5905+H5905+L5905,0)</f>
        <v/>
      </c>
      <c r="S5905" s="9">
        <f>VLOOKUP(OPERAC[[#This Row],[especie]],[1]!ESPECIES[#Data],9,FALSE)</f>
        <v/>
      </c>
    </row>
    <row r="5906">
      <c r="A5906" s="4" t="n">
        <v>1760</v>
      </c>
      <c r="B5906" s="5" t="n">
        <v>44693</v>
      </c>
      <c r="C5906" s="13" t="inlineStr">
        <is>
          <t>CPR</t>
        </is>
      </c>
      <c r="D5906" s="13" t="n">
        <v>40</v>
      </c>
      <c r="E5906" s="10">
        <f>IF(D5906&gt;0,VLOOKUP(OPERAC[[#This Row],[COD CART]],[1]!MatrizCortoLargoCyl[#All],3,0),"")</f>
        <v/>
      </c>
      <c r="F5906" s="13" t="inlineStr">
        <is>
          <t>TGS</t>
        </is>
      </c>
      <c r="G5906" s="6" t="n">
        <v>500</v>
      </c>
      <c r="H5906" s="6" t="n">
        <v>-3012.467</v>
      </c>
      <c r="I5906" s="7">
        <f>-H5906/G5906</f>
        <v/>
      </c>
      <c r="J5906" s="11" t="n"/>
      <c r="K5906" s="6" t="n"/>
      <c r="L5906" s="6" t="n"/>
      <c r="M5906" s="7">
        <f>IF(N5906=0,+L5906+H5906,0)</f>
        <v/>
      </c>
      <c r="N5906" s="7">
        <f>IF((+G5906-K5906)=0,0,+G5906-K5906)</f>
        <v/>
      </c>
      <c r="O5906" s="7">
        <f>IF(N5906=0,0,(L5906+H5906)/-N5906)</f>
        <v/>
      </c>
      <c r="P5906" s="7">
        <f>VLOOKUP(OPERAC[[#This Row],[especie]],[1]!ESPECIES[#All],6,0)</f>
        <v/>
      </c>
      <c r="Q5906" s="7">
        <f>IF(N5906&lt;&gt;0,P5906*N5906,0)</f>
        <v/>
      </c>
      <c r="R5906" s="8">
        <f>IF(Q5906&lt;&gt;0,Q5906+H5906+L5906,0)</f>
        <v/>
      </c>
      <c r="S5906" s="9">
        <f>VLOOKUP(OPERAC[[#This Row],[especie]],[1]!ESPECIES[#Data],9,FALSE)</f>
        <v/>
      </c>
    </row>
    <row r="5907">
      <c r="A5907" s="4" t="n">
        <v>16783</v>
      </c>
      <c r="B5907" s="5" t="n">
        <v>44543</v>
      </c>
      <c r="C5907" s="13" t="inlineStr">
        <is>
          <t>CPR</t>
        </is>
      </c>
      <c r="D5907" s="13" t="n">
        <v>31</v>
      </c>
      <c r="E5907" s="10">
        <f>IF(D5907&gt;0,VLOOKUP(OPERAC[[#This Row],[COD CART]],[1]!MatrizCortoLargoCyl[#All],3,0),"")</f>
        <v/>
      </c>
      <c r="F5907" s="13" t="inlineStr">
        <is>
          <t>BBAR</t>
        </is>
      </c>
      <c r="G5907" s="6" t="n">
        <v>1000</v>
      </c>
      <c r="H5907" s="6" t="n">
        <v>-3017</v>
      </c>
      <c r="I5907" s="7">
        <f>-H5907/G5907</f>
        <v/>
      </c>
      <c r="J5907" s="11" t="n">
        <v>44678</v>
      </c>
      <c r="K5907" s="6" t="n">
        <v>1000</v>
      </c>
      <c r="L5907" s="6" t="n">
        <v>2995.985</v>
      </c>
      <c r="M5907" s="7">
        <f>IF(N5907=0,+L5907+H5907,0)</f>
        <v/>
      </c>
      <c r="N5907" s="7">
        <f>IF((+G5907-K5907)=0,0,+G5907-K5907)</f>
        <v/>
      </c>
      <c r="O5907" s="7">
        <f>IF(N5907=0,0,(L5907+H5907)/-N5907)</f>
        <v/>
      </c>
      <c r="P5907" s="7">
        <f>VLOOKUP(OPERAC[[#This Row],[especie]],[1]!ESPECIES[#All],6,0)</f>
        <v/>
      </c>
      <c r="Q5907" s="7">
        <f>IF(N5907&lt;&gt;0,P5907*N5907,0)</f>
        <v/>
      </c>
      <c r="R5907" s="8">
        <f>IF(Q5907&lt;&gt;0,Q5907+H5907+L5907,0)</f>
        <v/>
      </c>
      <c r="S5907" s="9">
        <f>VLOOKUP(OPERAC[[#This Row],[especie]],[1]!ESPECIES[#Data],9,FALSE)</f>
        <v/>
      </c>
    </row>
    <row r="5908">
      <c r="A5908" s="4" t="n">
        <v>13253</v>
      </c>
      <c r="B5908" s="5" t="n">
        <v>44585</v>
      </c>
      <c r="C5908" s="13" t="inlineStr">
        <is>
          <t>CPR</t>
        </is>
      </c>
      <c r="D5908" s="13" t="n">
        <v>41</v>
      </c>
      <c r="E5908" s="10">
        <f>IF(D5908&gt;0,VLOOKUP(OPERAC[[#This Row],[COD CART]],[1]!MatrizCortoLargoCyl[#All],3,0),"")</f>
        <v/>
      </c>
      <c r="F5908" s="13" t="inlineStr">
        <is>
          <t>STOR</t>
        </is>
      </c>
      <c r="G5908" s="6" t="n">
        <v>100</v>
      </c>
      <c r="H5908" s="6" t="n">
        <v>-3023.99</v>
      </c>
      <c r="I5908" s="7">
        <f>-H5908/G5908</f>
        <v/>
      </c>
      <c r="J5908" s="11" t="n"/>
      <c r="K5908" s="6" t="n"/>
      <c r="L5908" s="6" t="n"/>
      <c r="M5908" s="7">
        <f>IF(N5908=0,+L5908+H5908,0)</f>
        <v/>
      </c>
      <c r="N5908" s="7">
        <f>IF((+G5908-K5908)=0,0,+G5908-K5908)</f>
        <v/>
      </c>
      <c r="O5908" s="7">
        <f>IF(N5908=0,0,(L5908+H5908)/-N5908)</f>
        <v/>
      </c>
      <c r="P5908" s="7">
        <f>VLOOKUP(OPERAC[[#This Row],[especie]],[1]!ESPECIES[#All],6,0)</f>
        <v/>
      </c>
      <c r="Q5908" s="7">
        <f>IF(N5908&lt;&gt;0,P5908*N5908,0)</f>
        <v/>
      </c>
      <c r="R5908" s="8">
        <f>IF(Q5908&lt;&gt;0,Q5908+H5908+L5908,0)</f>
        <v/>
      </c>
      <c r="S5908" s="9">
        <f>VLOOKUP(OPERAC[[#This Row],[especie]],[1]!ESPECIES[#Data],9,FALSE)</f>
        <v/>
      </c>
    </row>
    <row r="5909">
      <c r="A5909" s="4" t="n">
        <v>2218</v>
      </c>
      <c r="B5909" s="5" t="n">
        <v>44536</v>
      </c>
      <c r="C5909" s="13" t="inlineStr">
        <is>
          <t>CPR</t>
        </is>
      </c>
      <c r="D5909" s="13" t="n">
        <v>43</v>
      </c>
      <c r="E5909" s="10">
        <f>IF(D5909&gt;0,VLOOKUP(OPERAC[[#This Row],[COD CART]],[1]!MatrizCortoLargoCyl[#All],3,0),"")</f>
        <v/>
      </c>
      <c r="F5909" s="13" t="inlineStr">
        <is>
          <t>NNDM/CYL-PUT/2,50/19-01-24</t>
        </is>
      </c>
      <c r="G5909" s="6" t="n">
        <v>2800</v>
      </c>
      <c r="H5909" s="6">
        <f>-1.08*OPERAC[[#This Row],[cantidad]]</f>
        <v/>
      </c>
      <c r="I5909" s="7">
        <f>-H5909/G5909</f>
        <v/>
      </c>
      <c r="J5909" s="11" t="n"/>
      <c r="K5909" s="6" t="n"/>
      <c r="L5909" s="6" t="n"/>
      <c r="M5909" s="7">
        <f>IF(N5909=0,+L5909+H5909,0)</f>
        <v/>
      </c>
      <c r="N5909" s="7">
        <f>IF((+G5909-K5909)=0,0,+G5909-K5909)</f>
        <v/>
      </c>
      <c r="O5909" s="7">
        <f>IF(N5909=0,0,(L5909+H5909)/-N5909)</f>
        <v/>
      </c>
      <c r="P5909" s="7">
        <f>VLOOKUP(OPERAC[[#This Row],[especie]],[1]!ESPECIES[#All],6,0)</f>
        <v/>
      </c>
      <c r="Q5909" s="7">
        <f>IF(N5909&lt;&gt;0,P5909*N5909,0)</f>
        <v/>
      </c>
      <c r="R5909" s="8">
        <f>IF(Q5909&lt;&gt;0,Q5909+H5909+L5909,0)</f>
        <v/>
      </c>
      <c r="S5909" s="9">
        <f>VLOOKUP(OPERAC[[#This Row],[especie]],[1]!ESPECIES[#Data],9,FALSE)</f>
        <v/>
      </c>
    </row>
    <row r="5910">
      <c r="A5910" s="4" t="n">
        <v>13180</v>
      </c>
      <c r="B5910" s="5" t="n">
        <v>44594</v>
      </c>
      <c r="C5910" s="13" t="inlineStr">
        <is>
          <t>CPR</t>
        </is>
      </c>
      <c r="D5910" s="13" t="n">
        <v>40</v>
      </c>
      <c r="E5910" s="10">
        <f>IF(D5910&gt;0,VLOOKUP(OPERAC[[#This Row],[COD CART]],[1]!MatrizCortoLargoCyl[#All],3,0),"")</f>
        <v/>
      </c>
      <c r="F5910" s="13" t="inlineStr">
        <is>
          <t>EDU</t>
        </is>
      </c>
      <c r="G5910" s="6" t="n">
        <v>1500</v>
      </c>
      <c r="H5910" s="6" t="n">
        <v>-3024</v>
      </c>
      <c r="I5910" s="7">
        <f>-H5910/G5910</f>
        <v/>
      </c>
      <c r="J5910" s="11" t="n">
        <v>44601</v>
      </c>
      <c r="K5910" s="6" t="n">
        <v>1500</v>
      </c>
      <c r="L5910" s="6">
        <f>1.642*1500</f>
        <v/>
      </c>
      <c r="M5910" s="7">
        <f>IF(N5910=0,+L5910+H5910,0)</f>
        <v/>
      </c>
      <c r="N5910" s="7">
        <f>IF((+G5910-K5910)=0,0,+G5910-K5910)</f>
        <v/>
      </c>
      <c r="O5910" s="7">
        <f>IF(N5910=0,0,(L5910+H5910)/-N5910)</f>
        <v/>
      </c>
      <c r="P5910" s="7">
        <f>VLOOKUP(OPERAC[[#This Row],[especie]],[1]!ESPECIES[#All],6,0)</f>
        <v/>
      </c>
      <c r="Q5910" s="7">
        <f>IF(N5910&lt;&gt;0,P5910*N5910,0)</f>
        <v/>
      </c>
      <c r="R5910" s="8">
        <f>IF(Q5910&lt;&gt;0,Q5910+H5910+L5910,0)</f>
        <v/>
      </c>
      <c r="S5910" s="9">
        <f>VLOOKUP(OPERAC[[#This Row],[especie]],[1]!ESPECIES[#Data],9,FALSE)</f>
        <v/>
      </c>
    </row>
    <row r="5911">
      <c r="A5911" s="4" t="n">
        <v>16824</v>
      </c>
      <c r="B5911" s="5" t="n">
        <v>44594</v>
      </c>
      <c r="C5911" s="13" t="inlineStr">
        <is>
          <t>CPR</t>
        </is>
      </c>
      <c r="D5911" s="13" t="n">
        <v>40</v>
      </c>
      <c r="E5911" s="10">
        <f>IF(D5911&gt;0,VLOOKUP(OPERAC[[#This Row],[COD CART]],[1]!MatrizCortoLargoCyl[#All],3,0),"")</f>
        <v/>
      </c>
      <c r="F5911" s="13" t="inlineStr">
        <is>
          <t>EDU</t>
        </is>
      </c>
      <c r="G5911" s="6" t="n">
        <v>1500</v>
      </c>
      <c r="H5911" s="6" t="n">
        <v>-3024</v>
      </c>
      <c r="I5911" s="7">
        <f>-H5911/G5911</f>
        <v/>
      </c>
      <c r="J5911" s="11" t="n">
        <v>44601</v>
      </c>
      <c r="K5911" s="6" t="n">
        <v>1500</v>
      </c>
      <c r="L5911" s="6">
        <f>1500*1.642</f>
        <v/>
      </c>
      <c r="M5911" s="7">
        <f>IF(N5911=0,+L5911+H5911,0)</f>
        <v/>
      </c>
      <c r="N5911" s="7">
        <f>IF((+G5911-K5911)=0,0,+G5911-K5911)</f>
        <v/>
      </c>
      <c r="O5911" s="7">
        <f>IF(N5911=0,0,(L5911+H5911)/-N5911)</f>
        <v/>
      </c>
      <c r="P5911" s="7">
        <f>VLOOKUP(OPERAC[[#This Row],[especie]],[1]!ESPECIES[#All],6,0)</f>
        <v/>
      </c>
      <c r="Q5911" s="7">
        <f>IF(N5911&lt;&gt;0,P5911*N5911,0)</f>
        <v/>
      </c>
      <c r="R5911" s="8">
        <f>IF(Q5911&lt;&gt;0,Q5911+H5911+L5911,0)</f>
        <v/>
      </c>
      <c r="S5911" s="9">
        <f>VLOOKUP(OPERAC[[#This Row],[especie]],[1]!ESPECIES[#Data],9,FALSE)</f>
        <v/>
      </c>
    </row>
    <row r="5912">
      <c r="A5912" s="4" t="n">
        <v>1760</v>
      </c>
      <c r="B5912" s="5" t="n">
        <v>44720</v>
      </c>
      <c r="C5912" s="13" t="inlineStr">
        <is>
          <t>CPR</t>
        </is>
      </c>
      <c r="D5912" s="13" t="n">
        <v>42</v>
      </c>
      <c r="E5912" s="10">
        <f>IF(D5912&gt;0,VLOOKUP(OPERAC[[#This Row],[COD CART]],[1]!MatrizCortoLargoCyl[#All],3,0),"")</f>
        <v/>
      </c>
      <c r="F5912" s="13" t="inlineStr">
        <is>
          <t>HYDR</t>
        </is>
      </c>
      <c r="G5912" s="6" t="n">
        <v>200</v>
      </c>
      <c r="H5912" s="6" t="n">
        <v>-3025.5</v>
      </c>
      <c r="I5912" s="7">
        <f>-H5912/G5912</f>
        <v/>
      </c>
      <c r="J5912" s="5" t="n"/>
      <c r="K5912" s="6" t="n"/>
      <c r="L5912" s="6" t="n"/>
      <c r="M5912" s="7">
        <f>IF(N5912=0,+L5912+H5912,0)</f>
        <v/>
      </c>
      <c r="N5912" s="7">
        <f>IF((+G5912-K5912)=0,0,+G5912-K5912)</f>
        <v/>
      </c>
      <c r="O5912" s="7">
        <f>IF(N5912=0,0,(L5912+H5912)/-N5912)</f>
        <v/>
      </c>
      <c r="P5912" s="7">
        <f>VLOOKUP(OPERAC[[#This Row],[especie]],[1]!ESPECIES[#All],6,0)</f>
        <v/>
      </c>
      <c r="Q5912" s="7">
        <f>IF(N5912&lt;&gt;0,P5912*N5912,0)</f>
        <v/>
      </c>
      <c r="R5912" s="8">
        <f>IF(Q5912&lt;&gt;0,Q5912+H5912+L5912,0)</f>
        <v/>
      </c>
      <c r="S5912" s="9">
        <f>VLOOKUP(OPERAC[[#This Row],[especie]],[1]!ESPECIES[#Data],9,FALSE)</f>
        <v/>
      </c>
    </row>
    <row r="5913">
      <c r="A5913" s="4" t="n">
        <v>16780</v>
      </c>
      <c r="B5913" s="5" t="n">
        <v>44720</v>
      </c>
      <c r="C5913" s="13" t="inlineStr">
        <is>
          <t>CPR</t>
        </is>
      </c>
      <c r="D5913" s="13" t="n">
        <v>42</v>
      </c>
      <c r="E5913" s="10">
        <f>IF(D5913&gt;0,VLOOKUP(OPERAC[[#This Row],[COD CART]],[1]!MatrizCortoLargoCyl[#All],3,0),"")</f>
        <v/>
      </c>
      <c r="F5913" s="13" t="inlineStr">
        <is>
          <t>HYDR</t>
        </is>
      </c>
      <c r="G5913" s="6" t="n">
        <v>200</v>
      </c>
      <c r="H5913" s="6" t="n">
        <v>-3025.5</v>
      </c>
      <c r="I5913" s="7">
        <f>-H5913/G5913</f>
        <v/>
      </c>
      <c r="J5913" s="5" t="n"/>
      <c r="K5913" s="6" t="n"/>
      <c r="L5913" s="6" t="n"/>
      <c r="M5913" s="7">
        <f>IF(N5913=0,+L5913+H5913,0)</f>
        <v/>
      </c>
      <c r="N5913" s="7">
        <f>IF((+G5913-K5913)=0,0,+G5913-K5913)</f>
        <v/>
      </c>
      <c r="O5913" s="7">
        <f>IF(N5913=0,0,(L5913+H5913)/-N5913)</f>
        <v/>
      </c>
      <c r="P5913" s="7">
        <f>VLOOKUP(OPERAC[[#This Row],[especie]],[1]!ESPECIES[#All],6,0)</f>
        <v/>
      </c>
      <c r="Q5913" s="7">
        <f>IF(N5913&lt;&gt;0,P5913*N5913,0)</f>
        <v/>
      </c>
      <c r="R5913" s="8">
        <f>IF(Q5913&lt;&gt;0,Q5913+H5913+L5913,0)</f>
        <v/>
      </c>
      <c r="S5913" s="9">
        <f>VLOOKUP(OPERAC[[#This Row],[especie]],[1]!ESPECIES[#Data],9,FALSE)</f>
        <v/>
      </c>
    </row>
    <row r="5914">
      <c r="A5914" s="4" t="n">
        <v>19867</v>
      </c>
      <c r="B5914" s="5" t="n">
        <v>44720</v>
      </c>
      <c r="C5914" s="13" t="inlineStr">
        <is>
          <t>CPR</t>
        </is>
      </c>
      <c r="D5914" s="13" t="n">
        <v>42</v>
      </c>
      <c r="E5914" s="10">
        <f>IF(D5914&gt;0,VLOOKUP(OPERAC[[#This Row],[COD CART]],[1]!MatrizCortoLargoCyl[#All],3,0),"")</f>
        <v/>
      </c>
      <c r="F5914" s="13" t="inlineStr">
        <is>
          <t>HYDR</t>
        </is>
      </c>
      <c r="G5914" s="6" t="n">
        <v>200</v>
      </c>
      <c r="H5914" s="6" t="n">
        <v>-3025.5</v>
      </c>
      <c r="I5914" s="7">
        <f>-H5914/G5914</f>
        <v/>
      </c>
      <c r="J5914" s="5" t="n"/>
      <c r="K5914" s="6" t="n"/>
      <c r="L5914" s="6" t="n"/>
      <c r="M5914" s="7">
        <f>IF(N5914=0,+L5914+H5914,0)</f>
        <v/>
      </c>
      <c r="N5914" s="7">
        <f>IF((+G5914-K5914)=0,0,+G5914-K5914)</f>
        <v/>
      </c>
      <c r="O5914" s="7">
        <f>IF(N5914=0,0,(L5914+H5914)/-N5914)</f>
        <v/>
      </c>
      <c r="P5914" s="7">
        <f>VLOOKUP(OPERAC[[#This Row],[especie]],[1]!ESPECIES[#All],6,0)</f>
        <v/>
      </c>
      <c r="Q5914" s="7">
        <f>IF(N5914&lt;&gt;0,P5914*N5914,0)</f>
        <v/>
      </c>
      <c r="R5914" s="8">
        <f>IF(Q5914&lt;&gt;0,Q5914+H5914+L5914,0)</f>
        <v/>
      </c>
      <c r="S5914" s="9">
        <f>VLOOKUP(OPERAC[[#This Row],[especie]],[1]!ESPECIES[#Data],9,FALSE)</f>
        <v/>
      </c>
    </row>
    <row r="5915">
      <c r="A5915" s="4" t="n">
        <v>19888</v>
      </c>
      <c r="B5915" s="5" t="n">
        <v>44720</v>
      </c>
      <c r="C5915" s="13" t="inlineStr">
        <is>
          <t>CPR</t>
        </is>
      </c>
      <c r="D5915" s="13" t="n">
        <v>42</v>
      </c>
      <c r="E5915" s="10">
        <f>IF(D5915&gt;0,VLOOKUP(OPERAC[[#This Row],[COD CART]],[1]!MatrizCortoLargoCyl[#All],3,0),"")</f>
        <v/>
      </c>
      <c r="F5915" s="13" t="inlineStr">
        <is>
          <t>HYDR</t>
        </is>
      </c>
      <c r="G5915" s="6" t="n">
        <v>200</v>
      </c>
      <c r="H5915" s="6" t="n">
        <v>-3025.5</v>
      </c>
      <c r="I5915" s="7">
        <f>-H5915/G5915</f>
        <v/>
      </c>
      <c r="J5915" s="5" t="n"/>
      <c r="K5915" s="6" t="n"/>
      <c r="L5915" s="6" t="n"/>
      <c r="M5915" s="7">
        <f>IF(N5915=0,+L5915+H5915,0)</f>
        <v/>
      </c>
      <c r="N5915" s="7">
        <f>IF((+G5915-K5915)=0,0,+G5915-K5915)</f>
        <v/>
      </c>
      <c r="O5915" s="7">
        <f>IF(N5915=0,0,(L5915+H5915)/-N5915)</f>
        <v/>
      </c>
      <c r="P5915" s="7">
        <f>VLOOKUP(OPERAC[[#This Row],[especie]],[1]!ESPECIES[#All],6,0)</f>
        <v/>
      </c>
      <c r="Q5915" s="7">
        <f>IF(N5915&lt;&gt;0,P5915*N5915,0)</f>
        <v/>
      </c>
      <c r="R5915" s="8">
        <f>IF(Q5915&lt;&gt;0,Q5915+H5915+L5915,0)</f>
        <v/>
      </c>
      <c r="S5915" s="9">
        <f>VLOOKUP(OPERAC[[#This Row],[especie]],[1]!ESPECIES[#Data],9,FALSE)</f>
        <v/>
      </c>
    </row>
    <row r="5916">
      <c r="A5916" s="4" t="n">
        <v>18651</v>
      </c>
      <c r="B5916" s="5" t="n">
        <v>44720</v>
      </c>
      <c r="C5916" s="13" t="inlineStr">
        <is>
          <t>CPR</t>
        </is>
      </c>
      <c r="D5916" s="13" t="n">
        <v>42</v>
      </c>
      <c r="E5916" s="10">
        <f>IF(D5916&gt;0,VLOOKUP(OPERAC[[#This Row],[COD CART]],[1]!MatrizCortoLargoCyl[#All],3,0),"")</f>
        <v/>
      </c>
      <c r="F5916" s="13" t="inlineStr">
        <is>
          <t>HYDR</t>
        </is>
      </c>
      <c r="G5916" s="6" t="n">
        <v>200</v>
      </c>
      <c r="H5916" s="6" t="n">
        <v>-3025.5</v>
      </c>
      <c r="I5916" s="7">
        <f>-H5916/G5916</f>
        <v/>
      </c>
      <c r="J5916" s="5" t="n"/>
      <c r="K5916" s="6" t="n"/>
      <c r="L5916" s="6" t="n"/>
      <c r="M5916" s="7">
        <f>IF(N5916=0,+L5916+H5916,0)</f>
        <v/>
      </c>
      <c r="N5916" s="7">
        <f>IF((+G5916-K5916)=0,0,+G5916-K5916)</f>
        <v/>
      </c>
      <c r="O5916" s="7">
        <f>IF(N5916=0,0,(L5916+H5916)/-N5916)</f>
        <v/>
      </c>
      <c r="P5916" s="7">
        <f>VLOOKUP(OPERAC[[#This Row],[especie]],[1]!ESPECIES[#All],6,0)</f>
        <v/>
      </c>
      <c r="Q5916" s="7">
        <f>IF(N5916&lt;&gt;0,P5916*N5916,0)</f>
        <v/>
      </c>
      <c r="R5916" s="8">
        <f>IF(Q5916&lt;&gt;0,Q5916+H5916+L5916,0)</f>
        <v/>
      </c>
      <c r="S5916" s="9">
        <f>VLOOKUP(OPERAC[[#This Row],[especie]],[1]!ESPECIES[#Data],9,FALSE)</f>
        <v/>
      </c>
    </row>
    <row r="5917">
      <c r="A5917" s="4" t="n">
        <v>13185</v>
      </c>
      <c r="B5917" s="5" t="n">
        <v>44720</v>
      </c>
      <c r="C5917" s="13" t="inlineStr">
        <is>
          <t>CPR</t>
        </is>
      </c>
      <c r="D5917" s="13" t="n">
        <v>42</v>
      </c>
      <c r="E5917" s="10">
        <f>IF(D5917&gt;0,VLOOKUP(OPERAC[[#This Row],[COD CART]],[1]!MatrizCortoLargoCyl[#All],3,0),"")</f>
        <v/>
      </c>
      <c r="F5917" s="13" t="inlineStr">
        <is>
          <t>HYDR</t>
        </is>
      </c>
      <c r="G5917" s="6" t="n">
        <v>200</v>
      </c>
      <c r="H5917" s="6" t="n">
        <v>-3025.5</v>
      </c>
      <c r="I5917" s="7">
        <f>-H5917/G5917</f>
        <v/>
      </c>
      <c r="J5917" s="5" t="n"/>
      <c r="K5917" s="6" t="n"/>
      <c r="L5917" s="6" t="n"/>
      <c r="M5917" s="7">
        <f>IF(N5917=0,+L5917+H5917,0)</f>
        <v/>
      </c>
      <c r="N5917" s="7">
        <f>IF((+G5917-K5917)=0,0,+G5917-K5917)</f>
        <v/>
      </c>
      <c r="O5917" s="7">
        <f>IF(N5917=0,0,(L5917+H5917)/-N5917)</f>
        <v/>
      </c>
      <c r="P5917" s="7">
        <f>VLOOKUP(OPERAC[[#This Row],[especie]],[1]!ESPECIES[#All],6,0)</f>
        <v/>
      </c>
      <c r="Q5917" s="7">
        <f>IF(N5917&lt;&gt;0,P5917*N5917,0)</f>
        <v/>
      </c>
      <c r="R5917" s="8">
        <f>IF(Q5917&lt;&gt;0,Q5917+H5917+L5917,0)</f>
        <v/>
      </c>
      <c r="S5917" s="9">
        <f>VLOOKUP(OPERAC[[#This Row],[especie]],[1]!ESPECIES[#Data],9,FALSE)</f>
        <v/>
      </c>
    </row>
    <row r="5918">
      <c r="A5918" s="4" t="n">
        <v>19920</v>
      </c>
      <c r="B5918" s="5" t="n">
        <v>44543</v>
      </c>
      <c r="C5918" s="13" t="inlineStr">
        <is>
          <t>CPR</t>
        </is>
      </c>
      <c r="D5918" s="13" t="n">
        <v>31</v>
      </c>
      <c r="E5918" s="10">
        <f>IF(D5918&gt;0,VLOOKUP(OPERAC[[#This Row],[COD CART]],[1]!MatrizCortoLargoCyl[#All],3,0),"")</f>
        <v/>
      </c>
      <c r="F5918" s="13" t="inlineStr">
        <is>
          <t>BBAR</t>
        </is>
      </c>
      <c r="G5918" s="6" t="n">
        <v>1000</v>
      </c>
      <c r="H5918" s="6" t="n">
        <v>-3029</v>
      </c>
      <c r="I5918" s="7">
        <f>-H5918/G5918</f>
        <v/>
      </c>
      <c r="J5918" s="11" t="n">
        <v>44579</v>
      </c>
      <c r="K5918" s="6">
        <f>200+200</f>
        <v/>
      </c>
      <c r="L5918" s="6">
        <f>634.207+673.53</f>
        <v/>
      </c>
      <c r="M5918" s="7">
        <f>IF(N5918=0,+L5918+H5918,0)</f>
        <v/>
      </c>
      <c r="N5918" s="7">
        <f>IF((+G5918-K5918)=0,0,+G5918-K5918)</f>
        <v/>
      </c>
      <c r="O5918" s="7">
        <f>IF(N5918=0,0,(L5918+H5918)/-N5918)</f>
        <v/>
      </c>
      <c r="P5918" s="7">
        <f>VLOOKUP(OPERAC[[#This Row],[especie]],[1]!ESPECIES[#All],6,0)</f>
        <v/>
      </c>
      <c r="Q5918" s="7">
        <f>IF(N5918&lt;&gt;0,P5918*N5918,0)</f>
        <v/>
      </c>
      <c r="R5918" s="8">
        <f>IF(Q5918&lt;&gt;0,Q5918+H5918+L5918,0)</f>
        <v/>
      </c>
      <c r="S5918" s="9">
        <f>VLOOKUP(OPERAC[[#This Row],[especie]],[1]!ESPECIES[#Data],9,FALSE)</f>
        <v/>
      </c>
    </row>
    <row r="5919">
      <c r="A5919" s="4" t="n">
        <v>16780</v>
      </c>
      <c r="B5919" s="5" t="n">
        <v>44543</v>
      </c>
      <c r="C5919" s="13" t="inlineStr">
        <is>
          <t>CPR</t>
        </is>
      </c>
      <c r="D5919" s="13" t="n">
        <v>31</v>
      </c>
      <c r="E5919" s="10">
        <f>IF(D5919&gt;0,VLOOKUP(OPERAC[[#This Row],[COD CART]],[1]!MatrizCortoLargoCyl[#All],3,0),"")</f>
        <v/>
      </c>
      <c r="F5919" s="13" t="inlineStr">
        <is>
          <t>BBAR</t>
        </is>
      </c>
      <c r="G5919" s="6" t="n">
        <v>1000</v>
      </c>
      <c r="H5919" s="6" t="n">
        <v>-3029</v>
      </c>
      <c r="I5919" s="7">
        <f>-H5919/G5919</f>
        <v/>
      </c>
      <c r="J5919" s="11" t="n">
        <v>44676</v>
      </c>
      <c r="K5919" s="6" t="n">
        <v>1000</v>
      </c>
      <c r="L5919" s="6" t="n">
        <v>2946.738</v>
      </c>
      <c r="M5919" s="7">
        <f>IF(N5919=0,+L5919+H5919,0)</f>
        <v/>
      </c>
      <c r="N5919" s="7">
        <f>IF((+G5919-K5919)=0,0,+G5919-K5919)</f>
        <v/>
      </c>
      <c r="O5919" s="7">
        <f>IF(N5919=0,0,(L5919+H5919)/-N5919)</f>
        <v/>
      </c>
      <c r="P5919" s="7">
        <f>VLOOKUP(OPERAC[[#This Row],[especie]],[1]!ESPECIES[#All],6,0)</f>
        <v/>
      </c>
      <c r="Q5919" s="7">
        <f>IF(N5919&lt;&gt;0,P5919*N5919,0)</f>
        <v/>
      </c>
      <c r="R5919" s="8">
        <f>IF(Q5919&lt;&gt;0,Q5919+H5919+L5919,0)</f>
        <v/>
      </c>
      <c r="S5919" s="9">
        <f>VLOOKUP(OPERAC[[#This Row],[especie]],[1]!ESPECIES[#Data],9,FALSE)</f>
        <v/>
      </c>
    </row>
    <row r="5920">
      <c r="A5920" s="4" t="n">
        <v>13185</v>
      </c>
      <c r="B5920" s="5" t="n">
        <v>44587</v>
      </c>
      <c r="C5920" s="13" t="inlineStr">
        <is>
          <t>CPR</t>
        </is>
      </c>
      <c r="D5920" s="13" t="n">
        <v>40</v>
      </c>
      <c r="E5920" s="10">
        <f>IF(D5920&gt;0,VLOOKUP(OPERAC[[#This Row],[COD CART]],[1]!MatrizCortoLargoCyl[#All],3,0),"")</f>
        <v/>
      </c>
      <c r="F5920" s="13" t="inlineStr">
        <is>
          <t>MSFT</t>
        </is>
      </c>
      <c r="G5920" s="6" t="n">
        <v>10</v>
      </c>
      <c r="H5920" s="6" t="n">
        <v>-3034.1126</v>
      </c>
      <c r="I5920" s="7">
        <f>-H5920/G5920</f>
        <v/>
      </c>
      <c r="J5920" s="11" t="n">
        <v>44606</v>
      </c>
      <c r="K5920" s="6">
        <f>+OPERAC[[#This Row],[cantidad]]</f>
        <v/>
      </c>
      <c r="L5920" s="6">
        <f>+OPERAC[[#This Row],[cantidad venta]]*290.091</f>
        <v/>
      </c>
      <c r="M5920" s="7">
        <f>IF(N5920=0,+L5920+H5920,0)</f>
        <v/>
      </c>
      <c r="N5920" s="7">
        <f>IF((+G5920-K5920)=0,0,+G5920-K5920)</f>
        <v/>
      </c>
      <c r="O5920" s="7">
        <f>IF(N5920=0,0,(L5920+H5920)/-N5920)</f>
        <v/>
      </c>
      <c r="P5920" s="7">
        <f>VLOOKUP(OPERAC[[#This Row],[especie]],[1]!ESPECIES[#All],6,0)</f>
        <v/>
      </c>
      <c r="Q5920" s="7">
        <f>IF(N5920&lt;&gt;0,P5920*N5920,0)</f>
        <v/>
      </c>
      <c r="R5920" s="8">
        <f>IF(Q5920&lt;&gt;0,Q5920+H5920+L5920,0)</f>
        <v/>
      </c>
      <c r="S5920" s="9">
        <f>VLOOKUP(OPERAC[[#This Row],[especie]],[1]!ESPECIES[#Data],9,FALSE)</f>
        <v/>
      </c>
    </row>
    <row r="5921">
      <c r="A5921" s="4" t="n">
        <v>3787</v>
      </c>
      <c r="B5921" s="5" t="n">
        <v>44551</v>
      </c>
      <c r="C5921" s="13" t="inlineStr">
        <is>
          <t>CPR</t>
        </is>
      </c>
      <c r="D5921" s="13" t="n">
        <v>40</v>
      </c>
      <c r="E5921" s="10">
        <f>IF(D5921&gt;0,VLOOKUP(OPERAC[[#This Row],[COD CART]],[1]!MatrizCortoLargoCyl[#All],3,0),"")</f>
        <v/>
      </c>
      <c r="F5921" s="13" t="inlineStr">
        <is>
          <t>EDIT</t>
        </is>
      </c>
      <c r="G5921" s="6" t="n">
        <v>100</v>
      </c>
      <c r="H5921" s="6" t="n">
        <v>-3042.62</v>
      </c>
      <c r="I5921" s="7">
        <f>-H5921/G5921</f>
        <v/>
      </c>
      <c r="J5921" s="11" t="n">
        <v>44586</v>
      </c>
      <c r="K5921" s="6" t="n">
        <v>100</v>
      </c>
      <c r="L5921" s="6" t="n">
        <v>1758.788</v>
      </c>
      <c r="M5921" s="7">
        <f>IF(N5921=0,+L5921+H5921,0)</f>
        <v/>
      </c>
      <c r="N5921" s="7">
        <f>IF((+G5921-K5921)=0,0,+G5921-K5921)</f>
        <v/>
      </c>
      <c r="O5921" s="7">
        <f>IF(N5921=0,0,(L5921+H5921)/-N5921)</f>
        <v/>
      </c>
      <c r="P5921" s="7">
        <f>VLOOKUP(OPERAC[[#This Row],[especie]],[1]!ESPECIES[#All],6,0)</f>
        <v/>
      </c>
      <c r="Q5921" s="7">
        <f>IF(N5921&lt;&gt;0,P5921*N5921,0)</f>
        <v/>
      </c>
      <c r="R5921" s="8">
        <f>IF(Q5921&lt;&gt;0,Q5921+H5921+L5921,0)</f>
        <v/>
      </c>
      <c r="S5921" s="9">
        <f>VLOOKUP(OPERAC[[#This Row],[especie]],[1]!ESPECIES[#Data],9,FALSE)</f>
        <v/>
      </c>
    </row>
    <row r="5922">
      <c r="A5922" s="4" t="n">
        <v>7914</v>
      </c>
      <c r="B5922" s="5" t="n">
        <v>44551</v>
      </c>
      <c r="C5922" s="13" t="inlineStr">
        <is>
          <t>CPR</t>
        </is>
      </c>
      <c r="D5922" s="13" t="n">
        <v>40</v>
      </c>
      <c r="E5922" s="10">
        <f>IF(D5922&gt;0,VLOOKUP(OPERAC[[#This Row],[COD CART]],[1]!MatrizCortoLargoCyl[#All],3,0),"")</f>
        <v/>
      </c>
      <c r="F5922" s="13" t="inlineStr">
        <is>
          <t>EDIT</t>
        </is>
      </c>
      <c r="G5922" s="6" t="n">
        <v>100</v>
      </c>
      <c r="H5922" s="6" t="n">
        <v>-3042.62</v>
      </c>
      <c r="I5922" s="7">
        <f>-H5922/G5922</f>
        <v/>
      </c>
      <c r="J5922" s="11" t="n">
        <v>44573</v>
      </c>
      <c r="K5922" s="6" t="n">
        <v>100</v>
      </c>
      <c r="L5922" s="6" t="n">
        <v>2567.258</v>
      </c>
      <c r="M5922" s="7">
        <f>IF(N5922=0,+L5922+H5922,0)</f>
        <v/>
      </c>
      <c r="N5922" s="7">
        <f>IF((+G5922-K5922)=0,0,+G5922-K5922)</f>
        <v/>
      </c>
      <c r="O5922" s="7">
        <f>IF(N5922=0,0,(L5922+H5922)/-N5922)</f>
        <v/>
      </c>
      <c r="P5922" s="7">
        <f>VLOOKUP(OPERAC[[#This Row],[especie]],[1]!ESPECIES[#All],6,0)</f>
        <v/>
      </c>
      <c r="Q5922" s="7">
        <f>IF(N5922&lt;&gt;0,P5922*N5922,0)</f>
        <v/>
      </c>
      <c r="R5922" s="8">
        <f>IF(Q5922&lt;&gt;0,Q5922+H5922+L5922,0)</f>
        <v/>
      </c>
      <c r="S5922" s="9">
        <f>VLOOKUP(OPERAC[[#This Row],[especie]],[1]!ESPECIES[#Data],9,FALSE)</f>
        <v/>
      </c>
    </row>
    <row r="5923">
      <c r="A5923" s="4" t="n">
        <v>16780</v>
      </c>
      <c r="B5923" s="5" t="n">
        <v>44551</v>
      </c>
      <c r="C5923" s="13" t="inlineStr">
        <is>
          <t>CPR</t>
        </is>
      </c>
      <c r="D5923" s="13" t="n">
        <v>40</v>
      </c>
      <c r="E5923" s="10">
        <f>IF(D5923&gt;0,VLOOKUP(OPERAC[[#This Row],[COD CART]],[1]!MatrizCortoLargoCyl[#All],3,0),"")</f>
        <v/>
      </c>
      <c r="F5923" s="13" t="inlineStr">
        <is>
          <t>EDIT</t>
        </is>
      </c>
      <c r="G5923" s="6" t="n">
        <v>100</v>
      </c>
      <c r="H5923" s="6" t="n">
        <v>-3042.62</v>
      </c>
      <c r="I5923" s="7">
        <f>-H5923/G5923</f>
        <v/>
      </c>
      <c r="J5923" s="11" t="n">
        <v>44606</v>
      </c>
      <c r="K5923" s="6" t="n">
        <v>100</v>
      </c>
      <c r="L5923" s="6" t="n">
        <v>1603.278</v>
      </c>
      <c r="M5923" s="7">
        <f>IF(N5923=0,+L5923+H5923,0)</f>
        <v/>
      </c>
      <c r="N5923" s="7">
        <f>IF((+G5923-K5923)=0,0,+G5923-K5923)</f>
        <v/>
      </c>
      <c r="O5923" s="7">
        <f>IF(N5923=0,0,(L5923+H5923)/-N5923)</f>
        <v/>
      </c>
      <c r="P5923" s="7">
        <f>VLOOKUP(OPERAC[[#This Row],[especie]],[1]!ESPECIES[#All],6,0)</f>
        <v/>
      </c>
      <c r="Q5923" s="7">
        <f>IF(N5923&lt;&gt;0,P5923*N5923,0)</f>
        <v/>
      </c>
      <c r="R5923" s="8">
        <f>IF(Q5923&lt;&gt;0,Q5923+H5923+L5923,0)</f>
        <v/>
      </c>
      <c r="S5923" s="9">
        <f>VLOOKUP(OPERAC[[#This Row],[especie]],[1]!ESPECIES[#Data],9,FALSE)</f>
        <v/>
      </c>
    </row>
    <row r="5924">
      <c r="A5924" s="4" t="n">
        <v>16783</v>
      </c>
      <c r="B5924" s="5" t="n">
        <v>44551</v>
      </c>
      <c r="C5924" s="13" t="inlineStr">
        <is>
          <t>CPR</t>
        </is>
      </c>
      <c r="D5924" s="13" t="n">
        <v>40</v>
      </c>
      <c r="E5924" s="10">
        <f>IF(D5924&gt;0,VLOOKUP(OPERAC[[#This Row],[COD CART]],[1]!MatrizCortoLargoCyl[#All],3,0),"")</f>
        <v/>
      </c>
      <c r="F5924" s="13" t="inlineStr">
        <is>
          <t>EDIT</t>
        </is>
      </c>
      <c r="G5924" s="6" t="n">
        <v>100</v>
      </c>
      <c r="H5924" s="6" t="n">
        <v>-3042.62</v>
      </c>
      <c r="I5924" s="7">
        <f>-H5924/G5924</f>
        <v/>
      </c>
      <c r="J5924" s="11" t="n">
        <v>44606</v>
      </c>
      <c r="K5924" s="6" t="n">
        <v>100</v>
      </c>
      <c r="L5924" s="6" t="n">
        <v>1612.998</v>
      </c>
      <c r="M5924" s="7">
        <f>IF(N5924=0,+L5924+H5924,0)</f>
        <v/>
      </c>
      <c r="N5924" s="7">
        <f>IF((+G5924-K5924)=0,0,+G5924-K5924)</f>
        <v/>
      </c>
      <c r="O5924" s="7">
        <f>IF(N5924=0,0,(L5924+H5924)/-N5924)</f>
        <v/>
      </c>
      <c r="P5924" s="7">
        <f>VLOOKUP(OPERAC[[#This Row],[especie]],[1]!ESPECIES[#All],6,0)</f>
        <v/>
      </c>
      <c r="Q5924" s="7">
        <f>IF(N5924&lt;&gt;0,P5924*N5924,0)</f>
        <v/>
      </c>
      <c r="R5924" s="8">
        <f>IF(Q5924&lt;&gt;0,Q5924+H5924+L5924,0)</f>
        <v/>
      </c>
      <c r="S5924" s="9">
        <f>VLOOKUP(OPERAC[[#This Row],[especie]],[1]!ESPECIES[#Data],9,FALSE)</f>
        <v/>
      </c>
    </row>
    <row r="5925">
      <c r="A5925" s="4" t="n">
        <v>16783</v>
      </c>
      <c r="B5925" s="5" t="n">
        <v>44575</v>
      </c>
      <c r="C5925" s="13" t="inlineStr">
        <is>
          <t>CPR</t>
        </is>
      </c>
      <c r="D5925" s="13" t="n">
        <v>40</v>
      </c>
      <c r="E5925" s="10">
        <f>IF(D5925&gt;0,VLOOKUP(OPERAC[[#This Row],[COD CART]],[1]!MatrizCortoLargoCyl[#All],3,0),"")</f>
        <v/>
      </c>
      <c r="F5925" s="13" t="inlineStr">
        <is>
          <t>GBTC</t>
        </is>
      </c>
      <c r="G5925" s="6" t="n">
        <v>100</v>
      </c>
      <c r="H5925" s="6" t="n">
        <v>-3068.724</v>
      </c>
      <c r="I5925" s="7">
        <f>-H5925/G5925</f>
        <v/>
      </c>
      <c r="J5925" s="11" t="n">
        <v>44651</v>
      </c>
      <c r="K5925" s="6">
        <f>+OPERAC[[#This Row],[cantidad]]</f>
        <v/>
      </c>
      <c r="L5925" s="6">
        <f>+OPERAC[[#This Row],[cantidad venta]]*31.332</f>
        <v/>
      </c>
      <c r="M5925" s="7">
        <f>IF(N5925=0,+L5925+H5925,0)</f>
        <v/>
      </c>
      <c r="N5925" s="7">
        <f>IF((+G5925-K5925)=0,0,+G5925-K5925)</f>
        <v/>
      </c>
      <c r="O5925" s="7">
        <f>IF(N5925=0,0,(L5925+H5925)/-N5925)</f>
        <v/>
      </c>
      <c r="P5925" s="7">
        <f>VLOOKUP(OPERAC[[#This Row],[especie]],[1]!ESPECIES[#All],6,0)</f>
        <v/>
      </c>
      <c r="Q5925" s="7">
        <f>IF(N5925&lt;&gt;0,P5925*N5925,0)</f>
        <v/>
      </c>
      <c r="R5925" s="8">
        <f>IF(Q5925&lt;&gt;0,Q5925+H5925+L5925,0)</f>
        <v/>
      </c>
      <c r="S5925" s="9">
        <f>VLOOKUP(OPERAC[[#This Row],[especie]],[1]!ESPECIES[#Data],9,FALSE)</f>
        <v/>
      </c>
    </row>
    <row r="5926">
      <c r="A5926" s="4" t="n">
        <v>13253</v>
      </c>
      <c r="B5926" s="5" t="n">
        <v>44571</v>
      </c>
      <c r="C5926" s="13" t="inlineStr">
        <is>
          <t>CPR</t>
        </is>
      </c>
      <c r="D5926" s="13" t="n">
        <v>41</v>
      </c>
      <c r="E5926" s="10">
        <f>IF(D5926&gt;0,VLOOKUP(OPERAC[[#This Row],[COD CART]],[1]!MatrizCortoLargoCyl[#All],3,0),"")</f>
        <v/>
      </c>
      <c r="F5926" s="13" t="inlineStr">
        <is>
          <t>TLC50</t>
        </is>
      </c>
      <c r="G5926" s="6" t="n">
        <v>3000</v>
      </c>
      <c r="H5926" s="6" t="n">
        <v>-3075.41</v>
      </c>
      <c r="I5926" s="7">
        <f>-H5926/G5926</f>
        <v/>
      </c>
      <c r="J5926" s="11" t="n"/>
      <c r="K5926" s="6" t="n"/>
      <c r="L5926" s="6" t="n"/>
      <c r="M5926" s="7">
        <f>IF(N5926=0,+L5926+H5926,0)</f>
        <v/>
      </c>
      <c r="N5926" s="7">
        <f>IF((+G5926-K5926)=0,0,+G5926-K5926)</f>
        <v/>
      </c>
      <c r="O5926" s="7">
        <f>IF(N5926=0,0,(L5926+H5926)/-N5926)</f>
        <v/>
      </c>
      <c r="P5926" s="7">
        <f>VLOOKUP(OPERAC[[#This Row],[especie]],[1]!ESPECIES[#All],6,0)</f>
        <v/>
      </c>
      <c r="Q5926" s="7">
        <f>IF(N5926&lt;&gt;0,P5926*N5926,0)</f>
        <v/>
      </c>
      <c r="R5926" s="8">
        <f>IF(Q5926&lt;&gt;0,Q5926+H5926+L5926,0)</f>
        <v/>
      </c>
      <c r="S5926" s="9">
        <f>VLOOKUP(OPERAC[[#This Row],[especie]],[1]!ESPECIES[#Data],9,FALSE)</f>
        <v/>
      </c>
    </row>
    <row r="5927">
      <c r="A5927" s="4" t="n">
        <v>26140</v>
      </c>
      <c r="B5927" s="5" t="n">
        <v>44644</v>
      </c>
      <c r="C5927" s="13" t="inlineStr">
        <is>
          <t>CPR</t>
        </is>
      </c>
      <c r="D5927" s="13" t="n">
        <v>32</v>
      </c>
      <c r="E5927" s="10">
        <f>IF(D5927&gt;0,VLOOKUP(OPERAC[[#This Row],[COD CART]],[1]!MatrizCortoLargoCyl[#All],3,0),"")</f>
        <v/>
      </c>
      <c r="F5927" s="13" t="inlineStr">
        <is>
          <t>LAC</t>
        </is>
      </c>
      <c r="G5927" s="6" t="n">
        <v>100</v>
      </c>
      <c r="H5927" s="6">
        <f>-3260.9065+183.428</f>
        <v/>
      </c>
      <c r="I5927" s="7">
        <f>-H5927/G5927</f>
        <v/>
      </c>
      <c r="J5927" s="11" t="n"/>
      <c r="K5927" s="6" t="n"/>
      <c r="L5927" s="6" t="n"/>
      <c r="M5927" s="7">
        <f>IF(N5927=0,+L5927+H5927,0)</f>
        <v/>
      </c>
      <c r="N5927" s="7">
        <f>IF((+G5927-K5927)=0,0,+G5927-K5927)</f>
        <v/>
      </c>
      <c r="O5927" s="7">
        <f>IF(N5927=0,0,(L5927+H5927)/-N5927)</f>
        <v/>
      </c>
      <c r="P5927" s="7">
        <f>VLOOKUP(OPERAC[[#This Row],[especie]],[1]!ESPECIES[#All],6,0)</f>
        <v/>
      </c>
      <c r="Q5927" s="7">
        <f>IF(N5927&lt;&gt;0,P5927*N5927,0)</f>
        <v/>
      </c>
      <c r="R5927" s="8">
        <f>IF(Q5927&lt;&gt;0,Q5927+H5927+L5927,0)</f>
        <v/>
      </c>
      <c r="S5927" s="9">
        <f>VLOOKUP(OPERAC[[#This Row],[especie]],[1]!ESPECIES[#Data],9,FALSE)</f>
        <v/>
      </c>
    </row>
    <row r="5928">
      <c r="A5928" s="4" t="n">
        <v>6578</v>
      </c>
      <c r="B5928" s="5" t="n">
        <v>44644</v>
      </c>
      <c r="C5928" s="13" t="inlineStr">
        <is>
          <t>CPR</t>
        </is>
      </c>
      <c r="D5928" s="13" t="n">
        <v>32</v>
      </c>
      <c r="E5928" s="10">
        <f>IF(D5928&gt;0,VLOOKUP(OPERAC[[#This Row],[COD CART]],[1]!MatrizCortoLargoCyl[#All],3,0),"")</f>
        <v/>
      </c>
      <c r="F5928" s="13" t="inlineStr">
        <is>
          <t>LAC</t>
        </is>
      </c>
      <c r="G5928" s="6" t="n">
        <v>100</v>
      </c>
      <c r="H5928" s="6">
        <f>-3262.4185+183.428</f>
        <v/>
      </c>
      <c r="I5928" s="7">
        <f>-H5928/G5928</f>
        <v/>
      </c>
      <c r="J5928" s="11" t="n">
        <v>44704</v>
      </c>
      <c r="K5928" s="6" t="n">
        <v>100</v>
      </c>
      <c r="L5928" s="6" t="n">
        <v>2441.073</v>
      </c>
      <c r="M5928" s="7">
        <f>IF(N5928=0,+L5928+H5928,0)</f>
        <v/>
      </c>
      <c r="N5928" s="7">
        <f>IF((+G5928-K5928)=0,0,+G5928-K5928)</f>
        <v/>
      </c>
      <c r="O5928" s="7">
        <f>IF(N5928=0,0,(L5928+H5928)/-N5928)</f>
        <v/>
      </c>
      <c r="P5928" s="7">
        <f>VLOOKUP(OPERAC[[#This Row],[especie]],[1]!ESPECIES[#All],6,0)</f>
        <v/>
      </c>
      <c r="Q5928" s="7">
        <f>IF(N5928&lt;&gt;0,P5928*N5928,0)</f>
        <v/>
      </c>
      <c r="R5928" s="8">
        <f>IF(Q5928&lt;&gt;0,Q5928+H5928+L5928,0)</f>
        <v/>
      </c>
      <c r="S5928" s="9">
        <f>VLOOKUP(OPERAC[[#This Row],[especie]],[1]!ESPECIES[#Data],9,FALSE)</f>
        <v/>
      </c>
    </row>
    <row r="5929">
      <c r="A5929" s="4" t="n">
        <v>6628</v>
      </c>
      <c r="B5929" s="5" t="n">
        <v>44644</v>
      </c>
      <c r="C5929" s="13" t="inlineStr">
        <is>
          <t>CPR</t>
        </is>
      </c>
      <c r="D5929" s="13" t="n">
        <v>32</v>
      </c>
      <c r="E5929" s="10">
        <f>IF(D5929&gt;0,VLOOKUP(OPERAC[[#This Row],[COD CART]],[1]!MatrizCortoLargoCyl[#All],3,0),"")</f>
        <v/>
      </c>
      <c r="F5929" s="13" t="inlineStr">
        <is>
          <t>LAC</t>
        </is>
      </c>
      <c r="G5929" s="6" t="n">
        <v>100</v>
      </c>
      <c r="H5929" s="6">
        <f>-3262.4185+183.428</f>
        <v/>
      </c>
      <c r="I5929" s="7">
        <f>-H5929/G5929</f>
        <v/>
      </c>
      <c r="J5929" s="11" t="n">
        <v>44704</v>
      </c>
      <c r="K5929" s="6" t="n">
        <v>100</v>
      </c>
      <c r="L5929" s="6" t="n">
        <v>2441.073</v>
      </c>
      <c r="M5929" s="7">
        <f>IF(N5929=0,+L5929+H5929,0)</f>
        <v/>
      </c>
      <c r="N5929" s="7">
        <f>IF((+G5929-K5929)=0,0,+G5929-K5929)</f>
        <v/>
      </c>
      <c r="O5929" s="7">
        <f>IF(N5929=0,0,(L5929+H5929)/-N5929)</f>
        <v/>
      </c>
      <c r="P5929" s="7">
        <f>VLOOKUP(OPERAC[[#This Row],[especie]],[1]!ESPECIES[#All],6,0)</f>
        <v/>
      </c>
      <c r="Q5929" s="7">
        <f>IF(N5929&lt;&gt;0,P5929*N5929,0)</f>
        <v/>
      </c>
      <c r="R5929" s="8">
        <f>IF(Q5929&lt;&gt;0,Q5929+H5929+L5929,0)</f>
        <v/>
      </c>
      <c r="S5929" s="9">
        <f>VLOOKUP(OPERAC[[#This Row],[especie]],[1]!ESPECIES[#Data],9,FALSE)</f>
        <v/>
      </c>
    </row>
    <row r="5930">
      <c r="A5930" s="4" t="n">
        <v>18724</v>
      </c>
      <c r="B5930" s="5" t="n">
        <v>44644</v>
      </c>
      <c r="C5930" s="13" t="inlineStr">
        <is>
          <t>CPR</t>
        </is>
      </c>
      <c r="D5930" s="13" t="n">
        <v>32</v>
      </c>
      <c r="E5930" s="10">
        <f>IF(D5930&gt;0,VLOOKUP(OPERAC[[#This Row],[COD CART]],[1]!MatrizCortoLargoCyl[#All],3,0),"")</f>
        <v/>
      </c>
      <c r="F5930" s="13" t="inlineStr">
        <is>
          <t>LAC</t>
        </is>
      </c>
      <c r="G5930" s="6" t="n">
        <v>100</v>
      </c>
      <c r="H5930" s="6">
        <f>-3262.4185+183.428</f>
        <v/>
      </c>
      <c r="I5930" s="7">
        <f>-H5930/G5930</f>
        <v/>
      </c>
      <c r="J5930" s="11" t="n"/>
      <c r="K5930" s="6" t="n"/>
      <c r="L5930" s="6" t="n"/>
      <c r="M5930" s="7">
        <f>IF(N5930=0,+L5930+H5930,0)</f>
        <v/>
      </c>
      <c r="N5930" s="7">
        <f>IF((+G5930-K5930)=0,0,+G5930-K5930)</f>
        <v/>
      </c>
      <c r="O5930" s="7">
        <f>IF(N5930=0,0,(L5930+H5930)/-N5930)</f>
        <v/>
      </c>
      <c r="P5930" s="7">
        <f>VLOOKUP(OPERAC[[#This Row],[especie]],[1]!ESPECIES[#All],6,0)</f>
        <v/>
      </c>
      <c r="Q5930" s="7">
        <f>IF(N5930&lt;&gt;0,P5930*N5930,0)</f>
        <v/>
      </c>
      <c r="R5930" s="8">
        <f>IF(Q5930&lt;&gt;0,Q5930+H5930+L5930,0)</f>
        <v/>
      </c>
      <c r="S5930" s="9">
        <f>VLOOKUP(OPERAC[[#This Row],[especie]],[1]!ESPECIES[#Data],9,FALSE)</f>
        <v/>
      </c>
    </row>
    <row r="5931">
      <c r="A5931" s="4" t="n">
        <v>13180</v>
      </c>
      <c r="B5931" s="5" t="n">
        <v>44575</v>
      </c>
      <c r="C5931" s="13" t="inlineStr">
        <is>
          <t>CPR</t>
        </is>
      </c>
      <c r="D5931" s="13" t="n">
        <v>40</v>
      </c>
      <c r="E5931" s="10">
        <f>IF(D5931&gt;0,VLOOKUP(OPERAC[[#This Row],[COD CART]],[1]!MatrizCortoLargoCyl[#All],3,0),"")</f>
        <v/>
      </c>
      <c r="F5931" s="13" t="inlineStr">
        <is>
          <t>GBTC</t>
        </is>
      </c>
      <c r="G5931" s="6" t="n">
        <v>100</v>
      </c>
      <c r="H5931" s="6" t="n">
        <v>-3080.948</v>
      </c>
      <c r="I5931" s="7">
        <f>-H5931/G5931</f>
        <v/>
      </c>
      <c r="J5931" s="11" t="n">
        <v>44651</v>
      </c>
      <c r="K5931" s="6">
        <f>+OPERAC[[#This Row],[cantidad]]</f>
        <v/>
      </c>
      <c r="L5931" s="6">
        <f>+OPERAC[[#This Row],[cantidad venta]]*31.332</f>
        <v/>
      </c>
      <c r="M5931" s="7">
        <f>IF(N5931=0,+L5931+H5931,0)</f>
        <v/>
      </c>
      <c r="N5931" s="7">
        <f>IF((+G5931-K5931)=0,0,+G5931-K5931)</f>
        <v/>
      </c>
      <c r="O5931" s="7">
        <f>IF(N5931=0,0,(L5931+H5931)/-N5931)</f>
        <v/>
      </c>
      <c r="P5931" s="7">
        <f>VLOOKUP(OPERAC[[#This Row],[especie]],[1]!ESPECIES[#All],6,0)</f>
        <v/>
      </c>
      <c r="Q5931" s="7">
        <f>IF(N5931&lt;&gt;0,P5931*N5931,0)</f>
        <v/>
      </c>
      <c r="R5931" s="8">
        <f>IF(Q5931&lt;&gt;0,Q5931+H5931+L5931,0)</f>
        <v/>
      </c>
      <c r="S5931" s="9">
        <f>VLOOKUP(OPERAC[[#This Row],[especie]],[1]!ESPECIES[#Data],9,FALSE)</f>
        <v/>
      </c>
    </row>
    <row r="5932">
      <c r="A5932" s="4" t="n">
        <v>13185</v>
      </c>
      <c r="B5932" s="5" t="n">
        <v>44575</v>
      </c>
      <c r="C5932" s="13" t="inlineStr">
        <is>
          <t>CPR</t>
        </is>
      </c>
      <c r="D5932" s="13" t="n">
        <v>40</v>
      </c>
      <c r="E5932" s="10">
        <f>IF(D5932&gt;0,VLOOKUP(OPERAC[[#This Row],[COD CART]],[1]!MatrizCortoLargoCyl[#All],3,0),"")</f>
        <v/>
      </c>
      <c r="F5932" s="13" t="inlineStr">
        <is>
          <t>GBTC</t>
        </is>
      </c>
      <c r="G5932" s="6" t="n">
        <v>100</v>
      </c>
      <c r="H5932" s="6" t="n">
        <v>-3080.948</v>
      </c>
      <c r="I5932" s="7">
        <f>-H5932/G5932</f>
        <v/>
      </c>
      <c r="J5932" s="11" t="n">
        <v>44651</v>
      </c>
      <c r="K5932" s="6">
        <f>+OPERAC[[#This Row],[cantidad]]</f>
        <v/>
      </c>
      <c r="L5932" s="6">
        <f>+OPERAC[[#This Row],[cantidad venta]]*31.332</f>
        <v/>
      </c>
      <c r="M5932" s="7">
        <f>IF(N5932=0,+L5932+H5932,0)</f>
        <v/>
      </c>
      <c r="N5932" s="7">
        <f>IF((+G5932-K5932)=0,0,+G5932-K5932)</f>
        <v/>
      </c>
      <c r="O5932" s="7">
        <f>IF(N5932=0,0,(L5932+H5932)/-N5932)</f>
        <v/>
      </c>
      <c r="P5932" s="7">
        <f>VLOOKUP(OPERAC[[#This Row],[especie]],[1]!ESPECIES[#All],6,0)</f>
        <v/>
      </c>
      <c r="Q5932" s="7">
        <f>IF(N5932&lt;&gt;0,P5932*N5932,0)</f>
        <v/>
      </c>
      <c r="R5932" s="8">
        <f>IF(Q5932&lt;&gt;0,Q5932+H5932+L5932,0)</f>
        <v/>
      </c>
      <c r="S5932" s="9">
        <f>VLOOKUP(OPERAC[[#This Row],[especie]],[1]!ESPECIES[#Data],9,FALSE)</f>
        <v/>
      </c>
    </row>
    <row r="5933">
      <c r="A5933" s="4" t="n">
        <v>2244</v>
      </c>
      <c r="B5933" s="5" t="n">
        <v>44277</v>
      </c>
      <c r="C5933" s="13" t="inlineStr">
        <is>
          <t>CPR</t>
        </is>
      </c>
      <c r="D5933" s="13" t="n">
        <v>41</v>
      </c>
      <c r="E5933" s="10">
        <f>IF(D5933&gt;0,VLOOKUP(OPERAC[[#This Row],[COD CART]],[1]!MatrizCortoLargoCyl[#All],3,0),"")</f>
        <v/>
      </c>
      <c r="F5933" s="13" t="inlineStr">
        <is>
          <t>GBTC</t>
        </is>
      </c>
      <c r="G5933" s="6" t="n">
        <v>60</v>
      </c>
      <c r="H5933" s="6" t="n">
        <v>-3083.665</v>
      </c>
      <c r="I5933" s="7">
        <f>-H5933/G5933</f>
        <v/>
      </c>
      <c r="J5933" s="11" t="n"/>
      <c r="K5933" s="6" t="n"/>
      <c r="L5933" s="6" t="n"/>
      <c r="M5933" s="7">
        <f>IF(N5933=0,+L5933+H5933,0)</f>
        <v/>
      </c>
      <c r="N5933" s="7">
        <f>IF((+G5933-K5933)=0,0,+G5933-K5933)</f>
        <v/>
      </c>
      <c r="O5933" s="7">
        <f>IF(N5933=0,0,(L5933+H5933)/-N5933)</f>
        <v/>
      </c>
      <c r="P5933" s="7">
        <f>VLOOKUP(OPERAC[[#This Row],[especie]],[1]!ESPECIES[#All],6,0)</f>
        <v/>
      </c>
      <c r="Q5933" s="7">
        <f>IF(N5933&lt;&gt;0,P5933*N5933,0)</f>
        <v/>
      </c>
      <c r="R5933" s="8">
        <f>IF(Q5933&lt;&gt;0,Q5933+H5933+L5933,0)</f>
        <v/>
      </c>
      <c r="S5933" s="9">
        <f>VLOOKUP(OPERAC[[#This Row],[especie]],[1]!ESPECIES[#Data],9,FALSE)</f>
        <v/>
      </c>
    </row>
    <row r="5934">
      <c r="A5934" s="4" t="n">
        <v>3728</v>
      </c>
      <c r="B5934" s="5" t="n">
        <v>44718</v>
      </c>
      <c r="C5934" s="13" t="inlineStr">
        <is>
          <t>CPR</t>
        </is>
      </c>
      <c r="D5934" s="13" t="n">
        <v>42</v>
      </c>
      <c r="E5934" s="10">
        <f>IF(D5934&gt;0,VLOOKUP(OPERAC[[#This Row],[COD CART]],[1]!MatrizCortoLargoCyl[#All],3,0),"")</f>
        <v/>
      </c>
      <c r="F5934" s="13" t="inlineStr">
        <is>
          <t>KWEB</t>
        </is>
      </c>
      <c r="G5934" s="6" t="n">
        <v>100</v>
      </c>
      <c r="H5934" s="6" t="n">
        <v>-3092.8898</v>
      </c>
      <c r="I5934" s="7">
        <f>-H5934/G5934</f>
        <v/>
      </c>
      <c r="J5934" s="5" t="n"/>
      <c r="K5934" s="6" t="n"/>
      <c r="L5934" s="6" t="n"/>
      <c r="M5934" s="7">
        <f>IF(N5934=0,+L5934+H5934,0)</f>
        <v/>
      </c>
      <c r="N5934" s="7">
        <f>IF((+G5934-K5934)=0,0,+G5934-K5934)</f>
        <v/>
      </c>
      <c r="O5934" s="7">
        <f>IF(N5934=0,0,(L5934+H5934)/-N5934)</f>
        <v/>
      </c>
      <c r="P5934" s="7">
        <f>VLOOKUP(OPERAC[[#This Row],[especie]],[1]!ESPECIES[#All],6,0)</f>
        <v/>
      </c>
      <c r="Q5934" s="7">
        <f>IF(N5934&lt;&gt;0,P5934*N5934,0)</f>
        <v/>
      </c>
      <c r="R5934" s="8">
        <f>IF(Q5934&lt;&gt;0,Q5934+H5934+L5934,0)</f>
        <v/>
      </c>
      <c r="S5934" s="9">
        <f>VLOOKUP(OPERAC[[#This Row],[especie]],[1]!ESPECIES[#Data],9,FALSE)</f>
        <v/>
      </c>
    </row>
    <row r="5935">
      <c r="A5935" s="4" t="n">
        <v>16776</v>
      </c>
      <c r="B5935" s="5" t="n">
        <v>44536</v>
      </c>
      <c r="C5935" s="13" t="inlineStr">
        <is>
          <t>CPR</t>
        </is>
      </c>
      <c r="D5935" s="13" t="n">
        <v>41</v>
      </c>
      <c r="E5935" s="10">
        <f>IF(D5935&gt;0,VLOOKUP(OPERAC[[#This Row],[COD CART]],[1]!MatrizCortoLargoCyl[#All],3,0),"")</f>
        <v/>
      </c>
      <c r="F5935" s="13" t="inlineStr">
        <is>
          <t>GLOB</t>
        </is>
      </c>
      <c r="G5935" s="6" t="n">
        <v>12</v>
      </c>
      <c r="H5935" s="6" t="n">
        <v>-3099.255</v>
      </c>
      <c r="I5935" s="7">
        <f>-H5935/G5935</f>
        <v/>
      </c>
      <c r="J5935" s="11" t="n"/>
      <c r="K5935" s="6" t="n"/>
      <c r="L5935" s="6" t="n"/>
      <c r="M5935" s="7">
        <f>IF(N5935=0,+L5935+H5935,0)</f>
        <v/>
      </c>
      <c r="N5935" s="7">
        <f>IF((+G5935-K5935)=0,0,+G5935-K5935)</f>
        <v/>
      </c>
      <c r="O5935" s="7">
        <f>IF(N5935=0,0,(L5935+H5935)/-N5935)</f>
        <v/>
      </c>
      <c r="P5935" s="7">
        <f>VLOOKUP(OPERAC[[#This Row],[especie]],[1]!ESPECIES[#All],6,0)</f>
        <v/>
      </c>
      <c r="Q5935" s="7">
        <f>IF(N5935&lt;&gt;0,P5935*N5935,0)</f>
        <v/>
      </c>
      <c r="R5935" s="8">
        <f>IF(Q5935&lt;&gt;0,Q5935+H5935+L5935,0)</f>
        <v/>
      </c>
      <c r="S5935" s="9">
        <f>VLOOKUP(OPERAC[[#This Row],[especie]],[1]!ESPECIES[#Data],9,FALSE)</f>
        <v/>
      </c>
    </row>
    <row r="5936">
      <c r="A5936" s="4" t="n">
        <v>15194</v>
      </c>
      <c r="B5936" s="5" t="n">
        <v>44581</v>
      </c>
      <c r="C5936" s="13" t="inlineStr">
        <is>
          <t>CPR</t>
        </is>
      </c>
      <c r="D5936" s="13" t="n">
        <v>32</v>
      </c>
      <c r="E5936" s="10">
        <f>IF(D5936&gt;0,VLOOKUP(OPERAC[[#This Row],[COD CART]],[1]!MatrizCortoLargoCyl[#All],3,0),"")</f>
        <v/>
      </c>
      <c r="F5936" s="13" t="inlineStr">
        <is>
          <t>HMY/CYL/4,00/18-02-22</t>
        </is>
      </c>
      <c r="G5936" s="6" t="n">
        <v>800</v>
      </c>
      <c r="H5936" s="6" t="n">
        <v>-3099.743968</v>
      </c>
      <c r="I5936" s="7">
        <f>-H5936/G5936</f>
        <v/>
      </c>
      <c r="J5936" s="11" t="n">
        <v>44610</v>
      </c>
      <c r="K5936" s="6">
        <f>+OPERAC[[#This Row],[cantidad]]</f>
        <v/>
      </c>
      <c r="L5936" s="6">
        <f>+OPERAC[[#This Row],[cantidad venta]]*3.8323</f>
        <v/>
      </c>
      <c r="M5936" s="7">
        <f>IF(N5936=0,+L5936+H5936,0)</f>
        <v/>
      </c>
      <c r="N5936" s="7">
        <f>IF((+G5936-K5936)=0,0,+G5936-K5936)</f>
        <v/>
      </c>
      <c r="O5936" s="7">
        <f>IF(N5936=0,0,(L5936+H5936)/-N5936)</f>
        <v/>
      </c>
      <c r="P5936" s="7">
        <f>VLOOKUP(OPERAC[[#This Row],[especie]],[1]!ESPECIES[#All],6,0)</f>
        <v/>
      </c>
      <c r="Q5936" s="7">
        <f>IF(N5936&lt;&gt;0,P5936*N5936,0)</f>
        <v/>
      </c>
      <c r="R5936" s="8">
        <f>IF(Q5936&lt;&gt;0,Q5936+H5936+L5936,0)</f>
        <v/>
      </c>
      <c r="S5936" s="9">
        <f>VLOOKUP(OPERAC[[#This Row],[especie]],[1]!ESPECIES[#Data],9,FALSE)</f>
        <v/>
      </c>
    </row>
    <row r="5937">
      <c r="A5937" s="4" t="n">
        <v>1760</v>
      </c>
      <c r="B5937" s="5" t="n">
        <v>44642</v>
      </c>
      <c r="C5937" s="13" t="inlineStr">
        <is>
          <t>CPR</t>
        </is>
      </c>
      <c r="D5937" s="13" t="n">
        <v>42</v>
      </c>
      <c r="E5937" s="10">
        <f>IF(D5937&gt;0,VLOOKUP(OPERAC[[#This Row],[COD CART]],[1]!MatrizCortoLargoCyl[#All],3,0),"")</f>
        <v/>
      </c>
      <c r="F5937" s="13" t="inlineStr">
        <is>
          <t>HYDR</t>
        </is>
      </c>
      <c r="G5937" s="6" t="n">
        <v>160</v>
      </c>
      <c r="H5937" s="6">
        <f>-19.39*OPERAC[[#This Row],[cantidad]]</f>
        <v/>
      </c>
      <c r="I5937" s="7">
        <f>-H5937/G5937</f>
        <v/>
      </c>
      <c r="J5937" s="11" t="n">
        <v>44693</v>
      </c>
      <c r="K5937" s="6">
        <f>+OPERAC[[#This Row],[cantidad]]</f>
        <v/>
      </c>
      <c r="L5937" s="6">
        <f>+OPERAC[[#This Row],[cantidad venta]]*11.63</f>
        <v/>
      </c>
      <c r="M5937" s="7">
        <f>IF(N5937=0,+L5937+H5937,0)</f>
        <v/>
      </c>
      <c r="N5937" s="7">
        <f>IF((+G5937-K5937)=0,0,+G5937-K5937)</f>
        <v/>
      </c>
      <c r="O5937" s="7">
        <f>IF(N5937=0,0,(L5937+H5937)/-N5937)</f>
        <v/>
      </c>
      <c r="P5937" s="7">
        <f>VLOOKUP(OPERAC[[#This Row],[especie]],[1]!ESPECIES[#All],6,0)</f>
        <v/>
      </c>
      <c r="Q5937" s="7">
        <f>IF(N5937&lt;&gt;0,P5937*N5937,0)</f>
        <v/>
      </c>
      <c r="R5937" s="8">
        <f>IF(Q5937&lt;&gt;0,Q5937+H5937+L5937,0)</f>
        <v/>
      </c>
      <c r="S5937" s="9">
        <f>VLOOKUP(OPERAC[[#This Row],[especie]],[1]!ESPECIES[#Data],9,FALSE)</f>
        <v/>
      </c>
    </row>
    <row r="5938">
      <c r="A5938" s="4" t="n">
        <v>16783</v>
      </c>
      <c r="B5938" s="5" t="n">
        <v>44718</v>
      </c>
      <c r="C5938" s="13" t="inlineStr">
        <is>
          <t>CPR</t>
        </is>
      </c>
      <c r="D5938" s="13" t="n">
        <v>42</v>
      </c>
      <c r="E5938" s="10">
        <f>IF(D5938&gt;0,VLOOKUP(OPERAC[[#This Row],[COD CART]],[1]!MatrizCortoLargoCyl[#All],3,0),"")</f>
        <v/>
      </c>
      <c r="F5938" s="13" t="inlineStr">
        <is>
          <t>KWEB</t>
        </is>
      </c>
      <c r="G5938" s="6" t="n">
        <v>100</v>
      </c>
      <c r="H5938" s="6" t="n">
        <v>-3103.7041</v>
      </c>
      <c r="I5938" s="7">
        <f>-H5938/G5938</f>
        <v/>
      </c>
      <c r="J5938" s="5" t="n">
        <v>44725</v>
      </c>
      <c r="K5938" s="6" t="n">
        <v>100</v>
      </c>
      <c r="L5938" s="6" t="n">
        <v>2931.25</v>
      </c>
      <c r="M5938" s="7">
        <f>IF(N5938=0,+L5938+H5938,0)</f>
        <v/>
      </c>
      <c r="N5938" s="7">
        <f>IF((+G5938-K5938)=0,0,+G5938-K5938)</f>
        <v/>
      </c>
      <c r="O5938" s="7">
        <f>IF(N5938=0,0,(L5938+H5938)/-N5938)</f>
        <v/>
      </c>
      <c r="P5938" s="7">
        <f>VLOOKUP(OPERAC[[#This Row],[especie]],[1]!ESPECIES[#All],6,0)</f>
        <v/>
      </c>
      <c r="Q5938" s="7">
        <f>IF(N5938&lt;&gt;0,P5938*N5938,0)</f>
        <v/>
      </c>
      <c r="R5938" s="8">
        <f>IF(Q5938&lt;&gt;0,Q5938+H5938+L5938,0)</f>
        <v/>
      </c>
      <c r="S5938" s="9">
        <f>VLOOKUP(OPERAC[[#This Row],[especie]],[1]!ESPECIES[#Data],9,FALSE)</f>
        <v/>
      </c>
    </row>
    <row r="5939">
      <c r="A5939" s="4" t="n">
        <v>12690</v>
      </c>
      <c r="B5939" s="5" t="n">
        <v>44607</v>
      </c>
      <c r="C5939" s="13" t="inlineStr">
        <is>
          <t>CPR</t>
        </is>
      </c>
      <c r="D5939" s="13" t="n">
        <v>32</v>
      </c>
      <c r="E5939" s="10">
        <f>IF(D5939&gt;0,VLOOKUP(OPERAC[[#This Row],[COD CART]],[1]!MatrizCortoLargoCyl[#All],3,0),"")</f>
        <v/>
      </c>
      <c r="F5939" s="13" t="inlineStr">
        <is>
          <t>DDD/CYL/16,00/18-03-22</t>
        </is>
      </c>
      <c r="G5939" s="6" t="n">
        <v>200</v>
      </c>
      <c r="H5939" s="6" t="n">
        <v>-3105.55</v>
      </c>
      <c r="I5939" s="7">
        <f>-H5939/G5939</f>
        <v/>
      </c>
      <c r="J5939" s="11" t="n">
        <v>44638</v>
      </c>
      <c r="K5939" s="6" t="n">
        <v>200</v>
      </c>
      <c r="L5939" s="6">
        <f>15.866*OPERAC[[#This Row],[cantidad venta]]</f>
        <v/>
      </c>
      <c r="M5939" s="7">
        <f>IF(N5939=0,+L5939+H5939,0)</f>
        <v/>
      </c>
      <c r="N5939" s="7">
        <f>IF((+G5939-K5939)=0,0,+G5939-K5939)</f>
        <v/>
      </c>
      <c r="O5939" s="7">
        <f>IF(N5939=0,0,(L5939+H5939)/-N5939)</f>
        <v/>
      </c>
      <c r="P5939" s="7">
        <f>VLOOKUP(OPERAC[[#This Row],[especie]],[1]!ESPECIES[#All],6,0)</f>
        <v/>
      </c>
      <c r="Q5939" s="7">
        <f>IF(N5939&lt;&gt;0,P5939*N5939,0)</f>
        <v/>
      </c>
      <c r="R5939" s="8">
        <f>IF(Q5939&lt;&gt;0,Q5939+H5939+L5939,0)</f>
        <v/>
      </c>
      <c r="S5939" s="9">
        <f>VLOOKUP(OPERAC[[#This Row],[especie]],[1]!ESPECIES[#Data],9,FALSE)</f>
        <v/>
      </c>
    </row>
    <row r="5940">
      <c r="A5940" s="4" t="n">
        <v>13246</v>
      </c>
      <c r="B5940" s="5" t="n">
        <v>44607</v>
      </c>
      <c r="C5940" s="13" t="inlineStr">
        <is>
          <t>CPR</t>
        </is>
      </c>
      <c r="D5940" s="13" t="n">
        <v>32</v>
      </c>
      <c r="E5940" s="10">
        <f>IF(D5940&gt;0,VLOOKUP(OPERAC[[#This Row],[COD CART]],[1]!MatrizCortoLargoCyl[#All],3,0),"")</f>
        <v/>
      </c>
      <c r="F5940" s="13" t="inlineStr">
        <is>
          <t>DDD/CYL/16,00/18-03-22</t>
        </is>
      </c>
      <c r="G5940" s="6" t="n">
        <v>200</v>
      </c>
      <c r="H5940" s="6" t="n">
        <v>-3105.55</v>
      </c>
      <c r="I5940" s="7">
        <f>-H5940/G5940</f>
        <v/>
      </c>
      <c r="J5940" s="11" t="n">
        <v>44638</v>
      </c>
      <c r="K5940" s="6" t="n">
        <v>200</v>
      </c>
      <c r="L5940" s="6">
        <f>15.866*OPERAC[[#This Row],[cantidad venta]]</f>
        <v/>
      </c>
      <c r="M5940" s="7">
        <f>IF(N5940=0,+L5940+H5940,0)</f>
        <v/>
      </c>
      <c r="N5940" s="7">
        <f>IF((+G5940-K5940)=0,0,+G5940-K5940)</f>
        <v/>
      </c>
      <c r="O5940" s="7">
        <f>IF(N5940=0,0,(L5940+H5940)/-N5940)</f>
        <v/>
      </c>
      <c r="P5940" s="7">
        <f>VLOOKUP(OPERAC[[#This Row],[especie]],[1]!ESPECIES[#All],6,0)</f>
        <v/>
      </c>
      <c r="Q5940" s="7">
        <f>IF(N5940&lt;&gt;0,P5940*N5940,0)</f>
        <v/>
      </c>
      <c r="R5940" s="8">
        <f>IF(Q5940&lt;&gt;0,Q5940+H5940+L5940,0)</f>
        <v/>
      </c>
      <c r="S5940" s="9">
        <f>VLOOKUP(OPERAC[[#This Row],[especie]],[1]!ESPECIES[#Data],9,FALSE)</f>
        <v/>
      </c>
    </row>
    <row r="5941">
      <c r="A5941" s="4" t="n">
        <v>6578</v>
      </c>
      <c r="B5941" s="5" t="n">
        <v>44718</v>
      </c>
      <c r="C5941" s="13" t="inlineStr">
        <is>
          <t>CPR</t>
        </is>
      </c>
      <c r="D5941" s="13" t="n">
        <v>42</v>
      </c>
      <c r="E5941" s="10">
        <f>IF(D5941&gt;0,VLOOKUP(OPERAC[[#This Row],[COD CART]],[1]!MatrizCortoLargoCyl[#All],3,0),"")</f>
        <v/>
      </c>
      <c r="F5941" s="13" t="inlineStr">
        <is>
          <t>KWEB</t>
        </is>
      </c>
      <c r="G5941" s="6" t="n">
        <v>100</v>
      </c>
      <c r="H5941" s="6" t="n">
        <v>-3108.3388</v>
      </c>
      <c r="I5941" s="7">
        <f>-H5941/G5941</f>
        <v/>
      </c>
      <c r="J5941" s="5" t="n"/>
      <c r="K5941" s="6" t="n"/>
      <c r="L5941" s="6" t="n"/>
      <c r="M5941" s="7">
        <f>IF(N5941=0,+L5941+H5941,0)</f>
        <v/>
      </c>
      <c r="N5941" s="7">
        <f>IF((+G5941-K5941)=0,0,+G5941-K5941)</f>
        <v/>
      </c>
      <c r="O5941" s="7">
        <f>IF(N5941=0,0,(L5941+H5941)/-N5941)</f>
        <v/>
      </c>
      <c r="P5941" s="7">
        <f>VLOOKUP(OPERAC[[#This Row],[especie]],[1]!ESPECIES[#All],6,0)</f>
        <v/>
      </c>
      <c r="Q5941" s="7">
        <f>IF(N5941&lt;&gt;0,P5941*N5941,0)</f>
        <v/>
      </c>
      <c r="R5941" s="8">
        <f>IF(Q5941&lt;&gt;0,Q5941+H5941+L5941,0)</f>
        <v/>
      </c>
      <c r="S5941" s="9">
        <f>VLOOKUP(OPERAC[[#This Row],[especie]],[1]!ESPECIES[#Data],9,FALSE)</f>
        <v/>
      </c>
    </row>
    <row r="5942">
      <c r="A5942" s="4" t="n">
        <v>10079</v>
      </c>
      <c r="B5942" s="5" t="n">
        <v>44718</v>
      </c>
      <c r="C5942" s="13" t="inlineStr">
        <is>
          <t>CPR</t>
        </is>
      </c>
      <c r="D5942" s="13" t="n">
        <v>42</v>
      </c>
      <c r="E5942" s="10">
        <f>IF(D5942&gt;0,VLOOKUP(OPERAC[[#This Row],[COD CART]],[1]!MatrizCortoLargoCyl[#All],3,0),"")</f>
        <v/>
      </c>
      <c r="F5942" s="13" t="inlineStr">
        <is>
          <t>KWEB</t>
        </is>
      </c>
      <c r="G5942" s="6" t="n">
        <v>100</v>
      </c>
      <c r="H5942" s="6" t="n">
        <v>-3108.3388</v>
      </c>
      <c r="I5942" s="7">
        <f>-H5942/G5942</f>
        <v/>
      </c>
      <c r="J5942" s="5" t="n"/>
      <c r="K5942" s="6" t="n"/>
      <c r="L5942" s="6" t="n"/>
      <c r="M5942" s="7">
        <f>IF(N5942=0,+L5942+H5942,0)</f>
        <v/>
      </c>
      <c r="N5942" s="7">
        <f>IF((+G5942-K5942)=0,0,+G5942-K5942)</f>
        <v/>
      </c>
      <c r="O5942" s="7">
        <f>IF(N5942=0,0,(L5942+H5942)/-N5942)</f>
        <v/>
      </c>
      <c r="P5942" s="7">
        <f>VLOOKUP(OPERAC[[#This Row],[especie]],[1]!ESPECIES[#All],6,0)</f>
        <v/>
      </c>
      <c r="Q5942" s="7">
        <f>IF(N5942&lt;&gt;0,P5942*N5942,0)</f>
        <v/>
      </c>
      <c r="R5942" s="8">
        <f>IF(Q5942&lt;&gt;0,Q5942+H5942+L5942,0)</f>
        <v/>
      </c>
      <c r="S5942" s="9">
        <f>VLOOKUP(OPERAC[[#This Row],[especie]],[1]!ESPECIES[#Data],9,FALSE)</f>
        <v/>
      </c>
    </row>
    <row r="5943">
      <c r="A5943" s="4" t="n">
        <v>12672</v>
      </c>
      <c r="B5943" s="5" t="n">
        <v>44718</v>
      </c>
      <c r="C5943" s="13" t="inlineStr">
        <is>
          <t>CPR</t>
        </is>
      </c>
      <c r="D5943" s="13" t="n">
        <v>42</v>
      </c>
      <c r="E5943" s="10">
        <f>IF(D5943&gt;0,VLOOKUP(OPERAC[[#This Row],[COD CART]],[1]!MatrizCortoLargoCyl[#All],3,0),"")</f>
        <v/>
      </c>
      <c r="F5943" s="13" t="inlineStr">
        <is>
          <t>KWEB</t>
        </is>
      </c>
      <c r="G5943" s="6" t="n">
        <v>100</v>
      </c>
      <c r="H5943" s="6" t="n">
        <v>-3108.3388</v>
      </c>
      <c r="I5943" s="7">
        <f>-H5943/G5943</f>
        <v/>
      </c>
      <c r="J5943" s="5" t="n"/>
      <c r="K5943" s="6" t="n"/>
      <c r="L5943" s="6" t="n"/>
      <c r="M5943" s="7">
        <f>IF(N5943=0,+L5943+H5943,0)</f>
        <v/>
      </c>
      <c r="N5943" s="7">
        <f>IF((+G5943-K5943)=0,0,+G5943-K5943)</f>
        <v/>
      </c>
      <c r="O5943" s="7">
        <f>IF(N5943=0,0,(L5943+H5943)/-N5943)</f>
        <v/>
      </c>
      <c r="P5943" s="7">
        <f>VLOOKUP(OPERAC[[#This Row],[especie]],[1]!ESPECIES[#All],6,0)</f>
        <v/>
      </c>
      <c r="Q5943" s="7">
        <f>IF(N5943&lt;&gt;0,P5943*N5943,0)</f>
        <v/>
      </c>
      <c r="R5943" s="8">
        <f>IF(Q5943&lt;&gt;0,Q5943+H5943+L5943,0)</f>
        <v/>
      </c>
      <c r="S5943" s="9">
        <f>VLOOKUP(OPERAC[[#This Row],[especie]],[1]!ESPECIES[#Data],9,FALSE)</f>
        <v/>
      </c>
    </row>
    <row r="5944">
      <c r="A5944" s="4" t="n">
        <v>13269</v>
      </c>
      <c r="B5944" s="5" t="n">
        <v>44718</v>
      </c>
      <c r="C5944" s="13" t="inlineStr">
        <is>
          <t>CPR</t>
        </is>
      </c>
      <c r="D5944" s="13" t="n">
        <v>42</v>
      </c>
      <c r="E5944" s="10">
        <f>IF(D5944&gt;0,VLOOKUP(OPERAC[[#This Row],[COD CART]],[1]!MatrizCortoLargoCyl[#All],3,0),"")</f>
        <v/>
      </c>
      <c r="F5944" s="13" t="inlineStr">
        <is>
          <t>KWEB</t>
        </is>
      </c>
      <c r="G5944" s="6" t="n">
        <v>100</v>
      </c>
      <c r="H5944" s="6" t="n">
        <v>-3108.3388</v>
      </c>
      <c r="I5944" s="7">
        <f>-H5944/G5944</f>
        <v/>
      </c>
      <c r="J5944" s="5" t="n"/>
      <c r="K5944" s="6" t="n"/>
      <c r="L5944" s="6" t="n"/>
      <c r="M5944" s="7">
        <f>IF(N5944=0,+L5944+H5944,0)</f>
        <v/>
      </c>
      <c r="N5944" s="7">
        <f>IF((+G5944-K5944)=0,0,+G5944-K5944)</f>
        <v/>
      </c>
      <c r="O5944" s="7">
        <f>IF(N5944=0,0,(L5944+H5944)/-N5944)</f>
        <v/>
      </c>
      <c r="P5944" s="7">
        <f>VLOOKUP(OPERAC[[#This Row],[especie]],[1]!ESPECIES[#All],6,0)</f>
        <v/>
      </c>
      <c r="Q5944" s="7">
        <f>IF(N5944&lt;&gt;0,P5944*N5944,0)</f>
        <v/>
      </c>
      <c r="R5944" s="8">
        <f>IF(Q5944&lt;&gt;0,Q5944+H5944+L5944,0)</f>
        <v/>
      </c>
      <c r="S5944" s="9">
        <f>VLOOKUP(OPERAC[[#This Row],[especie]],[1]!ESPECIES[#Data],9,FALSE)</f>
        <v/>
      </c>
    </row>
    <row r="5945">
      <c r="A5945" s="4" t="n">
        <v>18690</v>
      </c>
      <c r="B5945" s="5" t="n">
        <v>44718</v>
      </c>
      <c r="C5945" s="13" t="inlineStr">
        <is>
          <t>CPR</t>
        </is>
      </c>
      <c r="D5945" s="13" t="n">
        <v>42</v>
      </c>
      <c r="E5945" s="10">
        <f>IF(D5945&gt;0,VLOOKUP(OPERAC[[#This Row],[COD CART]],[1]!MatrizCortoLargoCyl[#All],3,0),"")</f>
        <v/>
      </c>
      <c r="F5945" s="13" t="inlineStr">
        <is>
          <t>KWEB</t>
        </is>
      </c>
      <c r="G5945" s="6" t="n">
        <v>100</v>
      </c>
      <c r="H5945" s="6" t="n">
        <v>-3108.3388</v>
      </c>
      <c r="I5945" s="7">
        <f>-H5945/G5945</f>
        <v/>
      </c>
      <c r="J5945" s="5" t="n"/>
      <c r="K5945" s="6" t="n"/>
      <c r="L5945" s="6" t="n"/>
      <c r="M5945" s="7">
        <f>IF(N5945=0,+L5945+H5945,0)</f>
        <v/>
      </c>
      <c r="N5945" s="7">
        <f>IF((+G5945-K5945)=0,0,+G5945-K5945)</f>
        <v/>
      </c>
      <c r="O5945" s="7">
        <f>IF(N5945=0,0,(L5945+H5945)/-N5945)</f>
        <v/>
      </c>
      <c r="P5945" s="7">
        <f>VLOOKUP(OPERAC[[#This Row],[especie]],[1]!ESPECIES[#All],6,0)</f>
        <v/>
      </c>
      <c r="Q5945" s="7">
        <f>IF(N5945&lt;&gt;0,P5945*N5945,0)</f>
        <v/>
      </c>
      <c r="R5945" s="8">
        <f>IF(Q5945&lt;&gt;0,Q5945+H5945+L5945,0)</f>
        <v/>
      </c>
      <c r="S5945" s="9">
        <f>VLOOKUP(OPERAC[[#This Row],[especie]],[1]!ESPECIES[#Data],9,FALSE)</f>
        <v/>
      </c>
    </row>
    <row r="5946">
      <c r="A5946" s="4" t="n">
        <v>18724</v>
      </c>
      <c r="B5946" s="5" t="n">
        <v>44718</v>
      </c>
      <c r="C5946" s="13" t="inlineStr">
        <is>
          <t>CPR</t>
        </is>
      </c>
      <c r="D5946" s="13" t="n">
        <v>42</v>
      </c>
      <c r="E5946" s="10">
        <f>IF(D5946&gt;0,VLOOKUP(OPERAC[[#This Row],[COD CART]],[1]!MatrizCortoLargoCyl[#All],3,0),"")</f>
        <v/>
      </c>
      <c r="F5946" s="13" t="inlineStr">
        <is>
          <t>KWEB</t>
        </is>
      </c>
      <c r="G5946" s="6" t="n">
        <v>100</v>
      </c>
      <c r="H5946" s="6" t="n">
        <v>-3108.3388</v>
      </c>
      <c r="I5946" s="7">
        <f>-H5946/G5946</f>
        <v/>
      </c>
      <c r="J5946" s="5" t="n"/>
      <c r="K5946" s="6" t="n"/>
      <c r="L5946" s="6" t="n"/>
      <c r="M5946" s="7">
        <f>IF(N5946=0,+L5946+H5946,0)</f>
        <v/>
      </c>
      <c r="N5946" s="7">
        <f>IF((+G5946-K5946)=0,0,+G5946-K5946)</f>
        <v/>
      </c>
      <c r="O5946" s="7">
        <f>IF(N5946=0,0,(L5946+H5946)/-N5946)</f>
        <v/>
      </c>
      <c r="P5946" s="7">
        <f>VLOOKUP(OPERAC[[#This Row],[especie]],[1]!ESPECIES[#All],6,0)</f>
        <v/>
      </c>
      <c r="Q5946" s="7">
        <f>IF(N5946&lt;&gt;0,P5946*N5946,0)</f>
        <v/>
      </c>
      <c r="R5946" s="8">
        <f>IF(Q5946&lt;&gt;0,Q5946+H5946+L5946,0)</f>
        <v/>
      </c>
      <c r="S5946" s="9">
        <f>VLOOKUP(OPERAC[[#This Row],[especie]],[1]!ESPECIES[#Data],9,FALSE)</f>
        <v/>
      </c>
    </row>
    <row r="5947">
      <c r="A5947" s="4" t="n">
        <v>19867</v>
      </c>
      <c r="B5947" s="5" t="n">
        <v>44718</v>
      </c>
      <c r="C5947" s="13" t="inlineStr">
        <is>
          <t>CPR</t>
        </is>
      </c>
      <c r="D5947" s="13" t="n">
        <v>42</v>
      </c>
      <c r="E5947" s="10">
        <f>IF(D5947&gt;0,VLOOKUP(OPERAC[[#This Row],[COD CART]],[1]!MatrizCortoLargoCyl[#All],3,0),"")</f>
        <v/>
      </c>
      <c r="F5947" s="13" t="inlineStr">
        <is>
          <t>KWEB</t>
        </is>
      </c>
      <c r="G5947" s="6" t="n">
        <v>100</v>
      </c>
      <c r="H5947" s="6" t="n">
        <v>-3108.3388</v>
      </c>
      <c r="I5947" s="7">
        <f>-H5947/G5947</f>
        <v/>
      </c>
      <c r="J5947" s="5" t="n">
        <v>44726</v>
      </c>
      <c r="K5947" s="6" t="n">
        <v>100</v>
      </c>
      <c r="L5947" s="6" t="n">
        <v>3081.582</v>
      </c>
      <c r="M5947" s="7">
        <f>IF(N5947=0,+L5947+H5947,0)</f>
        <v/>
      </c>
      <c r="N5947" s="7">
        <f>IF((+G5947-K5947)=0,0,+G5947-K5947)</f>
        <v/>
      </c>
      <c r="O5947" s="7">
        <f>IF(N5947=0,0,(L5947+H5947)/-N5947)</f>
        <v/>
      </c>
      <c r="P5947" s="7">
        <f>VLOOKUP(OPERAC[[#This Row],[especie]],[1]!ESPECIES[#All],6,0)</f>
        <v/>
      </c>
      <c r="Q5947" s="7">
        <f>IF(N5947&lt;&gt;0,P5947*N5947,0)</f>
        <v/>
      </c>
      <c r="R5947" s="8">
        <f>IF(Q5947&lt;&gt;0,Q5947+H5947+L5947,0)</f>
        <v/>
      </c>
      <c r="S5947" s="9">
        <f>VLOOKUP(OPERAC[[#This Row],[especie]],[1]!ESPECIES[#Data],9,FALSE)</f>
        <v/>
      </c>
    </row>
    <row r="5948">
      <c r="A5948" s="4" t="n">
        <v>19878</v>
      </c>
      <c r="B5948" s="5" t="n">
        <v>44718</v>
      </c>
      <c r="C5948" s="13" t="inlineStr">
        <is>
          <t>CPR</t>
        </is>
      </c>
      <c r="D5948" s="13" t="n">
        <v>42</v>
      </c>
      <c r="E5948" s="10">
        <f>IF(D5948&gt;0,VLOOKUP(OPERAC[[#This Row],[COD CART]],[1]!MatrizCortoLargoCyl[#All],3,0),"")</f>
        <v/>
      </c>
      <c r="F5948" s="13" t="inlineStr">
        <is>
          <t>KWEB</t>
        </is>
      </c>
      <c r="G5948" s="6" t="n">
        <v>100</v>
      </c>
      <c r="H5948" s="6" t="n">
        <v>-3108.3388</v>
      </c>
      <c r="I5948" s="7">
        <f>-H5948/G5948</f>
        <v/>
      </c>
      <c r="J5948" s="5" t="n"/>
      <c r="K5948" s="6" t="n"/>
      <c r="L5948" s="6" t="n"/>
      <c r="M5948" s="7">
        <f>IF(N5948=0,+L5948+H5948,0)</f>
        <v/>
      </c>
      <c r="N5948" s="7">
        <f>IF((+G5948-K5948)=0,0,+G5948-K5948)</f>
        <v/>
      </c>
      <c r="O5948" s="7">
        <f>IF(N5948=0,0,(L5948+H5948)/-N5948)</f>
        <v/>
      </c>
      <c r="P5948" s="7">
        <f>VLOOKUP(OPERAC[[#This Row],[especie]],[1]!ESPECIES[#All],6,0)</f>
        <v/>
      </c>
      <c r="Q5948" s="7">
        <f>IF(N5948&lt;&gt;0,P5948*N5948,0)</f>
        <v/>
      </c>
      <c r="R5948" s="8">
        <f>IF(Q5948&lt;&gt;0,Q5948+H5948+L5948,0)</f>
        <v/>
      </c>
      <c r="S5948" s="9">
        <f>VLOOKUP(OPERAC[[#This Row],[especie]],[1]!ESPECIES[#Data],9,FALSE)</f>
        <v/>
      </c>
    </row>
    <row r="5949">
      <c r="A5949" s="4" t="n">
        <v>19920</v>
      </c>
      <c r="B5949" s="5" t="n">
        <v>44718</v>
      </c>
      <c r="C5949" s="13" t="inlineStr">
        <is>
          <t>CPR</t>
        </is>
      </c>
      <c r="D5949" s="13" t="n">
        <v>42</v>
      </c>
      <c r="E5949" s="10">
        <f>IF(D5949&gt;0,VLOOKUP(OPERAC[[#This Row],[COD CART]],[1]!MatrizCortoLargoCyl[#All],3,0),"")</f>
        <v/>
      </c>
      <c r="F5949" s="13" t="inlineStr">
        <is>
          <t>KWEB</t>
        </is>
      </c>
      <c r="G5949" s="6" t="n">
        <v>100</v>
      </c>
      <c r="H5949" s="6" t="n">
        <v>-3108.3388</v>
      </c>
      <c r="I5949" s="7">
        <f>-H5949/G5949</f>
        <v/>
      </c>
      <c r="J5949" s="5" t="n"/>
      <c r="K5949" s="6" t="n"/>
      <c r="L5949" s="6" t="n"/>
      <c r="M5949" s="7">
        <f>IF(N5949=0,+L5949+H5949,0)</f>
        <v/>
      </c>
      <c r="N5949" s="7">
        <f>IF((+G5949-K5949)=0,0,+G5949-K5949)</f>
        <v/>
      </c>
      <c r="O5949" s="7">
        <f>IF(N5949=0,0,(L5949+H5949)/-N5949)</f>
        <v/>
      </c>
      <c r="P5949" s="7">
        <f>VLOOKUP(OPERAC[[#This Row],[especie]],[1]!ESPECIES[#All],6,0)</f>
        <v/>
      </c>
      <c r="Q5949" s="7">
        <f>IF(N5949&lt;&gt;0,P5949*N5949,0)</f>
        <v/>
      </c>
      <c r="R5949" s="8">
        <f>IF(Q5949&lt;&gt;0,Q5949+H5949+L5949,0)</f>
        <v/>
      </c>
      <c r="S5949" s="9">
        <f>VLOOKUP(OPERAC[[#This Row],[especie]],[1]!ESPECIES[#Data],9,FALSE)</f>
        <v/>
      </c>
    </row>
    <row r="5950">
      <c r="A5950" s="4" t="n">
        <v>19932</v>
      </c>
      <c r="B5950" s="5" t="n">
        <v>44718</v>
      </c>
      <c r="C5950" s="13" t="inlineStr">
        <is>
          <t>CPR</t>
        </is>
      </c>
      <c r="D5950" s="13" t="n">
        <v>42</v>
      </c>
      <c r="E5950" s="10">
        <f>IF(D5950&gt;0,VLOOKUP(OPERAC[[#This Row],[COD CART]],[1]!MatrizCortoLargoCyl[#All],3,0),"")</f>
        <v/>
      </c>
      <c r="F5950" s="13" t="inlineStr">
        <is>
          <t>KWEB</t>
        </is>
      </c>
      <c r="G5950" s="6" t="n">
        <v>100</v>
      </c>
      <c r="H5950" s="6" t="n">
        <v>-3108.3388</v>
      </c>
      <c r="I5950" s="7">
        <f>-H5950/G5950</f>
        <v/>
      </c>
      <c r="J5950" s="5" t="n"/>
      <c r="K5950" s="6" t="n"/>
      <c r="L5950" s="6" t="n"/>
      <c r="M5950" s="7">
        <f>IF(N5950=0,+L5950+H5950,0)</f>
        <v/>
      </c>
      <c r="N5950" s="7">
        <f>IF((+G5950-K5950)=0,0,+G5950-K5950)</f>
        <v/>
      </c>
      <c r="O5950" s="7">
        <f>IF(N5950=0,0,(L5950+H5950)/-N5950)</f>
        <v/>
      </c>
      <c r="P5950" s="7">
        <f>VLOOKUP(OPERAC[[#This Row],[especie]],[1]!ESPECIES[#All],6,0)</f>
        <v/>
      </c>
      <c r="Q5950" s="7">
        <f>IF(N5950&lt;&gt;0,P5950*N5950,0)</f>
        <v/>
      </c>
      <c r="R5950" s="8">
        <f>IF(Q5950&lt;&gt;0,Q5950+H5950+L5950,0)</f>
        <v/>
      </c>
      <c r="S5950" s="9">
        <f>VLOOKUP(OPERAC[[#This Row],[especie]],[1]!ESPECIES[#Data],9,FALSE)</f>
        <v/>
      </c>
    </row>
    <row r="5951">
      <c r="A5951" s="4" t="n">
        <v>1760</v>
      </c>
      <c r="B5951" s="5" t="n">
        <v>44536</v>
      </c>
      <c r="C5951" s="13" t="inlineStr">
        <is>
          <t>CPR</t>
        </is>
      </c>
      <c r="D5951" s="13" t="n">
        <v>41</v>
      </c>
      <c r="E5951" s="10">
        <f>IF(D5951&gt;0,VLOOKUP(OPERAC[[#This Row],[COD CART]],[1]!MatrizCortoLargoCyl[#All],3,0),"")</f>
        <v/>
      </c>
      <c r="F5951" s="13" t="inlineStr">
        <is>
          <t>LOMA</t>
        </is>
      </c>
      <c r="G5951" s="6" t="n">
        <v>500</v>
      </c>
      <c r="H5951" s="6" t="n">
        <v>-3115.825</v>
      </c>
      <c r="I5951" s="7">
        <f>-H5951/G5951</f>
        <v/>
      </c>
      <c r="J5951" s="11" t="n"/>
      <c r="K5951" s="6" t="n"/>
      <c r="L5951" s="6" t="n"/>
      <c r="M5951" s="7">
        <f>IF(N5951=0,+L5951+H5951,0)</f>
        <v/>
      </c>
      <c r="N5951" s="7">
        <f>IF((+G5951-K5951)=0,0,+G5951-K5951)</f>
        <v/>
      </c>
      <c r="O5951" s="7">
        <f>IF(N5951=0,0,(L5951+H5951)/-N5951)</f>
        <v/>
      </c>
      <c r="P5951" s="7">
        <f>VLOOKUP(OPERAC[[#This Row],[especie]],[1]!ESPECIES[#All],6,0)</f>
        <v/>
      </c>
      <c r="Q5951" s="7">
        <f>IF(N5951&lt;&gt;0,P5951*N5951,0)</f>
        <v/>
      </c>
      <c r="R5951" s="8">
        <f>IF(Q5951&lt;&gt;0,Q5951+H5951+L5951,0)</f>
        <v/>
      </c>
      <c r="S5951" s="9">
        <f>VLOOKUP(OPERAC[[#This Row],[especie]],[1]!ESPECIES[#Data],9,FALSE)</f>
        <v/>
      </c>
    </row>
    <row r="5952">
      <c r="A5952" s="4" t="n">
        <v>13180</v>
      </c>
      <c r="B5952" s="5" t="n">
        <v>44718</v>
      </c>
      <c r="C5952" s="13" t="inlineStr">
        <is>
          <t>CPR</t>
        </is>
      </c>
      <c r="D5952" s="13" t="n">
        <v>42</v>
      </c>
      <c r="E5952" s="10">
        <f>IF(D5952&gt;0,VLOOKUP(OPERAC[[#This Row],[COD CART]],[1]!MatrizCortoLargoCyl[#All],3,0),"")</f>
        <v/>
      </c>
      <c r="F5952" s="13" t="inlineStr">
        <is>
          <t>KWEB</t>
        </is>
      </c>
      <c r="G5952" s="6" t="n">
        <v>100</v>
      </c>
      <c r="H5952" s="6" t="n">
        <v>-3120.698</v>
      </c>
      <c r="I5952" s="7">
        <f>-H5952/G5952</f>
        <v/>
      </c>
      <c r="J5952" s="5" t="n">
        <v>44725</v>
      </c>
      <c r="K5952" s="6" t="n">
        <v>100</v>
      </c>
      <c r="L5952" s="6" t="n">
        <v>2917.49</v>
      </c>
      <c r="M5952" s="7">
        <f>IF(N5952=0,+L5952+H5952,0)</f>
        <v/>
      </c>
      <c r="N5952" s="7">
        <f>IF((+G5952-K5952)=0,0,+G5952-K5952)</f>
        <v/>
      </c>
      <c r="O5952" s="7">
        <f>IF(N5952=0,0,(L5952+H5952)/-N5952)</f>
        <v/>
      </c>
      <c r="P5952" s="7">
        <f>VLOOKUP(OPERAC[[#This Row],[especie]],[1]!ESPECIES[#All],6,0)</f>
        <v/>
      </c>
      <c r="Q5952" s="7">
        <f>IF(N5952&lt;&gt;0,P5952*N5952,0)</f>
        <v/>
      </c>
      <c r="R5952" s="8">
        <f>IF(Q5952&lt;&gt;0,Q5952+H5952+L5952,0)</f>
        <v/>
      </c>
      <c r="S5952" s="9">
        <f>VLOOKUP(OPERAC[[#This Row],[especie]],[1]!ESPECIES[#Data],9,FALSE)</f>
        <v/>
      </c>
    </row>
    <row r="5953">
      <c r="A5953" s="4" t="n">
        <v>10079</v>
      </c>
      <c r="B5953" s="5" t="n">
        <v>44680</v>
      </c>
      <c r="C5953" s="13" t="inlineStr">
        <is>
          <t>CPR</t>
        </is>
      </c>
      <c r="D5953" s="13" t="n">
        <v>42</v>
      </c>
      <c r="E5953" s="10">
        <f>IF(D5953&gt;0,VLOOKUP(OPERAC[[#This Row],[COD CART]],[1]!MatrizCortoLargoCyl[#All],3,0),"")</f>
        <v/>
      </c>
      <c r="F5953" s="13" t="inlineStr">
        <is>
          <t>TS</t>
        </is>
      </c>
      <c r="G5953" s="6" t="n">
        <v>100</v>
      </c>
      <c r="H5953" s="6" t="n">
        <v>-3129.87975</v>
      </c>
      <c r="I5953" s="7">
        <f>-H5953/G5953</f>
        <v/>
      </c>
      <c r="J5953" s="11" t="n">
        <v>44693</v>
      </c>
      <c r="K5953" s="6">
        <f>+OPERAC[[#This Row],[cantidad]]</f>
        <v/>
      </c>
      <c r="L5953" s="6">
        <f>+OPERAC[[#This Row],[cantidad venta]]*29.07</f>
        <v/>
      </c>
      <c r="M5953" s="7">
        <f>IF(N5953=0,+L5953+H5953,0)</f>
        <v/>
      </c>
      <c r="N5953" s="7">
        <f>IF((+G5953-K5953)=0,0,+G5953-K5953)</f>
        <v/>
      </c>
      <c r="O5953" s="7">
        <f>IF(N5953=0,0,(L5953+H5953)/-N5953)</f>
        <v/>
      </c>
      <c r="P5953" s="7">
        <f>VLOOKUP(OPERAC[[#This Row],[especie]],[1]!ESPECIES[#All],6,0)</f>
        <v/>
      </c>
      <c r="Q5953" s="7">
        <f>IF(N5953&lt;&gt;0,P5953*N5953,0)</f>
        <v/>
      </c>
      <c r="R5953" s="8">
        <f>IF(Q5953&lt;&gt;0,Q5953+H5953+L5953,0)</f>
        <v/>
      </c>
      <c r="S5953" s="9">
        <f>VLOOKUP(OPERAC[[#This Row],[especie]],[1]!ESPECIES[#Data],9,FALSE)</f>
        <v/>
      </c>
    </row>
    <row r="5954">
      <c r="A5954" s="4" t="n">
        <v>13240</v>
      </c>
      <c r="B5954" s="5" t="n">
        <v>44460</v>
      </c>
      <c r="C5954" s="13" t="inlineStr">
        <is>
          <t>CPR</t>
        </is>
      </c>
      <c r="D5954" s="13" t="n">
        <v>40</v>
      </c>
      <c r="E5954" s="10">
        <f>IF(D5954&gt;0,VLOOKUP(OPERAC[[#This Row],[COD CART]],[1]!MatrizCortoLargoCyl[#All],3,0),"")</f>
        <v/>
      </c>
      <c r="F5954" s="13" t="inlineStr">
        <is>
          <t>EDU</t>
        </is>
      </c>
      <c r="G5954" s="6" t="n">
        <v>3000</v>
      </c>
      <c r="H5954" s="6">
        <f>OPERAC[[#This Row],[cantidad]]*-1.084+0.04*OPERAC[[#This Row],[cantidad]]</f>
        <v/>
      </c>
      <c r="I5954" s="7">
        <f>-H5954/G5954</f>
        <v/>
      </c>
      <c r="J5954" s="11" t="n">
        <v>44630</v>
      </c>
      <c r="K5954" s="6" t="n">
        <v>3000</v>
      </c>
      <c r="L5954" s="6" t="n">
        <v>3442.702</v>
      </c>
      <c r="M5954" s="7">
        <f>IF(N5954=0,+L5954+H5954,0)</f>
        <v/>
      </c>
      <c r="N5954" s="7">
        <f>IF((+G5954-K5954)=0,0,+G5954-K5954)</f>
        <v/>
      </c>
      <c r="O5954" s="7">
        <f>IF(N5954=0,0,(L5954+H5954)/-N5954)</f>
        <v/>
      </c>
      <c r="P5954" s="7">
        <f>VLOOKUP(OPERAC[[#This Row],[especie]],[1]!ESPECIES[#All],6,0)</f>
        <v/>
      </c>
      <c r="Q5954" s="7">
        <f>IF(N5954&lt;&gt;0,P5954*N5954,0)</f>
        <v/>
      </c>
      <c r="R5954" s="8">
        <f>IF(Q5954&lt;&gt;0,Q5954+H5954+L5954,0)</f>
        <v/>
      </c>
      <c r="S5954" s="9">
        <f>VLOOKUP(OPERAC[[#This Row],[especie]],[1]!ESPECIES[#Data],9,FALSE)</f>
        <v/>
      </c>
    </row>
    <row r="5955">
      <c r="A5955" s="4" t="n">
        <v>3728</v>
      </c>
      <c r="B5955" s="5" t="n">
        <v>44680</v>
      </c>
      <c r="C5955" s="13" t="inlineStr">
        <is>
          <t>CPR</t>
        </is>
      </c>
      <c r="D5955" s="13" t="n">
        <v>32</v>
      </c>
      <c r="E5955" s="10">
        <f>IF(D5955&gt;0,VLOOKUP(OPERAC[[#This Row],[COD CART]],[1]!MatrizCortoLargoCyl[#All],3,0),"")</f>
        <v/>
      </c>
      <c r="F5955" s="13" t="inlineStr">
        <is>
          <t>TDOC/CYL/35,00/20-05-22</t>
        </is>
      </c>
      <c r="G5955" s="6" t="n">
        <v>100</v>
      </c>
      <c r="H5955" s="6" t="n">
        <v>-3136.81</v>
      </c>
      <c r="I5955" s="7">
        <f>-H5955/G5955</f>
        <v/>
      </c>
      <c r="J5955" s="11" t="n">
        <v>44701</v>
      </c>
      <c r="K5955" s="6" t="n">
        <v>100</v>
      </c>
      <c r="L5955" s="6" t="n">
        <v>3207.78</v>
      </c>
      <c r="M5955" s="7">
        <f>IF(N5955=0,+L5955+H5955,0)</f>
        <v/>
      </c>
      <c r="N5955" s="7">
        <f>IF((+G5955-K5955)=0,0,+G5955-K5955)</f>
        <v/>
      </c>
      <c r="O5955" s="7">
        <f>IF(N5955=0,0,(L5955+H5955)/-N5955)</f>
        <v/>
      </c>
      <c r="P5955" s="7">
        <f>VLOOKUP(OPERAC[[#This Row],[especie]],[1]!ESPECIES[#All],6,0)</f>
        <v/>
      </c>
      <c r="Q5955" s="7">
        <f>IF(N5955&lt;&gt;0,P5955*N5955,0)</f>
        <v/>
      </c>
      <c r="R5955" s="8">
        <f>IF(Q5955&lt;&gt;0,Q5955+H5955+L5955,0)</f>
        <v/>
      </c>
      <c r="S5955" s="9">
        <f>VLOOKUP(OPERAC[[#This Row],[especie]],[1]!ESPECIES[#Data],9,FALSE)</f>
        <v/>
      </c>
    </row>
    <row r="5956">
      <c r="A5956" s="4" t="n">
        <v>2218</v>
      </c>
      <c r="B5956" s="5" t="n">
        <v>44608</v>
      </c>
      <c r="C5956" s="13" t="inlineStr">
        <is>
          <t>CPR</t>
        </is>
      </c>
      <c r="D5956" s="13" t="n">
        <v>32</v>
      </c>
      <c r="E5956" s="10">
        <f>IF(D5956&gt;0,VLOOKUP(OPERAC[[#This Row],[COD CART]],[1]!MatrizCortoLargoCyl[#All],3,0),"")</f>
        <v/>
      </c>
      <c r="F5956" s="13" t="inlineStr">
        <is>
          <t>DDD/CYL/17,00/01-04-22</t>
        </is>
      </c>
      <c r="G5956" s="6" t="n">
        <v>200</v>
      </c>
      <c r="H5956" s="6">
        <f>-3228.0126+39.75+32.9</f>
        <v/>
      </c>
      <c r="I5956" s="7">
        <f>-H5956/G5956</f>
        <v/>
      </c>
      <c r="J5956" s="11" t="n">
        <v>44649</v>
      </c>
      <c r="K5956" s="6" t="n">
        <v>200</v>
      </c>
      <c r="L5956" s="6" t="n">
        <v>3323.96</v>
      </c>
      <c r="M5956" s="7">
        <f>IF(N5956=0,+L5956+H5956,0)</f>
        <v/>
      </c>
      <c r="N5956" s="7">
        <f>IF((+G5956-K5956)=0,0,+G5956-K5956)</f>
        <v/>
      </c>
      <c r="O5956" s="7">
        <f>IF(N5956=0,0,(L5956+H5956)/-N5956)</f>
        <v/>
      </c>
      <c r="P5956" s="7">
        <f>VLOOKUP(OPERAC[[#This Row],[especie]],[1]!ESPECIES[#All],6,0)</f>
        <v/>
      </c>
      <c r="Q5956" s="7">
        <f>IF(N5956&lt;&gt;0,P5956*N5956,0)</f>
        <v/>
      </c>
      <c r="R5956" s="8">
        <f>IF(Q5956&lt;&gt;0,Q5956+H5956+L5956,0)</f>
        <v/>
      </c>
      <c r="S5956" s="9">
        <f>VLOOKUP(OPERAC[[#This Row],[especie]],[1]!ESPECIES[#Data],9,FALSE)</f>
        <v/>
      </c>
    </row>
    <row r="5957">
      <c r="A5957" s="4" t="n">
        <v>3787</v>
      </c>
      <c r="B5957" s="5" t="n">
        <v>44662</v>
      </c>
      <c r="C5957" s="13" t="inlineStr">
        <is>
          <t>CPR</t>
        </is>
      </c>
      <c r="D5957" s="13" t="n">
        <v>42</v>
      </c>
      <c r="E5957" s="10">
        <f>IF(D5957&gt;0,VLOOKUP(OPERAC[[#This Row],[COD CART]],[1]!MatrizCortoLargoCyl[#All],3,0),"")</f>
        <v/>
      </c>
      <c r="F5957" s="13" t="inlineStr">
        <is>
          <t>HYDR</t>
        </is>
      </c>
      <c r="G5957" s="6" t="n">
        <v>170</v>
      </c>
      <c r="H5957" s="6" t="n">
        <v>-3156.95848</v>
      </c>
      <c r="I5957" s="7">
        <f>-H5957/G5957</f>
        <v/>
      </c>
      <c r="J5957" s="11" t="n">
        <v>44691</v>
      </c>
      <c r="K5957" s="6" t="n">
        <v>170</v>
      </c>
      <c r="L5957" s="6">
        <f>+OPERAC[[#This Row],[cantidad venta]]*12.85</f>
        <v/>
      </c>
      <c r="M5957" s="7">
        <f>IF(N5957=0,+L5957+H5957,0)</f>
        <v/>
      </c>
      <c r="N5957" s="7">
        <f>IF((+G5957-K5957)=0,0,+G5957-K5957)</f>
        <v/>
      </c>
      <c r="O5957" s="7">
        <f>IF(N5957=0,0,(L5957+H5957)/-N5957)</f>
        <v/>
      </c>
      <c r="P5957" s="7">
        <f>VLOOKUP(OPERAC[[#This Row],[especie]],[1]!ESPECIES[#All],6,0)</f>
        <v/>
      </c>
      <c r="Q5957" s="7">
        <f>IF(N5957&lt;&gt;0,P5957*N5957,0)</f>
        <v/>
      </c>
      <c r="R5957" s="8">
        <f>IF(Q5957&lt;&gt;0,Q5957+H5957+L5957,0)</f>
        <v/>
      </c>
      <c r="S5957" s="9">
        <f>VLOOKUP(OPERAC[[#This Row],[especie]],[1]!ESPECIES[#Data],9,FALSE)</f>
        <v/>
      </c>
    </row>
    <row r="5958">
      <c r="A5958" s="4" t="n">
        <v>13185</v>
      </c>
      <c r="B5958" s="5" t="n">
        <v>44616</v>
      </c>
      <c r="C5958" s="13" t="inlineStr">
        <is>
          <t>CPR</t>
        </is>
      </c>
      <c r="D5958" s="13" t="n">
        <v>32</v>
      </c>
      <c r="E5958" s="10">
        <f>IF(D5958&gt;0,VLOOKUP(OPERAC[[#This Row],[COD CART]],[1]!MatrizCortoLargoCyl[#All],3,0),"")</f>
        <v/>
      </c>
      <c r="F5958" s="13" t="inlineStr">
        <is>
          <t>PLTR/CYL/12,00/14-04-22</t>
        </is>
      </c>
      <c r="G5958" s="6" t="n">
        <v>300</v>
      </c>
      <c r="H5958" s="6" t="n">
        <v>-3158.1795</v>
      </c>
      <c r="I5958" s="7">
        <f>-H5958/G5958</f>
        <v/>
      </c>
      <c r="J5958" s="11" t="n">
        <v>44643</v>
      </c>
      <c r="K5958" s="6" t="n">
        <v>300</v>
      </c>
      <c r="L5958" s="6" t="n">
        <v>3440.17</v>
      </c>
      <c r="M5958" s="7">
        <f>IF(N5958=0,+L5958+H5958,0)</f>
        <v/>
      </c>
      <c r="N5958" s="7">
        <f>IF((+G5958-K5958)=0,0,+G5958-K5958)</f>
        <v/>
      </c>
      <c r="O5958" s="7">
        <f>IF(N5958=0,0,(L5958+H5958)/-N5958)</f>
        <v/>
      </c>
      <c r="P5958" s="7">
        <f>VLOOKUP(OPERAC[[#This Row],[especie]],[1]!ESPECIES[#All],6,0)</f>
        <v/>
      </c>
      <c r="Q5958" s="7">
        <f>IF(N5958&lt;&gt;0,P5958*N5958,0)</f>
        <v/>
      </c>
      <c r="R5958" s="8">
        <f>IF(Q5958&lt;&gt;0,Q5958+H5958+L5958,0)</f>
        <v/>
      </c>
      <c r="S5958" s="9">
        <f>VLOOKUP(OPERAC[[#This Row],[especie]],[1]!ESPECIES[#Data],9,FALSE)</f>
        <v/>
      </c>
    </row>
    <row r="5959">
      <c r="A5959" s="4" t="n">
        <v>15189</v>
      </c>
      <c r="B5959" s="5" t="n">
        <v>44616</v>
      </c>
      <c r="C5959" s="13" t="inlineStr">
        <is>
          <t>CPR</t>
        </is>
      </c>
      <c r="D5959" s="13" t="n">
        <v>32</v>
      </c>
      <c r="E5959" s="10">
        <f>IF(D5959&gt;0,VLOOKUP(OPERAC[[#This Row],[COD CART]],[1]!MatrizCortoLargoCyl[#All],3,0),"")</f>
        <v/>
      </c>
      <c r="F5959" s="13" t="inlineStr">
        <is>
          <t>PLTR/CYL/12,00/14-04-22</t>
        </is>
      </c>
      <c r="G5959" s="6" t="n">
        <v>300</v>
      </c>
      <c r="H5959" s="6" t="n">
        <v>-3158.1795</v>
      </c>
      <c r="I5959" s="7">
        <f>-H5959/G5959</f>
        <v/>
      </c>
      <c r="J5959" s="11" t="n">
        <v>44643</v>
      </c>
      <c r="K5959" s="6" t="n">
        <v>300</v>
      </c>
      <c r="L5959" s="6" t="n">
        <v>3440.17</v>
      </c>
      <c r="M5959" s="7">
        <f>IF(N5959=0,+L5959+H5959,0)</f>
        <v/>
      </c>
      <c r="N5959" s="7">
        <f>IF((+G5959-K5959)=0,0,+G5959-K5959)</f>
        <v/>
      </c>
      <c r="O5959" s="7">
        <f>IF(N5959=0,0,(L5959+H5959)/-N5959)</f>
        <v/>
      </c>
      <c r="P5959" s="7">
        <f>VLOOKUP(OPERAC[[#This Row],[especie]],[1]!ESPECIES[#All],6,0)</f>
        <v/>
      </c>
      <c r="Q5959" s="7">
        <f>IF(N5959&lt;&gt;0,P5959*N5959,0)</f>
        <v/>
      </c>
      <c r="R5959" s="8">
        <f>IF(Q5959&lt;&gt;0,Q5959+H5959+L5959,0)</f>
        <v/>
      </c>
      <c r="S5959" s="9">
        <f>VLOOKUP(OPERAC[[#This Row],[especie]],[1]!ESPECIES[#Data],9,FALSE)</f>
        <v/>
      </c>
    </row>
    <row r="5960">
      <c r="A5960" s="4" t="n">
        <v>26138</v>
      </c>
      <c r="B5960" s="5" t="n">
        <v>44616</v>
      </c>
      <c r="C5960" s="13" t="inlineStr">
        <is>
          <t>CPR</t>
        </is>
      </c>
      <c r="D5960" s="13" t="n">
        <v>32</v>
      </c>
      <c r="E5960" s="10">
        <f>IF(D5960&gt;0,VLOOKUP(OPERAC[[#This Row],[COD CART]],[1]!MatrizCortoLargoCyl[#All],3,0),"")</f>
        <v/>
      </c>
      <c r="F5960" s="13" t="inlineStr">
        <is>
          <t>PLTR/CYL/12,00/14-04-22</t>
        </is>
      </c>
      <c r="G5960" s="6" t="n">
        <v>300</v>
      </c>
      <c r="H5960" s="6" t="n">
        <v>-3158.1795</v>
      </c>
      <c r="I5960" s="7">
        <f>-H5960/G5960</f>
        <v/>
      </c>
      <c r="J5960" s="11" t="n">
        <v>44643</v>
      </c>
      <c r="K5960" s="6" t="n">
        <v>300</v>
      </c>
      <c r="L5960" s="6" t="n">
        <v>3440.17</v>
      </c>
      <c r="M5960" s="7">
        <f>IF(N5960=0,+L5960+H5960,0)</f>
        <v/>
      </c>
      <c r="N5960" s="7">
        <f>IF((+G5960-K5960)=0,0,+G5960-K5960)</f>
        <v/>
      </c>
      <c r="O5960" s="7">
        <f>IF(N5960=0,0,(L5960+H5960)/-N5960)</f>
        <v/>
      </c>
      <c r="P5960" s="7">
        <f>VLOOKUP(OPERAC[[#This Row],[especie]],[1]!ESPECIES[#All],6,0)</f>
        <v/>
      </c>
      <c r="Q5960" s="7">
        <f>IF(N5960&lt;&gt;0,P5960*N5960,0)</f>
        <v/>
      </c>
      <c r="R5960" s="8">
        <f>IF(Q5960&lt;&gt;0,Q5960+H5960+L5960,0)</f>
        <v/>
      </c>
      <c r="S5960" s="9">
        <f>VLOOKUP(OPERAC[[#This Row],[especie]],[1]!ESPECIES[#Data],9,FALSE)</f>
        <v/>
      </c>
    </row>
    <row r="5961">
      <c r="A5961" s="4" t="n">
        <v>26140</v>
      </c>
      <c r="B5961" s="5" t="n">
        <v>44616</v>
      </c>
      <c r="C5961" s="13" t="inlineStr">
        <is>
          <t>CPR</t>
        </is>
      </c>
      <c r="D5961" s="13" t="n">
        <v>32</v>
      </c>
      <c r="E5961" s="10">
        <f>IF(D5961&gt;0,VLOOKUP(OPERAC[[#This Row],[COD CART]],[1]!MatrizCortoLargoCyl[#All],3,0),"")</f>
        <v/>
      </c>
      <c r="F5961" s="13" t="inlineStr">
        <is>
          <t>PLTR/CYL/12,00/14-04-22</t>
        </is>
      </c>
      <c r="G5961" s="6" t="n">
        <v>300</v>
      </c>
      <c r="H5961" s="6" t="n">
        <v>-3158.1795</v>
      </c>
      <c r="I5961" s="7">
        <f>-H5961/G5961</f>
        <v/>
      </c>
      <c r="J5961" s="11" t="n">
        <v>44643</v>
      </c>
      <c r="K5961" s="6" t="n">
        <v>300</v>
      </c>
      <c r="L5961" s="6" t="n">
        <v>3440.17</v>
      </c>
      <c r="M5961" s="7">
        <f>IF(N5961=0,+L5961+H5961,0)</f>
        <v/>
      </c>
      <c r="N5961" s="7">
        <f>IF((+G5961-K5961)=0,0,+G5961-K5961)</f>
        <v/>
      </c>
      <c r="O5961" s="7">
        <f>IF(N5961=0,0,(L5961+H5961)/-N5961)</f>
        <v/>
      </c>
      <c r="P5961" s="7">
        <f>VLOOKUP(OPERAC[[#This Row],[especie]],[1]!ESPECIES[#All],6,0)</f>
        <v/>
      </c>
      <c r="Q5961" s="7">
        <f>IF(N5961&lt;&gt;0,P5961*N5961,0)</f>
        <v/>
      </c>
      <c r="R5961" s="8">
        <f>IF(Q5961&lt;&gt;0,Q5961+H5961+L5961,0)</f>
        <v/>
      </c>
      <c r="S5961" s="9">
        <f>VLOOKUP(OPERAC[[#This Row],[especie]],[1]!ESPECIES[#Data],9,FALSE)</f>
        <v/>
      </c>
    </row>
    <row r="5962">
      <c r="A5962" s="4" t="n">
        <v>3728</v>
      </c>
      <c r="B5962" s="5" t="n">
        <v>44650</v>
      </c>
      <c r="C5962" s="13" t="inlineStr">
        <is>
          <t>CPR</t>
        </is>
      </c>
      <c r="D5962" s="13" t="n">
        <v>32</v>
      </c>
      <c r="E5962" s="10">
        <f>IF(D5962&gt;0,VLOOKUP(OPERAC[[#This Row],[COD CART]],[1]!MatrizCortoLargoCyl[#All],3,0),"")</f>
        <v/>
      </c>
      <c r="F5962" s="13" t="inlineStr">
        <is>
          <t>LAC</t>
        </is>
      </c>
      <c r="G5962" s="6" t="n">
        <v>100</v>
      </c>
      <c r="H5962" s="6" t="n">
        <v>-3160.36</v>
      </c>
      <c r="I5962" s="7">
        <f>-H5962/G5962</f>
        <v/>
      </c>
      <c r="J5962" s="11" t="n"/>
      <c r="K5962" s="6" t="n"/>
      <c r="L5962" s="6" t="n"/>
      <c r="M5962" s="7">
        <f>IF(N5962=0,+L5962+H5962,0)</f>
        <v/>
      </c>
      <c r="N5962" s="7">
        <f>IF((+G5962-K5962)=0,0,+G5962-K5962)</f>
        <v/>
      </c>
      <c r="O5962" s="7">
        <f>IF(N5962=0,0,(L5962+H5962)/-N5962)</f>
        <v/>
      </c>
      <c r="P5962" s="7">
        <f>VLOOKUP(OPERAC[[#This Row],[especie]],[1]!ESPECIES[#All],6,0)</f>
        <v/>
      </c>
      <c r="Q5962" s="7">
        <f>IF(N5962&lt;&gt;0,P5962*N5962,0)</f>
        <v/>
      </c>
      <c r="R5962" s="8">
        <f>IF(Q5962&lt;&gt;0,Q5962+H5962+L5962,0)</f>
        <v/>
      </c>
      <c r="S5962" s="9">
        <f>VLOOKUP(OPERAC[[#This Row],[especie]],[1]!ESPECIES[#Data],9,FALSE)</f>
        <v/>
      </c>
    </row>
    <row r="5963">
      <c r="A5963" s="12" t="n">
        <v>13253</v>
      </c>
      <c r="B5963" s="5" t="n">
        <v>44567</v>
      </c>
      <c r="C5963" s="13" t="inlineStr">
        <is>
          <t>CPR</t>
        </is>
      </c>
      <c r="D5963" s="13" t="n">
        <v>41</v>
      </c>
      <c r="E5963" s="10">
        <f>IF(D5963&gt;0,VLOOKUP(OPERAC[[#This Row],[COD CART]],[1]!MatrizCortoLargoCyl[#All],3,0),"")</f>
        <v/>
      </c>
      <c r="F5963" s="13" t="inlineStr">
        <is>
          <t>JEPI</t>
        </is>
      </c>
      <c r="G5963" s="6" t="n">
        <v>50</v>
      </c>
      <c r="H5963" s="6" t="n">
        <v>-3164.104</v>
      </c>
      <c r="I5963" s="7">
        <f>-H5963/G5963</f>
        <v/>
      </c>
      <c r="J5963" s="11" t="n"/>
      <c r="K5963" s="6" t="n"/>
      <c r="L5963" s="6" t="n"/>
      <c r="M5963" s="7">
        <f>IF(N5963=0,+L5963+H5963,0)</f>
        <v/>
      </c>
      <c r="N5963" s="7">
        <f>IF((+G5963-K5963)=0,0,+G5963-K5963)</f>
        <v/>
      </c>
      <c r="O5963" s="7">
        <f>IF(N5963=0,0,(L5963+H5963)/-N5963)</f>
        <v/>
      </c>
      <c r="P5963" s="7">
        <f>VLOOKUP(OPERAC[[#This Row],[especie]],[1]!ESPECIES[#All],6,0)</f>
        <v/>
      </c>
      <c r="Q5963" s="7">
        <f>IF(N5963&lt;&gt;0,P5963*N5963,0)</f>
        <v/>
      </c>
      <c r="R5963" s="8">
        <f>IF(Q5963&lt;&gt;0,Q5963+H5963+L5963,0)</f>
        <v/>
      </c>
      <c r="S5963" s="9">
        <f>VLOOKUP(OPERAC[[#This Row],[especie]],[1]!ESPECIES[#Data],9,FALSE)</f>
        <v/>
      </c>
    </row>
    <row r="5964">
      <c r="A5964" s="4" t="n">
        <v>12690</v>
      </c>
      <c r="B5964" s="5" t="n">
        <v>44715</v>
      </c>
      <c r="C5964" s="13" t="inlineStr">
        <is>
          <t>CPR</t>
        </is>
      </c>
      <c r="D5964" s="13" t="n">
        <v>32</v>
      </c>
      <c r="E5964" s="10">
        <f>IF(D5964&gt;0,VLOOKUP(OPERAC[[#This Row],[COD CART]],[1]!MatrizCortoLargoCyl[#All],3,0),"")</f>
        <v/>
      </c>
      <c r="F5964" s="13" t="inlineStr">
        <is>
          <t>AAL/CYL/16,50/17-06-22</t>
        </is>
      </c>
      <c r="G5964" s="6" t="n">
        <v>200</v>
      </c>
      <c r="H5964" s="6" t="n">
        <v>-3165.47</v>
      </c>
      <c r="I5964" s="7">
        <f>-H5964/G5964</f>
        <v/>
      </c>
      <c r="J5964" s="5" t="n"/>
      <c r="K5964" s="6" t="n"/>
      <c r="L5964" s="6" t="n"/>
      <c r="M5964" s="7">
        <f>IF(N5964=0,+L5964+H5964,0)</f>
        <v/>
      </c>
      <c r="N5964" s="7">
        <f>IF((+G5964-K5964)=0,0,+G5964-K5964)</f>
        <v/>
      </c>
      <c r="O5964" s="7">
        <f>IF(N5964=0,0,(L5964+H5964)/-N5964)</f>
        <v/>
      </c>
      <c r="P5964" s="7">
        <f>VLOOKUP(OPERAC[[#This Row],[especie]],[1]!ESPECIES[#All],6,0)</f>
        <v/>
      </c>
      <c r="Q5964" s="7">
        <f>IF(N5964&lt;&gt;0,P5964*N5964,0)</f>
        <v/>
      </c>
      <c r="R5964" s="8">
        <f>IF(Q5964&lt;&gt;0,Q5964+H5964+L5964,0)</f>
        <v/>
      </c>
      <c r="S5964" s="9">
        <f>VLOOKUP(OPERAC[[#This Row],[especie]],[1]!ESPECIES[#Data],9,FALSE)</f>
        <v/>
      </c>
    </row>
    <row r="5965">
      <c r="A5965" s="4" t="n">
        <v>19867</v>
      </c>
      <c r="B5965" s="5" t="n">
        <v>44607</v>
      </c>
      <c r="C5965" s="13" t="inlineStr">
        <is>
          <t>CPR</t>
        </is>
      </c>
      <c r="D5965" s="13" t="n">
        <v>32</v>
      </c>
      <c r="E5965" s="10">
        <f>IF(D5965&gt;0,VLOOKUP(OPERAC[[#This Row],[COD CART]],[1]!MatrizCortoLargoCyl[#All],3,0),"")</f>
        <v/>
      </c>
      <c r="F5965" s="13" t="inlineStr">
        <is>
          <t>DDD/CYL/17,00/01-04-22</t>
        </is>
      </c>
      <c r="G5965" s="6" t="n">
        <v>200</v>
      </c>
      <c r="H5965" s="6">
        <f>-3240.46+39.45+32.908</f>
        <v/>
      </c>
      <c r="I5965" s="7">
        <f>-H5965/G5965</f>
        <v/>
      </c>
      <c r="J5965" s="11" t="n">
        <v>44649</v>
      </c>
      <c r="K5965" s="6" t="n">
        <v>200</v>
      </c>
      <c r="L5965" s="6" t="n">
        <v>3323.96</v>
      </c>
      <c r="M5965" s="7">
        <f>IF(N5965=0,+L5965+H5965,0)</f>
        <v/>
      </c>
      <c r="N5965" s="7">
        <f>IF((+G5965-K5965)=0,0,+G5965-K5965)</f>
        <v/>
      </c>
      <c r="O5965" s="7">
        <f>IF(N5965=0,0,(L5965+H5965)/-N5965)</f>
        <v/>
      </c>
      <c r="P5965" s="7">
        <f>VLOOKUP(OPERAC[[#This Row],[especie]],[1]!ESPECIES[#All],6,0)</f>
        <v/>
      </c>
      <c r="Q5965" s="7">
        <f>IF(N5965&lt;&gt;0,P5965*N5965,0)</f>
        <v/>
      </c>
      <c r="R5965" s="8">
        <f>IF(Q5965&lt;&gt;0,Q5965+H5965+L5965,0)</f>
        <v/>
      </c>
      <c r="S5965" s="9">
        <f>VLOOKUP(OPERAC[[#This Row],[especie]],[1]!ESPECIES[#Data],9,FALSE)</f>
        <v/>
      </c>
    </row>
    <row r="5966">
      <c r="A5966" s="4" t="n">
        <v>19920</v>
      </c>
      <c r="B5966" s="5" t="n">
        <v>44607</v>
      </c>
      <c r="C5966" s="13" t="inlineStr">
        <is>
          <t>CPR</t>
        </is>
      </c>
      <c r="D5966" s="13" t="n">
        <v>32</v>
      </c>
      <c r="E5966" s="10">
        <f>IF(D5966&gt;0,VLOOKUP(OPERAC[[#This Row],[COD CART]],[1]!MatrizCortoLargoCyl[#All],3,0),"")</f>
        <v/>
      </c>
      <c r="F5966" s="13" t="inlineStr">
        <is>
          <t>DDD/CYL/17,00/01-04-22</t>
        </is>
      </c>
      <c r="G5966" s="6" t="n">
        <v>200</v>
      </c>
      <c r="H5966" s="6">
        <f>-3240.46+39.45+32.908</f>
        <v/>
      </c>
      <c r="I5966" s="7">
        <f>-H5966/G5966</f>
        <v/>
      </c>
      <c r="J5966" s="11" t="n">
        <v>44649</v>
      </c>
      <c r="K5966" s="6" t="n">
        <v>200</v>
      </c>
      <c r="L5966" s="6" t="n">
        <v>3323.96</v>
      </c>
      <c r="M5966" s="7">
        <f>IF(N5966=0,+L5966+H5966,0)</f>
        <v/>
      </c>
      <c r="N5966" s="7">
        <f>IF((+G5966-K5966)=0,0,+G5966-K5966)</f>
        <v/>
      </c>
      <c r="O5966" s="7">
        <f>IF(N5966=0,0,(L5966+H5966)/-N5966)</f>
        <v/>
      </c>
      <c r="P5966" s="7">
        <f>VLOOKUP(OPERAC[[#This Row],[especie]],[1]!ESPECIES[#All],6,0)</f>
        <v/>
      </c>
      <c r="Q5966" s="7">
        <f>IF(N5966&lt;&gt;0,P5966*N5966,0)</f>
        <v/>
      </c>
      <c r="R5966" s="8">
        <f>IF(Q5966&lt;&gt;0,Q5966+H5966+L5966,0)</f>
        <v/>
      </c>
      <c r="S5966" s="9">
        <f>VLOOKUP(OPERAC[[#This Row],[especie]],[1]!ESPECIES[#Data],9,FALSE)</f>
        <v/>
      </c>
    </row>
    <row r="5967">
      <c r="A5967" s="4" t="n">
        <v>19878</v>
      </c>
      <c r="B5967" s="5" t="n">
        <v>44608</v>
      </c>
      <c r="C5967" s="13" t="inlineStr">
        <is>
          <t>CPR</t>
        </is>
      </c>
      <c r="D5967" s="13" t="n">
        <v>32</v>
      </c>
      <c r="E5967" s="10">
        <f>IF(D5967&gt;0,VLOOKUP(OPERAC[[#This Row],[COD CART]],[1]!MatrizCortoLargoCyl[#All],3,0),"")</f>
        <v/>
      </c>
      <c r="F5967" s="13" t="inlineStr">
        <is>
          <t>SPWR/CYL/27,00/20-01-23</t>
        </is>
      </c>
      <c r="G5967" s="6" t="n">
        <v>200</v>
      </c>
      <c r="H5967" s="6">
        <f>-2883.624-493.74+466.37-916.26+655.23</f>
        <v/>
      </c>
      <c r="I5967" s="7">
        <f>-H5967/G5967</f>
        <v/>
      </c>
      <c r="J5967" s="11" t="n"/>
      <c r="K5967" s="6" t="n"/>
      <c r="L5967" s="6" t="n"/>
      <c r="M5967" s="7">
        <f>IF(N5967=0,+L5967+H5967,0)</f>
        <v/>
      </c>
      <c r="N5967" s="7">
        <f>IF((+G5967-K5967)=0,0,+G5967-K5967)</f>
        <v/>
      </c>
      <c r="O5967" s="7">
        <f>IF(N5967=0,0,(L5967+H5967)/-N5967)</f>
        <v/>
      </c>
      <c r="P5967" s="7">
        <f>VLOOKUP(OPERAC[[#This Row],[especie]],[1]!ESPECIES[#All],6,0)</f>
        <v/>
      </c>
      <c r="Q5967" s="7">
        <f>IF(N5967&lt;&gt;0,P5967*N5967,0)</f>
        <v/>
      </c>
      <c r="R5967" s="8">
        <f>IF(Q5967&lt;&gt;0,Q5967+H5967+L5967,0)</f>
        <v/>
      </c>
      <c r="S5967" s="9">
        <f>VLOOKUP(OPERAC[[#This Row],[especie]],[1]!ESPECIES[#Data],9,FALSE)</f>
        <v/>
      </c>
    </row>
    <row r="5968">
      <c r="A5968" s="4" t="n">
        <v>16783</v>
      </c>
      <c r="B5968" s="5" t="n">
        <v>44651</v>
      </c>
      <c r="C5968" s="13" t="inlineStr">
        <is>
          <t>CPR</t>
        </is>
      </c>
      <c r="D5968" s="13" t="n">
        <v>42</v>
      </c>
      <c r="E5968" s="10">
        <f>IF(D5968&gt;0,VLOOKUP(OPERAC[[#This Row],[COD CART]],[1]!MatrizCortoLargoCyl[#All],3,0),"")</f>
        <v/>
      </c>
      <c r="F5968" s="13" t="inlineStr">
        <is>
          <t>AMD</t>
        </is>
      </c>
      <c r="G5968" s="6" t="n">
        <v>28</v>
      </c>
      <c r="H5968" s="6" t="n">
        <v>-3176.51488</v>
      </c>
      <c r="I5968" s="7">
        <f>-H5968/G5968</f>
        <v/>
      </c>
      <c r="J5968" s="11" t="n">
        <v>44678</v>
      </c>
      <c r="K5968" s="6" t="n">
        <v>28</v>
      </c>
      <c r="L5968" s="6">
        <f>+OPERAC[[#This Row],[cantidad venta]]*85.782</f>
        <v/>
      </c>
      <c r="M5968" s="7">
        <f>IF(N5968=0,+L5968+H5968,0)</f>
        <v/>
      </c>
      <c r="N5968" s="7">
        <f>IF((+G5968-K5968)=0,0,+G5968-K5968)</f>
        <v/>
      </c>
      <c r="O5968" s="7">
        <f>IF(N5968=0,0,(L5968+H5968)/-N5968)</f>
        <v/>
      </c>
      <c r="P5968" s="7">
        <f>VLOOKUP(OPERAC[[#This Row],[especie]],[1]!ESPECIES[#All],6,0)</f>
        <v/>
      </c>
      <c r="Q5968" s="7">
        <f>IF(N5968&lt;&gt;0,P5968*N5968,0)</f>
        <v/>
      </c>
      <c r="R5968" s="8">
        <f>IF(Q5968&lt;&gt;0,Q5968+H5968+L5968,0)</f>
        <v/>
      </c>
      <c r="S5968" s="9">
        <f>VLOOKUP(OPERAC[[#This Row],[especie]],[1]!ESPECIES[#Data],9,FALSE)</f>
        <v/>
      </c>
    </row>
    <row r="5969">
      <c r="A5969" s="4" t="n">
        <v>13180</v>
      </c>
      <c r="B5969" s="5" t="n">
        <v>44537</v>
      </c>
      <c r="C5969" s="13" t="inlineStr">
        <is>
          <t>CPR</t>
        </is>
      </c>
      <c r="D5969" s="13" t="n">
        <v>41</v>
      </c>
      <c r="E5969" s="10">
        <f>IF(D5969&gt;0,VLOOKUP(OPERAC[[#This Row],[COD CART]],[1]!MatrizCortoLargoCyl[#All],3,0),"")</f>
        <v/>
      </c>
      <c r="F5969" s="13" t="inlineStr">
        <is>
          <t>BABA</t>
        </is>
      </c>
      <c r="G5969" s="6" t="n">
        <v>25</v>
      </c>
      <c r="H5969" s="6" t="n">
        <v>-3179.98</v>
      </c>
      <c r="I5969" s="7">
        <f>-H5969/G5969</f>
        <v/>
      </c>
      <c r="J5969" s="11" t="n"/>
      <c r="K5969" s="6" t="n"/>
      <c r="L5969" s="6" t="n"/>
      <c r="M5969" s="7">
        <f>IF(N5969=0,+L5969+H5969,0)</f>
        <v/>
      </c>
      <c r="N5969" s="7">
        <f>IF((+G5969-K5969)=0,0,+G5969-K5969)</f>
        <v/>
      </c>
      <c r="O5969" s="7">
        <f>IF(N5969=0,0,(L5969+H5969)/-N5969)</f>
        <v/>
      </c>
      <c r="P5969" s="7">
        <f>VLOOKUP(OPERAC[[#This Row],[especie]],[1]!ESPECIES[#All],6,0)</f>
        <v/>
      </c>
      <c r="Q5969" s="7">
        <f>IF(N5969&lt;&gt;0,P5969*N5969,0)</f>
        <v/>
      </c>
      <c r="R5969" s="8">
        <f>IF(Q5969&lt;&gt;0,Q5969+H5969+L5969,0)</f>
        <v/>
      </c>
      <c r="S5969" s="9">
        <f>VLOOKUP(OPERAC[[#This Row],[especie]],[1]!ESPECIES[#Data],9,FALSE)</f>
        <v/>
      </c>
    </row>
    <row r="5970">
      <c r="A5970" s="4" t="n">
        <v>13180</v>
      </c>
      <c r="B5970" s="5" t="n">
        <v>44608</v>
      </c>
      <c r="C5970" s="13" t="inlineStr">
        <is>
          <t>CPR</t>
        </is>
      </c>
      <c r="D5970" s="13" t="n">
        <v>32</v>
      </c>
      <c r="E5970" s="10">
        <f>IF(D5970&gt;0,VLOOKUP(OPERAC[[#This Row],[COD CART]],[1]!MatrizCortoLargoCyl[#All],3,0),"")</f>
        <v/>
      </c>
      <c r="F5970" s="13" t="inlineStr">
        <is>
          <t>DDD/CYL/17,00/01-04-22</t>
        </is>
      </c>
      <c r="G5970" s="6" t="n">
        <v>200</v>
      </c>
      <c r="H5970" s="6">
        <f>-3258.8378+39.45+32.908</f>
        <v/>
      </c>
      <c r="I5970" s="7">
        <f>-H5970/G5970</f>
        <v/>
      </c>
      <c r="J5970" s="11" t="n">
        <v>44649</v>
      </c>
      <c r="K5970" s="6" t="n">
        <v>200</v>
      </c>
      <c r="L5970" s="6" t="n">
        <v>3323.96</v>
      </c>
      <c r="M5970" s="7">
        <f>IF(N5970=0,+L5970+H5970,0)</f>
        <v/>
      </c>
      <c r="N5970" s="7">
        <f>IF((+G5970-K5970)=0,0,+G5970-K5970)</f>
        <v/>
      </c>
      <c r="O5970" s="7">
        <f>IF(N5970=0,0,(L5970+H5970)/-N5970)</f>
        <v/>
      </c>
      <c r="P5970" s="7">
        <f>VLOOKUP(OPERAC[[#This Row],[especie]],[1]!ESPECIES[#All],6,0)</f>
        <v/>
      </c>
      <c r="Q5970" s="7">
        <f>IF(N5970&lt;&gt;0,P5970*N5970,0)</f>
        <v/>
      </c>
      <c r="R5970" s="8">
        <f>IF(Q5970&lt;&gt;0,Q5970+H5970+L5970,0)</f>
        <v/>
      </c>
      <c r="S5970" s="9">
        <f>VLOOKUP(OPERAC[[#This Row],[especie]],[1]!ESPECIES[#Data],9,FALSE)</f>
        <v/>
      </c>
    </row>
    <row r="5971">
      <c r="A5971" s="4" t="n">
        <v>18690</v>
      </c>
      <c r="B5971" s="5" t="n">
        <v>44608</v>
      </c>
      <c r="C5971" s="13" t="inlineStr">
        <is>
          <t>CPR</t>
        </is>
      </c>
      <c r="D5971" s="13" t="n">
        <v>32</v>
      </c>
      <c r="E5971" s="10">
        <f>IF(D5971&gt;0,VLOOKUP(OPERAC[[#This Row],[COD CART]],[1]!MatrizCortoLargoCyl[#All],3,0),"")</f>
        <v/>
      </c>
      <c r="F5971" s="13" t="inlineStr">
        <is>
          <t>DDD/CYL/17,00/01-04-22</t>
        </is>
      </c>
      <c r="G5971" s="6" t="n">
        <v>200</v>
      </c>
      <c r="H5971" s="6">
        <f>-3258.8378+39.45+32.9</f>
        <v/>
      </c>
      <c r="I5971" s="7">
        <f>-H5971/G5971</f>
        <v/>
      </c>
      <c r="J5971" s="11" t="n">
        <v>44649</v>
      </c>
      <c r="K5971" s="6" t="n">
        <v>200</v>
      </c>
      <c r="L5971" s="6" t="n">
        <v>3323.96</v>
      </c>
      <c r="M5971" s="7">
        <f>IF(N5971=0,+L5971+H5971,0)</f>
        <v/>
      </c>
      <c r="N5971" s="7">
        <f>IF((+G5971-K5971)=0,0,+G5971-K5971)</f>
        <v/>
      </c>
      <c r="O5971" s="7">
        <f>IF(N5971=0,0,(L5971+H5971)/-N5971)</f>
        <v/>
      </c>
      <c r="P5971" s="7">
        <f>VLOOKUP(OPERAC[[#This Row],[especie]],[1]!ESPECIES[#All],6,0)</f>
        <v/>
      </c>
      <c r="Q5971" s="7">
        <f>IF(N5971&lt;&gt;0,P5971*N5971,0)</f>
        <v/>
      </c>
      <c r="R5971" s="8">
        <f>IF(Q5971&lt;&gt;0,Q5971+H5971+L5971,0)</f>
        <v/>
      </c>
      <c r="S5971" s="9">
        <f>VLOOKUP(OPERAC[[#This Row],[especie]],[1]!ESPECIES[#Data],9,FALSE)</f>
        <v/>
      </c>
    </row>
    <row r="5972">
      <c r="A5972" s="4" t="n">
        <v>16780</v>
      </c>
      <c r="B5972" s="5" t="n">
        <v>44608</v>
      </c>
      <c r="C5972" s="13" t="inlineStr">
        <is>
          <t>CPR</t>
        </is>
      </c>
      <c r="D5972" s="13" t="n">
        <v>32</v>
      </c>
      <c r="E5972" s="10">
        <f>IF(D5972&gt;0,VLOOKUP(OPERAC[[#This Row],[COD CART]],[1]!MatrizCortoLargoCyl[#All],3,0),"")</f>
        <v/>
      </c>
      <c r="F5972" s="13" t="inlineStr">
        <is>
          <t>DDD/CYL/17,00/01-04-22</t>
        </is>
      </c>
      <c r="G5972" s="6" t="n">
        <v>200</v>
      </c>
      <c r="H5972" s="6">
        <f>-3258.8378+39.45+30.908</f>
        <v/>
      </c>
      <c r="I5972" s="7">
        <f>-H5972/G5972</f>
        <v/>
      </c>
      <c r="J5972" s="11" t="n">
        <v>44649</v>
      </c>
      <c r="K5972" s="6" t="n">
        <v>200</v>
      </c>
      <c r="L5972" s="6" t="n">
        <v>3323.96</v>
      </c>
      <c r="M5972" s="7">
        <f>IF(N5972=0,+L5972+H5972,0)</f>
        <v/>
      </c>
      <c r="N5972" s="7">
        <f>IF((+G5972-K5972)=0,0,+G5972-K5972)</f>
        <v/>
      </c>
      <c r="O5972" s="7">
        <f>IF(N5972=0,0,(L5972+H5972)/-N5972)</f>
        <v/>
      </c>
      <c r="P5972" s="7">
        <f>VLOOKUP(OPERAC[[#This Row],[especie]],[1]!ESPECIES[#All],6,0)</f>
        <v/>
      </c>
      <c r="Q5972" s="7">
        <f>IF(N5972&lt;&gt;0,P5972*N5972,0)</f>
        <v/>
      </c>
      <c r="R5972" s="8">
        <f>IF(Q5972&lt;&gt;0,Q5972+H5972+L5972,0)</f>
        <v/>
      </c>
      <c r="S5972" s="9">
        <f>VLOOKUP(OPERAC[[#This Row],[especie]],[1]!ESPECIES[#Data],9,FALSE)</f>
        <v/>
      </c>
    </row>
    <row r="5973">
      <c r="A5973" s="4" t="n">
        <v>13185</v>
      </c>
      <c r="B5973" s="5" t="n">
        <v>44651</v>
      </c>
      <c r="C5973" s="13" t="inlineStr">
        <is>
          <t>CPR</t>
        </is>
      </c>
      <c r="D5973" s="13" t="n">
        <v>42</v>
      </c>
      <c r="E5973" s="10">
        <f>IF(D5973&gt;0,VLOOKUP(OPERAC[[#This Row],[COD CART]],[1]!MatrizCortoLargoCyl[#All],3,0),"")</f>
        <v/>
      </c>
      <c r="F5973" s="13" t="inlineStr">
        <is>
          <t>AMD</t>
        </is>
      </c>
      <c r="G5973" s="6" t="n">
        <v>28</v>
      </c>
      <c r="H5973" s="6" t="n">
        <v>-3189.16976</v>
      </c>
      <c r="I5973" s="7">
        <f>-H5973/G5973</f>
        <v/>
      </c>
      <c r="J5973" s="11" t="n">
        <v>44693</v>
      </c>
      <c r="K5973" s="6">
        <f>+OPERAC[[#This Row],[cantidad]]</f>
        <v/>
      </c>
      <c r="L5973" s="6">
        <f>+OPERAC[[#This Row],[cantidad venta]]*85.26</f>
        <v/>
      </c>
      <c r="M5973" s="7">
        <f>IF(N5973=0,+L5973+H5973,0)</f>
        <v/>
      </c>
      <c r="N5973" s="7">
        <f>IF((+G5973-K5973)=0,0,+G5973-K5973)</f>
        <v/>
      </c>
      <c r="O5973" s="7">
        <f>IF(N5973=0,0,(L5973+H5973)/-N5973)</f>
        <v/>
      </c>
      <c r="P5973" s="7">
        <f>VLOOKUP(OPERAC[[#This Row],[especie]],[1]!ESPECIES[#All],6,0)</f>
        <v/>
      </c>
      <c r="Q5973" s="7">
        <f>IF(N5973&lt;&gt;0,P5973*N5973,0)</f>
        <v/>
      </c>
      <c r="R5973" s="8">
        <f>IF(Q5973&lt;&gt;0,Q5973+H5973+L5973,0)</f>
        <v/>
      </c>
      <c r="S5973" s="9">
        <f>VLOOKUP(OPERAC[[#This Row],[especie]],[1]!ESPECIES[#Data],9,FALSE)</f>
        <v/>
      </c>
    </row>
    <row r="5974">
      <c r="A5974" s="4" t="n">
        <v>25070</v>
      </c>
      <c r="B5974" s="5" t="n">
        <v>44650</v>
      </c>
      <c r="C5974" s="13" t="inlineStr">
        <is>
          <t>CPR</t>
        </is>
      </c>
      <c r="D5974" s="13" t="n">
        <v>32</v>
      </c>
      <c r="E5974" s="10">
        <f>IF(D5974&gt;0,VLOOKUP(OPERAC[[#This Row],[COD CART]],[1]!MatrizCortoLargoCyl[#All],3,0),"")</f>
        <v/>
      </c>
      <c r="F5974" s="13" t="inlineStr">
        <is>
          <t>LAC</t>
        </is>
      </c>
      <c r="G5974" s="6" t="n">
        <v>100</v>
      </c>
      <c r="H5974" s="6" t="n">
        <v>-3189.445</v>
      </c>
      <c r="I5974" s="7">
        <f>-H5974/G5974</f>
        <v/>
      </c>
      <c r="J5974" s="11" t="n">
        <v>44722</v>
      </c>
      <c r="K5974" s="6" t="n">
        <v>100</v>
      </c>
      <c r="L5974" s="6" t="n">
        <v>2199.415</v>
      </c>
      <c r="M5974" s="7">
        <f>IF(N5974=0,+L5974+H5974,0)</f>
        <v/>
      </c>
      <c r="N5974" s="7">
        <f>IF((+G5974-K5974)=0,0,+G5974-K5974)</f>
        <v/>
      </c>
      <c r="O5974" s="7">
        <f>IF(N5974=0,0,(L5974+H5974)/-N5974)</f>
        <v/>
      </c>
      <c r="P5974" s="7">
        <f>VLOOKUP(OPERAC[[#This Row],[especie]],[1]!ESPECIES[#All],6,0)</f>
        <v/>
      </c>
      <c r="Q5974" s="7">
        <f>IF(N5974&lt;&gt;0,P5974*N5974,0)</f>
        <v/>
      </c>
      <c r="R5974" s="8">
        <f>IF(Q5974&lt;&gt;0,Q5974+H5974+L5974,0)</f>
        <v/>
      </c>
      <c r="S5974" s="9">
        <f>VLOOKUP(OPERAC[[#This Row],[especie]],[1]!ESPECIES[#Data],9,FALSE)</f>
        <v/>
      </c>
    </row>
    <row r="5975">
      <c r="A5975" s="4" t="n">
        <v>16783</v>
      </c>
      <c r="B5975" s="5" t="n">
        <v>44487</v>
      </c>
      <c r="C5975" s="13" t="inlineStr">
        <is>
          <t>CPR</t>
        </is>
      </c>
      <c r="D5975" s="13" t="n">
        <v>40</v>
      </c>
      <c r="E5975" s="10">
        <f>IF(D5975&gt;0,VLOOKUP(OPERAC[[#This Row],[COD CART]],[1]!MatrizCortoLargoCyl[#All],3,0),"")</f>
        <v/>
      </c>
      <c r="F5975" s="13" t="inlineStr">
        <is>
          <t>MELI</t>
        </is>
      </c>
      <c r="G5975" s="6" t="n">
        <v>2</v>
      </c>
      <c r="H5975" s="6" t="n">
        <v>-3199.88</v>
      </c>
      <c r="I5975" s="7">
        <f>-H5975/G5975</f>
        <v/>
      </c>
      <c r="J5975" s="11" t="n">
        <v>44606</v>
      </c>
      <c r="K5975" s="6" t="n">
        <v>2</v>
      </c>
      <c r="L5975" s="6" t="n">
        <v>2160.233</v>
      </c>
      <c r="M5975" s="7">
        <f>IF(N5975=0,+L5975+H5975,0)</f>
        <v/>
      </c>
      <c r="N5975" s="7">
        <f>IF((+G5975-K5975)=0,0,+G5975-K5975)</f>
        <v/>
      </c>
      <c r="O5975" s="7">
        <f>IF(N5975=0,0,(L5975+H5975)/-N5975)</f>
        <v/>
      </c>
      <c r="P5975" s="7">
        <f>VLOOKUP(OPERAC[[#This Row],[especie]],[1]!ESPECIES[#All],6,0)</f>
        <v/>
      </c>
      <c r="Q5975" s="7">
        <f>IF(N5975&lt;&gt;0,P5975*N5975,0)</f>
        <v/>
      </c>
      <c r="R5975" s="8">
        <f>IF(Q5975&lt;&gt;0,Q5975+H5975+L5975,0)</f>
        <v/>
      </c>
      <c r="S5975" s="9">
        <f>VLOOKUP(OPERAC[[#This Row],[especie]],[1]!ESPECIES[#Data],9,FALSE)</f>
        <v/>
      </c>
    </row>
    <row r="5976">
      <c r="A5976" s="4" t="n">
        <v>26140</v>
      </c>
      <c r="B5976" s="5" t="n">
        <v>44608</v>
      </c>
      <c r="C5976" s="13" t="inlineStr">
        <is>
          <t>CPR</t>
        </is>
      </c>
      <c r="D5976" s="13" t="n">
        <v>32</v>
      </c>
      <c r="E5976" s="10">
        <f>IF(D5976&gt;0,VLOOKUP(OPERAC[[#This Row],[COD CART]],[1]!MatrizCortoLargoCyl[#All],3,0),"")</f>
        <v/>
      </c>
      <c r="F5976" s="13" t="inlineStr">
        <is>
          <t>DDD/CYL/17,00/01-04-22</t>
        </is>
      </c>
      <c r="G5976" s="6" t="n">
        <v>200</v>
      </c>
      <c r="H5976" s="6">
        <f>-3258.8378+19.7+30.908</f>
        <v/>
      </c>
      <c r="I5976" s="7">
        <f>-H5976/G5976</f>
        <v/>
      </c>
      <c r="J5976" s="11" t="n">
        <v>44649</v>
      </c>
      <c r="K5976" s="6" t="n">
        <v>200</v>
      </c>
      <c r="L5976" s="6" t="n">
        <v>3323.96</v>
      </c>
      <c r="M5976" s="7">
        <f>IF(N5976=0,+L5976+H5976,0)</f>
        <v/>
      </c>
      <c r="N5976" s="7">
        <f>IF((+G5976-K5976)=0,0,+G5976-K5976)</f>
        <v/>
      </c>
      <c r="O5976" s="7">
        <f>IF(N5976=0,0,(L5976+H5976)/-N5976)</f>
        <v/>
      </c>
      <c r="P5976" s="7">
        <f>VLOOKUP(OPERAC[[#This Row],[especie]],[1]!ESPECIES[#All],6,0)</f>
        <v/>
      </c>
      <c r="Q5976" s="7">
        <f>IF(N5976&lt;&gt;0,P5976*N5976,0)</f>
        <v/>
      </c>
      <c r="R5976" s="8">
        <f>IF(Q5976&lt;&gt;0,Q5976+H5976+L5976,0)</f>
        <v/>
      </c>
      <c r="S5976" s="9">
        <f>VLOOKUP(OPERAC[[#This Row],[especie]],[1]!ESPECIES[#Data],9,FALSE)</f>
        <v/>
      </c>
    </row>
    <row r="5977">
      <c r="A5977" s="4" t="n">
        <v>19878</v>
      </c>
      <c r="B5977" s="5" t="n">
        <v>44608</v>
      </c>
      <c r="C5977" s="13" t="inlineStr">
        <is>
          <t>CPR</t>
        </is>
      </c>
      <c r="D5977" s="13" t="n">
        <v>32</v>
      </c>
      <c r="E5977" s="10">
        <f>IF(D5977&gt;0,VLOOKUP(OPERAC[[#This Row],[COD CART]],[1]!MatrizCortoLargoCyl[#All],3,0),"")</f>
        <v/>
      </c>
      <c r="F5977" s="13" t="inlineStr">
        <is>
          <t>DDD</t>
        </is>
      </c>
      <c r="G5977" s="6" t="n">
        <v>200</v>
      </c>
      <c r="H5977" s="6">
        <f>-3258.8378-181.88+231.796</f>
        <v/>
      </c>
      <c r="I5977" s="7">
        <f>-H5977/G5977</f>
        <v/>
      </c>
      <c r="J5977" s="11" t="n"/>
      <c r="K5977" s="6" t="n"/>
      <c r="L5977" s="6" t="n"/>
      <c r="M5977" s="7">
        <f>IF(N5977=0,+L5977+H5977,0)</f>
        <v/>
      </c>
      <c r="N5977" s="7">
        <f>IF((+G5977-K5977)=0,0,+G5977-K5977)</f>
        <v/>
      </c>
      <c r="O5977" s="7">
        <f>IF(N5977=0,0,(L5977+H5977)/-N5977)</f>
        <v/>
      </c>
      <c r="P5977" s="7">
        <f>VLOOKUP(OPERAC[[#This Row],[especie]],[1]!ESPECIES[#All],6,0)</f>
        <v/>
      </c>
      <c r="Q5977" s="7">
        <f>IF(N5977&lt;&gt;0,P5977*N5977,0)</f>
        <v/>
      </c>
      <c r="R5977" s="8">
        <f>IF(Q5977&lt;&gt;0,Q5977+H5977+L5977,0)</f>
        <v/>
      </c>
      <c r="S5977" s="9">
        <f>VLOOKUP(OPERAC[[#This Row],[especie]],[1]!ESPECIES[#Data],9,FALSE)</f>
        <v/>
      </c>
    </row>
    <row r="5978">
      <c r="A5978" s="4" t="n">
        <v>3021</v>
      </c>
      <c r="B5978" s="5" t="n">
        <v>44648</v>
      </c>
      <c r="C5978" s="13" t="inlineStr">
        <is>
          <t>CPR</t>
        </is>
      </c>
      <c r="D5978" s="13" t="n">
        <v>32</v>
      </c>
      <c r="E5978" s="10">
        <f>IF(D5978&gt;0,VLOOKUP(OPERAC[[#This Row],[COD CART]],[1]!MatrizCortoLargoCyl[#All],3,0),"")</f>
        <v/>
      </c>
      <c r="F5978" s="13" t="inlineStr">
        <is>
          <t>F</t>
        </is>
      </c>
      <c r="G5978" s="6" t="n">
        <v>200</v>
      </c>
      <c r="H5978" s="6" t="n">
        <v>-3209.611</v>
      </c>
      <c r="I5978" s="7">
        <f>-H5978/G5978</f>
        <v/>
      </c>
      <c r="J5978" s="11" t="n">
        <v>44691</v>
      </c>
      <c r="K5978" s="6" t="n">
        <v>200</v>
      </c>
      <c r="L5978" s="6" t="n">
        <v>2666.33</v>
      </c>
      <c r="M5978" s="7">
        <f>IF(N5978=0,+L5978+H5978,0)</f>
        <v/>
      </c>
      <c r="N5978" s="7">
        <f>IF((+G5978-K5978)=0,0,+G5978-K5978)</f>
        <v/>
      </c>
      <c r="O5978" s="7">
        <f>IF(N5978=0,0,(L5978+H5978)/-N5978)</f>
        <v/>
      </c>
      <c r="P5978" s="7">
        <f>VLOOKUP(OPERAC[[#This Row],[especie]],[1]!ESPECIES[#All],6,0)</f>
        <v/>
      </c>
      <c r="Q5978" s="7">
        <f>IF(N5978&lt;&gt;0,P5978*N5978,0)</f>
        <v/>
      </c>
      <c r="R5978" s="8">
        <f>IF(Q5978&lt;&gt;0,Q5978+H5978+L5978,0)</f>
        <v/>
      </c>
      <c r="S5978" s="9">
        <f>VLOOKUP(OPERAC[[#This Row],[especie]],[1]!ESPECIES[#Data],9,FALSE)</f>
        <v/>
      </c>
    </row>
    <row r="5979">
      <c r="A5979" s="4" t="n">
        <v>26140</v>
      </c>
      <c r="B5979" s="5" t="n">
        <v>44652</v>
      </c>
      <c r="C5979" s="13" t="inlineStr">
        <is>
          <t>CPR</t>
        </is>
      </c>
      <c r="D5979" s="13" t="n">
        <v>42</v>
      </c>
      <c r="E5979" s="10">
        <f>IF(D5979&gt;0,VLOOKUP(OPERAC[[#This Row],[COD CART]],[1]!MatrizCortoLargoCyl[#All],3,0),"")</f>
        <v/>
      </c>
      <c r="F5979" s="13" t="inlineStr">
        <is>
          <t>GBTC</t>
        </is>
      </c>
      <c r="G5979" s="6" t="n">
        <v>100</v>
      </c>
      <c r="H5979" s="6" t="n">
        <v>-3210.98</v>
      </c>
      <c r="I5979" s="7">
        <f>-H5979/G5979</f>
        <v/>
      </c>
      <c r="J5979" s="11" t="n">
        <v>44662</v>
      </c>
      <c r="K5979" s="6">
        <f>+OPERAC[[#This Row],[cantidad]]</f>
        <v/>
      </c>
      <c r="L5979" s="6">
        <f>27.99*OPERAC[[#This Row],[cantidad venta]]</f>
        <v/>
      </c>
      <c r="M5979" s="7">
        <f>IF(N5979=0,+L5979+H5979,0)</f>
        <v/>
      </c>
      <c r="N5979" s="7">
        <f>IF((+G5979-K5979)=0,0,+G5979-K5979)</f>
        <v/>
      </c>
      <c r="O5979" s="7">
        <f>IF(N5979=0,0,(L5979+H5979)/-N5979)</f>
        <v/>
      </c>
      <c r="P5979" s="7">
        <f>VLOOKUP(OPERAC[[#This Row],[especie]],[1]!ESPECIES[#All],6,0)</f>
        <v/>
      </c>
      <c r="Q5979" s="7">
        <f>IF(N5979&lt;&gt;0,P5979*N5979,0)</f>
        <v/>
      </c>
      <c r="R5979" s="8">
        <f>IF(Q5979&lt;&gt;0,Q5979+H5979+L5979,0)</f>
        <v/>
      </c>
      <c r="S5979" s="9">
        <f>VLOOKUP(OPERAC[[#This Row],[especie]],[1]!ESPECIES[#Data],9,FALSE)</f>
        <v/>
      </c>
    </row>
    <row r="5980">
      <c r="A5980" s="4" t="n">
        <v>16776</v>
      </c>
      <c r="B5980" s="5" t="n">
        <v>44421</v>
      </c>
      <c r="C5980" s="13" t="inlineStr">
        <is>
          <t>CPR</t>
        </is>
      </c>
      <c r="D5980" s="13" t="n">
        <v>41</v>
      </c>
      <c r="E5980" s="10">
        <f>IF(D5980&gt;0,VLOOKUP(OPERAC[[#This Row],[COD CART]],[1]!MatrizCortoLargoCyl[#All],3,0),"")</f>
        <v/>
      </c>
      <c r="F5980" s="13" t="inlineStr">
        <is>
          <t>DESP</t>
        </is>
      </c>
      <c r="G5980" s="6" t="n">
        <v>250</v>
      </c>
      <c r="H5980" s="6" t="n">
        <v>-3217.25</v>
      </c>
      <c r="I5980" s="7">
        <f>-H5980/G5980</f>
        <v/>
      </c>
      <c r="J5980" s="11" t="n"/>
      <c r="K5980" s="6" t="n"/>
      <c r="L5980" s="6" t="n"/>
      <c r="M5980" s="7">
        <f>IF(N5980=0,+L5980+H5980,0)</f>
        <v/>
      </c>
      <c r="N5980" s="7">
        <f>IF((+G5980-K5980)=0,0,+G5980-K5980)</f>
        <v/>
      </c>
      <c r="O5980" s="7">
        <f>IF(N5980=0,0,(L5980+H5980)/-N5980)</f>
        <v/>
      </c>
      <c r="P5980" s="7">
        <f>VLOOKUP(OPERAC[[#This Row],[especie]],[1]!ESPECIES[#All],6,0)</f>
        <v/>
      </c>
      <c r="Q5980" s="7">
        <f>IF(N5980&lt;&gt;0,P5980*N5980,0)</f>
        <v/>
      </c>
      <c r="R5980" s="8">
        <f>IF(Q5980&lt;&gt;0,Q5980+H5980+L5980,0)</f>
        <v/>
      </c>
      <c r="S5980" s="9">
        <f>VLOOKUP(OPERAC[[#This Row],[especie]],[1]!ESPECIES[#Data],9,FALSE)</f>
        <v/>
      </c>
    </row>
    <row r="5981">
      <c r="A5981" s="4" t="n">
        <v>26138</v>
      </c>
      <c r="B5981" s="5" t="n">
        <v>44608</v>
      </c>
      <c r="C5981" s="13" t="inlineStr">
        <is>
          <t>CPR</t>
        </is>
      </c>
      <c r="D5981" s="13" t="n">
        <v>32</v>
      </c>
      <c r="E5981" s="10">
        <f>IF(D5981&gt;0,VLOOKUP(OPERAC[[#This Row],[COD CART]],[1]!MatrizCortoLargoCyl[#All],3,0),"")</f>
        <v/>
      </c>
      <c r="F5981" s="13" t="inlineStr">
        <is>
          <t>DDD/CYL/17,00/01-04-22</t>
        </is>
      </c>
      <c r="G5981" s="6" t="n">
        <v>200</v>
      </c>
      <c r="H5981" s="6">
        <f>-3258.8378+19.7+16.45</f>
        <v/>
      </c>
      <c r="I5981" s="7">
        <f>-H5981/G5981</f>
        <v/>
      </c>
      <c r="J5981" s="11" t="n">
        <v>44617</v>
      </c>
      <c r="K5981" s="6">
        <f>100+100</f>
        <v/>
      </c>
      <c r="L5981" s="6">
        <f>1530.88+1661.98</f>
        <v/>
      </c>
      <c r="M5981" s="7">
        <f>IF(N5981=0,+L5981+H5981,0)</f>
        <v/>
      </c>
      <c r="N5981" s="7">
        <f>IF((+G5981-K5981)=0,0,+G5981-K5981)</f>
        <v/>
      </c>
      <c r="O5981" s="7">
        <f>IF(N5981=0,0,(L5981+H5981)/-N5981)</f>
        <v/>
      </c>
      <c r="P5981" s="7">
        <f>VLOOKUP(OPERAC[[#This Row],[especie]],[1]!ESPECIES[#All],6,0)</f>
        <v/>
      </c>
      <c r="Q5981" s="7">
        <f>IF(N5981&lt;&gt;0,P5981*N5981,0)</f>
        <v/>
      </c>
      <c r="R5981" s="8">
        <f>IF(Q5981&lt;&gt;0,Q5981+H5981+L5981,0)</f>
        <v/>
      </c>
      <c r="S5981" s="9">
        <f>VLOOKUP(OPERAC[[#This Row],[especie]],[1]!ESPECIES[#Data],9,FALSE)</f>
        <v/>
      </c>
    </row>
    <row r="5982">
      <c r="A5982" s="4" t="n">
        <v>15189</v>
      </c>
      <c r="B5982" s="5" t="n">
        <v>44237</v>
      </c>
      <c r="C5982" s="13" t="inlineStr">
        <is>
          <t>CPR</t>
        </is>
      </c>
      <c r="D5982" s="13" t="n">
        <v>40</v>
      </c>
      <c r="E5982" s="10">
        <f>IF(D5982&gt;0,VLOOKUP(OPERAC[[#This Row],[COD CART]],[1]!MatrizCortoLargoCyl[#All],3,0),"")</f>
        <v/>
      </c>
      <c r="F5982" s="13" t="inlineStr">
        <is>
          <t>DDD</t>
        </is>
      </c>
      <c r="G5982" s="6" t="n">
        <v>100</v>
      </c>
      <c r="H5982" s="6">
        <f>-3950.37+3.56+207.61+90+342.24+10.237+39.782+29.76</f>
        <v/>
      </c>
      <c r="I5982" s="7">
        <f>-H5982/G5982</f>
        <v/>
      </c>
      <c r="J5982" s="11" t="n">
        <v>44606</v>
      </c>
      <c r="K5982" s="6" t="n">
        <v>100</v>
      </c>
      <c r="L5982" s="6">
        <f>+OPERAC[[#This Row],[cantidad venta]]*18.06</f>
        <v/>
      </c>
      <c r="M5982" s="7">
        <f>IF(N5982=0,+L5982+H5982,0)</f>
        <v/>
      </c>
      <c r="N5982" s="7">
        <f>IF((+G5982-K5982)=0,0,+G5982-K5982)</f>
        <v/>
      </c>
      <c r="O5982" s="7">
        <f>IF(N5982=0,0,(L5982+H5982)/-N5982)</f>
        <v/>
      </c>
      <c r="P5982" s="7">
        <f>VLOOKUP(OPERAC[[#This Row],[especie]],[1]!ESPECIES[#All],6,0)</f>
        <v/>
      </c>
      <c r="Q5982" s="7">
        <f>IF(N5982&lt;&gt;0,P5982*N5982,0)</f>
        <v/>
      </c>
      <c r="R5982" s="8">
        <f>IF(Q5982&lt;&gt;0,Q5982+H5982+L5982,0)</f>
        <v/>
      </c>
      <c r="S5982" s="9">
        <f>VLOOKUP(OPERAC[[#This Row],[especie]],[1]!ESPECIES[#Data],9,FALSE)</f>
        <v/>
      </c>
    </row>
    <row r="5983">
      <c r="A5983" s="4" t="n">
        <v>3728</v>
      </c>
      <c r="B5983" s="5" t="n">
        <v>44644</v>
      </c>
      <c r="C5983" s="13" t="inlineStr">
        <is>
          <t>CPR</t>
        </is>
      </c>
      <c r="D5983" s="13" t="n">
        <v>32</v>
      </c>
      <c r="E5983" s="10">
        <f>IF(D5983&gt;0,VLOOKUP(OPERAC[[#This Row],[COD CART]],[1]!MatrizCortoLargoCyl[#All],3,0),"")</f>
        <v/>
      </c>
      <c r="F5983" s="13" t="inlineStr">
        <is>
          <t>LAC</t>
        </is>
      </c>
      <c r="G5983" s="6" t="n">
        <v>100</v>
      </c>
      <c r="H5983" s="6" t="n">
        <v>-3235.353</v>
      </c>
      <c r="I5983" s="7">
        <f>-H5983/G5983</f>
        <v/>
      </c>
      <c r="J5983" s="11" t="n">
        <v>44669</v>
      </c>
      <c r="K5983" s="6" t="n">
        <v>100</v>
      </c>
      <c r="L5983" s="6" t="n">
        <v>2992.005</v>
      </c>
      <c r="M5983" s="7">
        <f>IF(N5983=0,+L5983+H5983,0)</f>
        <v/>
      </c>
      <c r="N5983" s="7">
        <f>IF((+G5983-K5983)=0,0,+G5983-K5983)</f>
        <v/>
      </c>
      <c r="O5983" s="7">
        <f>IF(N5983=0,0,(L5983+H5983)/-N5983)</f>
        <v/>
      </c>
      <c r="P5983" s="7">
        <f>VLOOKUP(OPERAC[[#This Row],[especie]],[1]!ESPECIES[#All],6,0)</f>
        <v/>
      </c>
      <c r="Q5983" s="7">
        <f>IF(N5983&lt;&gt;0,P5983*N5983,0)</f>
        <v/>
      </c>
      <c r="R5983" s="8">
        <f>IF(Q5983&lt;&gt;0,Q5983+H5983+L5983,0)</f>
        <v/>
      </c>
      <c r="S5983" s="9">
        <f>VLOOKUP(OPERAC[[#This Row],[especie]],[1]!ESPECIES[#Data],9,FALSE)</f>
        <v/>
      </c>
    </row>
    <row r="5984">
      <c r="A5984" s="4" t="n">
        <v>2218</v>
      </c>
      <c r="B5984" s="5" t="n">
        <v>44615</v>
      </c>
      <c r="C5984" s="13" t="inlineStr">
        <is>
          <t>CPR</t>
        </is>
      </c>
      <c r="D5984" s="13" t="n">
        <v>40</v>
      </c>
      <c r="E5984" s="10">
        <f>IF(D5984&gt;0,VLOOKUP(OPERAC[[#This Row],[COD CART]],[1]!MatrizCortoLargoCyl[#All],3,0),"")</f>
        <v/>
      </c>
      <c r="F5984" s="13" t="inlineStr">
        <is>
          <t>GMBL</t>
        </is>
      </c>
      <c r="G5984" s="6" t="n">
        <v>2000</v>
      </c>
      <c r="H5984" s="6" t="n">
        <v>-3243.23</v>
      </c>
      <c r="I5984" s="7">
        <f>-H5984/G5984</f>
        <v/>
      </c>
      <c r="J5984" s="11" t="n"/>
      <c r="K5984" s="6" t="n"/>
      <c r="L5984" s="6" t="n"/>
      <c r="M5984" s="7">
        <f>IF(N5984=0,+L5984+H5984,0)</f>
        <v/>
      </c>
      <c r="N5984" s="7">
        <f>IF((+G5984-K5984)=0,0,+G5984-K5984)</f>
        <v/>
      </c>
      <c r="O5984" s="7">
        <f>IF(N5984=0,0,(L5984+H5984)/-N5984)</f>
        <v/>
      </c>
      <c r="P5984" s="7">
        <f>VLOOKUP(OPERAC[[#This Row],[especie]],[1]!ESPECIES[#All],6,0)</f>
        <v/>
      </c>
      <c r="Q5984" s="7">
        <f>IF(N5984&lt;&gt;0,P5984*N5984,0)</f>
        <v/>
      </c>
      <c r="R5984" s="8">
        <f>IF(Q5984&lt;&gt;0,Q5984+H5984+L5984,0)</f>
        <v/>
      </c>
      <c r="S5984" s="9">
        <f>VLOOKUP(OPERAC[[#This Row],[especie]],[1]!ESPECIES[#Data],9,FALSE)</f>
        <v/>
      </c>
    </row>
    <row r="5985">
      <c r="A5985" s="4" t="n">
        <v>3021</v>
      </c>
      <c r="B5985" s="5" t="n">
        <v>44615</v>
      </c>
      <c r="C5985" s="13" t="inlineStr">
        <is>
          <t>CPR</t>
        </is>
      </c>
      <c r="D5985" s="13" t="n">
        <v>40</v>
      </c>
      <c r="E5985" s="10">
        <f>IF(D5985&gt;0,VLOOKUP(OPERAC[[#This Row],[COD CART]],[1]!MatrizCortoLargoCyl[#All],3,0),"")</f>
        <v/>
      </c>
      <c r="F5985" s="13" t="inlineStr">
        <is>
          <t>GMBL</t>
        </is>
      </c>
      <c r="G5985" s="6" t="n">
        <v>2000</v>
      </c>
      <c r="H5985" s="6" t="n">
        <v>-3243.23</v>
      </c>
      <c r="I5985" s="7">
        <f>-H5985/G5985</f>
        <v/>
      </c>
      <c r="J5985" s="11" t="n">
        <v>44691</v>
      </c>
      <c r="K5985" s="6" t="n">
        <v>2000</v>
      </c>
      <c r="L5985" s="6" t="n">
        <v>764.405</v>
      </c>
      <c r="M5985" s="7">
        <f>IF(N5985=0,+L5985+H5985,0)</f>
        <v/>
      </c>
      <c r="N5985" s="7">
        <f>IF((+G5985-K5985)=0,0,+G5985-K5985)</f>
        <v/>
      </c>
      <c r="O5985" s="7">
        <f>IF(N5985=0,0,(L5985+H5985)/-N5985)</f>
        <v/>
      </c>
      <c r="P5985" s="7">
        <f>VLOOKUP(OPERAC[[#This Row],[especie]],[1]!ESPECIES[#All],6,0)</f>
        <v/>
      </c>
      <c r="Q5985" s="7">
        <f>IF(N5985&lt;&gt;0,P5985*N5985,0)</f>
        <v/>
      </c>
      <c r="R5985" s="8">
        <f>IF(Q5985&lt;&gt;0,Q5985+H5985+L5985,0)</f>
        <v/>
      </c>
      <c r="S5985" s="9">
        <f>VLOOKUP(OPERAC[[#This Row],[especie]],[1]!ESPECIES[#Data],9,FALSE)</f>
        <v/>
      </c>
    </row>
    <row r="5986">
      <c r="A5986" s="4" t="n">
        <v>3728</v>
      </c>
      <c r="B5986" s="5" t="n">
        <v>44657</v>
      </c>
      <c r="C5986" s="13" t="inlineStr">
        <is>
          <t>CPR</t>
        </is>
      </c>
      <c r="D5986" s="13" t="n">
        <v>42</v>
      </c>
      <c r="E5986" s="10">
        <f>IF(D5986&gt;0,VLOOKUP(OPERAC[[#This Row],[COD CART]],[1]!MatrizCortoLargoCyl[#All],3,0),"")</f>
        <v/>
      </c>
      <c r="F5986" s="13" t="inlineStr">
        <is>
          <t>LAC</t>
        </is>
      </c>
      <c r="G5986" s="6" t="n">
        <v>100</v>
      </c>
      <c r="H5986" s="6" t="n">
        <v>-3248.7445</v>
      </c>
      <c r="I5986" s="7">
        <f>-H5986/G5986</f>
        <v/>
      </c>
      <c r="J5986" s="11" t="n"/>
      <c r="K5986" s="6" t="n"/>
      <c r="L5986" s="6" t="n"/>
      <c r="M5986" s="7">
        <f>IF(N5986=0,+L5986+H5986,0)</f>
        <v/>
      </c>
      <c r="N5986" s="7">
        <f>IF((+G5986-K5986)=0,0,+G5986-K5986)</f>
        <v/>
      </c>
      <c r="O5986" s="7">
        <f>IF(N5986=0,0,(L5986+H5986)/-N5986)</f>
        <v/>
      </c>
      <c r="P5986" s="7">
        <f>VLOOKUP(OPERAC[[#This Row],[especie]],[1]!ESPECIES[#All],6,0)</f>
        <v/>
      </c>
      <c r="Q5986" s="7">
        <f>IF(N5986&lt;&gt;0,P5986*N5986,0)</f>
        <v/>
      </c>
      <c r="R5986" s="8">
        <f>IF(Q5986&lt;&gt;0,Q5986+H5986+L5986,0)</f>
        <v/>
      </c>
      <c r="S5986" s="9">
        <f>VLOOKUP(OPERAC[[#This Row],[especie]],[1]!ESPECIES[#Data],9,FALSE)</f>
        <v/>
      </c>
    </row>
    <row r="5987">
      <c r="A5987" s="4" t="n">
        <v>2255</v>
      </c>
      <c r="B5987" s="5" t="n">
        <v>44615</v>
      </c>
      <c r="C5987" s="13" t="inlineStr">
        <is>
          <t>CPR</t>
        </is>
      </c>
      <c r="D5987" s="13" t="n">
        <v>40</v>
      </c>
      <c r="E5987" s="10">
        <f>IF(D5987&gt;0,VLOOKUP(OPERAC[[#This Row],[COD CART]],[1]!MatrizCortoLargoCyl[#All],3,0),"")</f>
        <v/>
      </c>
      <c r="F5987" s="13" t="inlineStr">
        <is>
          <t>GMBL</t>
        </is>
      </c>
      <c r="G5987" s="6" t="n">
        <v>2000</v>
      </c>
      <c r="H5987" s="6" t="n">
        <v>-3252.92</v>
      </c>
      <c r="I5987" s="7">
        <f>-H5987/G5987</f>
        <v/>
      </c>
      <c r="J5987" s="11" t="n">
        <v>44636</v>
      </c>
      <c r="K5987" s="6" t="n">
        <v>2000</v>
      </c>
      <c r="L5987" s="6" t="n">
        <v>1469.865</v>
      </c>
      <c r="M5987" s="7">
        <f>IF(N5987=0,+L5987+H5987,0)</f>
        <v/>
      </c>
      <c r="N5987" s="7">
        <f>IF((+G5987-K5987)=0,0,+G5987-K5987)</f>
        <v/>
      </c>
      <c r="O5987" s="7">
        <f>IF(N5987=0,0,(L5987+H5987)/-N5987)</f>
        <v/>
      </c>
      <c r="P5987" s="7">
        <f>VLOOKUP(OPERAC[[#This Row],[especie]],[1]!ESPECIES[#All],6,0)</f>
        <v/>
      </c>
      <c r="Q5987" s="7">
        <f>IF(N5987&lt;&gt;0,P5987*N5987,0)</f>
        <v/>
      </c>
      <c r="R5987" s="8">
        <f>IF(Q5987&lt;&gt;0,Q5987+H5987+L5987,0)</f>
        <v/>
      </c>
      <c r="S5987" s="9">
        <f>VLOOKUP(OPERAC[[#This Row],[especie]],[1]!ESPECIES[#Data],9,FALSE)</f>
        <v/>
      </c>
    </row>
    <row r="5988">
      <c r="A5988" s="4" t="n">
        <v>16783</v>
      </c>
      <c r="B5988" s="5" t="n">
        <v>44615</v>
      </c>
      <c r="C5988" s="13" t="inlineStr">
        <is>
          <t>CPR</t>
        </is>
      </c>
      <c r="D5988" s="13" t="n">
        <v>40</v>
      </c>
      <c r="E5988" s="10">
        <f>IF(D5988&gt;0,VLOOKUP(OPERAC[[#This Row],[COD CART]],[1]!MatrizCortoLargoCyl[#All],3,0),"")</f>
        <v/>
      </c>
      <c r="F5988" s="13" t="inlineStr">
        <is>
          <t>GMBL</t>
        </is>
      </c>
      <c r="G5988" s="6" t="n">
        <v>2000</v>
      </c>
      <c r="H5988" s="6" t="n">
        <v>-3252.92</v>
      </c>
      <c r="I5988" s="7">
        <f>-H5988/G5988</f>
        <v/>
      </c>
      <c r="J5988" s="11" t="n">
        <v>44692</v>
      </c>
      <c r="K5988" s="6" t="n">
        <v>2000</v>
      </c>
      <c r="L5988" s="6" t="n">
        <v>785.25</v>
      </c>
      <c r="M5988" s="7">
        <f>IF(N5988=0,+L5988+H5988,0)</f>
        <v/>
      </c>
      <c r="N5988" s="7">
        <f>IF((+G5988-K5988)=0,0,+G5988-K5988)</f>
        <v/>
      </c>
      <c r="O5988" s="7">
        <f>IF(N5988=0,0,(L5988+H5988)/-N5988)</f>
        <v/>
      </c>
      <c r="P5988" s="7">
        <f>VLOOKUP(OPERAC[[#This Row],[especie]],[1]!ESPECIES[#All],6,0)</f>
        <v/>
      </c>
      <c r="Q5988" s="7">
        <f>IF(N5988&lt;&gt;0,P5988*N5988,0)</f>
        <v/>
      </c>
      <c r="R5988" s="8">
        <f>IF(Q5988&lt;&gt;0,Q5988+H5988+L5988,0)</f>
        <v/>
      </c>
      <c r="S5988" s="9">
        <f>VLOOKUP(OPERAC[[#This Row],[especie]],[1]!ESPECIES[#Data],9,FALSE)</f>
        <v/>
      </c>
    </row>
    <row r="5989">
      <c r="A5989" s="4" t="n">
        <v>19932</v>
      </c>
      <c r="B5989" s="5" t="n">
        <v>44697</v>
      </c>
      <c r="C5989" s="13" t="inlineStr">
        <is>
          <t>CPR</t>
        </is>
      </c>
      <c r="D5989" s="13" t="n">
        <v>32</v>
      </c>
      <c r="E5989" s="10">
        <f>IF(D5989&gt;0,VLOOKUP(OPERAC[[#This Row],[COD CART]],[1]!MatrizCortoLargoCyl[#All],3,0),"")</f>
        <v/>
      </c>
      <c r="F5989" s="13" t="inlineStr">
        <is>
          <t>COTY/CYL/8,50/01-07-22</t>
        </is>
      </c>
      <c r="G5989" s="6" t="n">
        <v>500</v>
      </c>
      <c r="H5989" s="6" t="n">
        <v>-3265.31</v>
      </c>
      <c r="I5989" s="7">
        <f>-H5989/G5989</f>
        <v/>
      </c>
      <c r="J5989" s="11" t="n"/>
      <c r="K5989" s="6" t="n"/>
      <c r="L5989" s="6" t="n"/>
      <c r="M5989" s="7">
        <f>IF(N5989=0,+L5989+H5989,0)</f>
        <v/>
      </c>
      <c r="N5989" s="7">
        <f>IF((+G5989-K5989)=0,0,+G5989-K5989)</f>
        <v/>
      </c>
      <c r="O5989" s="7">
        <f>IF(N5989=0,0,(L5989+H5989)/-N5989)</f>
        <v/>
      </c>
      <c r="P5989" s="7">
        <f>VLOOKUP(OPERAC[[#This Row],[especie]],[1]!ESPECIES[#All],6,0)</f>
        <v/>
      </c>
      <c r="Q5989" s="7">
        <f>IF(N5989&lt;&gt;0,P5989*N5989,0)</f>
        <v/>
      </c>
      <c r="R5989" s="8">
        <f>IF(Q5989&lt;&gt;0,Q5989+H5989+L5989,0)</f>
        <v/>
      </c>
      <c r="S5989" s="9">
        <f>VLOOKUP(OPERAC[[#This Row],[especie]],[1]!ESPECIES[#Data],9,FALSE)</f>
        <v/>
      </c>
    </row>
    <row r="5990">
      <c r="A5990" s="4" t="n">
        <v>1760</v>
      </c>
      <c r="B5990" s="5" t="n">
        <v>44615</v>
      </c>
      <c r="C5990" s="13" t="inlineStr">
        <is>
          <t>CPR</t>
        </is>
      </c>
      <c r="D5990" s="13" t="n">
        <v>40</v>
      </c>
      <c r="E5990" s="10">
        <f>IF(D5990&gt;0,VLOOKUP(OPERAC[[#This Row],[COD CART]],[1]!MatrizCortoLargoCyl[#All],3,0),"")</f>
        <v/>
      </c>
      <c r="F5990" s="13" t="inlineStr">
        <is>
          <t>GMBL</t>
        </is>
      </c>
      <c r="G5990" s="6" t="n">
        <v>2000</v>
      </c>
      <c r="H5990" s="6" t="n">
        <v>-3265.84</v>
      </c>
      <c r="I5990" s="7">
        <f>-H5990/G5990</f>
        <v/>
      </c>
      <c r="J5990" s="11" t="n">
        <v>44628</v>
      </c>
      <c r="K5990" s="6" t="n">
        <v>2000</v>
      </c>
      <c r="L5990" s="6" t="n">
        <v>1327.343</v>
      </c>
      <c r="M5990" s="7">
        <f>IF(N5990=0,+L5990+H5990,0)</f>
        <v/>
      </c>
      <c r="N5990" s="7">
        <f>IF((+G5990-K5990)=0,0,+G5990-K5990)</f>
        <v/>
      </c>
      <c r="O5990" s="7">
        <f>IF(N5990=0,0,(L5990+H5990)/-N5990)</f>
        <v/>
      </c>
      <c r="P5990" s="7">
        <f>VLOOKUP(OPERAC[[#This Row],[especie]],[1]!ESPECIES[#All],6,0)</f>
        <v/>
      </c>
      <c r="Q5990" s="7">
        <f>IF(N5990&lt;&gt;0,P5990*N5990,0)</f>
        <v/>
      </c>
      <c r="R5990" s="8">
        <f>IF(Q5990&lt;&gt;0,Q5990+H5990+L5990,0)</f>
        <v/>
      </c>
      <c r="S5990" s="9">
        <f>VLOOKUP(OPERAC[[#This Row],[especie]],[1]!ESPECIES[#Data],9,FALSE)</f>
        <v/>
      </c>
    </row>
    <row r="5991">
      <c r="A5991" s="4" t="n">
        <v>1760</v>
      </c>
      <c r="B5991" s="5" t="n">
        <v>44704</v>
      </c>
      <c r="C5991" s="13" t="inlineStr">
        <is>
          <t>CPR</t>
        </is>
      </c>
      <c r="D5991" s="13" t="n">
        <v>43</v>
      </c>
      <c r="E5991" s="10">
        <f>IF(D5991&gt;0,VLOOKUP(OPERAC[[#This Row],[COD CART]],[1]!MatrizCortoLargoCyl[#All],3,0),"")</f>
        <v/>
      </c>
      <c r="F5991" s="13" t="inlineStr">
        <is>
          <t>AAL/CYP/16,50-15,00/10-06-22</t>
        </is>
      </c>
      <c r="G5991" s="6" t="n">
        <v>200</v>
      </c>
      <c r="H5991" s="6">
        <f>-3247.862-32.27</f>
        <v/>
      </c>
      <c r="I5991" s="7">
        <f>-H5991/G5991</f>
        <v/>
      </c>
      <c r="J5991" s="5" t="n">
        <v>44722</v>
      </c>
      <c r="K5991" s="6" t="n">
        <v>200</v>
      </c>
      <c r="L5991" s="6" t="n">
        <v>3271.95</v>
      </c>
      <c r="M5991" s="7">
        <f>IF(N5991=0,+L5991+H5991,0)</f>
        <v/>
      </c>
      <c r="N5991" s="7">
        <f>IF((+G5991-K5991)=0,0,+G5991-K5991)</f>
        <v/>
      </c>
      <c r="O5991" s="7">
        <f>IF(N5991=0,0,(L5991+H5991)/-N5991)</f>
        <v/>
      </c>
      <c r="P5991" s="7">
        <f>VLOOKUP(OPERAC[[#This Row],[especie]],[1]!ESPECIES[#All],6,0)</f>
        <v/>
      </c>
      <c r="Q5991" s="7">
        <f>IF(N5991&lt;&gt;0,P5991*N5991,0)</f>
        <v/>
      </c>
      <c r="R5991" s="8">
        <f>IF(Q5991&lt;&gt;0,Q5991+H5991+L5991,0)</f>
        <v/>
      </c>
      <c r="S5991" s="9">
        <f>VLOOKUP(OPERAC[[#This Row],[especie]],[1]!ESPECIES[#Data],9,FALSE)</f>
        <v/>
      </c>
    </row>
    <row r="5992">
      <c r="A5992" s="4" t="n">
        <v>10079</v>
      </c>
      <c r="B5992" s="5" t="n">
        <v>44704</v>
      </c>
      <c r="C5992" s="13" t="inlineStr">
        <is>
          <t>CPR</t>
        </is>
      </c>
      <c r="D5992" s="13" t="n">
        <v>43</v>
      </c>
      <c r="E5992" s="10">
        <f>IF(D5992&gt;0,VLOOKUP(OPERAC[[#This Row],[COD CART]],[1]!MatrizCortoLargoCyl[#All],3,0),"")</f>
        <v/>
      </c>
      <c r="F5992" s="13" t="inlineStr">
        <is>
          <t>AAL/CYP/16,50-15,00/10-06-22</t>
        </is>
      </c>
      <c r="G5992" s="6" t="n">
        <v>200</v>
      </c>
      <c r="H5992" s="6">
        <f>-3247.862-32.27</f>
        <v/>
      </c>
      <c r="I5992" s="7">
        <f>-H5992/G5992</f>
        <v/>
      </c>
      <c r="J5992" s="5" t="n">
        <v>44722</v>
      </c>
      <c r="K5992" s="6" t="n">
        <v>200</v>
      </c>
      <c r="L5992" s="6" t="n">
        <v>3271.95</v>
      </c>
      <c r="M5992" s="7">
        <f>IF(N5992=0,+L5992+H5992,0)</f>
        <v/>
      </c>
      <c r="N5992" s="7">
        <f>IF((+G5992-K5992)=0,0,+G5992-K5992)</f>
        <v/>
      </c>
      <c r="O5992" s="7">
        <f>IF(N5992=0,0,(L5992+H5992)/-N5992)</f>
        <v/>
      </c>
      <c r="P5992" s="7">
        <f>VLOOKUP(OPERAC[[#This Row],[especie]],[1]!ESPECIES[#All],6,0)</f>
        <v/>
      </c>
      <c r="Q5992" s="7">
        <f>IF(N5992&lt;&gt;0,P5992*N5992,0)</f>
        <v/>
      </c>
      <c r="R5992" s="8">
        <f>IF(Q5992&lt;&gt;0,Q5992+H5992+L5992,0)</f>
        <v/>
      </c>
      <c r="S5992" s="9">
        <f>VLOOKUP(OPERAC[[#This Row],[especie]],[1]!ESPECIES[#Data],9,FALSE)</f>
        <v/>
      </c>
    </row>
    <row r="5993">
      <c r="A5993" s="4" t="n">
        <v>15194</v>
      </c>
      <c r="B5993" s="5" t="n">
        <v>44609</v>
      </c>
      <c r="C5993" s="13" t="inlineStr">
        <is>
          <t>CPR</t>
        </is>
      </c>
      <c r="D5993" s="13" t="n">
        <v>32</v>
      </c>
      <c r="E5993" s="10">
        <f>IF(D5993&gt;0,VLOOKUP(OPERAC[[#This Row],[COD CART]],[1]!MatrizCortoLargoCyl[#All],3,0),"")</f>
        <v/>
      </c>
      <c r="F5993" s="13" t="inlineStr">
        <is>
          <t>F</t>
        </is>
      </c>
      <c r="G5993" s="6" t="n">
        <v>200</v>
      </c>
      <c r="H5993" s="6">
        <f>-1715.2776-1655.128+78.36</f>
        <v/>
      </c>
      <c r="I5993" s="7">
        <f>-H5993/G5993</f>
        <v/>
      </c>
      <c r="J5993" s="11" t="n"/>
      <c r="K5993" s="6" t="n"/>
      <c r="L5993" s="6" t="n"/>
      <c r="M5993" s="7">
        <f>IF(N5993=0,+L5993+H5993,0)</f>
        <v/>
      </c>
      <c r="N5993" s="7">
        <f>IF((+G5993-K5993)=0,0,+G5993-K5993)</f>
        <v/>
      </c>
      <c r="O5993" s="7">
        <f>IF(N5993=0,0,(L5993+H5993)/-N5993)</f>
        <v/>
      </c>
      <c r="P5993" s="7">
        <f>VLOOKUP(OPERAC[[#This Row],[especie]],[1]!ESPECIES[#All],6,0)</f>
        <v/>
      </c>
      <c r="Q5993" s="7">
        <f>IF(N5993&lt;&gt;0,P5993*N5993,0)</f>
        <v/>
      </c>
      <c r="R5993" s="8">
        <f>IF(Q5993&lt;&gt;0,Q5993+H5993+L5993,0)</f>
        <v/>
      </c>
      <c r="S5993" s="9">
        <f>VLOOKUP(OPERAC[[#This Row],[especie]],[1]!ESPECIES[#Data],9,FALSE)</f>
        <v/>
      </c>
    </row>
    <row r="5994">
      <c r="A5994" s="4" t="n">
        <v>3728</v>
      </c>
      <c r="B5994" s="5" t="n">
        <v>44159</v>
      </c>
      <c r="C5994" s="13" t="inlineStr">
        <is>
          <t>CPR</t>
        </is>
      </c>
      <c r="D5994" s="13" t="n">
        <v>32</v>
      </c>
      <c r="E5994" s="10">
        <f>IF(D5994&gt;0,VLOOKUP(OPERAC[[#This Row],[COD CART]],[1]!MatrizCortoLargoCyl[#All],3,0),"")</f>
        <v/>
      </c>
      <c r="F5994" s="13" t="inlineStr">
        <is>
          <t>MNKD/CYL/2,00/20-01-23</t>
        </is>
      </c>
      <c r="G5994" s="6" t="n">
        <v>3000</v>
      </c>
      <c r="H5994" s="6" t="n">
        <v>-3303</v>
      </c>
      <c r="I5994" s="7">
        <f>-H5994/G5994</f>
        <v/>
      </c>
      <c r="J5994" s="11" t="n"/>
      <c r="K5994" s="6" t="n"/>
      <c r="L5994" s="6" t="n"/>
      <c r="M5994" s="7">
        <f>IF(N5994=0,+L5994+H5994,0)</f>
        <v/>
      </c>
      <c r="N5994" s="7">
        <f>IF((+G5994-K5994)=0,0,+G5994-K5994)</f>
        <v/>
      </c>
      <c r="O5994" s="7">
        <f>IF(N5994=0,0,(L5994+H5994)/-N5994)</f>
        <v/>
      </c>
      <c r="P5994" s="7">
        <f>VLOOKUP(OPERAC[[#This Row],[especie]],[1]!ESPECIES[#All],6,0)</f>
        <v/>
      </c>
      <c r="Q5994" s="7">
        <f>IF(N5994&lt;&gt;0,P5994*N5994,0)</f>
        <v/>
      </c>
      <c r="R5994" s="8">
        <f>IF(Q5994&lt;&gt;0,Q5994+H5994+L5994,0)</f>
        <v/>
      </c>
      <c r="S5994" s="9">
        <f>VLOOKUP(OPERAC[[#This Row],[especie]],[1]!ESPECIES[#Data],9,FALSE)</f>
        <v/>
      </c>
    </row>
    <row r="5995">
      <c r="A5995" s="4" t="n">
        <v>13240</v>
      </c>
      <c r="B5995" s="5" t="n">
        <v>44634</v>
      </c>
      <c r="C5995" s="13" t="inlineStr">
        <is>
          <t>CPR</t>
        </is>
      </c>
      <c r="D5995" s="13" t="n">
        <v>42</v>
      </c>
      <c r="E5995" s="10">
        <f>IF(D5995&gt;0,VLOOKUP(OPERAC[[#This Row],[COD CART]],[1]!MatrizCortoLargoCyl[#All],3,0),"")</f>
        <v/>
      </c>
      <c r="F5995" s="13" t="inlineStr">
        <is>
          <t>INO</t>
        </is>
      </c>
      <c r="G5995" s="6" t="n">
        <v>1000</v>
      </c>
      <c r="H5995" s="6" t="n">
        <v>-3320.816</v>
      </c>
      <c r="I5995" s="7">
        <f>-H5995/G5995</f>
        <v/>
      </c>
      <c r="J5995" s="11" t="n">
        <v>44634</v>
      </c>
      <c r="K5995" s="6" t="n">
        <v>1000</v>
      </c>
      <c r="L5995" s="6" t="n">
        <v>2988.855</v>
      </c>
      <c r="M5995" s="7">
        <f>IF(N5995=0,+L5995+H5995,0)</f>
        <v/>
      </c>
      <c r="N5995" s="7">
        <f>IF((+G5995-K5995)=0,0,+G5995-K5995)</f>
        <v/>
      </c>
      <c r="O5995" s="7">
        <f>IF(N5995=0,0,(L5995+H5995)/-N5995)</f>
        <v/>
      </c>
      <c r="P5995" s="7">
        <f>VLOOKUP(OPERAC[[#This Row],[especie]],[1]!ESPECIES[#All],6,0)</f>
        <v/>
      </c>
      <c r="Q5995" s="7">
        <f>IF(N5995&lt;&gt;0,P5995*N5995,0)</f>
        <v/>
      </c>
      <c r="R5995" s="8">
        <f>IF(Q5995&lt;&gt;0,Q5995+H5995+L5995,0)</f>
        <v/>
      </c>
      <c r="S5995" s="9">
        <f>VLOOKUP(OPERAC[[#This Row],[especie]],[1]!ESPECIES[#Data],9,FALSE)</f>
        <v/>
      </c>
    </row>
    <row r="5996">
      <c r="A5996" s="4" t="n">
        <v>19920</v>
      </c>
      <c r="B5996" s="5" t="n">
        <v>44691</v>
      </c>
      <c r="C5996" s="13" t="inlineStr">
        <is>
          <t>CPR</t>
        </is>
      </c>
      <c r="D5996" s="13" t="n">
        <v>32</v>
      </c>
      <c r="E5996" s="10">
        <f>IF(D5996&gt;0,VLOOKUP(OPERAC[[#This Row],[COD CART]],[1]!MatrizCortoLargoCyl[#All],3,0),"")</f>
        <v/>
      </c>
      <c r="F5996" s="13" t="inlineStr">
        <is>
          <t>UPST</t>
        </is>
      </c>
      <c r="G5996" s="6" t="n">
        <v>100</v>
      </c>
      <c r="H5996" s="6" t="n">
        <v>-3321.11</v>
      </c>
      <c r="I5996" s="7">
        <f>-H5996/G5996</f>
        <v/>
      </c>
      <c r="J5996" s="11" t="n">
        <v>44701</v>
      </c>
      <c r="K5996" s="6" t="n">
        <v>100</v>
      </c>
      <c r="L5996" s="6" t="n">
        <v>4386.11</v>
      </c>
      <c r="M5996" s="7">
        <f>IF(N5996=0,+L5996+H5996,0)</f>
        <v/>
      </c>
      <c r="N5996" s="7">
        <f>IF((+G5996-K5996)=0,0,+G5996-K5996)</f>
        <v/>
      </c>
      <c r="O5996" s="7">
        <f>IF(N5996=0,0,(L5996+H5996)/-N5996)</f>
        <v/>
      </c>
      <c r="P5996" s="7">
        <f>VLOOKUP(OPERAC[[#This Row],[especie]],[1]!ESPECIES[#All],6,0)</f>
        <v/>
      </c>
      <c r="Q5996" s="7">
        <f>IF(N5996&lt;&gt;0,P5996*N5996,0)</f>
        <v/>
      </c>
      <c r="R5996" s="8">
        <f>IF(Q5996&lt;&gt;0,Q5996+H5996+L5996,0)</f>
        <v/>
      </c>
      <c r="S5996" s="9">
        <f>VLOOKUP(OPERAC[[#This Row],[especie]],[1]!ESPECIES[#Data],9,FALSE)</f>
        <v/>
      </c>
    </row>
    <row r="5997">
      <c r="A5997" s="4" t="n">
        <v>13246</v>
      </c>
      <c r="B5997" s="5" t="n">
        <v>44691</v>
      </c>
      <c r="C5997" s="13" t="inlineStr">
        <is>
          <t>CPR</t>
        </is>
      </c>
      <c r="D5997" s="13" t="n">
        <v>32</v>
      </c>
      <c r="E5997" s="10">
        <f>IF(D5997&gt;0,VLOOKUP(OPERAC[[#This Row],[COD CART]],[1]!MatrizCortoLargoCyl[#All],3,0),"")</f>
        <v/>
      </c>
      <c r="F5997" s="13" t="inlineStr">
        <is>
          <t>UPST</t>
        </is>
      </c>
      <c r="G5997" s="6" t="n">
        <v>100</v>
      </c>
      <c r="H5997" s="6" t="n">
        <v>-3321.11</v>
      </c>
      <c r="I5997" s="7">
        <f>-H5997/G5997</f>
        <v/>
      </c>
      <c r="J5997" s="11" t="n">
        <v>44701</v>
      </c>
      <c r="K5997" s="6" t="n">
        <v>100</v>
      </c>
      <c r="L5997" s="6" t="n">
        <v>4386.11</v>
      </c>
      <c r="M5997" s="7">
        <f>IF(N5997=0,+L5997+H5997,0)</f>
        <v/>
      </c>
      <c r="N5997" s="7">
        <f>IF((+G5997-K5997)=0,0,+G5997-K5997)</f>
        <v/>
      </c>
      <c r="O5997" s="7">
        <f>IF(N5997=0,0,(L5997+H5997)/-N5997)</f>
        <v/>
      </c>
      <c r="P5997" s="7">
        <f>VLOOKUP(OPERAC[[#This Row],[especie]],[1]!ESPECIES[#All],6,0)</f>
        <v/>
      </c>
      <c r="Q5997" s="7">
        <f>IF(N5997&lt;&gt;0,P5997*N5997,0)</f>
        <v/>
      </c>
      <c r="R5997" s="8">
        <f>IF(Q5997&lt;&gt;0,Q5997+H5997+L5997,0)</f>
        <v/>
      </c>
      <c r="S5997" s="9">
        <f>VLOOKUP(OPERAC[[#This Row],[especie]],[1]!ESPECIES[#Data],9,FALSE)</f>
        <v/>
      </c>
    </row>
    <row r="5998">
      <c r="A5998" s="4" t="n">
        <v>19932</v>
      </c>
      <c r="B5998" s="5" t="n">
        <v>44691</v>
      </c>
      <c r="C5998" s="13" t="inlineStr">
        <is>
          <t>CPR</t>
        </is>
      </c>
      <c r="D5998" s="13" t="n">
        <v>32</v>
      </c>
      <c r="E5998" s="10">
        <f>IF(D5998&gt;0,VLOOKUP(OPERAC[[#This Row],[COD CART]],[1]!MatrizCortoLargoCyl[#All],3,0),"")</f>
        <v/>
      </c>
      <c r="F5998" s="13" t="inlineStr">
        <is>
          <t>UPST</t>
        </is>
      </c>
      <c r="G5998" s="6" t="n">
        <v>100</v>
      </c>
      <c r="H5998" s="6" t="n">
        <v>-3321.11</v>
      </c>
      <c r="I5998" s="7">
        <f>-H5998/G5998</f>
        <v/>
      </c>
      <c r="J5998" s="11" t="n">
        <v>44701</v>
      </c>
      <c r="K5998" s="6" t="n">
        <v>100</v>
      </c>
      <c r="L5998" s="6" t="n">
        <v>4386.11</v>
      </c>
      <c r="M5998" s="7">
        <f>IF(N5998=0,+L5998+H5998,0)</f>
        <v/>
      </c>
      <c r="N5998" s="7">
        <f>IF((+G5998-K5998)=0,0,+G5998-K5998)</f>
        <v/>
      </c>
      <c r="O5998" s="7">
        <f>IF(N5998=0,0,(L5998+H5998)/-N5998)</f>
        <v/>
      </c>
      <c r="P5998" s="7">
        <f>VLOOKUP(OPERAC[[#This Row],[especie]],[1]!ESPECIES[#All],6,0)</f>
        <v/>
      </c>
      <c r="Q5998" s="7">
        <f>IF(N5998&lt;&gt;0,P5998*N5998,0)</f>
        <v/>
      </c>
      <c r="R5998" s="8">
        <f>IF(Q5998&lt;&gt;0,Q5998+H5998+L5998,0)</f>
        <v/>
      </c>
      <c r="S5998" s="9">
        <f>VLOOKUP(OPERAC[[#This Row],[especie]],[1]!ESPECIES[#Data],9,FALSE)</f>
        <v/>
      </c>
    </row>
    <row r="5999">
      <c r="A5999" s="4" t="n">
        <v>15189</v>
      </c>
      <c r="B5999" s="5" t="n">
        <v>44691</v>
      </c>
      <c r="C5999" s="13" t="inlineStr">
        <is>
          <t>CPR</t>
        </is>
      </c>
      <c r="D5999" s="13" t="n">
        <v>32</v>
      </c>
      <c r="E5999" s="10">
        <f>IF(D5999&gt;0,VLOOKUP(OPERAC[[#This Row],[COD CART]],[1]!MatrizCortoLargoCyl[#All],3,0),"")</f>
        <v/>
      </c>
      <c r="F5999" s="13" t="inlineStr">
        <is>
          <t>UPST</t>
        </is>
      </c>
      <c r="G5999" s="6" t="n">
        <v>100</v>
      </c>
      <c r="H5999" s="6" t="n">
        <v>-3321.11</v>
      </c>
      <c r="I5999" s="7">
        <f>-H5999/G5999</f>
        <v/>
      </c>
      <c r="J5999" s="11" t="n">
        <v>44701</v>
      </c>
      <c r="K5999" s="6" t="n">
        <v>100</v>
      </c>
      <c r="L5999" s="6" t="n">
        <v>4386.11</v>
      </c>
      <c r="M5999" s="7">
        <f>IF(N5999=0,+L5999+H5999,0)</f>
        <v/>
      </c>
      <c r="N5999" s="7">
        <f>IF((+G5999-K5999)=0,0,+G5999-K5999)</f>
        <v/>
      </c>
      <c r="O5999" s="7">
        <f>IF(N5999=0,0,(L5999+H5999)/-N5999)</f>
        <v/>
      </c>
      <c r="P5999" s="7">
        <f>VLOOKUP(OPERAC[[#This Row],[especie]],[1]!ESPECIES[#All],6,0)</f>
        <v/>
      </c>
      <c r="Q5999" s="7">
        <f>IF(N5999&lt;&gt;0,P5999*N5999,0)</f>
        <v/>
      </c>
      <c r="R5999" s="8">
        <f>IF(Q5999&lt;&gt;0,Q5999+H5999+L5999,0)</f>
        <v/>
      </c>
      <c r="S5999" s="9">
        <f>VLOOKUP(OPERAC[[#This Row],[especie]],[1]!ESPECIES[#Data],9,FALSE)</f>
        <v/>
      </c>
    </row>
    <row r="6000">
      <c r="A6000" s="4" t="n">
        <v>13180</v>
      </c>
      <c r="B6000" s="5" t="n">
        <v>44691</v>
      </c>
      <c r="C6000" s="13" t="inlineStr">
        <is>
          <t>CPR</t>
        </is>
      </c>
      <c r="D6000" s="13" t="n">
        <v>32</v>
      </c>
      <c r="E6000" s="10">
        <f>IF(D6000&gt;0,VLOOKUP(OPERAC[[#This Row],[COD CART]],[1]!MatrizCortoLargoCyl[#All],3,0),"")</f>
        <v/>
      </c>
      <c r="F6000" s="13" t="inlineStr">
        <is>
          <t>UPST</t>
        </is>
      </c>
      <c r="G6000" s="6" t="n">
        <v>100</v>
      </c>
      <c r="H6000" s="6" t="n">
        <v>-3321.11</v>
      </c>
      <c r="I6000" s="7">
        <f>-H6000/G6000</f>
        <v/>
      </c>
      <c r="J6000" s="11" t="n">
        <v>44701</v>
      </c>
      <c r="K6000" s="6" t="n">
        <v>100</v>
      </c>
      <c r="L6000" s="6" t="n">
        <v>4386.11</v>
      </c>
      <c r="M6000" s="7">
        <f>IF(N6000=0,+L6000+H6000,0)</f>
        <v/>
      </c>
      <c r="N6000" s="7">
        <f>IF((+G6000-K6000)=0,0,+G6000-K6000)</f>
        <v/>
      </c>
      <c r="O6000" s="7">
        <f>IF(N6000=0,0,(L6000+H6000)/-N6000)</f>
        <v/>
      </c>
      <c r="P6000" s="7">
        <f>VLOOKUP(OPERAC[[#This Row],[especie]],[1]!ESPECIES[#All],6,0)</f>
        <v/>
      </c>
      <c r="Q6000" s="7">
        <f>IF(N6000&lt;&gt;0,P6000*N6000,0)</f>
        <v/>
      </c>
      <c r="R6000" s="8">
        <f>IF(Q6000&lt;&gt;0,Q6000+H6000+L6000,0)</f>
        <v/>
      </c>
      <c r="S6000" s="9">
        <f>VLOOKUP(OPERAC[[#This Row],[especie]],[1]!ESPECIES[#Data],9,FALSE)</f>
        <v/>
      </c>
    </row>
    <row r="6001">
      <c r="A6001" s="4" t="n">
        <v>2218</v>
      </c>
      <c r="B6001" s="5" t="n">
        <v>44691</v>
      </c>
      <c r="C6001" s="13" t="inlineStr">
        <is>
          <t>CPR</t>
        </is>
      </c>
      <c r="D6001" s="13" t="n">
        <v>32</v>
      </c>
      <c r="E6001" s="10">
        <f>IF(D6001&gt;0,VLOOKUP(OPERAC[[#This Row],[COD CART]],[1]!MatrizCortoLargoCyl[#All],3,0),"")</f>
        <v/>
      </c>
      <c r="F6001" s="13" t="inlineStr">
        <is>
          <t>UPST/CYL/45,00/20-05-22</t>
        </is>
      </c>
      <c r="G6001" s="6" t="n">
        <v>100</v>
      </c>
      <c r="H6001" s="6" t="n">
        <v>-3321.11</v>
      </c>
      <c r="I6001" s="7">
        <f>-H6001/G6001</f>
        <v/>
      </c>
      <c r="J6001" s="11" t="n">
        <v>44698</v>
      </c>
      <c r="K6001" s="6" t="n">
        <v>100</v>
      </c>
      <c r="L6001" s="6" t="n">
        <v>3924.86</v>
      </c>
      <c r="M6001" s="7">
        <f>IF(N6001=0,+L6001+H6001,0)</f>
        <v/>
      </c>
      <c r="N6001" s="7">
        <f>IF((+G6001-K6001)=0,0,+G6001-K6001)</f>
        <v/>
      </c>
      <c r="O6001" s="7">
        <f>IF(N6001=0,0,(L6001+H6001)/-N6001)</f>
        <v/>
      </c>
      <c r="P6001" s="7">
        <f>VLOOKUP(OPERAC[[#This Row],[especie]],[1]!ESPECIES[#All],6,0)</f>
        <v/>
      </c>
      <c r="Q6001" s="7">
        <f>IF(N6001&lt;&gt;0,P6001*N6001,0)</f>
        <v/>
      </c>
      <c r="R6001" s="8">
        <f>IF(Q6001&lt;&gt;0,Q6001+H6001+L6001,0)</f>
        <v/>
      </c>
      <c r="S6001" s="9">
        <f>VLOOKUP(OPERAC[[#This Row],[especie]],[1]!ESPECIES[#Data],9,FALSE)</f>
        <v/>
      </c>
    </row>
    <row r="6002">
      <c r="A6002" s="4" t="n">
        <v>16783</v>
      </c>
      <c r="B6002" s="5" t="n">
        <v>44691</v>
      </c>
      <c r="C6002" s="13" t="inlineStr">
        <is>
          <t>CPR</t>
        </is>
      </c>
      <c r="D6002" s="13" t="n">
        <v>32</v>
      </c>
      <c r="E6002" s="10">
        <f>IF(D6002&gt;0,VLOOKUP(OPERAC[[#This Row],[COD CART]],[1]!MatrizCortoLargoCyl[#All],3,0),"")</f>
        <v/>
      </c>
      <c r="F6002" s="13" t="inlineStr">
        <is>
          <t>UPST</t>
        </is>
      </c>
      <c r="G6002" s="6" t="n">
        <v>100</v>
      </c>
      <c r="H6002" s="6" t="n">
        <v>-3321.11</v>
      </c>
      <c r="I6002" s="7">
        <f>-H6002/G6002</f>
        <v/>
      </c>
      <c r="J6002" s="11" t="n">
        <v>44701</v>
      </c>
      <c r="K6002" s="6" t="n">
        <v>100</v>
      </c>
      <c r="L6002" s="6" t="n">
        <v>4404.41</v>
      </c>
      <c r="M6002" s="7">
        <f>IF(N6002=0,+L6002+H6002,0)</f>
        <v/>
      </c>
      <c r="N6002" s="7">
        <f>IF((+G6002-K6002)=0,0,+G6002-K6002)</f>
        <v/>
      </c>
      <c r="O6002" s="7">
        <f>IF(N6002=0,0,(L6002+H6002)/-N6002)</f>
        <v/>
      </c>
      <c r="P6002" s="7">
        <f>VLOOKUP(OPERAC[[#This Row],[especie]],[1]!ESPECIES[#All],6,0)</f>
        <v/>
      </c>
      <c r="Q6002" s="7">
        <f>IF(N6002&lt;&gt;0,P6002*N6002,0)</f>
        <v/>
      </c>
      <c r="R6002" s="8">
        <f>IF(Q6002&lt;&gt;0,Q6002+H6002+L6002,0)</f>
        <v/>
      </c>
      <c r="S6002" s="9">
        <f>VLOOKUP(OPERAC[[#This Row],[especie]],[1]!ESPECIES[#Data],9,FALSE)</f>
        <v/>
      </c>
    </row>
    <row r="6003">
      <c r="A6003" s="4" t="n">
        <v>10079</v>
      </c>
      <c r="B6003" s="5" t="n">
        <v>44691</v>
      </c>
      <c r="C6003" s="13" t="inlineStr">
        <is>
          <t>CPR</t>
        </is>
      </c>
      <c r="D6003" s="13" t="n">
        <v>32</v>
      </c>
      <c r="E6003" s="10">
        <f>IF(D6003&gt;0,VLOOKUP(OPERAC[[#This Row],[COD CART]],[1]!MatrizCortoLargoCyl[#All],3,0),"")</f>
        <v/>
      </c>
      <c r="F6003" s="13" t="inlineStr">
        <is>
          <t>UPST</t>
        </is>
      </c>
      <c r="G6003" s="6" t="n">
        <v>100</v>
      </c>
      <c r="H6003" s="6" t="n">
        <v>-3321.11</v>
      </c>
      <c r="I6003" s="7">
        <f>-H6003/G6003</f>
        <v/>
      </c>
      <c r="J6003" s="11" t="n">
        <v>44701</v>
      </c>
      <c r="K6003" s="6" t="n">
        <v>100</v>
      </c>
      <c r="L6003" s="6" t="n">
        <v>4386.11</v>
      </c>
      <c r="M6003" s="7">
        <f>IF(N6003=0,+L6003+H6003,0)</f>
        <v/>
      </c>
      <c r="N6003" s="7">
        <f>IF((+G6003-K6003)=0,0,+G6003-K6003)</f>
        <v/>
      </c>
      <c r="O6003" s="7">
        <f>IF(N6003=0,0,(L6003+H6003)/-N6003)</f>
        <v/>
      </c>
      <c r="P6003" s="7">
        <f>VLOOKUP(OPERAC[[#This Row],[especie]],[1]!ESPECIES[#All],6,0)</f>
        <v/>
      </c>
      <c r="Q6003" s="7">
        <f>IF(N6003&lt;&gt;0,P6003*N6003,0)</f>
        <v/>
      </c>
      <c r="R6003" s="8">
        <f>IF(Q6003&lt;&gt;0,Q6003+H6003+L6003,0)</f>
        <v/>
      </c>
      <c r="S6003" s="9">
        <f>VLOOKUP(OPERAC[[#This Row],[especie]],[1]!ESPECIES[#Data],9,FALSE)</f>
        <v/>
      </c>
    </row>
    <row r="6004">
      <c r="A6004" s="4" t="n">
        <v>19878</v>
      </c>
      <c r="B6004" s="5" t="n">
        <v>44691</v>
      </c>
      <c r="C6004" s="13" t="inlineStr">
        <is>
          <t>CPR</t>
        </is>
      </c>
      <c r="D6004" s="13" t="n">
        <v>32</v>
      </c>
      <c r="E6004" s="10">
        <f>IF(D6004&gt;0,VLOOKUP(OPERAC[[#This Row],[COD CART]],[1]!MatrizCortoLargoCyl[#All],3,0),"")</f>
        <v/>
      </c>
      <c r="F6004" s="13" t="inlineStr">
        <is>
          <t>UPST</t>
        </is>
      </c>
      <c r="G6004" s="6" t="n">
        <v>100</v>
      </c>
      <c r="H6004" s="6" t="n">
        <v>-3321.11</v>
      </c>
      <c r="I6004" s="7">
        <f>-H6004/G6004</f>
        <v/>
      </c>
      <c r="J6004" s="11" t="n">
        <v>44701</v>
      </c>
      <c r="K6004" s="6" t="n">
        <v>100</v>
      </c>
      <c r="L6004" s="6" t="n">
        <v>4386.11</v>
      </c>
      <c r="M6004" s="7">
        <f>IF(N6004=0,+L6004+H6004,0)</f>
        <v/>
      </c>
      <c r="N6004" s="7">
        <f>IF((+G6004-K6004)=0,0,+G6004-K6004)</f>
        <v/>
      </c>
      <c r="O6004" s="7">
        <f>IF(N6004=0,0,(L6004+H6004)/-N6004)</f>
        <v/>
      </c>
      <c r="P6004" s="7">
        <f>VLOOKUP(OPERAC[[#This Row],[especie]],[1]!ESPECIES[#All],6,0)</f>
        <v/>
      </c>
      <c r="Q6004" s="7">
        <f>IF(N6004&lt;&gt;0,P6004*N6004,0)</f>
        <v/>
      </c>
      <c r="R6004" s="8">
        <f>IF(Q6004&lt;&gt;0,Q6004+H6004+L6004,0)</f>
        <v/>
      </c>
      <c r="S6004" s="9">
        <f>VLOOKUP(OPERAC[[#This Row],[especie]],[1]!ESPECIES[#Data],9,FALSE)</f>
        <v/>
      </c>
    </row>
    <row r="6005">
      <c r="A6005" s="4" t="n">
        <v>18651</v>
      </c>
      <c r="B6005" s="5" t="n">
        <v>44691</v>
      </c>
      <c r="C6005" s="13" t="inlineStr">
        <is>
          <t>CPR</t>
        </is>
      </c>
      <c r="D6005" s="13" t="n">
        <v>32</v>
      </c>
      <c r="E6005" s="10">
        <f>IF(D6005&gt;0,VLOOKUP(OPERAC[[#This Row],[COD CART]],[1]!MatrizCortoLargoCyl[#All],3,0),"")</f>
        <v/>
      </c>
      <c r="F6005" s="13" t="inlineStr">
        <is>
          <t>UPST</t>
        </is>
      </c>
      <c r="G6005" s="6" t="n">
        <v>100</v>
      </c>
      <c r="H6005" s="6" t="n">
        <v>-3321.11</v>
      </c>
      <c r="I6005" s="7">
        <f>-H6005/G6005</f>
        <v/>
      </c>
      <c r="J6005" s="11" t="n">
        <v>44701</v>
      </c>
      <c r="K6005" s="6" t="n">
        <v>100</v>
      </c>
      <c r="L6005" s="6" t="n">
        <v>4386.11</v>
      </c>
      <c r="M6005" s="7">
        <f>IF(N6005=0,+L6005+H6005,0)</f>
        <v/>
      </c>
      <c r="N6005" s="7">
        <f>IF((+G6005-K6005)=0,0,+G6005-K6005)</f>
        <v/>
      </c>
      <c r="O6005" s="7">
        <f>IF(N6005=0,0,(L6005+H6005)/-N6005)</f>
        <v/>
      </c>
      <c r="P6005" s="7">
        <f>VLOOKUP(OPERAC[[#This Row],[especie]],[1]!ESPECIES[#All],6,0)</f>
        <v/>
      </c>
      <c r="Q6005" s="7">
        <f>IF(N6005&lt;&gt;0,P6005*N6005,0)</f>
        <v/>
      </c>
      <c r="R6005" s="8">
        <f>IF(Q6005&lt;&gt;0,Q6005+H6005+L6005,0)</f>
        <v/>
      </c>
      <c r="S6005" s="9">
        <f>VLOOKUP(OPERAC[[#This Row],[especie]],[1]!ESPECIES[#Data],9,FALSE)</f>
        <v/>
      </c>
    </row>
    <row r="6006">
      <c r="A6006" s="4" t="n">
        <v>19920</v>
      </c>
      <c r="B6006" s="5" t="n">
        <v>44649</v>
      </c>
      <c r="C6006" s="13" t="inlineStr">
        <is>
          <t>CPR</t>
        </is>
      </c>
      <c r="D6006" s="13" t="n">
        <v>32</v>
      </c>
      <c r="E6006" s="10">
        <f>IF(D6006&gt;0,VLOOKUP(OPERAC[[#This Row],[COD CART]],[1]!MatrizCortoLargoCyl[#All],3,0),"")</f>
        <v/>
      </c>
      <c r="F6006" s="13" t="inlineStr">
        <is>
          <t>EDIT/CYL/17,50/20-05-22</t>
        </is>
      </c>
      <c r="G6006" s="6" t="n">
        <v>200</v>
      </c>
      <c r="H6006" s="6" t="n">
        <v>-3323.804</v>
      </c>
      <c r="I6006" s="7">
        <f>-H6006/G6006</f>
        <v/>
      </c>
      <c r="J6006" s="11" t="n">
        <v>44692</v>
      </c>
      <c r="K6006" s="6" t="n">
        <v>200</v>
      </c>
      <c r="L6006" s="6" t="n">
        <v>2149.572</v>
      </c>
      <c r="M6006" s="7">
        <f>IF(N6006=0,+L6006+H6006,0)</f>
        <v/>
      </c>
      <c r="N6006" s="7">
        <f>IF((+G6006-K6006)=0,0,+G6006-K6006)</f>
        <v/>
      </c>
      <c r="O6006" s="7">
        <f>IF(N6006=0,0,(L6006+H6006)/-N6006)</f>
        <v/>
      </c>
      <c r="P6006" s="7">
        <f>VLOOKUP(OPERAC[[#This Row],[especie]],[1]!ESPECIES[#All],6,0)</f>
        <v/>
      </c>
      <c r="Q6006" s="7">
        <f>IF(N6006&lt;&gt;0,P6006*N6006,0)</f>
        <v/>
      </c>
      <c r="R6006" s="8">
        <f>IF(Q6006&lt;&gt;0,Q6006+H6006+L6006,0)</f>
        <v/>
      </c>
      <c r="S6006" s="9">
        <f>VLOOKUP(OPERAC[[#This Row],[especie]],[1]!ESPECIES[#Data],9,FALSE)</f>
        <v/>
      </c>
    </row>
    <row r="6007">
      <c r="A6007" s="4" t="n">
        <v>12690</v>
      </c>
      <c r="B6007" s="5" t="n">
        <v>44641</v>
      </c>
      <c r="C6007" s="13" t="inlineStr">
        <is>
          <t>CPR</t>
        </is>
      </c>
      <c r="D6007" s="13" t="n">
        <v>32</v>
      </c>
      <c r="E6007" s="10">
        <f>IF(D6007&gt;0,VLOOKUP(OPERAC[[#This Row],[COD CART]],[1]!MatrizCortoLargoCyl[#All],3,0),"")</f>
        <v/>
      </c>
      <c r="F6007" s="13" t="inlineStr">
        <is>
          <t>HMY</t>
        </is>
      </c>
      <c r="G6007" s="6" t="n">
        <v>700</v>
      </c>
      <c r="H6007" s="6" t="n">
        <v>-3331.3273</v>
      </c>
      <c r="I6007" s="7">
        <f>-H6007/G6007</f>
        <v/>
      </c>
      <c r="J6007" s="11" t="n">
        <v>44669</v>
      </c>
      <c r="K6007" s="6">
        <f>+OPERAC[[#This Row],[cantidad]]</f>
        <v/>
      </c>
      <c r="L6007" s="6">
        <f>4.925*OPERAC[[#This Row],[cantidad venta]]</f>
        <v/>
      </c>
      <c r="M6007" s="7">
        <f>IF(N6007=0,+L6007+H6007,0)</f>
        <v/>
      </c>
      <c r="N6007" s="7">
        <f>IF((+G6007-K6007)=0,0,+G6007-K6007)</f>
        <v/>
      </c>
      <c r="O6007" s="7">
        <f>IF(N6007=0,0,(L6007+H6007)/-N6007)</f>
        <v/>
      </c>
      <c r="P6007" s="7">
        <f>VLOOKUP(OPERAC[[#This Row],[especie]],[1]!ESPECIES[#All],6,0)</f>
        <v/>
      </c>
      <c r="Q6007" s="7">
        <f>IF(N6007&lt;&gt;0,P6007*N6007,0)</f>
        <v/>
      </c>
      <c r="R6007" s="8">
        <f>IF(Q6007&lt;&gt;0,Q6007+H6007+L6007,0)</f>
        <v/>
      </c>
      <c r="S6007" s="9">
        <f>VLOOKUP(OPERAC[[#This Row],[especie]],[1]!ESPECIES[#Data],9,FALSE)</f>
        <v/>
      </c>
    </row>
    <row r="6008">
      <c r="A6008" s="4" t="n">
        <v>15194</v>
      </c>
      <c r="B6008" s="5" t="n">
        <v>44651</v>
      </c>
      <c r="C6008" s="13" t="inlineStr">
        <is>
          <t>CPR</t>
        </is>
      </c>
      <c r="D6008" s="13" t="n">
        <v>32</v>
      </c>
      <c r="E6008" s="10">
        <f>IF(D6008&gt;0,VLOOKUP(OPERAC[[#This Row],[COD CART]],[1]!MatrizCortoLargoCyl[#All],3,0),"")</f>
        <v/>
      </c>
      <c r="F6008" s="13" t="inlineStr">
        <is>
          <t>F</t>
        </is>
      </c>
      <c r="G6008" s="6" t="n">
        <v>200</v>
      </c>
      <c r="H6008" s="6" t="n">
        <v>-3331.792</v>
      </c>
      <c r="I6008" s="7">
        <f>-H6008/G6008</f>
        <v/>
      </c>
      <c r="J6008" s="11" t="n">
        <v>44677</v>
      </c>
      <c r="K6008" s="6">
        <f>100+100</f>
        <v/>
      </c>
      <c r="L6008" s="6">
        <f>1490.72+1241.506</f>
        <v/>
      </c>
      <c r="M6008" s="7">
        <f>IF(N6008=0,+L6008+H6008,0)</f>
        <v/>
      </c>
      <c r="N6008" s="7">
        <f>IF((+G6008-K6008)=0,0,+G6008-K6008)</f>
        <v/>
      </c>
      <c r="O6008" s="7">
        <f>IF(N6008=0,0,(L6008+H6008)/-N6008)</f>
        <v/>
      </c>
      <c r="P6008" s="7">
        <f>VLOOKUP(OPERAC[[#This Row],[especie]],[1]!ESPECIES[#All],6,0)</f>
        <v/>
      </c>
      <c r="Q6008" s="7">
        <f>IF(N6008&lt;&gt;0,P6008*N6008,0)</f>
        <v/>
      </c>
      <c r="R6008" s="8">
        <f>IF(Q6008&lt;&gt;0,Q6008+H6008+L6008,0)</f>
        <v/>
      </c>
      <c r="S6008" s="9">
        <f>VLOOKUP(OPERAC[[#This Row],[especie]],[1]!ESPECIES[#Data],9,FALSE)</f>
        <v/>
      </c>
    </row>
    <row r="6009">
      <c r="A6009" s="4" t="n">
        <v>16783</v>
      </c>
      <c r="B6009" s="5" t="n">
        <v>44501</v>
      </c>
      <c r="C6009" s="13" t="inlineStr">
        <is>
          <t>CPR</t>
        </is>
      </c>
      <c r="D6009" s="13" t="n">
        <v>40</v>
      </c>
      <c r="E6009" s="10">
        <f>IF(D6009&gt;0,VLOOKUP(OPERAC[[#This Row],[COD CART]],[1]!MatrizCortoLargoCyl[#All],3,0),"")</f>
        <v/>
      </c>
      <c r="F6009" s="13" t="inlineStr">
        <is>
          <t>SOLO</t>
        </is>
      </c>
      <c r="G6009" s="6" t="n">
        <v>1000</v>
      </c>
      <c r="H6009" s="6" t="n">
        <v>-3333.924</v>
      </c>
      <c r="I6009" s="7">
        <f>-H6009/G6009</f>
        <v/>
      </c>
      <c r="J6009" s="11" t="n">
        <v>44678</v>
      </c>
      <c r="K6009" s="6" t="n">
        <v>1000</v>
      </c>
      <c r="L6009" s="6" t="n">
        <v>1729.197</v>
      </c>
      <c r="M6009" s="7">
        <f>IF(N6009=0,+L6009+H6009,0)</f>
        <v/>
      </c>
      <c r="N6009" s="7">
        <f>IF((+G6009-K6009)=0,0,+G6009-K6009)</f>
        <v/>
      </c>
      <c r="O6009" s="7">
        <f>IF(N6009=0,0,(L6009+H6009)/-N6009)</f>
        <v/>
      </c>
      <c r="P6009" s="7">
        <f>VLOOKUP(OPERAC[[#This Row],[especie]],[1]!ESPECIES[#All],6,0)</f>
        <v/>
      </c>
      <c r="Q6009" s="7">
        <f>IF(N6009&lt;&gt;0,P6009*N6009,0)</f>
        <v/>
      </c>
      <c r="R6009" s="8">
        <f>IF(Q6009&lt;&gt;0,Q6009+H6009+L6009,0)</f>
        <v/>
      </c>
      <c r="S6009" s="9">
        <f>VLOOKUP(OPERAC[[#This Row],[especie]],[1]!ESPECIES[#Data],9,FALSE)</f>
        <v/>
      </c>
    </row>
    <row r="6010">
      <c r="A6010" s="4" t="n">
        <v>22393</v>
      </c>
      <c r="B6010" s="5" t="n">
        <v>44237</v>
      </c>
      <c r="C6010" s="13" t="inlineStr">
        <is>
          <t>CPR</t>
        </is>
      </c>
      <c r="D6010" s="13" t="n">
        <v>40</v>
      </c>
      <c r="E6010" s="10">
        <f>IF(D6010&gt;0,VLOOKUP(OPERAC[[#This Row],[COD CART]],[1]!MatrizCortoLargoCyl[#All],3,0),"")</f>
        <v/>
      </c>
      <c r="F6010" s="13" t="inlineStr">
        <is>
          <t>DDD</t>
        </is>
      </c>
      <c r="G6010" s="6" t="n">
        <v>100</v>
      </c>
      <c r="H6010" s="6">
        <f>-4028.52+269.54+406.72</f>
        <v/>
      </c>
      <c r="I6010" s="7">
        <f>-H6010/G6010</f>
        <v/>
      </c>
      <c r="J6010" s="11" t="n">
        <v>44634</v>
      </c>
      <c r="K6010" s="6" t="n">
        <v>100</v>
      </c>
      <c r="L6010" s="6" t="n">
        <v>1422.996</v>
      </c>
      <c r="M6010" s="7">
        <f>IF(N6010=0,+L6010+H6010,0)</f>
        <v/>
      </c>
      <c r="N6010" s="7">
        <f>IF((+G6010-K6010)=0,0,+G6010-K6010)</f>
        <v/>
      </c>
      <c r="O6010" s="7">
        <f>IF(N6010=0,0,(L6010+H6010)/-N6010)</f>
        <v/>
      </c>
      <c r="P6010" s="7">
        <f>VLOOKUP(OPERAC[[#This Row],[especie]],[1]!ESPECIES[#All],6,0)</f>
        <v/>
      </c>
      <c r="Q6010" s="7">
        <f>IF(N6010&lt;&gt;0,P6010*N6010,0)</f>
        <v/>
      </c>
      <c r="R6010" s="8">
        <f>IF(Q6010&lt;&gt;0,Q6010+H6010+L6010,0)</f>
        <v/>
      </c>
      <c r="S6010" s="9">
        <f>VLOOKUP(OPERAC[[#This Row],[especie]],[1]!ESPECIES[#Data],9,FALSE)</f>
        <v/>
      </c>
    </row>
    <row r="6011">
      <c r="A6011" s="4" t="n">
        <v>2218</v>
      </c>
      <c r="B6011" s="5" t="n">
        <v>44691</v>
      </c>
      <c r="C6011" s="13" t="inlineStr">
        <is>
          <t>CPR</t>
        </is>
      </c>
      <c r="D6011" s="13" t="n">
        <v>32</v>
      </c>
      <c r="E6011" s="10">
        <f>IF(D6011&gt;0,VLOOKUP(OPERAC[[#This Row],[COD CART]],[1]!MatrizCortoLargoCyl[#All],3,0),"")</f>
        <v/>
      </c>
      <c r="F6011" s="13" t="inlineStr">
        <is>
          <t>UPST</t>
        </is>
      </c>
      <c r="G6011" s="6" t="n">
        <v>100</v>
      </c>
      <c r="H6011" s="6">
        <f>-3517.956+137.862</f>
        <v/>
      </c>
      <c r="I6011" s="7">
        <f>-H6011/G6011</f>
        <v/>
      </c>
      <c r="J6011" s="11" t="n">
        <v>44701</v>
      </c>
      <c r="K6011" s="6" t="n">
        <v>100</v>
      </c>
      <c r="L6011" s="6" t="n">
        <v>4420.425</v>
      </c>
      <c r="M6011" s="7">
        <f>IF(N6011=0,+L6011+H6011,0)</f>
        <v/>
      </c>
      <c r="N6011" s="7">
        <f>IF((+G6011-K6011)=0,0,+G6011-K6011)</f>
        <v/>
      </c>
      <c r="O6011" s="7">
        <f>IF(N6011=0,0,(L6011+H6011)/-N6011)</f>
        <v/>
      </c>
      <c r="P6011" s="7">
        <f>VLOOKUP(OPERAC[[#This Row],[especie]],[1]!ESPECIES[#All],6,0)</f>
        <v/>
      </c>
      <c r="Q6011" s="7">
        <f>IF(N6011&lt;&gt;0,P6011*N6011,0)</f>
        <v/>
      </c>
      <c r="R6011" s="8">
        <f>IF(Q6011&lt;&gt;0,Q6011+H6011+L6011,0)</f>
        <v/>
      </c>
      <c r="S6011" s="9">
        <f>VLOOKUP(OPERAC[[#This Row],[especie]],[1]!ESPECIES[#Data],9,FALSE)</f>
        <v/>
      </c>
    </row>
    <row r="6012">
      <c r="A6012" s="4" t="n">
        <v>10079</v>
      </c>
      <c r="B6012" s="5" t="n">
        <v>44536</v>
      </c>
      <c r="C6012" s="13" t="inlineStr">
        <is>
          <t>CPR</t>
        </is>
      </c>
      <c r="D6012" s="13" t="n">
        <v>43</v>
      </c>
      <c r="E6012" s="10">
        <f>IF(D6012&gt;0,VLOOKUP(OPERAC[[#This Row],[COD CART]],[1]!MatrizCortoLargoCyl[#All],3,0),"")</f>
        <v/>
      </c>
      <c r="F6012" s="13" t="inlineStr">
        <is>
          <t>XSPA/CYL-PUT/1,50/20-01-23</t>
        </is>
      </c>
      <c r="G6012" s="6" t="n">
        <v>7600</v>
      </c>
      <c r="H6012" s="6">
        <f>-0.4462*OPERAC[[#This Row],[cantidad]]</f>
        <v/>
      </c>
      <c r="I6012" s="7">
        <f>-H6012/G6012</f>
        <v/>
      </c>
      <c r="J6012" s="11" t="n"/>
      <c r="K6012" s="6" t="n"/>
      <c r="L6012" s="6" t="n"/>
      <c r="M6012" s="7">
        <f>IF(N6012=0,+L6012+H6012,0)</f>
        <v/>
      </c>
      <c r="N6012" s="7">
        <f>IF((+G6012-K6012)=0,0,+G6012-K6012)</f>
        <v/>
      </c>
      <c r="O6012" s="7">
        <f>IF(N6012=0,0,(L6012+H6012)/-N6012)</f>
        <v/>
      </c>
      <c r="P6012" s="7">
        <f>VLOOKUP(OPERAC[[#This Row],[especie]],[1]!ESPECIES[#All],6,0)</f>
        <v/>
      </c>
      <c r="Q6012" s="7">
        <f>IF(N6012&lt;&gt;0,P6012*N6012,0)</f>
        <v/>
      </c>
      <c r="R6012" s="8">
        <f>IF(Q6012&lt;&gt;0,Q6012+H6012+L6012,0)</f>
        <v/>
      </c>
      <c r="S6012" s="9">
        <f>VLOOKUP(OPERAC[[#This Row],[especie]],[1]!ESPECIES[#Data],9,FALSE)</f>
        <v/>
      </c>
    </row>
    <row r="6013">
      <c r="A6013" s="4" t="n">
        <v>12690</v>
      </c>
      <c r="B6013" s="5" t="n">
        <v>44715</v>
      </c>
      <c r="C6013" s="13" t="inlineStr">
        <is>
          <t>CPR</t>
        </is>
      </c>
      <c r="D6013" s="13" t="n">
        <v>32</v>
      </c>
      <c r="E6013" s="10">
        <f>IF(D6013&gt;0,VLOOKUP(OPERAC[[#This Row],[COD CART]],[1]!MatrizCortoLargoCyl[#All],3,0),"")</f>
        <v/>
      </c>
      <c r="F6013" s="13" t="inlineStr">
        <is>
          <t>SPWR/CYL/17,50/17-06-22</t>
        </is>
      </c>
      <c r="G6013" s="6" t="n">
        <v>200</v>
      </c>
      <c r="H6013" s="6" t="n">
        <v>-3402.072</v>
      </c>
      <c r="I6013" s="7">
        <f>-H6013/G6013</f>
        <v/>
      </c>
      <c r="J6013" s="5" t="n"/>
      <c r="K6013" s="6" t="n"/>
      <c r="L6013" s="6" t="n"/>
      <c r="M6013" s="7">
        <f>IF(N6013=0,+L6013+H6013,0)</f>
        <v/>
      </c>
      <c r="N6013" s="7">
        <f>IF((+G6013-K6013)=0,0,+G6013-K6013)</f>
        <v/>
      </c>
      <c r="O6013" s="7">
        <f>IF(N6013=0,0,(L6013+H6013)/-N6013)</f>
        <v/>
      </c>
      <c r="P6013" s="7">
        <f>VLOOKUP(OPERAC[[#This Row],[especie]],[1]!ESPECIES[#All],6,0)</f>
        <v/>
      </c>
      <c r="Q6013" s="7">
        <f>IF(N6013&lt;&gt;0,P6013*N6013,0)</f>
        <v/>
      </c>
      <c r="R6013" s="8">
        <f>IF(Q6013&lt;&gt;0,Q6013+H6013+L6013,0)</f>
        <v/>
      </c>
      <c r="S6013" s="9">
        <f>VLOOKUP(OPERAC[[#This Row],[especie]],[1]!ESPECIES[#Data],9,FALSE)</f>
        <v/>
      </c>
    </row>
    <row r="6014">
      <c r="A6014" s="4" t="n">
        <v>16783</v>
      </c>
      <c r="B6014" s="5" t="n">
        <v>44609</v>
      </c>
      <c r="C6014" s="13" t="inlineStr">
        <is>
          <t>CPR</t>
        </is>
      </c>
      <c r="D6014" s="13" t="n">
        <v>32</v>
      </c>
      <c r="E6014" s="10">
        <f>IF(D6014&gt;0,VLOOKUP(OPERAC[[#This Row],[COD CART]],[1]!MatrizCortoLargoCyl[#All],3,0),"")</f>
        <v/>
      </c>
      <c r="F6014" s="13" t="inlineStr">
        <is>
          <t>F</t>
        </is>
      </c>
      <c r="G6014" s="6" t="n">
        <v>200</v>
      </c>
      <c r="H6014" s="6" t="n">
        <v>-3415.7176</v>
      </c>
      <c r="I6014" s="7">
        <f>-H6014/G6014</f>
        <v/>
      </c>
      <c r="J6014" s="11" t="n">
        <v>44642</v>
      </c>
      <c r="K6014" s="6" t="n">
        <v>200</v>
      </c>
      <c r="L6014" s="6" t="n">
        <v>3365.436</v>
      </c>
      <c r="M6014" s="7">
        <f>IF(N6014=0,+L6014+H6014,0)</f>
        <v/>
      </c>
      <c r="N6014" s="7">
        <f>IF((+G6014-K6014)=0,0,+G6014-K6014)</f>
        <v/>
      </c>
      <c r="O6014" s="7">
        <f>IF(N6014=0,0,(L6014+H6014)/-N6014)</f>
        <v/>
      </c>
      <c r="P6014" s="7">
        <f>VLOOKUP(OPERAC[[#This Row],[especie]],[1]!ESPECIES[#All],6,0)</f>
        <v/>
      </c>
      <c r="Q6014" s="7">
        <f>IF(N6014&lt;&gt;0,P6014*N6014,0)</f>
        <v/>
      </c>
      <c r="R6014" s="8">
        <f>IF(Q6014&lt;&gt;0,Q6014+H6014+L6014,0)</f>
        <v/>
      </c>
      <c r="S6014" s="9">
        <f>VLOOKUP(OPERAC[[#This Row],[especie]],[1]!ESPECIES[#Data],9,FALSE)</f>
        <v/>
      </c>
    </row>
    <row r="6015">
      <c r="A6015" s="4" t="n">
        <v>13180</v>
      </c>
      <c r="B6015" s="5" t="n">
        <v>44651</v>
      </c>
      <c r="C6015" s="13" t="inlineStr">
        <is>
          <t>CPR</t>
        </is>
      </c>
      <c r="D6015" s="13" t="n">
        <v>42</v>
      </c>
      <c r="E6015" s="10">
        <f>IF(D6015&gt;0,VLOOKUP(OPERAC[[#This Row],[COD CART]],[1]!MatrizCortoLargoCyl[#All],3,0),"")</f>
        <v/>
      </c>
      <c r="F6015" s="13" t="inlineStr">
        <is>
          <t>AMD</t>
        </is>
      </c>
      <c r="G6015" s="6" t="n">
        <v>30</v>
      </c>
      <c r="H6015" s="6" t="n">
        <v>-3416.9676</v>
      </c>
      <c r="I6015" s="7">
        <f>-H6015/G6015</f>
        <v/>
      </c>
      <c r="J6015" s="11" t="n">
        <v>44669</v>
      </c>
      <c r="K6015" s="6" t="n">
        <v>30</v>
      </c>
      <c r="L6015" s="6">
        <f>+OPERAC[[#This Row],[cantidad venta]]*92.408</f>
        <v/>
      </c>
      <c r="M6015" s="7">
        <f>IF(N6015=0,+L6015+H6015,0)</f>
        <v/>
      </c>
      <c r="N6015" s="7">
        <f>IF((+G6015-K6015)=0,0,+G6015-K6015)</f>
        <v/>
      </c>
      <c r="O6015" s="7">
        <f>IF(N6015=0,0,(L6015+H6015)/-N6015)</f>
        <v/>
      </c>
      <c r="P6015" s="7">
        <f>VLOOKUP(OPERAC[[#This Row],[especie]],[1]!ESPECIES[#All],6,0)</f>
        <v/>
      </c>
      <c r="Q6015" s="7">
        <f>IF(N6015&lt;&gt;0,P6015*N6015,0)</f>
        <v/>
      </c>
      <c r="R6015" s="8">
        <f>IF(Q6015&lt;&gt;0,Q6015+H6015+L6015,0)</f>
        <v/>
      </c>
      <c r="S6015" s="9">
        <f>VLOOKUP(OPERAC[[#This Row],[especie]],[1]!ESPECIES[#Data],9,FALSE)</f>
        <v/>
      </c>
    </row>
    <row r="6016">
      <c r="A6016" s="4" t="n">
        <v>3728</v>
      </c>
      <c r="B6016" s="5" t="n">
        <v>44663</v>
      </c>
      <c r="C6016" s="13" t="inlineStr">
        <is>
          <t>CPR</t>
        </is>
      </c>
      <c r="D6016" s="13" t="n">
        <v>32</v>
      </c>
      <c r="E6016" s="10">
        <f>IF(D6016&gt;0,VLOOKUP(OPERAC[[#This Row],[COD CART]],[1]!MatrizCortoLargoCyl[#All],3,0),"")</f>
        <v/>
      </c>
      <c r="F6016" s="13" t="inlineStr">
        <is>
          <t>PCT/CYL/7,50/20-05-22</t>
        </is>
      </c>
      <c r="G6016" s="6" t="n">
        <v>500</v>
      </c>
      <c r="H6016" s="6" t="n">
        <v>-3422.269</v>
      </c>
      <c r="I6016" s="7">
        <f>-H6016/G6016</f>
        <v/>
      </c>
      <c r="J6016" s="11" t="n">
        <v>44698</v>
      </c>
      <c r="K6016" s="6">
        <f>+OPERAC[[#This Row],[cantidad]]</f>
        <v/>
      </c>
      <c r="L6016" s="6">
        <f>7.3616*OPERAC[[#This Row],[cantidad venta]]</f>
        <v/>
      </c>
      <c r="M6016" s="7">
        <f>IF(N6016=0,+L6016+H6016,0)</f>
        <v/>
      </c>
      <c r="N6016" s="7">
        <f>IF((+G6016-K6016)=0,0,+G6016-K6016)</f>
        <v/>
      </c>
      <c r="O6016" s="7">
        <f>IF(N6016=0,0,(L6016+H6016)/-N6016)</f>
        <v/>
      </c>
      <c r="P6016" s="7">
        <f>VLOOKUP(OPERAC[[#This Row],[especie]],[1]!ESPECIES[#All],6,0)</f>
        <v/>
      </c>
      <c r="Q6016" s="7">
        <f>IF(N6016&lt;&gt;0,P6016*N6016,0)</f>
        <v/>
      </c>
      <c r="R6016" s="8">
        <f>IF(Q6016&lt;&gt;0,Q6016+H6016+L6016,0)</f>
        <v/>
      </c>
      <c r="S6016" s="9">
        <f>VLOOKUP(OPERAC[[#This Row],[especie]],[1]!ESPECIES[#Data],9,FALSE)</f>
        <v/>
      </c>
    </row>
    <row r="6017">
      <c r="A6017" s="4" t="n">
        <v>15195</v>
      </c>
      <c r="B6017" s="5" t="n">
        <v>44704</v>
      </c>
      <c r="C6017" s="13" t="inlineStr">
        <is>
          <t>CPR</t>
        </is>
      </c>
      <c r="D6017" s="13" t="n">
        <v>43</v>
      </c>
      <c r="E6017" s="10">
        <f>IF(D6017&gt;0,VLOOKUP(OPERAC[[#This Row],[COD CART]],[1]!MatrizCortoLargoCyl[#All],3,0),"")</f>
        <v/>
      </c>
      <c r="F6017" s="13" t="inlineStr">
        <is>
          <t>PCT/CYP/7,50-6,00/20-01-23</t>
        </is>
      </c>
      <c r="G6017" s="6" t="n">
        <v>700</v>
      </c>
      <c r="H6017" s="6" t="n">
        <v>-3425.69</v>
      </c>
      <c r="I6017" s="7">
        <f>-H6017/G6017</f>
        <v/>
      </c>
      <c r="J6017" s="5" t="n"/>
      <c r="K6017" s="6" t="n"/>
      <c r="L6017" s="6" t="n"/>
      <c r="M6017" s="7">
        <f>IF(N6017=0,+L6017+H6017,0)</f>
        <v/>
      </c>
      <c r="N6017" s="7">
        <f>IF((+G6017-K6017)=0,0,+G6017-K6017)</f>
        <v/>
      </c>
      <c r="O6017" s="7">
        <f>IF(N6017=0,0,(L6017+H6017)/-N6017)</f>
        <v/>
      </c>
      <c r="P6017" s="7">
        <f>VLOOKUP(OPERAC[[#This Row],[especie]],[1]!ESPECIES[#All],6,0)</f>
        <v/>
      </c>
      <c r="Q6017" s="7">
        <f>IF(N6017&lt;&gt;0,P6017*N6017,0)</f>
        <v/>
      </c>
      <c r="R6017" s="8">
        <f>IF(Q6017&lt;&gt;0,Q6017+H6017+L6017,0)</f>
        <v/>
      </c>
      <c r="S6017" s="9">
        <f>VLOOKUP(OPERAC[[#This Row],[especie]],[1]!ESPECIES[#Data],9,FALSE)</f>
        <v/>
      </c>
    </row>
    <row r="6018">
      <c r="A6018" s="4" t="n">
        <v>1760</v>
      </c>
      <c r="B6018" s="5" t="n">
        <v>44609</v>
      </c>
      <c r="C6018" s="13" t="inlineStr">
        <is>
          <t>CPR</t>
        </is>
      </c>
      <c r="D6018" s="13" t="n">
        <v>32</v>
      </c>
      <c r="E6018" s="10">
        <f>IF(D6018&gt;0,VLOOKUP(OPERAC[[#This Row],[COD CART]],[1]!MatrizCortoLargoCyl[#All],3,0),"")</f>
        <v/>
      </c>
      <c r="F6018" s="13" t="inlineStr">
        <is>
          <t>F</t>
        </is>
      </c>
      <c r="G6018" s="6" t="n">
        <v>200</v>
      </c>
      <c r="H6018" s="6" t="n">
        <v>-3430.5552</v>
      </c>
      <c r="I6018" s="7">
        <f>-H6018/G6018</f>
        <v/>
      </c>
      <c r="J6018" s="11" t="n">
        <v>44642</v>
      </c>
      <c r="K6018" s="6" t="n">
        <v>200</v>
      </c>
      <c r="L6018" s="6" t="n">
        <v>3351.916</v>
      </c>
      <c r="M6018" s="7">
        <f>IF(N6018=0,+L6018+H6018,0)</f>
        <v/>
      </c>
      <c r="N6018" s="7">
        <f>IF((+G6018-K6018)=0,0,+G6018-K6018)</f>
        <v/>
      </c>
      <c r="O6018" s="7">
        <f>IF(N6018=0,0,(L6018+H6018)/-N6018)</f>
        <v/>
      </c>
      <c r="P6018" s="7">
        <f>VLOOKUP(OPERAC[[#This Row],[especie]],[1]!ESPECIES[#All],6,0)</f>
        <v/>
      </c>
      <c r="Q6018" s="7">
        <f>IF(N6018&lt;&gt;0,P6018*N6018,0)</f>
        <v/>
      </c>
      <c r="R6018" s="8">
        <f>IF(Q6018&lt;&gt;0,Q6018+H6018+L6018,0)</f>
        <v/>
      </c>
      <c r="S6018" s="9">
        <f>VLOOKUP(OPERAC[[#This Row],[especie]],[1]!ESPECIES[#Data],9,FALSE)</f>
        <v/>
      </c>
    </row>
    <row r="6019">
      <c r="A6019" s="4" t="n">
        <v>15189</v>
      </c>
      <c r="B6019" s="5" t="n">
        <v>44609</v>
      </c>
      <c r="C6019" s="13" t="inlineStr">
        <is>
          <t>CPR</t>
        </is>
      </c>
      <c r="D6019" s="13" t="n">
        <v>32</v>
      </c>
      <c r="E6019" s="10">
        <f>IF(D6019&gt;0,VLOOKUP(OPERAC[[#This Row],[COD CART]],[1]!MatrizCortoLargoCyl[#All],3,0),"")</f>
        <v/>
      </c>
      <c r="F6019" s="13" t="inlineStr">
        <is>
          <t>F</t>
        </is>
      </c>
      <c r="G6019" s="6" t="n">
        <v>200</v>
      </c>
      <c r="H6019" s="6" t="n">
        <v>-3430.5552</v>
      </c>
      <c r="I6019" s="7">
        <f>-H6019/G6019</f>
        <v/>
      </c>
      <c r="J6019" s="11" t="n">
        <v>44642</v>
      </c>
      <c r="K6019" s="6" t="n">
        <v>200</v>
      </c>
      <c r="L6019" s="6">
        <f>+OPERAC[[#This Row],[cantidad venta]]*16.76</f>
        <v/>
      </c>
      <c r="M6019" s="7">
        <f>IF(N6019=0,+L6019+H6019,0)</f>
        <v/>
      </c>
      <c r="N6019" s="7">
        <f>IF((+G6019-K6019)=0,0,+G6019-K6019)</f>
        <v/>
      </c>
      <c r="O6019" s="7">
        <f>IF(N6019=0,0,(L6019+H6019)/-N6019)</f>
        <v/>
      </c>
      <c r="P6019" s="7">
        <f>VLOOKUP(OPERAC[[#This Row],[especie]],[1]!ESPECIES[#All],6,0)</f>
        <v/>
      </c>
      <c r="Q6019" s="7">
        <f>IF(N6019&lt;&gt;0,P6019*N6019,0)</f>
        <v/>
      </c>
      <c r="R6019" s="8">
        <f>IF(Q6019&lt;&gt;0,Q6019+H6019+L6019,0)</f>
        <v/>
      </c>
      <c r="S6019" s="9">
        <f>VLOOKUP(OPERAC[[#This Row],[especie]],[1]!ESPECIES[#Data],9,FALSE)</f>
        <v/>
      </c>
    </row>
    <row r="6020">
      <c r="A6020" s="4" t="n">
        <v>16780</v>
      </c>
      <c r="B6020" s="5" t="n">
        <v>44609</v>
      </c>
      <c r="C6020" s="13" t="inlineStr">
        <is>
          <t>CPR</t>
        </is>
      </c>
      <c r="D6020" s="13" t="n">
        <v>32</v>
      </c>
      <c r="E6020" s="10">
        <f>IF(D6020&gt;0,VLOOKUP(OPERAC[[#This Row],[COD CART]],[1]!MatrizCortoLargoCyl[#All],3,0),"")</f>
        <v/>
      </c>
      <c r="F6020" s="13" t="inlineStr">
        <is>
          <t>F</t>
        </is>
      </c>
      <c r="G6020" s="6" t="n">
        <v>200</v>
      </c>
      <c r="H6020" s="6" t="n">
        <v>-3430.5552</v>
      </c>
      <c r="I6020" s="7">
        <f>-H6020/G6020</f>
        <v/>
      </c>
      <c r="J6020" s="11" t="n">
        <v>44642</v>
      </c>
      <c r="K6020" s="6">
        <f>100+100</f>
        <v/>
      </c>
      <c r="L6020" s="6">
        <f>1675.958+1763.6</f>
        <v/>
      </c>
      <c r="M6020" s="7">
        <f>IF(N6020=0,+L6020+H6020,0)</f>
        <v/>
      </c>
      <c r="N6020" s="7">
        <f>IF((+G6020-K6020)=0,0,+G6020-K6020)</f>
        <v/>
      </c>
      <c r="O6020" s="7">
        <f>IF(N6020=0,0,(L6020+H6020)/-N6020)</f>
        <v/>
      </c>
      <c r="P6020" s="7">
        <f>VLOOKUP(OPERAC[[#This Row],[especie]],[1]!ESPECIES[#All],6,0)</f>
        <v/>
      </c>
      <c r="Q6020" s="7">
        <f>IF(N6020&lt;&gt;0,P6020*N6020,0)</f>
        <v/>
      </c>
      <c r="R6020" s="8">
        <f>IF(Q6020&lt;&gt;0,Q6020+H6020+L6020,0)</f>
        <v/>
      </c>
      <c r="S6020" s="9">
        <f>VLOOKUP(OPERAC[[#This Row],[especie]],[1]!ESPECIES[#Data],9,FALSE)</f>
        <v/>
      </c>
    </row>
    <row r="6021">
      <c r="A6021" s="4" t="n">
        <v>19920</v>
      </c>
      <c r="B6021" s="5" t="n">
        <v>44615</v>
      </c>
      <c r="C6021" s="13" t="inlineStr">
        <is>
          <t>CPR</t>
        </is>
      </c>
      <c r="D6021" s="13" t="n">
        <v>32</v>
      </c>
      <c r="E6021" s="10">
        <f>IF(D6021&gt;0,VLOOKUP(OPERAC[[#This Row],[COD CART]],[1]!MatrizCortoLargoCyl[#All],3,0),"")</f>
        <v/>
      </c>
      <c r="F6021" s="13" t="inlineStr">
        <is>
          <t>DDD</t>
        </is>
      </c>
      <c r="G6021" s="6" t="n">
        <v>200</v>
      </c>
      <c r="H6021" s="6" t="n">
        <v>-3430.93</v>
      </c>
      <c r="I6021" s="7">
        <f>-H6021/G6021</f>
        <v/>
      </c>
      <c r="J6021" s="11" t="n">
        <v>44649</v>
      </c>
      <c r="K6021" s="6" t="n">
        <v>200</v>
      </c>
      <c r="L6021" s="6" t="n">
        <v>3449.136</v>
      </c>
      <c r="M6021" s="7">
        <f>IF(N6021=0,+L6021+H6021,0)</f>
        <v/>
      </c>
      <c r="N6021" s="7">
        <f>IF((+G6021-K6021)=0,0,+G6021-K6021)</f>
        <v/>
      </c>
      <c r="O6021" s="7">
        <f>IF(N6021=0,0,(L6021+H6021)/-N6021)</f>
        <v/>
      </c>
      <c r="P6021" s="7">
        <f>VLOOKUP(OPERAC[[#This Row],[especie]],[1]!ESPECIES[#All],6,0)</f>
        <v/>
      </c>
      <c r="Q6021" s="7">
        <f>IF(N6021&lt;&gt;0,P6021*N6021,0)</f>
        <v/>
      </c>
      <c r="R6021" s="8">
        <f>IF(Q6021&lt;&gt;0,Q6021+H6021+L6021,0)</f>
        <v/>
      </c>
      <c r="S6021" s="9">
        <f>VLOOKUP(OPERAC[[#This Row],[especie]],[1]!ESPECIES[#Data],9,FALSE)</f>
        <v/>
      </c>
    </row>
    <row r="6022">
      <c r="A6022" s="4" t="n">
        <v>13253</v>
      </c>
      <c r="B6022" s="5" t="n">
        <v>44638</v>
      </c>
      <c r="C6022" s="13" t="inlineStr">
        <is>
          <t>CPR</t>
        </is>
      </c>
      <c r="D6022" s="13" t="n">
        <v>41</v>
      </c>
      <c r="E6022" s="10">
        <f>IF(D6022&gt;0,VLOOKUP(OPERAC[[#This Row],[COD CART]],[1]!MatrizCortoLargoCyl[#All],3,0),"")</f>
        <v/>
      </c>
      <c r="F6022" s="13" t="inlineStr">
        <is>
          <t>YCA6O</t>
        </is>
      </c>
      <c r="G6022" s="6" t="n">
        <v>4000</v>
      </c>
      <c r="H6022" s="6" t="n">
        <v>-3432.11</v>
      </c>
      <c r="I6022" s="7">
        <f>-H6022/G6022</f>
        <v/>
      </c>
      <c r="J6022" s="11" t="n"/>
      <c r="K6022" s="6" t="n"/>
      <c r="L6022" s="6" t="n"/>
      <c r="M6022" s="7">
        <f>IF(N6022=0,+L6022+H6022,0)</f>
        <v/>
      </c>
      <c r="N6022" s="7">
        <f>IF((+G6022-K6022)=0,0,+G6022-K6022)</f>
        <v/>
      </c>
      <c r="O6022" s="7">
        <f>IF(N6022=0,0,(L6022+H6022)/-N6022)</f>
        <v/>
      </c>
      <c r="P6022" s="7">
        <f>VLOOKUP(OPERAC[[#This Row],[especie]],[1]!ESPECIES[#All],6,0)</f>
        <v/>
      </c>
      <c r="Q6022" s="7">
        <f>IF(N6022&lt;&gt;0,P6022*N6022,0)</f>
        <v/>
      </c>
      <c r="R6022" s="8">
        <f>IF(Q6022&lt;&gt;0,Q6022+H6022+L6022,0)</f>
        <v/>
      </c>
      <c r="S6022" s="9">
        <f>VLOOKUP(OPERAC[[#This Row],[especie]],[1]!ESPECIES[#Data],9,FALSE)</f>
        <v/>
      </c>
    </row>
    <row r="6023">
      <c r="A6023" s="4" t="n">
        <v>18651</v>
      </c>
      <c r="B6023" s="5" t="n">
        <v>44707</v>
      </c>
      <c r="C6023" s="13" t="inlineStr">
        <is>
          <t>CPR</t>
        </is>
      </c>
      <c r="D6023" s="13" t="n">
        <v>43</v>
      </c>
      <c r="E6023" s="10">
        <f>IF(D6023&gt;0,VLOOKUP(OPERAC[[#This Row],[COD CART]],[1]!MatrizCortoLargoCyl[#All],3,0),"")</f>
        <v/>
      </c>
      <c r="F6023" s="13" t="inlineStr">
        <is>
          <t>SPWR/CYP/17,50-15,00/17-06-22</t>
        </is>
      </c>
      <c r="G6023" s="6" t="n">
        <v>200</v>
      </c>
      <c r="H6023" s="6" t="n">
        <v>-3434.054</v>
      </c>
      <c r="I6023" s="7">
        <f>-H6023/G6023</f>
        <v/>
      </c>
      <c r="J6023" s="5" t="n"/>
      <c r="K6023" s="6" t="n"/>
      <c r="L6023" s="6" t="n"/>
      <c r="M6023" s="7">
        <f>IF(N6023=0,+L6023+H6023,0)</f>
        <v/>
      </c>
      <c r="N6023" s="7">
        <f>IF((+G6023-K6023)=0,0,+G6023-K6023)</f>
        <v/>
      </c>
      <c r="O6023" s="7">
        <f>IF(N6023=0,0,(L6023+H6023)/-N6023)</f>
        <v/>
      </c>
      <c r="P6023" s="7">
        <f>VLOOKUP(OPERAC[[#This Row],[especie]],[1]!ESPECIES[#All],6,0)</f>
        <v/>
      </c>
      <c r="Q6023" s="7">
        <f>IF(N6023&lt;&gt;0,P6023*N6023,0)</f>
        <v/>
      </c>
      <c r="R6023" s="8">
        <f>IF(Q6023&lt;&gt;0,Q6023+H6023+L6023,0)</f>
        <v/>
      </c>
      <c r="S6023" s="9">
        <f>VLOOKUP(OPERAC[[#This Row],[especie]],[1]!ESPECIES[#Data],9,FALSE)</f>
        <v/>
      </c>
    </row>
    <row r="6024">
      <c r="A6024" s="4" t="n">
        <v>16776</v>
      </c>
      <c r="B6024" s="5" t="n">
        <v>44047</v>
      </c>
      <c r="C6024" s="13" t="inlineStr">
        <is>
          <t>CPR</t>
        </is>
      </c>
      <c r="D6024" s="13" t="n">
        <v>41</v>
      </c>
      <c r="E6024" s="10">
        <f>IF(D6024&gt;0,VLOOKUP(OPERAC[[#This Row],[COD CART]],[1]!MatrizCortoLargoCyl[#All],3,0),"")</f>
        <v/>
      </c>
      <c r="F6024" s="13" t="inlineStr">
        <is>
          <t>YPF</t>
        </is>
      </c>
      <c r="G6024" s="6" t="n">
        <v>500</v>
      </c>
      <c r="H6024" s="6" t="n">
        <v>-3462.786</v>
      </c>
      <c r="I6024" s="7" t="n">
        <v>6.925572</v>
      </c>
      <c r="J6024" s="5" t="n"/>
      <c r="K6024" s="6" t="n"/>
      <c r="L6024" s="6" t="n"/>
      <c r="M6024" s="7">
        <f>IF(N6024=0,+L6024+H6024,0)</f>
        <v/>
      </c>
      <c r="N6024" s="7">
        <f>IF((+G6024-K6024)=0,0,+G6024-K6024)</f>
        <v/>
      </c>
      <c r="O6024" s="7">
        <f>IF(N6024=0,0,(L6024+H6024)/-N6024)</f>
        <v/>
      </c>
      <c r="P6024" s="7">
        <f>VLOOKUP(OPERAC[[#This Row],[especie]],[1]!ESPECIES[#All],6,0)</f>
        <v/>
      </c>
      <c r="Q6024" s="7">
        <f>IF(N6024&lt;&gt;0,P6024*N6024,0)</f>
        <v/>
      </c>
      <c r="R6024" s="8">
        <f>IF(Q6024&lt;&gt;0,Q6024+H6024+L6024,0)</f>
        <v/>
      </c>
      <c r="S6024" s="9">
        <f>VLOOKUP(OPERAC[[#This Row],[especie]],[1]!ESPECIES[#Data],9,FALSE)</f>
        <v/>
      </c>
    </row>
    <row r="6025">
      <c r="A6025" s="4" t="n">
        <v>19920</v>
      </c>
      <c r="B6025" s="5" t="n">
        <v>44712</v>
      </c>
      <c r="C6025" s="13" t="inlineStr">
        <is>
          <t>CPR</t>
        </is>
      </c>
      <c r="D6025" s="13" t="n">
        <v>32</v>
      </c>
      <c r="E6025" s="10">
        <f>IF(D6025&gt;0,VLOOKUP(OPERAC[[#This Row],[COD CART]],[1]!MatrizCortoLargoCyl[#All],3,0),"")</f>
        <v/>
      </c>
      <c r="F6025" s="13" t="inlineStr">
        <is>
          <t>CRESY/CYL/7,50/17-06-22</t>
        </is>
      </c>
      <c r="G6025" s="6" t="n">
        <v>500</v>
      </c>
      <c r="H6025" s="6" t="n">
        <v>-3465.37</v>
      </c>
      <c r="I6025" s="7">
        <f>-H6025/G6025</f>
        <v/>
      </c>
      <c r="J6025" s="5" t="n"/>
      <c r="K6025" s="6" t="n"/>
      <c r="L6025" s="6" t="n"/>
      <c r="M6025" s="7">
        <f>IF(N6025=0,+L6025+H6025,0)</f>
        <v/>
      </c>
      <c r="N6025" s="7">
        <f>IF((+G6025-K6025)=0,0,+G6025-K6025)</f>
        <v/>
      </c>
      <c r="O6025" s="7">
        <f>IF(N6025=0,0,(L6025+H6025)/-N6025)</f>
        <v/>
      </c>
      <c r="P6025" s="7">
        <f>VLOOKUP(OPERAC[[#This Row],[especie]],[1]!ESPECIES[#All],6,0)</f>
        <v/>
      </c>
      <c r="Q6025" s="7">
        <f>IF(N6025&lt;&gt;0,P6025*N6025,0)</f>
        <v/>
      </c>
      <c r="R6025" s="8">
        <f>IF(Q6025&lt;&gt;0,Q6025+H6025+L6025,0)</f>
        <v/>
      </c>
      <c r="S6025" s="9">
        <f>VLOOKUP(OPERAC[[#This Row],[especie]],[1]!ESPECIES[#Data],9,FALSE)</f>
        <v/>
      </c>
    </row>
    <row r="6026">
      <c r="A6026" s="4" t="n">
        <v>19888</v>
      </c>
      <c r="B6026" s="5" t="n">
        <v>44712</v>
      </c>
      <c r="C6026" s="13" t="inlineStr">
        <is>
          <t>CPR</t>
        </is>
      </c>
      <c r="D6026" s="13" t="n">
        <v>32</v>
      </c>
      <c r="E6026" s="10">
        <f>IF(D6026&gt;0,VLOOKUP(OPERAC[[#This Row],[COD CART]],[1]!MatrizCortoLargoCyl[#All],3,0),"")</f>
        <v/>
      </c>
      <c r="F6026" s="13" t="inlineStr">
        <is>
          <t>CRESY/CYL/7,50/17-06-22</t>
        </is>
      </c>
      <c r="G6026" s="6" t="n">
        <v>500</v>
      </c>
      <c r="H6026" s="6" t="n">
        <v>-3465.37</v>
      </c>
      <c r="I6026" s="7">
        <f>-H6026/G6026</f>
        <v/>
      </c>
      <c r="J6026" s="5" t="n"/>
      <c r="K6026" s="6" t="n"/>
      <c r="L6026" s="6" t="n"/>
      <c r="M6026" s="7">
        <f>IF(N6026=0,+L6026+H6026,0)</f>
        <v/>
      </c>
      <c r="N6026" s="7">
        <f>IF((+G6026-K6026)=0,0,+G6026-K6026)</f>
        <v/>
      </c>
      <c r="O6026" s="7">
        <f>IF(N6026=0,0,(L6026+H6026)/-N6026)</f>
        <v/>
      </c>
      <c r="P6026" s="7">
        <f>VLOOKUP(OPERAC[[#This Row],[especie]],[1]!ESPECIES[#All],6,0)</f>
        <v/>
      </c>
      <c r="Q6026" s="7">
        <f>IF(N6026&lt;&gt;0,P6026*N6026,0)</f>
        <v/>
      </c>
      <c r="R6026" s="8">
        <f>IF(Q6026&lt;&gt;0,Q6026+H6026+L6026,0)</f>
        <v/>
      </c>
      <c r="S6026" s="9">
        <f>VLOOKUP(OPERAC[[#This Row],[especie]],[1]!ESPECIES[#Data],9,FALSE)</f>
        <v/>
      </c>
    </row>
    <row r="6027">
      <c r="A6027" s="4" t="n">
        <v>19878</v>
      </c>
      <c r="B6027" s="5" t="n">
        <v>44712</v>
      </c>
      <c r="C6027" s="13" t="inlineStr">
        <is>
          <t>CPR</t>
        </is>
      </c>
      <c r="D6027" s="13" t="n">
        <v>32</v>
      </c>
      <c r="E6027" s="10">
        <f>IF(D6027&gt;0,VLOOKUP(OPERAC[[#This Row],[COD CART]],[1]!MatrizCortoLargoCyl[#All],3,0),"")</f>
        <v/>
      </c>
      <c r="F6027" s="13" t="inlineStr">
        <is>
          <t>CRESY/CYL/7,50/17-06-22</t>
        </is>
      </c>
      <c r="G6027" s="6" t="n">
        <v>500</v>
      </c>
      <c r="H6027" s="6" t="n">
        <v>-3465.37</v>
      </c>
      <c r="I6027" s="7">
        <f>-H6027/G6027</f>
        <v/>
      </c>
      <c r="J6027" s="5" t="n"/>
      <c r="K6027" s="6" t="n"/>
      <c r="L6027" s="6" t="n"/>
      <c r="M6027" s="7">
        <f>IF(N6027=0,+L6027+H6027,0)</f>
        <v/>
      </c>
      <c r="N6027" s="7">
        <f>IF((+G6027-K6027)=0,0,+G6027-K6027)</f>
        <v/>
      </c>
      <c r="O6027" s="7">
        <f>IF(N6027=0,0,(L6027+H6027)/-N6027)</f>
        <v/>
      </c>
      <c r="P6027" s="7">
        <f>VLOOKUP(OPERAC[[#This Row],[especie]],[1]!ESPECIES[#All],6,0)</f>
        <v/>
      </c>
      <c r="Q6027" s="7">
        <f>IF(N6027&lt;&gt;0,P6027*N6027,0)</f>
        <v/>
      </c>
      <c r="R6027" s="8">
        <f>IF(Q6027&lt;&gt;0,Q6027+H6027+L6027,0)</f>
        <v/>
      </c>
      <c r="S6027" s="9">
        <f>VLOOKUP(OPERAC[[#This Row],[especie]],[1]!ESPECIES[#Data],9,FALSE)</f>
        <v/>
      </c>
    </row>
    <row r="6028">
      <c r="A6028" s="4" t="n">
        <v>10079</v>
      </c>
      <c r="B6028" s="5" t="n">
        <v>44609</v>
      </c>
      <c r="C6028" s="13" t="inlineStr">
        <is>
          <t>CPR</t>
        </is>
      </c>
      <c r="D6028" s="13" t="n">
        <v>32</v>
      </c>
      <c r="E6028" s="10">
        <f>IF(D6028&gt;0,VLOOKUP(OPERAC[[#This Row],[COD CART]],[1]!MatrizCortoLargoCyl[#All],3,0),"")</f>
        <v/>
      </c>
      <c r="F6028" s="13" t="inlineStr">
        <is>
          <t>HIMX/CYL/9,00/18-03-22</t>
        </is>
      </c>
      <c r="G6028" s="6" t="n">
        <v>400</v>
      </c>
      <c r="H6028" s="6" t="n">
        <v>-3478.336</v>
      </c>
      <c r="I6028" s="7">
        <f>-H6028/G6028</f>
        <v/>
      </c>
      <c r="J6028" s="11" t="n">
        <v>44622</v>
      </c>
      <c r="K6028" s="6" t="n">
        <v>400</v>
      </c>
      <c r="L6028" s="6" t="n">
        <v>3534.3</v>
      </c>
      <c r="M6028" s="7">
        <f>IF(N6028=0,+L6028+H6028,0)</f>
        <v/>
      </c>
      <c r="N6028" s="7">
        <f>IF((+G6028-K6028)=0,0,+G6028-K6028)</f>
        <v/>
      </c>
      <c r="O6028" s="7">
        <f>IF(N6028=0,0,(L6028+H6028)/-N6028)</f>
        <v/>
      </c>
      <c r="P6028" s="7">
        <f>VLOOKUP(OPERAC[[#This Row],[especie]],[1]!ESPECIES[#All],6,0)</f>
        <v/>
      </c>
      <c r="Q6028" s="7">
        <f>IF(N6028&lt;&gt;0,P6028*N6028,0)</f>
        <v/>
      </c>
      <c r="R6028" s="8">
        <f>IF(Q6028&lt;&gt;0,Q6028+H6028+L6028,0)</f>
        <v/>
      </c>
      <c r="S6028" s="9">
        <f>VLOOKUP(OPERAC[[#This Row],[especie]],[1]!ESPECIES[#Data],9,FALSE)</f>
        <v/>
      </c>
    </row>
    <row r="6029">
      <c r="A6029" s="4" t="n">
        <v>3728</v>
      </c>
      <c r="B6029" s="5" t="n">
        <v>44511</v>
      </c>
      <c r="C6029" s="13" t="inlineStr">
        <is>
          <t>CPR</t>
        </is>
      </c>
      <c r="D6029" s="13" t="n">
        <v>31</v>
      </c>
      <c r="E6029" s="10">
        <f>IF(D6029&gt;0,VLOOKUP(OPERAC[[#This Row],[COD CART]],[1]!MatrizCortoLargoCyl[#All],3,0),"")</f>
        <v/>
      </c>
      <c r="F6029" s="13" t="inlineStr">
        <is>
          <t>IPIX</t>
        </is>
      </c>
      <c r="G6029" s="6" t="n">
        <v>50000</v>
      </c>
      <c r="H6029" s="6" t="n">
        <v>-3500.753</v>
      </c>
      <c r="I6029" s="7">
        <f>-H6029/G6029</f>
        <v/>
      </c>
      <c r="J6029" s="11" t="n"/>
      <c r="K6029" s="6" t="n"/>
      <c r="L6029" s="6" t="n"/>
      <c r="M6029" s="7">
        <f>IF(N6029=0,+L6029+H6029,0)</f>
        <v/>
      </c>
      <c r="N6029" s="7">
        <f>IF((+G6029-K6029)=0,0,+G6029-K6029)</f>
        <v/>
      </c>
      <c r="O6029" s="7">
        <f>IF(N6029=0,0,(L6029+H6029)/-N6029)</f>
        <v/>
      </c>
      <c r="P6029" s="7">
        <f>VLOOKUP(OPERAC[[#This Row],[especie]],[1]!ESPECIES[#All],6,0)</f>
        <v/>
      </c>
      <c r="Q6029" s="7">
        <f>IF(N6029&lt;&gt;0,P6029*N6029,0)</f>
        <v/>
      </c>
      <c r="R6029" s="8">
        <f>IF(Q6029&lt;&gt;0,Q6029+H6029+L6029,0)</f>
        <v/>
      </c>
      <c r="S6029" s="9">
        <f>VLOOKUP(OPERAC[[#This Row],[especie]],[1]!ESPECIES[#Data],9,FALSE)</f>
        <v/>
      </c>
    </row>
    <row r="6030">
      <c r="A6030" s="4" t="n">
        <v>16776</v>
      </c>
      <c r="B6030" s="5" t="n">
        <v>44083</v>
      </c>
      <c r="C6030" s="13" t="inlineStr">
        <is>
          <t>CPR</t>
        </is>
      </c>
      <c r="D6030" s="13" t="n">
        <v>41</v>
      </c>
      <c r="E6030" s="10">
        <f>IF(D6030&gt;0,VLOOKUP(OPERAC[[#This Row],[COD CART]],[1]!MatrizCortoLargoCyl[#All],3,0),"")</f>
        <v/>
      </c>
      <c r="F6030" s="13" t="inlineStr">
        <is>
          <t>TEO</t>
        </is>
      </c>
      <c r="G6030" s="6" t="n">
        <v>500</v>
      </c>
      <c r="H6030" s="6" t="n">
        <v>-3505.3</v>
      </c>
      <c r="I6030" s="7">
        <f>-H6030/G6030</f>
        <v/>
      </c>
      <c r="J6030" s="5" t="n">
        <v>44134</v>
      </c>
      <c r="K6030" s="6" t="n">
        <v>300</v>
      </c>
      <c r="L6030" s="6" t="n">
        <v>1891.16</v>
      </c>
      <c r="M6030" s="7">
        <f>IF(N6030=0,+L6030+H6030,0)</f>
        <v/>
      </c>
      <c r="N6030" s="7">
        <f>IF((+G6030-K6030)=0,0,+G6030-K6030)</f>
        <v/>
      </c>
      <c r="O6030" s="7">
        <f>IF(N6030=0,0,(L6030+H6030)/-N6030)</f>
        <v/>
      </c>
      <c r="P6030" s="7">
        <f>VLOOKUP(OPERAC[[#This Row],[especie]],[1]!ESPECIES[#All],6,0)</f>
        <v/>
      </c>
      <c r="Q6030" s="7">
        <f>IF(N6030&lt;&gt;0,P6030*N6030,0)</f>
        <v/>
      </c>
      <c r="R6030" s="8">
        <f>IF(Q6030&lt;&gt;0,Q6030+H6030+L6030,0)</f>
        <v/>
      </c>
      <c r="S6030" s="9">
        <f>VLOOKUP(OPERAC[[#This Row],[especie]],[1]!ESPECIES[#Data],9,FALSE)</f>
        <v/>
      </c>
    </row>
    <row r="6031">
      <c r="A6031" s="4" t="n">
        <v>2218</v>
      </c>
      <c r="B6031" s="5" t="n">
        <v>44705</v>
      </c>
      <c r="C6031" s="13" t="inlineStr">
        <is>
          <t>CPR</t>
        </is>
      </c>
      <c r="D6031" s="13" t="n">
        <v>42</v>
      </c>
      <c r="E6031" s="10">
        <f>IF(D6031&gt;0,VLOOKUP(OPERAC[[#This Row],[COD CART]],[1]!MatrizCortoLargoCyl[#All],3,0),"")</f>
        <v/>
      </c>
      <c r="F6031" s="14" t="inlineStr">
        <is>
          <t>MELI</t>
        </is>
      </c>
      <c r="G6031" s="6" t="n">
        <v>5</v>
      </c>
      <c r="H6031" s="6" t="n">
        <v>-3513.51</v>
      </c>
      <c r="I6031" s="7">
        <f>-H6031/G6031</f>
        <v/>
      </c>
      <c r="J6031" s="5" t="n">
        <v>44706</v>
      </c>
      <c r="K6031" s="6" t="n">
        <v>5</v>
      </c>
      <c r="L6031" s="6" t="n">
        <v>3629.367</v>
      </c>
      <c r="M6031" s="7">
        <f>IF(N6031=0,+L6031+H6031,0)</f>
        <v/>
      </c>
      <c r="N6031" s="7">
        <f>IF((+G6031-K6031)=0,0,+G6031-K6031)</f>
        <v/>
      </c>
      <c r="O6031" s="7">
        <f>IF(N6031=0,0,(L6031+H6031)/-N6031)</f>
        <v/>
      </c>
      <c r="P6031" s="7">
        <f>VLOOKUP(OPERAC[[#This Row],[especie]],[1]!ESPECIES[#All],6,0)</f>
        <v/>
      </c>
      <c r="Q6031" s="7">
        <f>IF(N6031&lt;&gt;0,P6031*N6031,0)</f>
        <v/>
      </c>
      <c r="R6031" s="8">
        <f>IF(Q6031&lt;&gt;0,Q6031+H6031+L6031,0)</f>
        <v/>
      </c>
      <c r="S6031" s="9">
        <f>VLOOKUP(OPERAC[[#This Row],[especie]],[1]!ESPECIES[#Data],9,FALSE)</f>
        <v/>
      </c>
    </row>
    <row r="6032">
      <c r="A6032" s="4" t="n">
        <v>3728</v>
      </c>
      <c r="B6032" s="5" t="n">
        <v>44705</v>
      </c>
      <c r="C6032" s="13" t="inlineStr">
        <is>
          <t>CPR</t>
        </is>
      </c>
      <c r="D6032" s="13" t="n">
        <v>42</v>
      </c>
      <c r="E6032" s="10">
        <f>IF(D6032&gt;0,VLOOKUP(OPERAC[[#This Row],[COD CART]],[1]!MatrizCortoLargoCyl[#All],3,0),"")</f>
        <v/>
      </c>
      <c r="F6032" s="14" t="inlineStr">
        <is>
          <t>MELI</t>
        </is>
      </c>
      <c r="G6032" s="6" t="n">
        <v>5</v>
      </c>
      <c r="H6032" s="6" t="n">
        <v>-3513.51</v>
      </c>
      <c r="I6032" s="7">
        <f>-H6032/G6032</f>
        <v/>
      </c>
      <c r="J6032" s="5" t="n">
        <v>44706</v>
      </c>
      <c r="K6032" s="6" t="n">
        <v>5</v>
      </c>
      <c r="L6032" s="6" t="n">
        <v>3629.367</v>
      </c>
      <c r="M6032" s="7">
        <f>IF(N6032=0,+L6032+H6032,0)</f>
        <v/>
      </c>
      <c r="N6032" s="7">
        <f>IF((+G6032-K6032)=0,0,+G6032-K6032)</f>
        <v/>
      </c>
      <c r="O6032" s="7">
        <f>IF(N6032=0,0,(L6032+H6032)/-N6032)</f>
        <v/>
      </c>
      <c r="P6032" s="7">
        <f>VLOOKUP(OPERAC[[#This Row],[especie]],[1]!ESPECIES[#All],6,0)</f>
        <v/>
      </c>
      <c r="Q6032" s="7">
        <f>IF(N6032&lt;&gt;0,P6032*N6032,0)</f>
        <v/>
      </c>
      <c r="R6032" s="8">
        <f>IF(Q6032&lt;&gt;0,Q6032+H6032+L6032,0)</f>
        <v/>
      </c>
      <c r="S6032" s="9">
        <f>VLOOKUP(OPERAC[[#This Row],[especie]],[1]!ESPECIES[#Data],9,FALSE)</f>
        <v/>
      </c>
    </row>
    <row r="6033">
      <c r="A6033" s="4" t="n">
        <v>3787</v>
      </c>
      <c r="B6033" s="5" t="n">
        <v>44582</v>
      </c>
      <c r="C6033" s="13" t="inlineStr">
        <is>
          <t>CPR</t>
        </is>
      </c>
      <c r="D6033" s="13" t="n">
        <v>40</v>
      </c>
      <c r="E6033" s="10">
        <f>IF(D6033&gt;0,VLOOKUP(OPERAC[[#This Row],[COD CART]],[1]!MatrizCortoLargoCyl[#All],3,0),"")</f>
        <v/>
      </c>
      <c r="F6033" s="13" t="inlineStr">
        <is>
          <t>NFLX</t>
        </is>
      </c>
      <c r="G6033" s="6" t="n">
        <v>9</v>
      </c>
      <c r="H6033" s="6" t="n">
        <v>-3515.733900000001</v>
      </c>
      <c r="I6033" s="7">
        <f>-H6033/G6033</f>
        <v/>
      </c>
      <c r="J6033" s="11" t="n">
        <v>44593</v>
      </c>
      <c r="K6033" s="6">
        <f>+OPERAC[[#This Row],[cantidad]]</f>
        <v/>
      </c>
      <c r="L6033" s="6">
        <f>+OPERAC[[#This Row],[cantidad venta]]*448.602</f>
        <v/>
      </c>
      <c r="M6033" s="7">
        <f>IF(N6033=0,+L6033+H6033,0)</f>
        <v/>
      </c>
      <c r="N6033" s="7">
        <f>IF((+G6033-K6033)=0,0,+G6033-K6033)</f>
        <v/>
      </c>
      <c r="O6033" s="7">
        <f>IF(N6033=0,0,(L6033+H6033)/-N6033)</f>
        <v/>
      </c>
      <c r="P6033" s="7">
        <f>VLOOKUP(OPERAC[[#This Row],[especie]],[1]!ESPECIES[#All],6,0)</f>
        <v/>
      </c>
      <c r="Q6033" s="7">
        <f>IF(N6033&lt;&gt;0,P6033*N6033,0)</f>
        <v/>
      </c>
      <c r="R6033" s="8">
        <f>IF(Q6033&lt;&gt;0,Q6033+H6033+L6033,0)</f>
        <v/>
      </c>
      <c r="S6033" s="9">
        <f>VLOOKUP(OPERAC[[#This Row],[especie]],[1]!ESPECIES[#Data],9,FALSE)</f>
        <v/>
      </c>
    </row>
    <row r="6034">
      <c r="A6034" s="4" t="n">
        <v>16783</v>
      </c>
      <c r="B6034" s="5" t="n">
        <v>44670</v>
      </c>
      <c r="C6034" s="13" t="inlineStr">
        <is>
          <t>CPR</t>
        </is>
      </c>
      <c r="D6034" s="13" t="n">
        <v>43</v>
      </c>
      <c r="E6034" s="10">
        <f>IF(D6034&gt;0,VLOOKUP(OPERAC[[#This Row],[COD CART]],[1]!MatrizCortoLargoCyl[#All],3,0),"")</f>
        <v/>
      </c>
      <c r="F6034" s="13" t="inlineStr">
        <is>
          <t>PCT/CYL-PUT/7,50/20-01-23</t>
        </is>
      </c>
      <c r="G6034" s="6" t="n">
        <v>1000</v>
      </c>
      <c r="H6034" s="6" t="n">
        <v>-3522.4</v>
      </c>
      <c r="I6034" s="7">
        <f>-H6034/G6034</f>
        <v/>
      </c>
      <c r="J6034" s="11" t="n"/>
      <c r="K6034" s="6" t="n"/>
      <c r="L6034" s="6" t="n"/>
      <c r="M6034" s="7">
        <f>IF(N6034=0,+L6034+H6034,0)</f>
        <v/>
      </c>
      <c r="N6034" s="7">
        <f>IF((+G6034-K6034)=0,0,+G6034-K6034)</f>
        <v/>
      </c>
      <c r="O6034" s="7">
        <f>IF(N6034=0,0,(L6034+H6034)/-N6034)</f>
        <v/>
      </c>
      <c r="P6034" s="7">
        <f>VLOOKUP(OPERAC[[#This Row],[especie]],[1]!ESPECIES[#All],6,0)</f>
        <v/>
      </c>
      <c r="Q6034" s="7">
        <f>IF(N6034&lt;&gt;0,P6034*N6034,0)</f>
        <v/>
      </c>
      <c r="R6034" s="8">
        <f>IF(Q6034&lt;&gt;0,Q6034+H6034+L6034,0)</f>
        <v/>
      </c>
      <c r="S6034" s="9">
        <f>VLOOKUP(OPERAC[[#This Row],[especie]],[1]!ESPECIES[#Data],9,FALSE)</f>
        <v/>
      </c>
    </row>
    <row r="6035">
      <c r="A6035" s="4" t="n">
        <v>18651</v>
      </c>
      <c r="B6035" s="5" t="n">
        <v>44705</v>
      </c>
      <c r="C6035" s="13" t="inlineStr">
        <is>
          <t>CPR</t>
        </is>
      </c>
      <c r="D6035" s="13" t="n">
        <v>42</v>
      </c>
      <c r="E6035" s="10">
        <f>IF(D6035&gt;0,VLOOKUP(OPERAC[[#This Row],[COD CART]],[1]!MatrizCortoLargoCyl[#All],3,0),"")</f>
        <v/>
      </c>
      <c r="F6035" s="14" t="inlineStr">
        <is>
          <t>MELI</t>
        </is>
      </c>
      <c r="G6035" s="6" t="n">
        <v>5</v>
      </c>
      <c r="H6035" s="6" t="n">
        <v>-3524.04</v>
      </c>
      <c r="I6035" s="7">
        <f>-H6035/G6035</f>
        <v/>
      </c>
      <c r="J6035" s="5" t="n">
        <v>44706</v>
      </c>
      <c r="K6035" s="6">
        <f>+OPERAC[[#This Row],[cantidad]]</f>
        <v/>
      </c>
      <c r="L6035" s="6" t="n">
        <v>3629.367</v>
      </c>
      <c r="M6035" s="7">
        <f>IF(N6035=0,+L6035+H6035,0)</f>
        <v/>
      </c>
      <c r="N6035" s="7">
        <f>IF((+G6035-K6035)=0,0,+G6035-K6035)</f>
        <v/>
      </c>
      <c r="O6035" s="7">
        <f>IF(N6035=0,0,(L6035+H6035)/-N6035)</f>
        <v/>
      </c>
      <c r="P6035" s="7">
        <f>VLOOKUP(OPERAC[[#This Row],[especie]],[1]!ESPECIES[#All],6,0)</f>
        <v/>
      </c>
      <c r="Q6035" s="7">
        <f>IF(N6035&lt;&gt;0,P6035*N6035,0)</f>
        <v/>
      </c>
      <c r="R6035" s="8">
        <f>IF(Q6035&lt;&gt;0,Q6035+H6035+L6035,0)</f>
        <v/>
      </c>
      <c r="S6035" s="9">
        <f>VLOOKUP(OPERAC[[#This Row],[especie]],[1]!ESPECIES[#Data],9,FALSE)</f>
        <v/>
      </c>
    </row>
    <row r="6036">
      <c r="A6036" s="4" t="n">
        <v>18690</v>
      </c>
      <c r="B6036" s="5" t="n">
        <v>44705</v>
      </c>
      <c r="C6036" s="13" t="inlineStr">
        <is>
          <t>CPR</t>
        </is>
      </c>
      <c r="D6036" s="13" t="n">
        <v>42</v>
      </c>
      <c r="E6036" s="10">
        <f>IF(D6036&gt;0,VLOOKUP(OPERAC[[#This Row],[COD CART]],[1]!MatrizCortoLargoCyl[#All],3,0),"")</f>
        <v/>
      </c>
      <c r="F6036" s="14" t="inlineStr">
        <is>
          <t>MELI</t>
        </is>
      </c>
      <c r="G6036" s="6" t="n">
        <v>5</v>
      </c>
      <c r="H6036" s="6" t="n">
        <v>-3524.04</v>
      </c>
      <c r="I6036" s="7">
        <f>-H6036/G6036</f>
        <v/>
      </c>
      <c r="J6036" s="5" t="n">
        <v>44706</v>
      </c>
      <c r="K6036" s="6">
        <f>+OPERAC[[#This Row],[cantidad]]</f>
        <v/>
      </c>
      <c r="L6036" s="6" t="n">
        <v>3629.367</v>
      </c>
      <c r="M6036" s="7">
        <f>IF(N6036=0,+L6036+H6036,0)</f>
        <v/>
      </c>
      <c r="N6036" s="7">
        <f>IF((+G6036-K6036)=0,0,+G6036-K6036)</f>
        <v/>
      </c>
      <c r="O6036" s="7">
        <f>IF(N6036=0,0,(L6036+H6036)/-N6036)</f>
        <v/>
      </c>
      <c r="P6036" s="7">
        <f>VLOOKUP(OPERAC[[#This Row],[especie]],[1]!ESPECIES[#All],6,0)</f>
        <v/>
      </c>
      <c r="Q6036" s="7">
        <f>IF(N6036&lt;&gt;0,P6036*N6036,0)</f>
        <v/>
      </c>
      <c r="R6036" s="8">
        <f>IF(Q6036&lt;&gt;0,Q6036+H6036+L6036,0)</f>
        <v/>
      </c>
      <c r="S6036" s="9">
        <f>VLOOKUP(OPERAC[[#This Row],[especie]],[1]!ESPECIES[#Data],9,FALSE)</f>
        <v/>
      </c>
    </row>
    <row r="6037">
      <c r="A6037" s="4" t="n">
        <v>18724</v>
      </c>
      <c r="B6037" s="5" t="n">
        <v>44705</v>
      </c>
      <c r="C6037" s="13" t="inlineStr">
        <is>
          <t>CPR</t>
        </is>
      </c>
      <c r="D6037" s="13" t="n">
        <v>42</v>
      </c>
      <c r="E6037" s="10">
        <f>IF(D6037&gt;0,VLOOKUP(OPERAC[[#This Row],[COD CART]],[1]!MatrizCortoLargoCyl[#All],3,0),"")</f>
        <v/>
      </c>
      <c r="F6037" s="14" t="inlineStr">
        <is>
          <t>MELI</t>
        </is>
      </c>
      <c r="G6037" s="6" t="n">
        <v>5</v>
      </c>
      <c r="H6037" s="6" t="n">
        <v>-3524.04</v>
      </c>
      <c r="I6037" s="7">
        <f>-H6037/G6037</f>
        <v/>
      </c>
      <c r="J6037" s="5" t="n">
        <v>44706</v>
      </c>
      <c r="K6037" s="6">
        <f>+OPERAC[[#This Row],[cantidad]]</f>
        <v/>
      </c>
      <c r="L6037" s="6" t="n">
        <v>3629.367</v>
      </c>
      <c r="M6037" s="7">
        <f>IF(N6037=0,+L6037+H6037,0)</f>
        <v/>
      </c>
      <c r="N6037" s="7">
        <f>IF((+G6037-K6037)=0,0,+G6037-K6037)</f>
        <v/>
      </c>
      <c r="O6037" s="7">
        <f>IF(N6037=0,0,(L6037+H6037)/-N6037)</f>
        <v/>
      </c>
      <c r="P6037" s="7">
        <f>VLOOKUP(OPERAC[[#This Row],[especie]],[1]!ESPECIES[#All],6,0)</f>
        <v/>
      </c>
      <c r="Q6037" s="7">
        <f>IF(N6037&lt;&gt;0,P6037*N6037,0)</f>
        <v/>
      </c>
      <c r="R6037" s="8">
        <f>IF(Q6037&lt;&gt;0,Q6037+H6037+L6037,0)</f>
        <v/>
      </c>
      <c r="S6037" s="9">
        <f>VLOOKUP(OPERAC[[#This Row],[especie]],[1]!ESPECIES[#Data],9,FALSE)</f>
        <v/>
      </c>
    </row>
    <row r="6038">
      <c r="A6038" s="4" t="n">
        <v>12672</v>
      </c>
      <c r="B6038" s="5" t="n">
        <v>44586</v>
      </c>
      <c r="C6038" s="13" t="inlineStr">
        <is>
          <t>CPR</t>
        </is>
      </c>
      <c r="D6038" s="13" t="n">
        <v>43</v>
      </c>
      <c r="E6038" s="10">
        <f>IF(D6038&gt;0,VLOOKUP(OPERAC[[#This Row],[COD CART]],[1]!MatrizCortoLargoCyl[#All],3,0),"")</f>
        <v/>
      </c>
      <c r="F6038" s="13" t="inlineStr">
        <is>
          <t>GMBL</t>
        </is>
      </c>
      <c r="G6038" s="6">
        <f>1000+1000</f>
        <v/>
      </c>
      <c r="H6038" s="6">
        <f>-1016.0423-2510</f>
        <v/>
      </c>
      <c r="I6038" s="7">
        <f>-H6038/G6038</f>
        <v/>
      </c>
      <c r="J6038" s="11" t="n">
        <v>44714</v>
      </c>
      <c r="K6038" s="6" t="n">
        <v>2000</v>
      </c>
      <c r="L6038" s="6" t="n">
        <v>794.192</v>
      </c>
      <c r="M6038" s="7">
        <f>IF(N6038=0,+L6038+H6038,0)</f>
        <v/>
      </c>
      <c r="N6038" s="7">
        <f>IF((+G6038-K6038)=0,0,+G6038-K6038)</f>
        <v/>
      </c>
      <c r="O6038" s="7">
        <f>IF(N6038=0,0,(L6038+H6038)/-N6038)</f>
        <v/>
      </c>
      <c r="P6038" s="7">
        <f>VLOOKUP(OPERAC[[#This Row],[especie]],[1]!ESPECIES[#All],6,0)</f>
        <v/>
      </c>
      <c r="Q6038" s="7">
        <f>IF(N6038&lt;&gt;0,P6038*N6038,0)</f>
        <v/>
      </c>
      <c r="R6038" s="8">
        <f>IF(Q6038&lt;&gt;0,Q6038+H6038+L6038,0)</f>
        <v/>
      </c>
      <c r="S6038" s="9">
        <f>VLOOKUP(OPERAC[[#This Row],[especie]],[1]!ESPECIES[#Data],9,FALSE)</f>
        <v/>
      </c>
    </row>
    <row r="6039">
      <c r="A6039" s="4" t="n">
        <v>15189</v>
      </c>
      <c r="B6039" s="5" t="n">
        <v>44586</v>
      </c>
      <c r="C6039" s="13" t="inlineStr">
        <is>
          <t>CPR</t>
        </is>
      </c>
      <c r="D6039" s="13" t="n">
        <v>43</v>
      </c>
      <c r="E6039" s="10">
        <f>IF(D6039&gt;0,VLOOKUP(OPERAC[[#This Row],[COD CART]],[1]!MatrizCortoLargoCyl[#All],3,0),"")</f>
        <v/>
      </c>
      <c r="F6039" s="13" t="inlineStr">
        <is>
          <t>GMBL</t>
        </is>
      </c>
      <c r="G6039" s="6">
        <f>1000+1000</f>
        <v/>
      </c>
      <c r="H6039" s="6">
        <f>-1016.0423-2510</f>
        <v/>
      </c>
      <c r="I6039" s="7">
        <f>-H6039/G6039</f>
        <v/>
      </c>
      <c r="J6039" s="11" t="n"/>
      <c r="K6039" s="6" t="n"/>
      <c r="L6039" s="6" t="n"/>
      <c r="M6039" s="7">
        <f>IF(N6039=0,+L6039+H6039,0)</f>
        <v/>
      </c>
      <c r="N6039" s="7">
        <f>IF((+G6039-K6039)=0,0,+G6039-K6039)</f>
        <v/>
      </c>
      <c r="O6039" s="7">
        <f>IF(N6039=0,0,(L6039+H6039)/-N6039)</f>
        <v/>
      </c>
      <c r="P6039" s="7">
        <f>VLOOKUP(OPERAC[[#This Row],[especie]],[1]!ESPECIES[#All],6,0)</f>
        <v/>
      </c>
      <c r="Q6039" s="7">
        <f>IF(N6039&lt;&gt;0,P6039*N6039,0)</f>
        <v/>
      </c>
      <c r="R6039" s="8">
        <f>IF(Q6039&lt;&gt;0,Q6039+H6039+L6039,0)</f>
        <v/>
      </c>
      <c r="S6039" s="9">
        <f>VLOOKUP(OPERAC[[#This Row],[especie]],[1]!ESPECIES[#Data],9,FALSE)</f>
        <v/>
      </c>
    </row>
    <row r="6040">
      <c r="A6040" s="4" t="n">
        <v>18651</v>
      </c>
      <c r="B6040" s="5" t="n">
        <v>44586</v>
      </c>
      <c r="C6040" s="13" t="inlineStr">
        <is>
          <t>CPR</t>
        </is>
      </c>
      <c r="D6040" s="13" t="n">
        <v>43</v>
      </c>
      <c r="E6040" s="10">
        <f>IF(D6040&gt;0,VLOOKUP(OPERAC[[#This Row],[COD CART]],[1]!MatrizCortoLargoCyl[#All],3,0),"")</f>
        <v/>
      </c>
      <c r="F6040" s="13" t="inlineStr">
        <is>
          <t>GMBL</t>
        </is>
      </c>
      <c r="G6040" s="6">
        <f>1000+1000</f>
        <v/>
      </c>
      <c r="H6040" s="6">
        <f>-1016.0423-2510</f>
        <v/>
      </c>
      <c r="I6040" s="7">
        <f>-H6040/G6040</f>
        <v/>
      </c>
      <c r="J6040" s="11" t="n"/>
      <c r="K6040" s="6" t="n"/>
      <c r="L6040" s="6" t="n"/>
      <c r="M6040" s="7">
        <f>IF(N6040=0,+L6040+H6040,0)</f>
        <v/>
      </c>
      <c r="N6040" s="7">
        <f>IF((+G6040-K6040)=0,0,+G6040-K6040)</f>
        <v/>
      </c>
      <c r="O6040" s="7">
        <f>IF(N6040=0,0,(L6040+H6040)/-N6040)</f>
        <v/>
      </c>
      <c r="P6040" s="7">
        <f>VLOOKUP(OPERAC[[#This Row],[especie]],[1]!ESPECIES[#All],6,0)</f>
        <v/>
      </c>
      <c r="Q6040" s="7">
        <f>IF(N6040&lt;&gt;0,P6040*N6040,0)</f>
        <v/>
      </c>
      <c r="R6040" s="8">
        <f>IF(Q6040&lt;&gt;0,Q6040+H6040+L6040,0)</f>
        <v/>
      </c>
      <c r="S6040" s="9">
        <f>VLOOKUP(OPERAC[[#This Row],[especie]],[1]!ESPECIES[#Data],9,FALSE)</f>
        <v/>
      </c>
    </row>
    <row r="6041">
      <c r="A6041" s="4" t="n">
        <v>10079</v>
      </c>
      <c r="B6041" s="5" t="n">
        <v>44664</v>
      </c>
      <c r="C6041" s="13" t="inlineStr">
        <is>
          <t>CPR</t>
        </is>
      </c>
      <c r="D6041" s="13" t="n">
        <v>39</v>
      </c>
      <c r="E6041" s="10">
        <f>IF(D6041&gt;0,VLOOKUP(OPERAC[[#This Row],[COD CART]],[1]!MatrizCortoLargoCyl[#All],3,0),"")</f>
        <v/>
      </c>
      <c r="F6041" s="13" t="inlineStr">
        <is>
          <t>AAL/C/12,00/17-06-2022</t>
        </is>
      </c>
      <c r="G6041" s="6" t="n">
        <v>500</v>
      </c>
      <c r="H6041" s="6" t="n">
        <v>-3529.75</v>
      </c>
      <c r="I6041" s="7">
        <f>-H6041/G6041</f>
        <v/>
      </c>
      <c r="J6041" s="11" t="n">
        <v>44671</v>
      </c>
      <c r="K6041" s="6" t="n">
        <v>500</v>
      </c>
      <c r="L6041" s="6" t="n">
        <v>3891.638</v>
      </c>
      <c r="M6041" s="7">
        <f>IF(N6041=0,+L6041+H6041,0)</f>
        <v/>
      </c>
      <c r="N6041" s="7">
        <f>IF((+G6041-K6041)=0,0,+G6041-K6041)</f>
        <v/>
      </c>
      <c r="O6041" s="7">
        <f>IF(N6041=0,0,(L6041+H6041)/-N6041)</f>
        <v/>
      </c>
      <c r="P6041" s="7">
        <f>VLOOKUP(OPERAC[[#This Row],[especie]],[1]!ESPECIES[#All],6,0)</f>
        <v/>
      </c>
      <c r="Q6041" s="7">
        <f>IF(N6041&lt;&gt;0,P6041*N6041,0)</f>
        <v/>
      </c>
      <c r="R6041" s="8">
        <f>IF(Q6041&lt;&gt;0,Q6041+H6041+L6041,0)</f>
        <v/>
      </c>
      <c r="S6041" s="9">
        <f>VLOOKUP(OPERAC[[#This Row],[especie]],[1]!ESPECIES[#Data],9,FALSE)</f>
        <v/>
      </c>
    </row>
    <row r="6042">
      <c r="A6042" s="4" t="n">
        <v>3728</v>
      </c>
      <c r="B6042" s="5" t="n">
        <v>44692</v>
      </c>
      <c r="C6042" s="13" t="inlineStr">
        <is>
          <t>CPR</t>
        </is>
      </c>
      <c r="D6042" s="13" t="n">
        <v>40</v>
      </c>
      <c r="E6042" s="10">
        <f>IF(D6042&gt;0,VLOOKUP(OPERAC[[#This Row],[COD CART]],[1]!MatrizCortoLargoCyl[#All],3,0),"")</f>
        <v/>
      </c>
      <c r="F6042" s="13" t="inlineStr">
        <is>
          <t>MELI</t>
        </is>
      </c>
      <c r="G6042" s="6" t="n">
        <v>5</v>
      </c>
      <c r="H6042" s="6" t="n">
        <v>-3530.977</v>
      </c>
      <c r="I6042" s="7">
        <f>-H6042/G6042</f>
        <v/>
      </c>
      <c r="J6042" s="11" t="n"/>
      <c r="K6042" s="6" t="n"/>
      <c r="L6042" s="6" t="n"/>
      <c r="M6042" s="7">
        <f>IF(N6042=0,+L6042+H6042,0)</f>
        <v/>
      </c>
      <c r="N6042" s="7">
        <f>IF((+G6042-K6042)=0,0,+G6042-K6042)</f>
        <v/>
      </c>
      <c r="O6042" s="7">
        <f>IF(N6042=0,0,(L6042+H6042)/-N6042)</f>
        <v/>
      </c>
      <c r="P6042" s="7">
        <f>VLOOKUP(OPERAC[[#This Row],[especie]],[1]!ESPECIES[#All],6,0)</f>
        <v/>
      </c>
      <c r="Q6042" s="7">
        <f>IF(N6042&lt;&gt;0,P6042*N6042,0)</f>
        <v/>
      </c>
      <c r="R6042" s="8">
        <f>IF(Q6042&lt;&gt;0,Q6042+H6042+L6042,0)</f>
        <v/>
      </c>
      <c r="S6042" s="9">
        <f>VLOOKUP(OPERAC[[#This Row],[especie]],[1]!ESPECIES[#Data],9,FALSE)</f>
        <v/>
      </c>
    </row>
    <row r="6043">
      <c r="A6043" s="4" t="n">
        <v>3728</v>
      </c>
      <c r="B6043" s="5" t="n">
        <v>44707</v>
      </c>
      <c r="C6043" s="13" t="inlineStr">
        <is>
          <t>CPR</t>
        </is>
      </c>
      <c r="D6043" s="13" t="n">
        <v>32</v>
      </c>
      <c r="E6043" s="10">
        <f>IF(D6043&gt;0,VLOOKUP(OPERAC[[#This Row],[COD CART]],[1]!MatrizCortoLargoCyl[#All],3,0),"")</f>
        <v/>
      </c>
      <c r="F6043" s="13" t="inlineStr">
        <is>
          <t>SSYS/CYL/22,50/16-09-22</t>
        </is>
      </c>
      <c r="G6043" s="6" t="n">
        <v>200</v>
      </c>
      <c r="H6043" s="6" t="n">
        <v>-3538.975</v>
      </c>
      <c r="I6043" s="7">
        <f>-H6043/G6043</f>
        <v/>
      </c>
      <c r="J6043" s="5" t="n"/>
      <c r="K6043" s="6" t="n"/>
      <c r="L6043" s="6" t="n"/>
      <c r="M6043" s="7">
        <f>IF(N6043=0,+L6043+H6043,0)</f>
        <v/>
      </c>
      <c r="N6043" s="7">
        <f>IF((+G6043-K6043)=0,0,+G6043-K6043)</f>
        <v/>
      </c>
      <c r="O6043" s="7">
        <f>IF(N6043=0,0,(L6043+H6043)/-N6043)</f>
        <v/>
      </c>
      <c r="P6043" s="7">
        <f>VLOOKUP(OPERAC[[#This Row],[especie]],[1]!ESPECIES[#All],6,0)</f>
        <v/>
      </c>
      <c r="Q6043" s="7">
        <f>IF(N6043&lt;&gt;0,P6043*N6043,0)</f>
        <v/>
      </c>
      <c r="R6043" s="8">
        <f>IF(Q6043&lt;&gt;0,Q6043+H6043+L6043,0)</f>
        <v/>
      </c>
      <c r="S6043" s="9">
        <f>VLOOKUP(OPERAC[[#This Row],[especie]],[1]!ESPECIES[#Data],9,FALSE)</f>
        <v/>
      </c>
    </row>
    <row r="6044">
      <c r="A6044" s="4" t="n">
        <v>2218</v>
      </c>
      <c r="B6044" s="5" t="n">
        <v>44615</v>
      </c>
      <c r="C6044" s="13" t="inlineStr">
        <is>
          <t>CPR</t>
        </is>
      </c>
      <c r="D6044" s="13" t="n">
        <v>31</v>
      </c>
      <c r="E6044" s="10">
        <f>IF(D6044&gt;0,VLOOKUP(OPERAC[[#This Row],[COD CART]],[1]!MatrizCortoLargoCyl[#All],3,0),"")</f>
        <v/>
      </c>
      <c r="F6044" s="13" t="inlineStr">
        <is>
          <t>GGAL</t>
        </is>
      </c>
      <c r="G6044" s="6" t="n">
        <v>350</v>
      </c>
      <c r="H6044" s="6" t="n">
        <v>-3539.234</v>
      </c>
      <c r="I6044" s="7">
        <f>-H6044/G6044</f>
        <v/>
      </c>
      <c r="J6044" s="11" t="n">
        <v>44692</v>
      </c>
      <c r="K6044" s="6" t="n">
        <v>350</v>
      </c>
      <c r="L6044" s="6">
        <f>+OPERAC[[#This Row],[cantidad venta]]*9.032</f>
        <v/>
      </c>
      <c r="M6044" s="7">
        <f>IF(N6044=0,+L6044+H6044,0)</f>
        <v/>
      </c>
      <c r="N6044" s="7">
        <f>IF((+G6044-K6044)=0,0,+G6044-K6044)</f>
        <v/>
      </c>
      <c r="O6044" s="7">
        <f>IF(N6044=0,0,(L6044+H6044)/-N6044)</f>
        <v/>
      </c>
      <c r="P6044" s="7">
        <f>VLOOKUP(OPERAC[[#This Row],[especie]],[1]!ESPECIES[#All],6,0)</f>
        <v/>
      </c>
      <c r="Q6044" s="7">
        <f>IF(N6044&lt;&gt;0,P6044*N6044,0)</f>
        <v/>
      </c>
      <c r="R6044" s="8">
        <f>IF(Q6044&lt;&gt;0,Q6044+H6044+L6044,0)</f>
        <v/>
      </c>
      <c r="S6044" s="9">
        <f>VLOOKUP(OPERAC[[#This Row],[especie]],[1]!ESPECIES[#Data],9,FALSE)</f>
        <v/>
      </c>
    </row>
    <row r="6045">
      <c r="A6045" s="4" t="n">
        <v>16780</v>
      </c>
      <c r="B6045" s="5" t="n">
        <v>44636</v>
      </c>
      <c r="C6045" s="13" t="inlineStr">
        <is>
          <t>CPR</t>
        </is>
      </c>
      <c r="D6045" s="13" t="n">
        <v>43</v>
      </c>
      <c r="E6045" s="10">
        <f>IF(D6045&gt;0,VLOOKUP(OPERAC[[#This Row],[COD CART]],[1]!MatrizCortoLargoCyl[#All],3,0),"")</f>
        <v/>
      </c>
      <c r="F6045" s="13" t="inlineStr">
        <is>
          <t>GMBL/CYL-PUT/0,50/19-01-24</t>
        </is>
      </c>
      <c r="G6045" s="6" t="n">
        <v>13000</v>
      </c>
      <c r="H6045" s="6">
        <f>-10563.12452+5712.005+1289.6</f>
        <v/>
      </c>
      <c r="I6045" s="7">
        <f>-H6045/G6045</f>
        <v/>
      </c>
      <c r="J6045" s="11" t="n"/>
      <c r="K6045" s="6" t="n"/>
      <c r="L6045" s="6" t="n"/>
      <c r="M6045" s="7">
        <f>IF(N6045=0,+L6045+H6045,0)</f>
        <v/>
      </c>
      <c r="N6045" s="7">
        <f>IF((+G6045-K6045)=0,0,+G6045-K6045)</f>
        <v/>
      </c>
      <c r="O6045" s="7">
        <f>IF(N6045=0,0,(L6045+H6045)/-N6045)</f>
        <v/>
      </c>
      <c r="P6045" s="7">
        <f>VLOOKUP(OPERAC[[#This Row],[especie]],[1]!ESPECIES[#All],6,0)</f>
        <v/>
      </c>
      <c r="Q6045" s="7">
        <f>IF(N6045&lt;&gt;0,P6045*N6045,0)</f>
        <v/>
      </c>
      <c r="R6045" s="8">
        <f>IF(Q6045&lt;&gt;0,Q6045+H6045+L6045,0)</f>
        <v/>
      </c>
      <c r="S6045" s="9">
        <f>VLOOKUP(OPERAC[[#This Row],[especie]],[1]!ESPECIES[#Data],9,FALSE)</f>
        <v/>
      </c>
    </row>
    <row r="6046">
      <c r="A6046" s="4" t="n">
        <v>10079</v>
      </c>
      <c r="B6046" s="5" t="n">
        <v>44671</v>
      </c>
      <c r="C6046" s="13" t="inlineStr">
        <is>
          <t>CPR</t>
        </is>
      </c>
      <c r="D6046" s="13" t="n">
        <v>42</v>
      </c>
      <c r="E6046" s="10">
        <f>IF(D6046&gt;0,VLOOKUP(OPERAC[[#This Row],[COD CART]],[1]!MatrizCortoLargoCyl[#All],3,0),"")</f>
        <v/>
      </c>
      <c r="F6046" s="13" t="inlineStr">
        <is>
          <t>NFLX</t>
        </is>
      </c>
      <c r="G6046" s="6" t="n">
        <v>14</v>
      </c>
      <c r="H6046" s="6" t="n">
        <v>-3563.07084</v>
      </c>
      <c r="I6046" s="7">
        <f>-H6046/G6046</f>
        <v/>
      </c>
      <c r="J6046" s="11" t="n">
        <v>44693</v>
      </c>
      <c r="K6046" s="6">
        <f>+OPERAC[[#This Row],[cantidad]]</f>
        <v/>
      </c>
      <c r="L6046" s="6">
        <f>+OPERAC[[#This Row],[cantidad venta]]*169.079</f>
        <v/>
      </c>
      <c r="M6046" s="7">
        <f>IF(N6046=0,+L6046+H6046,0)</f>
        <v/>
      </c>
      <c r="N6046" s="7">
        <f>IF((+G6046-K6046)=0,0,+G6046-K6046)</f>
        <v/>
      </c>
      <c r="O6046" s="7">
        <f>IF(N6046=0,0,(L6046+H6046)/-N6046)</f>
        <v/>
      </c>
      <c r="P6046" s="7">
        <f>VLOOKUP(OPERAC[[#This Row],[especie]],[1]!ESPECIES[#All],6,0)</f>
        <v/>
      </c>
      <c r="Q6046" s="7">
        <f>IF(N6046&lt;&gt;0,P6046*N6046,0)</f>
        <v/>
      </c>
      <c r="R6046" s="8">
        <f>IF(Q6046&lt;&gt;0,Q6046+H6046+L6046,0)</f>
        <v/>
      </c>
      <c r="S6046" s="9">
        <f>VLOOKUP(OPERAC[[#This Row],[especie]],[1]!ESPECIES[#Data],9,FALSE)</f>
        <v/>
      </c>
    </row>
    <row r="6047">
      <c r="A6047" s="4" t="n">
        <v>18651</v>
      </c>
      <c r="B6047" s="5" t="n">
        <v>44670</v>
      </c>
      <c r="C6047" s="13" t="inlineStr">
        <is>
          <t>CPR</t>
        </is>
      </c>
      <c r="D6047" s="13" t="n">
        <v>43</v>
      </c>
      <c r="E6047" s="10">
        <f>IF(D6047&gt;0,VLOOKUP(OPERAC[[#This Row],[COD CART]],[1]!MatrizCortoLargoCyl[#All],3,0),"")</f>
        <v/>
      </c>
      <c r="F6047" s="13" t="inlineStr">
        <is>
          <t>PCT/CYL-PUT/7,50/20-01-23</t>
        </is>
      </c>
      <c r="G6047" s="6" t="n">
        <v>1000</v>
      </c>
      <c r="H6047" s="6" t="n">
        <v>-3580.229</v>
      </c>
      <c r="I6047" s="7">
        <f>-H6047/G6047</f>
        <v/>
      </c>
      <c r="J6047" s="11" t="n"/>
      <c r="K6047" s="6" t="n"/>
      <c r="L6047" s="6" t="n"/>
      <c r="M6047" s="7">
        <f>IF(N6047=0,+L6047+H6047,0)</f>
        <v/>
      </c>
      <c r="N6047" s="7">
        <f>IF((+G6047-K6047)=0,0,+G6047-K6047)</f>
        <v/>
      </c>
      <c r="O6047" s="7">
        <f>IF(N6047=0,0,(L6047+H6047)/-N6047)</f>
        <v/>
      </c>
      <c r="P6047" s="7">
        <f>VLOOKUP(OPERAC[[#This Row],[especie]],[1]!ESPECIES[#All],6,0)</f>
        <v/>
      </c>
      <c r="Q6047" s="7">
        <f>IF(N6047&lt;&gt;0,P6047*N6047,0)</f>
        <v/>
      </c>
      <c r="R6047" s="8">
        <f>IF(Q6047&lt;&gt;0,Q6047+H6047+L6047,0)</f>
        <v/>
      </c>
      <c r="S6047" s="9">
        <f>VLOOKUP(OPERAC[[#This Row],[especie]],[1]!ESPECIES[#Data],9,FALSE)</f>
        <v/>
      </c>
    </row>
    <row r="6048">
      <c r="A6048" s="4" t="n">
        <v>12690</v>
      </c>
      <c r="B6048" s="5" t="n">
        <v>44552</v>
      </c>
      <c r="C6048" s="13" t="inlineStr">
        <is>
          <t>CPR</t>
        </is>
      </c>
      <c r="D6048" s="13" t="n">
        <v>32</v>
      </c>
      <c r="E6048" s="10">
        <f>IF(D6048&gt;0,VLOOKUP(OPERAC[[#This Row],[COD CART]],[1]!MatrizCortoLargoCyl[#All],3,0),"")</f>
        <v/>
      </c>
      <c r="F6048" s="13" t="inlineStr">
        <is>
          <t>MX</t>
        </is>
      </c>
      <c r="G6048" s="6" t="n">
        <v>200</v>
      </c>
      <c r="H6048" s="6">
        <f>-3759.384+77.972+99.2</f>
        <v/>
      </c>
      <c r="I6048" s="7">
        <f>-H6048/G6048</f>
        <v/>
      </c>
      <c r="J6048" s="11" t="n">
        <v>44643</v>
      </c>
      <c r="K6048" s="6" t="n">
        <v>200</v>
      </c>
      <c r="L6048" s="6" t="n">
        <v>3411.833</v>
      </c>
      <c r="M6048" s="7">
        <f>IF(N6048=0,+L6048+H6048,0)</f>
        <v/>
      </c>
      <c r="N6048" s="7">
        <f>IF((+G6048-K6048)=0,0,+G6048-K6048)</f>
        <v/>
      </c>
      <c r="O6048" s="7">
        <f>IF(N6048=0,0,(L6048+H6048)/-N6048)</f>
        <v/>
      </c>
      <c r="P6048" s="7">
        <f>VLOOKUP(OPERAC[[#This Row],[especie]],[1]!ESPECIES[#All],6,0)</f>
        <v/>
      </c>
      <c r="Q6048" s="7">
        <f>IF(N6048&lt;&gt;0,P6048*N6048,0)</f>
        <v/>
      </c>
      <c r="R6048" s="8">
        <f>IF(Q6048&lt;&gt;0,Q6048+H6048+L6048,0)</f>
        <v/>
      </c>
      <c r="S6048" s="9">
        <f>VLOOKUP(OPERAC[[#This Row],[especie]],[1]!ESPECIES[#Data],9,FALSE)</f>
        <v/>
      </c>
    </row>
    <row r="6049">
      <c r="A6049" s="4" t="n">
        <v>1760</v>
      </c>
      <c r="B6049" s="5" t="n">
        <v>44237</v>
      </c>
      <c r="C6049" s="13" t="inlineStr">
        <is>
          <t>CPR</t>
        </is>
      </c>
      <c r="D6049" s="13" t="n">
        <v>32</v>
      </c>
      <c r="E6049" s="10">
        <f>IF(D6049&gt;0,VLOOKUP(OPERAC[[#This Row],[COD CART]],[1]!MatrizCortoLargoCyl[#All],3,0),"")</f>
        <v/>
      </c>
      <c r="F6049" s="13" t="inlineStr">
        <is>
          <t>DDD/CYL/32,00/21-01-22</t>
        </is>
      </c>
      <c r="G6049" s="6" t="n">
        <v>100</v>
      </c>
      <c r="H6049" s="6">
        <f>-4006.915+48.865+27.566+49.34+124+78.797+26.07+40.172+29.76</f>
        <v/>
      </c>
      <c r="I6049" s="7">
        <f>-H6049/G6049</f>
        <v/>
      </c>
      <c r="J6049" s="11" t="n">
        <v>44582</v>
      </c>
      <c r="K6049" s="6" t="n">
        <v>100</v>
      </c>
      <c r="L6049" s="6">
        <f>17.262*OPERAC[[#This Row],[cantidad venta]]</f>
        <v/>
      </c>
      <c r="M6049" s="7">
        <f>IF(N6049=0,+L6049+H6049,0)</f>
        <v/>
      </c>
      <c r="N6049" s="7">
        <f>IF((+G6049-K6049)=0,0,+G6049-K6049)</f>
        <v/>
      </c>
      <c r="O6049" s="7">
        <f>IF(N6049=0,0,(L6049+H6049)/-N6049)</f>
        <v/>
      </c>
      <c r="P6049" s="7">
        <f>VLOOKUP(OPERAC[[#This Row],[especie]],[1]!ESPECIES[#All],6,0)</f>
        <v/>
      </c>
      <c r="Q6049" s="7">
        <f>IF(N6049&lt;&gt;0,P6049*N6049,0)</f>
        <v/>
      </c>
      <c r="R6049" s="8">
        <f>IF(Q6049&lt;&gt;0,Q6049+H6049+L6049,0)</f>
        <v/>
      </c>
      <c r="S6049" s="9">
        <f>VLOOKUP(OPERAC[[#This Row],[especie]],[1]!ESPECIES[#Data],9,FALSE)</f>
        <v/>
      </c>
    </row>
    <row r="6050">
      <c r="A6050" s="4" t="n">
        <v>2218</v>
      </c>
      <c r="B6050" s="5" t="n">
        <v>44615</v>
      </c>
      <c r="C6050" s="13" t="inlineStr">
        <is>
          <t>CPR</t>
        </is>
      </c>
      <c r="D6050" s="13" t="n">
        <v>40</v>
      </c>
      <c r="E6050" s="10">
        <f>IF(D6050&gt;0,VLOOKUP(OPERAC[[#This Row],[COD CART]],[1]!MatrizCortoLargoCyl[#All],3,0),"")</f>
        <v/>
      </c>
      <c r="F6050" s="13" t="inlineStr">
        <is>
          <t>ROKU</t>
        </is>
      </c>
      <c r="G6050" s="6" t="n">
        <v>30</v>
      </c>
      <c r="H6050" s="6" t="n">
        <v>-3585.981</v>
      </c>
      <c r="I6050" s="7">
        <f>-H6050/G6050</f>
        <v/>
      </c>
      <c r="J6050" s="11" t="n">
        <v>44669</v>
      </c>
      <c r="K6050" s="6" t="n">
        <v>30</v>
      </c>
      <c r="L6050" s="6" t="n">
        <v>3236.76</v>
      </c>
      <c r="M6050" s="7">
        <f>IF(N6050=0,+L6050+H6050,0)</f>
        <v/>
      </c>
      <c r="N6050" s="7">
        <f>IF((+G6050-K6050)=0,0,+G6050-K6050)</f>
        <v/>
      </c>
      <c r="O6050" s="7">
        <f>IF(N6050=0,0,(L6050+H6050)/-N6050)</f>
        <v/>
      </c>
      <c r="P6050" s="7">
        <f>VLOOKUP(OPERAC[[#This Row],[especie]],[1]!ESPECIES[#All],6,0)</f>
        <v/>
      </c>
      <c r="Q6050" s="7">
        <f>IF(N6050&lt;&gt;0,P6050*N6050,0)</f>
        <v/>
      </c>
      <c r="R6050" s="8">
        <f>IF(Q6050&lt;&gt;0,Q6050+H6050+L6050,0)</f>
        <v/>
      </c>
      <c r="S6050" s="9">
        <f>VLOOKUP(OPERAC[[#This Row],[especie]],[1]!ESPECIES[#Data],9,FALSE)</f>
        <v/>
      </c>
    </row>
    <row r="6051">
      <c r="A6051" s="4" t="n">
        <v>12690</v>
      </c>
      <c r="B6051" s="5" t="n">
        <v>44467</v>
      </c>
      <c r="C6051" s="13" t="inlineStr">
        <is>
          <t>CPR</t>
        </is>
      </c>
      <c r="D6051" s="13" t="n">
        <v>32</v>
      </c>
      <c r="E6051" s="10">
        <f>IF(D6051&gt;0,VLOOKUP(OPERAC[[#This Row],[COD CART]],[1]!MatrizCortoLargoCyl[#All],3,0),"")</f>
        <v/>
      </c>
      <c r="F6051" s="13" t="inlineStr">
        <is>
          <t>AAL/CYL/20,00/14-04-22</t>
        </is>
      </c>
      <c r="G6051" s="6" t="n">
        <v>200</v>
      </c>
      <c r="H6051" s="6">
        <f>-3863.908+24.876+52.618+58.47+20.824+74.147+43.086</f>
        <v/>
      </c>
      <c r="I6051" s="7">
        <f>-H6051/G6051</f>
        <v/>
      </c>
      <c r="J6051" s="11" t="n">
        <v>44665</v>
      </c>
      <c r="K6051" s="6" t="n">
        <v>200</v>
      </c>
      <c r="L6051" s="6">
        <f>19.35*200</f>
        <v/>
      </c>
      <c r="M6051" s="7">
        <f>IF(N6051=0,+L6051+H6051,0)</f>
        <v/>
      </c>
      <c r="N6051" s="7">
        <f>IF((+G6051-K6051)=0,0,+G6051-K6051)</f>
        <v/>
      </c>
      <c r="O6051" s="7">
        <f>IF(N6051=0,0,(L6051+H6051)/-N6051)</f>
        <v/>
      </c>
      <c r="P6051" s="7">
        <f>VLOOKUP(OPERAC[[#This Row],[especie]],[1]!ESPECIES[#All],6,0)</f>
        <v/>
      </c>
      <c r="Q6051" s="7">
        <f>IF(N6051&lt;&gt;0,P6051*N6051,0)</f>
        <v/>
      </c>
      <c r="R6051" s="8">
        <f>IF(Q6051&lt;&gt;0,Q6051+H6051+L6051,0)</f>
        <v/>
      </c>
      <c r="S6051" s="9">
        <f>VLOOKUP(OPERAC[[#This Row],[especie]],[1]!ESPECIES[#Data],9,FALSE)</f>
        <v/>
      </c>
    </row>
    <row r="6052">
      <c r="A6052" s="4" t="n">
        <v>7914</v>
      </c>
      <c r="B6052" s="5" t="n">
        <v>44552</v>
      </c>
      <c r="C6052" s="13" t="inlineStr">
        <is>
          <t>CPR</t>
        </is>
      </c>
      <c r="D6052" s="13" t="n">
        <v>32</v>
      </c>
      <c r="E6052" s="10">
        <f>IF(D6052&gt;0,VLOOKUP(OPERAC[[#This Row],[COD CART]],[1]!MatrizCortoLargoCyl[#All],3,0),"")</f>
        <v/>
      </c>
      <c r="F6052" s="13" t="inlineStr">
        <is>
          <t>GOLD/CYL/19,00/21-01-22</t>
        </is>
      </c>
      <c r="G6052" s="6" t="n">
        <v>200</v>
      </c>
      <c r="H6052" s="6">
        <f>-18.08*OPERAC[[#This Row],[cantidad]]</f>
        <v/>
      </c>
      <c r="I6052" s="7">
        <f>-H6052/G6052</f>
        <v/>
      </c>
      <c r="J6052" s="11" t="n">
        <v>44580</v>
      </c>
      <c r="K6052" s="6" t="n">
        <v>200</v>
      </c>
      <c r="L6052" s="6" t="n">
        <v>3753.69</v>
      </c>
      <c r="M6052" s="7">
        <f>IF(N6052=0,+L6052+H6052,0)</f>
        <v/>
      </c>
      <c r="N6052" s="7">
        <f>IF((+G6052-K6052)=0,0,+G6052-K6052)</f>
        <v/>
      </c>
      <c r="O6052" s="7">
        <f>IF(N6052=0,0,(L6052+H6052)/-N6052)</f>
        <v/>
      </c>
      <c r="P6052" s="7">
        <f>VLOOKUP(OPERAC[[#This Row],[especie]],[1]!ESPECIES[#All],6,0)</f>
        <v/>
      </c>
      <c r="Q6052" s="7">
        <f>IF(N6052&lt;&gt;0,P6052*N6052,0)</f>
        <v/>
      </c>
      <c r="R6052" s="8">
        <f>IF(Q6052&lt;&gt;0,Q6052+H6052+L6052,0)</f>
        <v/>
      </c>
      <c r="S6052" s="9">
        <f>VLOOKUP(OPERAC[[#This Row],[especie]],[1]!ESPECIES[#Data],9,FALSE)</f>
        <v/>
      </c>
    </row>
    <row r="6053">
      <c r="A6053" s="4" t="n">
        <v>18651</v>
      </c>
      <c r="B6053" s="5" t="n">
        <v>44662</v>
      </c>
      <c r="C6053" s="13" t="inlineStr">
        <is>
          <t>CPR</t>
        </is>
      </c>
      <c r="D6053" s="13" t="n">
        <v>42</v>
      </c>
      <c r="E6053" s="10">
        <f>IF(D6053&gt;0,VLOOKUP(OPERAC[[#This Row],[COD CART]],[1]!MatrizCortoLargoCyl[#All],3,0),"")</f>
        <v/>
      </c>
      <c r="F6053" s="13" t="inlineStr">
        <is>
          <t>HYDR</t>
        </is>
      </c>
      <c r="G6053" s="6" t="n">
        <v>195</v>
      </c>
      <c r="H6053" s="6" t="n">
        <v>-3621.21708</v>
      </c>
      <c r="I6053" s="7">
        <f>-H6053/G6053</f>
        <v/>
      </c>
      <c r="J6053" s="11" t="n">
        <v>44693</v>
      </c>
      <c r="K6053" s="6">
        <f>+OPERAC[[#This Row],[cantidad]]</f>
        <v/>
      </c>
      <c r="L6053" s="6">
        <f>+OPERAC[[#This Row],[cantidad venta]]*11.986</f>
        <v/>
      </c>
      <c r="M6053" s="7">
        <f>IF(N6053=0,+L6053+H6053,0)</f>
        <v/>
      </c>
      <c r="N6053" s="7">
        <f>IF((+G6053-K6053)=0,0,+G6053-K6053)</f>
        <v/>
      </c>
      <c r="O6053" s="7">
        <f>IF(N6053=0,0,(L6053+H6053)/-N6053)</f>
        <v/>
      </c>
      <c r="P6053" s="7">
        <f>VLOOKUP(OPERAC[[#This Row],[especie]],[1]!ESPECIES[#All],6,0)</f>
        <v/>
      </c>
      <c r="Q6053" s="7">
        <f>IF(N6053&lt;&gt;0,P6053*N6053,0)</f>
        <v/>
      </c>
      <c r="R6053" s="8">
        <f>IF(Q6053&lt;&gt;0,Q6053+H6053+L6053,0)</f>
        <v/>
      </c>
      <c r="S6053" s="9">
        <f>VLOOKUP(OPERAC[[#This Row],[especie]],[1]!ESPECIES[#Data],9,FALSE)</f>
        <v/>
      </c>
    </row>
    <row r="6054">
      <c r="A6054" s="4" t="n">
        <v>1760</v>
      </c>
      <c r="B6054" s="5" t="n">
        <v>44537</v>
      </c>
      <c r="C6054" s="13" t="inlineStr">
        <is>
          <t>CPR</t>
        </is>
      </c>
      <c r="D6054" s="13" t="n">
        <v>43</v>
      </c>
      <c r="E6054" s="10">
        <f>IF(D6054&gt;0,VLOOKUP(OPERAC[[#This Row],[COD CART]],[1]!MatrizCortoLargoCyl[#All],3,0),"")</f>
        <v/>
      </c>
      <c r="F6054" s="13" t="inlineStr">
        <is>
          <t>HEXO/CYL-PUT/1,00/20-01-23</t>
        </is>
      </c>
      <c r="G6054" s="6" t="n">
        <v>20000</v>
      </c>
      <c r="H6054" s="6" t="n">
        <v>-3648.16</v>
      </c>
      <c r="I6054" s="7">
        <f>-H6054/G6054</f>
        <v/>
      </c>
      <c r="J6054" s="11" t="n">
        <v>44609</v>
      </c>
      <c r="K6054" s="6">
        <f>1500+1500+2000+10000</f>
        <v/>
      </c>
      <c r="L6054" s="6">
        <f>555.537+555.182-608.1+3279.32</f>
        <v/>
      </c>
      <c r="M6054" s="7">
        <f>IF(N6054=0,+L6054+H6054,0)</f>
        <v/>
      </c>
      <c r="N6054" s="7">
        <f>IF((+G6054-K6054)=0,0,+G6054-K6054)</f>
        <v/>
      </c>
      <c r="O6054" s="7">
        <f>IF(N6054=0,0,(L6054+H6054)/-N6054)</f>
        <v/>
      </c>
      <c r="P6054" s="7">
        <f>VLOOKUP(OPERAC[[#This Row],[especie]],[1]!ESPECIES[#All],6,0)</f>
        <v/>
      </c>
      <c r="Q6054" s="7">
        <f>IF(N6054&lt;&gt;0,P6054*N6054,0)</f>
        <v/>
      </c>
      <c r="R6054" s="8">
        <f>IF(Q6054&lt;&gt;0,Q6054+H6054+L6054,0)</f>
        <v/>
      </c>
      <c r="S6054" s="9">
        <f>VLOOKUP(OPERAC[[#This Row],[especie]],[1]!ESPECIES[#Data],9,FALSE)</f>
        <v/>
      </c>
    </row>
    <row r="6055">
      <c r="A6055" s="4" t="n">
        <v>16776</v>
      </c>
      <c r="B6055" s="5" t="n">
        <v>44307</v>
      </c>
      <c r="C6055" s="13" t="inlineStr">
        <is>
          <t>CPR</t>
        </is>
      </c>
      <c r="D6055" s="13" t="n">
        <v>41</v>
      </c>
      <c r="E6055" s="10">
        <f>IF(D6055&gt;0,VLOOKUP(OPERAC[[#This Row],[COD CART]],[1]!MatrizCortoLargoCyl[#All],3,0),"")</f>
        <v/>
      </c>
      <c r="F6055" s="13" t="inlineStr">
        <is>
          <t>DIS</t>
        </is>
      </c>
      <c r="G6055" s="6" t="n">
        <v>20</v>
      </c>
      <c r="H6055" s="6" t="n">
        <v>-3678.936</v>
      </c>
      <c r="I6055" s="7">
        <f>-H6055/G6055</f>
        <v/>
      </c>
      <c r="J6055" s="11" t="n"/>
      <c r="K6055" s="6" t="n"/>
      <c r="L6055" s="6" t="n"/>
      <c r="M6055" s="7">
        <f>IF(N6055=0,+L6055+H6055,0)</f>
        <v/>
      </c>
      <c r="N6055" s="7">
        <f>IF((+G6055-K6055)=0,0,+G6055-K6055)</f>
        <v/>
      </c>
      <c r="O6055" s="7">
        <f>IF(N6055=0,0,(L6055+H6055)/-N6055)</f>
        <v/>
      </c>
      <c r="P6055" s="7">
        <f>VLOOKUP(OPERAC[[#This Row],[especie]],[1]!ESPECIES[#All],6,0)</f>
        <v/>
      </c>
      <c r="Q6055" s="7">
        <f>IF(N6055&lt;&gt;0,P6055*N6055,0)</f>
        <v/>
      </c>
      <c r="R6055" s="8">
        <f>IF(Q6055&lt;&gt;0,Q6055+H6055+L6055,0)</f>
        <v/>
      </c>
      <c r="S6055" s="9">
        <f>VLOOKUP(OPERAC[[#This Row],[especie]],[1]!ESPECIES[#Data],9,FALSE)</f>
        <v/>
      </c>
    </row>
    <row r="6056">
      <c r="A6056" s="4" t="n">
        <v>15195</v>
      </c>
      <c r="B6056" s="5" t="n">
        <v>44650</v>
      </c>
      <c r="C6056" s="13" t="inlineStr">
        <is>
          <t>CPR</t>
        </is>
      </c>
      <c r="D6056" s="13" t="n">
        <v>43</v>
      </c>
      <c r="E6056" s="10">
        <f>IF(D6056&gt;0,VLOOKUP(OPERAC[[#This Row],[COD CART]],[1]!MatrizCortoLargoCyl[#All],3,0),"")</f>
        <v/>
      </c>
      <c r="F6056" s="13" t="inlineStr">
        <is>
          <t>ACB/CYL-PUT/3,00/20-01-23</t>
        </is>
      </c>
      <c r="G6056" s="6" t="n">
        <v>2000</v>
      </c>
      <c r="H6056" s="6" t="n">
        <v>-3715.556</v>
      </c>
      <c r="I6056" s="7">
        <f>-H6056/G6056</f>
        <v/>
      </c>
      <c r="J6056" s="11" t="n"/>
      <c r="K6056" s="6" t="n"/>
      <c r="L6056" s="6" t="n"/>
      <c r="M6056" s="7">
        <f>IF(N6056=0,+L6056+H6056,0)</f>
        <v/>
      </c>
      <c r="N6056" s="7">
        <f>IF((+G6056-K6056)=0,0,+G6056-K6056)</f>
        <v/>
      </c>
      <c r="O6056" s="7">
        <f>IF(N6056=0,0,(L6056+H6056)/-N6056)</f>
        <v/>
      </c>
      <c r="P6056" s="7">
        <f>VLOOKUP(OPERAC[[#This Row],[especie]],[1]!ESPECIES[#All],6,0)</f>
        <v/>
      </c>
      <c r="Q6056" s="7">
        <f>IF(N6056&lt;&gt;0,P6056*N6056,0)</f>
        <v/>
      </c>
      <c r="R6056" s="8">
        <f>IF(Q6056&lt;&gt;0,Q6056+H6056+L6056,0)</f>
        <v/>
      </c>
      <c r="S6056" s="9">
        <f>VLOOKUP(OPERAC[[#This Row],[especie]],[1]!ESPECIES[#Data],9,FALSE)</f>
        <v/>
      </c>
    </row>
    <row r="6057">
      <c r="A6057" s="4" t="n">
        <v>10079</v>
      </c>
      <c r="B6057" s="5" t="n">
        <v>44680</v>
      </c>
      <c r="C6057" s="13" t="inlineStr">
        <is>
          <t>CPR</t>
        </is>
      </c>
      <c r="D6057" s="13" t="n">
        <v>32</v>
      </c>
      <c r="E6057" s="10">
        <f>IF(D6057&gt;0,VLOOKUP(OPERAC[[#This Row],[COD CART]],[1]!MatrizCortoLargoCyl[#All],3,0),"")</f>
        <v/>
      </c>
      <c r="F6057" s="13" t="inlineStr">
        <is>
          <t>COTY/CYL/8,00/17-06-22</t>
        </is>
      </c>
      <c r="G6057" s="6" t="n">
        <v>500</v>
      </c>
      <c r="H6057" s="6">
        <f>-3781.026+34.703</f>
        <v/>
      </c>
      <c r="I6057" s="7">
        <f>-H6057/G6057</f>
        <v/>
      </c>
      <c r="J6057" s="11" t="n"/>
      <c r="K6057" s="6" t="n"/>
      <c r="L6057" s="6" t="n"/>
      <c r="M6057" s="7">
        <f>IF(N6057=0,+L6057+H6057,0)</f>
        <v/>
      </c>
      <c r="N6057" s="7">
        <f>IF((+G6057-K6057)=0,0,+G6057-K6057)</f>
        <v/>
      </c>
      <c r="O6057" s="7">
        <f>IF(N6057=0,0,(L6057+H6057)/-N6057)</f>
        <v/>
      </c>
      <c r="P6057" s="7">
        <f>VLOOKUP(OPERAC[[#This Row],[especie]],[1]!ESPECIES[#All],6,0)</f>
        <v/>
      </c>
      <c r="Q6057" s="7">
        <f>IF(N6057&lt;&gt;0,P6057*N6057,0)</f>
        <v/>
      </c>
      <c r="R6057" s="8">
        <f>IF(Q6057&lt;&gt;0,Q6057+H6057+L6057,0)</f>
        <v/>
      </c>
      <c r="S6057" s="9">
        <f>VLOOKUP(OPERAC[[#This Row],[especie]],[1]!ESPECIES[#Data],9,FALSE)</f>
        <v/>
      </c>
    </row>
    <row r="6058">
      <c r="A6058" s="4" t="n">
        <v>19932</v>
      </c>
      <c r="B6058" s="5" t="n">
        <v>44622</v>
      </c>
      <c r="C6058" s="13" t="inlineStr">
        <is>
          <t>CPR</t>
        </is>
      </c>
      <c r="D6058" s="13" t="n">
        <v>32</v>
      </c>
      <c r="E6058" s="10">
        <f>IF(D6058&gt;0,VLOOKUP(OPERAC[[#This Row],[COD CART]],[1]!MatrizCortoLargoCyl[#All],3,0),"")</f>
        <v/>
      </c>
      <c r="F6058" s="13" t="inlineStr">
        <is>
          <t>HMY/CYL/5,00/18-03-22</t>
        </is>
      </c>
      <c r="G6058" s="6" t="n">
        <v>800</v>
      </c>
      <c r="H6058" s="6" t="n">
        <v>-3748.256</v>
      </c>
      <c r="I6058" s="7">
        <f>-H6058/G6058</f>
        <v/>
      </c>
      <c r="J6058" s="11" t="n">
        <v>44637</v>
      </c>
      <c r="K6058" s="6">
        <f>+OPERAC[[#This Row],[cantidad]]</f>
        <v/>
      </c>
      <c r="L6058" s="6">
        <f>4.85553*OPERAC[[#This Row],[cantidad venta]]</f>
        <v/>
      </c>
      <c r="M6058" s="7">
        <f>IF(N6058=0,+L6058+H6058,0)</f>
        <v/>
      </c>
      <c r="N6058" s="7">
        <f>IF((+G6058-K6058)=0,0,+G6058-K6058)</f>
        <v/>
      </c>
      <c r="O6058" s="7">
        <f>IF(N6058=0,0,(L6058+H6058)/-N6058)</f>
        <v/>
      </c>
      <c r="P6058" s="7">
        <f>VLOOKUP(OPERAC[[#This Row],[especie]],[1]!ESPECIES[#All],6,0)</f>
        <v/>
      </c>
      <c r="Q6058" s="7">
        <f>IF(N6058&lt;&gt;0,P6058*N6058,0)</f>
        <v/>
      </c>
      <c r="R6058" s="8">
        <f>IF(Q6058&lt;&gt;0,Q6058+H6058+L6058,0)</f>
        <v/>
      </c>
      <c r="S6058" s="9">
        <f>VLOOKUP(OPERAC[[#This Row],[especie]],[1]!ESPECIES[#Data],9,FALSE)</f>
        <v/>
      </c>
    </row>
    <row r="6059">
      <c r="A6059" s="4" t="n">
        <v>10079</v>
      </c>
      <c r="B6059" s="5" t="n">
        <v>44489</v>
      </c>
      <c r="C6059" s="13" t="inlineStr">
        <is>
          <t>CPR</t>
        </is>
      </c>
      <c r="D6059" s="13" t="n">
        <v>43</v>
      </c>
      <c r="E6059" s="10">
        <f>IF(D6059&gt;0,VLOOKUP(OPERAC[[#This Row],[COD CART]],[1]!MatrizCortoLargoCyl[#All],3,0),"")</f>
        <v/>
      </c>
      <c r="F6059" s="13" t="inlineStr">
        <is>
          <t>SESN/CYL-PUT/1,00/19-01-24</t>
        </is>
      </c>
      <c r="G6059" s="6" t="n">
        <v>20000</v>
      </c>
      <c r="H6059" s="6">
        <f>-0.1885*OPERAC[[#This Row],[cantidad]]</f>
        <v/>
      </c>
      <c r="I6059" s="7">
        <f>-H6059/G6059</f>
        <v/>
      </c>
      <c r="J6059" s="11" t="n">
        <v>44683</v>
      </c>
      <c r="K6059" s="6" t="n">
        <v>2000</v>
      </c>
      <c r="L6059" s="6">
        <f>735.693-277.338-326.754-277.338</f>
        <v/>
      </c>
      <c r="M6059" s="7">
        <f>IF(N6059=0,+L6059+H6059,0)</f>
        <v/>
      </c>
      <c r="N6059" s="7">
        <f>IF((+G6059-K6059)=0,0,+G6059-K6059)</f>
        <v/>
      </c>
      <c r="O6059" s="7">
        <f>IF(N6059=0,0,(L6059+H6059)/-N6059)</f>
        <v/>
      </c>
      <c r="P6059" s="7">
        <f>VLOOKUP(OPERAC[[#This Row],[especie]],[1]!ESPECIES[#All],6,0)</f>
        <v/>
      </c>
      <c r="Q6059" s="7">
        <f>IF(N6059&lt;&gt;0,P6059*N6059,0)</f>
        <v/>
      </c>
      <c r="R6059" s="8">
        <f>IF(Q6059&lt;&gt;0,Q6059+H6059+L6059,0)</f>
        <v/>
      </c>
      <c r="S6059" s="9">
        <f>VLOOKUP(OPERAC[[#This Row],[especie]],[1]!ESPECIES[#Data],9,FALSE)</f>
        <v/>
      </c>
    </row>
    <row r="6060">
      <c r="A6060" s="4" t="n">
        <v>3728</v>
      </c>
      <c r="B6060" s="5" t="n">
        <v>44641</v>
      </c>
      <c r="C6060" s="13" t="inlineStr">
        <is>
          <t>CPR</t>
        </is>
      </c>
      <c r="D6060" s="13" t="n">
        <v>32</v>
      </c>
      <c r="E6060" s="10">
        <f>IF(D6060&gt;0,VLOOKUP(OPERAC[[#This Row],[COD CART]],[1]!MatrizCortoLargoCyl[#All],3,0),"")</f>
        <v/>
      </c>
      <c r="F6060" s="13" t="inlineStr">
        <is>
          <t>HMY</t>
        </is>
      </c>
      <c r="G6060" s="6" t="n">
        <v>800</v>
      </c>
      <c r="H6060" s="6" t="n">
        <v>-3776.4144</v>
      </c>
      <c r="I6060" s="7">
        <f>-H6060/G6060</f>
        <v/>
      </c>
      <c r="J6060" s="11" t="n">
        <v>44669</v>
      </c>
      <c r="K6060" s="6">
        <f>+OPERAC[[#This Row],[cantidad]]</f>
        <v/>
      </c>
      <c r="L6060" s="6">
        <f>4.925*OPERAC[[#This Row],[cantidad venta]]</f>
        <v/>
      </c>
      <c r="M6060" s="7">
        <f>IF(N6060=0,+L6060+H6060,0)</f>
        <v/>
      </c>
      <c r="N6060" s="7">
        <f>IF((+G6060-K6060)=0,0,+G6060-K6060)</f>
        <v/>
      </c>
      <c r="O6060" s="7">
        <f>IF(N6060=0,0,(L6060+H6060)/-N6060)</f>
        <v/>
      </c>
      <c r="P6060" s="7">
        <f>VLOOKUP(OPERAC[[#This Row],[especie]],[1]!ESPECIES[#All],6,0)</f>
        <v/>
      </c>
      <c r="Q6060" s="7">
        <f>IF(N6060&lt;&gt;0,P6060*N6060,0)</f>
        <v/>
      </c>
      <c r="R6060" s="8">
        <f>IF(Q6060&lt;&gt;0,Q6060+H6060+L6060,0)</f>
        <v/>
      </c>
      <c r="S6060" s="9">
        <f>VLOOKUP(OPERAC[[#This Row],[especie]],[1]!ESPECIES[#Data],9,FALSE)</f>
        <v/>
      </c>
    </row>
    <row r="6061">
      <c r="A6061" s="4" t="n">
        <v>3021</v>
      </c>
      <c r="B6061" s="5" t="n">
        <v>44537</v>
      </c>
      <c r="C6061" s="13" t="inlineStr">
        <is>
          <t>CPR</t>
        </is>
      </c>
      <c r="D6061" s="13" t="n">
        <v>40</v>
      </c>
      <c r="E6061" s="10">
        <f>IF(D6061&gt;0,VLOOKUP(OPERAC[[#This Row],[COD CART]],[1]!MatrizCortoLargoCyl[#All],3,0),"")</f>
        <v/>
      </c>
      <c r="F6061" s="13" t="inlineStr">
        <is>
          <t>SDGR</t>
        </is>
      </c>
      <c r="G6061" s="6" t="n">
        <v>100</v>
      </c>
      <c r="H6061" s="6" t="n">
        <v>-3793.178</v>
      </c>
      <c r="I6061" s="7">
        <f>-H6061/G6061</f>
        <v/>
      </c>
      <c r="J6061" s="11" t="n">
        <v>44691</v>
      </c>
      <c r="K6061" s="6" t="n">
        <v>100</v>
      </c>
      <c r="L6061" s="6" t="n">
        <v>2265.735</v>
      </c>
      <c r="M6061" s="7">
        <f>IF(N6061=0,+L6061+H6061,0)</f>
        <v/>
      </c>
      <c r="N6061" s="7">
        <f>IF((+G6061-K6061)=0,0,+G6061-K6061)</f>
        <v/>
      </c>
      <c r="O6061" s="7">
        <f>IF(N6061=0,0,(L6061+H6061)/-N6061)</f>
        <v/>
      </c>
      <c r="P6061" s="7">
        <f>VLOOKUP(OPERAC[[#This Row],[especie]],[1]!ESPECIES[#All],6,0)</f>
        <v/>
      </c>
      <c r="Q6061" s="7">
        <f>IF(N6061&lt;&gt;0,P6061*N6061,0)</f>
        <v/>
      </c>
      <c r="R6061" s="8">
        <f>IF(Q6061&lt;&gt;0,Q6061+H6061+L6061,0)</f>
        <v/>
      </c>
      <c r="S6061" s="9">
        <f>VLOOKUP(OPERAC[[#This Row],[especie]],[1]!ESPECIES[#Data],9,FALSE)</f>
        <v/>
      </c>
    </row>
    <row r="6062">
      <c r="A6062" s="4" t="n">
        <v>16780</v>
      </c>
      <c r="B6062" s="5" t="n">
        <v>44552</v>
      </c>
      <c r="C6062" s="13" t="inlineStr">
        <is>
          <t>CPR</t>
        </is>
      </c>
      <c r="D6062" s="13" t="n">
        <v>32</v>
      </c>
      <c r="E6062" s="10">
        <f>IF(D6062&gt;0,VLOOKUP(OPERAC[[#This Row],[COD CART]],[1]!MatrizCortoLargoCyl[#All],3,0),"")</f>
        <v/>
      </c>
      <c r="F6062" s="13" t="inlineStr">
        <is>
          <t>HMY/CYL/4,00/21-01-22</t>
        </is>
      </c>
      <c r="G6062" s="6" t="n">
        <v>1000</v>
      </c>
      <c r="H6062" s="6">
        <f>-3.8*OPERAC[[#This Row],[cantidad]]</f>
        <v/>
      </c>
      <c r="I6062" s="7">
        <f>-H6062/G6062</f>
        <v/>
      </c>
      <c r="J6062" s="11" t="n">
        <v>44580</v>
      </c>
      <c r="K6062" s="6" t="n">
        <v>1000</v>
      </c>
      <c r="L6062" s="6" t="n">
        <v>3939.27</v>
      </c>
      <c r="M6062" s="7">
        <f>IF(N6062=0,+L6062+H6062,0)</f>
        <v/>
      </c>
      <c r="N6062" s="7">
        <f>IF((+G6062-K6062)=0,0,+G6062-K6062)</f>
        <v/>
      </c>
      <c r="O6062" s="7">
        <f>IF(N6062=0,0,(L6062+H6062)/-N6062)</f>
        <v/>
      </c>
      <c r="P6062" s="7">
        <f>VLOOKUP(OPERAC[[#This Row],[especie]],[1]!ESPECIES[#All],6,0)</f>
        <v/>
      </c>
      <c r="Q6062" s="7">
        <f>IF(N6062&lt;&gt;0,P6062*N6062,0)</f>
        <v/>
      </c>
      <c r="R6062" s="8">
        <f>IF(Q6062&lt;&gt;0,Q6062+H6062+L6062,0)</f>
        <v/>
      </c>
      <c r="S6062" s="9">
        <f>VLOOKUP(OPERAC[[#This Row],[especie]],[1]!ESPECIES[#Data],9,FALSE)</f>
        <v/>
      </c>
    </row>
    <row r="6063">
      <c r="A6063" s="4" t="n">
        <v>2218</v>
      </c>
      <c r="B6063" s="5" t="n">
        <v>44582</v>
      </c>
      <c r="C6063" s="13" t="inlineStr">
        <is>
          <t>CPR</t>
        </is>
      </c>
      <c r="D6063" s="13" t="n">
        <v>40</v>
      </c>
      <c r="E6063" s="10">
        <f>IF(D6063&gt;0,VLOOKUP(OPERAC[[#This Row],[COD CART]],[1]!MatrizCortoLargoCyl[#All],3,0),"")</f>
        <v/>
      </c>
      <c r="F6063" s="13" t="inlineStr">
        <is>
          <t>NFLX</t>
        </is>
      </c>
      <c r="G6063" s="6" t="n">
        <v>10</v>
      </c>
      <c r="H6063" s="6" t="n">
        <v>-3833.6067</v>
      </c>
      <c r="I6063" s="7">
        <f>-H6063/G6063</f>
        <v/>
      </c>
      <c r="J6063" s="11" t="n">
        <v>44593</v>
      </c>
      <c r="K6063" s="6">
        <f>+OPERAC[[#This Row],[cantidad]]</f>
        <v/>
      </c>
      <c r="L6063" s="6">
        <f>+OPERAC[[#This Row],[cantidad venta]]*448.602</f>
        <v/>
      </c>
      <c r="M6063" s="7">
        <f>IF(N6063=0,+L6063+H6063,0)</f>
        <v/>
      </c>
      <c r="N6063" s="7">
        <f>IF((+G6063-K6063)=0,0,+G6063-K6063)</f>
        <v/>
      </c>
      <c r="O6063" s="7">
        <f>IF(N6063=0,0,(L6063+H6063)/-N6063)</f>
        <v/>
      </c>
      <c r="P6063" s="7">
        <f>VLOOKUP(OPERAC[[#This Row],[especie]],[1]!ESPECIES[#All],6,0)</f>
        <v/>
      </c>
      <c r="Q6063" s="7">
        <f>IF(N6063&lt;&gt;0,P6063*N6063,0)</f>
        <v/>
      </c>
      <c r="R6063" s="8">
        <f>IF(Q6063&lt;&gt;0,Q6063+H6063+L6063,0)</f>
        <v/>
      </c>
      <c r="S6063" s="9">
        <f>VLOOKUP(OPERAC[[#This Row],[especie]],[1]!ESPECIES[#Data],9,FALSE)</f>
        <v/>
      </c>
    </row>
    <row r="6064">
      <c r="A6064" s="4" t="n">
        <v>12690</v>
      </c>
      <c r="B6064" s="5" t="n">
        <v>44616</v>
      </c>
      <c r="C6064" s="13" t="inlineStr">
        <is>
          <t>CPR</t>
        </is>
      </c>
      <c r="D6064" s="13" t="n">
        <v>32</v>
      </c>
      <c r="E6064" s="10">
        <f>IF(D6064&gt;0,VLOOKUP(OPERAC[[#This Row],[COD CART]],[1]!MatrizCortoLargoCyl[#All],3,0),"")</f>
        <v/>
      </c>
      <c r="F6064" s="13" t="inlineStr">
        <is>
          <t>HMY/CYL/4,00/18-03-22</t>
        </is>
      </c>
      <c r="G6064" s="6" t="n">
        <v>1000</v>
      </c>
      <c r="H6064" s="6" t="n">
        <v>-3837.05</v>
      </c>
      <c r="I6064" s="7">
        <f>-H6064/G6064</f>
        <v/>
      </c>
      <c r="J6064" s="11" t="n">
        <v>44622</v>
      </c>
      <c r="K6064" s="6" t="n">
        <v>1000</v>
      </c>
      <c r="L6064" s="6" t="n">
        <v>3939.5</v>
      </c>
      <c r="M6064" s="7">
        <f>IF(N6064=0,+L6064+H6064,0)</f>
        <v/>
      </c>
      <c r="N6064" s="7">
        <f>IF((+G6064-K6064)=0,0,+G6064-K6064)</f>
        <v/>
      </c>
      <c r="O6064" s="7">
        <f>IF(N6064=0,0,(L6064+H6064)/-N6064)</f>
        <v/>
      </c>
      <c r="P6064" s="7">
        <f>VLOOKUP(OPERAC[[#This Row],[especie]],[1]!ESPECIES[#All],6,0)</f>
        <v/>
      </c>
      <c r="Q6064" s="7">
        <f>IF(N6064&lt;&gt;0,P6064*N6064,0)</f>
        <v/>
      </c>
      <c r="R6064" s="8">
        <f>IF(Q6064&lt;&gt;0,Q6064+H6064+L6064,0)</f>
        <v/>
      </c>
      <c r="S6064" s="9">
        <f>VLOOKUP(OPERAC[[#This Row],[especie]],[1]!ESPECIES[#Data],9,FALSE)</f>
        <v/>
      </c>
    </row>
    <row r="6065">
      <c r="A6065" s="4" t="n">
        <v>13240</v>
      </c>
      <c r="B6065" s="5" t="n">
        <v>44616</v>
      </c>
      <c r="C6065" s="13" t="inlineStr">
        <is>
          <t>CPR</t>
        </is>
      </c>
      <c r="D6065" s="13" t="n">
        <v>32</v>
      </c>
      <c r="E6065" s="10">
        <f>IF(D6065&gt;0,VLOOKUP(OPERAC[[#This Row],[COD CART]],[1]!MatrizCortoLargoCyl[#All],3,0),"")</f>
        <v/>
      </c>
      <c r="F6065" s="13" t="inlineStr">
        <is>
          <t>HMY/CYL/4,00/18-03-22</t>
        </is>
      </c>
      <c r="G6065" s="6" t="n">
        <v>1000</v>
      </c>
      <c r="H6065" s="6" t="n">
        <v>-3837.05</v>
      </c>
      <c r="I6065" s="7">
        <f>-H6065/G6065</f>
        <v/>
      </c>
      <c r="J6065" s="11" t="n">
        <v>44622</v>
      </c>
      <c r="K6065" s="6" t="n">
        <v>1000</v>
      </c>
      <c r="L6065" s="6" t="n">
        <v>3939.5</v>
      </c>
      <c r="M6065" s="7">
        <f>IF(N6065=0,+L6065+H6065,0)</f>
        <v/>
      </c>
      <c r="N6065" s="7">
        <f>IF((+G6065-K6065)=0,0,+G6065-K6065)</f>
        <v/>
      </c>
      <c r="O6065" s="7">
        <f>IF(N6065=0,0,(L6065+H6065)/-N6065)</f>
        <v/>
      </c>
      <c r="P6065" s="7">
        <f>VLOOKUP(OPERAC[[#This Row],[especie]],[1]!ESPECIES[#All],6,0)</f>
        <v/>
      </c>
      <c r="Q6065" s="7">
        <f>IF(N6065&lt;&gt;0,P6065*N6065,0)</f>
        <v/>
      </c>
      <c r="R6065" s="8">
        <f>IF(Q6065&lt;&gt;0,Q6065+H6065+L6065,0)</f>
        <v/>
      </c>
      <c r="S6065" s="9">
        <f>VLOOKUP(OPERAC[[#This Row],[especie]],[1]!ESPECIES[#Data],9,FALSE)</f>
        <v/>
      </c>
    </row>
    <row r="6066">
      <c r="A6066" s="4" t="n">
        <v>15194</v>
      </c>
      <c r="B6066" s="5" t="n">
        <v>44616</v>
      </c>
      <c r="C6066" s="13" t="inlineStr">
        <is>
          <t>CPR</t>
        </is>
      </c>
      <c r="D6066" s="13" t="n">
        <v>32</v>
      </c>
      <c r="E6066" s="10">
        <f>IF(D6066&gt;0,VLOOKUP(OPERAC[[#This Row],[COD CART]],[1]!MatrizCortoLargoCyl[#All],3,0),"")</f>
        <v/>
      </c>
      <c r="F6066" s="13" t="inlineStr">
        <is>
          <t>HMY/CYL/4,00/18-03-22</t>
        </is>
      </c>
      <c r="G6066" s="6" t="n">
        <v>1000</v>
      </c>
      <c r="H6066" s="6" t="n">
        <v>-3837.05</v>
      </c>
      <c r="I6066" s="7">
        <f>-H6066/G6066</f>
        <v/>
      </c>
      <c r="J6066" s="11" t="n">
        <v>44622</v>
      </c>
      <c r="K6066" s="6" t="n">
        <v>1000</v>
      </c>
      <c r="L6066" s="6" t="n">
        <v>3939.5</v>
      </c>
      <c r="M6066" s="7">
        <f>IF(N6066=0,+L6066+H6066,0)</f>
        <v/>
      </c>
      <c r="N6066" s="7">
        <f>IF((+G6066-K6066)=0,0,+G6066-K6066)</f>
        <v/>
      </c>
      <c r="O6066" s="7">
        <f>IF(N6066=0,0,(L6066+H6066)/-N6066)</f>
        <v/>
      </c>
      <c r="P6066" s="7">
        <f>VLOOKUP(OPERAC[[#This Row],[especie]],[1]!ESPECIES[#All],6,0)</f>
        <v/>
      </c>
      <c r="Q6066" s="7">
        <f>IF(N6066&lt;&gt;0,P6066*N6066,0)</f>
        <v/>
      </c>
      <c r="R6066" s="8">
        <f>IF(Q6066&lt;&gt;0,Q6066+H6066+L6066,0)</f>
        <v/>
      </c>
      <c r="S6066" s="9">
        <f>VLOOKUP(OPERAC[[#This Row],[especie]],[1]!ESPECIES[#Data],9,FALSE)</f>
        <v/>
      </c>
    </row>
    <row r="6067">
      <c r="A6067" s="4" t="n">
        <v>19932</v>
      </c>
      <c r="B6067" s="5" t="n">
        <v>44616</v>
      </c>
      <c r="C6067" s="13" t="inlineStr">
        <is>
          <t>CPR</t>
        </is>
      </c>
      <c r="D6067" s="13" t="n">
        <v>32</v>
      </c>
      <c r="E6067" s="10">
        <f>IF(D6067&gt;0,VLOOKUP(OPERAC[[#This Row],[COD CART]],[1]!MatrizCortoLargoCyl[#All],3,0),"")</f>
        <v/>
      </c>
      <c r="F6067" s="13" t="inlineStr">
        <is>
          <t>HMY/CYL/4,00/18-03-22</t>
        </is>
      </c>
      <c r="G6067" s="6" t="n">
        <v>1000</v>
      </c>
      <c r="H6067" s="6" t="n">
        <v>-3837.05</v>
      </c>
      <c r="I6067" s="7">
        <f>-H6067/G6067</f>
        <v/>
      </c>
      <c r="J6067" s="11" t="n">
        <v>44622</v>
      </c>
      <c r="K6067" s="6" t="n">
        <v>1000</v>
      </c>
      <c r="L6067" s="6" t="n">
        <v>3939.35</v>
      </c>
      <c r="M6067" s="7">
        <f>IF(N6067=0,+L6067+H6067,0)</f>
        <v/>
      </c>
      <c r="N6067" s="7">
        <f>IF((+G6067-K6067)=0,0,+G6067-K6067)</f>
        <v/>
      </c>
      <c r="O6067" s="7">
        <f>IF(N6067=0,0,(L6067+H6067)/-N6067)</f>
        <v/>
      </c>
      <c r="P6067" s="7">
        <f>VLOOKUP(OPERAC[[#This Row],[especie]],[1]!ESPECIES[#All],6,0)</f>
        <v/>
      </c>
      <c r="Q6067" s="7">
        <f>IF(N6067&lt;&gt;0,P6067*N6067,0)</f>
        <v/>
      </c>
      <c r="R6067" s="8">
        <f>IF(Q6067&lt;&gt;0,Q6067+H6067+L6067,0)</f>
        <v/>
      </c>
      <c r="S6067" s="9">
        <f>VLOOKUP(OPERAC[[#This Row],[especie]],[1]!ESPECIES[#Data],9,FALSE)</f>
        <v/>
      </c>
    </row>
    <row r="6068">
      <c r="A6068" s="4" t="n">
        <v>2218</v>
      </c>
      <c r="B6068" s="5" t="n">
        <v>44581</v>
      </c>
      <c r="C6068" s="13" t="inlineStr">
        <is>
          <t>CPR</t>
        </is>
      </c>
      <c r="D6068" s="13" t="n">
        <v>32</v>
      </c>
      <c r="E6068" s="10">
        <f>IF(D6068&gt;0,VLOOKUP(OPERAC[[#This Row],[COD CART]],[1]!MatrizCortoLargoCyl[#All],3,0),"")</f>
        <v/>
      </c>
      <c r="F6068" s="13" t="inlineStr">
        <is>
          <t>HMY/CYL/4,00/18-02-22</t>
        </is>
      </c>
      <c r="G6068" s="6" t="n">
        <v>1000</v>
      </c>
      <c r="H6068" s="6" t="n">
        <v>-3842.995370000001</v>
      </c>
      <c r="I6068" s="7">
        <f>-H6068/G6068</f>
        <v/>
      </c>
      <c r="J6068" s="11" t="n">
        <v>44610</v>
      </c>
      <c r="K6068" s="6">
        <f>+OPERAC[[#This Row],[cantidad]]</f>
        <v/>
      </c>
      <c r="L6068" s="6">
        <f>+OPERAC[[#This Row],[cantidad venta]]*3.8323</f>
        <v/>
      </c>
      <c r="M6068" s="7">
        <f>IF(N6068=0,+L6068+H6068,0)</f>
        <v/>
      </c>
      <c r="N6068" s="7">
        <f>IF((+G6068-K6068)=0,0,+G6068-K6068)</f>
        <v/>
      </c>
      <c r="O6068" s="7">
        <f>IF(N6068=0,0,(L6068+H6068)/-N6068)</f>
        <v/>
      </c>
      <c r="P6068" s="7">
        <f>VLOOKUP(OPERAC[[#This Row],[especie]],[1]!ESPECIES[#All],6,0)</f>
        <v/>
      </c>
      <c r="Q6068" s="7">
        <f>IF(N6068&lt;&gt;0,P6068*N6068,0)</f>
        <v/>
      </c>
      <c r="R6068" s="8">
        <f>IF(Q6068&lt;&gt;0,Q6068+H6068+L6068,0)</f>
        <v/>
      </c>
      <c r="S6068" s="9">
        <f>VLOOKUP(OPERAC[[#This Row],[especie]],[1]!ESPECIES[#Data],9,FALSE)</f>
        <v/>
      </c>
    </row>
    <row r="6069">
      <c r="A6069" s="4" t="n">
        <v>16783</v>
      </c>
      <c r="B6069" s="5" t="n">
        <v>44582</v>
      </c>
      <c r="C6069" s="13" t="inlineStr">
        <is>
          <t>CPR</t>
        </is>
      </c>
      <c r="D6069" s="13" t="n">
        <v>40</v>
      </c>
      <c r="E6069" s="10">
        <f>IF(D6069&gt;0,VLOOKUP(OPERAC[[#This Row],[COD CART]],[1]!MatrizCortoLargoCyl[#All],3,0),"")</f>
        <v/>
      </c>
      <c r="F6069" s="13" t="inlineStr">
        <is>
          <t>NFLX</t>
        </is>
      </c>
      <c r="G6069" s="6" t="n">
        <v>10</v>
      </c>
      <c r="H6069" s="6" t="n">
        <v>-3845.095800000001</v>
      </c>
      <c r="I6069" s="7">
        <f>-H6069/G6069</f>
        <v/>
      </c>
      <c r="J6069" s="11" t="n">
        <v>44593</v>
      </c>
      <c r="K6069" s="6">
        <f>+OPERAC[[#This Row],[cantidad]]</f>
        <v/>
      </c>
      <c r="L6069" s="6">
        <f>+OPERAC[[#This Row],[cantidad venta]]*448.602</f>
        <v/>
      </c>
      <c r="M6069" s="7">
        <f>IF(N6069=0,+L6069+H6069,0)</f>
        <v/>
      </c>
      <c r="N6069" s="7">
        <f>IF((+G6069-K6069)=0,0,+G6069-K6069)</f>
        <v/>
      </c>
      <c r="O6069" s="7">
        <f>IF(N6069=0,0,(L6069+H6069)/-N6069)</f>
        <v/>
      </c>
      <c r="P6069" s="7">
        <f>VLOOKUP(OPERAC[[#This Row],[especie]],[1]!ESPECIES[#All],6,0)</f>
        <v/>
      </c>
      <c r="Q6069" s="7">
        <f>IF(N6069&lt;&gt;0,P6069*N6069,0)</f>
        <v/>
      </c>
      <c r="R6069" s="8">
        <f>IF(Q6069&lt;&gt;0,Q6069+H6069+L6069,0)</f>
        <v/>
      </c>
      <c r="S6069" s="9">
        <f>VLOOKUP(OPERAC[[#This Row],[especie]],[1]!ESPECIES[#Data],9,FALSE)</f>
        <v/>
      </c>
    </row>
    <row r="6070">
      <c r="A6070" s="4" t="n">
        <v>19932</v>
      </c>
      <c r="B6070" s="5" t="n">
        <v>44053</v>
      </c>
      <c r="C6070" s="13" t="inlineStr">
        <is>
          <t>CPR</t>
        </is>
      </c>
      <c r="D6070" s="13" t="n">
        <v>31</v>
      </c>
      <c r="E6070" s="10">
        <f>IF(D6070&gt;0,VLOOKUP(OPERAC[[#This Row],[COD CART]],[1]!MatrizCortoLargoCyl[#All],3,0),"")</f>
        <v/>
      </c>
      <c r="F6070" s="13" t="inlineStr">
        <is>
          <t>GLD</t>
        </is>
      </c>
      <c r="G6070" s="6" t="n">
        <v>20</v>
      </c>
      <c r="H6070" s="6" t="n">
        <v>-3847.4344</v>
      </c>
      <c r="I6070" s="7" t="n">
        <v>192.37172</v>
      </c>
      <c r="J6070" s="5" t="n"/>
      <c r="K6070" s="6" t="n"/>
      <c r="L6070" s="6" t="n"/>
      <c r="M6070" s="7">
        <f>IF(N6070=0,+L6070+H6070,0)</f>
        <v/>
      </c>
      <c r="N6070" s="7">
        <f>IF((+G6070-K6070)=0,0,+G6070-K6070)</f>
        <v/>
      </c>
      <c r="O6070" s="7">
        <f>IF(N6070=0,0,(L6070+H6070)/-N6070)</f>
        <v/>
      </c>
      <c r="P6070" s="7">
        <f>VLOOKUP(OPERAC[[#This Row],[especie]],[1]!ESPECIES[#All],6,0)</f>
        <v/>
      </c>
      <c r="Q6070" s="7">
        <f>IF(N6070&lt;&gt;0,P6070*N6070,0)</f>
        <v/>
      </c>
      <c r="R6070" s="8">
        <f>IF(Q6070&lt;&gt;0,Q6070+H6070+L6070,0)</f>
        <v/>
      </c>
      <c r="S6070" s="9">
        <f>VLOOKUP(OPERAC[[#This Row],[especie]],[1]!ESPECIES[#Data],9,FALSE)</f>
        <v/>
      </c>
    </row>
    <row r="6071">
      <c r="A6071" s="4" t="n">
        <v>16783</v>
      </c>
      <c r="B6071" s="5" t="n">
        <v>44581</v>
      </c>
      <c r="C6071" s="13" t="inlineStr">
        <is>
          <t>CPR</t>
        </is>
      </c>
      <c r="D6071" s="13" t="n">
        <v>32</v>
      </c>
      <c r="E6071" s="10">
        <f>IF(D6071&gt;0,VLOOKUP(OPERAC[[#This Row],[COD CART]],[1]!MatrizCortoLargoCyl[#All],3,0),"")</f>
        <v/>
      </c>
      <c r="F6071" s="13" t="inlineStr">
        <is>
          <t>HMY/CYL/4,00/18-02-22</t>
        </is>
      </c>
      <c r="G6071" s="6" t="n">
        <v>1000</v>
      </c>
      <c r="H6071" s="6" t="n">
        <v>-3856.57448</v>
      </c>
      <c r="I6071" s="7">
        <f>-H6071/G6071</f>
        <v/>
      </c>
      <c r="J6071" s="11" t="n">
        <v>44610</v>
      </c>
      <c r="K6071" s="6">
        <f>+OPERAC[[#This Row],[cantidad]]</f>
        <v/>
      </c>
      <c r="L6071" s="6">
        <f>+OPERAC[[#This Row],[cantidad venta]]*3.8323</f>
        <v/>
      </c>
      <c r="M6071" s="7">
        <f>IF(N6071=0,+L6071+H6071,0)</f>
        <v/>
      </c>
      <c r="N6071" s="7">
        <f>IF((+G6071-K6071)=0,0,+G6071-K6071)</f>
        <v/>
      </c>
      <c r="O6071" s="7">
        <f>IF(N6071=0,0,(L6071+H6071)/-N6071)</f>
        <v/>
      </c>
      <c r="P6071" s="7">
        <f>VLOOKUP(OPERAC[[#This Row],[especie]],[1]!ESPECIES[#All],6,0)</f>
        <v/>
      </c>
      <c r="Q6071" s="7">
        <f>IF(N6071&lt;&gt;0,P6071*N6071,0)</f>
        <v/>
      </c>
      <c r="R6071" s="8">
        <f>IF(Q6071&lt;&gt;0,Q6071+H6071+L6071,0)</f>
        <v/>
      </c>
      <c r="S6071" s="9">
        <f>VLOOKUP(OPERAC[[#This Row],[especie]],[1]!ESPECIES[#Data],9,FALSE)</f>
        <v/>
      </c>
    </row>
    <row r="6072">
      <c r="A6072" s="4" t="n">
        <v>2203</v>
      </c>
      <c r="B6072" s="5" t="n">
        <v>44539</v>
      </c>
      <c r="C6072" s="13" t="inlineStr">
        <is>
          <t>CPR</t>
        </is>
      </c>
      <c r="D6072" s="13" t="n">
        <v>40</v>
      </c>
      <c r="E6072" s="10">
        <f>IF(D6072&gt;0,VLOOKUP(OPERAC[[#This Row],[COD CART]],[1]!MatrizCortoLargoCyl[#All],3,0),"")</f>
        <v/>
      </c>
      <c r="F6072" s="13" t="inlineStr">
        <is>
          <t>ROKU</t>
        </is>
      </c>
      <c r="G6072" s="6" t="n">
        <v>15</v>
      </c>
      <c r="H6072" s="6" t="n">
        <v>-3865.8054</v>
      </c>
      <c r="I6072" s="7">
        <f>-H6072/G6072</f>
        <v/>
      </c>
      <c r="J6072" s="11" t="n">
        <v>44606</v>
      </c>
      <c r="K6072" s="6">
        <f>+OPERAC[[#This Row],[cantidad]]</f>
        <v/>
      </c>
      <c r="L6072" s="6">
        <f>+OPERAC[[#This Row],[cantidad venta]]*160.574</f>
        <v/>
      </c>
      <c r="M6072" s="7">
        <f>IF(N6072=0,+L6072+H6072,0)</f>
        <v/>
      </c>
      <c r="N6072" s="7">
        <f>IF((+G6072-K6072)=0,0,+G6072-K6072)</f>
        <v/>
      </c>
      <c r="O6072" s="7">
        <f>IF(N6072=0,0,(L6072+H6072)/-N6072)</f>
        <v/>
      </c>
      <c r="P6072" s="7">
        <f>VLOOKUP(OPERAC[[#This Row],[especie]],[1]!ESPECIES[#All],6,0)</f>
        <v/>
      </c>
      <c r="Q6072" s="7">
        <f>IF(N6072&lt;&gt;0,P6072*N6072,0)</f>
        <v/>
      </c>
      <c r="R6072" s="8">
        <f>IF(Q6072&lt;&gt;0,Q6072+H6072+L6072,0)</f>
        <v/>
      </c>
      <c r="S6072" s="9">
        <f>VLOOKUP(OPERAC[[#This Row],[especie]],[1]!ESPECIES[#Data],9,FALSE)</f>
        <v/>
      </c>
    </row>
    <row r="6073">
      <c r="A6073" s="4" t="n">
        <v>19932</v>
      </c>
      <c r="B6073" s="5" t="n">
        <v>44539</v>
      </c>
      <c r="C6073" s="13" t="inlineStr">
        <is>
          <t>CPR</t>
        </is>
      </c>
      <c r="D6073" s="13" t="n">
        <v>40</v>
      </c>
      <c r="E6073" s="10">
        <f>IF(D6073&gt;0,VLOOKUP(OPERAC[[#This Row],[COD CART]],[1]!MatrizCortoLargoCyl[#All],3,0),"")</f>
        <v/>
      </c>
      <c r="F6073" s="13" t="inlineStr">
        <is>
          <t>ROKU</t>
        </is>
      </c>
      <c r="G6073" s="6" t="n">
        <v>15</v>
      </c>
      <c r="H6073" s="6" t="n">
        <v>-3865.8054</v>
      </c>
      <c r="I6073" s="7">
        <f>-H6073/G6073</f>
        <v/>
      </c>
      <c r="J6073" s="11" t="n">
        <v>44606</v>
      </c>
      <c r="K6073" s="6">
        <f>+OPERAC[[#This Row],[cantidad]]</f>
        <v/>
      </c>
      <c r="L6073" s="6">
        <f>+OPERAC[[#This Row],[cantidad venta]]*160.574</f>
        <v/>
      </c>
      <c r="M6073" s="7">
        <f>IF(N6073=0,+L6073+H6073,0)</f>
        <v/>
      </c>
      <c r="N6073" s="7">
        <f>IF((+G6073-K6073)=0,0,+G6073-K6073)</f>
        <v/>
      </c>
      <c r="O6073" s="7">
        <f>IF(N6073=0,0,(L6073+H6073)/-N6073)</f>
        <v/>
      </c>
      <c r="P6073" s="7">
        <f>VLOOKUP(OPERAC[[#This Row],[especie]],[1]!ESPECIES[#All],6,0)</f>
        <v/>
      </c>
      <c r="Q6073" s="7">
        <f>IF(N6073&lt;&gt;0,P6073*N6073,0)</f>
        <v/>
      </c>
      <c r="R6073" s="8">
        <f>IF(Q6073&lt;&gt;0,Q6073+H6073+L6073,0)</f>
        <v/>
      </c>
      <c r="S6073" s="9">
        <f>VLOOKUP(OPERAC[[#This Row],[especie]],[1]!ESPECIES[#Data],9,FALSE)</f>
        <v/>
      </c>
    </row>
    <row r="6074">
      <c r="A6074" s="4" t="n">
        <v>26138</v>
      </c>
      <c r="B6074" s="5" t="n">
        <v>44539</v>
      </c>
      <c r="C6074" s="13" t="inlineStr">
        <is>
          <t>CPR</t>
        </is>
      </c>
      <c r="D6074" s="13" t="n">
        <v>40</v>
      </c>
      <c r="E6074" s="10">
        <f>IF(D6074&gt;0,VLOOKUP(OPERAC[[#This Row],[COD CART]],[1]!MatrizCortoLargoCyl[#All],3,0),"")</f>
        <v/>
      </c>
      <c r="F6074" s="13" t="inlineStr">
        <is>
          <t>ROKU</t>
        </is>
      </c>
      <c r="G6074" s="6" t="n">
        <v>15</v>
      </c>
      <c r="H6074" s="6" t="n">
        <v>-3865.8054</v>
      </c>
      <c r="I6074" s="7">
        <f>-H6074/G6074</f>
        <v/>
      </c>
      <c r="J6074" s="11" t="n">
        <v>44606</v>
      </c>
      <c r="K6074" s="6">
        <f>+OPERAC[[#This Row],[cantidad]]</f>
        <v/>
      </c>
      <c r="L6074" s="6">
        <f>+OPERAC[[#This Row],[cantidad venta]]*160.574</f>
        <v/>
      </c>
      <c r="M6074" s="7">
        <f>IF(N6074=0,+L6074+H6074,0)</f>
        <v/>
      </c>
      <c r="N6074" s="7">
        <f>IF((+G6074-K6074)=0,0,+G6074-K6074)</f>
        <v/>
      </c>
      <c r="O6074" s="7">
        <f>IF(N6074=0,0,(L6074+H6074)/-N6074)</f>
        <v/>
      </c>
      <c r="P6074" s="7">
        <f>VLOOKUP(OPERAC[[#This Row],[especie]],[1]!ESPECIES[#All],6,0)</f>
        <v/>
      </c>
      <c r="Q6074" s="7">
        <f>IF(N6074&lt;&gt;0,P6074*N6074,0)</f>
        <v/>
      </c>
      <c r="R6074" s="8">
        <f>IF(Q6074&lt;&gt;0,Q6074+H6074+L6074,0)</f>
        <v/>
      </c>
      <c r="S6074" s="9">
        <f>VLOOKUP(OPERAC[[#This Row],[especie]],[1]!ESPECIES[#Data],9,FALSE)</f>
        <v/>
      </c>
    </row>
    <row r="6075">
      <c r="A6075" s="4" t="n">
        <v>2218</v>
      </c>
      <c r="B6075" s="5" t="n">
        <v>44642</v>
      </c>
      <c r="C6075" s="13" t="inlineStr">
        <is>
          <t>CPR</t>
        </is>
      </c>
      <c r="D6075" s="13" t="n">
        <v>42</v>
      </c>
      <c r="E6075" s="10">
        <f>IF(D6075&gt;0,VLOOKUP(OPERAC[[#This Row],[COD CART]],[1]!MatrizCortoLargoCyl[#All],3,0),"")</f>
        <v/>
      </c>
      <c r="F6075" s="13" t="inlineStr">
        <is>
          <t>HYDR</t>
        </is>
      </c>
      <c r="G6075" s="6" t="n">
        <v>200</v>
      </c>
      <c r="H6075" s="6">
        <f>-19.39*OPERAC[[#This Row],[cantidad]]</f>
        <v/>
      </c>
      <c r="I6075" s="7">
        <f>-H6075/G6075</f>
        <v/>
      </c>
      <c r="J6075" s="11" t="n">
        <v>44722</v>
      </c>
      <c r="K6075" s="6" t="n">
        <v>100</v>
      </c>
      <c r="L6075" s="6">
        <f>+OPERAC[[#This Row],[cantidad venta]]*12.837</f>
        <v/>
      </c>
      <c r="M6075" s="7">
        <f>IF(N6075=0,+L6075+H6075,0)</f>
        <v/>
      </c>
      <c r="N6075" s="7">
        <f>IF((+G6075-K6075)=0,0,+G6075-K6075)</f>
        <v/>
      </c>
      <c r="O6075" s="7">
        <f>IF(N6075=0,0,(L6075+H6075)/-N6075)</f>
        <v/>
      </c>
      <c r="P6075" s="7">
        <f>VLOOKUP(OPERAC[[#This Row],[especie]],[1]!ESPECIES[#All],6,0)</f>
        <v/>
      </c>
      <c r="Q6075" s="7">
        <f>IF(N6075&lt;&gt;0,P6075*N6075,0)</f>
        <v/>
      </c>
      <c r="R6075" s="8">
        <f>IF(Q6075&lt;&gt;0,Q6075+H6075+L6075,0)</f>
        <v/>
      </c>
      <c r="S6075" s="9">
        <f>VLOOKUP(OPERAC[[#This Row],[especie]],[1]!ESPECIES[#Data],9,FALSE)</f>
        <v/>
      </c>
    </row>
    <row r="6076">
      <c r="A6076" s="4" t="n">
        <v>10079</v>
      </c>
      <c r="B6076" s="5" t="n">
        <v>44642</v>
      </c>
      <c r="C6076" s="13" t="inlineStr">
        <is>
          <t>CPR</t>
        </is>
      </c>
      <c r="D6076" s="13" t="n">
        <v>42</v>
      </c>
      <c r="E6076" s="10">
        <f>IF(D6076&gt;0,VLOOKUP(OPERAC[[#This Row],[COD CART]],[1]!MatrizCortoLargoCyl[#All],3,0),"")</f>
        <v/>
      </c>
      <c r="F6076" s="13" t="inlineStr">
        <is>
          <t>HYDR</t>
        </is>
      </c>
      <c r="G6076" s="6" t="n">
        <v>200</v>
      </c>
      <c r="H6076" s="6">
        <f>-19.39*OPERAC[[#This Row],[cantidad]]</f>
        <v/>
      </c>
      <c r="I6076" s="7">
        <f>-H6076/G6076</f>
        <v/>
      </c>
      <c r="J6076" s="11" t="n">
        <v>44693</v>
      </c>
      <c r="K6076" s="6">
        <f>+OPERAC[[#This Row],[cantidad]]</f>
        <v/>
      </c>
      <c r="L6076" s="6">
        <f>+OPERAC[[#This Row],[cantidad venta]]*12.027</f>
        <v/>
      </c>
      <c r="M6076" s="7">
        <f>IF(N6076=0,+L6076+H6076,0)</f>
        <v/>
      </c>
      <c r="N6076" s="7">
        <f>IF((+G6076-K6076)=0,0,+G6076-K6076)</f>
        <v/>
      </c>
      <c r="O6076" s="7">
        <f>IF(N6076=0,0,(L6076+H6076)/-N6076)</f>
        <v/>
      </c>
      <c r="P6076" s="7">
        <f>VLOOKUP(OPERAC[[#This Row],[especie]],[1]!ESPECIES[#All],6,0)</f>
        <v/>
      </c>
      <c r="Q6076" s="7">
        <f>IF(N6076&lt;&gt;0,P6076*N6076,0)</f>
        <v/>
      </c>
      <c r="R6076" s="8">
        <f>IF(Q6076&lt;&gt;0,Q6076+H6076+L6076,0)</f>
        <v/>
      </c>
      <c r="S6076" s="9">
        <f>VLOOKUP(OPERAC[[#This Row],[especie]],[1]!ESPECIES[#Data],9,FALSE)</f>
        <v/>
      </c>
    </row>
    <row r="6077">
      <c r="A6077" s="4" t="n">
        <v>3728</v>
      </c>
      <c r="B6077" s="5" t="n">
        <v>44720</v>
      </c>
      <c r="C6077" s="13" t="inlineStr">
        <is>
          <t>CPR</t>
        </is>
      </c>
      <c r="D6077" s="13" t="n">
        <v>42</v>
      </c>
      <c r="E6077" s="10">
        <f>IF(D6077&gt;0,VLOOKUP(OPERAC[[#This Row],[COD CART]],[1]!MatrizCortoLargoCyl[#All],3,0),"")</f>
        <v/>
      </c>
      <c r="F6077" s="13" t="inlineStr">
        <is>
          <t>HYDR</t>
        </is>
      </c>
      <c r="G6077" s="6" t="n">
        <v>260</v>
      </c>
      <c r="H6077" s="6" t="n">
        <v>-3903.9</v>
      </c>
      <c r="I6077" s="7">
        <f>-H6077/G6077</f>
        <v/>
      </c>
      <c r="J6077" s="5" t="n"/>
      <c r="K6077" s="6" t="n"/>
      <c r="L6077" s="6" t="n"/>
      <c r="M6077" s="7">
        <f>IF(N6077=0,+L6077+H6077,0)</f>
        <v/>
      </c>
      <c r="N6077" s="7">
        <f>IF((+G6077-K6077)=0,0,+G6077-K6077)</f>
        <v/>
      </c>
      <c r="O6077" s="7">
        <f>IF(N6077=0,0,(L6077+H6077)/-N6077)</f>
        <v/>
      </c>
      <c r="P6077" s="7">
        <f>VLOOKUP(OPERAC[[#This Row],[especie]],[1]!ESPECIES[#All],6,0)</f>
        <v/>
      </c>
      <c r="Q6077" s="7">
        <f>IF(N6077&lt;&gt;0,P6077*N6077,0)</f>
        <v/>
      </c>
      <c r="R6077" s="8">
        <f>IF(Q6077&lt;&gt;0,Q6077+H6077+L6077,0)</f>
        <v/>
      </c>
      <c r="S6077" s="9">
        <f>VLOOKUP(OPERAC[[#This Row],[especie]],[1]!ESPECIES[#Data],9,FALSE)</f>
        <v/>
      </c>
    </row>
    <row r="6078">
      <c r="A6078" s="4" t="n">
        <v>13180</v>
      </c>
      <c r="B6078" s="5" t="n">
        <v>44582</v>
      </c>
      <c r="C6078" s="13" t="inlineStr">
        <is>
          <t>CPR</t>
        </is>
      </c>
      <c r="D6078" s="13" t="n">
        <v>40</v>
      </c>
      <c r="E6078" s="10">
        <f>IF(D6078&gt;0,VLOOKUP(OPERAC[[#This Row],[COD CART]],[1]!MatrizCortoLargoCyl[#All],3,0),"")</f>
        <v/>
      </c>
      <c r="F6078" s="13" t="inlineStr">
        <is>
          <t>NFLX</t>
        </is>
      </c>
      <c r="G6078" s="6" t="n">
        <v>10</v>
      </c>
      <c r="H6078" s="6" t="n">
        <v>-3906.371000000001</v>
      </c>
      <c r="I6078" s="7">
        <f>-H6078/G6078</f>
        <v/>
      </c>
      <c r="J6078" s="11" t="n">
        <v>44593</v>
      </c>
      <c r="K6078" s="6">
        <f>+OPERAC[[#This Row],[cantidad]]</f>
        <v/>
      </c>
      <c r="L6078" s="6">
        <f>+OPERAC[[#This Row],[cantidad venta]]*448.602</f>
        <v/>
      </c>
      <c r="M6078" s="7">
        <f>IF(N6078=0,+L6078+H6078,0)</f>
        <v/>
      </c>
      <c r="N6078" s="7">
        <f>IF((+G6078-K6078)=0,0,+G6078-K6078)</f>
        <v/>
      </c>
      <c r="O6078" s="7">
        <f>IF(N6078=0,0,(L6078+H6078)/-N6078)</f>
        <v/>
      </c>
      <c r="P6078" s="7">
        <f>VLOOKUP(OPERAC[[#This Row],[especie]],[1]!ESPECIES[#All],6,0)</f>
        <v/>
      </c>
      <c r="Q6078" s="7">
        <f>IF(N6078&lt;&gt;0,P6078*N6078,0)</f>
        <v/>
      </c>
      <c r="R6078" s="8">
        <f>IF(Q6078&lt;&gt;0,Q6078+H6078+L6078,0)</f>
        <v/>
      </c>
      <c r="S6078" s="9">
        <f>VLOOKUP(OPERAC[[#This Row],[especie]],[1]!ESPECIES[#Data],9,FALSE)</f>
        <v/>
      </c>
    </row>
    <row r="6079">
      <c r="A6079" s="4" t="n">
        <v>15195</v>
      </c>
      <c r="B6079" s="5" t="n">
        <v>44582</v>
      </c>
      <c r="C6079" s="13" t="inlineStr">
        <is>
          <t>CPR</t>
        </is>
      </c>
      <c r="D6079" s="13" t="n">
        <v>40</v>
      </c>
      <c r="E6079" s="10">
        <f>IF(D6079&gt;0,VLOOKUP(OPERAC[[#This Row],[COD CART]],[1]!MatrizCortoLargoCyl[#All],3,0),"")</f>
        <v/>
      </c>
      <c r="F6079" s="13" t="inlineStr">
        <is>
          <t>NFLX</t>
        </is>
      </c>
      <c r="G6079" s="6" t="n">
        <v>10</v>
      </c>
      <c r="H6079" s="6" t="n">
        <v>-3906.371000000001</v>
      </c>
      <c r="I6079" s="7">
        <f>-H6079/G6079</f>
        <v/>
      </c>
      <c r="J6079" s="11" t="n">
        <v>44593</v>
      </c>
      <c r="K6079" s="6">
        <f>+OPERAC[[#This Row],[cantidad]]</f>
        <v/>
      </c>
      <c r="L6079" s="6">
        <f>+OPERAC[[#This Row],[cantidad venta]]*448.602</f>
        <v/>
      </c>
      <c r="M6079" s="7">
        <f>IF(N6079=0,+L6079+H6079,0)</f>
        <v/>
      </c>
      <c r="N6079" s="7">
        <f>IF((+G6079-K6079)=0,0,+G6079-K6079)</f>
        <v/>
      </c>
      <c r="O6079" s="7">
        <f>IF(N6079=0,0,(L6079+H6079)/-N6079)</f>
        <v/>
      </c>
      <c r="P6079" s="7">
        <f>VLOOKUP(OPERAC[[#This Row],[especie]],[1]!ESPECIES[#All],6,0)</f>
        <v/>
      </c>
      <c r="Q6079" s="7">
        <f>IF(N6079&lt;&gt;0,P6079*N6079,0)</f>
        <v/>
      </c>
      <c r="R6079" s="8">
        <f>IF(Q6079&lt;&gt;0,Q6079+H6079+L6079,0)</f>
        <v/>
      </c>
      <c r="S6079" s="9">
        <f>VLOOKUP(OPERAC[[#This Row],[especie]],[1]!ESPECIES[#Data],9,FALSE)</f>
        <v/>
      </c>
    </row>
    <row r="6080">
      <c r="A6080" s="4" t="n">
        <v>16780</v>
      </c>
      <c r="B6080" s="5" t="n">
        <v>44582</v>
      </c>
      <c r="C6080" s="13" t="inlineStr">
        <is>
          <t>CPR</t>
        </is>
      </c>
      <c r="D6080" s="13" t="n">
        <v>40</v>
      </c>
      <c r="E6080" s="10">
        <f>IF(D6080&gt;0,VLOOKUP(OPERAC[[#This Row],[COD CART]],[1]!MatrizCortoLargoCyl[#All],3,0),"")</f>
        <v/>
      </c>
      <c r="F6080" s="13" t="inlineStr">
        <is>
          <t>NFLX</t>
        </is>
      </c>
      <c r="G6080" s="6" t="n">
        <v>10</v>
      </c>
      <c r="H6080" s="6" t="n">
        <v>-3906.371000000001</v>
      </c>
      <c r="I6080" s="7">
        <f>-H6080/G6080</f>
        <v/>
      </c>
      <c r="J6080" s="11" t="n">
        <v>44593</v>
      </c>
      <c r="K6080" s="6">
        <f>+OPERAC[[#This Row],[cantidad]]</f>
        <v/>
      </c>
      <c r="L6080" s="6">
        <f>+OPERAC[[#This Row],[cantidad venta]]*448.602</f>
        <v/>
      </c>
      <c r="M6080" s="7">
        <f>IF(N6080=0,+L6080+H6080,0)</f>
        <v/>
      </c>
      <c r="N6080" s="7">
        <f>IF((+G6080-K6080)=0,0,+G6080-K6080)</f>
        <v/>
      </c>
      <c r="O6080" s="7">
        <f>IF(N6080=0,0,(L6080+H6080)/-N6080)</f>
        <v/>
      </c>
      <c r="P6080" s="7">
        <f>VLOOKUP(OPERAC[[#This Row],[especie]],[1]!ESPECIES[#All],6,0)</f>
        <v/>
      </c>
      <c r="Q6080" s="7">
        <f>IF(N6080&lt;&gt;0,P6080*N6080,0)</f>
        <v/>
      </c>
      <c r="R6080" s="8">
        <f>IF(Q6080&lt;&gt;0,Q6080+H6080+L6080,0)</f>
        <v/>
      </c>
      <c r="S6080" s="9">
        <f>VLOOKUP(OPERAC[[#This Row],[especie]],[1]!ESPECIES[#Data],9,FALSE)</f>
        <v/>
      </c>
    </row>
    <row r="6081">
      <c r="A6081" s="4" t="n">
        <v>19867</v>
      </c>
      <c r="B6081" s="5" t="n">
        <v>44582</v>
      </c>
      <c r="C6081" s="13" t="inlineStr">
        <is>
          <t>CPR</t>
        </is>
      </c>
      <c r="D6081" s="13" t="n">
        <v>40</v>
      </c>
      <c r="E6081" s="10">
        <f>IF(D6081&gt;0,VLOOKUP(OPERAC[[#This Row],[COD CART]],[1]!MatrizCortoLargoCyl[#All],3,0),"")</f>
        <v/>
      </c>
      <c r="F6081" s="13" t="inlineStr">
        <is>
          <t>NFLX</t>
        </is>
      </c>
      <c r="G6081" s="6" t="n">
        <v>10</v>
      </c>
      <c r="H6081" s="6" t="n">
        <v>-3906.371000000001</v>
      </c>
      <c r="I6081" s="7">
        <f>-H6081/G6081</f>
        <v/>
      </c>
      <c r="J6081" s="11" t="n">
        <v>44593</v>
      </c>
      <c r="K6081" s="6">
        <f>+OPERAC[[#This Row],[cantidad]]</f>
        <v/>
      </c>
      <c r="L6081" s="6">
        <f>+OPERAC[[#This Row],[cantidad venta]]*448.602</f>
        <v/>
      </c>
      <c r="M6081" s="7">
        <f>IF(N6081=0,+L6081+H6081,0)</f>
        <v/>
      </c>
      <c r="N6081" s="7">
        <f>IF((+G6081-K6081)=0,0,+G6081-K6081)</f>
        <v/>
      </c>
      <c r="O6081" s="7">
        <f>IF(N6081=0,0,(L6081+H6081)/-N6081)</f>
        <v/>
      </c>
      <c r="P6081" s="7">
        <f>VLOOKUP(OPERAC[[#This Row],[especie]],[1]!ESPECIES[#All],6,0)</f>
        <v/>
      </c>
      <c r="Q6081" s="7">
        <f>IF(N6081&lt;&gt;0,P6081*N6081,0)</f>
        <v/>
      </c>
      <c r="R6081" s="8">
        <f>IF(Q6081&lt;&gt;0,Q6081+H6081+L6081,0)</f>
        <v/>
      </c>
      <c r="S6081" s="9">
        <f>VLOOKUP(OPERAC[[#This Row],[especie]],[1]!ESPECIES[#Data],9,FALSE)</f>
        <v/>
      </c>
    </row>
    <row r="6082">
      <c r="A6082" s="4" t="n">
        <v>19932</v>
      </c>
      <c r="B6082" s="5" t="n">
        <v>44582</v>
      </c>
      <c r="C6082" s="13" t="inlineStr">
        <is>
          <t>CPR</t>
        </is>
      </c>
      <c r="D6082" s="13" t="n">
        <v>40</v>
      </c>
      <c r="E6082" s="10">
        <f>IF(D6082&gt;0,VLOOKUP(OPERAC[[#This Row],[COD CART]],[1]!MatrizCortoLargoCyl[#All],3,0),"")</f>
        <v/>
      </c>
      <c r="F6082" s="13" t="inlineStr">
        <is>
          <t>NFLX</t>
        </is>
      </c>
      <c r="G6082" s="6" t="n">
        <v>10</v>
      </c>
      <c r="H6082" s="6" t="n">
        <v>-3906.371000000001</v>
      </c>
      <c r="I6082" s="7">
        <f>-H6082/G6082</f>
        <v/>
      </c>
      <c r="J6082" s="11" t="n">
        <v>44593</v>
      </c>
      <c r="K6082" s="6">
        <f>+OPERAC[[#This Row],[cantidad]]</f>
        <v/>
      </c>
      <c r="L6082" s="6">
        <f>+OPERAC[[#This Row],[cantidad venta]]*448.602</f>
        <v/>
      </c>
      <c r="M6082" s="7">
        <f>IF(N6082=0,+L6082+H6082,0)</f>
        <v/>
      </c>
      <c r="N6082" s="7">
        <f>IF((+G6082-K6082)=0,0,+G6082-K6082)</f>
        <v/>
      </c>
      <c r="O6082" s="7">
        <f>IF(N6082=0,0,(L6082+H6082)/-N6082)</f>
        <v/>
      </c>
      <c r="P6082" s="7">
        <f>VLOOKUP(OPERAC[[#This Row],[especie]],[1]!ESPECIES[#All],6,0)</f>
        <v/>
      </c>
      <c r="Q6082" s="7">
        <f>IF(N6082&lt;&gt;0,P6082*N6082,0)</f>
        <v/>
      </c>
      <c r="R6082" s="8">
        <f>IF(Q6082&lt;&gt;0,Q6082+H6082+L6082,0)</f>
        <v/>
      </c>
      <c r="S6082" s="9">
        <f>VLOOKUP(OPERAC[[#This Row],[especie]],[1]!ESPECIES[#Data],9,FALSE)</f>
        <v/>
      </c>
    </row>
    <row r="6083">
      <c r="A6083" s="4" t="n">
        <v>16780</v>
      </c>
      <c r="B6083" s="5" t="n">
        <v>44720</v>
      </c>
      <c r="C6083" s="13" t="inlineStr">
        <is>
          <t>CPR</t>
        </is>
      </c>
      <c r="D6083" s="13" t="n">
        <v>42</v>
      </c>
      <c r="E6083" s="10">
        <f>IF(D6083&gt;0,VLOOKUP(OPERAC[[#This Row],[COD CART]],[1]!MatrizCortoLargoCyl[#All],3,0),"")</f>
        <v/>
      </c>
      <c r="F6083" s="13" t="inlineStr">
        <is>
          <t>EDIT</t>
        </is>
      </c>
      <c r="G6083" s="6" t="n">
        <v>300</v>
      </c>
      <c r="H6083" s="6" t="n">
        <v>-3948.2775</v>
      </c>
      <c r="I6083" s="7">
        <f>-H6083/G6083</f>
        <v/>
      </c>
      <c r="J6083" s="5" t="n"/>
      <c r="K6083" s="6" t="n"/>
      <c r="L6083" s="6" t="n"/>
      <c r="M6083" s="7">
        <f>IF(N6083=0,+L6083+H6083,0)</f>
        <v/>
      </c>
      <c r="N6083" s="7">
        <f>IF((+G6083-K6083)=0,0,+G6083-K6083)</f>
        <v/>
      </c>
      <c r="O6083" s="7">
        <f>IF(N6083=0,0,(L6083+H6083)/-N6083)</f>
        <v/>
      </c>
      <c r="P6083" s="7">
        <f>VLOOKUP(OPERAC[[#This Row],[especie]],[1]!ESPECIES[#All],6,0)</f>
        <v/>
      </c>
      <c r="Q6083" s="7">
        <f>IF(N6083&lt;&gt;0,P6083*N6083,0)</f>
        <v/>
      </c>
      <c r="R6083" s="8">
        <f>IF(Q6083&lt;&gt;0,Q6083+H6083+L6083,0)</f>
        <v/>
      </c>
      <c r="S6083" s="9">
        <f>VLOOKUP(OPERAC[[#This Row],[especie]],[1]!ESPECIES[#Data],9,FALSE)</f>
        <v/>
      </c>
    </row>
    <row r="6084">
      <c r="A6084" s="4" t="n">
        <v>16776</v>
      </c>
      <c r="B6084" s="5" t="n">
        <v>44035</v>
      </c>
      <c r="C6084" s="13" t="inlineStr">
        <is>
          <t>CPR</t>
        </is>
      </c>
      <c r="D6084" s="13" t="n">
        <v>41</v>
      </c>
      <c r="E6084" s="10">
        <f>IF(D6084&gt;0,VLOOKUP(OPERAC[[#This Row],[COD CART]],[1]!MatrizCortoLargoCyl[#All],3,0),"")</f>
        <v/>
      </c>
      <c r="F6084" s="13" t="inlineStr">
        <is>
          <t>TEO</t>
        </is>
      </c>
      <c r="G6084" s="6" t="n">
        <v>400</v>
      </c>
      <c r="H6084" s="6" t="n">
        <v>-3953.744000000001</v>
      </c>
      <c r="I6084" s="7" t="n">
        <v>9.884360000000001</v>
      </c>
      <c r="J6084" s="5" t="n"/>
      <c r="K6084" s="6" t="n"/>
      <c r="L6084" s="6" t="n"/>
      <c r="M6084" s="7">
        <f>IF(N6084=0,+L6084+H6084,0)</f>
        <v/>
      </c>
      <c r="N6084" s="7">
        <f>IF((+G6084-K6084)=0,0,+G6084-K6084)</f>
        <v/>
      </c>
      <c r="O6084" s="7">
        <f>IF(N6084=0,0,(L6084+H6084)/-N6084)</f>
        <v/>
      </c>
      <c r="P6084" s="7">
        <f>VLOOKUP(OPERAC[[#This Row],[especie]],[1]!ESPECIES[#All],6,0)</f>
        <v/>
      </c>
      <c r="Q6084" s="7">
        <f>IF(N6084&lt;&gt;0,P6084*N6084,0)</f>
        <v/>
      </c>
      <c r="R6084" s="8">
        <f>IF(Q6084&lt;&gt;0,Q6084+H6084+L6084,0)</f>
        <v/>
      </c>
      <c r="S6084" s="9">
        <f>VLOOKUP(OPERAC[[#This Row],[especie]],[1]!ESPECIES[#Data],9,FALSE)</f>
        <v/>
      </c>
    </row>
    <row r="6085">
      <c r="A6085" s="4" t="n">
        <v>6578</v>
      </c>
      <c r="B6085" s="5" t="n">
        <v>44634</v>
      </c>
      <c r="C6085" s="13" t="inlineStr">
        <is>
          <t>CPR</t>
        </is>
      </c>
      <c r="D6085" s="13" t="n">
        <v>42</v>
      </c>
      <c r="E6085" s="10">
        <f>IF(D6085&gt;0,VLOOKUP(OPERAC[[#This Row],[COD CART]],[1]!MatrizCortoLargoCyl[#All],3,0),"")</f>
        <v/>
      </c>
      <c r="F6085" s="13" t="inlineStr">
        <is>
          <t>INO</t>
        </is>
      </c>
      <c r="G6085" s="6" t="n">
        <v>1200</v>
      </c>
      <c r="H6085" s="6" t="n">
        <v>-3984.9792</v>
      </c>
      <c r="I6085" s="7">
        <f>-H6085/G6085</f>
        <v/>
      </c>
      <c r="J6085" s="11" t="n">
        <v>44634</v>
      </c>
      <c r="K6085" s="6" t="n">
        <v>1200</v>
      </c>
      <c r="L6085" s="6" t="n">
        <v>3586.626</v>
      </c>
      <c r="M6085" s="7">
        <f>IF(N6085=0,+L6085+H6085,0)</f>
        <v/>
      </c>
      <c r="N6085" s="7">
        <f>IF((+G6085-K6085)=0,0,+G6085-K6085)</f>
        <v/>
      </c>
      <c r="O6085" s="7">
        <f>IF(N6085=0,0,(L6085+H6085)/-N6085)</f>
        <v/>
      </c>
      <c r="P6085" s="7">
        <f>VLOOKUP(OPERAC[[#This Row],[especie]],[1]!ESPECIES[#All],6,0)</f>
        <v/>
      </c>
      <c r="Q6085" s="7">
        <f>IF(N6085&lt;&gt;0,P6085*N6085,0)</f>
        <v/>
      </c>
      <c r="R6085" s="8">
        <f>IF(Q6085&lt;&gt;0,Q6085+H6085+L6085,0)</f>
        <v/>
      </c>
      <c r="S6085" s="9">
        <f>VLOOKUP(OPERAC[[#This Row],[especie]],[1]!ESPECIES[#Data],9,FALSE)</f>
        <v/>
      </c>
    </row>
    <row r="6086">
      <c r="A6086" s="4" t="n">
        <v>13240</v>
      </c>
      <c r="B6086" s="5" t="n">
        <v>44662</v>
      </c>
      <c r="C6086" s="13" t="inlineStr">
        <is>
          <t>CPR</t>
        </is>
      </c>
      <c r="D6086" s="13" t="n">
        <v>42</v>
      </c>
      <c r="E6086" s="10">
        <f>IF(D6086&gt;0,VLOOKUP(OPERAC[[#This Row],[COD CART]],[1]!MatrizCortoLargoCyl[#All],3,0),"")</f>
        <v/>
      </c>
      <c r="F6086" s="13" t="inlineStr">
        <is>
          <t>HYDR</t>
        </is>
      </c>
      <c r="G6086" s="6" t="n">
        <v>215</v>
      </c>
      <c r="H6086" s="6" t="n">
        <v>-3992.62396</v>
      </c>
      <c r="I6086" s="7">
        <f>-H6086/G6086</f>
        <v/>
      </c>
      <c r="J6086" s="11" t="n"/>
      <c r="K6086" s="6" t="n"/>
      <c r="L6086" s="6" t="n"/>
      <c r="M6086" s="7">
        <f>IF(N6086=0,+L6086+H6086,0)</f>
        <v/>
      </c>
      <c r="N6086" s="7">
        <f>IF((+G6086-K6086)=0,0,+G6086-K6086)</f>
        <v/>
      </c>
      <c r="O6086" s="7">
        <f>IF(N6086=0,0,(L6086+H6086)/-N6086)</f>
        <v/>
      </c>
      <c r="P6086" s="7">
        <f>VLOOKUP(OPERAC[[#This Row],[especie]],[1]!ESPECIES[#All],6,0)</f>
        <v/>
      </c>
      <c r="Q6086" s="7">
        <f>IF(N6086&lt;&gt;0,P6086*N6086,0)</f>
        <v/>
      </c>
      <c r="R6086" s="8">
        <f>IF(Q6086&lt;&gt;0,Q6086+H6086+L6086,0)</f>
        <v/>
      </c>
      <c r="S6086" s="9">
        <f>VLOOKUP(OPERAC[[#This Row],[especie]],[1]!ESPECIES[#Data],9,FALSE)</f>
        <v/>
      </c>
    </row>
    <row r="6087">
      <c r="A6087" s="4" t="n">
        <v>2203</v>
      </c>
      <c r="B6087" s="5" t="n">
        <v>44582</v>
      </c>
      <c r="C6087" s="13" t="inlineStr">
        <is>
          <t>CPR</t>
        </is>
      </c>
      <c r="D6087" s="13" t="n">
        <v>40</v>
      </c>
      <c r="E6087" s="10">
        <f>IF(D6087&gt;0,VLOOKUP(OPERAC[[#This Row],[COD CART]],[1]!MatrizCortoLargoCyl[#All],3,0),"")</f>
        <v/>
      </c>
      <c r="F6087" s="13" t="inlineStr">
        <is>
          <t>ACB</t>
        </is>
      </c>
      <c r="G6087" s="6" t="n">
        <v>160</v>
      </c>
      <c r="H6087" s="6">
        <f>-25*OPERAC[[#This Row],[cantidad]]</f>
        <v/>
      </c>
      <c r="I6087" s="7">
        <f>-H6087/G6087</f>
        <v/>
      </c>
      <c r="J6087" s="11" t="n">
        <v>44602</v>
      </c>
      <c r="K6087" s="6" t="n">
        <v>160</v>
      </c>
      <c r="L6087" s="6">
        <f>4.74*160</f>
        <v/>
      </c>
      <c r="M6087" s="7">
        <f>IF(N6087=0,+L6087+H6087,0)</f>
        <v/>
      </c>
      <c r="N6087" s="7">
        <f>IF((+G6087-K6087)=0,0,+G6087-K6087)</f>
        <v/>
      </c>
      <c r="O6087" s="7">
        <f>IF(N6087=0,0,(L6087+H6087)/-N6087)</f>
        <v/>
      </c>
      <c r="P6087" s="7">
        <f>VLOOKUP(OPERAC[[#This Row],[especie]],[1]!ESPECIES[#All],6,0)</f>
        <v/>
      </c>
      <c r="Q6087" s="7">
        <f>IF(N6087&lt;&gt;0,P6087*N6087,0)</f>
        <v/>
      </c>
      <c r="R6087" s="8">
        <f>IF(Q6087&lt;&gt;0,Q6087+H6087+L6087,0)</f>
        <v/>
      </c>
      <c r="S6087" s="9">
        <f>VLOOKUP(OPERAC[[#This Row],[especie]],[1]!ESPECIES[#Data],9,FALSE)</f>
        <v/>
      </c>
    </row>
    <row r="6088">
      <c r="A6088" s="4" t="n">
        <v>6579</v>
      </c>
      <c r="B6088" s="5" t="n">
        <v>44582</v>
      </c>
      <c r="C6088" s="13" t="inlineStr">
        <is>
          <t>CPR</t>
        </is>
      </c>
      <c r="D6088" s="13" t="n">
        <v>40</v>
      </c>
      <c r="E6088" s="10">
        <f>IF(D6088&gt;0,VLOOKUP(OPERAC[[#This Row],[COD CART]],[1]!MatrizCortoLargoCyl[#All],3,0),"")</f>
        <v/>
      </c>
      <c r="F6088" s="13" t="inlineStr">
        <is>
          <t>ACB</t>
        </is>
      </c>
      <c r="G6088" s="6" t="n">
        <v>160</v>
      </c>
      <c r="H6088" s="6">
        <f>-25*OPERAC[[#This Row],[cantidad]]</f>
        <v/>
      </c>
      <c r="I6088" s="7">
        <f>-H6088/G6088</f>
        <v/>
      </c>
      <c r="J6088" s="11" t="n">
        <v>44585</v>
      </c>
      <c r="K6088" s="6" t="n">
        <v>160</v>
      </c>
      <c r="L6088" s="6" t="n">
        <v>647.351</v>
      </c>
      <c r="M6088" s="7">
        <f>IF(N6088=0,+L6088+H6088,0)</f>
        <v/>
      </c>
      <c r="N6088" s="7">
        <f>IF((+G6088-K6088)=0,0,+G6088-K6088)</f>
        <v/>
      </c>
      <c r="O6088" s="7">
        <f>IF(N6088=0,0,(L6088+H6088)/-N6088)</f>
        <v/>
      </c>
      <c r="P6088" s="7">
        <f>VLOOKUP(OPERAC[[#This Row],[especie]],[1]!ESPECIES[#All],6,0)</f>
        <v/>
      </c>
      <c r="Q6088" s="7">
        <f>IF(N6088&lt;&gt;0,P6088*N6088,0)</f>
        <v/>
      </c>
      <c r="R6088" s="8">
        <f>IF(Q6088&lt;&gt;0,Q6088+H6088+L6088,0)</f>
        <v/>
      </c>
      <c r="S6088" s="9">
        <f>VLOOKUP(OPERAC[[#This Row],[especie]],[1]!ESPECIES[#Data],9,FALSE)</f>
        <v/>
      </c>
    </row>
    <row r="6089">
      <c r="A6089" s="4" t="n">
        <v>3728</v>
      </c>
      <c r="B6089" s="5" t="n">
        <v>44574</v>
      </c>
      <c r="C6089" s="13" t="inlineStr">
        <is>
          <t>CPR</t>
        </is>
      </c>
      <c r="D6089" s="13" t="n">
        <v>40</v>
      </c>
      <c r="E6089" s="10">
        <f>IF(D6089&gt;0,VLOOKUP(OPERAC[[#This Row],[COD CART]],[1]!MatrizCortoLargoCyl[#All],3,0),"")</f>
        <v/>
      </c>
      <c r="F6089" s="13" t="inlineStr">
        <is>
          <t>DDD</t>
        </is>
      </c>
      <c r="G6089" s="6" t="n">
        <v>200</v>
      </c>
      <c r="H6089" s="6" t="n">
        <v>-4000.996</v>
      </c>
      <c r="I6089" s="7">
        <f>-H6089/G6089</f>
        <v/>
      </c>
      <c r="J6089" s="11" t="n">
        <v>44637</v>
      </c>
      <c r="K6089" s="6" t="n">
        <v>200</v>
      </c>
      <c r="L6089" s="6">
        <f>+OPERAC[[#This Row],[cantidad venta]]*15.23</f>
        <v/>
      </c>
      <c r="M6089" s="7">
        <f>IF(N6089=0,+L6089+H6089,0)</f>
        <v/>
      </c>
      <c r="N6089" s="7">
        <f>IF((+G6089-K6089)=0,0,+G6089-K6089)</f>
        <v/>
      </c>
      <c r="O6089" s="7">
        <f>IF(N6089=0,0,(L6089+H6089)/-N6089)</f>
        <v/>
      </c>
      <c r="P6089" s="7">
        <f>VLOOKUP(OPERAC[[#This Row],[especie]],[1]!ESPECIES[#All],6,0)</f>
        <v/>
      </c>
      <c r="Q6089" s="7">
        <f>IF(N6089&lt;&gt;0,P6089*N6089,0)</f>
        <v/>
      </c>
      <c r="R6089" s="8">
        <f>IF(Q6089&lt;&gt;0,Q6089+H6089+L6089,0)</f>
        <v/>
      </c>
      <c r="S6089" s="9">
        <f>VLOOKUP(OPERAC[[#This Row],[especie]],[1]!ESPECIES[#Data],9,FALSE)</f>
        <v/>
      </c>
    </row>
    <row r="6090">
      <c r="A6090" s="4" t="n">
        <v>2218</v>
      </c>
      <c r="B6090" s="5" t="n">
        <v>44594</v>
      </c>
      <c r="C6090" s="13" t="inlineStr">
        <is>
          <t>CPR</t>
        </is>
      </c>
      <c r="D6090" s="13" t="n">
        <v>40</v>
      </c>
      <c r="E6090" s="10">
        <f>IF(D6090&gt;0,VLOOKUP(OPERAC[[#This Row],[COD CART]],[1]!MatrizCortoLargoCyl[#All],3,0),"")</f>
        <v/>
      </c>
      <c r="F6090" s="13" t="inlineStr">
        <is>
          <t>EDU</t>
        </is>
      </c>
      <c r="G6090" s="6" t="n">
        <v>2000</v>
      </c>
      <c r="H6090" s="6" t="n">
        <v>-4004</v>
      </c>
      <c r="I6090" s="7">
        <f>-H6090/G6090</f>
        <v/>
      </c>
      <c r="J6090" s="11" t="n">
        <v>44606</v>
      </c>
      <c r="K6090" s="6" t="n">
        <v>2000</v>
      </c>
      <c r="L6090" s="6" t="n">
        <v>2966.747</v>
      </c>
      <c r="M6090" s="7">
        <f>IF(N6090=0,+L6090+H6090,0)</f>
        <v/>
      </c>
      <c r="N6090" s="7">
        <f>IF((+G6090-K6090)=0,0,+G6090-K6090)</f>
        <v/>
      </c>
      <c r="O6090" s="7">
        <f>IF(N6090=0,0,(L6090+H6090)/-N6090)</f>
        <v/>
      </c>
      <c r="P6090" s="7">
        <f>VLOOKUP(OPERAC[[#This Row],[especie]],[1]!ESPECIES[#All],6,0)</f>
        <v/>
      </c>
      <c r="Q6090" s="7">
        <f>IF(N6090&lt;&gt;0,P6090*N6090,0)</f>
        <v/>
      </c>
      <c r="R6090" s="8">
        <f>IF(Q6090&lt;&gt;0,Q6090+H6090+L6090,0)</f>
        <v/>
      </c>
      <c r="S6090" s="9">
        <f>VLOOKUP(OPERAC[[#This Row],[especie]],[1]!ESPECIES[#Data],9,FALSE)</f>
        <v/>
      </c>
    </row>
    <row r="6091">
      <c r="A6091" s="4" t="n">
        <v>13240</v>
      </c>
      <c r="B6091" s="5" t="n">
        <v>44602</v>
      </c>
      <c r="C6091" s="13" t="inlineStr">
        <is>
          <t>CPR</t>
        </is>
      </c>
      <c r="D6091" s="13" t="n">
        <v>32</v>
      </c>
      <c r="E6091" s="10">
        <f>IF(D6091&gt;0,VLOOKUP(OPERAC[[#This Row],[COD CART]],[1]!MatrizCortoLargoCyl[#All],3,0),"")</f>
        <v/>
      </c>
      <c r="F6091" s="13" t="inlineStr">
        <is>
          <t>BIOX/CYL/15,00/17-06-22</t>
        </is>
      </c>
      <c r="G6091" s="6" t="n">
        <v>300</v>
      </c>
      <c r="H6091" s="6">
        <f>-13.71*OPERAC[[#This Row],[cantidad]]+89.235</f>
        <v/>
      </c>
      <c r="I6091" s="7">
        <f>-H6091/G6091</f>
        <v/>
      </c>
      <c r="J6091" s="11" t="n"/>
      <c r="K6091" s="6" t="n"/>
      <c r="L6091" s="6" t="n"/>
      <c r="M6091" s="7">
        <f>IF(N6091=0,+L6091+H6091,0)</f>
        <v/>
      </c>
      <c r="N6091" s="7">
        <f>IF((+G6091-K6091)=0,0,+G6091-K6091)</f>
        <v/>
      </c>
      <c r="O6091" s="7">
        <f>IF(N6091=0,0,(L6091+H6091)/-N6091)</f>
        <v/>
      </c>
      <c r="P6091" s="7">
        <f>VLOOKUP(OPERAC[[#This Row],[especie]],[1]!ESPECIES[#All],6,0)</f>
        <v/>
      </c>
      <c r="Q6091" s="7">
        <f>IF(N6091&lt;&gt;0,P6091*N6091,0)</f>
        <v/>
      </c>
      <c r="R6091" s="8">
        <f>IF(Q6091&lt;&gt;0,Q6091+H6091+L6091,0)</f>
        <v/>
      </c>
      <c r="S6091" s="9">
        <f>VLOOKUP(OPERAC[[#This Row],[especie]],[1]!ESPECIES[#Data],9,FALSE)</f>
        <v/>
      </c>
    </row>
    <row r="6092">
      <c r="A6092" s="4" t="n">
        <v>3728</v>
      </c>
      <c r="B6092" s="5" t="n">
        <v>44670</v>
      </c>
      <c r="C6092" s="13" t="inlineStr">
        <is>
          <t>CPR</t>
        </is>
      </c>
      <c r="D6092" s="13" t="n">
        <v>43</v>
      </c>
      <c r="E6092" s="10">
        <f>IF(D6092&gt;0,VLOOKUP(OPERAC[[#This Row],[COD CART]],[1]!MatrizCortoLargoCyl[#All],3,0),"")</f>
        <v/>
      </c>
      <c r="F6092" s="13" t="inlineStr">
        <is>
          <t>EDIT/CYL-PUT/15,00/20-01-23</t>
        </is>
      </c>
      <c r="G6092" s="6" t="n">
        <v>500</v>
      </c>
      <c r="H6092" s="6" t="n">
        <v>-4026.75</v>
      </c>
      <c r="I6092" s="7">
        <f>-H6092/G6092</f>
        <v/>
      </c>
      <c r="J6092" s="11" t="n"/>
      <c r="K6092" s="6" t="n"/>
      <c r="L6092" s="6" t="n"/>
      <c r="M6092" s="7">
        <f>IF(N6092=0,+L6092+H6092,0)</f>
        <v/>
      </c>
      <c r="N6092" s="7">
        <f>IF((+G6092-K6092)=0,0,+G6092-K6092)</f>
        <v/>
      </c>
      <c r="O6092" s="7">
        <f>IF(N6092=0,0,(L6092+H6092)/-N6092)</f>
        <v/>
      </c>
      <c r="P6092" s="7">
        <f>VLOOKUP(OPERAC[[#This Row],[especie]],[1]!ESPECIES[#All],6,0)</f>
        <v/>
      </c>
      <c r="Q6092" s="7">
        <f>IF(N6092&lt;&gt;0,P6092*N6092,0)</f>
        <v/>
      </c>
      <c r="R6092" s="8">
        <f>IF(Q6092&lt;&gt;0,Q6092+H6092+L6092,0)</f>
        <v/>
      </c>
      <c r="S6092" s="9">
        <f>VLOOKUP(OPERAC[[#This Row],[especie]],[1]!ESPECIES[#Data],9,FALSE)</f>
        <v/>
      </c>
    </row>
    <row r="6093">
      <c r="A6093" s="4" t="n">
        <v>7939</v>
      </c>
      <c r="B6093" s="5" t="n">
        <v>44562</v>
      </c>
      <c r="C6093" s="13" t="inlineStr">
        <is>
          <t>CPR</t>
        </is>
      </c>
      <c r="D6093" s="13" t="n">
        <v>41</v>
      </c>
      <c r="E6093" s="10">
        <f>IF(D6093&gt;0,VLOOKUP(OPERAC[[#This Row],[COD CART]],[1]!MatrizCortoLargoCyl[#All],3,0),"")</f>
        <v/>
      </c>
      <c r="F6093" s="13" t="inlineStr">
        <is>
          <t>IPIX</t>
        </is>
      </c>
      <c r="G6093" s="6" t="n">
        <v>50000</v>
      </c>
      <c r="H6093" s="6">
        <f>-0.08144*OPERAC[[#This Row],[cantidad]]</f>
        <v/>
      </c>
      <c r="I6093" s="7">
        <f>-H6093/G6093</f>
        <v/>
      </c>
      <c r="J6093" s="11" t="n"/>
      <c r="K6093" s="6" t="n"/>
      <c r="L6093" s="6" t="n"/>
      <c r="M6093" s="7">
        <f>IF(N6093=0,+L6093+H6093,0)</f>
        <v/>
      </c>
      <c r="N6093" s="7">
        <f>IF((+G6093-K6093)=0,0,+G6093-K6093)</f>
        <v/>
      </c>
      <c r="O6093" s="7" t="n">
        <v>0.0413</v>
      </c>
      <c r="P6093" s="7">
        <f>VLOOKUP(OPERAC[[#This Row],[especie]],[1]!ESPECIES[#All],6,0)</f>
        <v/>
      </c>
      <c r="Q6093" s="7">
        <f>IF(N6093&lt;&gt;0,P6093*N6093,0)</f>
        <v/>
      </c>
      <c r="R6093" s="8">
        <f>IF(Q6093&lt;&gt;0,Q6093+H6093+L6093,0)</f>
        <v/>
      </c>
      <c r="S6093" s="9">
        <f>VLOOKUP(OPERAC[[#This Row],[especie]],[1]!ESPECIES[#Data],9,FALSE)</f>
        <v/>
      </c>
    </row>
    <row r="6094">
      <c r="A6094" s="4" t="n">
        <v>10079</v>
      </c>
      <c r="B6094" s="5" t="n">
        <v>44649</v>
      </c>
      <c r="C6094" s="13" t="inlineStr">
        <is>
          <t>CPR</t>
        </is>
      </c>
      <c r="D6094" s="13" t="n">
        <v>42</v>
      </c>
      <c r="E6094" s="10">
        <f>IF(D6094&gt;0,VLOOKUP(OPERAC[[#This Row],[COD CART]],[1]!MatrizCortoLargoCyl[#All],3,0),"")</f>
        <v/>
      </c>
      <c r="F6094" s="13" t="inlineStr">
        <is>
          <t>MSFT</t>
        </is>
      </c>
      <c r="G6094" s="6" t="n">
        <v>13</v>
      </c>
      <c r="H6094" s="6" t="n">
        <v>-4092.5792</v>
      </c>
      <c r="I6094" s="7">
        <f>-H6094/G6094</f>
        <v/>
      </c>
      <c r="J6094" s="11" t="n">
        <v>44662</v>
      </c>
      <c r="K6094" s="6">
        <f>+OPERAC[[#This Row],[cantidad]]</f>
        <v/>
      </c>
      <c r="L6094" s="6">
        <f>287.546*OPERAC[[#This Row],[cantidad venta]]</f>
        <v/>
      </c>
      <c r="M6094" s="7">
        <f>IF(N6094=0,+L6094+H6094,0)</f>
        <v/>
      </c>
      <c r="N6094" s="7">
        <f>IF((+G6094-K6094)=0,0,+G6094-K6094)</f>
        <v/>
      </c>
      <c r="O6094" s="7">
        <f>IF(N6094=0,0,(L6094+H6094)/-N6094)</f>
        <v/>
      </c>
      <c r="P6094" s="7">
        <f>VLOOKUP(OPERAC[[#This Row],[especie]],[1]!ESPECIES[#All],6,0)</f>
        <v/>
      </c>
      <c r="Q6094" s="7">
        <f>IF(N6094&lt;&gt;0,P6094*N6094,0)</f>
        <v/>
      </c>
      <c r="R6094" s="8">
        <f>IF(Q6094&lt;&gt;0,Q6094+H6094+L6094,0)</f>
        <v/>
      </c>
      <c r="S6094" s="9">
        <f>VLOOKUP(OPERAC[[#This Row],[especie]],[1]!ESPECIES[#Data],9,FALSE)</f>
        <v/>
      </c>
    </row>
    <row r="6095">
      <c r="A6095" s="4" t="n">
        <v>1760</v>
      </c>
      <c r="B6095" s="5" t="n">
        <v>44587</v>
      </c>
      <c r="C6095" s="13" t="inlineStr">
        <is>
          <t>CPR</t>
        </is>
      </c>
      <c r="D6095" s="13" t="n">
        <v>40</v>
      </c>
      <c r="E6095" s="10">
        <f>IF(D6095&gt;0,VLOOKUP(OPERAC[[#This Row],[COD CART]],[1]!MatrizCortoLargoCyl[#All],3,0),"")</f>
        <v/>
      </c>
      <c r="F6095" s="13" t="inlineStr">
        <is>
          <t>AAPL</t>
        </is>
      </c>
      <c r="G6095" s="6" t="n">
        <v>25</v>
      </c>
      <c r="H6095" s="6" t="n">
        <v>-4101.3605</v>
      </c>
      <c r="I6095" s="7">
        <f>-H6095/G6095</f>
        <v/>
      </c>
      <c r="J6095" s="11" t="n">
        <v>44601</v>
      </c>
      <c r="K6095" s="6" t="n">
        <v>25</v>
      </c>
      <c r="L6095" s="6">
        <f>175.66*OPERAC[[#This Row],[cantidad venta]]</f>
        <v/>
      </c>
      <c r="M6095" s="7">
        <f>IF(N6095=0,+L6095+H6095,0)</f>
        <v/>
      </c>
      <c r="N6095" s="7">
        <f>IF((+G6095-K6095)=0,0,+G6095-K6095)</f>
        <v/>
      </c>
      <c r="O6095" s="7">
        <f>IF(N6095=0,0,(L6095+H6095)/-N6095)</f>
        <v/>
      </c>
      <c r="P6095" s="7">
        <f>VLOOKUP(OPERAC[[#This Row],[especie]],[1]!ESPECIES[#All],6,0)</f>
        <v/>
      </c>
      <c r="Q6095" s="7">
        <f>IF(N6095&lt;&gt;0,P6095*N6095,0)</f>
        <v/>
      </c>
      <c r="R6095" s="8">
        <f>IF(Q6095&lt;&gt;0,Q6095+H6095+L6095,0)</f>
        <v/>
      </c>
      <c r="S6095" s="9">
        <f>VLOOKUP(OPERAC[[#This Row],[especie]],[1]!ESPECIES[#Data],9,FALSE)</f>
        <v/>
      </c>
    </row>
    <row r="6096">
      <c r="A6096" s="4" t="n">
        <v>10079</v>
      </c>
      <c r="B6096" s="5" t="n">
        <v>44704</v>
      </c>
      <c r="C6096" s="13" t="inlineStr">
        <is>
          <t>CPR</t>
        </is>
      </c>
      <c r="D6096" s="13" t="n">
        <v>32</v>
      </c>
      <c r="E6096" s="10">
        <f>IF(D6096&gt;0,VLOOKUP(OPERAC[[#This Row],[COD CART]],[1]!MatrizCortoLargoCyl[#All],3,0),"")</f>
        <v/>
      </c>
      <c r="F6096" s="13" t="inlineStr">
        <is>
          <t>UPST/CYL/45,00/27-05-22</t>
        </is>
      </c>
      <c r="G6096" s="6" t="n">
        <v>100</v>
      </c>
      <c r="H6096" s="6" t="n">
        <v>-4126.33</v>
      </c>
      <c r="I6096" s="7">
        <f>-H6096/G6096</f>
        <v/>
      </c>
      <c r="J6096" s="5" t="n">
        <v>44708</v>
      </c>
      <c r="K6096" s="6" t="n">
        <v>100</v>
      </c>
      <c r="L6096" s="6" t="n">
        <v>4461.75</v>
      </c>
      <c r="M6096" s="7">
        <f>IF(N6096=0,+L6096+H6096,0)</f>
        <v/>
      </c>
      <c r="N6096" s="7">
        <f>IF((+G6096-K6096)=0,0,+G6096-K6096)</f>
        <v/>
      </c>
      <c r="O6096" s="7">
        <f>IF(N6096=0,0,(L6096+H6096)/-N6096)</f>
        <v/>
      </c>
      <c r="P6096" s="7">
        <f>VLOOKUP(OPERAC[[#This Row],[especie]],[1]!ESPECIES[#All],6,0)</f>
        <v/>
      </c>
      <c r="Q6096" s="7">
        <f>IF(N6096&lt;&gt;0,P6096*N6096,0)</f>
        <v/>
      </c>
      <c r="R6096" s="8">
        <f>IF(Q6096&lt;&gt;0,Q6096+H6096+L6096,0)</f>
        <v/>
      </c>
      <c r="S6096" s="9">
        <f>VLOOKUP(OPERAC[[#This Row],[especie]],[1]!ESPECIES[#Data],9,FALSE)</f>
        <v/>
      </c>
    </row>
    <row r="6097">
      <c r="A6097" s="4" t="n">
        <v>3835</v>
      </c>
      <c r="B6097" s="5" t="n">
        <v>44575</v>
      </c>
      <c r="C6097" s="13" t="inlineStr">
        <is>
          <t>CPR</t>
        </is>
      </c>
      <c r="D6097" s="13" t="n">
        <v>40</v>
      </c>
      <c r="E6097" s="10">
        <f>IF(D6097&gt;0,VLOOKUP(OPERAC[[#This Row],[COD CART]],[1]!MatrizCortoLargoCyl[#All],3,0),"")</f>
        <v/>
      </c>
      <c r="F6097" s="13" t="inlineStr">
        <is>
          <t>GBTC</t>
        </is>
      </c>
      <c r="G6097" s="6" t="n">
        <v>135</v>
      </c>
      <c r="H6097" s="6" t="n">
        <v>-4130.4006</v>
      </c>
      <c r="I6097" s="7">
        <f>-H6097/G6097</f>
        <v/>
      </c>
      <c r="J6097" s="11" t="n">
        <v>44651</v>
      </c>
      <c r="K6097" s="6">
        <f>+OPERAC[[#This Row],[cantidad]]</f>
        <v/>
      </c>
      <c r="L6097" s="6">
        <f>+OPERAC[[#This Row],[cantidad venta]]*31.332</f>
        <v/>
      </c>
      <c r="M6097" s="7">
        <f>IF(N6097=0,+L6097+H6097,0)</f>
        <v/>
      </c>
      <c r="N6097" s="7">
        <f>IF((+G6097-K6097)=0,0,+G6097-K6097)</f>
        <v/>
      </c>
      <c r="O6097" s="7">
        <f>IF(N6097=0,0,(L6097+H6097)/-N6097)</f>
        <v/>
      </c>
      <c r="P6097" s="7">
        <f>VLOOKUP(OPERAC[[#This Row],[especie]],[1]!ESPECIES[#All],6,0)</f>
        <v/>
      </c>
      <c r="Q6097" s="7">
        <f>IF(N6097&lt;&gt;0,P6097*N6097,0)</f>
        <v/>
      </c>
      <c r="R6097" s="8">
        <f>IF(Q6097&lt;&gt;0,Q6097+H6097+L6097,0)</f>
        <v/>
      </c>
      <c r="S6097" s="9">
        <f>VLOOKUP(OPERAC[[#This Row],[especie]],[1]!ESPECIES[#Data],9,FALSE)</f>
        <v/>
      </c>
    </row>
    <row r="6098">
      <c r="A6098" s="4" t="n">
        <v>3728</v>
      </c>
      <c r="B6098" s="5" t="n">
        <v>44662</v>
      </c>
      <c r="C6098" s="13" t="inlineStr">
        <is>
          <t>CPR</t>
        </is>
      </c>
      <c r="D6098" s="13" t="n">
        <v>40</v>
      </c>
      <c r="E6098" s="10">
        <f>IF(D6098&gt;0,VLOOKUP(OPERAC[[#This Row],[COD CART]],[1]!MatrizCortoLargoCyl[#All],3,0),"")</f>
        <v/>
      </c>
      <c r="F6098" s="13" t="inlineStr">
        <is>
          <t>AIKI</t>
        </is>
      </c>
      <c r="G6098" s="6" t="n">
        <v>588</v>
      </c>
      <c r="H6098" s="6" t="n">
        <v>-4136.22</v>
      </c>
      <c r="I6098" s="7">
        <f>-H6098/G6098</f>
        <v/>
      </c>
      <c r="J6098" s="11" t="n"/>
      <c r="K6098" s="6" t="n"/>
      <c r="L6098" s="6" t="n"/>
      <c r="M6098" s="7">
        <f>IF(N6098=0,+L6098+H6098,0)</f>
        <v/>
      </c>
      <c r="N6098" s="7">
        <f>IF((+G6098-K6098)=0,0,+G6098-K6098)</f>
        <v/>
      </c>
      <c r="O6098" s="7">
        <f>IF(N6098=0,0,(L6098+H6098)/-N6098)</f>
        <v/>
      </c>
      <c r="P6098" s="7">
        <f>VLOOKUP(OPERAC[[#This Row],[especie]],[1]!ESPECIES[#All],6,0)</f>
        <v/>
      </c>
      <c r="Q6098" s="7">
        <f>IF(N6098&lt;&gt;0,P6098*N6098,0)</f>
        <v/>
      </c>
      <c r="R6098" s="8">
        <f>IF(Q6098&lt;&gt;0,Q6098+H6098+L6098,0)</f>
        <v/>
      </c>
      <c r="S6098" s="9">
        <f>VLOOKUP(OPERAC[[#This Row],[especie]],[1]!ESPECIES[#Data],9,FALSE)</f>
        <v/>
      </c>
    </row>
    <row r="6099">
      <c r="A6099" s="4" t="n">
        <v>12690</v>
      </c>
      <c r="B6099" s="5" t="n">
        <v>44505</v>
      </c>
      <c r="C6099" s="13" t="inlineStr">
        <is>
          <t>CPR</t>
        </is>
      </c>
      <c r="D6099" s="13" t="n">
        <v>32</v>
      </c>
      <c r="E6099" s="10">
        <f>IF(D6099&gt;0,VLOOKUP(OPERAC[[#This Row],[COD CART]],[1]!MatrizCortoLargoCyl[#All],3,0),"")</f>
        <v/>
      </c>
      <c r="F6099" s="13" t="inlineStr">
        <is>
          <t>DDD</t>
        </is>
      </c>
      <c r="G6099" s="6" t="n">
        <v>200</v>
      </c>
      <c r="H6099" s="6">
        <f>-2682.032+19.812+39.652+12.196-1629.42+58.72</f>
        <v/>
      </c>
      <c r="I6099" s="7">
        <f>-H6099/G6099</f>
        <v/>
      </c>
      <c r="J6099" s="11" t="n"/>
      <c r="K6099" s="6" t="n"/>
      <c r="L6099" s="6" t="n"/>
      <c r="M6099" s="7">
        <f>IF(N6099=0,+L6099+H6099,0)</f>
        <v/>
      </c>
      <c r="N6099" s="7">
        <f>IF((+G6099-K6099)=0,0,+G6099-K6099)</f>
        <v/>
      </c>
      <c r="O6099" s="7">
        <f>IF(N6099=0,0,(L6099+H6099)/-N6099)</f>
        <v/>
      </c>
      <c r="P6099" s="7">
        <f>VLOOKUP(OPERAC[[#This Row],[especie]],[1]!ESPECIES[#All],6,0)</f>
        <v/>
      </c>
      <c r="Q6099" s="7">
        <f>IF(N6099&lt;&gt;0,P6099*N6099,0)</f>
        <v/>
      </c>
      <c r="R6099" s="8">
        <f>IF(Q6099&lt;&gt;0,Q6099+H6099+L6099,0)</f>
        <v/>
      </c>
      <c r="S6099" s="9">
        <f>VLOOKUP(OPERAC[[#This Row],[especie]],[1]!ESPECIES[#Data],9,FALSE)</f>
        <v/>
      </c>
    </row>
    <row r="6100">
      <c r="A6100" s="4" t="n">
        <v>3835</v>
      </c>
      <c r="B6100" s="5" t="n">
        <v>44651</v>
      </c>
      <c r="C6100" s="13" t="inlineStr">
        <is>
          <t>CPR</t>
        </is>
      </c>
      <c r="D6100" s="13" t="n">
        <v>42</v>
      </c>
      <c r="E6100" s="10">
        <f>IF(D6100&gt;0,VLOOKUP(OPERAC[[#This Row],[COD CART]],[1]!MatrizCortoLargoCyl[#All],3,0),"")</f>
        <v/>
      </c>
      <c r="F6100" s="13" t="inlineStr">
        <is>
          <t>AMD</t>
        </is>
      </c>
      <c r="G6100" s="6" t="n">
        <v>37</v>
      </c>
      <c r="H6100" s="6" t="n">
        <v>-4184.99563</v>
      </c>
      <c r="I6100" s="7">
        <f>-H6100/G6100</f>
        <v/>
      </c>
      <c r="J6100" s="11" t="n">
        <v>44707</v>
      </c>
      <c r="K6100" s="6" t="n">
        <v>37</v>
      </c>
      <c r="L6100" s="6" t="n">
        <v>3684.657</v>
      </c>
      <c r="M6100" s="7">
        <f>IF(N6100=0,+L6100+H6100,0)</f>
        <v/>
      </c>
      <c r="N6100" s="7">
        <f>IF((+G6100-K6100)=0,0,+G6100-K6100)</f>
        <v/>
      </c>
      <c r="O6100" s="7">
        <f>IF(N6100=0,0,(L6100+H6100)/-N6100)</f>
        <v/>
      </c>
      <c r="P6100" s="7">
        <f>VLOOKUP(OPERAC[[#This Row],[especie]],[1]!ESPECIES[#All],6,0)</f>
        <v/>
      </c>
      <c r="Q6100" s="7">
        <f>IF(N6100&lt;&gt;0,P6100*N6100,0)</f>
        <v/>
      </c>
      <c r="R6100" s="8">
        <f>IF(Q6100&lt;&gt;0,Q6100+H6100+L6100,0)</f>
        <v/>
      </c>
      <c r="S6100" s="9">
        <f>VLOOKUP(OPERAC[[#This Row],[especie]],[1]!ESPECIES[#Data],9,FALSE)</f>
        <v/>
      </c>
    </row>
    <row r="6101">
      <c r="A6101" s="4" t="n">
        <v>2218</v>
      </c>
      <c r="B6101" s="5" t="n">
        <v>44628</v>
      </c>
      <c r="C6101" s="13" t="inlineStr">
        <is>
          <t>CPR</t>
        </is>
      </c>
      <c r="D6101" s="13" t="n">
        <v>40</v>
      </c>
      <c r="E6101" s="10">
        <f>IF(D6101&gt;0,VLOOKUP(OPERAC[[#This Row],[COD CART]],[1]!MatrizCortoLargoCyl[#All],3,0),"")</f>
        <v/>
      </c>
      <c r="F6101" s="13" t="inlineStr">
        <is>
          <t>CVV</t>
        </is>
      </c>
      <c r="G6101" s="6" t="n">
        <v>1000</v>
      </c>
      <c r="H6101" s="6" t="n">
        <v>-4195.186</v>
      </c>
      <c r="I6101" s="7">
        <f>-H6101/G6101</f>
        <v/>
      </c>
      <c r="J6101" s="11" t="n">
        <v>44649</v>
      </c>
      <c r="K6101" s="6" t="n">
        <v>1000</v>
      </c>
      <c r="L6101" s="6" t="n">
        <v>4490.347</v>
      </c>
      <c r="M6101" s="7">
        <f>IF(N6101=0,+L6101+H6101,0)</f>
        <v/>
      </c>
      <c r="N6101" s="7">
        <f>IF((+G6101-K6101)=0,0,+G6101-K6101)</f>
        <v/>
      </c>
      <c r="O6101" s="7">
        <f>IF(N6101=0,0,(L6101+H6101)/-N6101)</f>
        <v/>
      </c>
      <c r="P6101" s="7">
        <f>VLOOKUP(OPERAC[[#This Row],[especie]],[1]!ESPECIES[#All],6,0)</f>
        <v/>
      </c>
      <c r="Q6101" s="7">
        <f>IF(N6101&lt;&gt;0,P6101*N6101,0)</f>
        <v/>
      </c>
      <c r="R6101" s="8">
        <f>IF(Q6101&lt;&gt;0,Q6101+H6101+L6101,0)</f>
        <v/>
      </c>
      <c r="S6101" s="9">
        <f>VLOOKUP(OPERAC[[#This Row],[especie]],[1]!ESPECIES[#Data],9,FALSE)</f>
        <v/>
      </c>
    </row>
    <row r="6102">
      <c r="A6102" s="4" t="n">
        <v>3728</v>
      </c>
      <c r="B6102" s="5" t="n">
        <v>44628</v>
      </c>
      <c r="C6102" s="13" t="inlineStr">
        <is>
          <t>CPR</t>
        </is>
      </c>
      <c r="D6102" s="13" t="n">
        <v>40</v>
      </c>
      <c r="E6102" s="10">
        <f>IF(D6102&gt;0,VLOOKUP(OPERAC[[#This Row],[COD CART]],[1]!MatrizCortoLargoCyl[#All],3,0),"")</f>
        <v/>
      </c>
      <c r="F6102" s="13" t="inlineStr">
        <is>
          <t>CVV</t>
        </is>
      </c>
      <c r="G6102" s="6" t="n">
        <v>1000</v>
      </c>
      <c r="H6102" s="6" t="n">
        <v>-4195.186</v>
      </c>
      <c r="I6102" s="7">
        <f>-H6102/G6102</f>
        <v/>
      </c>
      <c r="J6102" s="11" t="n">
        <v>44649</v>
      </c>
      <c r="K6102" s="6" t="n">
        <v>1000</v>
      </c>
      <c r="L6102" s="6" t="n">
        <v>4490.347</v>
      </c>
      <c r="M6102" s="7">
        <f>IF(N6102=0,+L6102+H6102,0)</f>
        <v/>
      </c>
      <c r="N6102" s="7">
        <f>IF((+G6102-K6102)=0,0,+G6102-K6102)</f>
        <v/>
      </c>
      <c r="O6102" s="7">
        <f>IF(N6102=0,0,(L6102+H6102)/-N6102)</f>
        <v/>
      </c>
      <c r="P6102" s="7">
        <f>VLOOKUP(OPERAC[[#This Row],[especie]],[1]!ESPECIES[#All],6,0)</f>
        <v/>
      </c>
      <c r="Q6102" s="7">
        <f>IF(N6102&lt;&gt;0,P6102*N6102,0)</f>
        <v/>
      </c>
      <c r="R6102" s="8">
        <f>IF(Q6102&lt;&gt;0,Q6102+H6102+L6102,0)</f>
        <v/>
      </c>
      <c r="S6102" s="9">
        <f>VLOOKUP(OPERAC[[#This Row],[especie]],[1]!ESPECIES[#Data],9,FALSE)</f>
        <v/>
      </c>
    </row>
    <row r="6103">
      <c r="A6103" s="4" t="n">
        <v>16783</v>
      </c>
      <c r="B6103" s="5" t="n">
        <v>44523</v>
      </c>
      <c r="C6103" s="13" t="inlineStr">
        <is>
          <t>CPR</t>
        </is>
      </c>
      <c r="D6103" s="13" t="n">
        <v>32</v>
      </c>
      <c r="E6103" s="10">
        <f>IF(D6103&gt;0,VLOOKUP(OPERAC[[#This Row],[COD CART]],[1]!MatrizCortoLargoCyl[#All],3,0),"")</f>
        <v/>
      </c>
      <c r="F6103" s="13" t="inlineStr">
        <is>
          <t>TEVA/CYL/9,00/21-01-22</t>
        </is>
      </c>
      <c r="G6103" s="6" t="n">
        <v>500</v>
      </c>
      <c r="H6103" s="6">
        <f>-4290.108+94.769</f>
        <v/>
      </c>
      <c r="I6103" s="7">
        <f>-H6103/G6103</f>
        <v/>
      </c>
      <c r="J6103" s="11" t="n">
        <v>44575</v>
      </c>
      <c r="K6103" s="6" t="n">
        <v>500</v>
      </c>
      <c r="L6103" s="6" t="n">
        <v>4399.28</v>
      </c>
      <c r="M6103" s="7">
        <f>IF(N6103=0,+L6103+H6103,0)</f>
        <v/>
      </c>
      <c r="N6103" s="7">
        <f>IF((+G6103-K6103)=0,0,+G6103-K6103)</f>
        <v/>
      </c>
      <c r="O6103" s="7">
        <f>IF(N6103=0,0,(L6103+H6103)/-N6103)</f>
        <v/>
      </c>
      <c r="P6103" s="7">
        <f>VLOOKUP(OPERAC[[#This Row],[especie]],[1]!ESPECIES[#All],6,0)</f>
        <v/>
      </c>
      <c r="Q6103" s="7">
        <f>IF(N6103&lt;&gt;0,P6103*N6103,0)</f>
        <v/>
      </c>
      <c r="R6103" s="8">
        <f>IF(Q6103&lt;&gt;0,Q6103+H6103+L6103,0)</f>
        <v/>
      </c>
      <c r="S6103" s="9">
        <f>VLOOKUP(OPERAC[[#This Row],[especie]],[1]!ESPECIES[#Data],9,FALSE)</f>
        <v/>
      </c>
    </row>
    <row r="6104">
      <c r="A6104" s="4" t="n">
        <v>3787</v>
      </c>
      <c r="B6104" s="5" t="n">
        <v>44628</v>
      </c>
      <c r="C6104" s="13" t="inlineStr">
        <is>
          <t>CPR</t>
        </is>
      </c>
      <c r="D6104" s="13" t="n">
        <v>42</v>
      </c>
      <c r="E6104" s="10">
        <f>IF(D6104&gt;0,VLOOKUP(OPERAC[[#This Row],[COD CART]],[1]!MatrizCortoLargoCyl[#All],3,0),"")</f>
        <v/>
      </c>
      <c r="F6104" s="13" t="inlineStr">
        <is>
          <t>MSFT</t>
        </is>
      </c>
      <c r="G6104" s="6" t="n">
        <v>15</v>
      </c>
      <c r="H6104" s="6" t="n">
        <v>-4197.994</v>
      </c>
      <c r="I6104" s="7">
        <f>-H6104/G6104</f>
        <v/>
      </c>
      <c r="J6104" s="11" t="n">
        <v>44662</v>
      </c>
      <c r="K6104" s="6">
        <f>+OPERAC[[#This Row],[cantidad]]</f>
        <v/>
      </c>
      <c r="L6104" s="6">
        <f>287.546*OPERAC[[#This Row],[cantidad venta]]</f>
        <v/>
      </c>
      <c r="M6104" s="7">
        <f>IF(N6104=0,+L6104+H6104,0)</f>
        <v/>
      </c>
      <c r="N6104" s="7">
        <f>IF((+G6104-K6104)=0,0,+G6104-K6104)</f>
        <v/>
      </c>
      <c r="O6104" s="7">
        <f>IF(N6104=0,0,(L6104+H6104)/-N6104)</f>
        <v/>
      </c>
      <c r="P6104" s="7">
        <f>VLOOKUP(OPERAC[[#This Row],[especie]],[1]!ESPECIES[#All],6,0)</f>
        <v/>
      </c>
      <c r="Q6104" s="7">
        <f>IF(N6104&lt;&gt;0,P6104*N6104,0)</f>
        <v/>
      </c>
      <c r="R6104" s="8">
        <f>IF(Q6104&lt;&gt;0,Q6104+H6104+L6104,0)</f>
        <v/>
      </c>
      <c r="S6104" s="9">
        <f>VLOOKUP(OPERAC[[#This Row],[especie]],[1]!ESPECIES[#Data],9,FALSE)</f>
        <v/>
      </c>
    </row>
    <row r="6105">
      <c r="A6105" s="4" t="n">
        <v>2218</v>
      </c>
      <c r="B6105" s="5" t="n">
        <v>44698</v>
      </c>
      <c r="C6105" s="13" t="inlineStr">
        <is>
          <t>CPR</t>
        </is>
      </c>
      <c r="D6105" s="13" t="n">
        <v>32</v>
      </c>
      <c r="E6105" s="10">
        <f>IF(D6105&gt;0,VLOOKUP(OPERAC[[#This Row],[COD CART]],[1]!MatrizCortoLargoCyl[#All],3,0),"")</f>
        <v/>
      </c>
      <c r="F6105" s="13" t="inlineStr">
        <is>
          <t>UPST</t>
        </is>
      </c>
      <c r="G6105" s="6" t="n">
        <v>100</v>
      </c>
      <c r="H6105" s="6" t="n">
        <v>-4205.73</v>
      </c>
      <c r="I6105" s="7">
        <f>-H6105/G6105</f>
        <v/>
      </c>
      <c r="J6105" s="11" t="n">
        <v>44701</v>
      </c>
      <c r="K6105" s="6" t="n">
        <v>100</v>
      </c>
      <c r="L6105" s="6" t="n">
        <v>4420.425</v>
      </c>
      <c r="M6105" s="7">
        <f>IF(N6105=0,+L6105+H6105,0)</f>
        <v/>
      </c>
      <c r="N6105" s="7">
        <f>IF((+G6105-K6105)=0,0,+G6105-K6105)</f>
        <v/>
      </c>
      <c r="O6105" s="7">
        <f>IF(N6105=0,0,(L6105+H6105)/-N6105)</f>
        <v/>
      </c>
      <c r="P6105" s="7">
        <f>VLOOKUP(OPERAC[[#This Row],[especie]],[1]!ESPECIES[#All],6,0)</f>
        <v/>
      </c>
      <c r="Q6105" s="7">
        <f>IF(N6105&lt;&gt;0,P6105*N6105,0)</f>
        <v/>
      </c>
      <c r="R6105" s="8">
        <f>IF(Q6105&lt;&gt;0,Q6105+H6105+L6105,0)</f>
        <v/>
      </c>
      <c r="S6105" s="9">
        <f>VLOOKUP(OPERAC[[#This Row],[especie]],[1]!ESPECIES[#Data],9,FALSE)</f>
        <v/>
      </c>
    </row>
    <row r="6106">
      <c r="A6106" s="4" t="n">
        <v>16783</v>
      </c>
      <c r="B6106" s="5" t="n">
        <v>44628</v>
      </c>
      <c r="C6106" s="13" t="inlineStr">
        <is>
          <t>CPR</t>
        </is>
      </c>
      <c r="D6106" s="13" t="n">
        <v>40</v>
      </c>
      <c r="E6106" s="10">
        <f>IF(D6106&gt;0,VLOOKUP(OPERAC[[#This Row],[COD CART]],[1]!MatrizCortoLargoCyl[#All],3,0),"")</f>
        <v/>
      </c>
      <c r="F6106" s="13" t="inlineStr">
        <is>
          <t>CVV</t>
        </is>
      </c>
      <c r="G6106" s="6" t="n">
        <v>1000</v>
      </c>
      <c r="H6106" s="6" t="n">
        <v>-4207.744</v>
      </c>
      <c r="I6106" s="7">
        <f>-H6106/G6106</f>
        <v/>
      </c>
      <c r="J6106" s="11" t="n">
        <v>44649</v>
      </c>
      <c r="K6106" s="6">
        <f>+OPERAC[[#This Row],[cantidad]]</f>
        <v/>
      </c>
      <c r="L6106" s="6">
        <f>+OPERAC[[#This Row],[cantidad venta]]*4.459</f>
        <v/>
      </c>
      <c r="M6106" s="7">
        <f>IF(N6106=0,+L6106+H6106,0)</f>
        <v/>
      </c>
      <c r="N6106" s="7">
        <f>IF((+G6106-K6106)=0,0,+G6106-K6106)</f>
        <v/>
      </c>
      <c r="O6106" s="7">
        <f>IF(N6106=0,0,(L6106+H6106)/-N6106)</f>
        <v/>
      </c>
      <c r="P6106" s="7">
        <f>VLOOKUP(OPERAC[[#This Row],[especie]],[1]!ESPECIES[#All],6,0)</f>
        <v/>
      </c>
      <c r="Q6106" s="7">
        <f>IF(N6106&lt;&gt;0,P6106*N6106,0)</f>
        <v/>
      </c>
      <c r="R6106" s="8">
        <f>IF(Q6106&lt;&gt;0,Q6106+H6106+L6106,0)</f>
        <v/>
      </c>
      <c r="S6106" s="9">
        <f>VLOOKUP(OPERAC[[#This Row],[especie]],[1]!ESPECIES[#Data],9,FALSE)</f>
        <v/>
      </c>
    </row>
    <row r="6107">
      <c r="A6107" s="4" t="n">
        <v>12627</v>
      </c>
      <c r="B6107" s="5" t="n">
        <v>44616</v>
      </c>
      <c r="C6107" s="13" t="inlineStr">
        <is>
          <t>CPR</t>
        </is>
      </c>
      <c r="D6107" s="13" t="n">
        <v>32</v>
      </c>
      <c r="E6107" s="10">
        <f>IF(D6107&gt;0,VLOOKUP(OPERAC[[#This Row],[COD CART]],[1]!MatrizCortoLargoCyl[#All],3,0),"")</f>
        <v/>
      </c>
      <c r="F6107" s="13" t="inlineStr">
        <is>
          <t>PLTR/CYL/12,00/14-04-22</t>
        </is>
      </c>
      <c r="G6107" s="6" t="n">
        <v>400</v>
      </c>
      <c r="H6107" s="6" t="n">
        <v>-4210.906</v>
      </c>
      <c r="I6107" s="7">
        <f>-H6107/G6107</f>
        <v/>
      </c>
      <c r="J6107" s="11" t="n">
        <v>44643</v>
      </c>
      <c r="K6107" s="6" t="n">
        <v>400</v>
      </c>
      <c r="L6107" s="6" t="n">
        <v>4586.895</v>
      </c>
      <c r="M6107" s="7">
        <f>IF(N6107=0,+L6107+H6107,0)</f>
        <v/>
      </c>
      <c r="N6107" s="7">
        <f>IF((+G6107-K6107)=0,0,+G6107-K6107)</f>
        <v/>
      </c>
      <c r="O6107" s="7">
        <f>IF(N6107=0,0,(L6107+H6107)/-N6107)</f>
        <v/>
      </c>
      <c r="P6107" s="7">
        <f>VLOOKUP(OPERAC[[#This Row],[especie]],[1]!ESPECIES[#All],6,0)</f>
        <v/>
      </c>
      <c r="Q6107" s="7">
        <f>IF(N6107&lt;&gt;0,P6107*N6107,0)</f>
        <v/>
      </c>
      <c r="R6107" s="8">
        <f>IF(Q6107&lt;&gt;0,Q6107+H6107+L6107,0)</f>
        <v/>
      </c>
      <c r="S6107" s="9">
        <f>VLOOKUP(OPERAC[[#This Row],[especie]],[1]!ESPECIES[#Data],9,FALSE)</f>
        <v/>
      </c>
    </row>
    <row r="6108">
      <c r="A6108" s="4" t="n">
        <v>16780</v>
      </c>
      <c r="B6108" s="5" t="n">
        <v>44616</v>
      </c>
      <c r="C6108" s="13" t="inlineStr">
        <is>
          <t>CPR</t>
        </is>
      </c>
      <c r="D6108" s="13" t="n">
        <v>32</v>
      </c>
      <c r="E6108" s="10">
        <f>IF(D6108&gt;0,VLOOKUP(OPERAC[[#This Row],[COD CART]],[1]!MatrizCortoLargoCyl[#All],3,0),"")</f>
        <v/>
      </c>
      <c r="F6108" s="13" t="inlineStr">
        <is>
          <t>PLTR/CYL/12,00/14-04-22</t>
        </is>
      </c>
      <c r="G6108" s="6" t="n">
        <v>400</v>
      </c>
      <c r="H6108" s="6" t="n">
        <v>-4210.906</v>
      </c>
      <c r="I6108" s="7">
        <f>-H6108/G6108</f>
        <v/>
      </c>
      <c r="J6108" s="11" t="n">
        <v>44643</v>
      </c>
      <c r="K6108" s="6" t="n">
        <v>400</v>
      </c>
      <c r="L6108" s="6" t="n">
        <v>4586.895</v>
      </c>
      <c r="M6108" s="7">
        <f>IF(N6108=0,+L6108+H6108,0)</f>
        <v/>
      </c>
      <c r="N6108" s="7">
        <f>IF((+G6108-K6108)=0,0,+G6108-K6108)</f>
        <v/>
      </c>
      <c r="O6108" s="7">
        <f>IF(N6108=0,0,(L6108+H6108)/-N6108)</f>
        <v/>
      </c>
      <c r="P6108" s="7">
        <f>VLOOKUP(OPERAC[[#This Row],[especie]],[1]!ESPECIES[#All],6,0)</f>
        <v/>
      </c>
      <c r="Q6108" s="7">
        <f>IF(N6108&lt;&gt;0,P6108*N6108,0)</f>
        <v/>
      </c>
      <c r="R6108" s="8">
        <f>IF(Q6108&lt;&gt;0,Q6108+H6108+L6108,0)</f>
        <v/>
      </c>
      <c r="S6108" s="9">
        <f>VLOOKUP(OPERAC[[#This Row],[especie]],[1]!ESPECIES[#Data],9,FALSE)</f>
        <v/>
      </c>
    </row>
    <row r="6109">
      <c r="A6109" s="4" t="n">
        <v>19888</v>
      </c>
      <c r="B6109" s="5" t="n">
        <v>44616</v>
      </c>
      <c r="C6109" s="13" t="inlineStr">
        <is>
          <t>CPR</t>
        </is>
      </c>
      <c r="D6109" s="13" t="n">
        <v>32</v>
      </c>
      <c r="E6109" s="10">
        <f>IF(D6109&gt;0,VLOOKUP(OPERAC[[#This Row],[COD CART]],[1]!MatrizCortoLargoCyl[#All],3,0),"")</f>
        <v/>
      </c>
      <c r="F6109" s="13" t="inlineStr">
        <is>
          <t>PLTR/CYL/12,00/14-04-22</t>
        </is>
      </c>
      <c r="G6109" s="6" t="n">
        <v>400</v>
      </c>
      <c r="H6109" s="6" t="n">
        <v>-4210.906</v>
      </c>
      <c r="I6109" s="7">
        <f>-H6109/G6109</f>
        <v/>
      </c>
      <c r="J6109" s="11" t="n">
        <v>44643</v>
      </c>
      <c r="K6109" s="6" t="n">
        <v>400</v>
      </c>
      <c r="L6109" s="6" t="n">
        <v>4586.895</v>
      </c>
      <c r="M6109" s="7">
        <f>IF(N6109=0,+L6109+H6109,0)</f>
        <v/>
      </c>
      <c r="N6109" s="7">
        <f>IF((+G6109-K6109)=0,0,+G6109-K6109)</f>
        <v/>
      </c>
      <c r="O6109" s="7">
        <f>IF(N6109=0,0,(L6109+H6109)/-N6109)</f>
        <v/>
      </c>
      <c r="P6109" s="7">
        <f>VLOOKUP(OPERAC[[#This Row],[especie]],[1]!ESPECIES[#All],6,0)</f>
        <v/>
      </c>
      <c r="Q6109" s="7">
        <f>IF(N6109&lt;&gt;0,P6109*N6109,0)</f>
        <v/>
      </c>
      <c r="R6109" s="8">
        <f>IF(Q6109&lt;&gt;0,Q6109+H6109+L6109,0)</f>
        <v/>
      </c>
      <c r="S6109" s="9">
        <f>VLOOKUP(OPERAC[[#This Row],[especie]],[1]!ESPECIES[#Data],9,FALSE)</f>
        <v/>
      </c>
    </row>
    <row r="6110">
      <c r="A6110" s="4" t="n">
        <v>3021</v>
      </c>
      <c r="B6110" s="5" t="n">
        <v>44537</v>
      </c>
      <c r="C6110" s="13" t="inlineStr">
        <is>
          <t>CPR</t>
        </is>
      </c>
      <c r="D6110" s="13" t="n">
        <v>40</v>
      </c>
      <c r="E6110" s="10">
        <f>IF(D6110&gt;0,VLOOKUP(OPERAC[[#This Row],[COD CART]],[1]!MatrizCortoLargoCyl[#All],3,0),"")</f>
        <v/>
      </c>
      <c r="F6110" s="13" t="inlineStr">
        <is>
          <t>DDD</t>
        </is>
      </c>
      <c r="G6110" s="6" t="n">
        <v>200</v>
      </c>
      <c r="H6110" s="6" t="n">
        <v>-4290.898</v>
      </c>
      <c r="I6110" s="7">
        <f>-H6110/G6110</f>
        <v/>
      </c>
      <c r="J6110" s="11" t="n">
        <v>44622</v>
      </c>
      <c r="K6110" s="6" t="n">
        <v>200</v>
      </c>
      <c r="L6110" s="6" t="n">
        <v>3404.351</v>
      </c>
      <c r="M6110" s="7">
        <f>IF(N6110=0,+L6110+H6110,0)</f>
        <v/>
      </c>
      <c r="N6110" s="7">
        <f>IF((+G6110-K6110)=0,0,+G6110-K6110)</f>
        <v/>
      </c>
      <c r="O6110" s="7">
        <f>IF(N6110=0,0,(L6110+H6110)/-N6110)</f>
        <v/>
      </c>
      <c r="P6110" s="7">
        <f>VLOOKUP(OPERAC[[#This Row],[especie]],[1]!ESPECIES[#All],6,0)</f>
        <v/>
      </c>
      <c r="Q6110" s="7">
        <f>IF(N6110&lt;&gt;0,P6110*N6110,0)</f>
        <v/>
      </c>
      <c r="R6110" s="8">
        <f>IF(Q6110&lt;&gt;0,Q6110+H6110+L6110,0)</f>
        <v/>
      </c>
      <c r="S6110" s="9">
        <f>VLOOKUP(OPERAC[[#This Row],[especie]],[1]!ESPECIES[#Data],9,FALSE)</f>
        <v/>
      </c>
    </row>
    <row r="6111">
      <c r="A6111" s="4" t="n">
        <v>3728</v>
      </c>
      <c r="B6111" s="5" t="n">
        <v>44609</v>
      </c>
      <c r="C6111" s="13" t="inlineStr">
        <is>
          <t>CPR</t>
        </is>
      </c>
      <c r="D6111" s="13" t="n">
        <v>32</v>
      </c>
      <c r="E6111" s="10">
        <f>IF(D6111&gt;0,VLOOKUP(OPERAC[[#This Row],[COD CART]],[1]!MatrizCortoLargoCyl[#All],3,0),"")</f>
        <v/>
      </c>
      <c r="F6111" s="13" t="inlineStr">
        <is>
          <t>HIMX/CYL/9,00/18-03-22</t>
        </is>
      </c>
      <c r="G6111" s="6" t="n">
        <v>500</v>
      </c>
      <c r="H6111" s="6" t="n">
        <v>-4302.49</v>
      </c>
      <c r="I6111" s="7">
        <f>-H6111/G6111</f>
        <v/>
      </c>
      <c r="J6111" s="11" t="n">
        <v>44622</v>
      </c>
      <c r="K6111" s="6" t="n">
        <v>500</v>
      </c>
      <c r="L6111" s="6" t="n">
        <v>4445.9</v>
      </c>
      <c r="M6111" s="7">
        <f>IF(N6111=0,+L6111+H6111,0)</f>
        <v/>
      </c>
      <c r="N6111" s="7">
        <f>IF((+G6111-K6111)=0,0,+G6111-K6111)</f>
        <v/>
      </c>
      <c r="O6111" s="7">
        <f>IF(N6111=0,0,(L6111+H6111)/-N6111)</f>
        <v/>
      </c>
      <c r="P6111" s="7">
        <f>VLOOKUP(OPERAC[[#This Row],[especie]],[1]!ESPECIES[#All],6,0)</f>
        <v/>
      </c>
      <c r="Q6111" s="7">
        <f>IF(N6111&lt;&gt;0,P6111*N6111,0)</f>
        <v/>
      </c>
      <c r="R6111" s="8">
        <f>IF(Q6111&lt;&gt;0,Q6111+H6111+L6111,0)</f>
        <v/>
      </c>
      <c r="S6111" s="9">
        <f>VLOOKUP(OPERAC[[#This Row],[especie]],[1]!ESPECIES[#Data],9,FALSE)</f>
        <v/>
      </c>
    </row>
    <row r="6112">
      <c r="A6112" s="4" t="n">
        <v>3728</v>
      </c>
      <c r="B6112" s="5" t="n">
        <v>44622</v>
      </c>
      <c r="C6112" s="13" t="inlineStr">
        <is>
          <t>CPR</t>
        </is>
      </c>
      <c r="D6112" s="13" t="n">
        <v>32</v>
      </c>
      <c r="E6112" s="10">
        <f>IF(D6112&gt;0,VLOOKUP(OPERAC[[#This Row],[COD CART]],[1]!MatrizCortoLargoCyl[#All],3,0),"")</f>
        <v/>
      </c>
      <c r="F6112" s="13" t="inlineStr">
        <is>
          <t>AMC/CYL/16,00/14-04-22</t>
        </is>
      </c>
      <c r="G6112" s="6" t="n">
        <v>300</v>
      </c>
      <c r="H6112" s="6" t="n">
        <v>-4335.945900000001</v>
      </c>
      <c r="I6112" s="7">
        <f>-H6112/G6112</f>
        <v/>
      </c>
      <c r="J6112" s="11" t="n">
        <v>44648</v>
      </c>
      <c r="K6112" s="6" t="n">
        <v>300</v>
      </c>
      <c r="L6112" s="6" t="n">
        <v>4745.328</v>
      </c>
      <c r="M6112" s="7">
        <f>IF(N6112=0,+L6112+H6112,0)</f>
        <v/>
      </c>
      <c r="N6112" s="7">
        <f>IF((+G6112-K6112)=0,0,+G6112-K6112)</f>
        <v/>
      </c>
      <c r="O6112" s="7">
        <f>IF(N6112=0,0,(L6112+H6112)/-N6112)</f>
        <v/>
      </c>
      <c r="P6112" s="7">
        <f>VLOOKUP(OPERAC[[#This Row],[especie]],[1]!ESPECIES[#All],6,0)</f>
        <v/>
      </c>
      <c r="Q6112" s="7">
        <f>IF(N6112&lt;&gt;0,P6112*N6112,0)</f>
        <v/>
      </c>
      <c r="R6112" s="8">
        <f>IF(Q6112&lt;&gt;0,Q6112+H6112+L6112,0)</f>
        <v/>
      </c>
      <c r="S6112" s="9">
        <f>VLOOKUP(OPERAC[[#This Row],[especie]],[1]!ESPECIES[#Data],9,FALSE)</f>
        <v/>
      </c>
    </row>
    <row r="6113">
      <c r="A6113" s="4" t="n">
        <v>18668</v>
      </c>
      <c r="B6113" s="5" t="n">
        <v>44474</v>
      </c>
      <c r="C6113" s="13" t="inlineStr">
        <is>
          <t>CPR</t>
        </is>
      </c>
      <c r="D6113" s="13" t="n">
        <v>41</v>
      </c>
      <c r="E6113" s="10">
        <f>IF(D6113&gt;0,VLOOKUP(OPERAC[[#This Row],[COD CART]],[1]!MatrizCortoLargoCyl[#All],3,0),"")</f>
        <v/>
      </c>
      <c r="F6113" s="13" t="inlineStr">
        <is>
          <t>JDST</t>
        </is>
      </c>
      <c r="G6113" s="6" t="n">
        <v>300</v>
      </c>
      <c r="H6113" s="6" t="n">
        <v>-4340.94</v>
      </c>
      <c r="I6113" s="7">
        <f>-H6113/G6113</f>
        <v/>
      </c>
      <c r="J6113" s="11" t="n"/>
      <c r="K6113" s="6" t="n"/>
      <c r="L6113" s="6" t="n"/>
      <c r="M6113" s="7">
        <f>IF(N6113=0,+L6113+H6113,0)</f>
        <v/>
      </c>
      <c r="N6113" s="7">
        <f>IF((+G6113-K6113)=0,0,+G6113-K6113)</f>
        <v/>
      </c>
      <c r="O6113" s="7">
        <f>IF(N6113=0,0,(L6113+H6113)/-N6113)</f>
        <v/>
      </c>
      <c r="P6113" s="7">
        <f>VLOOKUP(OPERAC[[#This Row],[especie]],[1]!ESPECIES[#All],6,0)</f>
        <v/>
      </c>
      <c r="Q6113" s="7">
        <f>IF(N6113&lt;&gt;0,P6113*N6113,0)</f>
        <v/>
      </c>
      <c r="R6113" s="8">
        <f>IF(Q6113&lt;&gt;0,Q6113+H6113+L6113,0)</f>
        <v/>
      </c>
      <c r="S6113" s="9">
        <f>VLOOKUP(OPERAC[[#This Row],[especie]],[1]!ESPECIES[#Data],9,FALSE)</f>
        <v/>
      </c>
    </row>
    <row r="6114">
      <c r="A6114" s="4" t="n">
        <v>16783</v>
      </c>
      <c r="B6114" s="5" t="n">
        <v>44622</v>
      </c>
      <c r="C6114" s="13" t="inlineStr">
        <is>
          <t>CPR</t>
        </is>
      </c>
      <c r="D6114" s="13" t="n">
        <v>32</v>
      </c>
      <c r="E6114" s="10">
        <f>IF(D6114&gt;0,VLOOKUP(OPERAC[[#This Row],[COD CART]],[1]!MatrizCortoLargoCyl[#All],3,0),"")</f>
        <v/>
      </c>
      <c r="F6114" s="13" t="inlineStr">
        <is>
          <t>AMC/CYL/16,00/14-04-22</t>
        </is>
      </c>
      <c r="G6114" s="6" t="n">
        <v>300</v>
      </c>
      <c r="H6114" s="6" t="n">
        <v>-4355.942999999999</v>
      </c>
      <c r="I6114" s="7">
        <f>-H6114/G6114</f>
        <v/>
      </c>
      <c r="J6114" s="11" t="n">
        <v>44648</v>
      </c>
      <c r="K6114" s="6" t="n">
        <v>300</v>
      </c>
      <c r="L6114" s="6" t="n">
        <v>4745.328</v>
      </c>
      <c r="M6114" s="7">
        <f>IF(N6114=0,+L6114+H6114,0)</f>
        <v/>
      </c>
      <c r="N6114" s="7">
        <f>IF((+G6114-K6114)=0,0,+G6114-K6114)</f>
        <v/>
      </c>
      <c r="O6114" s="7">
        <f>IF(N6114=0,0,(L6114+H6114)/-N6114)</f>
        <v/>
      </c>
      <c r="P6114" s="7">
        <f>VLOOKUP(OPERAC[[#This Row],[especie]],[1]!ESPECIES[#All],6,0)</f>
        <v/>
      </c>
      <c r="Q6114" s="7">
        <f>IF(N6114&lt;&gt;0,P6114*N6114,0)</f>
        <v/>
      </c>
      <c r="R6114" s="8">
        <f>IF(Q6114&lt;&gt;0,Q6114+H6114+L6114,0)</f>
        <v/>
      </c>
      <c r="S6114" s="9">
        <f>VLOOKUP(OPERAC[[#This Row],[especie]],[1]!ESPECIES[#Data],9,FALSE)</f>
        <v/>
      </c>
    </row>
    <row r="6115">
      <c r="A6115" s="4" t="n">
        <v>16783</v>
      </c>
      <c r="B6115" s="5" t="n">
        <v>44532</v>
      </c>
      <c r="C6115" s="13" t="inlineStr">
        <is>
          <t>CPR</t>
        </is>
      </c>
      <c r="D6115" s="13" t="n">
        <v>32</v>
      </c>
      <c r="E6115" s="10">
        <f>IF(D6115&gt;0,VLOOKUP(OPERAC[[#This Row],[COD CART]],[1]!MatrizCortoLargoCyl[#All],3,0),"")</f>
        <v/>
      </c>
      <c r="F6115" s="13" t="inlineStr">
        <is>
          <t>COTY/CYL/10,00/18-02-22</t>
        </is>
      </c>
      <c r="G6115" s="6" t="n">
        <v>500</v>
      </c>
      <c r="H6115" s="6">
        <f>-4507.995+104.631</f>
        <v/>
      </c>
      <c r="I6115" s="7">
        <f>-H6115/G6115</f>
        <v/>
      </c>
      <c r="J6115" s="11" t="n">
        <v>44608</v>
      </c>
      <c r="K6115" s="6">
        <f>+OPERAC[[#This Row],[cantidad]]</f>
        <v/>
      </c>
      <c r="L6115" s="6" t="n">
        <v>4708.5</v>
      </c>
      <c r="M6115" s="7">
        <f>IF(N6115=0,+L6115+H6115,0)</f>
        <v/>
      </c>
      <c r="N6115" s="7">
        <f>IF((+G6115-K6115)=0,0,+G6115-K6115)</f>
        <v/>
      </c>
      <c r="O6115" s="7">
        <f>IF(N6115=0,0,(L6115+H6115)/-N6115)</f>
        <v/>
      </c>
      <c r="P6115" s="7">
        <f>VLOOKUP(OPERAC[[#This Row],[especie]],[1]!ESPECIES[#All],6,0)</f>
        <v/>
      </c>
      <c r="Q6115" s="7">
        <f>IF(N6115&lt;&gt;0,P6115*N6115,0)</f>
        <v/>
      </c>
      <c r="R6115" s="8">
        <f>IF(Q6115&lt;&gt;0,Q6115+H6115+L6115,0)</f>
        <v/>
      </c>
      <c r="S6115" s="9">
        <f>VLOOKUP(OPERAC[[#This Row],[especie]],[1]!ESPECIES[#Data],9,FALSE)</f>
        <v/>
      </c>
    </row>
    <row r="6116">
      <c r="A6116" s="4" t="n">
        <v>3728</v>
      </c>
      <c r="B6116" s="5" t="n">
        <v>44637</v>
      </c>
      <c r="C6116" s="13" t="inlineStr">
        <is>
          <t>CPR</t>
        </is>
      </c>
      <c r="D6116" s="13" t="n">
        <v>31</v>
      </c>
      <c r="E6116" s="10">
        <f>IF(D6116&gt;0,VLOOKUP(OPERAC[[#This Row],[COD CART]],[1]!MatrizCortoLargoCyl[#All],3,0),"")</f>
        <v/>
      </c>
      <c r="F6116" s="13" t="inlineStr">
        <is>
          <t>MSFT</t>
        </is>
      </c>
      <c r="G6116" s="6" t="n">
        <v>15</v>
      </c>
      <c r="H6116" s="6" t="n">
        <v>-4411.205800000001</v>
      </c>
      <c r="I6116" s="7">
        <f>-H6116/G6116</f>
        <v/>
      </c>
      <c r="J6116" s="11" t="n">
        <v>44692</v>
      </c>
      <c r="K6116" s="6" t="n">
        <v>15</v>
      </c>
      <c r="L6116" s="6" t="n">
        <v>3912.434</v>
      </c>
      <c r="M6116" s="7">
        <f>IF(N6116=0,+L6116+H6116,0)</f>
        <v/>
      </c>
      <c r="N6116" s="7">
        <f>IF((+G6116-K6116)=0,0,+G6116-K6116)</f>
        <v/>
      </c>
      <c r="O6116" s="7">
        <f>IF(N6116=0,0,(L6116+H6116)/-N6116)</f>
        <v/>
      </c>
      <c r="P6116" s="7">
        <f>VLOOKUP(OPERAC[[#This Row],[especie]],[1]!ESPECIES[#All],6,0)</f>
        <v/>
      </c>
      <c r="Q6116" s="7">
        <f>IF(N6116&lt;&gt;0,P6116*N6116,0)</f>
        <v/>
      </c>
      <c r="R6116" s="8">
        <f>IF(Q6116&lt;&gt;0,Q6116+H6116+L6116,0)</f>
        <v/>
      </c>
      <c r="S6116" s="9">
        <f>VLOOKUP(OPERAC[[#This Row],[especie]],[1]!ESPECIES[#Data],9,FALSE)</f>
        <v/>
      </c>
    </row>
    <row r="6117">
      <c r="A6117" s="4" t="n">
        <v>2218</v>
      </c>
      <c r="B6117" s="5" t="n">
        <v>44649</v>
      </c>
      <c r="C6117" s="13" t="inlineStr">
        <is>
          <t>CPR</t>
        </is>
      </c>
      <c r="D6117" s="13" t="n">
        <v>42</v>
      </c>
      <c r="E6117" s="10">
        <f>IF(D6117&gt;0,VLOOKUP(OPERAC[[#This Row],[COD CART]],[1]!MatrizCortoLargoCyl[#All],3,0),"")</f>
        <v/>
      </c>
      <c r="F6117" s="13" t="inlineStr">
        <is>
          <t>CRESY</t>
        </is>
      </c>
      <c r="G6117" s="6" t="n">
        <v>550</v>
      </c>
      <c r="H6117" s="6" t="n">
        <v>-4419.81265</v>
      </c>
      <c r="I6117" s="7">
        <f>-H6117/G6117</f>
        <v/>
      </c>
      <c r="J6117" s="11" t="n">
        <v>44657</v>
      </c>
      <c r="K6117" s="6">
        <f>+OPERAC[[#This Row],[cantidad]]</f>
        <v/>
      </c>
      <c r="L6117" s="6">
        <f>+OPERAC[[#This Row],[cantidad venta]]*7.664</f>
        <v/>
      </c>
      <c r="M6117" s="7">
        <f>IF(N6117=0,+L6117+H6117,0)</f>
        <v/>
      </c>
      <c r="N6117" s="7">
        <f>IF((+G6117-K6117)=0,0,+G6117-K6117)</f>
        <v/>
      </c>
      <c r="O6117" s="7">
        <f>IF(N6117=0,0,(L6117+H6117)/-N6117)</f>
        <v/>
      </c>
      <c r="P6117" s="7">
        <f>VLOOKUP(OPERAC[[#This Row],[especie]],[1]!ESPECIES[#All],6,0)</f>
        <v/>
      </c>
      <c r="Q6117" s="7">
        <f>IF(N6117&lt;&gt;0,P6117*N6117,0)</f>
        <v/>
      </c>
      <c r="R6117" s="8">
        <f>IF(Q6117&lt;&gt;0,Q6117+H6117+L6117,0)</f>
        <v/>
      </c>
      <c r="S6117" s="9">
        <f>VLOOKUP(OPERAC[[#This Row],[especie]],[1]!ESPECIES[#Data],9,FALSE)</f>
        <v/>
      </c>
    </row>
    <row r="6118">
      <c r="A6118" s="4" t="n">
        <v>3728</v>
      </c>
      <c r="B6118" s="5" t="n">
        <v>44649</v>
      </c>
      <c r="C6118" s="13" t="inlineStr">
        <is>
          <t>CPR</t>
        </is>
      </c>
      <c r="D6118" s="13" t="n">
        <v>42</v>
      </c>
      <c r="E6118" s="10">
        <f>IF(D6118&gt;0,VLOOKUP(OPERAC[[#This Row],[COD CART]],[1]!MatrizCortoLargoCyl[#All],3,0),"")</f>
        <v/>
      </c>
      <c r="F6118" s="13" t="inlineStr">
        <is>
          <t>CRESY</t>
        </is>
      </c>
      <c r="G6118" s="6" t="n">
        <v>550</v>
      </c>
      <c r="H6118" s="6" t="n">
        <v>-4419.81265</v>
      </c>
      <c r="I6118" s="7">
        <f>-H6118/G6118</f>
        <v/>
      </c>
      <c r="J6118" s="11" t="n">
        <v>44657</v>
      </c>
      <c r="K6118" s="6">
        <f>+OPERAC[[#This Row],[cantidad]]</f>
        <v/>
      </c>
      <c r="L6118" s="6">
        <f>+OPERAC[[#This Row],[cantidad venta]]*7.664</f>
        <v/>
      </c>
      <c r="M6118" s="7">
        <f>IF(N6118=0,+L6118+H6118,0)</f>
        <v/>
      </c>
      <c r="N6118" s="7">
        <f>IF((+G6118-K6118)=0,0,+G6118-K6118)</f>
        <v/>
      </c>
      <c r="O6118" s="7">
        <f>IF(N6118=0,0,(L6118+H6118)/-N6118)</f>
        <v/>
      </c>
      <c r="P6118" s="7">
        <f>VLOOKUP(OPERAC[[#This Row],[especie]],[1]!ESPECIES[#All],6,0)</f>
        <v/>
      </c>
      <c r="Q6118" s="7">
        <f>IF(N6118&lt;&gt;0,P6118*N6118,0)</f>
        <v/>
      </c>
      <c r="R6118" s="8">
        <f>IF(Q6118&lt;&gt;0,Q6118+H6118+L6118,0)</f>
        <v/>
      </c>
      <c r="S6118" s="9">
        <f>VLOOKUP(OPERAC[[#This Row],[especie]],[1]!ESPECIES[#Data],9,FALSE)</f>
        <v/>
      </c>
    </row>
    <row r="6119">
      <c r="A6119" s="4" t="n">
        <v>16783</v>
      </c>
      <c r="B6119" s="5" t="n">
        <v>44649</v>
      </c>
      <c r="C6119" s="13" t="inlineStr">
        <is>
          <t>CPR</t>
        </is>
      </c>
      <c r="D6119" s="13" t="n">
        <v>42</v>
      </c>
      <c r="E6119" s="10">
        <f>IF(D6119&gt;0,VLOOKUP(OPERAC[[#This Row],[COD CART]],[1]!MatrizCortoLargoCyl[#All],3,0),"")</f>
        <v/>
      </c>
      <c r="F6119" s="13" t="inlineStr">
        <is>
          <t>CRESY</t>
        </is>
      </c>
      <c r="G6119" s="6" t="n">
        <v>550</v>
      </c>
      <c r="H6119" s="6" t="n">
        <v>-4433.0506</v>
      </c>
      <c r="I6119" s="7">
        <f>-H6119/G6119</f>
        <v/>
      </c>
      <c r="J6119" s="11" t="n">
        <v>44657</v>
      </c>
      <c r="K6119" s="6">
        <f>+OPERAC[[#This Row],[cantidad]]</f>
        <v/>
      </c>
      <c r="L6119" s="6">
        <f>+OPERAC[[#This Row],[cantidad venta]]*7.664</f>
        <v/>
      </c>
      <c r="M6119" s="7">
        <f>IF(N6119=0,+L6119+H6119,0)</f>
        <v/>
      </c>
      <c r="N6119" s="7">
        <f>IF((+G6119-K6119)=0,0,+G6119-K6119)</f>
        <v/>
      </c>
      <c r="O6119" s="7">
        <f>IF(N6119=0,0,(L6119+H6119)/-N6119)</f>
        <v/>
      </c>
      <c r="P6119" s="7">
        <f>VLOOKUP(OPERAC[[#This Row],[especie]],[1]!ESPECIES[#All],6,0)</f>
        <v/>
      </c>
      <c r="Q6119" s="7">
        <f>IF(N6119&lt;&gt;0,P6119*N6119,0)</f>
        <v/>
      </c>
      <c r="R6119" s="8">
        <f>IF(Q6119&lt;&gt;0,Q6119+H6119+L6119,0)</f>
        <v/>
      </c>
      <c r="S6119" s="9">
        <f>VLOOKUP(OPERAC[[#This Row],[especie]],[1]!ESPECIES[#Data],9,FALSE)</f>
        <v/>
      </c>
    </row>
    <row r="6120">
      <c r="A6120" s="4" t="n">
        <v>3728</v>
      </c>
      <c r="B6120" s="5" t="n">
        <v>44649</v>
      </c>
      <c r="C6120" s="13" t="inlineStr">
        <is>
          <t>CPR</t>
        </is>
      </c>
      <c r="D6120" s="13" t="n">
        <v>32</v>
      </c>
      <c r="E6120" s="10">
        <f>IF(D6120&gt;0,VLOOKUP(OPERAC[[#This Row],[COD CART]],[1]!MatrizCortoLargoCyl[#All],3,0),"")</f>
        <v/>
      </c>
      <c r="F6120" s="13" t="inlineStr">
        <is>
          <t>DDD</t>
        </is>
      </c>
      <c r="G6120" s="6" t="n">
        <v>300</v>
      </c>
      <c r="H6120" s="6" t="n">
        <v>-4454.38</v>
      </c>
      <c r="I6120" s="7">
        <f>-H6120/G6120</f>
        <v/>
      </c>
      <c r="J6120" s="11" t="n"/>
      <c r="K6120" s="6" t="n"/>
      <c r="L6120" s="6" t="n"/>
      <c r="M6120" s="7">
        <f>IF(N6120=0,+L6120+H6120,0)</f>
        <v/>
      </c>
      <c r="N6120" s="7">
        <f>IF((+G6120-K6120)=0,0,+G6120-K6120)</f>
        <v/>
      </c>
      <c r="O6120" s="7">
        <f>IF(N6120=0,0,(L6120+H6120)/-N6120)</f>
        <v/>
      </c>
      <c r="P6120" s="7">
        <f>VLOOKUP(OPERAC[[#This Row],[especie]],[1]!ESPECIES[#All],6,0)</f>
        <v/>
      </c>
      <c r="Q6120" s="7">
        <f>IF(N6120&lt;&gt;0,P6120*N6120,0)</f>
        <v/>
      </c>
      <c r="R6120" s="8">
        <f>IF(Q6120&lt;&gt;0,Q6120+H6120+L6120,0)</f>
        <v/>
      </c>
      <c r="S6120" s="9">
        <f>VLOOKUP(OPERAC[[#This Row],[especie]],[1]!ESPECIES[#Data],9,FALSE)</f>
        <v/>
      </c>
    </row>
    <row r="6121">
      <c r="A6121" s="4" t="n">
        <v>1760</v>
      </c>
      <c r="B6121" s="5" t="n">
        <v>44587</v>
      </c>
      <c r="C6121" s="13" t="inlineStr">
        <is>
          <t>CPR</t>
        </is>
      </c>
      <c r="D6121" s="13" t="n">
        <v>40</v>
      </c>
      <c r="E6121" s="10">
        <f>IF(D6121&gt;0,VLOOKUP(OPERAC[[#This Row],[COD CART]],[1]!MatrizCortoLargoCyl[#All],3,0),"")</f>
        <v/>
      </c>
      <c r="F6121" s="13" t="inlineStr">
        <is>
          <t>MSFT</t>
        </is>
      </c>
      <c r="G6121" s="6" t="n">
        <v>15</v>
      </c>
      <c r="H6121" s="6" t="n">
        <v>-4551.168900000001</v>
      </c>
      <c r="I6121" s="7">
        <f>-H6121/G6121</f>
        <v/>
      </c>
      <c r="J6121" s="11" t="n">
        <v>44606</v>
      </c>
      <c r="K6121" s="6">
        <f>+OPERAC[[#This Row],[cantidad]]</f>
        <v/>
      </c>
      <c r="L6121" s="6">
        <f>+OPERAC[[#This Row],[cantidad venta]]*290.091</f>
        <v/>
      </c>
      <c r="M6121" s="7">
        <f>IF(N6121=0,+L6121+H6121,0)</f>
        <v/>
      </c>
      <c r="N6121" s="7">
        <f>IF((+G6121-K6121)=0,0,+G6121-K6121)</f>
        <v/>
      </c>
      <c r="O6121" s="7">
        <f>IF(N6121=0,0,(L6121+H6121)/-N6121)</f>
        <v/>
      </c>
      <c r="P6121" s="7">
        <f>VLOOKUP(OPERAC[[#This Row],[especie]],[1]!ESPECIES[#All],6,0)</f>
        <v/>
      </c>
      <c r="Q6121" s="7">
        <f>IF(N6121&lt;&gt;0,P6121*N6121,0)</f>
        <v/>
      </c>
      <c r="R6121" s="8">
        <f>IF(Q6121&lt;&gt;0,Q6121+H6121+L6121,0)</f>
        <v/>
      </c>
      <c r="S6121" s="9">
        <f>VLOOKUP(OPERAC[[#This Row],[especie]],[1]!ESPECIES[#Data],9,FALSE)</f>
        <v/>
      </c>
    </row>
    <row r="6122">
      <c r="A6122" s="4" t="n">
        <v>3787</v>
      </c>
      <c r="B6122" s="5" t="n">
        <v>44662</v>
      </c>
      <c r="C6122" s="13" t="inlineStr">
        <is>
          <t>CPR</t>
        </is>
      </c>
      <c r="D6122" s="13" t="n">
        <v>42</v>
      </c>
      <c r="E6122" s="10">
        <f>IF(D6122&gt;0,VLOOKUP(OPERAC[[#This Row],[COD CART]],[1]!MatrizCortoLargoCyl[#All],3,0),"")</f>
        <v/>
      </c>
      <c r="F6122" s="13" t="inlineStr">
        <is>
          <t>UPST</t>
        </is>
      </c>
      <c r="G6122" s="6" t="n">
        <v>50</v>
      </c>
      <c r="H6122" s="6" t="n">
        <v>-4570.018</v>
      </c>
      <c r="I6122" s="7">
        <f>-H6122/G6122</f>
        <v/>
      </c>
      <c r="J6122" s="11" t="n">
        <v>44669</v>
      </c>
      <c r="K6122" s="6">
        <f>15+35</f>
        <v/>
      </c>
      <c r="L6122" s="6">
        <f>1219.545+1054.956</f>
        <v/>
      </c>
      <c r="M6122" s="7">
        <f>IF(N6122=0,+L6122+H6122,0)</f>
        <v/>
      </c>
      <c r="N6122" s="7">
        <f>IF((+G6122-K6122)=0,0,+G6122-K6122)</f>
        <v/>
      </c>
      <c r="O6122" s="7">
        <f>IF(N6122=0,0,(L6122+H6122)/-N6122)</f>
        <v/>
      </c>
      <c r="P6122" s="7">
        <f>VLOOKUP(OPERAC[[#This Row],[especie]],[1]!ESPECIES[#All],6,0)</f>
        <v/>
      </c>
      <c r="Q6122" s="7">
        <f>IF(N6122&lt;&gt;0,P6122*N6122,0)</f>
        <v/>
      </c>
      <c r="R6122" s="8">
        <f>IF(Q6122&lt;&gt;0,Q6122+H6122+L6122,0)</f>
        <v/>
      </c>
      <c r="S6122" s="9">
        <f>VLOOKUP(OPERAC[[#This Row],[especie]],[1]!ESPECIES[#Data],9,FALSE)</f>
        <v/>
      </c>
    </row>
    <row r="6123">
      <c r="A6123" s="4" t="n">
        <v>10079</v>
      </c>
      <c r="B6123" s="5" t="n">
        <v>44662</v>
      </c>
      <c r="C6123" s="13" t="inlineStr">
        <is>
          <t>CPR</t>
        </is>
      </c>
      <c r="D6123" s="13" t="n">
        <v>42</v>
      </c>
      <c r="E6123" s="10">
        <f>IF(D6123&gt;0,VLOOKUP(OPERAC[[#This Row],[COD CART]],[1]!MatrizCortoLargoCyl[#All],3,0),"")</f>
        <v/>
      </c>
      <c r="F6123" s="13" t="inlineStr">
        <is>
          <t>UPST</t>
        </is>
      </c>
      <c r="G6123" s="6" t="n">
        <v>50</v>
      </c>
      <c r="H6123" s="6" t="n">
        <v>-4570.018</v>
      </c>
      <c r="I6123" s="7">
        <f>-H6123/G6123</f>
        <v/>
      </c>
      <c r="J6123" s="11" t="n">
        <v>44671</v>
      </c>
      <c r="K6123" s="6" t="n">
        <v>50</v>
      </c>
      <c r="L6123" s="6" t="n">
        <v>4005.66</v>
      </c>
      <c r="M6123" s="7">
        <f>IF(N6123=0,+L6123+H6123,0)</f>
        <v/>
      </c>
      <c r="N6123" s="7">
        <f>IF((+G6123-K6123)=0,0,+G6123-K6123)</f>
        <v/>
      </c>
      <c r="O6123" s="7">
        <f>IF(N6123=0,0,(L6123+H6123)/-N6123)</f>
        <v/>
      </c>
      <c r="P6123" s="7">
        <f>VLOOKUP(OPERAC[[#This Row],[especie]],[1]!ESPECIES[#All],6,0)</f>
        <v/>
      </c>
      <c r="Q6123" s="7">
        <f>IF(N6123&lt;&gt;0,P6123*N6123,0)</f>
        <v/>
      </c>
      <c r="R6123" s="8">
        <f>IF(Q6123&lt;&gt;0,Q6123+H6123+L6123,0)</f>
        <v/>
      </c>
      <c r="S6123" s="9">
        <f>VLOOKUP(OPERAC[[#This Row],[especie]],[1]!ESPECIES[#Data],9,FALSE)</f>
        <v/>
      </c>
    </row>
    <row r="6124">
      <c r="A6124" s="4" t="n">
        <v>22393</v>
      </c>
      <c r="B6124" s="5" t="n">
        <v>44712</v>
      </c>
      <c r="C6124" s="13" t="inlineStr">
        <is>
          <t>CPR</t>
        </is>
      </c>
      <c r="D6124" s="13" t="n">
        <v>41</v>
      </c>
      <c r="E6124" s="10">
        <f>IF(D6124&gt;0,VLOOKUP(OPERAC[[#This Row],[COD CART]],[1]!MatrizCortoLargoCyl[#All],3,0),"")</f>
        <v/>
      </c>
      <c r="F6124" s="13" t="inlineStr">
        <is>
          <t>GOOGL</t>
        </is>
      </c>
      <c r="G6124" s="6" t="n">
        <v>2</v>
      </c>
      <c r="H6124" s="6" t="n">
        <v>-4577.099</v>
      </c>
      <c r="I6124" s="7">
        <f>-H6124/G6124</f>
        <v/>
      </c>
      <c r="J6124" s="5" t="n">
        <v>44714</v>
      </c>
      <c r="K6124" s="6" t="n">
        <v>2</v>
      </c>
      <c r="L6124" s="6" t="n">
        <v>4656.316</v>
      </c>
      <c r="M6124" s="7">
        <f>IF(N6124=0,+L6124+H6124,0)</f>
        <v/>
      </c>
      <c r="N6124" s="7">
        <f>IF((+G6124-K6124)=0,0,+G6124-K6124)</f>
        <v/>
      </c>
      <c r="O6124" s="7">
        <f>IF(N6124=0,0,(L6124+H6124)/-N6124)</f>
        <v/>
      </c>
      <c r="P6124" s="7">
        <f>VLOOKUP(OPERAC[[#This Row],[especie]],[1]!ESPECIES[#All],6,0)</f>
        <v/>
      </c>
      <c r="Q6124" s="7">
        <f>IF(N6124&lt;&gt;0,P6124*N6124,0)</f>
        <v/>
      </c>
      <c r="R6124" s="8">
        <f>IF(Q6124&lt;&gt;0,Q6124+H6124+L6124,0)</f>
        <v/>
      </c>
      <c r="S6124" s="9">
        <f>VLOOKUP(OPERAC[[#This Row],[especie]],[1]!ESPECIES[#Data],9,FALSE)</f>
        <v/>
      </c>
    </row>
    <row r="6125">
      <c r="A6125" s="4" t="n">
        <v>16776</v>
      </c>
      <c r="B6125" s="5" t="n">
        <v>44159</v>
      </c>
      <c r="C6125" s="13" t="inlineStr">
        <is>
          <t>CPR</t>
        </is>
      </c>
      <c r="D6125" s="13" t="n">
        <v>41</v>
      </c>
      <c r="E6125" s="10">
        <f>IF(D6125&gt;0,VLOOKUP(OPERAC[[#This Row],[COD CART]],[1]!MatrizCortoLargoCyl[#All],3,0),"")</f>
        <v/>
      </c>
      <c r="F6125" s="13" t="inlineStr">
        <is>
          <t>GOLD</t>
        </is>
      </c>
      <c r="G6125" s="6" t="n">
        <v>200</v>
      </c>
      <c r="H6125" s="6" t="n">
        <v>-4597.312</v>
      </c>
      <c r="I6125" s="7">
        <f>-H6125/G6125</f>
        <v/>
      </c>
      <c r="J6125" s="11" t="n"/>
      <c r="K6125" s="6" t="n"/>
      <c r="L6125" s="6" t="n"/>
      <c r="M6125" s="7">
        <f>IF(N6125=0,+L6125+H6125,0)</f>
        <v/>
      </c>
      <c r="N6125" s="7">
        <f>IF((+G6125-K6125)=0,0,+G6125-K6125)</f>
        <v/>
      </c>
      <c r="O6125" s="7">
        <f>IF(N6125=0,0,(L6125+H6125)/-N6125)</f>
        <v/>
      </c>
      <c r="P6125" s="7">
        <f>VLOOKUP(OPERAC[[#This Row],[especie]],[1]!ESPECIES[#All],6,0)</f>
        <v/>
      </c>
      <c r="Q6125" s="7">
        <f>IF(N6125&lt;&gt;0,P6125*N6125,0)</f>
        <v/>
      </c>
      <c r="R6125" s="8">
        <f>IF(Q6125&lt;&gt;0,Q6125+H6125+L6125,0)</f>
        <v/>
      </c>
      <c r="S6125" s="9">
        <f>VLOOKUP(OPERAC[[#This Row],[especie]],[1]!ESPECIES[#Data],9,FALSE)</f>
        <v/>
      </c>
    </row>
    <row r="6126">
      <c r="A6126" s="4" t="n">
        <v>3728</v>
      </c>
      <c r="B6126" s="5" t="n">
        <v>44536</v>
      </c>
      <c r="C6126" s="13" t="inlineStr">
        <is>
          <t>CPR</t>
        </is>
      </c>
      <c r="D6126" s="13" t="n">
        <v>40</v>
      </c>
      <c r="E6126" s="10">
        <f>IF(D6126&gt;0,VLOOKUP(OPERAC[[#This Row],[COD CART]],[1]!MatrizCortoLargoCyl[#All],3,0),"")</f>
        <v/>
      </c>
      <c r="F6126" s="13" t="inlineStr">
        <is>
          <t>UVXY</t>
        </is>
      </c>
      <c r="G6126" s="6" t="n">
        <v>200</v>
      </c>
      <c r="H6126" s="6" t="n">
        <v>-4635.784</v>
      </c>
      <c r="I6126" s="7">
        <f>-H6126/G6126</f>
        <v/>
      </c>
      <c r="J6126" s="11" t="n">
        <v>44571</v>
      </c>
      <c r="K6126" s="6">
        <f>+OPERAC[[#This Row],[cantidad]]</f>
        <v/>
      </c>
      <c r="L6126" s="6">
        <f>+OPERAC[[#This Row],[cantidad venta]]*14.135</f>
        <v/>
      </c>
      <c r="M6126" s="7">
        <f>IF(N6126=0,+L6126+H6126,0)</f>
        <v/>
      </c>
      <c r="N6126" s="7">
        <f>IF((+G6126-K6126)=0,0,+G6126-K6126)</f>
        <v/>
      </c>
      <c r="O6126" s="7">
        <f>IF(N6126=0,0,(L6126+H6126)/-N6126)</f>
        <v/>
      </c>
      <c r="P6126" s="7">
        <f>VLOOKUP(OPERAC[[#This Row],[especie]],[1]!ESPECIES[#All],6,0)</f>
        <v/>
      </c>
      <c r="Q6126" s="7">
        <f>IF(N6126&lt;&gt;0,P6126*N6126,0)</f>
        <v/>
      </c>
      <c r="R6126" s="8">
        <f>IF(Q6126&lt;&gt;0,Q6126+H6126+L6126,0)</f>
        <v/>
      </c>
      <c r="S6126" s="9">
        <f>VLOOKUP(OPERAC[[#This Row],[especie]],[1]!ESPECIES[#Data],9,FALSE)</f>
        <v/>
      </c>
    </row>
    <row r="6127">
      <c r="A6127" s="4" t="n">
        <v>3728</v>
      </c>
      <c r="B6127" s="5" t="n">
        <v>44669</v>
      </c>
      <c r="C6127" s="13" t="inlineStr">
        <is>
          <t>CPR</t>
        </is>
      </c>
      <c r="D6127" s="13" t="n">
        <v>32</v>
      </c>
      <c r="E6127" s="10">
        <f>IF(D6127&gt;0,VLOOKUP(OPERAC[[#This Row],[COD CART]],[1]!MatrizCortoLargoCyl[#All],3,0),"")</f>
        <v/>
      </c>
      <c r="F6127" s="13" t="inlineStr">
        <is>
          <t>HMY</t>
        </is>
      </c>
      <c r="G6127" s="6" t="n">
        <v>1000</v>
      </c>
      <c r="H6127" s="6">
        <f>-4.64*OPERAC[[#This Row],[cantidad]]</f>
        <v/>
      </c>
      <c r="I6127" s="7">
        <f>-H6127/G6127</f>
        <v/>
      </c>
      <c r="J6127" s="11" t="n"/>
      <c r="K6127" s="6" t="n"/>
      <c r="L6127" s="6" t="n"/>
      <c r="M6127" s="7">
        <f>IF(N6127=0,+L6127+H6127,0)</f>
        <v/>
      </c>
      <c r="N6127" s="7">
        <f>IF((+G6127-K6127)=0,0,+G6127-K6127)</f>
        <v/>
      </c>
      <c r="O6127" s="7">
        <f>IF(N6127=0,0,(L6127+H6127)/-N6127)</f>
        <v/>
      </c>
      <c r="P6127" s="7">
        <f>VLOOKUP(OPERAC[[#This Row],[especie]],[1]!ESPECIES[#All],6,0)</f>
        <v/>
      </c>
      <c r="Q6127" s="7">
        <f>IF(N6127&lt;&gt;0,P6127*N6127,0)</f>
        <v/>
      </c>
      <c r="R6127" s="8">
        <f>IF(Q6127&lt;&gt;0,Q6127+H6127+L6127,0)</f>
        <v/>
      </c>
      <c r="S6127" s="9">
        <f>VLOOKUP(OPERAC[[#This Row],[especie]],[1]!ESPECIES[#Data],9,FALSE)</f>
        <v/>
      </c>
    </row>
    <row r="6128">
      <c r="A6128" s="4" t="n">
        <v>10079</v>
      </c>
      <c r="B6128" s="5" t="n">
        <v>44669</v>
      </c>
      <c r="C6128" s="13" t="inlineStr">
        <is>
          <t>CPR</t>
        </is>
      </c>
      <c r="D6128" s="13" t="n">
        <v>32</v>
      </c>
      <c r="E6128" s="10">
        <f>IF(D6128&gt;0,VLOOKUP(OPERAC[[#This Row],[COD CART]],[1]!MatrizCortoLargoCyl[#All],3,0),"")</f>
        <v/>
      </c>
      <c r="F6128" s="13" t="inlineStr">
        <is>
          <t>HMY</t>
        </is>
      </c>
      <c r="G6128" s="6" t="n">
        <v>1000</v>
      </c>
      <c r="H6128" s="6">
        <f>-4.64*OPERAC[[#This Row],[cantidad]]</f>
        <v/>
      </c>
      <c r="I6128" s="7">
        <f>-H6128/G6128</f>
        <v/>
      </c>
      <c r="J6128" s="11" t="n"/>
      <c r="K6128" s="6" t="n"/>
      <c r="L6128" s="6" t="n"/>
      <c r="M6128" s="7">
        <f>IF(N6128=0,+L6128+H6128,0)</f>
        <v/>
      </c>
      <c r="N6128" s="7">
        <f>IF((+G6128-K6128)=0,0,+G6128-K6128)</f>
        <v/>
      </c>
      <c r="O6128" s="7">
        <f>IF(N6128=0,0,(L6128+H6128)/-N6128)</f>
        <v/>
      </c>
      <c r="P6128" s="7">
        <f>VLOOKUP(OPERAC[[#This Row],[especie]],[1]!ESPECIES[#All],6,0)</f>
        <v/>
      </c>
      <c r="Q6128" s="7">
        <f>IF(N6128&lt;&gt;0,P6128*N6128,0)</f>
        <v/>
      </c>
      <c r="R6128" s="8">
        <f>IF(Q6128&lt;&gt;0,Q6128+H6128+L6128,0)</f>
        <v/>
      </c>
      <c r="S6128" s="9">
        <f>VLOOKUP(OPERAC[[#This Row],[especie]],[1]!ESPECIES[#Data],9,FALSE)</f>
        <v/>
      </c>
    </row>
    <row r="6129">
      <c r="A6129" s="4" t="n">
        <v>12690</v>
      </c>
      <c r="B6129" s="5" t="n">
        <v>44669</v>
      </c>
      <c r="C6129" s="13" t="inlineStr">
        <is>
          <t>CPR</t>
        </is>
      </c>
      <c r="D6129" s="13" t="n">
        <v>32</v>
      </c>
      <c r="E6129" s="10">
        <f>IF(D6129&gt;0,VLOOKUP(OPERAC[[#This Row],[COD CART]],[1]!MatrizCortoLargoCyl[#All],3,0),"")</f>
        <v/>
      </c>
      <c r="F6129" s="13" t="inlineStr">
        <is>
          <t>HMY</t>
        </is>
      </c>
      <c r="G6129" s="6" t="n">
        <v>1000</v>
      </c>
      <c r="H6129" s="6">
        <f>-4.64*OPERAC[[#This Row],[cantidad]]</f>
        <v/>
      </c>
      <c r="I6129" s="7">
        <f>-H6129/G6129</f>
        <v/>
      </c>
      <c r="J6129" s="11" t="n"/>
      <c r="K6129" s="6" t="n"/>
      <c r="L6129" s="6" t="n"/>
      <c r="M6129" s="7">
        <f>IF(N6129=0,+L6129+H6129,0)</f>
        <v/>
      </c>
      <c r="N6129" s="7">
        <f>IF((+G6129-K6129)=0,0,+G6129-K6129)</f>
        <v/>
      </c>
      <c r="O6129" s="7">
        <f>IF(N6129=0,0,(L6129+H6129)/-N6129)</f>
        <v/>
      </c>
      <c r="P6129" s="7">
        <f>VLOOKUP(OPERAC[[#This Row],[especie]],[1]!ESPECIES[#All],6,0)</f>
        <v/>
      </c>
      <c r="Q6129" s="7">
        <f>IF(N6129&lt;&gt;0,P6129*N6129,0)</f>
        <v/>
      </c>
      <c r="R6129" s="8">
        <f>IF(Q6129&lt;&gt;0,Q6129+H6129+L6129,0)</f>
        <v/>
      </c>
      <c r="S6129" s="9">
        <f>VLOOKUP(OPERAC[[#This Row],[especie]],[1]!ESPECIES[#Data],9,FALSE)</f>
        <v/>
      </c>
    </row>
    <row r="6130">
      <c r="A6130" s="4" t="n">
        <v>13240</v>
      </c>
      <c r="B6130" s="5" t="n">
        <v>44669</v>
      </c>
      <c r="C6130" s="13" t="inlineStr">
        <is>
          <t>CPR</t>
        </is>
      </c>
      <c r="D6130" s="13" t="n">
        <v>32</v>
      </c>
      <c r="E6130" s="10">
        <f>IF(D6130&gt;0,VLOOKUP(OPERAC[[#This Row],[COD CART]],[1]!MatrizCortoLargoCyl[#All],3,0),"")</f>
        <v/>
      </c>
      <c r="F6130" s="13" t="inlineStr">
        <is>
          <t>HMY</t>
        </is>
      </c>
      <c r="G6130" s="6" t="n">
        <v>1000</v>
      </c>
      <c r="H6130" s="6">
        <f>-4.64*OPERAC[[#This Row],[cantidad]]</f>
        <v/>
      </c>
      <c r="I6130" s="7">
        <f>-H6130/G6130</f>
        <v/>
      </c>
      <c r="J6130" s="11" t="n"/>
      <c r="K6130" s="6" t="n"/>
      <c r="L6130" s="6" t="n"/>
      <c r="M6130" s="7">
        <f>IF(N6130=0,+L6130+H6130,0)</f>
        <v/>
      </c>
      <c r="N6130" s="7">
        <f>IF((+G6130-K6130)=0,0,+G6130-K6130)</f>
        <v/>
      </c>
      <c r="O6130" s="7">
        <f>IF(N6130=0,0,(L6130+H6130)/-N6130)</f>
        <v/>
      </c>
      <c r="P6130" s="7">
        <f>VLOOKUP(OPERAC[[#This Row],[especie]],[1]!ESPECIES[#All],6,0)</f>
        <v/>
      </c>
      <c r="Q6130" s="7">
        <f>IF(N6130&lt;&gt;0,P6130*N6130,0)</f>
        <v/>
      </c>
      <c r="R6130" s="8">
        <f>IF(Q6130&lt;&gt;0,Q6130+H6130+L6130,0)</f>
        <v/>
      </c>
      <c r="S6130" s="9">
        <f>VLOOKUP(OPERAC[[#This Row],[especie]],[1]!ESPECIES[#Data],9,FALSE)</f>
        <v/>
      </c>
    </row>
    <row r="6131">
      <c r="A6131" s="4" t="n">
        <v>12690</v>
      </c>
      <c r="B6131" s="5" t="n">
        <v>44622</v>
      </c>
      <c r="C6131" s="13" t="inlineStr">
        <is>
          <t>CPR</t>
        </is>
      </c>
      <c r="D6131" s="13" t="n">
        <v>32</v>
      </c>
      <c r="E6131" s="10">
        <f>IF(D6131&gt;0,VLOOKUP(OPERAC[[#This Row],[COD CART]],[1]!MatrizCortoLargoCyl[#All],3,0),"")</f>
        <v/>
      </c>
      <c r="F6131" s="13" t="inlineStr">
        <is>
          <t>HMY/CYL/5,00/18-03-22</t>
        </is>
      </c>
      <c r="G6131" s="6" t="n">
        <v>1000</v>
      </c>
      <c r="H6131" s="6" t="n">
        <v>-4685.320000000001</v>
      </c>
      <c r="I6131" s="7">
        <f>-H6131/G6131</f>
        <v/>
      </c>
      <c r="J6131" s="11" t="n">
        <v>44637</v>
      </c>
      <c r="K6131" s="6">
        <f>+OPERAC[[#This Row],[cantidad]]</f>
        <v/>
      </c>
      <c r="L6131" s="6">
        <f>4.85553*OPERAC[[#This Row],[cantidad venta]]</f>
        <v/>
      </c>
      <c r="M6131" s="7">
        <f>IF(N6131=0,+L6131+H6131,0)</f>
        <v/>
      </c>
      <c r="N6131" s="7">
        <f>IF((+G6131-K6131)=0,0,+G6131-K6131)</f>
        <v/>
      </c>
      <c r="O6131" s="7">
        <f>IF(N6131=0,0,(L6131+H6131)/-N6131)</f>
        <v/>
      </c>
      <c r="P6131" s="7">
        <f>VLOOKUP(OPERAC[[#This Row],[especie]],[1]!ESPECIES[#All],6,0)</f>
        <v/>
      </c>
      <c r="Q6131" s="7">
        <f>IF(N6131&lt;&gt;0,P6131*N6131,0)</f>
        <v/>
      </c>
      <c r="R6131" s="8">
        <f>IF(Q6131&lt;&gt;0,Q6131+H6131+L6131,0)</f>
        <v/>
      </c>
      <c r="S6131" s="9">
        <f>VLOOKUP(OPERAC[[#This Row],[especie]],[1]!ESPECIES[#Data],9,FALSE)</f>
        <v/>
      </c>
    </row>
    <row r="6132">
      <c r="A6132" s="4" t="n">
        <v>13240</v>
      </c>
      <c r="B6132" s="5" t="n">
        <v>44622</v>
      </c>
      <c r="C6132" s="13" t="inlineStr">
        <is>
          <t>CPR</t>
        </is>
      </c>
      <c r="D6132" s="13" t="n">
        <v>32</v>
      </c>
      <c r="E6132" s="10">
        <f>IF(D6132&gt;0,VLOOKUP(OPERAC[[#This Row],[COD CART]],[1]!MatrizCortoLargoCyl[#All],3,0),"")</f>
        <v/>
      </c>
      <c r="F6132" s="13" t="inlineStr">
        <is>
          <t>HMY/CYL/5,00/18-03-22</t>
        </is>
      </c>
      <c r="G6132" s="6" t="n">
        <v>1000</v>
      </c>
      <c r="H6132" s="6" t="n">
        <v>-4685.320000000001</v>
      </c>
      <c r="I6132" s="7">
        <f>-H6132/G6132</f>
        <v/>
      </c>
      <c r="J6132" s="11" t="n">
        <v>44637</v>
      </c>
      <c r="K6132" s="6">
        <f>+OPERAC[[#This Row],[cantidad]]</f>
        <v/>
      </c>
      <c r="L6132" s="6">
        <f>4.85553*OPERAC[[#This Row],[cantidad venta]]</f>
        <v/>
      </c>
      <c r="M6132" s="7">
        <f>IF(N6132=0,+L6132+H6132,0)</f>
        <v/>
      </c>
      <c r="N6132" s="7">
        <f>IF((+G6132-K6132)=0,0,+G6132-K6132)</f>
        <v/>
      </c>
      <c r="O6132" s="7">
        <f>IF(N6132=0,0,(L6132+H6132)/-N6132)</f>
        <v/>
      </c>
      <c r="P6132" s="7">
        <f>VLOOKUP(OPERAC[[#This Row],[especie]],[1]!ESPECIES[#All],6,0)</f>
        <v/>
      </c>
      <c r="Q6132" s="7">
        <f>IF(N6132&lt;&gt;0,P6132*N6132,0)</f>
        <v/>
      </c>
      <c r="R6132" s="8">
        <f>IF(Q6132&lt;&gt;0,Q6132+H6132+L6132,0)</f>
        <v/>
      </c>
      <c r="S6132" s="9">
        <f>VLOOKUP(OPERAC[[#This Row],[especie]],[1]!ESPECIES[#Data],9,FALSE)</f>
        <v/>
      </c>
    </row>
    <row r="6133">
      <c r="A6133" s="4" t="n">
        <v>15194</v>
      </c>
      <c r="B6133" s="5" t="n">
        <v>44622</v>
      </c>
      <c r="C6133" s="13" t="inlineStr">
        <is>
          <t>CPR</t>
        </is>
      </c>
      <c r="D6133" s="13" t="n">
        <v>32</v>
      </c>
      <c r="E6133" s="10">
        <f>IF(D6133&gt;0,VLOOKUP(OPERAC[[#This Row],[COD CART]],[1]!MatrizCortoLargoCyl[#All],3,0),"")</f>
        <v/>
      </c>
      <c r="F6133" s="13" t="inlineStr">
        <is>
          <t>HMY/CYL/5,00/18-03-22</t>
        </is>
      </c>
      <c r="G6133" s="6" t="n">
        <v>1000</v>
      </c>
      <c r="H6133" s="6" t="n">
        <v>-4685.320000000001</v>
      </c>
      <c r="I6133" s="7">
        <f>-H6133/G6133</f>
        <v/>
      </c>
      <c r="J6133" s="11" t="n">
        <v>44637</v>
      </c>
      <c r="K6133" s="6">
        <f>+OPERAC[[#This Row],[cantidad]]</f>
        <v/>
      </c>
      <c r="L6133" s="6">
        <f>4.85553*OPERAC[[#This Row],[cantidad venta]]</f>
        <v/>
      </c>
      <c r="M6133" s="7">
        <f>IF(N6133=0,+L6133+H6133,0)</f>
        <v/>
      </c>
      <c r="N6133" s="7">
        <f>IF((+G6133-K6133)=0,0,+G6133-K6133)</f>
        <v/>
      </c>
      <c r="O6133" s="7">
        <f>IF(N6133=0,0,(L6133+H6133)/-N6133)</f>
        <v/>
      </c>
      <c r="P6133" s="7">
        <f>VLOOKUP(OPERAC[[#This Row],[especie]],[1]!ESPECIES[#All],6,0)</f>
        <v/>
      </c>
      <c r="Q6133" s="7">
        <f>IF(N6133&lt;&gt;0,P6133*N6133,0)</f>
        <v/>
      </c>
      <c r="R6133" s="8">
        <f>IF(Q6133&lt;&gt;0,Q6133+H6133+L6133,0)</f>
        <v/>
      </c>
      <c r="S6133" s="9">
        <f>VLOOKUP(OPERAC[[#This Row],[especie]],[1]!ESPECIES[#Data],9,FALSE)</f>
        <v/>
      </c>
    </row>
    <row r="6134">
      <c r="A6134" s="4" t="n">
        <v>18651</v>
      </c>
      <c r="B6134" s="5" t="n">
        <v>44622</v>
      </c>
      <c r="C6134" s="13" t="inlineStr">
        <is>
          <t>CPR</t>
        </is>
      </c>
      <c r="D6134" s="13" t="n">
        <v>32</v>
      </c>
      <c r="E6134" s="10">
        <f>IF(D6134&gt;0,VLOOKUP(OPERAC[[#This Row],[COD CART]],[1]!MatrizCortoLargoCyl[#All],3,0),"")</f>
        <v/>
      </c>
      <c r="F6134" s="13" t="inlineStr">
        <is>
          <t>HMY/CYL/5,00/18-03-22</t>
        </is>
      </c>
      <c r="G6134" s="6" t="n">
        <v>1000</v>
      </c>
      <c r="H6134" s="6" t="n">
        <v>-4685.320000000001</v>
      </c>
      <c r="I6134" s="7">
        <f>-H6134/G6134</f>
        <v/>
      </c>
      <c r="J6134" s="11" t="n">
        <v>44637</v>
      </c>
      <c r="K6134" s="6">
        <f>+OPERAC[[#This Row],[cantidad]]</f>
        <v/>
      </c>
      <c r="L6134" s="6">
        <f>4.85553*OPERAC[[#This Row],[cantidad venta]]</f>
        <v/>
      </c>
      <c r="M6134" s="7">
        <f>IF(N6134=0,+L6134+H6134,0)</f>
        <v/>
      </c>
      <c r="N6134" s="7">
        <f>IF((+G6134-K6134)=0,0,+G6134-K6134)</f>
        <v/>
      </c>
      <c r="O6134" s="7">
        <f>IF(N6134=0,0,(L6134+H6134)/-N6134)</f>
        <v/>
      </c>
      <c r="P6134" s="7">
        <f>VLOOKUP(OPERAC[[#This Row],[especie]],[1]!ESPECIES[#All],6,0)</f>
        <v/>
      </c>
      <c r="Q6134" s="7">
        <f>IF(N6134&lt;&gt;0,P6134*N6134,0)</f>
        <v/>
      </c>
      <c r="R6134" s="8">
        <f>IF(Q6134&lt;&gt;0,Q6134+H6134+L6134,0)</f>
        <v/>
      </c>
      <c r="S6134" s="9">
        <f>VLOOKUP(OPERAC[[#This Row],[especie]],[1]!ESPECIES[#Data],9,FALSE)</f>
        <v/>
      </c>
    </row>
    <row r="6135">
      <c r="A6135" s="4" t="n">
        <v>3728</v>
      </c>
      <c r="B6135" s="5" t="n">
        <v>44607</v>
      </c>
      <c r="C6135" s="13" t="inlineStr">
        <is>
          <t>CPR</t>
        </is>
      </c>
      <c r="D6135" s="13" t="n">
        <v>32</v>
      </c>
      <c r="E6135" s="10">
        <f>IF(D6135&gt;0,VLOOKUP(OPERAC[[#This Row],[COD CART]],[1]!MatrizCortoLargoCyl[#All],3,0),"")</f>
        <v/>
      </c>
      <c r="F6135" s="13" t="inlineStr">
        <is>
          <t>DDD/CYL/17,00/01-04-22</t>
        </is>
      </c>
      <c r="G6135" s="6" t="n">
        <v>300</v>
      </c>
      <c r="H6135" s="6">
        <f>-4815.204+59.62+49.719</f>
        <v/>
      </c>
      <c r="I6135" s="7">
        <f>-H6135/G6135</f>
        <v/>
      </c>
      <c r="J6135" s="11" t="n">
        <v>44649</v>
      </c>
      <c r="K6135" s="6" t="n">
        <v>300</v>
      </c>
      <c r="L6135" s="6" t="n">
        <v>5002.23</v>
      </c>
      <c r="M6135" s="7">
        <f>IF(N6135=0,+L6135+H6135,0)</f>
        <v/>
      </c>
      <c r="N6135" s="7">
        <f>IF((+G6135-K6135)=0,0,+G6135-K6135)</f>
        <v/>
      </c>
      <c r="O6135" s="7">
        <f>IF(N6135=0,0,(L6135+H6135)/-N6135)</f>
        <v/>
      </c>
      <c r="P6135" s="7">
        <f>VLOOKUP(OPERAC[[#This Row],[especie]],[1]!ESPECIES[#All],6,0)</f>
        <v/>
      </c>
      <c r="Q6135" s="7">
        <f>IF(N6135&lt;&gt;0,P6135*N6135,0)</f>
        <v/>
      </c>
      <c r="R6135" s="8">
        <f>IF(Q6135&lt;&gt;0,Q6135+H6135+L6135,0)</f>
        <v/>
      </c>
      <c r="S6135" s="9">
        <f>VLOOKUP(OPERAC[[#This Row],[especie]],[1]!ESPECIES[#Data],9,FALSE)</f>
        <v/>
      </c>
    </row>
    <row r="6136">
      <c r="A6136" s="4" t="n">
        <v>16783</v>
      </c>
      <c r="B6136" s="5" t="n">
        <v>44489</v>
      </c>
      <c r="C6136" s="13" t="inlineStr">
        <is>
          <t>CPR</t>
        </is>
      </c>
      <c r="D6136" s="13" t="n">
        <v>43</v>
      </c>
      <c r="E6136" s="10">
        <f>IF(D6136&gt;0,VLOOKUP(OPERAC[[#This Row],[COD CART]],[1]!MatrizCortoLargoCyl[#All],3,0),"")</f>
        <v/>
      </c>
      <c r="F6136" s="13" t="inlineStr">
        <is>
          <t>SESN/CYL-PUT/1,00/19-01-24</t>
        </is>
      </c>
      <c r="G6136" s="6" t="n">
        <v>25000</v>
      </c>
      <c r="H6136" s="6">
        <f>-0.1885*OPERAC[[#This Row],[cantidad]]</f>
        <v/>
      </c>
      <c r="I6136" s="7">
        <f>-H6136/G6136</f>
        <v/>
      </c>
      <c r="J6136" s="11" t="n"/>
      <c r="K6136" s="6" t="n"/>
      <c r="L6136" s="6" t="n"/>
      <c r="M6136" s="7">
        <f>IF(N6136=0,+L6136+H6136,0)</f>
        <v/>
      </c>
      <c r="N6136" s="7">
        <f>IF((+G6136-K6136)=0,0,+G6136-K6136)</f>
        <v/>
      </c>
      <c r="O6136" s="7">
        <f>IF(N6136=0,0,(L6136+H6136)/-N6136)</f>
        <v/>
      </c>
      <c r="P6136" s="7">
        <f>VLOOKUP(OPERAC[[#This Row],[especie]],[1]!ESPECIES[#All],6,0)</f>
        <v/>
      </c>
      <c r="Q6136" s="7">
        <f>IF(N6136&lt;&gt;0,P6136*N6136,0)</f>
        <v/>
      </c>
      <c r="R6136" s="8">
        <f>IF(Q6136&lt;&gt;0,Q6136+H6136+L6136,0)</f>
        <v/>
      </c>
      <c r="S6136" s="9">
        <f>VLOOKUP(OPERAC[[#This Row],[especie]],[1]!ESPECIES[#Data],9,FALSE)</f>
        <v/>
      </c>
    </row>
    <row r="6137">
      <c r="A6137" s="4" t="n">
        <v>16783</v>
      </c>
      <c r="B6137" s="5" t="n">
        <v>44608</v>
      </c>
      <c r="C6137" s="13" t="inlineStr">
        <is>
          <t>CPR</t>
        </is>
      </c>
      <c r="D6137" s="13" t="n">
        <v>32</v>
      </c>
      <c r="E6137" s="10">
        <f>IF(D6137&gt;0,VLOOKUP(OPERAC[[#This Row],[COD CART]],[1]!MatrizCortoLargoCyl[#All],3,0),"")</f>
        <v/>
      </c>
      <c r="F6137" s="13" t="inlineStr">
        <is>
          <t>DDD/CYL/17,00/01-04-22</t>
        </is>
      </c>
      <c r="G6137" s="6" t="n">
        <v>300</v>
      </c>
      <c r="H6137" s="6">
        <f>-4861.8306+59.62+49.362</f>
        <v/>
      </c>
      <c r="I6137" s="7">
        <f>-H6137/G6137</f>
        <v/>
      </c>
      <c r="J6137" s="11" t="n">
        <v>44649</v>
      </c>
      <c r="K6137" s="6" t="n">
        <v>300</v>
      </c>
      <c r="L6137" s="6" t="n">
        <v>5002.23</v>
      </c>
      <c r="M6137" s="7">
        <f>IF(N6137=0,+L6137+H6137,0)</f>
        <v/>
      </c>
      <c r="N6137" s="7">
        <f>IF((+G6137-K6137)=0,0,+G6137-K6137)</f>
        <v/>
      </c>
      <c r="O6137" s="7">
        <f>IF(N6137=0,0,(L6137+H6137)/-N6137)</f>
        <v/>
      </c>
      <c r="P6137" s="7">
        <f>VLOOKUP(OPERAC[[#This Row],[especie]],[1]!ESPECIES[#All],6,0)</f>
        <v/>
      </c>
      <c r="Q6137" s="7">
        <f>IF(N6137&lt;&gt;0,P6137*N6137,0)</f>
        <v/>
      </c>
      <c r="R6137" s="8">
        <f>IF(Q6137&lt;&gt;0,Q6137+H6137+L6137,0)</f>
        <v/>
      </c>
      <c r="S6137" s="9">
        <f>VLOOKUP(OPERAC[[#This Row],[especie]],[1]!ESPECIES[#Data],9,FALSE)</f>
        <v/>
      </c>
    </row>
    <row r="6138">
      <c r="A6138" s="4" t="n">
        <v>13240</v>
      </c>
      <c r="B6138" s="5" t="n">
        <v>44641</v>
      </c>
      <c r="C6138" s="13" t="inlineStr">
        <is>
          <t>CPR</t>
        </is>
      </c>
      <c r="D6138" s="13" t="n">
        <v>32</v>
      </c>
      <c r="E6138" s="10">
        <f>IF(D6138&gt;0,VLOOKUP(OPERAC[[#This Row],[COD CART]],[1]!MatrizCortoLargoCyl[#All],3,0),"")</f>
        <v/>
      </c>
      <c r="F6138" s="13" t="inlineStr">
        <is>
          <t>HMY</t>
        </is>
      </c>
      <c r="G6138" s="6" t="n">
        <v>1000</v>
      </c>
      <c r="H6138" s="6" t="n">
        <v>-4759.039</v>
      </c>
      <c r="I6138" s="7">
        <f>-H6138/G6138</f>
        <v/>
      </c>
      <c r="J6138" s="11" t="n">
        <v>44669</v>
      </c>
      <c r="K6138" s="6">
        <f>+OPERAC[[#This Row],[cantidad]]</f>
        <v/>
      </c>
      <c r="L6138" s="6">
        <f>4.925*OPERAC[[#This Row],[cantidad venta]]</f>
        <v/>
      </c>
      <c r="M6138" s="7">
        <f>IF(N6138=0,+L6138+H6138,0)</f>
        <v/>
      </c>
      <c r="N6138" s="7">
        <f>IF((+G6138-K6138)=0,0,+G6138-K6138)</f>
        <v/>
      </c>
      <c r="O6138" s="7">
        <f>IF(N6138=0,0,(L6138+H6138)/-N6138)</f>
        <v/>
      </c>
      <c r="P6138" s="7">
        <f>VLOOKUP(OPERAC[[#This Row],[especie]],[1]!ESPECIES[#All],6,0)</f>
        <v/>
      </c>
      <c r="Q6138" s="7">
        <f>IF(N6138&lt;&gt;0,P6138*N6138,0)</f>
        <v/>
      </c>
      <c r="R6138" s="8">
        <f>IF(Q6138&lt;&gt;0,Q6138+H6138+L6138,0)</f>
        <v/>
      </c>
      <c r="S6138" s="9">
        <f>VLOOKUP(OPERAC[[#This Row],[especie]],[1]!ESPECIES[#Data],9,FALSE)</f>
        <v/>
      </c>
    </row>
    <row r="6139">
      <c r="A6139" s="4" t="n">
        <v>13246</v>
      </c>
      <c r="B6139" s="5" t="n">
        <v>44641</v>
      </c>
      <c r="C6139" s="13" t="inlineStr">
        <is>
          <t>CPR</t>
        </is>
      </c>
      <c r="D6139" s="13" t="n">
        <v>32</v>
      </c>
      <c r="E6139" s="10">
        <f>IF(D6139&gt;0,VLOOKUP(OPERAC[[#This Row],[COD CART]],[1]!MatrizCortoLargoCyl[#All],3,0),"")</f>
        <v/>
      </c>
      <c r="F6139" s="13" t="inlineStr">
        <is>
          <t>HMY</t>
        </is>
      </c>
      <c r="G6139" s="6" t="n">
        <v>1000</v>
      </c>
      <c r="H6139" s="6" t="n">
        <v>-4759.039</v>
      </c>
      <c r="I6139" s="7">
        <f>-H6139/G6139</f>
        <v/>
      </c>
      <c r="J6139" s="11" t="n">
        <v>44669</v>
      </c>
      <c r="K6139" s="6">
        <f>+OPERAC[[#This Row],[cantidad]]</f>
        <v/>
      </c>
      <c r="L6139" s="6">
        <f>4.925*OPERAC[[#This Row],[cantidad venta]]</f>
        <v/>
      </c>
      <c r="M6139" s="7">
        <f>IF(N6139=0,+L6139+H6139,0)</f>
        <v/>
      </c>
      <c r="N6139" s="7">
        <f>IF((+G6139-K6139)=0,0,+G6139-K6139)</f>
        <v/>
      </c>
      <c r="O6139" s="7">
        <f>IF(N6139=0,0,(L6139+H6139)/-N6139)</f>
        <v/>
      </c>
      <c r="P6139" s="7">
        <f>VLOOKUP(OPERAC[[#This Row],[especie]],[1]!ESPECIES[#All],6,0)</f>
        <v/>
      </c>
      <c r="Q6139" s="7">
        <f>IF(N6139&lt;&gt;0,P6139*N6139,0)</f>
        <v/>
      </c>
      <c r="R6139" s="8">
        <f>IF(Q6139&lt;&gt;0,Q6139+H6139+L6139,0)</f>
        <v/>
      </c>
      <c r="S6139" s="9">
        <f>VLOOKUP(OPERAC[[#This Row],[especie]],[1]!ESPECIES[#Data],9,FALSE)</f>
        <v/>
      </c>
    </row>
    <row r="6140">
      <c r="A6140" s="4" t="n">
        <v>10079</v>
      </c>
      <c r="B6140" s="5" t="n">
        <v>44490</v>
      </c>
      <c r="C6140" s="13" t="inlineStr">
        <is>
          <t>CPR</t>
        </is>
      </c>
      <c r="D6140" s="13" t="n">
        <v>40</v>
      </c>
      <c r="E6140" s="10">
        <f>IF(D6140&gt;0,VLOOKUP(OPERAC[[#This Row],[COD CART]],[1]!MatrizCortoLargoCyl[#All],3,0),"")</f>
        <v/>
      </c>
      <c r="F6140" s="13" t="inlineStr">
        <is>
          <t>MELI</t>
        </is>
      </c>
      <c r="G6140" s="6" t="n">
        <v>3</v>
      </c>
      <c r="H6140" s="6" t="n">
        <v>-4763.715</v>
      </c>
      <c r="I6140" s="7">
        <f>-H6140/G6140</f>
        <v/>
      </c>
      <c r="J6140" s="11" t="n">
        <v>44587</v>
      </c>
      <c r="K6140" s="6" t="n">
        <v>3</v>
      </c>
      <c r="L6140" s="6" t="n">
        <v>3044.202</v>
      </c>
      <c r="M6140" s="7">
        <f>IF(N6140=0,+L6140+H6140,0)</f>
        <v/>
      </c>
      <c r="N6140" s="7">
        <f>IF((+G6140-K6140)=0,0,+G6140-K6140)</f>
        <v/>
      </c>
      <c r="O6140" s="7">
        <f>IF(N6140=0,0,(L6140+H6140)/-N6140)</f>
        <v/>
      </c>
      <c r="P6140" s="7">
        <f>VLOOKUP(OPERAC[[#This Row],[especie]],[1]!ESPECIES[#All],6,0)</f>
        <v/>
      </c>
      <c r="Q6140" s="7">
        <f>IF(N6140&lt;&gt;0,P6140*N6140,0)</f>
        <v/>
      </c>
      <c r="R6140" s="8">
        <f>IF(Q6140&lt;&gt;0,Q6140+H6140+L6140,0)</f>
        <v/>
      </c>
      <c r="S6140" s="9">
        <f>VLOOKUP(OPERAC[[#This Row],[especie]],[1]!ESPECIES[#Data],9,FALSE)</f>
        <v/>
      </c>
    </row>
    <row r="6141">
      <c r="A6141" s="4" t="n">
        <v>3787</v>
      </c>
      <c r="B6141" s="5" t="n">
        <v>44608</v>
      </c>
      <c r="C6141" s="13" t="inlineStr">
        <is>
          <t>CPR</t>
        </is>
      </c>
      <c r="D6141" s="13" t="n">
        <v>32</v>
      </c>
      <c r="E6141" s="10">
        <f>IF(D6141&gt;0,VLOOKUP(OPERAC[[#This Row],[COD CART]],[1]!MatrizCortoLargoCyl[#All],3,0),"")</f>
        <v/>
      </c>
      <c r="F6141" s="13" t="inlineStr">
        <is>
          <t>DDD/CYL/17,00/01-04-22</t>
        </is>
      </c>
      <c r="G6141" s="6" t="n">
        <v>300</v>
      </c>
      <c r="H6141" s="6">
        <f>-4888.2522+59.18+49.36</f>
        <v/>
      </c>
      <c r="I6141" s="7">
        <f>-H6141/G6141</f>
        <v/>
      </c>
      <c r="J6141" s="11" t="n">
        <v>44649</v>
      </c>
      <c r="K6141" s="6" t="n">
        <v>300</v>
      </c>
      <c r="L6141" s="6" t="n">
        <v>5002.23</v>
      </c>
      <c r="M6141" s="7">
        <f>IF(N6141=0,+L6141+H6141,0)</f>
        <v/>
      </c>
      <c r="N6141" s="7">
        <f>IF((+G6141-K6141)=0,0,+G6141-K6141)</f>
        <v/>
      </c>
      <c r="O6141" s="7">
        <f>IF(N6141=0,0,(L6141+H6141)/-N6141)</f>
        <v/>
      </c>
      <c r="P6141" s="7">
        <f>VLOOKUP(OPERAC[[#This Row],[especie]],[1]!ESPECIES[#All],6,0)</f>
        <v/>
      </c>
      <c r="Q6141" s="7">
        <f>IF(N6141&lt;&gt;0,P6141*N6141,0)</f>
        <v/>
      </c>
      <c r="R6141" s="8">
        <f>IF(Q6141&lt;&gt;0,Q6141+H6141+L6141,0)</f>
        <v/>
      </c>
      <c r="S6141" s="9">
        <f>VLOOKUP(OPERAC[[#This Row],[especie]],[1]!ESPECIES[#Data],9,FALSE)</f>
        <v/>
      </c>
    </row>
    <row r="6142">
      <c r="A6142" s="4" t="n">
        <v>3728</v>
      </c>
      <c r="B6142" s="5" t="n">
        <v>44487</v>
      </c>
      <c r="C6142" s="13" t="inlineStr">
        <is>
          <t>CPR</t>
        </is>
      </c>
      <c r="D6142" s="13" t="n">
        <v>40</v>
      </c>
      <c r="E6142" s="10">
        <f>IF(D6142&gt;0,VLOOKUP(OPERAC[[#This Row],[COD CART]],[1]!MatrizCortoLargoCyl[#All],3,0),"")</f>
        <v/>
      </c>
      <c r="F6142" s="13" t="inlineStr">
        <is>
          <t>MELI</t>
        </is>
      </c>
      <c r="G6142" s="6" t="n">
        <v>3</v>
      </c>
      <c r="H6142" s="6" t="n">
        <v>-4785.4785</v>
      </c>
      <c r="I6142" s="7">
        <f>-H6142/G6142</f>
        <v/>
      </c>
      <c r="J6142" s="11" t="n">
        <v>44606</v>
      </c>
      <c r="K6142" s="6" t="n">
        <v>3</v>
      </c>
      <c r="L6142" s="6" t="n">
        <v>3250.11</v>
      </c>
      <c r="M6142" s="7">
        <f>IF(N6142=0,+L6142+H6142,0)</f>
        <v/>
      </c>
      <c r="N6142" s="7">
        <f>IF((+G6142-K6142)=0,0,+G6142-K6142)</f>
        <v/>
      </c>
      <c r="O6142" s="7">
        <f>IF(N6142=0,0,(L6142+H6142)/-N6142)</f>
        <v/>
      </c>
      <c r="P6142" s="7">
        <f>VLOOKUP(OPERAC[[#This Row],[especie]],[1]!ESPECIES[#All],6,0)</f>
        <v/>
      </c>
      <c r="Q6142" s="7">
        <f>IF(N6142&lt;&gt;0,P6142*N6142,0)</f>
        <v/>
      </c>
      <c r="R6142" s="8">
        <f>IF(Q6142&lt;&gt;0,Q6142+H6142+L6142,0)</f>
        <v/>
      </c>
      <c r="S6142" s="9">
        <f>VLOOKUP(OPERAC[[#This Row],[especie]],[1]!ESPECIES[#Data],9,FALSE)</f>
        <v/>
      </c>
    </row>
    <row r="6143">
      <c r="A6143" s="4" t="n">
        <v>2218</v>
      </c>
      <c r="B6143" s="5" t="n">
        <v>44712</v>
      </c>
      <c r="C6143" s="13" t="inlineStr">
        <is>
          <t>CPR</t>
        </is>
      </c>
      <c r="D6143" s="13" t="n">
        <v>40</v>
      </c>
      <c r="E6143" s="10">
        <f>IF(D6143&gt;0,VLOOKUP(OPERAC[[#This Row],[COD CART]],[1]!MatrizCortoLargoCyl[#All],3,0),"")</f>
        <v/>
      </c>
      <c r="F6143" s="13" t="inlineStr">
        <is>
          <t>AMZN</t>
        </is>
      </c>
      <c r="G6143" s="6" t="n">
        <v>40</v>
      </c>
      <c r="H6143" s="6" t="n">
        <v>-4788.744</v>
      </c>
      <c r="I6143" s="7">
        <f>-H6143/G6143</f>
        <v/>
      </c>
      <c r="J6143" s="5" t="n"/>
      <c r="K6143" s="6" t="n"/>
      <c r="L6143" s="6" t="n"/>
      <c r="M6143" s="7">
        <f>IF(N6143=0,+L6143+H6143,0)</f>
        <v/>
      </c>
      <c r="N6143" s="7">
        <f>IF((+G6143-K6143)=0,0,+G6143-K6143)</f>
        <v/>
      </c>
      <c r="O6143" s="7">
        <f>IF(N6143=0,0,(L6143+H6143)/-N6143)</f>
        <v/>
      </c>
      <c r="P6143" s="7">
        <f>VLOOKUP(OPERAC[[#This Row],[especie]],[1]!ESPECIES[#All],6,0)</f>
        <v/>
      </c>
      <c r="Q6143" s="7">
        <f>IF(N6143&lt;&gt;0,P6143*N6143,0)</f>
        <v/>
      </c>
      <c r="R6143" s="8">
        <f>IF(Q6143&lt;&gt;0,Q6143+H6143+L6143,0)</f>
        <v/>
      </c>
      <c r="S6143" s="9">
        <f>VLOOKUP(OPERAC[[#This Row],[especie]],[1]!ESPECIES[#Data],9,FALSE)</f>
        <v/>
      </c>
    </row>
    <row r="6144">
      <c r="A6144" s="4" t="n">
        <v>18651</v>
      </c>
      <c r="B6144" s="5" t="n">
        <v>44608</v>
      </c>
      <c r="C6144" s="13" t="inlineStr">
        <is>
          <t>CPR</t>
        </is>
      </c>
      <c r="D6144" s="13" t="n">
        <v>32</v>
      </c>
      <c r="E6144" s="10">
        <f>IF(D6144&gt;0,VLOOKUP(OPERAC[[#This Row],[COD CART]],[1]!MatrizCortoLargoCyl[#All],3,0),"")</f>
        <v/>
      </c>
      <c r="F6144" s="13" t="inlineStr">
        <is>
          <t>DDD/CYL/17,00/01-04-22</t>
        </is>
      </c>
      <c r="G6144" s="6" t="n">
        <v>300</v>
      </c>
      <c r="H6144" s="6">
        <f>-4888.2522+59.62+30.908</f>
        <v/>
      </c>
      <c r="I6144" s="7">
        <f>-H6144/G6144</f>
        <v/>
      </c>
      <c r="J6144" s="11" t="n">
        <v>44649</v>
      </c>
      <c r="K6144" s="6" t="n">
        <v>300</v>
      </c>
      <c r="L6144" s="6" t="n">
        <v>5002.23</v>
      </c>
      <c r="M6144" s="7">
        <f>IF(N6144=0,+L6144+H6144,0)</f>
        <v/>
      </c>
      <c r="N6144" s="7">
        <f>IF((+G6144-K6144)=0,0,+G6144-K6144)</f>
        <v/>
      </c>
      <c r="O6144" s="7">
        <f>IF(N6144=0,0,(L6144+H6144)/-N6144)</f>
        <v/>
      </c>
      <c r="P6144" s="7">
        <f>VLOOKUP(OPERAC[[#This Row],[especie]],[1]!ESPECIES[#All],6,0)</f>
        <v/>
      </c>
      <c r="Q6144" s="7">
        <f>IF(N6144&lt;&gt;0,P6144*N6144,0)</f>
        <v/>
      </c>
      <c r="R6144" s="8">
        <f>IF(Q6144&lt;&gt;0,Q6144+H6144+L6144,0)</f>
        <v/>
      </c>
      <c r="S6144" s="9">
        <f>VLOOKUP(OPERAC[[#This Row],[especie]],[1]!ESPECIES[#Data],9,FALSE)</f>
        <v/>
      </c>
    </row>
    <row r="6145">
      <c r="A6145" s="4" t="n">
        <v>2218</v>
      </c>
      <c r="B6145" s="5" t="n">
        <v>44687</v>
      </c>
      <c r="C6145" s="13" t="inlineStr">
        <is>
          <t>CPR</t>
        </is>
      </c>
      <c r="D6145" s="13" t="n">
        <v>43</v>
      </c>
      <c r="E6145" s="10">
        <f>IF(D6145&gt;0,VLOOKUP(OPERAC[[#This Row],[COD CART]],[1]!MatrizCortoLargoCyl[#All],3,0),"")</f>
        <v/>
      </c>
      <c r="F6145" s="13" t="inlineStr">
        <is>
          <t>SPWR/CYP/16,50-15,50/20-05-22</t>
        </is>
      </c>
      <c r="G6145" s="6" t="n">
        <v>300</v>
      </c>
      <c r="H6145" s="6" t="n">
        <v>-4799.898</v>
      </c>
      <c r="I6145" s="7">
        <f>-H6145/G6145</f>
        <v/>
      </c>
      <c r="J6145" s="11" t="n">
        <v>44701</v>
      </c>
      <c r="K6145" s="6" t="n">
        <v>300</v>
      </c>
      <c r="L6145" s="6" t="n">
        <v>4930.035</v>
      </c>
      <c r="M6145" s="7">
        <f>IF(N6145=0,+L6145+H6145,0)</f>
        <v/>
      </c>
      <c r="N6145" s="7">
        <f>IF((+G6145-K6145)=0,0,+G6145-K6145)</f>
        <v/>
      </c>
      <c r="O6145" s="7">
        <f>IF(N6145=0,0,(L6145+H6145)/-N6145)</f>
        <v/>
      </c>
      <c r="P6145" s="7">
        <f>VLOOKUP(OPERAC[[#This Row],[especie]],[1]!ESPECIES[#All],6,0)</f>
        <v/>
      </c>
      <c r="Q6145" s="7">
        <f>IF(N6145&lt;&gt;0,P6145*N6145,0)</f>
        <v/>
      </c>
      <c r="R6145" s="8">
        <f>IF(Q6145&lt;&gt;0,Q6145+H6145+L6145,0)</f>
        <v/>
      </c>
      <c r="S6145" s="9">
        <f>VLOOKUP(OPERAC[[#This Row],[especie]],[1]!ESPECIES[#Data],9,FALSE)</f>
        <v/>
      </c>
    </row>
    <row r="6146">
      <c r="A6146" s="4" t="n">
        <v>3728</v>
      </c>
      <c r="B6146" s="5" t="n">
        <v>44687</v>
      </c>
      <c r="C6146" s="13" t="inlineStr">
        <is>
          <t>CPR</t>
        </is>
      </c>
      <c r="D6146" s="13" t="n">
        <v>43</v>
      </c>
      <c r="E6146" s="10">
        <f>IF(D6146&gt;0,VLOOKUP(OPERAC[[#This Row],[COD CART]],[1]!MatrizCortoLargoCyl[#All],3,0),"")</f>
        <v/>
      </c>
      <c r="F6146" s="13" t="inlineStr">
        <is>
          <t>SPWR/CYP/16,50-15,50/20-05-22</t>
        </is>
      </c>
      <c r="G6146" s="6" t="n">
        <v>300</v>
      </c>
      <c r="H6146" s="6" t="n">
        <v>-4799.898</v>
      </c>
      <c r="I6146" s="7">
        <f>-H6146/G6146</f>
        <v/>
      </c>
      <c r="J6146" s="11" t="n">
        <v>44701</v>
      </c>
      <c r="K6146" s="6" t="n">
        <v>300</v>
      </c>
      <c r="L6146" s="6" t="n">
        <v>4930.035</v>
      </c>
      <c r="M6146" s="7">
        <f>IF(N6146=0,+L6146+H6146,0)</f>
        <v/>
      </c>
      <c r="N6146" s="7">
        <f>IF((+G6146-K6146)=0,0,+G6146-K6146)</f>
        <v/>
      </c>
      <c r="O6146" s="7">
        <f>IF(N6146=0,0,(L6146+H6146)/-N6146)</f>
        <v/>
      </c>
      <c r="P6146" s="7">
        <f>VLOOKUP(OPERAC[[#This Row],[especie]],[1]!ESPECIES[#All],6,0)</f>
        <v/>
      </c>
      <c r="Q6146" s="7">
        <f>IF(N6146&lt;&gt;0,P6146*N6146,0)</f>
        <v/>
      </c>
      <c r="R6146" s="8">
        <f>IF(Q6146&lt;&gt;0,Q6146+H6146+L6146,0)</f>
        <v/>
      </c>
      <c r="S6146" s="9">
        <f>VLOOKUP(OPERAC[[#This Row],[especie]],[1]!ESPECIES[#Data],9,FALSE)</f>
        <v/>
      </c>
    </row>
    <row r="6147">
      <c r="A6147" s="4" t="n">
        <v>6579</v>
      </c>
      <c r="B6147" s="5" t="n">
        <v>43908</v>
      </c>
      <c r="C6147" s="13" t="inlineStr">
        <is>
          <t>CPR</t>
        </is>
      </c>
      <c r="D6147" s="13" t="n">
        <v>41</v>
      </c>
      <c r="E6147" s="10">
        <f>IF(D6147&gt;0,VLOOKUP(OPERAC[[#This Row],[COD CART]],[1]!MatrizCortoLargoCyl[#All],3,0),"")</f>
        <v/>
      </c>
      <c r="F6147" s="13" t="inlineStr">
        <is>
          <t>BBAR</t>
        </is>
      </c>
      <c r="G6147" s="6" t="n">
        <v>1205</v>
      </c>
      <c r="H6147" s="6" t="n">
        <v>-4809.97467715</v>
      </c>
      <c r="I6147" s="7" t="n">
        <v>3.99168023</v>
      </c>
      <c r="J6147" s="5" t="n"/>
      <c r="K6147" s="6">
        <f>400+255</f>
        <v/>
      </c>
      <c r="L6147" s="6">
        <f>1331.22+824.441</f>
        <v/>
      </c>
      <c r="M6147" s="7">
        <f>IF(N6147=0,+L6147+H6147,0)</f>
        <v/>
      </c>
      <c r="N6147" s="7">
        <f>IF((+G6147-K6147)=0,0,+G6147-K6147)</f>
        <v/>
      </c>
      <c r="O6147" s="7">
        <f>IF(N6147=0,0,(L6147+H6147)/-N6147)</f>
        <v/>
      </c>
      <c r="P6147" s="7">
        <f>VLOOKUP(OPERAC[[#This Row],[especie]],[1]!ESPECIES[#All],6,0)</f>
        <v/>
      </c>
      <c r="Q6147" s="7">
        <f>IF(N6147&lt;&gt;0,P6147*N6147,0)</f>
        <v/>
      </c>
      <c r="R6147" s="8">
        <f>IF(Q6147&lt;&gt;0,Q6147+H6147+L6147,0)</f>
        <v/>
      </c>
      <c r="S6147" s="9">
        <f>VLOOKUP(OPERAC[[#This Row],[especie]],[1]!ESPECIES[#Data],9,FALSE)</f>
        <v/>
      </c>
    </row>
    <row r="6148">
      <c r="A6148" s="4" t="n">
        <v>10079</v>
      </c>
      <c r="B6148" s="5" t="n">
        <v>44713</v>
      </c>
      <c r="C6148" s="13" t="inlineStr">
        <is>
          <t>CPR</t>
        </is>
      </c>
      <c r="D6148" s="13" t="n">
        <v>42</v>
      </c>
      <c r="E6148" s="10">
        <f>IF(D6148&gt;0,VLOOKUP(OPERAC[[#This Row],[COD CART]],[1]!MatrizCortoLargoCyl[#All],3,0),"")</f>
        <v/>
      </c>
      <c r="F6148" s="13" t="inlineStr">
        <is>
          <t>UPST</t>
        </is>
      </c>
      <c r="G6148" s="6" t="n">
        <v>100</v>
      </c>
      <c r="H6148" s="6" t="n">
        <v>-4814.682</v>
      </c>
      <c r="I6148" s="7">
        <f>-H6148/G6148</f>
        <v/>
      </c>
      <c r="J6148" s="5" t="n">
        <v>44714</v>
      </c>
      <c r="K6148" s="6">
        <f>+OPERAC[[#This Row],[cantidad]]</f>
        <v/>
      </c>
      <c r="L6148" s="6">
        <f>+OPERAC[[#This Row],[cantidad venta]]*49.312</f>
        <v/>
      </c>
      <c r="M6148" s="7">
        <f>IF(N6148=0,+L6148+H6148,0)</f>
        <v/>
      </c>
      <c r="N6148" s="7">
        <f>IF((+G6148-K6148)=0,0,+G6148-K6148)</f>
        <v/>
      </c>
      <c r="O6148" s="7">
        <f>IF(N6148=0,0,(L6148+H6148)/-N6148)</f>
        <v/>
      </c>
      <c r="P6148" s="7">
        <f>VLOOKUP(OPERAC[[#This Row],[especie]],[1]!ESPECIES[#All],6,0)</f>
        <v/>
      </c>
      <c r="Q6148" s="7">
        <f>IF(N6148&lt;&gt;0,P6148*N6148,0)</f>
        <v/>
      </c>
      <c r="R6148" s="8">
        <f>IF(Q6148&lt;&gt;0,Q6148+H6148+L6148,0)</f>
        <v/>
      </c>
      <c r="S6148" s="9">
        <f>VLOOKUP(OPERAC[[#This Row],[especie]],[1]!ESPECIES[#Data],9,FALSE)</f>
        <v/>
      </c>
    </row>
    <row r="6149">
      <c r="A6149" s="4" t="n">
        <v>13180</v>
      </c>
      <c r="B6149" s="5" t="n">
        <v>44713</v>
      </c>
      <c r="C6149" s="13" t="inlineStr">
        <is>
          <t>CPR</t>
        </is>
      </c>
      <c r="D6149" s="13" t="n">
        <v>42</v>
      </c>
      <c r="E6149" s="10">
        <f>IF(D6149&gt;0,VLOOKUP(OPERAC[[#This Row],[COD CART]],[1]!MatrizCortoLargoCyl[#All],3,0),"")</f>
        <v/>
      </c>
      <c r="F6149" s="13" t="inlineStr">
        <is>
          <t>UPST</t>
        </is>
      </c>
      <c r="G6149" s="6" t="n">
        <v>100</v>
      </c>
      <c r="H6149" s="6" t="n">
        <v>-4814.682</v>
      </c>
      <c r="I6149" s="7">
        <f>-H6149/G6149</f>
        <v/>
      </c>
      <c r="J6149" s="5" t="n">
        <v>44714</v>
      </c>
      <c r="K6149" s="6">
        <f>+OPERAC[[#This Row],[cantidad]]</f>
        <v/>
      </c>
      <c r="L6149" s="6">
        <f>+OPERAC[[#This Row],[cantidad venta]]*49.312</f>
        <v/>
      </c>
      <c r="M6149" s="7">
        <f>IF(N6149=0,+L6149+H6149,0)</f>
        <v/>
      </c>
      <c r="N6149" s="7">
        <f>IF((+G6149-K6149)=0,0,+G6149-K6149)</f>
        <v/>
      </c>
      <c r="O6149" s="7">
        <f>IF(N6149=0,0,(L6149+H6149)/-N6149)</f>
        <v/>
      </c>
      <c r="P6149" s="7">
        <f>VLOOKUP(OPERAC[[#This Row],[especie]],[1]!ESPECIES[#All],6,0)</f>
        <v/>
      </c>
      <c r="Q6149" s="7">
        <f>IF(N6149&lt;&gt;0,P6149*N6149,0)</f>
        <v/>
      </c>
      <c r="R6149" s="8">
        <f>IF(Q6149&lt;&gt;0,Q6149+H6149+L6149,0)</f>
        <v/>
      </c>
      <c r="S6149" s="9">
        <f>VLOOKUP(OPERAC[[#This Row],[especie]],[1]!ESPECIES[#Data],9,FALSE)</f>
        <v/>
      </c>
    </row>
    <row r="6150">
      <c r="A6150" s="4" t="n">
        <v>16780</v>
      </c>
      <c r="B6150" s="5" t="n">
        <v>44713</v>
      </c>
      <c r="C6150" s="13" t="inlineStr">
        <is>
          <t>CPR</t>
        </is>
      </c>
      <c r="D6150" s="13" t="n">
        <v>42</v>
      </c>
      <c r="E6150" s="10">
        <f>IF(D6150&gt;0,VLOOKUP(OPERAC[[#This Row],[COD CART]],[1]!MatrizCortoLargoCyl[#All],3,0),"")</f>
        <v/>
      </c>
      <c r="F6150" s="13" t="inlineStr">
        <is>
          <t>UPST</t>
        </is>
      </c>
      <c r="G6150" s="6" t="n">
        <v>100</v>
      </c>
      <c r="H6150" s="6" t="n">
        <v>-4814.682</v>
      </c>
      <c r="I6150" s="7">
        <f>-H6150/G6150</f>
        <v/>
      </c>
      <c r="J6150" s="5" t="n">
        <v>44714</v>
      </c>
      <c r="K6150" s="6">
        <f>+OPERAC[[#This Row],[cantidad]]</f>
        <v/>
      </c>
      <c r="L6150" s="6">
        <f>+OPERAC[[#This Row],[cantidad venta]]*49.312</f>
        <v/>
      </c>
      <c r="M6150" s="7">
        <f>IF(N6150=0,+L6150+H6150,0)</f>
        <v/>
      </c>
      <c r="N6150" s="7">
        <f>IF((+G6150-K6150)=0,0,+G6150-K6150)</f>
        <v/>
      </c>
      <c r="O6150" s="7">
        <f>IF(N6150=0,0,(L6150+H6150)/-N6150)</f>
        <v/>
      </c>
      <c r="P6150" s="7">
        <f>VLOOKUP(OPERAC[[#This Row],[especie]],[1]!ESPECIES[#All],6,0)</f>
        <v/>
      </c>
      <c r="Q6150" s="7">
        <f>IF(N6150&lt;&gt;0,P6150*N6150,0)</f>
        <v/>
      </c>
      <c r="R6150" s="8">
        <f>IF(Q6150&lt;&gt;0,Q6150+H6150+L6150,0)</f>
        <v/>
      </c>
      <c r="S6150" s="9">
        <f>VLOOKUP(OPERAC[[#This Row],[especie]],[1]!ESPECIES[#Data],9,FALSE)</f>
        <v/>
      </c>
    </row>
    <row r="6151">
      <c r="A6151" s="4" t="n">
        <v>3728</v>
      </c>
      <c r="B6151" s="5" t="n">
        <v>44607</v>
      </c>
      <c r="C6151" s="13" t="inlineStr">
        <is>
          <t>CPR</t>
        </is>
      </c>
      <c r="D6151" s="13" t="n">
        <v>43</v>
      </c>
      <c r="E6151" s="10">
        <f>IF(D6151&gt;0,VLOOKUP(OPERAC[[#This Row],[COD CART]],[1]!MatrizCortoLargoCyl[#All],3,0),"")</f>
        <v/>
      </c>
      <c r="F6151" s="13" t="inlineStr">
        <is>
          <t>ACB/CYL-PUT/4,00/19-01-24</t>
        </is>
      </c>
      <c r="G6151" s="6" t="n">
        <v>5000</v>
      </c>
      <c r="H6151" s="6" t="n">
        <v>-4819.455</v>
      </c>
      <c r="I6151" s="7">
        <f>-H6151/G6151</f>
        <v/>
      </c>
      <c r="J6151" s="11" t="n"/>
      <c r="K6151" s="6" t="n"/>
      <c r="L6151" s="6" t="n"/>
      <c r="M6151" s="7">
        <f>IF(N6151=0,+L6151+H6151,0)</f>
        <v/>
      </c>
      <c r="N6151" s="7">
        <f>IF((+G6151-K6151)=0,0,+G6151-K6151)</f>
        <v/>
      </c>
      <c r="O6151" s="7">
        <f>IF(N6151=0,0,(L6151+H6151)/-N6151)</f>
        <v/>
      </c>
      <c r="P6151" s="7">
        <f>VLOOKUP(OPERAC[[#This Row],[especie]],[1]!ESPECIES[#All],6,0)</f>
        <v/>
      </c>
      <c r="Q6151" s="7">
        <f>IF(N6151&lt;&gt;0,P6151*N6151,0)</f>
        <v/>
      </c>
      <c r="R6151" s="8">
        <f>IF(Q6151&lt;&gt;0,Q6151+H6151+L6151,0)</f>
        <v/>
      </c>
      <c r="S6151" s="9">
        <f>VLOOKUP(OPERAC[[#This Row],[especie]],[1]!ESPECIES[#Data],9,FALSE)</f>
        <v/>
      </c>
    </row>
    <row r="6152">
      <c r="A6152" s="4" t="n">
        <v>1760</v>
      </c>
      <c r="B6152" s="5" t="n">
        <v>44536</v>
      </c>
      <c r="C6152" s="13" t="inlineStr">
        <is>
          <t>CPR</t>
        </is>
      </c>
      <c r="D6152" s="13" t="n">
        <v>41</v>
      </c>
      <c r="E6152" s="10">
        <f>IF(D6152&gt;0,VLOOKUP(OPERAC[[#This Row],[COD CART]],[1]!MatrizCortoLargoCyl[#All],3,0),"")</f>
        <v/>
      </c>
      <c r="F6152" s="13" t="inlineStr">
        <is>
          <t>BBAR</t>
        </is>
      </c>
      <c r="G6152" s="6" t="n">
        <v>1500</v>
      </c>
      <c r="H6152" s="6" t="n">
        <v>-4822.17</v>
      </c>
      <c r="I6152" s="7">
        <f>-H6152/G6152</f>
        <v/>
      </c>
      <c r="J6152" s="11" t="n">
        <v>44693</v>
      </c>
      <c r="K6152" s="6" t="n">
        <v>1000</v>
      </c>
      <c r="L6152" s="6" t="n">
        <v>2723.56</v>
      </c>
      <c r="M6152" s="7">
        <f>IF(N6152=0,+L6152+H6152,0)</f>
        <v/>
      </c>
      <c r="N6152" s="7">
        <f>IF((+G6152-K6152)=0,0,+G6152-K6152)</f>
        <v/>
      </c>
      <c r="O6152" s="7">
        <f>IF(N6152=0,0,(L6152+H6152)/-N6152)</f>
        <v/>
      </c>
      <c r="P6152" s="7">
        <f>VLOOKUP(OPERAC[[#This Row],[especie]],[1]!ESPECIES[#All],6,0)</f>
        <v/>
      </c>
      <c r="Q6152" s="7">
        <f>IF(N6152&lt;&gt;0,P6152*N6152,0)</f>
        <v/>
      </c>
      <c r="R6152" s="8">
        <f>IF(Q6152&lt;&gt;0,Q6152+H6152+L6152,0)</f>
        <v/>
      </c>
      <c r="S6152" s="9">
        <f>VLOOKUP(OPERAC[[#This Row],[especie]],[1]!ESPECIES[#Data],9,FALSE)</f>
        <v/>
      </c>
    </row>
    <row r="6153">
      <c r="A6153" s="4" t="n">
        <v>3728</v>
      </c>
      <c r="B6153" s="5" t="n">
        <v>44662</v>
      </c>
      <c r="C6153" s="13" t="inlineStr">
        <is>
          <t>CPR</t>
        </is>
      </c>
      <c r="D6153" s="13" t="n">
        <v>40</v>
      </c>
      <c r="E6153" s="10">
        <f>IF(D6153&gt;0,VLOOKUP(OPERAC[[#This Row],[COD CART]],[1]!MatrizCortoLargoCyl[#All],3,0),"")</f>
        <v/>
      </c>
      <c r="F6153" s="13" t="inlineStr">
        <is>
          <t>BIOX</t>
        </is>
      </c>
      <c r="G6153" s="6" t="n">
        <v>400</v>
      </c>
      <c r="H6153" s="6" t="n">
        <v>-4834.828</v>
      </c>
      <c r="I6153" s="7">
        <f>-H6153/G6153</f>
        <v/>
      </c>
      <c r="J6153" s="11" t="n">
        <v>44671</v>
      </c>
      <c r="K6153" s="6" t="n">
        <v>400</v>
      </c>
      <c r="L6153" s="6" t="n">
        <v>4915.08</v>
      </c>
      <c r="M6153" s="7">
        <f>IF(N6153=0,+L6153+H6153,0)</f>
        <v/>
      </c>
      <c r="N6153" s="7">
        <f>IF((+G6153-K6153)=0,0,+G6153-K6153)</f>
        <v/>
      </c>
      <c r="O6153" s="7">
        <f>IF(N6153=0,0,(L6153+H6153)/-N6153)</f>
        <v/>
      </c>
      <c r="P6153" s="7">
        <f>VLOOKUP(OPERAC[[#This Row],[especie]],[1]!ESPECIES[#All],6,0)</f>
        <v/>
      </c>
      <c r="Q6153" s="7">
        <f>IF(N6153&lt;&gt;0,P6153*N6153,0)</f>
        <v/>
      </c>
      <c r="R6153" s="8">
        <f>IF(Q6153&lt;&gt;0,Q6153+H6153+L6153,0)</f>
        <v/>
      </c>
      <c r="S6153" s="9">
        <f>VLOOKUP(OPERAC[[#This Row],[especie]],[1]!ESPECIES[#Data],9,FALSE)</f>
        <v/>
      </c>
    </row>
    <row r="6154">
      <c r="A6154" s="4" t="n">
        <v>10079</v>
      </c>
      <c r="B6154" s="5" t="n">
        <v>44533</v>
      </c>
      <c r="C6154" s="13" t="inlineStr">
        <is>
          <t>CPR</t>
        </is>
      </c>
      <c r="D6154" s="13" t="n">
        <v>32</v>
      </c>
      <c r="E6154" s="10">
        <f>IF(D6154&gt;0,VLOOKUP(OPERAC[[#This Row],[COD CART]],[1]!MatrizCortoLargoCyl[#All],3,0),"")</f>
        <v/>
      </c>
      <c r="F6154" s="13" t="inlineStr">
        <is>
          <t>HIMX</t>
        </is>
      </c>
      <c r="G6154" s="6" t="n">
        <v>500</v>
      </c>
      <c r="H6154" s="6">
        <f>-5047.175+194.93</f>
        <v/>
      </c>
      <c r="I6154" s="7">
        <f>-H6154/G6154</f>
        <v/>
      </c>
      <c r="J6154" s="11" t="n">
        <v>44642</v>
      </c>
      <c r="K6154" s="6" t="n">
        <v>500</v>
      </c>
      <c r="L6154" s="6" t="n">
        <v>5815.49</v>
      </c>
      <c r="M6154" s="7">
        <f>IF(N6154=0,+L6154+H6154,0)</f>
        <v/>
      </c>
      <c r="N6154" s="7">
        <f>IF((+G6154-K6154)=0,0,+G6154-K6154)</f>
        <v/>
      </c>
      <c r="O6154" s="7">
        <f>IF(N6154=0,0,(L6154+H6154)/-N6154)</f>
        <v/>
      </c>
      <c r="P6154" s="7">
        <f>VLOOKUP(OPERAC[[#This Row],[especie]],[1]!ESPECIES[#All],6,0)</f>
        <v/>
      </c>
      <c r="Q6154" s="7">
        <f>IF(N6154&lt;&gt;0,P6154*N6154,0)</f>
        <v/>
      </c>
      <c r="R6154" s="8">
        <f>IF(Q6154&lt;&gt;0,Q6154+H6154+L6154,0)</f>
        <v/>
      </c>
      <c r="S6154" s="9">
        <f>VLOOKUP(OPERAC[[#This Row],[especie]],[1]!ESPECIES[#Data],9,FALSE)</f>
        <v/>
      </c>
    </row>
    <row r="6155">
      <c r="A6155" s="4" t="n">
        <v>18651</v>
      </c>
      <c r="B6155" s="5" t="n">
        <v>44533</v>
      </c>
      <c r="C6155" s="13" t="inlineStr">
        <is>
          <t>CPR</t>
        </is>
      </c>
      <c r="D6155" s="13" t="n">
        <v>32</v>
      </c>
      <c r="E6155" s="10">
        <f>IF(D6155&gt;0,VLOOKUP(OPERAC[[#This Row],[COD CART]],[1]!MatrizCortoLargoCyl[#All],3,0),"")</f>
        <v/>
      </c>
      <c r="F6155" s="13" t="inlineStr">
        <is>
          <t>HIMX</t>
        </is>
      </c>
      <c r="G6155" s="6" t="n">
        <v>500</v>
      </c>
      <c r="H6155" s="6">
        <f>-5047.175+194.93</f>
        <v/>
      </c>
      <c r="I6155" s="7">
        <f>-H6155/G6155</f>
        <v/>
      </c>
      <c r="J6155" s="11" t="n">
        <v>44670</v>
      </c>
      <c r="K6155" s="6" t="n">
        <v>500</v>
      </c>
      <c r="L6155" s="6" t="n">
        <v>4548.506</v>
      </c>
      <c r="M6155" s="7">
        <f>IF(N6155=0,+L6155+H6155,0)</f>
        <v/>
      </c>
      <c r="N6155" s="7">
        <f>IF((+G6155-K6155)=0,0,+G6155-K6155)</f>
        <v/>
      </c>
      <c r="O6155" s="7">
        <f>IF(N6155=0,0,(L6155+H6155)/-N6155)</f>
        <v/>
      </c>
      <c r="P6155" s="7">
        <f>VLOOKUP(OPERAC[[#This Row],[especie]],[1]!ESPECIES[#All],6,0)</f>
        <v/>
      </c>
      <c r="Q6155" s="7">
        <f>IF(N6155&lt;&gt;0,P6155*N6155,0)</f>
        <v/>
      </c>
      <c r="R6155" s="8">
        <f>IF(Q6155&lt;&gt;0,Q6155+H6155+L6155,0)</f>
        <v/>
      </c>
      <c r="S6155" s="9">
        <f>VLOOKUP(OPERAC[[#This Row],[especie]],[1]!ESPECIES[#Data],9,FALSE)</f>
        <v/>
      </c>
    </row>
    <row r="6156">
      <c r="A6156" s="4" t="n">
        <v>3728</v>
      </c>
      <c r="B6156" s="5" t="n">
        <v>44637</v>
      </c>
      <c r="C6156" s="13" t="inlineStr">
        <is>
          <t>CPR</t>
        </is>
      </c>
      <c r="D6156" s="13" t="n">
        <v>31</v>
      </c>
      <c r="E6156" s="10">
        <f>IF(D6156&gt;0,VLOOKUP(OPERAC[[#This Row],[COD CART]],[1]!MatrizCortoLargoCyl[#All],3,0),"")</f>
        <v/>
      </c>
      <c r="F6156" s="13" t="inlineStr">
        <is>
          <t>DIS</t>
        </is>
      </c>
      <c r="G6156" s="6" t="n">
        <v>35</v>
      </c>
      <c r="H6156" s="6" t="n">
        <v>-4855.09925</v>
      </c>
      <c r="I6156" s="7">
        <f>-H6156/G6156</f>
        <v/>
      </c>
      <c r="J6156" s="11" t="n"/>
      <c r="K6156" s="6" t="n"/>
      <c r="L6156" s="6" t="n"/>
      <c r="M6156" s="7">
        <f>IF(N6156=0,+L6156+H6156,0)</f>
        <v/>
      </c>
      <c r="N6156" s="7">
        <f>IF((+G6156-K6156)=0,0,+G6156-K6156)</f>
        <v/>
      </c>
      <c r="O6156" s="7">
        <f>IF(N6156=0,0,(L6156+H6156)/-N6156)</f>
        <v/>
      </c>
      <c r="P6156" s="7">
        <f>VLOOKUP(OPERAC[[#This Row],[especie]],[1]!ESPECIES[#All],6,0)</f>
        <v/>
      </c>
      <c r="Q6156" s="7">
        <f>IF(N6156&lt;&gt;0,P6156*N6156,0)</f>
        <v/>
      </c>
      <c r="R6156" s="8">
        <f>IF(Q6156&lt;&gt;0,Q6156+H6156+L6156,0)</f>
        <v/>
      </c>
      <c r="S6156" s="9">
        <f>VLOOKUP(OPERAC[[#This Row],[especie]],[1]!ESPECIES[#Data],9,FALSE)</f>
        <v/>
      </c>
    </row>
    <row r="6157">
      <c r="A6157" s="4" t="n">
        <v>7939</v>
      </c>
      <c r="B6157" s="5" t="n">
        <v>44715</v>
      </c>
      <c r="C6157" s="13" t="inlineStr">
        <is>
          <t>CPR</t>
        </is>
      </c>
      <c r="D6157" s="13" t="n">
        <v>41</v>
      </c>
      <c r="E6157" s="10">
        <f>IF(D6157&gt;0,VLOOKUP(OPERAC[[#This Row],[COD CART]],[1]!MatrizCortoLargoCyl[#All],3,0),"")</f>
        <v/>
      </c>
      <c r="F6157" s="13" t="inlineStr">
        <is>
          <t>HEXO</t>
        </is>
      </c>
      <c r="G6157" s="6" t="n">
        <v>20000</v>
      </c>
      <c r="H6157" s="6" t="n">
        <v>-4886.31</v>
      </c>
      <c r="I6157" s="7">
        <f>-H6157/G6157</f>
        <v/>
      </c>
      <c r="J6157" s="5" t="n"/>
      <c r="K6157" s="6" t="n"/>
      <c r="L6157" s="6" t="n"/>
      <c r="M6157" s="7">
        <f>IF(N6157=0,+L6157+H6157,0)</f>
        <v/>
      </c>
      <c r="N6157" s="7">
        <f>IF((+G6157-K6157)=0,0,+G6157-K6157)</f>
        <v/>
      </c>
      <c r="O6157" s="7" t="n">
        <v>0.5853</v>
      </c>
      <c r="P6157" s="7">
        <f>VLOOKUP(OPERAC[[#This Row],[especie]],[1]!ESPECIES[#All],6,0)</f>
        <v/>
      </c>
      <c r="Q6157" s="7">
        <f>IF(N6157&lt;&gt;0,P6157*N6157,0)</f>
        <v/>
      </c>
      <c r="R6157" s="8">
        <f>IF(Q6157&lt;&gt;0,Q6157+H6157+L6157,0)</f>
        <v/>
      </c>
      <c r="S6157" s="9">
        <f>VLOOKUP(OPERAC[[#This Row],[especie]],[1]!ESPECIES[#Data],9,FALSE)</f>
        <v/>
      </c>
    </row>
    <row r="6158">
      <c r="A6158" s="4" t="n">
        <v>3728</v>
      </c>
      <c r="B6158" s="5" t="n">
        <v>44574</v>
      </c>
      <c r="C6158" s="13" t="inlineStr">
        <is>
          <t>CPR</t>
        </is>
      </c>
      <c r="D6158" s="13" t="n">
        <v>32</v>
      </c>
      <c r="E6158" s="10">
        <f>IF(D6158&gt;0,VLOOKUP(OPERAC[[#This Row],[COD CART]],[1]!MatrizCortoLargoCyl[#All],3,0),"")</f>
        <v/>
      </c>
      <c r="F6158" s="13" t="inlineStr">
        <is>
          <t>VSCO/CYL/50,00/18-02-22</t>
        </is>
      </c>
      <c r="G6158" s="6" t="n">
        <v>100</v>
      </c>
      <c r="H6158" s="6" t="n">
        <v>-4887.82</v>
      </c>
      <c r="I6158" s="7">
        <f>-H6158/G6158</f>
        <v/>
      </c>
      <c r="J6158" s="11" t="n">
        <v>44600</v>
      </c>
      <c r="K6158" s="6" t="n">
        <v>100</v>
      </c>
      <c r="L6158" s="6" t="n">
        <v>5000</v>
      </c>
      <c r="M6158" s="7">
        <f>IF(N6158=0,+L6158+H6158,0)</f>
        <v/>
      </c>
      <c r="N6158" s="7">
        <f>IF((+G6158-K6158)=0,0,+G6158-K6158)</f>
        <v/>
      </c>
      <c r="O6158" s="7">
        <f>IF(N6158=0,0,(L6158+H6158)/-N6158)</f>
        <v/>
      </c>
      <c r="P6158" s="7">
        <f>VLOOKUP(OPERAC[[#This Row],[especie]],[1]!ESPECIES[#All],6,0)</f>
        <v/>
      </c>
      <c r="Q6158" s="7">
        <f>IF(N6158&lt;&gt;0,P6158*N6158,0)</f>
        <v/>
      </c>
      <c r="R6158" s="8">
        <f>IF(Q6158&lt;&gt;0,Q6158+H6158+L6158,0)</f>
        <v/>
      </c>
      <c r="S6158" s="9">
        <f>VLOOKUP(OPERAC[[#This Row],[especie]],[1]!ESPECIES[#Data],9,FALSE)</f>
        <v/>
      </c>
    </row>
    <row r="6159">
      <c r="A6159" s="4" t="n">
        <v>3835</v>
      </c>
      <c r="B6159" s="5" t="n">
        <v>44718</v>
      </c>
      <c r="C6159" s="13" t="inlineStr">
        <is>
          <t>CPR</t>
        </is>
      </c>
      <c r="D6159" s="13" t="n">
        <v>42</v>
      </c>
      <c r="E6159" s="10">
        <f>IF(D6159&gt;0,VLOOKUP(OPERAC[[#This Row],[COD CART]],[1]!MatrizCortoLargoCyl[#All],3,0),"")</f>
        <v/>
      </c>
      <c r="F6159" s="13" t="inlineStr">
        <is>
          <t>UPST</t>
        </is>
      </c>
      <c r="G6159" s="6" t="n">
        <v>100</v>
      </c>
      <c r="H6159" s="6">
        <f>-4964.96+72.128</f>
        <v/>
      </c>
      <c r="I6159" s="7">
        <f>-H6159/G6159</f>
        <v/>
      </c>
      <c r="J6159" s="5" t="n"/>
      <c r="K6159" s="6" t="n"/>
      <c r="L6159" s="6" t="n"/>
      <c r="M6159" s="7">
        <f>IF(N6159=0,+L6159+H6159,0)</f>
        <v/>
      </c>
      <c r="N6159" s="7">
        <f>IF((+G6159-K6159)=0,0,+G6159-K6159)</f>
        <v/>
      </c>
      <c r="O6159" s="7">
        <f>IF(N6159=0,0,(L6159+H6159)/-N6159)</f>
        <v/>
      </c>
      <c r="P6159" s="7">
        <f>VLOOKUP(OPERAC[[#This Row],[especie]],[1]!ESPECIES[#All],6,0)</f>
        <v/>
      </c>
      <c r="Q6159" s="7">
        <f>IF(N6159&lt;&gt;0,P6159*N6159,0)</f>
        <v/>
      </c>
      <c r="R6159" s="8">
        <f>IF(Q6159&lt;&gt;0,Q6159+H6159+L6159,0)</f>
        <v/>
      </c>
      <c r="S6159" s="9">
        <f>VLOOKUP(OPERAC[[#This Row],[especie]],[1]!ESPECIES[#Data],9,FALSE)</f>
        <v/>
      </c>
    </row>
    <row r="6160">
      <c r="A6160" s="4" t="n">
        <v>3728</v>
      </c>
      <c r="B6160" s="5" t="n">
        <v>44664</v>
      </c>
      <c r="C6160" s="13" t="inlineStr">
        <is>
          <t>CPR</t>
        </is>
      </c>
      <c r="D6160" s="13" t="n">
        <v>42</v>
      </c>
      <c r="E6160" s="10">
        <f>IF(D6160&gt;0,VLOOKUP(OPERAC[[#This Row],[COD CART]],[1]!MatrizCortoLargoCyl[#All],3,0),"")</f>
        <v/>
      </c>
      <c r="F6160" s="13" t="inlineStr">
        <is>
          <t>AMD</t>
        </is>
      </c>
      <c r="G6160" s="6" t="n">
        <v>50</v>
      </c>
      <c r="H6160" s="6" t="n">
        <v>-4901.805909000001</v>
      </c>
      <c r="I6160" s="7">
        <f>-H6160/G6160</f>
        <v/>
      </c>
      <c r="J6160" s="11" t="n">
        <v>44690</v>
      </c>
      <c r="K6160" s="6" t="n">
        <v>50</v>
      </c>
      <c r="L6160" s="6">
        <f>+OPERAC[[#This Row],[cantidad venta]]*86.206</f>
        <v/>
      </c>
      <c r="M6160" s="7">
        <f>IF(N6160=0,+L6160+H6160,0)</f>
        <v/>
      </c>
      <c r="N6160" s="7">
        <f>IF((+G6160-K6160)=0,0,+G6160-K6160)</f>
        <v/>
      </c>
      <c r="O6160" s="7">
        <f>IF(N6160=0,0,(L6160+H6160)/-N6160)</f>
        <v/>
      </c>
      <c r="P6160" s="7">
        <f>VLOOKUP(OPERAC[[#This Row],[especie]],[1]!ESPECIES[#All],6,0)</f>
        <v/>
      </c>
      <c r="Q6160" s="7">
        <f>IF(N6160&lt;&gt;0,P6160*N6160,0)</f>
        <v/>
      </c>
      <c r="R6160" s="8">
        <f>IF(Q6160&lt;&gt;0,Q6160+H6160+L6160,0)</f>
        <v/>
      </c>
      <c r="S6160" s="9">
        <f>VLOOKUP(OPERAC[[#This Row],[especie]],[1]!ESPECIES[#Data],9,FALSE)</f>
        <v/>
      </c>
    </row>
    <row r="6161">
      <c r="A6161" s="4" t="n">
        <v>10079</v>
      </c>
      <c r="B6161" s="5" t="n">
        <v>44718</v>
      </c>
      <c r="C6161" s="13" t="inlineStr">
        <is>
          <t>CPR</t>
        </is>
      </c>
      <c r="D6161" s="13" t="n">
        <v>42</v>
      </c>
      <c r="E6161" s="10">
        <f>IF(D6161&gt;0,VLOOKUP(OPERAC[[#This Row],[COD CART]],[1]!MatrizCortoLargoCyl[#All],3,0),"")</f>
        <v/>
      </c>
      <c r="F6161" s="13" t="inlineStr">
        <is>
          <t>UPST</t>
        </is>
      </c>
      <c r="G6161" s="6" t="n">
        <v>100</v>
      </c>
      <c r="H6161" s="6">
        <f>-4979.84+71.586</f>
        <v/>
      </c>
      <c r="I6161" s="7">
        <f>-H6161/G6161</f>
        <v/>
      </c>
      <c r="J6161" s="5" t="n"/>
      <c r="K6161" s="6" t="n"/>
      <c r="L6161" s="6" t="n"/>
      <c r="M6161" s="7">
        <f>IF(N6161=0,+L6161+H6161,0)</f>
        <v/>
      </c>
      <c r="N6161" s="7">
        <f>IF((+G6161-K6161)=0,0,+G6161-K6161)</f>
        <v/>
      </c>
      <c r="O6161" s="7">
        <f>IF(N6161=0,0,(L6161+H6161)/-N6161)</f>
        <v/>
      </c>
      <c r="P6161" s="7">
        <f>VLOOKUP(OPERAC[[#This Row],[especie]],[1]!ESPECIES[#All],6,0)</f>
        <v/>
      </c>
      <c r="Q6161" s="7">
        <f>IF(N6161&lt;&gt;0,P6161*N6161,0)</f>
        <v/>
      </c>
      <c r="R6161" s="8">
        <f>IF(Q6161&lt;&gt;0,Q6161+H6161+L6161,0)</f>
        <v/>
      </c>
      <c r="S6161" s="9">
        <f>VLOOKUP(OPERAC[[#This Row],[especie]],[1]!ESPECIES[#Data],9,FALSE)</f>
        <v/>
      </c>
    </row>
    <row r="6162">
      <c r="A6162" s="4" t="n">
        <v>13180</v>
      </c>
      <c r="B6162" s="5" t="n">
        <v>44718</v>
      </c>
      <c r="C6162" s="13" t="inlineStr">
        <is>
          <t>CPR</t>
        </is>
      </c>
      <c r="D6162" s="13" t="n">
        <v>42</v>
      </c>
      <c r="E6162" s="10">
        <f>IF(D6162&gt;0,VLOOKUP(OPERAC[[#This Row],[COD CART]],[1]!MatrizCortoLargoCyl[#All],3,0),"")</f>
        <v/>
      </c>
      <c r="F6162" s="13" t="inlineStr">
        <is>
          <t>UPST</t>
        </is>
      </c>
      <c r="G6162" s="6" t="n">
        <v>100</v>
      </c>
      <c r="H6162" s="6">
        <f>-4979.84+71.586</f>
        <v/>
      </c>
      <c r="I6162" s="7">
        <f>-H6162/G6162</f>
        <v/>
      </c>
      <c r="J6162" s="5" t="n"/>
      <c r="K6162" s="6" t="n"/>
      <c r="L6162" s="6" t="n"/>
      <c r="M6162" s="7">
        <f>IF(N6162=0,+L6162+H6162,0)</f>
        <v/>
      </c>
      <c r="N6162" s="7">
        <f>IF((+G6162-K6162)=0,0,+G6162-K6162)</f>
        <v/>
      </c>
      <c r="O6162" s="7">
        <f>IF(N6162=0,0,(L6162+H6162)/-N6162)</f>
        <v/>
      </c>
      <c r="P6162" s="7">
        <f>VLOOKUP(OPERAC[[#This Row],[especie]],[1]!ESPECIES[#All],6,0)</f>
        <v/>
      </c>
      <c r="Q6162" s="7">
        <f>IF(N6162&lt;&gt;0,P6162*N6162,0)</f>
        <v/>
      </c>
      <c r="R6162" s="8">
        <f>IF(Q6162&lt;&gt;0,Q6162+H6162+L6162,0)</f>
        <v/>
      </c>
      <c r="S6162" s="9">
        <f>VLOOKUP(OPERAC[[#This Row],[especie]],[1]!ESPECIES[#Data],9,FALSE)</f>
        <v/>
      </c>
    </row>
    <row r="6163">
      <c r="A6163" s="4" t="n">
        <v>15189</v>
      </c>
      <c r="B6163" s="5" t="n">
        <v>44718</v>
      </c>
      <c r="C6163" s="13" t="inlineStr">
        <is>
          <t>CPR</t>
        </is>
      </c>
      <c r="D6163" s="13" t="n">
        <v>42</v>
      </c>
      <c r="E6163" s="10">
        <f>IF(D6163&gt;0,VLOOKUP(OPERAC[[#This Row],[COD CART]],[1]!MatrizCortoLargoCyl[#All],3,0),"")</f>
        <v/>
      </c>
      <c r="F6163" s="13" t="inlineStr">
        <is>
          <t>UPST</t>
        </is>
      </c>
      <c r="G6163" s="6" t="n">
        <v>100</v>
      </c>
      <c r="H6163" s="6">
        <f>-4979.84+71.586</f>
        <v/>
      </c>
      <c r="I6163" s="7">
        <f>-H6163/G6163</f>
        <v/>
      </c>
      <c r="J6163" s="5" t="n"/>
      <c r="K6163" s="6" t="n"/>
      <c r="L6163" s="6" t="n"/>
      <c r="M6163" s="7">
        <f>IF(N6163=0,+L6163+H6163,0)</f>
        <v/>
      </c>
      <c r="N6163" s="7">
        <f>IF((+G6163-K6163)=0,0,+G6163-K6163)</f>
        <v/>
      </c>
      <c r="O6163" s="7">
        <f>IF(N6163=0,0,(L6163+H6163)/-N6163)</f>
        <v/>
      </c>
      <c r="P6163" s="7">
        <f>VLOOKUP(OPERAC[[#This Row],[especie]],[1]!ESPECIES[#All],6,0)</f>
        <v/>
      </c>
      <c r="Q6163" s="7">
        <f>IF(N6163&lt;&gt;0,P6163*N6163,0)</f>
        <v/>
      </c>
      <c r="R6163" s="8">
        <f>IF(Q6163&lt;&gt;0,Q6163+H6163+L6163,0)</f>
        <v/>
      </c>
      <c r="S6163" s="9">
        <f>VLOOKUP(OPERAC[[#This Row],[especie]],[1]!ESPECIES[#Data],9,FALSE)</f>
        <v/>
      </c>
    </row>
    <row r="6164">
      <c r="A6164" s="4" t="n">
        <v>18651</v>
      </c>
      <c r="B6164" s="5" t="n">
        <v>44718</v>
      </c>
      <c r="C6164" s="13" t="inlineStr">
        <is>
          <t>CPR</t>
        </is>
      </c>
      <c r="D6164" s="13" t="n">
        <v>42</v>
      </c>
      <c r="E6164" s="10">
        <f>IF(D6164&gt;0,VLOOKUP(OPERAC[[#This Row],[COD CART]],[1]!MatrizCortoLargoCyl[#All],3,0),"")</f>
        <v/>
      </c>
      <c r="F6164" s="13" t="inlineStr">
        <is>
          <t>UPST</t>
        </is>
      </c>
      <c r="G6164" s="6" t="n">
        <v>100</v>
      </c>
      <c r="H6164" s="6">
        <f>-4979.84+71.586</f>
        <v/>
      </c>
      <c r="I6164" s="7">
        <f>-H6164/G6164</f>
        <v/>
      </c>
      <c r="J6164" s="5" t="n"/>
      <c r="K6164" s="6" t="n"/>
      <c r="L6164" s="6" t="n"/>
      <c r="M6164" s="7">
        <f>IF(N6164=0,+L6164+H6164,0)</f>
        <v/>
      </c>
      <c r="N6164" s="7">
        <f>IF((+G6164-K6164)=0,0,+G6164-K6164)</f>
        <v/>
      </c>
      <c r="O6164" s="7">
        <f>IF(N6164=0,0,(L6164+H6164)/-N6164)</f>
        <v/>
      </c>
      <c r="P6164" s="7">
        <f>VLOOKUP(OPERAC[[#This Row],[especie]],[1]!ESPECIES[#All],6,0)</f>
        <v/>
      </c>
      <c r="Q6164" s="7">
        <f>IF(N6164&lt;&gt;0,P6164*N6164,0)</f>
        <v/>
      </c>
      <c r="R6164" s="8">
        <f>IF(Q6164&lt;&gt;0,Q6164+H6164+L6164,0)</f>
        <v/>
      </c>
      <c r="S6164" s="9">
        <f>VLOOKUP(OPERAC[[#This Row],[especie]],[1]!ESPECIES[#Data],9,FALSE)</f>
        <v/>
      </c>
    </row>
    <row r="6165">
      <c r="A6165" s="4" t="n">
        <v>16783</v>
      </c>
      <c r="B6165" s="5" t="n">
        <v>44664</v>
      </c>
      <c r="C6165" s="13" t="inlineStr">
        <is>
          <t>CPR</t>
        </is>
      </c>
      <c r="D6165" s="13" t="n">
        <v>42</v>
      </c>
      <c r="E6165" s="10">
        <f>IF(D6165&gt;0,VLOOKUP(OPERAC[[#This Row],[COD CART]],[1]!MatrizCortoLargoCyl[#All],3,0),"")</f>
        <v/>
      </c>
      <c r="F6165" s="13" t="inlineStr">
        <is>
          <t>AMD</t>
        </is>
      </c>
      <c r="G6165" s="6" t="n">
        <v>50</v>
      </c>
      <c r="H6165" s="6" t="n">
        <v>-4918.9450905</v>
      </c>
      <c r="I6165" s="7">
        <f>-H6165/G6165</f>
        <v/>
      </c>
      <c r="J6165" s="11" t="n">
        <v>44678</v>
      </c>
      <c r="K6165" s="6" t="n">
        <v>50</v>
      </c>
      <c r="L6165" s="6">
        <f>+OPERAC[[#This Row],[cantidad venta]]*85.782</f>
        <v/>
      </c>
      <c r="M6165" s="7">
        <f>IF(N6165=0,+L6165+H6165,0)</f>
        <v/>
      </c>
      <c r="N6165" s="7">
        <f>IF((+G6165-K6165)=0,0,+G6165-K6165)</f>
        <v/>
      </c>
      <c r="O6165" s="7">
        <f>IF(N6165=0,0,(L6165+H6165)/-N6165)</f>
        <v/>
      </c>
      <c r="P6165" s="7">
        <f>VLOOKUP(OPERAC[[#This Row],[especie]],[1]!ESPECIES[#All],6,0)</f>
        <v/>
      </c>
      <c r="Q6165" s="7">
        <f>IF(N6165&lt;&gt;0,P6165*N6165,0)</f>
        <v/>
      </c>
      <c r="R6165" s="8">
        <f>IF(Q6165&lt;&gt;0,Q6165+H6165+L6165,0)</f>
        <v/>
      </c>
      <c r="S6165" s="9">
        <f>VLOOKUP(OPERAC[[#This Row],[especie]],[1]!ESPECIES[#Data],9,FALSE)</f>
        <v/>
      </c>
    </row>
    <row r="6166">
      <c r="A6166" s="4" t="n">
        <v>3728</v>
      </c>
      <c r="B6166" s="5" t="n">
        <v>44607</v>
      </c>
      <c r="C6166" s="13" t="inlineStr">
        <is>
          <t>CPR</t>
        </is>
      </c>
      <c r="D6166" s="13" t="n">
        <v>32</v>
      </c>
      <c r="E6166" s="10">
        <f>IF(D6166&gt;0,VLOOKUP(OPERAC[[#This Row],[COD CART]],[1]!MatrizCortoLargoCyl[#All],3,0),"")</f>
        <v/>
      </c>
      <c r="F6166" s="13" t="inlineStr">
        <is>
          <t>F/CYL/17,00/18-03-22</t>
        </is>
      </c>
      <c r="G6166" s="6" t="n">
        <v>300</v>
      </c>
      <c r="H6166" s="6" t="n">
        <v>-4935.65</v>
      </c>
      <c r="I6166" s="7">
        <f>-H6166/G6166</f>
        <v/>
      </c>
      <c r="J6166" s="11" t="n">
        <v>44638</v>
      </c>
      <c r="K6166" s="6">
        <f>+OPERAC[[#This Row],[cantidad]]</f>
        <v/>
      </c>
      <c r="L6166" s="6">
        <f>+OPERAC[[#This Row],[cantidad venta]]*16.75</f>
        <v/>
      </c>
      <c r="M6166" s="7">
        <f>IF(N6166=0,+L6166+H6166,0)</f>
        <v/>
      </c>
      <c r="N6166" s="7">
        <f>IF((+G6166-K6166)=0,0,+G6166-K6166)</f>
        <v/>
      </c>
      <c r="O6166" s="7">
        <f>IF(N6166=0,0,(L6166+H6166)/-N6166)</f>
        <v/>
      </c>
      <c r="P6166" s="7">
        <f>VLOOKUP(OPERAC[[#This Row],[especie]],[1]!ESPECIES[#All],6,0)</f>
        <v/>
      </c>
      <c r="Q6166" s="7">
        <f>IF(N6166&lt;&gt;0,P6166*N6166,0)</f>
        <v/>
      </c>
      <c r="R6166" s="8">
        <f>IF(Q6166&lt;&gt;0,Q6166+H6166+L6166,0)</f>
        <v/>
      </c>
      <c r="S6166" s="9">
        <f>VLOOKUP(OPERAC[[#This Row],[especie]],[1]!ESPECIES[#Data],9,FALSE)</f>
        <v/>
      </c>
    </row>
    <row r="6167">
      <c r="A6167" s="4" t="n">
        <v>10079</v>
      </c>
      <c r="B6167" s="5" t="n">
        <v>44664</v>
      </c>
      <c r="C6167" s="13" t="inlineStr">
        <is>
          <t>CPR</t>
        </is>
      </c>
      <c r="D6167" s="13" t="n">
        <v>42</v>
      </c>
      <c r="E6167" s="10">
        <f>IF(D6167&gt;0,VLOOKUP(OPERAC[[#This Row],[COD CART]],[1]!MatrizCortoLargoCyl[#All],3,0),"")</f>
        <v/>
      </c>
      <c r="F6167" s="13" t="inlineStr">
        <is>
          <t>AMD</t>
        </is>
      </c>
      <c r="G6167" s="6" t="n">
        <v>50</v>
      </c>
      <c r="H6167" s="6" t="n">
        <v>-4938.532726500001</v>
      </c>
      <c r="I6167" s="7">
        <f>-H6167/G6167</f>
        <v/>
      </c>
      <c r="J6167" s="11" t="n">
        <v>44693</v>
      </c>
      <c r="K6167" s="6">
        <f>+OPERAC[[#This Row],[cantidad]]</f>
        <v/>
      </c>
      <c r="L6167" s="6">
        <f>+OPERAC[[#This Row],[cantidad venta]]*85.26</f>
        <v/>
      </c>
      <c r="M6167" s="7">
        <f>IF(N6167=0,+L6167+H6167,0)</f>
        <v/>
      </c>
      <c r="N6167" s="7">
        <f>IF((+G6167-K6167)=0,0,+G6167-K6167)</f>
        <v/>
      </c>
      <c r="O6167" s="7">
        <f>IF(N6167=0,0,(L6167+H6167)/-N6167)</f>
        <v/>
      </c>
      <c r="P6167" s="7">
        <f>VLOOKUP(OPERAC[[#This Row],[especie]],[1]!ESPECIES[#All],6,0)</f>
        <v/>
      </c>
      <c r="Q6167" s="7">
        <f>IF(N6167&lt;&gt;0,P6167*N6167,0)</f>
        <v/>
      </c>
      <c r="R6167" s="8">
        <f>IF(Q6167&lt;&gt;0,Q6167+H6167+L6167,0)</f>
        <v/>
      </c>
      <c r="S6167" s="9">
        <f>VLOOKUP(OPERAC[[#This Row],[especie]],[1]!ESPECIES[#Data],9,FALSE)</f>
        <v/>
      </c>
    </row>
    <row r="6168">
      <c r="A6168" s="4" t="n">
        <v>13180</v>
      </c>
      <c r="B6168" s="5" t="n">
        <v>44533</v>
      </c>
      <c r="C6168" s="13" t="inlineStr">
        <is>
          <t>CPR</t>
        </is>
      </c>
      <c r="D6168" s="13" t="n">
        <v>32</v>
      </c>
      <c r="E6168" s="10">
        <f>IF(D6168&gt;0,VLOOKUP(OPERAC[[#This Row],[COD CART]],[1]!MatrizCortoLargoCyl[#All],3,0),"")</f>
        <v/>
      </c>
      <c r="F6168" s="13" t="inlineStr">
        <is>
          <t>HIMX/CYL/12,00/21-01-22</t>
        </is>
      </c>
      <c r="G6168" s="6" t="n">
        <v>500</v>
      </c>
      <c r="H6168" s="6">
        <f>-9.9*OPERAC[[#This Row],[cantidad]]</f>
        <v/>
      </c>
      <c r="I6168" s="7">
        <f>-H6168/G6168</f>
        <v/>
      </c>
      <c r="J6168" s="11" t="n">
        <v>44575</v>
      </c>
      <c r="K6168" s="6" t="n">
        <v>500</v>
      </c>
      <c r="L6168" s="6" t="n">
        <v>5853.09</v>
      </c>
      <c r="M6168" s="7">
        <f>IF(N6168=0,+L6168+H6168,0)</f>
        <v/>
      </c>
      <c r="N6168" s="7">
        <f>IF((+G6168-K6168)=0,0,+G6168-K6168)</f>
        <v/>
      </c>
      <c r="O6168" s="7">
        <f>IF(N6168=0,0,(L6168+H6168)/-N6168)</f>
        <v/>
      </c>
      <c r="P6168" s="7">
        <f>VLOOKUP(OPERAC[[#This Row],[especie]],[1]!ESPECIES[#All],6,0)</f>
        <v/>
      </c>
      <c r="Q6168" s="7">
        <f>IF(N6168&lt;&gt;0,P6168*N6168,0)</f>
        <v/>
      </c>
      <c r="R6168" s="8">
        <f>IF(Q6168&lt;&gt;0,Q6168+H6168+L6168,0)</f>
        <v/>
      </c>
      <c r="S6168" s="9">
        <f>VLOOKUP(OPERAC[[#This Row],[especie]],[1]!ESPECIES[#Data],9,FALSE)</f>
        <v/>
      </c>
    </row>
    <row r="6169">
      <c r="A6169" s="4" t="n">
        <v>16783</v>
      </c>
      <c r="B6169" s="5" t="n">
        <v>44533</v>
      </c>
      <c r="C6169" s="13" t="inlineStr">
        <is>
          <t>CPR</t>
        </is>
      </c>
      <c r="D6169" s="13" t="n">
        <v>32</v>
      </c>
      <c r="E6169" s="10">
        <f>IF(D6169&gt;0,VLOOKUP(OPERAC[[#This Row],[COD CART]],[1]!MatrizCortoLargoCyl[#All],3,0),"")</f>
        <v/>
      </c>
      <c r="F6169" s="13" t="inlineStr">
        <is>
          <t>HIMX/CYL/12,00/21-01-22</t>
        </is>
      </c>
      <c r="G6169" s="6" t="n">
        <v>500</v>
      </c>
      <c r="H6169" s="6">
        <f>-9.9*OPERAC[[#This Row],[cantidad]]</f>
        <v/>
      </c>
      <c r="I6169" s="7">
        <f>-H6169/G6169</f>
        <v/>
      </c>
      <c r="J6169" s="11" t="n">
        <v>44575</v>
      </c>
      <c r="K6169" s="6" t="n">
        <v>500</v>
      </c>
      <c r="L6169" s="6" t="n">
        <v>5853.09</v>
      </c>
      <c r="M6169" s="7">
        <f>IF(N6169=0,+L6169+H6169,0)</f>
        <v/>
      </c>
      <c r="N6169" s="7">
        <f>IF((+G6169-K6169)=0,0,+G6169-K6169)</f>
        <v/>
      </c>
      <c r="O6169" s="7">
        <f>IF(N6169=0,0,(L6169+H6169)/-N6169)</f>
        <v/>
      </c>
      <c r="P6169" s="7">
        <f>VLOOKUP(OPERAC[[#This Row],[especie]],[1]!ESPECIES[#All],6,0)</f>
        <v/>
      </c>
      <c r="Q6169" s="7">
        <f>IF(N6169&lt;&gt;0,P6169*N6169,0)</f>
        <v/>
      </c>
      <c r="R6169" s="8">
        <f>IF(Q6169&lt;&gt;0,Q6169+H6169+L6169,0)</f>
        <v/>
      </c>
      <c r="S6169" s="9">
        <f>VLOOKUP(OPERAC[[#This Row],[especie]],[1]!ESPECIES[#Data],9,FALSE)</f>
        <v/>
      </c>
    </row>
    <row r="6170">
      <c r="A6170" s="4" t="n">
        <v>16795</v>
      </c>
      <c r="B6170" s="5" t="n">
        <v>44533</v>
      </c>
      <c r="C6170" s="13" t="inlineStr">
        <is>
          <t>CPR</t>
        </is>
      </c>
      <c r="D6170" s="13" t="n">
        <v>32</v>
      </c>
      <c r="E6170" s="10">
        <f>IF(D6170&gt;0,VLOOKUP(OPERAC[[#This Row],[COD CART]],[1]!MatrizCortoLargoCyl[#All],3,0),"")</f>
        <v/>
      </c>
      <c r="F6170" s="13" t="inlineStr">
        <is>
          <t>HIMX/CYL/12,00/21-01-22</t>
        </is>
      </c>
      <c r="G6170" s="6" t="n">
        <v>500</v>
      </c>
      <c r="H6170" s="6">
        <f>-9.9*OPERAC[[#This Row],[cantidad]]</f>
        <v/>
      </c>
      <c r="I6170" s="7">
        <f>-H6170/G6170</f>
        <v/>
      </c>
      <c r="J6170" s="11" t="n">
        <v>44575</v>
      </c>
      <c r="K6170" s="6" t="n">
        <v>500</v>
      </c>
      <c r="L6170" s="6" t="n">
        <v>5853.09</v>
      </c>
      <c r="M6170" s="7">
        <f>IF(N6170=0,+L6170+H6170,0)</f>
        <v/>
      </c>
      <c r="N6170" s="7">
        <f>IF((+G6170-K6170)=0,0,+G6170-K6170)</f>
        <v/>
      </c>
      <c r="O6170" s="7">
        <f>IF(N6170=0,0,(L6170+H6170)/-N6170)</f>
        <v/>
      </c>
      <c r="P6170" s="7">
        <f>VLOOKUP(OPERAC[[#This Row],[especie]],[1]!ESPECIES[#All],6,0)</f>
        <v/>
      </c>
      <c r="Q6170" s="7">
        <f>IF(N6170&lt;&gt;0,P6170*N6170,0)</f>
        <v/>
      </c>
      <c r="R6170" s="8">
        <f>IF(Q6170&lt;&gt;0,Q6170+H6170+L6170,0)</f>
        <v/>
      </c>
      <c r="S6170" s="9">
        <f>VLOOKUP(OPERAC[[#This Row],[especie]],[1]!ESPECIES[#Data],9,FALSE)</f>
        <v/>
      </c>
    </row>
    <row r="6171">
      <c r="A6171" s="4" t="n">
        <v>1760</v>
      </c>
      <c r="B6171" s="5" t="n">
        <v>44536</v>
      </c>
      <c r="C6171" s="13" t="inlineStr">
        <is>
          <t>CPR</t>
        </is>
      </c>
      <c r="D6171" s="13" t="n">
        <v>41</v>
      </c>
      <c r="E6171" s="10">
        <f>IF(D6171&gt;0,VLOOKUP(OPERAC[[#This Row],[COD CART]],[1]!MatrizCortoLargoCyl[#All],3,0),"")</f>
        <v/>
      </c>
      <c r="F6171" s="13" t="inlineStr">
        <is>
          <t>CEPU</t>
        </is>
      </c>
      <c r="G6171" s="6" t="n">
        <v>1500</v>
      </c>
      <c r="H6171" s="6" t="n">
        <v>-4955.49</v>
      </c>
      <c r="I6171" s="7">
        <f>-H6171/G6171</f>
        <v/>
      </c>
      <c r="J6171" s="11" t="n">
        <v>44657</v>
      </c>
      <c r="K6171" s="6" t="n">
        <v>1000</v>
      </c>
      <c r="L6171" s="6" t="n">
        <v>4043.95</v>
      </c>
      <c r="M6171" s="7">
        <f>IF(N6171=0,+L6171+H6171,0)</f>
        <v/>
      </c>
      <c r="N6171" s="7">
        <f>IF((+G6171-K6171)=0,0,+G6171-K6171)</f>
        <v/>
      </c>
      <c r="O6171" s="7">
        <f>IF(N6171=0,0,(L6171+H6171)/-N6171)</f>
        <v/>
      </c>
      <c r="P6171" s="7">
        <f>VLOOKUP(OPERAC[[#This Row],[especie]],[1]!ESPECIES[#All],6,0)</f>
        <v/>
      </c>
      <c r="Q6171" s="7">
        <f>IF(N6171&lt;&gt;0,P6171*N6171,0)</f>
        <v/>
      </c>
      <c r="R6171" s="8">
        <f>IF(Q6171&lt;&gt;0,Q6171+H6171+L6171,0)</f>
        <v/>
      </c>
      <c r="S6171" s="9">
        <f>VLOOKUP(OPERAC[[#This Row],[especie]],[1]!ESPECIES[#Data],9,FALSE)</f>
        <v/>
      </c>
    </row>
    <row r="6172">
      <c r="A6172" s="4" t="n">
        <v>2218</v>
      </c>
      <c r="B6172" s="5" t="n">
        <v>44480</v>
      </c>
      <c r="C6172" s="13" t="inlineStr">
        <is>
          <t>CPR</t>
        </is>
      </c>
      <c r="D6172" s="13" t="n">
        <v>31</v>
      </c>
      <c r="E6172" s="10">
        <f>IF(D6172&gt;0,VLOOKUP(OPERAC[[#This Row],[COD CART]],[1]!MatrizCortoLargoCyl[#All],3,0),"")</f>
        <v/>
      </c>
      <c r="F6172" s="13" t="inlineStr">
        <is>
          <t>TEO</t>
        </is>
      </c>
      <c r="G6172" s="6" t="n">
        <v>1000</v>
      </c>
      <c r="H6172" s="6" t="n">
        <v>-4979.97</v>
      </c>
      <c r="I6172" s="7">
        <f>-H6172/G6172</f>
        <v/>
      </c>
      <c r="J6172" s="11" t="n"/>
      <c r="K6172" s="6" t="n"/>
      <c r="L6172" s="6" t="n"/>
      <c r="M6172" s="7">
        <f>IF(N6172=0,+L6172+H6172,0)</f>
        <v/>
      </c>
      <c r="N6172" s="7">
        <f>IF((+G6172-K6172)=0,0,+G6172-K6172)</f>
        <v/>
      </c>
      <c r="O6172" s="7">
        <f>IF(N6172=0,0,(L6172+H6172)/-N6172)</f>
        <v/>
      </c>
      <c r="P6172" s="7">
        <f>VLOOKUP(OPERAC[[#This Row],[especie]],[1]!ESPECIES[#All],6,0)</f>
        <v/>
      </c>
      <c r="Q6172" s="7">
        <f>IF(N6172&lt;&gt;0,P6172*N6172,0)</f>
        <v/>
      </c>
      <c r="R6172" s="8">
        <f>IF(Q6172&lt;&gt;0,Q6172+H6172+L6172,0)</f>
        <v/>
      </c>
      <c r="S6172" s="9">
        <f>VLOOKUP(OPERAC[[#This Row],[especie]],[1]!ESPECIES[#Data],9,FALSE)</f>
        <v/>
      </c>
    </row>
    <row r="6173">
      <c r="A6173" s="4" t="n">
        <v>19881</v>
      </c>
      <c r="B6173" s="5" t="n">
        <v>44044</v>
      </c>
      <c r="C6173" s="13" t="inlineStr">
        <is>
          <t>CPR</t>
        </is>
      </c>
      <c r="D6173" s="13" t="n">
        <v>31</v>
      </c>
      <c r="E6173" s="10">
        <f>IF(D6173&gt;0,VLOOKUP(OPERAC[[#This Row],[COD CART]],[1]!MatrizCortoLargoCyl[#All],3,0),"")</f>
        <v/>
      </c>
      <c r="F6173" s="13" t="inlineStr">
        <is>
          <t>AL30</t>
        </is>
      </c>
      <c r="G6173" s="6" t="n">
        <v>9118</v>
      </c>
      <c r="H6173" s="6" t="n">
        <v>-5000</v>
      </c>
      <c r="I6173" s="7">
        <f>-H6173/G6173</f>
        <v/>
      </c>
      <c r="J6173" s="5" t="n">
        <v>44641</v>
      </c>
      <c r="K6173" s="6">
        <f>3891+5227</f>
        <v/>
      </c>
      <c r="L6173" s="6">
        <f>1100.06+1450</f>
        <v/>
      </c>
      <c r="M6173" s="7">
        <f>IF(N6173=0,+L6173+H6173,0)</f>
        <v/>
      </c>
      <c r="N6173" s="7">
        <f>IF((+G6173-K6173)=0,0,+G6173-K6173)</f>
        <v/>
      </c>
      <c r="O6173" s="7">
        <f>IF(N6173=0,0,(L6173+H6173)/-N6173)</f>
        <v/>
      </c>
      <c r="P6173" s="7">
        <f>VLOOKUP(OPERAC[[#This Row],[especie]],[1]!ESPECIES[#All],6,0)</f>
        <v/>
      </c>
      <c r="Q6173" s="7">
        <f>IF(N6173&lt;&gt;0,P6173*N6173,0)</f>
        <v/>
      </c>
      <c r="R6173" s="8">
        <f>IF(Q6173&lt;&gt;0,Q6173+H6173+L6173,0)</f>
        <v/>
      </c>
      <c r="S6173" s="9">
        <f>VLOOKUP(OPERAC[[#This Row],[especie]],[1]!ESPECIES[#Data],9,FALSE)</f>
        <v/>
      </c>
    </row>
    <row r="6174">
      <c r="A6174" s="4" t="n">
        <v>1760</v>
      </c>
      <c r="B6174" s="5" t="n">
        <v>44536</v>
      </c>
      <c r="C6174" s="13" t="inlineStr">
        <is>
          <t>CPR</t>
        </is>
      </c>
      <c r="D6174" s="13" t="n">
        <v>41</v>
      </c>
      <c r="E6174" s="10">
        <f>IF(D6174&gt;0,VLOOKUP(OPERAC[[#This Row],[COD CART]],[1]!MatrizCortoLargoCyl[#All],3,0),"")</f>
        <v/>
      </c>
      <c r="F6174" s="13" t="inlineStr">
        <is>
          <t>YPF</t>
        </is>
      </c>
      <c r="G6174" s="6" t="n">
        <v>1250</v>
      </c>
      <c r="H6174" s="6" t="n">
        <v>-5056.25</v>
      </c>
      <c r="I6174" s="7">
        <f>-H6174/G6174</f>
        <v/>
      </c>
      <c r="J6174" s="11" t="n"/>
      <c r="K6174" s="6" t="n"/>
      <c r="L6174" s="6" t="n"/>
      <c r="M6174" s="7">
        <f>IF(N6174=0,+L6174+H6174,0)</f>
        <v/>
      </c>
      <c r="N6174" s="7">
        <f>IF((+G6174-K6174)=0,0,+G6174-K6174)</f>
        <v/>
      </c>
      <c r="O6174" s="7">
        <f>IF(N6174=0,0,(L6174+H6174)/-N6174)</f>
        <v/>
      </c>
      <c r="P6174" s="7">
        <f>VLOOKUP(OPERAC[[#This Row],[especie]],[1]!ESPECIES[#All],6,0)</f>
        <v/>
      </c>
      <c r="Q6174" s="7">
        <f>IF(N6174&lt;&gt;0,P6174*N6174,0)</f>
        <v/>
      </c>
      <c r="R6174" s="8">
        <f>IF(Q6174&lt;&gt;0,Q6174+H6174+L6174,0)</f>
        <v/>
      </c>
      <c r="S6174" s="9">
        <f>VLOOKUP(OPERAC[[#This Row],[especie]],[1]!ESPECIES[#Data],9,FALSE)</f>
        <v/>
      </c>
    </row>
    <row r="6175">
      <c r="A6175" s="4" t="n">
        <v>3728</v>
      </c>
      <c r="B6175" s="5" t="n">
        <v>44517</v>
      </c>
      <c r="C6175" s="13" t="inlineStr">
        <is>
          <t>CPR</t>
        </is>
      </c>
      <c r="D6175" s="13" t="n">
        <v>40</v>
      </c>
      <c r="E6175" s="10">
        <f>IF(D6175&gt;0,VLOOKUP(OPERAC[[#This Row],[COD CART]],[1]!MatrizCortoLargoCyl[#All],3,0),"")</f>
        <v/>
      </c>
      <c r="F6175" s="13" t="inlineStr">
        <is>
          <t>SUPV</t>
        </is>
      </c>
      <c r="G6175" s="6" t="n">
        <v>2500</v>
      </c>
      <c r="H6175" s="6" t="n">
        <v>-5062.545</v>
      </c>
      <c r="I6175" s="7">
        <f>-H6175/G6175</f>
        <v/>
      </c>
      <c r="J6175" s="11" t="n">
        <v>44637</v>
      </c>
      <c r="K6175" s="6" t="n">
        <v>2500</v>
      </c>
      <c r="L6175" s="6" t="n">
        <v>4757.375</v>
      </c>
      <c r="M6175" s="7">
        <f>IF(N6175=0,+L6175+H6175,0)</f>
        <v/>
      </c>
      <c r="N6175" s="7">
        <f>IF((+G6175-K6175)=0,0,+G6175-K6175)</f>
        <v/>
      </c>
      <c r="O6175" s="7">
        <f>IF(N6175=0,0,(L6175+H6175)/-N6175)</f>
        <v/>
      </c>
      <c r="P6175" s="7">
        <f>VLOOKUP(OPERAC[[#This Row],[especie]],[1]!ESPECIES[#All],6,0)</f>
        <v/>
      </c>
      <c r="Q6175" s="7">
        <f>IF(N6175&lt;&gt;0,P6175*N6175,0)</f>
        <v/>
      </c>
      <c r="R6175" s="8">
        <f>IF(Q6175&lt;&gt;0,Q6175+H6175+L6175,0)</f>
        <v/>
      </c>
      <c r="S6175" s="9">
        <f>VLOOKUP(OPERAC[[#This Row],[especie]],[1]!ESPECIES[#Data],9,FALSE)</f>
        <v/>
      </c>
    </row>
    <row r="6176">
      <c r="A6176" s="4" t="n">
        <v>16776</v>
      </c>
      <c r="B6176" s="5" t="n">
        <v>44659</v>
      </c>
      <c r="C6176" s="13" t="inlineStr">
        <is>
          <t>CPR</t>
        </is>
      </c>
      <c r="D6176" s="13" t="n">
        <v>41</v>
      </c>
      <c r="E6176" s="10">
        <f>IF(D6176&gt;0,VLOOKUP(OPERAC[[#This Row],[COD CART]],[1]!MatrizCortoLargoCyl[#All],3,0),"")</f>
        <v/>
      </c>
      <c r="F6176" s="13" t="inlineStr">
        <is>
          <t>AMD</t>
        </is>
      </c>
      <c r="G6176" s="6" t="n">
        <v>50</v>
      </c>
      <c r="H6176" s="6" t="n">
        <v>-5095.432</v>
      </c>
      <c r="I6176" s="7">
        <f>-H6176/G6176</f>
        <v/>
      </c>
      <c r="J6176" s="11" t="n"/>
      <c r="K6176" s="6" t="n"/>
      <c r="L6176" s="6" t="n"/>
      <c r="M6176" s="7">
        <f>IF(N6176=0,+L6176+H6176,0)</f>
        <v/>
      </c>
      <c r="N6176" s="7">
        <f>IF((+G6176-K6176)=0,0,+G6176-K6176)</f>
        <v/>
      </c>
      <c r="O6176" s="7">
        <f>IF(N6176=0,0,(L6176+H6176)/-N6176)</f>
        <v/>
      </c>
      <c r="P6176" s="7">
        <f>VLOOKUP(OPERAC[[#This Row],[especie]],[1]!ESPECIES[#All],6,0)</f>
        <v/>
      </c>
      <c r="Q6176" s="7">
        <f>IF(N6176&lt;&gt;0,P6176*N6176,0)</f>
        <v/>
      </c>
      <c r="R6176" s="8">
        <f>IF(Q6176&lt;&gt;0,Q6176+H6176+L6176,0)</f>
        <v/>
      </c>
      <c r="S6176" s="9">
        <f>VLOOKUP(OPERAC[[#This Row],[especie]],[1]!ESPECIES[#Data],9,FALSE)</f>
        <v/>
      </c>
    </row>
    <row r="6177">
      <c r="A6177" s="4" t="n">
        <v>7939</v>
      </c>
      <c r="B6177" s="5" t="n">
        <v>44693</v>
      </c>
      <c r="C6177" s="13" t="inlineStr">
        <is>
          <t>CPR</t>
        </is>
      </c>
      <c r="D6177" s="13" t="n">
        <v>41</v>
      </c>
      <c r="E6177" s="10">
        <f>IF(D6177&gt;0,VLOOKUP(OPERAC[[#This Row],[COD CART]],[1]!MatrizCortoLargoCyl[#All],3,0),"")</f>
        <v/>
      </c>
      <c r="F6177" s="13" t="inlineStr">
        <is>
          <t>IPIX</t>
        </is>
      </c>
      <c r="G6177" s="6" t="n">
        <v>170000</v>
      </c>
      <c r="H6177" s="6" t="n">
        <v>-5115.3</v>
      </c>
      <c r="I6177" s="7">
        <f>-H6177/G6177</f>
        <v/>
      </c>
      <c r="J6177" s="11" t="n"/>
      <c r="K6177" s="6" t="n"/>
      <c r="L6177" s="6" t="n"/>
      <c r="M6177" s="7">
        <f>IF(N6177=0,+L6177+H6177,0)</f>
        <v/>
      </c>
      <c r="N6177" s="7">
        <f>IF((+G6177-K6177)=0,0,+G6177-K6177)</f>
        <v/>
      </c>
      <c r="O6177" s="7" t="n">
        <v>0.0413</v>
      </c>
      <c r="P6177" s="7">
        <f>VLOOKUP(OPERAC[[#This Row],[especie]],[1]!ESPECIES[#All],6,0)</f>
        <v/>
      </c>
      <c r="Q6177" s="7">
        <f>IF(N6177&lt;&gt;0,P6177*N6177,0)</f>
        <v/>
      </c>
      <c r="R6177" s="8">
        <f>IF(Q6177&lt;&gt;0,Q6177+H6177+L6177,0)</f>
        <v/>
      </c>
      <c r="S6177" s="9">
        <f>VLOOKUP(OPERAC[[#This Row],[especie]],[1]!ESPECIES[#Data],9,FALSE)</f>
        <v/>
      </c>
    </row>
    <row r="6178">
      <c r="A6178" s="4" t="n">
        <v>13180</v>
      </c>
      <c r="B6178" s="5" t="n">
        <v>44533</v>
      </c>
      <c r="C6178" s="13" t="inlineStr">
        <is>
          <t>CPR</t>
        </is>
      </c>
      <c r="D6178" s="13" t="n">
        <v>32</v>
      </c>
      <c r="E6178" s="10">
        <f>IF(D6178&gt;0,VLOOKUP(OPERAC[[#This Row],[COD CART]],[1]!MatrizCortoLargoCyl[#All],3,0),"")</f>
        <v/>
      </c>
      <c r="F6178" s="13" t="inlineStr">
        <is>
          <t>EDIT/CYL/30,00/18-11-22</t>
        </is>
      </c>
      <c r="G6178" s="6" t="n">
        <v>200</v>
      </c>
      <c r="H6178" s="6">
        <f>-26.42*OPERAC[[#This Row],[cantidad]]+59.52+49.6+29.745</f>
        <v/>
      </c>
      <c r="I6178" s="7">
        <f>-H6178/G6178</f>
        <v/>
      </c>
      <c r="J6178" s="11" t="n">
        <v>44692</v>
      </c>
      <c r="K6178" s="6" t="n">
        <v>100</v>
      </c>
      <c r="L6178" s="6" t="n">
        <v>1085.693</v>
      </c>
      <c r="M6178" s="7">
        <f>IF(N6178=0,+L6178+H6178,0)</f>
        <v/>
      </c>
      <c r="N6178" s="7">
        <f>IF((+G6178-K6178)=0,0,+G6178-K6178)</f>
        <v/>
      </c>
      <c r="O6178" s="7">
        <f>IF(N6178=0,0,(L6178+H6178)/-N6178)</f>
        <v/>
      </c>
      <c r="P6178" s="7">
        <f>VLOOKUP(OPERAC[[#This Row],[especie]],[1]!ESPECIES[#All],6,0)</f>
        <v/>
      </c>
      <c r="Q6178" s="7">
        <f>IF(N6178&lt;&gt;0,P6178*N6178,0)</f>
        <v/>
      </c>
      <c r="R6178" s="8">
        <f>IF(Q6178&lt;&gt;0,Q6178+H6178+L6178,0)</f>
        <v/>
      </c>
      <c r="S6178" s="9">
        <f>VLOOKUP(OPERAC[[#This Row],[especie]],[1]!ESPECIES[#Data],9,FALSE)</f>
        <v/>
      </c>
    </row>
    <row r="6179">
      <c r="A6179" s="4" t="n">
        <v>13180</v>
      </c>
      <c r="B6179" s="5" t="n">
        <v>44539</v>
      </c>
      <c r="C6179" s="13" t="inlineStr">
        <is>
          <t>CPR</t>
        </is>
      </c>
      <c r="D6179" s="13" t="n">
        <v>40</v>
      </c>
      <c r="E6179" s="10">
        <f>IF(D6179&gt;0,VLOOKUP(OPERAC[[#This Row],[COD CART]],[1]!MatrizCortoLargoCyl[#All],3,0),"")</f>
        <v/>
      </c>
      <c r="F6179" s="13" t="inlineStr">
        <is>
          <t>ROKU</t>
        </is>
      </c>
      <c r="G6179" s="6" t="n">
        <v>20</v>
      </c>
      <c r="H6179" s="6" t="n">
        <v>-5154.4072</v>
      </c>
      <c r="I6179" s="7">
        <f>-H6179/G6179</f>
        <v/>
      </c>
      <c r="J6179" s="11" t="n">
        <v>44606</v>
      </c>
      <c r="K6179" s="6">
        <f>+OPERAC[[#This Row],[cantidad]]</f>
        <v/>
      </c>
      <c r="L6179" s="6">
        <f>+OPERAC[[#This Row],[cantidad venta]]*160.574</f>
        <v/>
      </c>
      <c r="M6179" s="7">
        <f>IF(N6179=0,+L6179+H6179,0)</f>
        <v/>
      </c>
      <c r="N6179" s="7">
        <f>IF((+G6179-K6179)=0,0,+G6179-K6179)</f>
        <v/>
      </c>
      <c r="O6179" s="7">
        <f>IF(N6179=0,0,(L6179+H6179)/-N6179)</f>
        <v/>
      </c>
      <c r="P6179" s="7">
        <f>VLOOKUP(OPERAC[[#This Row],[especie]],[1]!ESPECIES[#All],6,0)</f>
        <v/>
      </c>
      <c r="Q6179" s="7">
        <f>IF(N6179&lt;&gt;0,P6179*N6179,0)</f>
        <v/>
      </c>
      <c r="R6179" s="8">
        <f>IF(Q6179&lt;&gt;0,Q6179+H6179+L6179,0)</f>
        <v/>
      </c>
      <c r="S6179" s="9">
        <f>VLOOKUP(OPERAC[[#This Row],[especie]],[1]!ESPECIES[#Data],9,FALSE)</f>
        <v/>
      </c>
    </row>
    <row r="6180">
      <c r="A6180" s="4" t="n">
        <v>16780</v>
      </c>
      <c r="B6180" s="5" t="n">
        <v>44539</v>
      </c>
      <c r="C6180" s="13" t="inlineStr">
        <is>
          <t>CPR</t>
        </is>
      </c>
      <c r="D6180" s="13" t="n">
        <v>40</v>
      </c>
      <c r="E6180" s="10">
        <f>IF(D6180&gt;0,VLOOKUP(OPERAC[[#This Row],[COD CART]],[1]!MatrizCortoLargoCyl[#All],3,0),"")</f>
        <v/>
      </c>
      <c r="F6180" s="13" t="inlineStr">
        <is>
          <t>ROKU</t>
        </is>
      </c>
      <c r="G6180" s="6" t="n">
        <v>20</v>
      </c>
      <c r="H6180" s="6" t="n">
        <v>-5154.4072</v>
      </c>
      <c r="I6180" s="7">
        <f>-H6180/G6180</f>
        <v/>
      </c>
      <c r="J6180" s="11" t="n">
        <v>44606</v>
      </c>
      <c r="K6180" s="6">
        <f>+OPERAC[[#This Row],[cantidad]]</f>
        <v/>
      </c>
      <c r="L6180" s="6">
        <f>+OPERAC[[#This Row],[cantidad venta]]*160.574</f>
        <v/>
      </c>
      <c r="M6180" s="7">
        <f>IF(N6180=0,+L6180+H6180,0)</f>
        <v/>
      </c>
      <c r="N6180" s="7">
        <f>IF((+G6180-K6180)=0,0,+G6180-K6180)</f>
        <v/>
      </c>
      <c r="O6180" s="7">
        <f>IF(N6180=0,0,(L6180+H6180)/-N6180)</f>
        <v/>
      </c>
      <c r="P6180" s="7">
        <f>VLOOKUP(OPERAC[[#This Row],[especie]],[1]!ESPECIES[#All],6,0)</f>
        <v/>
      </c>
      <c r="Q6180" s="7">
        <f>IF(N6180&lt;&gt;0,P6180*N6180,0)</f>
        <v/>
      </c>
      <c r="R6180" s="8">
        <f>IF(Q6180&lt;&gt;0,Q6180+H6180+L6180,0)</f>
        <v/>
      </c>
      <c r="S6180" s="9">
        <f>VLOOKUP(OPERAC[[#This Row],[especie]],[1]!ESPECIES[#Data],9,FALSE)</f>
        <v/>
      </c>
    </row>
    <row r="6181">
      <c r="A6181" s="4" t="n">
        <v>16783</v>
      </c>
      <c r="B6181" s="5" t="n">
        <v>44539</v>
      </c>
      <c r="C6181" s="13" t="inlineStr">
        <is>
          <t>CPR</t>
        </is>
      </c>
      <c r="D6181" s="13" t="n">
        <v>40</v>
      </c>
      <c r="E6181" s="10">
        <f>IF(D6181&gt;0,VLOOKUP(OPERAC[[#This Row],[COD CART]],[1]!MatrizCortoLargoCyl[#All],3,0),"")</f>
        <v/>
      </c>
      <c r="F6181" s="13" t="inlineStr">
        <is>
          <t>ROKU</t>
        </is>
      </c>
      <c r="G6181" s="6" t="n">
        <v>20</v>
      </c>
      <c r="H6181" s="6" t="n">
        <v>-5154.4072</v>
      </c>
      <c r="I6181" s="7">
        <f>-H6181/G6181</f>
        <v/>
      </c>
      <c r="J6181" s="11" t="n">
        <v>44559</v>
      </c>
      <c r="K6181" s="6">
        <f>5+15</f>
        <v/>
      </c>
      <c r="L6181" s="6">
        <f>1142.348+2423.208</f>
        <v/>
      </c>
      <c r="M6181" s="7">
        <f>IF(N6181=0,+L6181+H6181,0)</f>
        <v/>
      </c>
      <c r="N6181" s="7">
        <f>IF((+G6181-K6181)=0,0,+G6181-K6181)</f>
        <v/>
      </c>
      <c r="O6181" s="7">
        <f>IF(N6181=0,0,(L6181+H6181)/-N6181)</f>
        <v/>
      </c>
      <c r="P6181" s="7">
        <f>VLOOKUP(OPERAC[[#This Row],[especie]],[1]!ESPECIES[#All],6,0)</f>
        <v/>
      </c>
      <c r="Q6181" s="7">
        <f>IF(N6181&lt;&gt;0,P6181*N6181,0)</f>
        <v/>
      </c>
      <c r="R6181" s="8">
        <f>IF(Q6181&lt;&gt;0,Q6181+H6181+L6181,0)</f>
        <v/>
      </c>
      <c r="S6181" s="9">
        <f>VLOOKUP(OPERAC[[#This Row],[especie]],[1]!ESPECIES[#Data],9,FALSE)</f>
        <v/>
      </c>
    </row>
    <row r="6182">
      <c r="A6182" s="4" t="n">
        <v>18651</v>
      </c>
      <c r="B6182" s="5" t="n">
        <v>44539</v>
      </c>
      <c r="C6182" s="13" t="inlineStr">
        <is>
          <t>CPR</t>
        </is>
      </c>
      <c r="D6182" s="13" t="n">
        <v>40</v>
      </c>
      <c r="E6182" s="10">
        <f>IF(D6182&gt;0,VLOOKUP(OPERAC[[#This Row],[COD CART]],[1]!MatrizCortoLargoCyl[#All],3,0),"")</f>
        <v/>
      </c>
      <c r="F6182" s="13" t="inlineStr">
        <is>
          <t>ROKU</t>
        </is>
      </c>
      <c r="G6182" s="6" t="n">
        <v>20</v>
      </c>
      <c r="H6182" s="6" t="n">
        <v>-5154.4072</v>
      </c>
      <c r="I6182" s="7">
        <f>-H6182/G6182</f>
        <v/>
      </c>
      <c r="J6182" s="11" t="n">
        <v>44606</v>
      </c>
      <c r="K6182" s="6">
        <f>+OPERAC[[#This Row],[cantidad]]</f>
        <v/>
      </c>
      <c r="L6182" s="6">
        <f>+OPERAC[[#This Row],[cantidad venta]]*160.574</f>
        <v/>
      </c>
      <c r="M6182" s="7">
        <f>IF(N6182=0,+L6182+H6182,0)</f>
        <v/>
      </c>
      <c r="N6182" s="7">
        <f>IF((+G6182-K6182)=0,0,+G6182-K6182)</f>
        <v/>
      </c>
      <c r="O6182" s="7">
        <f>IF(N6182=0,0,(L6182+H6182)/-N6182)</f>
        <v/>
      </c>
      <c r="P6182" s="7">
        <f>VLOOKUP(OPERAC[[#This Row],[especie]],[1]!ESPECIES[#All],6,0)</f>
        <v/>
      </c>
      <c r="Q6182" s="7">
        <f>IF(N6182&lt;&gt;0,P6182*N6182,0)</f>
        <v/>
      </c>
      <c r="R6182" s="8">
        <f>IF(Q6182&lt;&gt;0,Q6182+H6182+L6182,0)</f>
        <v/>
      </c>
      <c r="S6182" s="9">
        <f>VLOOKUP(OPERAC[[#This Row],[especie]],[1]!ESPECIES[#Data],9,FALSE)</f>
        <v/>
      </c>
    </row>
    <row r="6183">
      <c r="A6183" s="4" t="n">
        <v>3728</v>
      </c>
      <c r="B6183" s="5" t="n">
        <v>44637</v>
      </c>
      <c r="C6183" s="13" t="inlineStr">
        <is>
          <t>CPR</t>
        </is>
      </c>
      <c r="D6183" s="13" t="n">
        <v>31</v>
      </c>
      <c r="E6183" s="10">
        <f>IF(D6183&gt;0,VLOOKUP(OPERAC[[#This Row],[COD CART]],[1]!MatrizCortoLargoCyl[#All],3,0),"")</f>
        <v/>
      </c>
      <c r="F6183" s="13" t="inlineStr">
        <is>
          <t>FB</t>
        </is>
      </c>
      <c r="G6183" s="6" t="n">
        <v>25</v>
      </c>
      <c r="H6183" s="6" t="n">
        <v>-5156.6505</v>
      </c>
      <c r="I6183" s="7">
        <f>-H6183/G6183</f>
        <v/>
      </c>
      <c r="J6183" s="11" t="n">
        <v>44671</v>
      </c>
      <c r="K6183" s="6" t="n">
        <v>25</v>
      </c>
      <c r="L6183" s="6" t="n">
        <v>5132.862</v>
      </c>
      <c r="M6183" s="7">
        <f>IF(N6183=0,+L6183+H6183,0)</f>
        <v/>
      </c>
      <c r="N6183" s="7">
        <f>IF((+G6183-K6183)=0,0,+G6183-K6183)</f>
        <v/>
      </c>
      <c r="O6183" s="7">
        <f>IF(N6183=0,0,(L6183+H6183)/-N6183)</f>
        <v/>
      </c>
      <c r="P6183" s="7">
        <f>VLOOKUP(OPERAC[[#This Row],[especie]],[1]!ESPECIES[#All],6,0)</f>
        <v/>
      </c>
      <c r="Q6183" s="7">
        <f>IF(N6183&lt;&gt;0,P6183*N6183,0)</f>
        <v/>
      </c>
      <c r="R6183" s="8">
        <f>IF(Q6183&lt;&gt;0,Q6183+H6183+L6183,0)</f>
        <v/>
      </c>
      <c r="S6183" s="9">
        <f>VLOOKUP(OPERAC[[#This Row],[especie]],[1]!ESPECIES[#Data],9,FALSE)</f>
        <v/>
      </c>
    </row>
    <row r="6184">
      <c r="A6184" s="4" t="n">
        <v>13240</v>
      </c>
      <c r="B6184" s="5" t="n">
        <v>44533</v>
      </c>
      <c r="C6184" s="13" t="inlineStr">
        <is>
          <t>CPR</t>
        </is>
      </c>
      <c r="D6184" s="13" t="n">
        <v>32</v>
      </c>
      <c r="E6184" s="10">
        <f>IF(D6184&gt;0,VLOOKUP(OPERAC[[#This Row],[COD CART]],[1]!MatrizCortoLargoCyl[#All],3,0),"")</f>
        <v/>
      </c>
      <c r="F6184" s="13" t="inlineStr">
        <is>
          <t>EDIT/CYL/30,00/19-08-22</t>
        </is>
      </c>
      <c r="G6184" s="6" t="n">
        <v>200</v>
      </c>
      <c r="H6184" s="6">
        <f>-26.42*OPERAC[[#This Row],[cantidad]]+59.52+49.6+15.864</f>
        <v/>
      </c>
      <c r="I6184" s="7">
        <f>-H6184/G6184</f>
        <v/>
      </c>
      <c r="J6184" s="11" t="n"/>
      <c r="K6184" s="6" t="n"/>
      <c r="L6184" s="6" t="n"/>
      <c r="M6184" s="7">
        <f>IF(N6184=0,+L6184+H6184,0)</f>
        <v/>
      </c>
      <c r="N6184" s="7">
        <f>IF((+G6184-K6184)=0,0,+G6184-K6184)</f>
        <v/>
      </c>
      <c r="O6184" s="7">
        <f>IF(N6184=0,0,(L6184+H6184)/-N6184)</f>
        <v/>
      </c>
      <c r="P6184" s="7">
        <f>VLOOKUP(OPERAC[[#This Row],[especie]],[1]!ESPECIES[#All],6,0)</f>
        <v/>
      </c>
      <c r="Q6184" s="7">
        <f>IF(N6184&lt;&gt;0,P6184*N6184,0)</f>
        <v/>
      </c>
      <c r="R6184" s="8">
        <f>IF(Q6184&lt;&gt;0,Q6184+H6184+L6184,0)</f>
        <v/>
      </c>
      <c r="S6184" s="9">
        <f>VLOOKUP(OPERAC[[#This Row],[especie]],[1]!ESPECIES[#Data],9,FALSE)</f>
        <v/>
      </c>
    </row>
    <row r="6185">
      <c r="A6185" s="4" t="n">
        <v>19932</v>
      </c>
      <c r="B6185" s="5" t="n">
        <v>44533</v>
      </c>
      <c r="C6185" s="13" t="inlineStr">
        <is>
          <t>CPR</t>
        </is>
      </c>
      <c r="D6185" s="13" t="n">
        <v>32</v>
      </c>
      <c r="E6185" s="10">
        <f>IF(D6185&gt;0,VLOOKUP(OPERAC[[#This Row],[COD CART]],[1]!MatrizCortoLargoCyl[#All],3,0),"")</f>
        <v/>
      </c>
      <c r="F6185" s="13" t="inlineStr">
        <is>
          <t>EDIT/CYL/30,00/17-06-22</t>
        </is>
      </c>
      <c r="G6185" s="6" t="n">
        <v>200</v>
      </c>
      <c r="H6185" s="6">
        <f>-26.42*OPERAC[[#This Row],[cantidad]]+9.904+39.68+19.83</f>
        <v/>
      </c>
      <c r="I6185" s="7">
        <f>-H6185/G6185</f>
        <v/>
      </c>
      <c r="J6185" s="11" t="n">
        <v>44692</v>
      </c>
      <c r="K6185" s="6" t="n">
        <v>200</v>
      </c>
      <c r="L6185" s="6" t="n">
        <v>2147.589</v>
      </c>
      <c r="M6185" s="7">
        <f>IF(N6185=0,+L6185+H6185,0)</f>
        <v/>
      </c>
      <c r="N6185" s="7">
        <f>IF((+G6185-K6185)=0,0,+G6185-K6185)</f>
        <v/>
      </c>
      <c r="O6185" s="7">
        <f>IF(N6185=0,0,(L6185+H6185)/-N6185)</f>
        <v/>
      </c>
      <c r="P6185" s="7">
        <f>VLOOKUP(OPERAC[[#This Row],[especie]],[1]!ESPECIES[#All],6,0)</f>
        <v/>
      </c>
      <c r="Q6185" s="7">
        <f>IF(N6185&lt;&gt;0,P6185*N6185,0)</f>
        <v/>
      </c>
      <c r="R6185" s="8">
        <f>IF(Q6185&lt;&gt;0,Q6185+H6185+L6185,0)</f>
        <v/>
      </c>
      <c r="S6185" s="9">
        <f>VLOOKUP(OPERAC[[#This Row],[especie]],[1]!ESPECIES[#Data],9,FALSE)</f>
        <v/>
      </c>
    </row>
    <row r="6186">
      <c r="A6186" s="4" t="n">
        <v>2218</v>
      </c>
      <c r="B6186" s="5" t="n">
        <v>44480</v>
      </c>
      <c r="C6186" s="13" t="inlineStr">
        <is>
          <t>CPR</t>
        </is>
      </c>
      <c r="D6186" s="13" t="n">
        <v>31</v>
      </c>
      <c r="E6186" s="10">
        <f>IF(D6186&gt;0,VLOOKUP(OPERAC[[#This Row],[COD CART]],[1]!MatrizCortoLargoCyl[#All],3,0),"")</f>
        <v/>
      </c>
      <c r="F6186" s="13" t="inlineStr">
        <is>
          <t>CRESY</t>
        </is>
      </c>
      <c r="G6186" s="6" t="n">
        <v>1000</v>
      </c>
      <c r="H6186" s="6" t="n">
        <v>-5218.208</v>
      </c>
      <c r="I6186" s="7">
        <f>-H6186/G6186</f>
        <v/>
      </c>
      <c r="J6186" s="11" t="n"/>
      <c r="K6186" s="6" t="n"/>
      <c r="L6186" s="6" t="n"/>
      <c r="M6186" s="7">
        <f>IF(N6186=0,+L6186+H6186,0)</f>
        <v/>
      </c>
      <c r="N6186" s="7">
        <f>IF((+G6186-K6186)=0,0,+G6186-K6186)</f>
        <v/>
      </c>
      <c r="O6186" s="7">
        <f>IF(N6186=0,0,(L6186+H6186)/-N6186)</f>
        <v/>
      </c>
      <c r="P6186" s="7">
        <f>VLOOKUP(OPERAC[[#This Row],[especie]],[1]!ESPECIES[#All],6,0)</f>
        <v/>
      </c>
      <c r="Q6186" s="7">
        <f>IF(N6186&lt;&gt;0,P6186*N6186,0)</f>
        <v/>
      </c>
      <c r="R6186" s="8">
        <f>IF(Q6186&lt;&gt;0,Q6186+H6186+L6186,0)</f>
        <v/>
      </c>
      <c r="S6186" s="9">
        <f>VLOOKUP(OPERAC[[#This Row],[especie]],[1]!ESPECIES[#Data],9,FALSE)</f>
        <v/>
      </c>
    </row>
    <row r="6187">
      <c r="A6187" s="4" t="n">
        <v>10079</v>
      </c>
      <c r="B6187" s="5" t="n">
        <v>44704</v>
      </c>
      <c r="C6187" s="13" t="inlineStr">
        <is>
          <t>CPR</t>
        </is>
      </c>
      <c r="D6187" s="13" t="n">
        <v>32</v>
      </c>
      <c r="E6187" s="10">
        <f>IF(D6187&gt;0,VLOOKUP(OPERAC[[#This Row],[COD CART]],[1]!MatrizCortoLargoCyl[#All],3,0),"")</f>
        <v/>
      </c>
      <c r="F6187" s="13" t="inlineStr">
        <is>
          <t>KWEB/CYL/28,50/03-06-22</t>
        </is>
      </c>
      <c r="G6187" s="6" t="n">
        <v>200</v>
      </c>
      <c r="H6187" s="6">
        <f>-5321.21-4.034+85.269</f>
        <v/>
      </c>
      <c r="I6187" s="7">
        <f>-H6187/G6187</f>
        <v/>
      </c>
      <c r="J6187" s="5" t="n">
        <v>44715</v>
      </c>
      <c r="K6187" s="6" t="n">
        <v>200</v>
      </c>
      <c r="L6187" s="6" t="n">
        <v>5674.35</v>
      </c>
      <c r="M6187" s="7">
        <f>IF(N6187=0,+L6187+H6187,0)</f>
        <v/>
      </c>
      <c r="N6187" s="7">
        <f>IF((+G6187-K6187)=0,0,+G6187-K6187)</f>
        <v/>
      </c>
      <c r="O6187" s="7">
        <f>IF(N6187=0,0,(L6187+H6187)/-N6187)</f>
        <v/>
      </c>
      <c r="P6187" s="7">
        <f>VLOOKUP(OPERAC[[#This Row],[especie]],[1]!ESPECIES[#All],6,0)</f>
        <v/>
      </c>
      <c r="Q6187" s="7">
        <f>IF(N6187&lt;&gt;0,P6187*N6187,0)</f>
        <v/>
      </c>
      <c r="R6187" s="8">
        <f>IF(Q6187&lt;&gt;0,Q6187+H6187+L6187,0)</f>
        <v/>
      </c>
      <c r="S6187" s="9">
        <f>VLOOKUP(OPERAC[[#This Row],[especie]],[1]!ESPECIES[#Data],9,FALSE)</f>
        <v/>
      </c>
    </row>
    <row r="6188">
      <c r="A6188" s="4" t="n">
        <v>13240</v>
      </c>
      <c r="B6188" s="5" t="n">
        <v>44581</v>
      </c>
      <c r="C6188" s="13" t="inlineStr">
        <is>
          <t>CPR</t>
        </is>
      </c>
      <c r="D6188" s="13" t="n">
        <v>32</v>
      </c>
      <c r="E6188" s="10">
        <f>IF(D6188&gt;0,VLOOKUP(OPERAC[[#This Row],[COD CART]],[1]!MatrizCortoLargoCyl[#All],3,0),"")</f>
        <v/>
      </c>
      <c r="F6188" s="13" t="inlineStr">
        <is>
          <t>PFE/CYL/54,50/18-03-22</t>
        </is>
      </c>
      <c r="G6188" s="6" t="n">
        <v>100</v>
      </c>
      <c r="H6188" s="6">
        <f>-5311.596+32.93+37.416</f>
        <v/>
      </c>
      <c r="I6188" s="7">
        <f>-H6188/G6188</f>
        <v/>
      </c>
      <c r="J6188" s="11" t="n">
        <v>44638</v>
      </c>
      <c r="K6188" s="6" t="n">
        <v>100</v>
      </c>
      <c r="L6188" s="6" t="n">
        <v>5367.07</v>
      </c>
      <c r="M6188" s="7">
        <f>IF(N6188=0,+L6188+H6188,0)</f>
        <v/>
      </c>
      <c r="N6188" s="7">
        <f>IF((+G6188-K6188)=0,0,+G6188-K6188)</f>
        <v/>
      </c>
      <c r="O6188" s="7">
        <f>IF(N6188=0,0,(L6188+H6188)/-N6188)</f>
        <v/>
      </c>
      <c r="P6188" s="7">
        <f>VLOOKUP(OPERAC[[#This Row],[especie]],[1]!ESPECIES[#All],6,0)</f>
        <v/>
      </c>
      <c r="Q6188" s="7">
        <f>IF(N6188&lt;&gt;0,P6188*N6188,0)</f>
        <v/>
      </c>
      <c r="R6188" s="8">
        <f>IF(Q6188&lt;&gt;0,Q6188+H6188+L6188,0)</f>
        <v/>
      </c>
      <c r="S6188" s="9">
        <f>VLOOKUP(OPERAC[[#This Row],[especie]],[1]!ESPECIES[#Data],9,FALSE)</f>
        <v/>
      </c>
    </row>
    <row r="6189">
      <c r="A6189" s="4" t="n">
        <v>16776</v>
      </c>
      <c r="B6189" s="5" t="n">
        <v>44581</v>
      </c>
      <c r="C6189" s="13" t="inlineStr">
        <is>
          <t>CPR</t>
        </is>
      </c>
      <c r="D6189" s="13" t="n">
        <v>32</v>
      </c>
      <c r="E6189" s="10">
        <f>IF(D6189&gt;0,VLOOKUP(OPERAC[[#This Row],[COD CART]],[1]!MatrizCortoLargoCyl[#All],3,0),"")</f>
        <v/>
      </c>
      <c r="F6189" s="13" t="inlineStr">
        <is>
          <t>PFE/CYL/54,50/18-03-22</t>
        </is>
      </c>
      <c r="G6189" s="6" t="n">
        <v>100</v>
      </c>
      <c r="H6189" s="6">
        <f>-5311.596+27.44+37.416</f>
        <v/>
      </c>
      <c r="I6189" s="7">
        <f>-H6189/G6189</f>
        <v/>
      </c>
      <c r="J6189" s="11" t="n">
        <v>44638</v>
      </c>
      <c r="K6189" s="6" t="n">
        <v>100</v>
      </c>
      <c r="L6189" s="6" t="n">
        <v>5367.07</v>
      </c>
      <c r="M6189" s="7">
        <f>IF(N6189=0,+L6189+H6189,0)</f>
        <v/>
      </c>
      <c r="N6189" s="7">
        <f>IF((+G6189-K6189)=0,0,+G6189-K6189)</f>
        <v/>
      </c>
      <c r="O6189" s="7">
        <f>IF(N6189=0,0,(L6189+H6189)/-N6189)</f>
        <v/>
      </c>
      <c r="P6189" s="7">
        <f>VLOOKUP(OPERAC[[#This Row],[especie]],[1]!ESPECIES[#All],6,0)</f>
        <v/>
      </c>
      <c r="Q6189" s="7">
        <f>IF(N6189&lt;&gt;0,P6189*N6189,0)</f>
        <v/>
      </c>
      <c r="R6189" s="8">
        <f>IF(Q6189&lt;&gt;0,Q6189+H6189+L6189,0)</f>
        <v/>
      </c>
      <c r="S6189" s="9">
        <f>VLOOKUP(OPERAC[[#This Row],[especie]],[1]!ESPECIES[#Data],9,FALSE)</f>
        <v/>
      </c>
    </row>
    <row r="6190">
      <c r="A6190" s="4" t="n">
        <v>10079</v>
      </c>
      <c r="B6190" s="5" t="n">
        <v>44616</v>
      </c>
      <c r="C6190" s="13" t="inlineStr">
        <is>
          <t>CPR</t>
        </is>
      </c>
      <c r="D6190" s="13" t="n">
        <v>32</v>
      </c>
      <c r="E6190" s="10">
        <f>IF(D6190&gt;0,VLOOKUP(OPERAC[[#This Row],[COD CART]],[1]!MatrizCortoLargoCyl[#All],3,0),"")</f>
        <v/>
      </c>
      <c r="F6190" s="13" t="inlineStr">
        <is>
          <t>PLTR/CYL/12,00/14-04-22</t>
        </is>
      </c>
      <c r="G6190" s="6" t="n">
        <v>500</v>
      </c>
      <c r="H6190" s="6" t="n">
        <v>-5263.6325</v>
      </c>
      <c r="I6190" s="7">
        <f>-H6190/G6190</f>
        <v/>
      </c>
      <c r="J6190" s="11" t="n">
        <v>44643</v>
      </c>
      <c r="K6190" s="6" t="n">
        <v>500</v>
      </c>
      <c r="L6190" s="6" t="n">
        <v>5733.619</v>
      </c>
      <c r="M6190" s="7">
        <f>IF(N6190=0,+L6190+H6190,0)</f>
        <v/>
      </c>
      <c r="N6190" s="7">
        <f>IF((+G6190-K6190)=0,0,+G6190-K6190)</f>
        <v/>
      </c>
      <c r="O6190" s="7">
        <f>IF(N6190=0,0,(L6190+H6190)/-N6190)</f>
        <v/>
      </c>
      <c r="P6190" s="7">
        <f>VLOOKUP(OPERAC[[#This Row],[especie]],[1]!ESPECIES[#All],6,0)</f>
        <v/>
      </c>
      <c r="Q6190" s="7">
        <f>IF(N6190&lt;&gt;0,P6190*N6190,0)</f>
        <v/>
      </c>
      <c r="R6190" s="8">
        <f>IF(Q6190&lt;&gt;0,Q6190+H6190+L6190,0)</f>
        <v/>
      </c>
      <c r="S6190" s="9">
        <f>VLOOKUP(OPERAC[[#This Row],[especie]],[1]!ESPECIES[#Data],9,FALSE)</f>
        <v/>
      </c>
    </row>
    <row r="6191">
      <c r="A6191" s="4" t="n">
        <v>18651</v>
      </c>
      <c r="B6191" s="5" t="n">
        <v>44616</v>
      </c>
      <c r="C6191" s="13" t="inlineStr">
        <is>
          <t>CPR</t>
        </is>
      </c>
      <c r="D6191" s="13" t="n">
        <v>32</v>
      </c>
      <c r="E6191" s="10">
        <f>IF(D6191&gt;0,VLOOKUP(OPERAC[[#This Row],[COD CART]],[1]!MatrizCortoLargoCyl[#All],3,0),"")</f>
        <v/>
      </c>
      <c r="F6191" s="13" t="inlineStr">
        <is>
          <t>PLTR/CYL/12,00/14-04-22</t>
        </is>
      </c>
      <c r="G6191" s="6" t="n">
        <v>500</v>
      </c>
      <c r="H6191" s="6" t="n">
        <v>-5263.6325</v>
      </c>
      <c r="I6191" s="7">
        <f>-H6191/G6191</f>
        <v/>
      </c>
      <c r="J6191" s="11" t="n">
        <v>44643</v>
      </c>
      <c r="K6191" s="6" t="n">
        <v>500</v>
      </c>
      <c r="L6191" s="6" t="n">
        <v>5733.619</v>
      </c>
      <c r="M6191" s="7">
        <f>IF(N6191=0,+L6191+H6191,0)</f>
        <v/>
      </c>
      <c r="N6191" s="7">
        <f>IF((+G6191-K6191)=0,0,+G6191-K6191)</f>
        <v/>
      </c>
      <c r="O6191" s="7">
        <f>IF(N6191=0,0,(L6191+H6191)/-N6191)</f>
        <v/>
      </c>
      <c r="P6191" s="7">
        <f>VLOOKUP(OPERAC[[#This Row],[especie]],[1]!ESPECIES[#All],6,0)</f>
        <v/>
      </c>
      <c r="Q6191" s="7">
        <f>IF(N6191&lt;&gt;0,P6191*N6191,0)</f>
        <v/>
      </c>
      <c r="R6191" s="8">
        <f>IF(Q6191&lt;&gt;0,Q6191+H6191+L6191,0)</f>
        <v/>
      </c>
      <c r="S6191" s="9">
        <f>VLOOKUP(OPERAC[[#This Row],[especie]],[1]!ESPECIES[#Data],9,FALSE)</f>
        <v/>
      </c>
    </row>
    <row r="6192">
      <c r="A6192" s="4" t="n">
        <v>19867</v>
      </c>
      <c r="B6192" s="5" t="n">
        <v>44533</v>
      </c>
      <c r="C6192" s="13" t="inlineStr">
        <is>
          <t>CPR</t>
        </is>
      </c>
      <c r="D6192" s="13" t="n">
        <v>40</v>
      </c>
      <c r="E6192" s="10">
        <f>IF(D6192&gt;0,VLOOKUP(OPERAC[[#This Row],[COD CART]],[1]!MatrizCortoLargoCyl[#All],3,0),"")</f>
        <v/>
      </c>
      <c r="F6192" s="13" t="inlineStr">
        <is>
          <t>EDIT</t>
        </is>
      </c>
      <c r="G6192" s="6" t="n">
        <v>200</v>
      </c>
      <c r="H6192" s="6">
        <f>-26.42*OPERAC[[#This Row],[cantidad]]+9.904</f>
        <v/>
      </c>
      <c r="I6192" s="7">
        <f>-H6192/G6192</f>
        <v/>
      </c>
      <c r="J6192" s="11" t="n">
        <v>44614</v>
      </c>
      <c r="K6192" s="6" t="n">
        <v>200</v>
      </c>
      <c r="L6192" s="6" t="n">
        <v>2974.97</v>
      </c>
      <c r="M6192" s="7">
        <f>IF(N6192=0,+L6192+H6192,0)</f>
        <v/>
      </c>
      <c r="N6192" s="7">
        <f>IF((+G6192-K6192)=0,0,+G6192-K6192)</f>
        <v/>
      </c>
      <c r="O6192" s="7">
        <f>IF(N6192=0,0,(L6192+H6192)/-N6192)</f>
        <v/>
      </c>
      <c r="P6192" s="7">
        <f>VLOOKUP(OPERAC[[#This Row],[especie]],[1]!ESPECIES[#All],6,0)</f>
        <v/>
      </c>
      <c r="Q6192" s="7">
        <f>IF(N6192&lt;&gt;0,P6192*N6192,0)</f>
        <v/>
      </c>
      <c r="R6192" s="8">
        <f>IF(Q6192&lt;&gt;0,Q6192+H6192+L6192,0)</f>
        <v/>
      </c>
      <c r="S6192" s="9">
        <f>VLOOKUP(OPERAC[[#This Row],[especie]],[1]!ESPECIES[#Data],9,FALSE)</f>
        <v/>
      </c>
    </row>
    <row r="6193">
      <c r="A6193" s="4" t="n">
        <v>3728</v>
      </c>
      <c r="B6193" s="5" t="n">
        <v>44645</v>
      </c>
      <c r="C6193" s="13" t="inlineStr">
        <is>
          <t>CPR</t>
        </is>
      </c>
      <c r="D6193" s="13" t="n">
        <v>32</v>
      </c>
      <c r="E6193" s="10">
        <f>IF(D6193&gt;0,VLOOKUP(OPERAC[[#This Row],[COD CART]],[1]!MatrizCortoLargoCyl[#All],3,0),"")</f>
        <v/>
      </c>
      <c r="F6193" s="13" t="inlineStr">
        <is>
          <t>PLUG</t>
        </is>
      </c>
      <c r="G6193" s="6" t="n">
        <v>200</v>
      </c>
      <c r="H6193" s="6">
        <f>-28.16*OPERAC[[#This Row],[cantidad]]+299.7</f>
        <v/>
      </c>
      <c r="I6193" s="7">
        <f>-H6193/G6193</f>
        <v/>
      </c>
      <c r="J6193" s="11" t="n"/>
      <c r="K6193" s="6" t="n"/>
      <c r="L6193" s="6" t="n"/>
      <c r="M6193" s="7">
        <f>IF(N6193=0,+L6193+H6193,0)</f>
        <v/>
      </c>
      <c r="N6193" s="7">
        <f>IF((+G6193-K6193)=0,0,+G6193-K6193)</f>
        <v/>
      </c>
      <c r="O6193" s="7">
        <f>IF(N6193=0,0,(L6193+H6193)/-N6193)</f>
        <v/>
      </c>
      <c r="P6193" s="7">
        <f>VLOOKUP(OPERAC[[#This Row],[especie]],[1]!ESPECIES[#All],6,0)</f>
        <v/>
      </c>
      <c r="Q6193" s="7">
        <f>IF(N6193&lt;&gt;0,P6193*N6193,0)</f>
        <v/>
      </c>
      <c r="R6193" s="8">
        <f>IF(Q6193&lt;&gt;0,Q6193+H6193+L6193,0)</f>
        <v/>
      </c>
      <c r="S6193" s="9">
        <f>VLOOKUP(OPERAC[[#This Row],[especie]],[1]!ESPECIES[#Data],9,FALSE)</f>
        <v/>
      </c>
    </row>
    <row r="6194">
      <c r="A6194" s="4" t="n">
        <v>3728</v>
      </c>
      <c r="B6194" s="5" t="n">
        <v>44670</v>
      </c>
      <c r="C6194" s="13" t="inlineStr">
        <is>
          <t>CPR</t>
        </is>
      </c>
      <c r="D6194" s="13" t="n">
        <v>43</v>
      </c>
      <c r="E6194" s="10">
        <f>IF(D6194&gt;0,VLOOKUP(OPERAC[[#This Row],[COD CART]],[1]!MatrizCortoLargoCyl[#All],3,0),"")</f>
        <v/>
      </c>
      <c r="F6194" s="13" t="inlineStr">
        <is>
          <t>PCT/CYL-PUT/7,50/19-01-24</t>
        </is>
      </c>
      <c r="G6194" s="6" t="n">
        <v>4000</v>
      </c>
      <c r="H6194" s="6" t="n">
        <v>-5345.28</v>
      </c>
      <c r="I6194" s="7">
        <f>-H6194/G6194</f>
        <v/>
      </c>
      <c r="J6194" s="11" t="n"/>
      <c r="K6194" s="6" t="n"/>
      <c r="L6194" s="6" t="n"/>
      <c r="M6194" s="7">
        <f>IF(N6194=0,+L6194+H6194,0)</f>
        <v/>
      </c>
      <c r="N6194" s="7">
        <f>IF((+G6194-K6194)=0,0,+G6194-K6194)</f>
        <v/>
      </c>
      <c r="O6194" s="7">
        <f>IF(N6194=0,0,(L6194+H6194)/-N6194)</f>
        <v/>
      </c>
      <c r="P6194" s="7">
        <f>VLOOKUP(OPERAC[[#This Row],[especie]],[1]!ESPECIES[#All],6,0)</f>
        <v/>
      </c>
      <c r="Q6194" s="7">
        <f>IF(N6194&lt;&gt;0,P6194*N6194,0)</f>
        <v/>
      </c>
      <c r="R6194" s="8">
        <f>IF(Q6194&lt;&gt;0,Q6194+H6194+L6194,0)</f>
        <v/>
      </c>
      <c r="S6194" s="9">
        <f>VLOOKUP(OPERAC[[#This Row],[especie]],[1]!ESPECIES[#Data],9,FALSE)</f>
        <v/>
      </c>
    </row>
    <row r="6195">
      <c r="A6195" s="4" t="n">
        <v>3728</v>
      </c>
      <c r="B6195" s="5" t="n">
        <v>44637</v>
      </c>
      <c r="C6195" s="13" t="inlineStr">
        <is>
          <t>CPR</t>
        </is>
      </c>
      <c r="D6195" s="13" t="n">
        <v>32</v>
      </c>
      <c r="E6195" s="10">
        <f>IF(D6195&gt;0,VLOOKUP(OPERAC[[#This Row],[COD CART]],[1]!MatrizCortoLargoCyl[#All],3,0),"")</f>
        <v/>
      </c>
      <c r="F6195" s="13" t="inlineStr">
        <is>
          <t>KWEB/CYL/30,00/01-04-22</t>
        </is>
      </c>
      <c r="G6195" s="6" t="n">
        <v>200</v>
      </c>
      <c r="H6195" s="6" t="n">
        <v>-5346.799</v>
      </c>
      <c r="I6195" s="7">
        <f>-H6195/G6195</f>
        <v/>
      </c>
      <c r="J6195" s="11" t="n">
        <v>44652</v>
      </c>
      <c r="K6195" s="6" t="n">
        <v>200</v>
      </c>
      <c r="L6195" s="6" t="n">
        <v>5961.74</v>
      </c>
      <c r="M6195" s="7">
        <f>IF(N6195=0,+L6195+H6195,0)</f>
        <v/>
      </c>
      <c r="N6195" s="7">
        <f>IF((+G6195-K6195)=0,0,+G6195-K6195)</f>
        <v/>
      </c>
      <c r="O6195" s="7">
        <f>IF(N6195=0,0,(L6195+H6195)/-N6195)</f>
        <v/>
      </c>
      <c r="P6195" s="7">
        <f>VLOOKUP(OPERAC[[#This Row],[especie]],[1]!ESPECIES[#All],6,0)</f>
        <v/>
      </c>
      <c r="Q6195" s="7">
        <f>IF(N6195&lt;&gt;0,P6195*N6195,0)</f>
        <v/>
      </c>
      <c r="R6195" s="8">
        <f>IF(Q6195&lt;&gt;0,Q6195+H6195+L6195,0)</f>
        <v/>
      </c>
      <c r="S6195" s="9">
        <f>VLOOKUP(OPERAC[[#This Row],[especie]],[1]!ESPECIES[#Data],9,FALSE)</f>
        <v/>
      </c>
    </row>
    <row r="6196">
      <c r="A6196" s="4" t="n">
        <v>2194</v>
      </c>
      <c r="B6196" s="5" t="n">
        <v>43831</v>
      </c>
      <c r="C6196" s="13" t="inlineStr">
        <is>
          <t>CPR</t>
        </is>
      </c>
      <c r="D6196" s="13" t="n">
        <v>31</v>
      </c>
      <c r="E6196" s="10">
        <f>IF(D6196&gt;0,VLOOKUP(OPERAC[[#This Row],[COD CART]],[1]!MatrizCortoLargoCyl[#All],3,0),"")</f>
        <v/>
      </c>
      <c r="F6196" s="13" t="inlineStr">
        <is>
          <t>ACB</t>
        </is>
      </c>
      <c r="G6196" s="6" t="n">
        <v>67</v>
      </c>
      <c r="H6196" s="6" t="n">
        <v>-5349.280000000001</v>
      </c>
      <c r="I6196" s="7">
        <f>-H6196/G6196</f>
        <v/>
      </c>
      <c r="J6196" s="5" t="n">
        <v>44615</v>
      </c>
      <c r="K6196" s="6" t="n">
        <v>67</v>
      </c>
      <c r="L6196" s="6" t="n">
        <v>260.194</v>
      </c>
      <c r="M6196" s="7">
        <f>IF(N6196=0,+L6196+H6196,0)</f>
        <v/>
      </c>
      <c r="N6196" s="7">
        <f>IF((+G6196-K6196)=0,0,+G6196-K6196)</f>
        <v/>
      </c>
      <c r="O6196" s="7">
        <f>IF(N6196=0,0,(L6196+H6196)/-N6196)</f>
        <v/>
      </c>
      <c r="P6196" s="7">
        <f>VLOOKUP(OPERAC[[#This Row],[especie]],[1]!ESPECIES[#All],6,0)</f>
        <v/>
      </c>
      <c r="Q6196" s="7">
        <f>IF(N6196&lt;&gt;0,P6196*N6196,0)</f>
        <v/>
      </c>
      <c r="R6196" s="8">
        <f>IF(Q6196&lt;&gt;0,Q6196+H6196+L6196,0)</f>
        <v/>
      </c>
      <c r="S6196" s="9">
        <f>VLOOKUP(OPERAC[[#This Row],[especie]],[1]!ESPECIES[#Data],9,FALSE)</f>
        <v/>
      </c>
    </row>
    <row r="6197">
      <c r="A6197" s="4" t="n">
        <v>15189</v>
      </c>
      <c r="B6197" s="5" t="n">
        <v>44533</v>
      </c>
      <c r="C6197" s="13" t="inlineStr">
        <is>
          <t>CPR</t>
        </is>
      </c>
      <c r="D6197" s="13" t="n">
        <v>32</v>
      </c>
      <c r="E6197" s="10">
        <f>IF(D6197&gt;0,VLOOKUP(OPERAC[[#This Row],[COD CART]],[1]!MatrizCortoLargoCyl[#All],3,0),"")</f>
        <v/>
      </c>
      <c r="F6197" s="13" t="inlineStr">
        <is>
          <t>EDIT/CYL/30,00/17-06-22</t>
        </is>
      </c>
      <c r="G6197" s="6" t="n">
        <v>200</v>
      </c>
      <c r="H6197" s="6">
        <f>-26.92*OPERAC[[#This Row],[cantidad]]+4.952+21.813</f>
        <v/>
      </c>
      <c r="I6197" s="7">
        <f>-H6197/G6197</f>
        <v/>
      </c>
      <c r="J6197" s="11" t="n">
        <v>44692</v>
      </c>
      <c r="K6197" s="6" t="n">
        <v>200</v>
      </c>
      <c r="L6197" s="6" t="n">
        <v>2154.53</v>
      </c>
      <c r="M6197" s="7">
        <f>IF(N6197=0,+L6197+H6197,0)</f>
        <v/>
      </c>
      <c r="N6197" s="7">
        <f>IF((+G6197-K6197)=0,0,+G6197-K6197)</f>
        <v/>
      </c>
      <c r="O6197" s="7">
        <f>IF(N6197=0,0,(L6197+H6197)/-N6197)</f>
        <v/>
      </c>
      <c r="P6197" s="7">
        <f>VLOOKUP(OPERAC[[#This Row],[especie]],[1]!ESPECIES[#All],6,0)</f>
        <v/>
      </c>
      <c r="Q6197" s="7">
        <f>IF(N6197&lt;&gt;0,P6197*N6197,0)</f>
        <v/>
      </c>
      <c r="R6197" s="8">
        <f>IF(Q6197&lt;&gt;0,Q6197+H6197+L6197,0)</f>
        <v/>
      </c>
      <c r="S6197" s="9">
        <f>VLOOKUP(OPERAC[[#This Row],[especie]],[1]!ESPECIES[#Data],9,FALSE)</f>
        <v/>
      </c>
    </row>
    <row r="6198">
      <c r="A6198" s="4" t="n">
        <v>10079</v>
      </c>
      <c r="B6198" s="5" t="n">
        <v>44670</v>
      </c>
      <c r="C6198" s="13" t="inlineStr">
        <is>
          <t>CPR</t>
        </is>
      </c>
      <c r="D6198" s="13" t="n">
        <v>43</v>
      </c>
      <c r="E6198" s="10">
        <f>IF(D6198&gt;0,VLOOKUP(OPERAC[[#This Row],[COD CART]],[1]!MatrizCortoLargoCyl[#All],3,0),"")</f>
        <v/>
      </c>
      <c r="F6198" s="13" t="inlineStr">
        <is>
          <t>PCT/CYL-PUT/7,50/20-01-23</t>
        </is>
      </c>
      <c r="G6198" s="6" t="n">
        <v>1500</v>
      </c>
      <c r="H6198" s="6" t="n">
        <v>-5370.344</v>
      </c>
      <c r="I6198" s="7">
        <f>-H6198/G6198</f>
        <v/>
      </c>
      <c r="J6198" s="11" t="n"/>
      <c r="K6198" s="6" t="n"/>
      <c r="L6198" s="6" t="n"/>
      <c r="M6198" s="7">
        <f>IF(N6198=0,+L6198+H6198,0)</f>
        <v/>
      </c>
      <c r="N6198" s="7">
        <f>IF((+G6198-K6198)=0,0,+G6198-K6198)</f>
        <v/>
      </c>
      <c r="O6198" s="7">
        <f>IF(N6198=0,0,(L6198+H6198)/-N6198)</f>
        <v/>
      </c>
      <c r="P6198" s="7">
        <f>VLOOKUP(OPERAC[[#This Row],[especie]],[1]!ESPECIES[#All],6,0)</f>
        <v/>
      </c>
      <c r="Q6198" s="7">
        <f>IF(N6198&lt;&gt;0,P6198*N6198,0)</f>
        <v/>
      </c>
      <c r="R6198" s="8">
        <f>IF(Q6198&lt;&gt;0,Q6198+H6198+L6198,0)</f>
        <v/>
      </c>
      <c r="S6198" s="9">
        <f>VLOOKUP(OPERAC[[#This Row],[especie]],[1]!ESPECIES[#Data],9,FALSE)</f>
        <v/>
      </c>
    </row>
    <row r="6199">
      <c r="A6199" s="4" t="n">
        <v>16776</v>
      </c>
      <c r="B6199" s="5" t="n">
        <v>44145</v>
      </c>
      <c r="C6199" s="13" t="inlineStr">
        <is>
          <t>CPR</t>
        </is>
      </c>
      <c r="D6199" s="13" t="n">
        <v>41</v>
      </c>
      <c r="E6199" s="10">
        <f>IF(D6199&gt;0,VLOOKUP(OPERAC[[#This Row],[COD CART]],[1]!MatrizCortoLargoCyl[#All],3,0),"")</f>
        <v/>
      </c>
      <c r="F6199" s="13" t="inlineStr">
        <is>
          <t>BABA</t>
        </is>
      </c>
      <c r="G6199" s="6" t="n">
        <v>20</v>
      </c>
      <c r="H6199" s="6" t="n">
        <v>-5383.72</v>
      </c>
      <c r="I6199" s="7">
        <f>-H6199/G6199</f>
        <v/>
      </c>
      <c r="J6199" s="11" t="n"/>
      <c r="K6199" s="6" t="n"/>
      <c r="L6199" s="6" t="n"/>
      <c r="M6199" s="7">
        <f>IF(N6199=0,+L6199+H6199,0)</f>
        <v/>
      </c>
      <c r="N6199" s="7">
        <f>IF((+G6199-K6199)=0,0,+G6199-K6199)</f>
        <v/>
      </c>
      <c r="O6199" s="7">
        <f>IF(N6199=0,0,(L6199+H6199)/-N6199)</f>
        <v/>
      </c>
      <c r="P6199" s="7">
        <f>VLOOKUP(OPERAC[[#This Row],[especie]],[1]!ESPECIES[#All],6,0)</f>
        <v/>
      </c>
      <c r="Q6199" s="7">
        <f>IF(N6199&lt;&gt;0,P6199*N6199,0)</f>
        <v/>
      </c>
      <c r="R6199" s="8">
        <f>IF(Q6199&lt;&gt;0,Q6199+H6199+L6199,0)</f>
        <v/>
      </c>
      <c r="S6199" s="9">
        <f>VLOOKUP(OPERAC[[#This Row],[especie]],[1]!ESPECIES[#Data],9,FALSE)</f>
        <v/>
      </c>
    </row>
    <row r="6200">
      <c r="A6200" s="4" t="n">
        <v>13180</v>
      </c>
      <c r="B6200" s="5" t="n">
        <v>44523</v>
      </c>
      <c r="C6200" s="13" t="inlineStr">
        <is>
          <t>CPR</t>
        </is>
      </c>
      <c r="D6200" s="13" t="n">
        <v>41</v>
      </c>
      <c r="E6200" s="10">
        <f>IF(D6200&gt;0,VLOOKUP(OPERAC[[#This Row],[COD CART]],[1]!MatrizCortoLargoCyl[#All],3,0),"")</f>
        <v/>
      </c>
      <c r="F6200" s="13" t="inlineStr">
        <is>
          <t>TSLA</t>
        </is>
      </c>
      <c r="G6200" s="6" t="n">
        <v>5</v>
      </c>
      <c r="H6200" s="6" t="n">
        <v>-5393.346</v>
      </c>
      <c r="I6200" s="7">
        <f>-H6200/G6200</f>
        <v/>
      </c>
      <c r="J6200" s="11" t="n"/>
      <c r="K6200" s="6" t="n"/>
      <c r="L6200" s="6" t="n"/>
      <c r="M6200" s="7">
        <f>IF(N6200=0,+L6200+H6200,0)</f>
        <v/>
      </c>
      <c r="N6200" s="7">
        <f>IF((+G6200-K6200)=0,0,+G6200-K6200)</f>
        <v/>
      </c>
      <c r="O6200" s="7">
        <f>IF(N6200=0,0,(L6200+H6200)/-N6200)</f>
        <v/>
      </c>
      <c r="P6200" s="7">
        <f>VLOOKUP(OPERAC[[#This Row],[especie]],[1]!ESPECIES[#All],6,0)</f>
        <v/>
      </c>
      <c r="Q6200" s="7">
        <f>IF(N6200&lt;&gt;0,P6200*N6200,0)</f>
        <v/>
      </c>
      <c r="R6200" s="8">
        <f>IF(Q6200&lt;&gt;0,Q6200+H6200+L6200,0)</f>
        <v/>
      </c>
      <c r="S6200" s="9">
        <f>VLOOKUP(OPERAC[[#This Row],[especie]],[1]!ESPECIES[#Data],9,FALSE)</f>
        <v/>
      </c>
    </row>
    <row r="6201">
      <c r="A6201" s="4" t="n">
        <v>3728</v>
      </c>
      <c r="B6201" s="5" t="n">
        <v>44536</v>
      </c>
      <c r="C6201" s="13" t="inlineStr">
        <is>
          <t>CPR</t>
        </is>
      </c>
      <c r="D6201" s="13" t="n">
        <v>43</v>
      </c>
      <c r="E6201" s="10">
        <f>IF(D6201&gt;0,VLOOKUP(OPERAC[[#This Row],[COD CART]],[1]!MatrizCortoLargoCyl[#All],3,0),"")</f>
        <v/>
      </c>
      <c r="F6201" s="13" t="inlineStr">
        <is>
          <t>NNDM/CYL-PUT/2,50/19-01-24</t>
        </is>
      </c>
      <c r="G6201" s="6" t="n">
        <v>5000</v>
      </c>
      <c r="H6201" s="6">
        <f>-1.08*OPERAC[[#This Row],[cantidad]]</f>
        <v/>
      </c>
      <c r="I6201" s="7">
        <f>-H6201/G6201</f>
        <v/>
      </c>
      <c r="J6201" s="11" t="n"/>
      <c r="K6201" s="6" t="n"/>
      <c r="L6201" s="6" t="n"/>
      <c r="M6201" s="7">
        <f>IF(N6201=0,+L6201+H6201,0)</f>
        <v/>
      </c>
      <c r="N6201" s="7">
        <f>IF((+G6201-K6201)=0,0,+G6201-K6201)</f>
        <v/>
      </c>
      <c r="O6201" s="7">
        <f>IF(N6201=0,0,(L6201+H6201)/-N6201)</f>
        <v/>
      </c>
      <c r="P6201" s="7">
        <f>VLOOKUP(OPERAC[[#This Row],[especie]],[1]!ESPECIES[#All],6,0)</f>
        <v/>
      </c>
      <c r="Q6201" s="7">
        <f>IF(N6201&lt;&gt;0,P6201*N6201,0)</f>
        <v/>
      </c>
      <c r="R6201" s="8">
        <f>IF(Q6201&lt;&gt;0,Q6201+H6201+L6201,0)</f>
        <v/>
      </c>
      <c r="S6201" s="9">
        <f>VLOOKUP(OPERAC[[#This Row],[especie]],[1]!ESPECIES[#Data],9,FALSE)</f>
        <v/>
      </c>
    </row>
    <row r="6202">
      <c r="A6202" s="4" t="n">
        <v>12690</v>
      </c>
      <c r="B6202" s="5" t="n">
        <v>44552</v>
      </c>
      <c r="C6202" s="13" t="inlineStr">
        <is>
          <t>CPR</t>
        </is>
      </c>
      <c r="D6202" s="13" t="n">
        <v>32</v>
      </c>
      <c r="E6202" s="10">
        <f>IF(D6202&gt;0,VLOOKUP(OPERAC[[#This Row],[COD CART]],[1]!MatrizCortoLargoCyl[#All],3,0),"")</f>
        <v/>
      </c>
      <c r="F6202" s="13" t="inlineStr">
        <is>
          <t>GOLD/CYL/19,00/21-01-22</t>
        </is>
      </c>
      <c r="G6202" s="6" t="n">
        <v>300</v>
      </c>
      <c r="H6202" s="6">
        <f>-18.08*OPERAC[[#This Row],[cantidad]]</f>
        <v/>
      </c>
      <c r="I6202" s="7">
        <f>-H6202/G6202</f>
        <v/>
      </c>
      <c r="J6202" s="11" t="n">
        <v>44580</v>
      </c>
      <c r="K6202" s="6" t="n">
        <v>300</v>
      </c>
      <c r="L6202" s="6" t="n">
        <v>5630.54</v>
      </c>
      <c r="M6202" s="7">
        <f>IF(N6202=0,+L6202+H6202,0)</f>
        <v/>
      </c>
      <c r="N6202" s="7">
        <f>IF((+G6202-K6202)=0,0,+G6202-K6202)</f>
        <v/>
      </c>
      <c r="O6202" s="7">
        <f>IF(N6202=0,0,(L6202+H6202)/-N6202)</f>
        <v/>
      </c>
      <c r="P6202" s="7">
        <f>VLOOKUP(OPERAC[[#This Row],[especie]],[1]!ESPECIES[#All],6,0)</f>
        <v/>
      </c>
      <c r="Q6202" s="7">
        <f>IF(N6202&lt;&gt;0,P6202*N6202,0)</f>
        <v/>
      </c>
      <c r="R6202" s="8">
        <f>IF(Q6202&lt;&gt;0,Q6202+H6202+L6202,0)</f>
        <v/>
      </c>
      <c r="S6202" s="9">
        <f>VLOOKUP(OPERAC[[#This Row],[especie]],[1]!ESPECIES[#Data],9,FALSE)</f>
        <v/>
      </c>
    </row>
    <row r="6203">
      <c r="A6203" s="4" t="n">
        <v>10079</v>
      </c>
      <c r="B6203" s="5" t="n">
        <v>44533</v>
      </c>
      <c r="C6203" s="13" t="inlineStr">
        <is>
          <t>CPR</t>
        </is>
      </c>
      <c r="D6203" s="13" t="n">
        <v>32</v>
      </c>
      <c r="E6203" s="10">
        <f>IF(D6203&gt;0,VLOOKUP(OPERAC[[#This Row],[COD CART]],[1]!MatrizCortoLargoCyl[#All],3,0),"")</f>
        <v/>
      </c>
      <c r="F6203" s="13" t="inlineStr">
        <is>
          <t>SPCE/CYL/20,00/21-01-22</t>
        </is>
      </c>
      <c r="G6203" s="6" t="n">
        <v>400</v>
      </c>
      <c r="H6203" s="6" t="n">
        <v>-5468.16</v>
      </c>
      <c r="I6203" s="7">
        <f>-H6203/G6203</f>
        <v/>
      </c>
      <c r="J6203" s="11" t="n">
        <v>44579</v>
      </c>
      <c r="K6203" s="6" t="n">
        <v>400</v>
      </c>
      <c r="L6203" s="6">
        <f>+OPERAC[[#This Row],[cantidad venta]]*9.64</f>
        <v/>
      </c>
      <c r="M6203" s="7">
        <f>IF(N6203=0,+L6203+H6203,0)</f>
        <v/>
      </c>
      <c r="N6203" s="7">
        <f>IF((+G6203-K6203)=0,0,+G6203-K6203)</f>
        <v/>
      </c>
      <c r="O6203" s="7">
        <f>IF(N6203=0,0,(L6203+H6203)/-N6203)</f>
        <v/>
      </c>
      <c r="P6203" s="7">
        <f>VLOOKUP(OPERAC[[#This Row],[especie]],[1]!ESPECIES[#All],6,0)</f>
        <v/>
      </c>
      <c r="Q6203" s="7">
        <f>IF(N6203&lt;&gt;0,P6203*N6203,0)</f>
        <v/>
      </c>
      <c r="R6203" s="8">
        <f>IF(Q6203&lt;&gt;0,Q6203+H6203+L6203,0)</f>
        <v/>
      </c>
      <c r="S6203" s="9">
        <f>VLOOKUP(OPERAC[[#This Row],[especie]],[1]!ESPECIES[#Data],9,FALSE)</f>
        <v/>
      </c>
    </row>
    <row r="6204">
      <c r="A6204" s="4" t="n">
        <v>3728</v>
      </c>
      <c r="B6204" s="5" t="n">
        <v>44645</v>
      </c>
      <c r="C6204" s="13" t="inlineStr">
        <is>
          <t>CPR</t>
        </is>
      </c>
      <c r="D6204" s="13" t="n">
        <v>42</v>
      </c>
      <c r="E6204" s="10">
        <f>IF(D6204&gt;0,VLOOKUP(OPERAC[[#This Row],[COD CART]],[1]!MatrizCortoLargoCyl[#All],3,0),"")</f>
        <v/>
      </c>
      <c r="F6204" s="13" t="inlineStr">
        <is>
          <t>PLUG</t>
        </is>
      </c>
      <c r="G6204" s="6" t="n">
        <v>200</v>
      </c>
      <c r="H6204" s="6" t="n">
        <v>-5547.541</v>
      </c>
      <c r="I6204" s="7">
        <f>-H6204/G6204</f>
        <v/>
      </c>
      <c r="J6204" s="11" t="n">
        <v>44652</v>
      </c>
      <c r="K6204" s="6">
        <f>+OPERAC[[#This Row],[cantidad]]</f>
        <v/>
      </c>
      <c r="L6204" s="6">
        <f>+OPERAC[[#This Row],[cantidad venta]]*27.754</f>
        <v/>
      </c>
      <c r="M6204" s="7">
        <f>IF(N6204=0,+L6204+H6204,0)</f>
        <v/>
      </c>
      <c r="N6204" s="7">
        <f>IF((+G6204-K6204)=0,0,+G6204-K6204)</f>
        <v/>
      </c>
      <c r="O6204" s="7">
        <f>IF(N6204=0,0,(L6204+H6204)/-N6204)</f>
        <v/>
      </c>
      <c r="P6204" s="7">
        <f>VLOOKUP(OPERAC[[#This Row],[especie]],[1]!ESPECIES[#All],6,0)</f>
        <v/>
      </c>
      <c r="Q6204" s="7">
        <f>IF(N6204&lt;&gt;0,P6204*N6204,0)</f>
        <v/>
      </c>
      <c r="R6204" s="8">
        <f>IF(Q6204&lt;&gt;0,Q6204+H6204+L6204,0)</f>
        <v/>
      </c>
      <c r="S6204" s="9">
        <f>VLOOKUP(OPERAC[[#This Row],[especie]],[1]!ESPECIES[#Data],9,FALSE)</f>
        <v/>
      </c>
    </row>
    <row r="6205">
      <c r="A6205" s="4" t="n">
        <v>10079</v>
      </c>
      <c r="B6205" s="5" t="n">
        <v>44705</v>
      </c>
      <c r="C6205" s="13" t="inlineStr">
        <is>
          <t>CPR</t>
        </is>
      </c>
      <c r="D6205" s="13" t="n">
        <v>42</v>
      </c>
      <c r="E6205" s="10">
        <f>IF(D6205&gt;0,VLOOKUP(OPERAC[[#This Row],[COD CART]],[1]!MatrizCortoLargoCyl[#All],3,0),"")</f>
        <v/>
      </c>
      <c r="F6205" s="13" t="inlineStr">
        <is>
          <t>AMD</t>
        </is>
      </c>
      <c r="G6205" s="6" t="n">
        <v>60</v>
      </c>
      <c r="H6205" s="6" t="n">
        <v>-5550.2124</v>
      </c>
      <c r="I6205" s="7">
        <f>-H6205/G6205</f>
        <v/>
      </c>
      <c r="J6205" s="5" t="n">
        <v>44707</v>
      </c>
      <c r="K6205" s="6">
        <f>+OPERAC[[#This Row],[cantidad]]</f>
        <v/>
      </c>
      <c r="L6205" s="6">
        <f>+OPERAC[[#This Row],[cantidad venta]]*94.8</f>
        <v/>
      </c>
      <c r="M6205" s="7">
        <f>IF(N6205=0,+L6205+H6205,0)</f>
        <v/>
      </c>
      <c r="N6205" s="7">
        <f>IF((+G6205-K6205)=0,0,+G6205-K6205)</f>
        <v/>
      </c>
      <c r="O6205" s="7">
        <f>IF(N6205=0,0,(L6205+H6205)/-N6205)</f>
        <v/>
      </c>
      <c r="P6205" s="7">
        <f>VLOOKUP(OPERAC[[#This Row],[especie]],[1]!ESPECIES[#All],6,0)</f>
        <v/>
      </c>
      <c r="Q6205" s="7">
        <f>IF(N6205&lt;&gt;0,P6205*N6205,0)</f>
        <v/>
      </c>
      <c r="R6205" s="8">
        <f>IF(Q6205&lt;&gt;0,Q6205+H6205+L6205,0)</f>
        <v/>
      </c>
      <c r="S6205" s="9">
        <f>VLOOKUP(OPERAC[[#This Row],[especie]],[1]!ESPECIES[#Data],9,FALSE)</f>
        <v/>
      </c>
    </row>
    <row r="6206">
      <c r="A6206" s="4" t="n">
        <v>13180</v>
      </c>
      <c r="B6206" s="5" t="n">
        <v>44330</v>
      </c>
      <c r="C6206" s="13" t="inlineStr">
        <is>
          <t>CPR</t>
        </is>
      </c>
      <c r="D6206" s="13" t="n">
        <v>41</v>
      </c>
      <c r="E6206" s="10">
        <f>IF(D6206&gt;0,VLOOKUP(OPERAC[[#This Row],[COD CART]],[1]!MatrizCortoLargoCyl[#All],3,0),"")</f>
        <v/>
      </c>
      <c r="F6206" s="13" t="inlineStr">
        <is>
          <t>ETHE</t>
        </is>
      </c>
      <c r="G6206" s="6" t="n">
        <v>150</v>
      </c>
      <c r="H6206" s="6" t="n">
        <v>-5637.735</v>
      </c>
      <c r="I6206" s="7">
        <f>-H6206/G6206</f>
        <v/>
      </c>
      <c r="J6206" s="11" t="n"/>
      <c r="K6206" s="6" t="n"/>
      <c r="L6206" s="6" t="n"/>
      <c r="M6206" s="7">
        <f>IF(N6206=0,+L6206+H6206,0)</f>
        <v/>
      </c>
      <c r="N6206" s="7">
        <f>IF((+G6206-K6206)=0,0,+G6206-K6206)</f>
        <v/>
      </c>
      <c r="O6206" s="7">
        <f>IF(N6206=0,0,(L6206+H6206)/-N6206)</f>
        <v/>
      </c>
      <c r="P6206" s="7">
        <f>VLOOKUP(OPERAC[[#This Row],[especie]],[1]!ESPECIES[#All],6,0)</f>
        <v/>
      </c>
      <c r="Q6206" s="7">
        <f>IF(N6206&lt;&gt;0,P6206*N6206,0)</f>
        <v/>
      </c>
      <c r="R6206" s="8">
        <f>IF(Q6206&lt;&gt;0,Q6206+H6206+L6206,0)</f>
        <v/>
      </c>
      <c r="S6206" s="9">
        <f>VLOOKUP(OPERAC[[#This Row],[especie]],[1]!ESPECIES[#Data],9,FALSE)</f>
        <v/>
      </c>
    </row>
    <row r="6207">
      <c r="A6207" s="4" t="n">
        <v>9195</v>
      </c>
      <c r="B6207" s="5" t="n">
        <v>44489</v>
      </c>
      <c r="C6207" s="13" t="inlineStr">
        <is>
          <t>CPR</t>
        </is>
      </c>
      <c r="D6207" s="13" t="n">
        <v>43</v>
      </c>
      <c r="E6207" s="10">
        <f>IF(D6207&gt;0,VLOOKUP(OPERAC[[#This Row],[COD CART]],[1]!MatrizCortoLargoCyl[#All],3,0),"")</f>
        <v/>
      </c>
      <c r="F6207" s="13" t="inlineStr">
        <is>
          <t>SESN/CYL-PUT/1,00/19-01-24</t>
        </is>
      </c>
      <c r="G6207" s="6" t="n">
        <v>30000</v>
      </c>
      <c r="H6207" s="6">
        <f>-0.1885*OPERAC[[#This Row],[cantidad]]</f>
        <v/>
      </c>
      <c r="I6207" s="7">
        <f>-H6207/G6207</f>
        <v/>
      </c>
      <c r="J6207" s="11" t="n"/>
      <c r="K6207" s="6" t="n"/>
      <c r="L6207" s="6" t="n"/>
      <c r="M6207" s="7">
        <f>IF(N6207=0,+L6207+H6207,0)</f>
        <v/>
      </c>
      <c r="N6207" s="7">
        <f>IF((+G6207-K6207)=0,0,+G6207-K6207)</f>
        <v/>
      </c>
      <c r="O6207" s="7">
        <f>IF(N6207=0,0,(L6207+H6207)/-N6207)</f>
        <v/>
      </c>
      <c r="P6207" s="7">
        <f>VLOOKUP(OPERAC[[#This Row],[especie]],[1]!ESPECIES[#All],6,0)</f>
        <v/>
      </c>
      <c r="Q6207" s="7">
        <f>IF(N6207&lt;&gt;0,P6207*N6207,0)</f>
        <v/>
      </c>
      <c r="R6207" s="8">
        <f>IF(Q6207&lt;&gt;0,Q6207+H6207+L6207,0)</f>
        <v/>
      </c>
      <c r="S6207" s="9">
        <f>VLOOKUP(OPERAC[[#This Row],[especie]],[1]!ESPECIES[#Data],9,FALSE)</f>
        <v/>
      </c>
    </row>
    <row r="6208">
      <c r="A6208" s="4" t="n">
        <v>13246</v>
      </c>
      <c r="B6208" s="5" t="n">
        <v>44533</v>
      </c>
      <c r="C6208" s="13" t="inlineStr">
        <is>
          <t>CPR</t>
        </is>
      </c>
      <c r="D6208" s="13" t="n">
        <v>32</v>
      </c>
      <c r="E6208" s="10">
        <f>IF(D6208&gt;0,VLOOKUP(OPERAC[[#This Row],[COD CART]],[1]!MatrizCortoLargoCyl[#All],3,0),"")</f>
        <v/>
      </c>
      <c r="F6208" s="13" t="inlineStr">
        <is>
          <t>INO/CYL/7,00/21-01-22</t>
        </is>
      </c>
      <c r="G6208" s="6" t="n">
        <v>1000</v>
      </c>
      <c r="H6208" s="6">
        <f>-5.7*OPERAC[[#This Row],[cantidad]]</f>
        <v/>
      </c>
      <c r="I6208" s="7">
        <f>-H6208/G6208</f>
        <v/>
      </c>
      <c r="J6208" s="11" t="n">
        <v>44581</v>
      </c>
      <c r="K6208" s="6" t="n">
        <v>1000</v>
      </c>
      <c r="L6208" s="6" t="n">
        <v>4232.624</v>
      </c>
      <c r="M6208" s="7">
        <f>IF(N6208=0,+L6208+H6208,0)</f>
        <v/>
      </c>
      <c r="N6208" s="7">
        <f>IF((+G6208-K6208)=0,0,+G6208-K6208)</f>
        <v/>
      </c>
      <c r="O6208" s="7">
        <f>IF(N6208=0,0,(L6208+H6208)/-N6208)</f>
        <v/>
      </c>
      <c r="P6208" s="7">
        <f>VLOOKUP(OPERAC[[#This Row],[especie]],[1]!ESPECIES[#All],6,0)</f>
        <v/>
      </c>
      <c r="Q6208" s="7">
        <f>IF(N6208&lt;&gt;0,P6208*N6208,0)</f>
        <v/>
      </c>
      <c r="R6208" s="8">
        <f>IF(Q6208&lt;&gt;0,Q6208+H6208+L6208,0)</f>
        <v/>
      </c>
      <c r="S6208" s="9">
        <f>VLOOKUP(OPERAC[[#This Row],[especie]],[1]!ESPECIES[#Data],9,FALSE)</f>
        <v/>
      </c>
    </row>
    <row r="6209">
      <c r="A6209" s="4" t="n">
        <v>2218</v>
      </c>
      <c r="B6209" s="5" t="n">
        <v>44720</v>
      </c>
      <c r="C6209" s="13" t="inlineStr">
        <is>
          <t>CPR</t>
        </is>
      </c>
      <c r="D6209" s="13" t="n">
        <v>39</v>
      </c>
      <c r="E6209" s="10">
        <f>IF(D6209&gt;0,VLOOKUP(OPERAC[[#This Row],[COD CART]],[1]!MatrizCortoLargoCyl[#All],3,0),"")</f>
        <v/>
      </c>
      <c r="F6209" s="13" t="inlineStr">
        <is>
          <t>BABA/C/100,00/20-01-23</t>
        </is>
      </c>
      <c r="G6209" s="6" t="n">
        <v>200</v>
      </c>
      <c r="H6209" s="6" t="n">
        <v>-5705.7</v>
      </c>
      <c r="I6209" s="7">
        <f>-H6209/G6209</f>
        <v/>
      </c>
      <c r="J6209" s="5" t="n"/>
      <c r="K6209" s="6" t="n"/>
      <c r="L6209" s="6" t="n"/>
      <c r="M6209" s="7">
        <f>IF(N6209=0,+L6209+H6209,0)</f>
        <v/>
      </c>
      <c r="N6209" s="7">
        <f>IF((+G6209-K6209)=0,0,+G6209-K6209)</f>
        <v/>
      </c>
      <c r="O6209" s="7">
        <f>IF(N6209=0,0,(L6209+H6209)/-N6209)</f>
        <v/>
      </c>
      <c r="P6209" s="7">
        <f>VLOOKUP(OPERAC[[#This Row],[especie]],[1]!ESPECIES[#All],6,0)</f>
        <v/>
      </c>
      <c r="Q6209" s="7">
        <f>IF(N6209&lt;&gt;0,P6209*N6209,0)</f>
        <v/>
      </c>
      <c r="R6209" s="8">
        <f>IF(Q6209&lt;&gt;0,Q6209+H6209+L6209,0)</f>
        <v/>
      </c>
      <c r="S6209" s="9">
        <f>VLOOKUP(OPERAC[[#This Row],[especie]],[1]!ESPECIES[#Data],9,FALSE)</f>
        <v/>
      </c>
    </row>
    <row r="6210">
      <c r="A6210" s="4" t="n">
        <v>12690</v>
      </c>
      <c r="B6210" s="5" t="n">
        <v>44712</v>
      </c>
      <c r="C6210" s="13" t="inlineStr">
        <is>
          <t>CPR</t>
        </is>
      </c>
      <c r="D6210" s="13" t="n">
        <v>32</v>
      </c>
      <c r="E6210" s="10">
        <f>IF(D6210&gt;0,VLOOKUP(OPERAC[[#This Row],[COD CART]],[1]!MatrizCortoLargoCyl[#All],3,0),"")</f>
        <v/>
      </c>
      <c r="F6210" s="13" t="inlineStr">
        <is>
          <t>KWEB/CYL/31,00/17-06-22</t>
        </is>
      </c>
      <c r="G6210" s="6" t="n">
        <v>200</v>
      </c>
      <c r="H6210" s="6">
        <f>-2959.725-2939.167+141.361</f>
        <v/>
      </c>
      <c r="I6210" s="7">
        <f>-H6210/G6210</f>
        <v/>
      </c>
      <c r="J6210" s="5" t="n"/>
      <c r="K6210" s="6" t="n"/>
      <c r="L6210" s="6" t="n"/>
      <c r="M6210" s="7">
        <f>IF(N6210=0,+L6210+H6210,0)</f>
        <v/>
      </c>
      <c r="N6210" s="7">
        <f>IF((+G6210-K6210)=0,0,+G6210-K6210)</f>
        <v/>
      </c>
      <c r="O6210" s="7">
        <f>IF(N6210=0,0,(L6210+H6210)/-N6210)</f>
        <v/>
      </c>
      <c r="P6210" s="7">
        <f>VLOOKUP(OPERAC[[#This Row],[especie]],[1]!ESPECIES[#All],6,0)</f>
        <v/>
      </c>
      <c r="Q6210" s="7">
        <f>IF(N6210&lt;&gt;0,P6210*N6210,0)</f>
        <v/>
      </c>
      <c r="R6210" s="8">
        <f>IF(Q6210&lt;&gt;0,Q6210+H6210+L6210,0)</f>
        <v/>
      </c>
      <c r="S6210" s="9">
        <f>VLOOKUP(OPERAC[[#This Row],[especie]],[1]!ESPECIES[#Data],9,FALSE)</f>
        <v/>
      </c>
    </row>
    <row r="6211">
      <c r="A6211" s="4" t="n">
        <v>13253</v>
      </c>
      <c r="B6211" s="5" t="n">
        <v>44720</v>
      </c>
      <c r="C6211" s="13" t="inlineStr">
        <is>
          <t>CPR</t>
        </is>
      </c>
      <c r="D6211" s="13" t="n">
        <v>41</v>
      </c>
      <c r="E6211" s="10">
        <f>IF(D6211&gt;0,VLOOKUP(OPERAC[[#This Row],[COD CART]],[1]!MatrizCortoLargoCyl[#All],3,0),"")</f>
        <v/>
      </c>
      <c r="F6211" s="13" t="inlineStr">
        <is>
          <t>JEPI</t>
        </is>
      </c>
      <c r="G6211" s="6" t="n">
        <v>100</v>
      </c>
      <c r="H6211" s="6" t="n">
        <v>-5818.0365</v>
      </c>
      <c r="I6211" s="7">
        <f>-H6211/G6211</f>
        <v/>
      </c>
      <c r="J6211" s="5" t="n"/>
      <c r="K6211" s="6" t="n"/>
      <c r="L6211" s="6" t="n"/>
      <c r="M6211" s="7">
        <f>IF(N6211=0,+L6211+H6211,0)</f>
        <v/>
      </c>
      <c r="N6211" s="7">
        <f>IF((+G6211-K6211)=0,0,+G6211-K6211)</f>
        <v/>
      </c>
      <c r="O6211" s="7">
        <f>IF(N6211=0,0,(L6211+H6211)/-N6211)</f>
        <v/>
      </c>
      <c r="P6211" s="7">
        <f>VLOOKUP(OPERAC[[#This Row],[especie]],[1]!ESPECIES[#All],6,0)</f>
        <v/>
      </c>
      <c r="Q6211" s="7">
        <f>IF(N6211&lt;&gt;0,P6211*N6211,0)</f>
        <v/>
      </c>
      <c r="R6211" s="8">
        <f>IF(Q6211&lt;&gt;0,Q6211+H6211+L6211,0)</f>
        <v/>
      </c>
      <c r="S6211" s="9">
        <f>VLOOKUP(OPERAC[[#This Row],[especie]],[1]!ESPECIES[#Data],9,FALSE)</f>
        <v/>
      </c>
    </row>
    <row r="6212">
      <c r="A6212" s="4" t="n">
        <v>3728</v>
      </c>
      <c r="B6212" s="5" t="n">
        <v>44357</v>
      </c>
      <c r="C6212" s="13" t="inlineStr">
        <is>
          <t>CPR</t>
        </is>
      </c>
      <c r="D6212" s="13" t="n">
        <v>31</v>
      </c>
      <c r="E6212" s="10">
        <f>IF(D6212&gt;0,VLOOKUP(OPERAC[[#This Row],[COD CART]],[1]!MatrizCortoLargoCyl[#All],3,0),"")</f>
        <v/>
      </c>
      <c r="F6212" s="13" t="inlineStr">
        <is>
          <t>SFM</t>
        </is>
      </c>
      <c r="G6212" s="6" t="n">
        <v>200</v>
      </c>
      <c r="H6212" s="6" t="n">
        <v>-5832.4256</v>
      </c>
      <c r="I6212" s="7">
        <f>-H6212/G6212</f>
        <v/>
      </c>
      <c r="J6212" s="11" t="n">
        <v>44574</v>
      </c>
      <c r="K6212" s="6" t="n">
        <v>200</v>
      </c>
      <c r="L6212" s="6" t="n">
        <v>5863.08</v>
      </c>
      <c r="M6212" s="7">
        <f>IF(N6212=0,+L6212+H6212,0)</f>
        <v/>
      </c>
      <c r="N6212" s="7">
        <f>IF((+G6212-K6212)=0,0,+G6212-K6212)</f>
        <v/>
      </c>
      <c r="O6212" s="7">
        <f>IF(N6212=0,0,(L6212+H6212)/-N6212)</f>
        <v/>
      </c>
      <c r="P6212" s="7">
        <f>VLOOKUP(OPERAC[[#This Row],[especie]],[1]!ESPECIES[#All],6,0)</f>
        <v/>
      </c>
      <c r="Q6212" s="7">
        <f>IF(N6212&lt;&gt;0,P6212*N6212,0)</f>
        <v/>
      </c>
      <c r="R6212" s="8">
        <f>IF(Q6212&lt;&gt;0,Q6212+H6212+L6212,0)</f>
        <v/>
      </c>
      <c r="S6212" s="9">
        <f>VLOOKUP(OPERAC[[#This Row],[especie]],[1]!ESPECIES[#Data],9,FALSE)</f>
        <v/>
      </c>
    </row>
    <row r="6213">
      <c r="A6213" s="4" t="n">
        <v>10079</v>
      </c>
      <c r="B6213" s="5" t="n">
        <v>44582</v>
      </c>
      <c r="C6213" s="13" t="inlineStr">
        <is>
          <t>CPR</t>
        </is>
      </c>
      <c r="D6213" s="13" t="n">
        <v>40</v>
      </c>
      <c r="E6213" s="10">
        <f>IF(D6213&gt;0,VLOOKUP(OPERAC[[#This Row],[COD CART]],[1]!MatrizCortoLargoCyl[#All],3,0),"")</f>
        <v/>
      </c>
      <c r="F6213" s="13" t="inlineStr">
        <is>
          <t>NFLX</t>
        </is>
      </c>
      <c r="G6213" s="6" t="n">
        <v>15</v>
      </c>
      <c r="H6213" s="6" t="n">
        <v>-5859.5565</v>
      </c>
      <c r="I6213" s="7">
        <f>-H6213/G6213</f>
        <v/>
      </c>
      <c r="J6213" s="11" t="n">
        <v>44593</v>
      </c>
      <c r="K6213" s="6">
        <f>+OPERAC[[#This Row],[cantidad]]</f>
        <v/>
      </c>
      <c r="L6213" s="6">
        <f>+OPERAC[[#This Row],[cantidad venta]]*448.602</f>
        <v/>
      </c>
      <c r="M6213" s="7">
        <f>IF(N6213=0,+L6213+H6213,0)</f>
        <v/>
      </c>
      <c r="N6213" s="7">
        <f>IF((+G6213-K6213)=0,0,+G6213-K6213)</f>
        <v/>
      </c>
      <c r="O6213" s="7">
        <f>IF(N6213=0,0,(L6213+H6213)/-N6213)</f>
        <v/>
      </c>
      <c r="P6213" s="7">
        <f>VLOOKUP(OPERAC[[#This Row],[especie]],[1]!ESPECIES[#All],6,0)</f>
        <v/>
      </c>
      <c r="Q6213" s="7">
        <f>IF(N6213&lt;&gt;0,P6213*N6213,0)</f>
        <v/>
      </c>
      <c r="R6213" s="8">
        <f>IF(Q6213&lt;&gt;0,Q6213+H6213+L6213,0)</f>
        <v/>
      </c>
      <c r="S6213" s="9">
        <f>VLOOKUP(OPERAC[[#This Row],[especie]],[1]!ESPECIES[#Data],9,FALSE)</f>
        <v/>
      </c>
    </row>
    <row r="6214">
      <c r="A6214" s="4" t="n">
        <v>13185</v>
      </c>
      <c r="B6214" s="5" t="n">
        <v>44582</v>
      </c>
      <c r="C6214" s="13" t="inlineStr">
        <is>
          <t>CPR</t>
        </is>
      </c>
      <c r="D6214" s="13" t="n">
        <v>40</v>
      </c>
      <c r="E6214" s="10">
        <f>IF(D6214&gt;0,VLOOKUP(OPERAC[[#This Row],[COD CART]],[1]!MatrizCortoLargoCyl[#All],3,0),"")</f>
        <v/>
      </c>
      <c r="F6214" s="13" t="inlineStr">
        <is>
          <t>NFLX</t>
        </is>
      </c>
      <c r="G6214" s="6" t="n">
        <v>15</v>
      </c>
      <c r="H6214" s="6" t="n">
        <v>-5859.5565</v>
      </c>
      <c r="I6214" s="7">
        <f>-H6214/G6214</f>
        <v/>
      </c>
      <c r="J6214" s="11" t="n">
        <v>44593</v>
      </c>
      <c r="K6214" s="6">
        <f>+OPERAC[[#This Row],[cantidad]]</f>
        <v/>
      </c>
      <c r="L6214" s="6">
        <f>+OPERAC[[#This Row],[cantidad venta]]*448.602</f>
        <v/>
      </c>
      <c r="M6214" s="7">
        <f>IF(N6214=0,+L6214+H6214,0)</f>
        <v/>
      </c>
      <c r="N6214" s="7">
        <f>IF((+G6214-K6214)=0,0,+G6214-K6214)</f>
        <v/>
      </c>
      <c r="O6214" s="7">
        <f>IF(N6214=0,0,(L6214+H6214)/-N6214)</f>
        <v/>
      </c>
      <c r="P6214" s="7">
        <f>VLOOKUP(OPERAC[[#This Row],[especie]],[1]!ESPECIES[#All],6,0)</f>
        <v/>
      </c>
      <c r="Q6214" s="7">
        <f>IF(N6214&lt;&gt;0,P6214*N6214,0)</f>
        <v/>
      </c>
      <c r="R6214" s="8">
        <f>IF(Q6214&lt;&gt;0,Q6214+H6214+L6214,0)</f>
        <v/>
      </c>
      <c r="S6214" s="9">
        <f>VLOOKUP(OPERAC[[#This Row],[especie]],[1]!ESPECIES[#Data],9,FALSE)</f>
        <v/>
      </c>
    </row>
    <row r="6215">
      <c r="A6215" s="4" t="n">
        <v>18690</v>
      </c>
      <c r="B6215" s="5" t="n">
        <v>44533</v>
      </c>
      <c r="C6215" s="13" t="inlineStr">
        <is>
          <t>CPR</t>
        </is>
      </c>
      <c r="D6215" s="13" t="n">
        <v>32</v>
      </c>
      <c r="E6215" s="10">
        <f>IF(D6215&gt;0,VLOOKUP(OPERAC[[#This Row],[COD CART]],[1]!MatrizCortoLargoCyl[#All],3,0),"")</f>
        <v/>
      </c>
      <c r="F6215" s="13" t="inlineStr">
        <is>
          <t>BYND/CYL/75,00/19-08-22</t>
        </is>
      </c>
      <c r="G6215" s="6" t="n">
        <v>100</v>
      </c>
      <c r="H6215" s="6">
        <f>-6182.815+148.4+69.038+71.366+12.89</f>
        <v/>
      </c>
      <c r="I6215" s="7">
        <f>-H6215/G6215</f>
        <v/>
      </c>
      <c r="J6215" s="11" t="n"/>
      <c r="K6215" s="6" t="n"/>
      <c r="L6215" s="6" t="n"/>
      <c r="M6215" s="7">
        <f>IF(N6215=0,+L6215+H6215,0)</f>
        <v/>
      </c>
      <c r="N6215" s="7">
        <f>IF((+G6215-K6215)=0,0,+G6215-K6215)</f>
        <v/>
      </c>
      <c r="O6215" s="7">
        <f>IF(N6215=0,0,(L6215+H6215)/-N6215)</f>
        <v/>
      </c>
      <c r="P6215" s="7">
        <f>VLOOKUP(OPERAC[[#This Row],[especie]],[1]!ESPECIES[#All],6,0)</f>
        <v/>
      </c>
      <c r="Q6215" s="7">
        <f>IF(N6215&lt;&gt;0,P6215*N6215,0)</f>
        <v/>
      </c>
      <c r="R6215" s="8">
        <f>IF(Q6215&lt;&gt;0,Q6215+H6215+L6215,0)</f>
        <v/>
      </c>
      <c r="S6215" s="9">
        <f>VLOOKUP(OPERAC[[#This Row],[especie]],[1]!ESPECIES[#Data],9,FALSE)</f>
        <v/>
      </c>
    </row>
    <row r="6216">
      <c r="A6216" s="4" t="n">
        <v>18651</v>
      </c>
      <c r="B6216" s="5" t="n">
        <v>44357</v>
      </c>
      <c r="C6216" s="13" t="inlineStr">
        <is>
          <t>CPR</t>
        </is>
      </c>
      <c r="D6216" s="13" t="n">
        <v>31</v>
      </c>
      <c r="E6216" s="10">
        <f>IF(D6216&gt;0,VLOOKUP(OPERAC[[#This Row],[COD CART]],[1]!MatrizCortoLargoCyl[#All],3,0),"")</f>
        <v/>
      </c>
      <c r="F6216" s="13" t="inlineStr">
        <is>
          <t>SFM</t>
        </is>
      </c>
      <c r="G6216" s="6" t="n">
        <v>200</v>
      </c>
      <c r="H6216" s="6" t="n">
        <v>-5884.856000000001</v>
      </c>
      <c r="I6216" s="7">
        <f>-H6216/G6216</f>
        <v/>
      </c>
      <c r="J6216" s="11" t="n">
        <v>44574</v>
      </c>
      <c r="K6216" s="6" t="n">
        <v>200</v>
      </c>
      <c r="L6216" s="6" t="n">
        <v>5821.99</v>
      </c>
      <c r="M6216" s="7">
        <f>IF(N6216=0,+L6216+H6216,0)</f>
        <v/>
      </c>
      <c r="N6216" s="7">
        <f>IF((+G6216-K6216)=0,0,+G6216-K6216)</f>
        <v/>
      </c>
      <c r="O6216" s="7">
        <f>IF(N6216=0,0,(L6216+H6216)/-N6216)</f>
        <v/>
      </c>
      <c r="P6216" s="7">
        <f>VLOOKUP(OPERAC[[#This Row],[especie]],[1]!ESPECIES[#All],6,0)</f>
        <v/>
      </c>
      <c r="Q6216" s="7">
        <f>IF(N6216&lt;&gt;0,P6216*N6216,0)</f>
        <v/>
      </c>
      <c r="R6216" s="8">
        <f>IF(Q6216&lt;&gt;0,Q6216+H6216+L6216,0)</f>
        <v/>
      </c>
      <c r="S6216" s="9">
        <f>VLOOKUP(OPERAC[[#This Row],[especie]],[1]!ESPECIES[#Data],9,FALSE)</f>
        <v/>
      </c>
    </row>
    <row r="6217">
      <c r="A6217" s="4" t="n">
        <v>15195</v>
      </c>
      <c r="B6217" s="5" t="n">
        <v>44533</v>
      </c>
      <c r="C6217" s="13" t="inlineStr">
        <is>
          <t>CPR</t>
        </is>
      </c>
      <c r="D6217" s="13" t="n">
        <v>32</v>
      </c>
      <c r="E6217" s="10">
        <f>IF(D6217&gt;0,VLOOKUP(OPERAC[[#This Row],[COD CART]],[1]!MatrizCortoLargoCyl[#All],3,0),"")</f>
        <v/>
      </c>
      <c r="F6217" s="13" t="inlineStr">
        <is>
          <t>BYND/CYL/60,00/15-07-22</t>
        </is>
      </c>
      <c r="G6217" s="6" t="n">
        <v>100</v>
      </c>
      <c r="H6217" s="6">
        <f>-6182.815+148.4+69.038+76.626</f>
        <v/>
      </c>
      <c r="I6217" s="7">
        <f>-H6217/G6217</f>
        <v/>
      </c>
      <c r="J6217" s="11" t="n"/>
      <c r="K6217" s="6" t="n"/>
      <c r="L6217" s="6" t="n"/>
      <c r="M6217" s="7">
        <f>IF(N6217=0,+L6217+H6217,0)</f>
        <v/>
      </c>
      <c r="N6217" s="7">
        <f>IF((+G6217-K6217)=0,0,+G6217-K6217)</f>
        <v/>
      </c>
      <c r="O6217" s="7">
        <f>IF(N6217=0,0,(L6217+H6217)/-N6217)</f>
        <v/>
      </c>
      <c r="P6217" s="7">
        <f>VLOOKUP(OPERAC[[#This Row],[especie]],[1]!ESPECIES[#All],6,0)</f>
        <v/>
      </c>
      <c r="Q6217" s="7">
        <f>IF(N6217&lt;&gt;0,P6217*N6217,0)</f>
        <v/>
      </c>
      <c r="R6217" s="8">
        <f>IF(Q6217&lt;&gt;0,Q6217+H6217+L6217,0)</f>
        <v/>
      </c>
      <c r="S6217" s="9">
        <f>VLOOKUP(OPERAC[[#This Row],[especie]],[1]!ESPECIES[#Data],9,FALSE)</f>
        <v/>
      </c>
    </row>
    <row r="6218">
      <c r="A6218" s="4" t="n">
        <v>10079</v>
      </c>
      <c r="B6218" s="5" t="n">
        <v>44536</v>
      </c>
      <c r="C6218" s="13" t="inlineStr">
        <is>
          <t>CPR</t>
        </is>
      </c>
      <c r="D6218" s="13" t="n">
        <v>43</v>
      </c>
      <c r="E6218" s="10">
        <f>IF(D6218&gt;0,VLOOKUP(OPERAC[[#This Row],[COD CART]],[1]!MatrizCortoLargoCyl[#All],3,0),"")</f>
        <v/>
      </c>
      <c r="F6218" s="13" t="inlineStr">
        <is>
          <t>NNDM/CYL-PUT/2,50/19-01-24</t>
        </is>
      </c>
      <c r="G6218" s="6" t="n">
        <v>5500</v>
      </c>
      <c r="H6218" s="6">
        <f>-1.08*OPERAC[[#This Row],[cantidad]]</f>
        <v/>
      </c>
      <c r="I6218" s="7">
        <f>-H6218/G6218</f>
        <v/>
      </c>
      <c r="J6218" s="11" t="n"/>
      <c r="K6218" s="6" t="n"/>
      <c r="L6218" s="6" t="n"/>
      <c r="M6218" s="7">
        <f>IF(N6218=0,+L6218+H6218,0)</f>
        <v/>
      </c>
      <c r="N6218" s="7">
        <f>IF((+G6218-K6218)=0,0,+G6218-K6218)</f>
        <v/>
      </c>
      <c r="O6218" s="7">
        <f>IF(N6218=0,0,(L6218+H6218)/-N6218)</f>
        <v/>
      </c>
      <c r="P6218" s="7">
        <f>VLOOKUP(OPERAC[[#This Row],[especie]],[1]!ESPECIES[#All],6,0)</f>
        <v/>
      </c>
      <c r="Q6218" s="7">
        <f>IF(N6218&lt;&gt;0,P6218*N6218,0)</f>
        <v/>
      </c>
      <c r="R6218" s="8">
        <f>IF(Q6218&lt;&gt;0,Q6218+H6218+L6218,0)</f>
        <v/>
      </c>
      <c r="S6218" s="9">
        <f>VLOOKUP(OPERAC[[#This Row],[especie]],[1]!ESPECIES[#Data],9,FALSE)</f>
        <v/>
      </c>
    </row>
    <row r="6219">
      <c r="A6219" s="4" t="n">
        <v>10079</v>
      </c>
      <c r="B6219" s="5" t="n">
        <v>44680</v>
      </c>
      <c r="C6219" s="13" t="inlineStr">
        <is>
          <t>CPR</t>
        </is>
      </c>
      <c r="D6219" s="13" t="n">
        <v>32</v>
      </c>
      <c r="E6219" s="10">
        <f>IF(D6219&gt;0,VLOOKUP(OPERAC[[#This Row],[COD CART]],[1]!MatrizCortoLargoCyl[#All],3,0),"")</f>
        <v/>
      </c>
      <c r="F6219" s="13" t="inlineStr">
        <is>
          <t>TDOC/CYL/31,00/20-05-22</t>
        </is>
      </c>
      <c r="G6219" s="6" t="n">
        <v>200</v>
      </c>
      <c r="H6219" s="6" t="n">
        <v>-5948.49</v>
      </c>
      <c r="I6219" s="7">
        <f>-H6219/G6219</f>
        <v/>
      </c>
      <c r="J6219" s="11" t="n">
        <v>44701</v>
      </c>
      <c r="K6219" s="6" t="n">
        <v>200</v>
      </c>
      <c r="L6219" s="6" t="n">
        <v>6139.197</v>
      </c>
      <c r="M6219" s="7">
        <f>IF(N6219=0,+L6219+H6219,0)</f>
        <v/>
      </c>
      <c r="N6219" s="7">
        <f>IF((+G6219-K6219)=0,0,+G6219-K6219)</f>
        <v/>
      </c>
      <c r="O6219" s="7">
        <f>IF(N6219=0,0,(L6219+H6219)/-N6219)</f>
        <v/>
      </c>
      <c r="P6219" s="7">
        <f>VLOOKUP(OPERAC[[#This Row],[especie]],[1]!ESPECIES[#All],6,0)</f>
        <v/>
      </c>
      <c r="Q6219" s="7">
        <f>IF(N6219&lt;&gt;0,P6219*N6219,0)</f>
        <v/>
      </c>
      <c r="R6219" s="8">
        <f>IF(Q6219&lt;&gt;0,Q6219+H6219+L6219,0)</f>
        <v/>
      </c>
      <c r="S6219" s="9">
        <f>VLOOKUP(OPERAC[[#This Row],[especie]],[1]!ESPECIES[#Data],9,FALSE)</f>
        <v/>
      </c>
    </row>
    <row r="6220">
      <c r="A6220" s="4" t="n">
        <v>16783</v>
      </c>
      <c r="B6220" s="5" t="n">
        <v>44533</v>
      </c>
      <c r="C6220" s="13" t="inlineStr">
        <is>
          <t>CPR</t>
        </is>
      </c>
      <c r="D6220" s="13" t="n">
        <v>32</v>
      </c>
      <c r="E6220" s="10">
        <f>IF(D6220&gt;0,VLOOKUP(OPERAC[[#This Row],[COD CART]],[1]!MatrizCortoLargoCyl[#All],3,0),"")</f>
        <v/>
      </c>
      <c r="F6220" s="13" t="inlineStr">
        <is>
          <t>BYND</t>
        </is>
      </c>
      <c r="G6220" s="6" t="n">
        <v>100</v>
      </c>
      <c r="H6220" s="6">
        <f>-6182.815+148.4+69.038</f>
        <v/>
      </c>
      <c r="I6220" s="7">
        <f>-H6220/G6220</f>
        <v/>
      </c>
      <c r="J6220" s="11" t="n">
        <v>44669</v>
      </c>
      <c r="K6220" s="6" t="n">
        <v>100</v>
      </c>
      <c r="L6220" s="6" t="n">
        <v>4040.735</v>
      </c>
      <c r="M6220" s="7">
        <f>IF(N6220=0,+L6220+H6220,0)</f>
        <v/>
      </c>
      <c r="N6220" s="7">
        <f>IF((+G6220-K6220)=0,0,+G6220-K6220)</f>
        <v/>
      </c>
      <c r="O6220" s="7">
        <f>IF(N6220=0,0,(L6220+H6220)/-N6220)</f>
        <v/>
      </c>
      <c r="P6220" s="7">
        <f>VLOOKUP(OPERAC[[#This Row],[especie]],[1]!ESPECIES[#All],6,0)</f>
        <v/>
      </c>
      <c r="Q6220" s="7">
        <f>IF(N6220&lt;&gt;0,P6220*N6220,0)</f>
        <v/>
      </c>
      <c r="R6220" s="8">
        <f>IF(Q6220&lt;&gt;0,Q6220+H6220+L6220,0)</f>
        <v/>
      </c>
      <c r="S6220" s="9">
        <f>VLOOKUP(OPERAC[[#This Row],[especie]],[1]!ESPECIES[#Data],9,FALSE)</f>
        <v/>
      </c>
    </row>
    <row r="6221">
      <c r="A6221" s="4" t="n">
        <v>13185</v>
      </c>
      <c r="B6221" s="5" t="n">
        <v>44533</v>
      </c>
      <c r="C6221" s="13" t="inlineStr">
        <is>
          <t>CPR</t>
        </is>
      </c>
      <c r="D6221" s="13" t="n">
        <v>32</v>
      </c>
      <c r="E6221" s="10">
        <f>IF(D6221&gt;0,VLOOKUP(OPERAC[[#This Row],[COD CART]],[1]!MatrizCortoLargoCyl[#All],3,0),"")</f>
        <v/>
      </c>
      <c r="F6221" s="13" t="inlineStr">
        <is>
          <t>BYND/CYL/75,00/19-08-22</t>
        </is>
      </c>
      <c r="G6221" s="6" t="n">
        <v>100</v>
      </c>
      <c r="H6221" s="6">
        <f>-6259.75+148.4+69.038+54.56+9.915</f>
        <v/>
      </c>
      <c r="I6221" s="7">
        <f>-H6221/G6221</f>
        <v/>
      </c>
      <c r="J6221" s="11" t="n"/>
      <c r="K6221" s="6" t="n"/>
      <c r="L6221" s="6" t="n"/>
      <c r="M6221" s="7">
        <f>IF(N6221=0,+L6221+H6221,0)</f>
        <v/>
      </c>
      <c r="N6221" s="7">
        <f>IF((+G6221-K6221)=0,0,+G6221-K6221)</f>
        <v/>
      </c>
      <c r="O6221" s="7">
        <f>IF(N6221=0,0,(L6221+H6221)/-N6221)</f>
        <v/>
      </c>
      <c r="P6221" s="7">
        <f>VLOOKUP(OPERAC[[#This Row],[especie]],[1]!ESPECIES[#All],6,0)</f>
        <v/>
      </c>
      <c r="Q6221" s="7">
        <f>IF(N6221&lt;&gt;0,P6221*N6221,0)</f>
        <v/>
      </c>
      <c r="R6221" s="8">
        <f>IF(Q6221&lt;&gt;0,Q6221+H6221+L6221,0)</f>
        <v/>
      </c>
      <c r="S6221" s="9">
        <f>VLOOKUP(OPERAC[[#This Row],[especie]],[1]!ESPECIES[#Data],9,FALSE)</f>
        <v/>
      </c>
    </row>
    <row r="6222">
      <c r="A6222" s="4" t="n">
        <v>12611</v>
      </c>
      <c r="B6222" s="5" t="n">
        <v>44582</v>
      </c>
      <c r="C6222" s="13" t="inlineStr">
        <is>
          <t>CPR</t>
        </is>
      </c>
      <c r="D6222" s="13" t="n">
        <v>40</v>
      </c>
      <c r="E6222" s="10">
        <f>IF(D6222&gt;0,VLOOKUP(OPERAC[[#This Row],[COD CART]],[1]!MatrizCortoLargoCyl[#All],3,0),"")</f>
        <v/>
      </c>
      <c r="F6222" s="13" t="inlineStr">
        <is>
          <t>ACB</t>
        </is>
      </c>
      <c r="G6222" s="6" t="n">
        <v>240</v>
      </c>
      <c r="H6222" s="6">
        <f>-25*OPERAC[[#This Row],[cantidad]]</f>
        <v/>
      </c>
      <c r="I6222" s="7">
        <f>-H6222/G6222</f>
        <v/>
      </c>
      <c r="J6222" s="11" t="n">
        <v>44585</v>
      </c>
      <c r="K6222" s="6" t="n">
        <v>240</v>
      </c>
      <c r="L6222" s="6" t="n">
        <v>971.317</v>
      </c>
      <c r="M6222" s="7">
        <f>IF(N6222=0,+L6222+H6222,0)</f>
        <v/>
      </c>
      <c r="N6222" s="7">
        <f>IF((+G6222-K6222)=0,0,+G6222-K6222)</f>
        <v/>
      </c>
      <c r="O6222" s="7">
        <f>IF(N6222=0,0,(L6222+H6222)/-N6222)</f>
        <v/>
      </c>
      <c r="P6222" s="7">
        <f>VLOOKUP(OPERAC[[#This Row],[especie]],[1]!ESPECIES[#All],6,0)</f>
        <v/>
      </c>
      <c r="Q6222" s="7">
        <f>IF(N6222&lt;&gt;0,P6222*N6222,0)</f>
        <v/>
      </c>
      <c r="R6222" s="8">
        <f>IF(Q6222&lt;&gt;0,Q6222+H6222+L6222,0)</f>
        <v/>
      </c>
      <c r="S6222" s="9">
        <f>VLOOKUP(OPERAC[[#This Row],[especie]],[1]!ESPECIES[#Data],9,FALSE)</f>
        <v/>
      </c>
    </row>
    <row r="6223">
      <c r="A6223" s="4" t="n">
        <v>22407</v>
      </c>
      <c r="B6223" s="5" t="n">
        <v>44256</v>
      </c>
      <c r="C6223" s="13" t="inlineStr">
        <is>
          <t>CPR</t>
        </is>
      </c>
      <c r="D6223" s="13" t="n">
        <v>40</v>
      </c>
      <c r="E6223" s="10">
        <f>IF(D6223&gt;0,VLOOKUP(OPERAC[[#This Row],[COD CART]],[1]!MatrizCortoLargoCyl[#All],3,0),"")</f>
        <v/>
      </c>
      <c r="F6223" s="13" t="inlineStr">
        <is>
          <t>ACB</t>
        </is>
      </c>
      <c r="G6223" s="6" t="n">
        <v>300</v>
      </c>
      <c r="H6223" s="6" t="n">
        <v>-6000.683</v>
      </c>
      <c r="I6223" s="7">
        <f>-H6223/G6223</f>
        <v/>
      </c>
      <c r="J6223" s="11" t="n">
        <v>44372</v>
      </c>
      <c r="K6223" s="6">
        <f>200+100</f>
        <v/>
      </c>
      <c r="L6223" s="6">
        <f>1806.7888+436.174</f>
        <v/>
      </c>
      <c r="M6223" s="7">
        <f>IF(N6223=0,+L6223+H6223,0)</f>
        <v/>
      </c>
      <c r="N6223" s="7">
        <f>IF((+G6223-K6223)=0,0,+G6223-K6223)</f>
        <v/>
      </c>
      <c r="O6223" s="7">
        <f>IF(N6223=0,0,(L6223+H6223)/-N6223)</f>
        <v/>
      </c>
      <c r="P6223" s="7">
        <f>VLOOKUP(OPERAC[[#This Row],[especie]],[1]!ESPECIES[#All],6,0)</f>
        <v/>
      </c>
      <c r="Q6223" s="7">
        <f>IF(N6223&lt;&gt;0,P6223*N6223,0)</f>
        <v/>
      </c>
      <c r="R6223" s="8">
        <f>IF(Q6223&lt;&gt;0,Q6223+H6223+L6223,0)</f>
        <v/>
      </c>
      <c r="S6223" s="9">
        <f>VLOOKUP(OPERAC[[#This Row],[especie]],[1]!ESPECIES[#Data],9,FALSE)</f>
        <v/>
      </c>
    </row>
    <row r="6224">
      <c r="A6224" s="4" t="n">
        <v>13240</v>
      </c>
      <c r="B6224" s="5" t="n">
        <v>44594</v>
      </c>
      <c r="C6224" s="13" t="inlineStr">
        <is>
          <t>CPR</t>
        </is>
      </c>
      <c r="D6224" s="13" t="n">
        <v>40</v>
      </c>
      <c r="E6224" s="10">
        <f>IF(D6224&gt;0,VLOOKUP(OPERAC[[#This Row],[COD CART]],[1]!MatrizCortoLargoCyl[#All],3,0),"")</f>
        <v/>
      </c>
      <c r="F6224" s="13" t="inlineStr">
        <is>
          <t>EDU</t>
        </is>
      </c>
      <c r="G6224" s="6" t="n">
        <v>3000</v>
      </c>
      <c r="H6224" s="6" t="n">
        <v>-6048</v>
      </c>
      <c r="I6224" s="7">
        <f>-H6224/G6224</f>
        <v/>
      </c>
      <c r="J6224" s="11" t="n">
        <v>44599</v>
      </c>
      <c r="K6224" s="6" t="n">
        <v>3000</v>
      </c>
      <c r="L6224" s="6">
        <f>3000*1.642</f>
        <v/>
      </c>
      <c r="M6224" s="7">
        <f>IF(N6224=0,+L6224+H6224,0)</f>
        <v/>
      </c>
      <c r="N6224" s="7">
        <f>IF((+G6224-K6224)=0,0,+G6224-K6224)</f>
        <v/>
      </c>
      <c r="O6224" s="7">
        <f>IF(N6224=0,0,(L6224+H6224)/-N6224)</f>
        <v/>
      </c>
      <c r="P6224" s="7">
        <f>VLOOKUP(OPERAC[[#This Row],[especie]],[1]!ESPECIES[#All],6,0)</f>
        <v/>
      </c>
      <c r="Q6224" s="7">
        <f>IF(N6224&lt;&gt;0,P6224*N6224,0)</f>
        <v/>
      </c>
      <c r="R6224" s="8">
        <f>IF(Q6224&lt;&gt;0,Q6224+H6224+L6224,0)</f>
        <v/>
      </c>
      <c r="S6224" s="9">
        <f>VLOOKUP(OPERAC[[#This Row],[especie]],[1]!ESPECIES[#Data],9,FALSE)</f>
        <v/>
      </c>
    </row>
    <row r="6225">
      <c r="A6225" s="4" t="n">
        <v>2218</v>
      </c>
      <c r="B6225" s="5" t="n">
        <v>44538</v>
      </c>
      <c r="C6225" s="13" t="inlineStr">
        <is>
          <t>CPR</t>
        </is>
      </c>
      <c r="D6225" s="13" t="n">
        <v>40</v>
      </c>
      <c r="E6225" s="10">
        <f>IF(D6225&gt;0,VLOOKUP(OPERAC[[#This Row],[COD CART]],[1]!MatrizCortoLargoCyl[#All],3,0),"")</f>
        <v/>
      </c>
      <c r="F6225" s="13" t="inlineStr">
        <is>
          <t>MELI</t>
        </is>
      </c>
      <c r="G6225" s="6" t="n">
        <v>5</v>
      </c>
      <c r="H6225" s="6" t="n">
        <v>-6048.5</v>
      </c>
      <c r="I6225" s="7">
        <f>-H6225/G6225</f>
        <v/>
      </c>
      <c r="J6225" s="11" t="n">
        <v>44606</v>
      </c>
      <c r="K6225" s="6" t="n">
        <v>5</v>
      </c>
      <c r="L6225" s="6" t="n">
        <v>5416.85</v>
      </c>
      <c r="M6225" s="7">
        <f>IF(N6225=0,+L6225+H6225,0)</f>
        <v/>
      </c>
      <c r="N6225" s="7">
        <f>IF((+G6225-K6225)=0,0,+G6225-K6225)</f>
        <v/>
      </c>
      <c r="O6225" s="7">
        <f>IF(N6225=0,0,(L6225+H6225)/-N6225)</f>
        <v/>
      </c>
      <c r="P6225" s="7">
        <f>VLOOKUP(OPERAC[[#This Row],[especie]],[1]!ESPECIES[#All],6,0)</f>
        <v/>
      </c>
      <c r="Q6225" s="7">
        <f>IF(N6225&lt;&gt;0,P6225*N6225,0)</f>
        <v/>
      </c>
      <c r="R6225" s="8">
        <f>IF(Q6225&lt;&gt;0,Q6225+H6225+L6225,0)</f>
        <v/>
      </c>
      <c r="S6225" s="9">
        <f>VLOOKUP(OPERAC[[#This Row],[especie]],[1]!ESPECIES[#Data],9,FALSE)</f>
        <v/>
      </c>
    </row>
    <row r="6226">
      <c r="A6226" s="4" t="n">
        <v>10079</v>
      </c>
      <c r="B6226" s="5" t="n">
        <v>44720</v>
      </c>
      <c r="C6226" s="13" t="inlineStr">
        <is>
          <t>CPR</t>
        </is>
      </c>
      <c r="D6226" s="13" t="n">
        <v>42</v>
      </c>
      <c r="E6226" s="10">
        <f>IF(D6226&gt;0,VLOOKUP(OPERAC[[#This Row],[COD CART]],[1]!MatrizCortoLargoCyl[#All],3,0),"")</f>
        <v/>
      </c>
      <c r="F6226" s="13" t="inlineStr">
        <is>
          <t>HYDR</t>
        </is>
      </c>
      <c r="G6226" s="6" t="n">
        <v>400</v>
      </c>
      <c r="H6226" s="6" t="n">
        <v>-6051</v>
      </c>
      <c r="I6226" s="7">
        <f>-H6226/G6226</f>
        <v/>
      </c>
      <c r="J6226" s="5" t="n"/>
      <c r="K6226" s="6" t="n"/>
      <c r="L6226" s="6" t="n"/>
      <c r="M6226" s="7">
        <f>IF(N6226=0,+L6226+H6226,0)</f>
        <v/>
      </c>
      <c r="N6226" s="7">
        <f>IF((+G6226-K6226)=0,0,+G6226-K6226)</f>
        <v/>
      </c>
      <c r="O6226" s="7">
        <f>IF(N6226=0,0,(L6226+H6226)/-N6226)</f>
        <v/>
      </c>
      <c r="P6226" s="7">
        <f>VLOOKUP(OPERAC[[#This Row],[especie]],[1]!ESPECIES[#All],6,0)</f>
        <v/>
      </c>
      <c r="Q6226" s="7">
        <f>IF(N6226&lt;&gt;0,P6226*N6226,0)</f>
        <v/>
      </c>
      <c r="R6226" s="8">
        <f>IF(Q6226&lt;&gt;0,Q6226+H6226+L6226,0)</f>
        <v/>
      </c>
      <c r="S6226" s="9">
        <f>VLOOKUP(OPERAC[[#This Row],[especie]],[1]!ESPECIES[#Data],9,FALSE)</f>
        <v/>
      </c>
    </row>
    <row r="6227">
      <c r="A6227" s="4" t="n">
        <v>3835</v>
      </c>
      <c r="B6227" s="5" t="n">
        <v>44551</v>
      </c>
      <c r="C6227" s="13" t="inlineStr">
        <is>
          <t>CPR</t>
        </is>
      </c>
      <c r="D6227" s="13" t="n">
        <v>40</v>
      </c>
      <c r="E6227" s="10">
        <f>IF(D6227&gt;0,VLOOKUP(OPERAC[[#This Row],[COD CART]],[1]!MatrizCortoLargoCyl[#All],3,0),"")</f>
        <v/>
      </c>
      <c r="F6227" s="13" t="inlineStr">
        <is>
          <t>EDIT</t>
        </is>
      </c>
      <c r="G6227" s="6" t="n">
        <v>200</v>
      </c>
      <c r="H6227" s="6" t="n">
        <v>-6067.06</v>
      </c>
      <c r="I6227" s="7">
        <f>-H6227/G6227</f>
        <v/>
      </c>
      <c r="J6227" s="11" t="n">
        <v>44575</v>
      </c>
      <c r="K6227" s="6" t="n">
        <v>200</v>
      </c>
      <c r="L6227" s="6" t="n">
        <v>4244.7</v>
      </c>
      <c r="M6227" s="7">
        <f>IF(N6227=0,+L6227+H6227,0)</f>
        <v/>
      </c>
      <c r="N6227" s="7">
        <f>IF((+G6227-K6227)=0,0,+G6227-K6227)</f>
        <v/>
      </c>
      <c r="O6227" s="7">
        <f>IF(N6227=0,0,(L6227+H6227)/-N6227)</f>
        <v/>
      </c>
      <c r="P6227" s="7">
        <f>VLOOKUP(OPERAC[[#This Row],[especie]],[1]!ESPECIES[#All],6,0)</f>
        <v/>
      </c>
      <c r="Q6227" s="7">
        <f>IF(N6227&lt;&gt;0,P6227*N6227,0)</f>
        <v/>
      </c>
      <c r="R6227" s="8">
        <f>IF(Q6227&lt;&gt;0,Q6227+H6227+L6227,0)</f>
        <v/>
      </c>
      <c r="S6227" s="9">
        <f>VLOOKUP(OPERAC[[#This Row],[especie]],[1]!ESPECIES[#Data],9,FALSE)</f>
        <v/>
      </c>
    </row>
    <row r="6228">
      <c r="A6228" s="4" t="n">
        <v>3728</v>
      </c>
      <c r="B6228" s="5" t="n">
        <v>44463</v>
      </c>
      <c r="C6228" s="13" t="inlineStr">
        <is>
          <t>CPR</t>
        </is>
      </c>
      <c r="D6228" s="13" t="n">
        <v>40</v>
      </c>
      <c r="E6228" s="10">
        <f>IF(D6228&gt;0,VLOOKUP(OPERAC[[#This Row],[COD CART]],[1]!MatrizCortoLargoCyl[#All],3,0),"")</f>
        <v/>
      </c>
      <c r="F6228" s="13" t="inlineStr">
        <is>
          <t>EDIT</t>
        </is>
      </c>
      <c r="G6228" s="6" t="n">
        <v>100</v>
      </c>
      <c r="H6228" s="6" t="n">
        <v>-6114.608</v>
      </c>
      <c r="I6228" s="7">
        <f>-H6228/G6228</f>
        <v/>
      </c>
      <c r="J6228" s="11" t="n">
        <v>44606</v>
      </c>
      <c r="K6228" s="6" t="n">
        <v>100</v>
      </c>
      <c r="L6228" s="6">
        <f>+OPERAC[[#This Row],[cantidad venta]]*16.179</f>
        <v/>
      </c>
      <c r="M6228" s="7">
        <f>IF(N6228=0,+L6228+H6228,0)</f>
        <v/>
      </c>
      <c r="N6228" s="7">
        <f>IF((+G6228-K6228)=0,0,+G6228-K6228)</f>
        <v/>
      </c>
      <c r="O6228" s="7">
        <f>IF(N6228=0,0,(L6228+H6228)/-N6228)</f>
        <v/>
      </c>
      <c r="P6228" s="7">
        <f>VLOOKUP(OPERAC[[#This Row],[especie]],[1]!ESPECIES[#All],6,0)</f>
        <v/>
      </c>
      <c r="Q6228" s="7">
        <f>IF(N6228&lt;&gt;0,P6228*N6228,0)</f>
        <v/>
      </c>
      <c r="R6228" s="8">
        <f>IF(Q6228&lt;&gt;0,Q6228+H6228+L6228,0)</f>
        <v/>
      </c>
      <c r="S6228" s="9">
        <f>VLOOKUP(OPERAC[[#This Row],[especie]],[1]!ESPECIES[#Data],9,FALSE)</f>
        <v/>
      </c>
    </row>
    <row r="6229">
      <c r="A6229" s="4" t="n">
        <v>10079</v>
      </c>
      <c r="B6229" s="5" t="n">
        <v>44466</v>
      </c>
      <c r="C6229" s="13" t="inlineStr">
        <is>
          <t>CPR</t>
        </is>
      </c>
      <c r="D6229" s="13" t="n">
        <v>43</v>
      </c>
      <c r="E6229" s="10">
        <f>IF(D6229&gt;0,VLOOKUP(OPERAC[[#This Row],[COD CART]],[1]!MatrizCortoLargoCyl[#All],3,0),"")</f>
        <v/>
      </c>
      <c r="F6229" s="13" t="inlineStr">
        <is>
          <t>SOLO/CYL-PUT/4,00/16-09-22</t>
        </is>
      </c>
      <c r="G6229" s="6" t="n">
        <v>3000</v>
      </c>
      <c r="H6229" s="6">
        <f>-8922.5181+0.32*OPERAC[[#This Row],[cantidad]]+0.387*OPERAC[[#This Row],[cantidad]]+0.22*OPERAC[[#This Row],[cantidad]]</f>
        <v/>
      </c>
      <c r="I6229" s="7">
        <f>-H6229/G6229</f>
        <v/>
      </c>
      <c r="J6229" s="11" t="n"/>
      <c r="K6229" s="6" t="n"/>
      <c r="L6229" s="6" t="n"/>
      <c r="M6229" s="7">
        <f>IF(N6229=0,+L6229+H6229,0)</f>
        <v/>
      </c>
      <c r="N6229" s="7">
        <f>IF((+G6229-K6229)=0,0,+G6229-K6229)</f>
        <v/>
      </c>
      <c r="O6229" s="7">
        <f>IF(N6229=0,0,(L6229+H6229)/-N6229)</f>
        <v/>
      </c>
      <c r="P6229" s="7">
        <f>VLOOKUP(OPERAC[[#This Row],[especie]],[1]!ESPECIES[#All],6,0)</f>
        <v/>
      </c>
      <c r="Q6229" s="7">
        <f>IF(N6229&lt;&gt;0,P6229*N6229,0)</f>
        <v/>
      </c>
      <c r="R6229" s="8">
        <f>IF(Q6229&lt;&gt;0,Q6229+H6229+L6229,0)</f>
        <v/>
      </c>
      <c r="S6229" s="9">
        <f>VLOOKUP(OPERAC[[#This Row],[especie]],[1]!ESPECIES[#Data],9,FALSE)</f>
        <v/>
      </c>
    </row>
    <row r="6230">
      <c r="A6230" s="4" t="n">
        <v>18668</v>
      </c>
      <c r="B6230" s="5" t="n">
        <v>44533</v>
      </c>
      <c r="C6230" s="13" t="inlineStr">
        <is>
          <t>CPR</t>
        </is>
      </c>
      <c r="D6230" s="13" t="n">
        <v>41</v>
      </c>
      <c r="E6230" s="10">
        <f>IF(D6230&gt;0,VLOOKUP(OPERAC[[#This Row],[COD CART]],[1]!MatrizCortoLargoCyl[#All],3,0),"")</f>
        <v/>
      </c>
      <c r="F6230" s="13" t="inlineStr">
        <is>
          <t>SCO</t>
        </is>
      </c>
      <c r="G6230" s="6" t="n">
        <v>73</v>
      </c>
      <c r="H6230" s="6" t="n">
        <v>-6159.51</v>
      </c>
      <c r="I6230" s="7">
        <f>-H6230/G6230</f>
        <v/>
      </c>
      <c r="J6230" s="11" t="n"/>
      <c r="K6230" s="6" t="n"/>
      <c r="L6230" s="6" t="n"/>
      <c r="M6230" s="7">
        <f>IF(N6230=0,+L6230+H6230,0)</f>
        <v/>
      </c>
      <c r="N6230" s="7">
        <f>IF((+G6230-K6230)=0,0,+G6230-K6230)</f>
        <v/>
      </c>
      <c r="O6230" s="7">
        <f>IF(N6230=0,0,(L6230+H6230)/-N6230)</f>
        <v/>
      </c>
      <c r="P6230" s="7">
        <f>VLOOKUP(OPERAC[[#This Row],[especie]],[1]!ESPECIES[#All],6,0)</f>
        <v/>
      </c>
      <c r="Q6230" s="7">
        <f>IF(N6230&lt;&gt;0,P6230*N6230,0)</f>
        <v/>
      </c>
      <c r="R6230" s="8">
        <f>IF(Q6230&lt;&gt;0,Q6230+H6230+L6230,0)</f>
        <v/>
      </c>
      <c r="S6230" s="9">
        <f>VLOOKUP(OPERAC[[#This Row],[especie]],[1]!ESPECIES[#Data],9,FALSE)</f>
        <v/>
      </c>
    </row>
    <row r="6231">
      <c r="A6231" s="4" t="n">
        <v>2218</v>
      </c>
      <c r="B6231" s="5" t="n">
        <v>44664</v>
      </c>
      <c r="C6231" s="13" t="inlineStr">
        <is>
          <t>CPR</t>
        </is>
      </c>
      <c r="D6231" s="13" t="n">
        <v>42</v>
      </c>
      <c r="E6231" s="10">
        <f>IF(D6231&gt;0,VLOOKUP(OPERAC[[#This Row],[COD CART]],[1]!MatrizCortoLargoCyl[#All],3,0),"")</f>
        <v/>
      </c>
      <c r="F6231" s="13" t="inlineStr">
        <is>
          <t>PSQ</t>
        </is>
      </c>
      <c r="G6231" s="6" t="n">
        <v>500</v>
      </c>
      <c r="H6231" s="6" t="n">
        <v>-6170.056893</v>
      </c>
      <c r="I6231" s="7">
        <f>-H6231/G6231</f>
        <v/>
      </c>
      <c r="J6231" s="11" t="n">
        <v>44680</v>
      </c>
      <c r="K6231" s="6">
        <f>+OPERAC[[#This Row],[cantidad]]</f>
        <v/>
      </c>
      <c r="L6231" s="6">
        <f>12.848*OPERAC[[#This Row],[cantidad venta]]</f>
        <v/>
      </c>
      <c r="M6231" s="7">
        <f>IF(N6231=0,+L6231+H6231,0)</f>
        <v/>
      </c>
      <c r="N6231" s="7">
        <f>IF((+G6231-K6231)=0,0,+G6231-K6231)</f>
        <v/>
      </c>
      <c r="O6231" s="7">
        <f>IF(N6231=0,0,(L6231+H6231)/-N6231)</f>
        <v/>
      </c>
      <c r="P6231" s="7">
        <f>VLOOKUP(OPERAC[[#This Row],[especie]],[1]!ESPECIES[#All],6,0)</f>
        <v/>
      </c>
      <c r="Q6231" s="7">
        <f>IF(N6231&lt;&gt;0,P6231*N6231,0)</f>
        <v/>
      </c>
      <c r="R6231" s="8">
        <f>IF(Q6231&lt;&gt;0,Q6231+H6231+L6231,0)</f>
        <v/>
      </c>
      <c r="S6231" s="9">
        <f>VLOOKUP(OPERAC[[#This Row],[especie]],[1]!ESPECIES[#Data],9,FALSE)</f>
        <v/>
      </c>
    </row>
    <row r="6232">
      <c r="A6232" s="4" t="n">
        <v>3728</v>
      </c>
      <c r="B6232" s="5" t="n">
        <v>44453</v>
      </c>
      <c r="C6232" s="13" t="inlineStr">
        <is>
          <t>CPR</t>
        </is>
      </c>
      <c r="D6232" s="13" t="n">
        <v>40</v>
      </c>
      <c r="E6232" s="10">
        <f>IF(D6232&gt;0,VLOOKUP(OPERAC[[#This Row],[COD CART]],[1]!MatrizCortoLargoCyl[#All],3,0),"")</f>
        <v/>
      </c>
      <c r="F6232" s="13" t="inlineStr">
        <is>
          <t>EDIT</t>
        </is>
      </c>
      <c r="G6232" s="6" t="n">
        <v>100</v>
      </c>
      <c r="H6232" s="6" t="n">
        <v>-6214.708</v>
      </c>
      <c r="I6232" s="7">
        <f>-H6232/G6232</f>
        <v/>
      </c>
      <c r="J6232" s="11" t="n">
        <v>44606</v>
      </c>
      <c r="K6232" s="6" t="n">
        <v>100</v>
      </c>
      <c r="L6232" s="6">
        <f>+OPERAC[[#This Row],[cantidad venta]]*16.179</f>
        <v/>
      </c>
      <c r="M6232" s="7">
        <f>IF(N6232=0,+L6232+H6232,0)</f>
        <v/>
      </c>
      <c r="N6232" s="7">
        <f>IF((+G6232-K6232)=0,0,+G6232-K6232)</f>
        <v/>
      </c>
      <c r="O6232" s="7">
        <f>IF(N6232=0,0,(L6232+H6232)/-N6232)</f>
        <v/>
      </c>
      <c r="P6232" s="7">
        <f>VLOOKUP(OPERAC[[#This Row],[especie]],[1]!ESPECIES[#All],6,0)</f>
        <v/>
      </c>
      <c r="Q6232" s="7">
        <f>IF(N6232&lt;&gt;0,P6232*N6232,0)</f>
        <v/>
      </c>
      <c r="R6232" s="8">
        <f>IF(Q6232&lt;&gt;0,Q6232+H6232+L6232,0)</f>
        <v/>
      </c>
      <c r="S6232" s="9">
        <f>VLOOKUP(OPERAC[[#This Row],[especie]],[1]!ESPECIES[#Data],9,FALSE)</f>
        <v/>
      </c>
    </row>
    <row r="6233">
      <c r="A6233" s="4" t="n">
        <v>13180</v>
      </c>
      <c r="B6233" s="5" t="n">
        <v>44664</v>
      </c>
      <c r="C6233" s="13" t="inlineStr">
        <is>
          <t>CPR</t>
        </is>
      </c>
      <c r="D6233" s="13" t="n">
        <v>42</v>
      </c>
      <c r="E6233" s="10">
        <f>IF(D6233&gt;0,VLOOKUP(OPERAC[[#This Row],[COD CART]],[1]!MatrizCortoLargoCyl[#All],3,0),"")</f>
        <v/>
      </c>
      <c r="F6233" s="13" t="inlineStr">
        <is>
          <t>PSQ</t>
        </is>
      </c>
      <c r="G6233" s="6" t="n">
        <v>500</v>
      </c>
      <c r="H6233" s="6" t="n">
        <v>-6216.2860905</v>
      </c>
      <c r="I6233" s="7">
        <f>-H6233/G6233</f>
        <v/>
      </c>
      <c r="J6233" s="11" t="n">
        <v>44680</v>
      </c>
      <c r="K6233" s="6">
        <f>+OPERAC[[#This Row],[cantidad]]</f>
        <v/>
      </c>
      <c r="L6233" s="6">
        <f>12.848*OPERAC[[#This Row],[cantidad venta]]</f>
        <v/>
      </c>
      <c r="M6233" s="7">
        <f>IF(N6233=0,+L6233+H6233,0)</f>
        <v/>
      </c>
      <c r="N6233" s="7">
        <f>IF((+G6233-K6233)=0,0,+G6233-K6233)</f>
        <v/>
      </c>
      <c r="O6233" s="7">
        <f>IF(N6233=0,0,(L6233+H6233)/-N6233)</f>
        <v/>
      </c>
      <c r="P6233" s="7">
        <f>VLOOKUP(OPERAC[[#This Row],[especie]],[1]!ESPECIES[#All],6,0)</f>
        <v/>
      </c>
      <c r="Q6233" s="7">
        <f>IF(N6233&lt;&gt;0,P6233*N6233,0)</f>
        <v/>
      </c>
      <c r="R6233" s="8">
        <f>IF(Q6233&lt;&gt;0,Q6233+H6233+L6233,0)</f>
        <v/>
      </c>
      <c r="S6233" s="9">
        <f>VLOOKUP(OPERAC[[#This Row],[especie]],[1]!ESPECIES[#Data],9,FALSE)</f>
        <v/>
      </c>
    </row>
    <row r="6234">
      <c r="A6234" s="4" t="n">
        <v>13185</v>
      </c>
      <c r="B6234" s="5" t="n">
        <v>44664</v>
      </c>
      <c r="C6234" s="13" t="inlineStr">
        <is>
          <t>CPR</t>
        </is>
      </c>
      <c r="D6234" s="13" t="n">
        <v>42</v>
      </c>
      <c r="E6234" s="10">
        <f>IF(D6234&gt;0,VLOOKUP(OPERAC[[#This Row],[COD CART]],[1]!MatrizCortoLargoCyl[#All],3,0),"")</f>
        <v/>
      </c>
      <c r="F6234" s="13" t="inlineStr">
        <is>
          <t>PSQ</t>
        </is>
      </c>
      <c r="G6234" s="6" t="n">
        <v>500</v>
      </c>
      <c r="H6234" s="6" t="n">
        <v>-6216.2860905</v>
      </c>
      <c r="I6234" s="7">
        <f>-H6234/G6234</f>
        <v/>
      </c>
      <c r="J6234" s="11" t="n">
        <v>44669</v>
      </c>
      <c r="K6234" s="6" t="n">
        <v>500</v>
      </c>
      <c r="L6234" s="6" t="n">
        <v>6124.991</v>
      </c>
      <c r="M6234" s="7">
        <f>IF(N6234=0,+L6234+H6234,0)</f>
        <v/>
      </c>
      <c r="N6234" s="7">
        <f>IF((+G6234-K6234)=0,0,+G6234-K6234)</f>
        <v/>
      </c>
      <c r="O6234" s="7">
        <f>IF(N6234=0,0,(L6234+H6234)/-N6234)</f>
        <v/>
      </c>
      <c r="P6234" s="7">
        <f>VLOOKUP(OPERAC[[#This Row],[especie]],[1]!ESPECIES[#All],6,0)</f>
        <v/>
      </c>
      <c r="Q6234" s="7">
        <f>IF(N6234&lt;&gt;0,P6234*N6234,0)</f>
        <v/>
      </c>
      <c r="R6234" s="8">
        <f>IF(Q6234&lt;&gt;0,Q6234+H6234+L6234,0)</f>
        <v/>
      </c>
      <c r="S6234" s="9">
        <f>VLOOKUP(OPERAC[[#This Row],[especie]],[1]!ESPECIES[#Data],9,FALSE)</f>
        <v/>
      </c>
    </row>
    <row r="6235">
      <c r="A6235" s="4" t="n">
        <v>15189</v>
      </c>
      <c r="B6235" s="5" t="n">
        <v>44718</v>
      </c>
      <c r="C6235" s="13" t="inlineStr">
        <is>
          <t>CPR</t>
        </is>
      </c>
      <c r="D6235" s="13" t="n">
        <v>42</v>
      </c>
      <c r="E6235" s="10">
        <f>IF(D6235&gt;0,VLOOKUP(OPERAC[[#This Row],[COD CART]],[1]!MatrizCortoLargoCyl[#All],3,0),"")</f>
        <v/>
      </c>
      <c r="F6235" s="13" t="inlineStr">
        <is>
          <t>KWEB</t>
        </is>
      </c>
      <c r="G6235" s="6" t="n">
        <v>200</v>
      </c>
      <c r="H6235" s="6" t="n">
        <v>-6216.6776</v>
      </c>
      <c r="I6235" s="7">
        <f>-H6235/G6235</f>
        <v/>
      </c>
      <c r="J6235" s="5" t="n"/>
      <c r="K6235" s="6" t="n"/>
      <c r="L6235" s="6" t="n"/>
      <c r="M6235" s="7">
        <f>IF(N6235=0,+L6235+H6235,0)</f>
        <v/>
      </c>
      <c r="N6235" s="7">
        <f>IF((+G6235-K6235)=0,0,+G6235-K6235)</f>
        <v/>
      </c>
      <c r="O6235" s="7">
        <f>IF(N6235=0,0,(L6235+H6235)/-N6235)</f>
        <v/>
      </c>
      <c r="P6235" s="7">
        <f>VLOOKUP(OPERAC[[#This Row],[especie]],[1]!ESPECIES[#All],6,0)</f>
        <v/>
      </c>
      <c r="Q6235" s="7">
        <f>IF(N6235&lt;&gt;0,P6235*N6235,0)</f>
        <v/>
      </c>
      <c r="R6235" s="8">
        <f>IF(Q6235&lt;&gt;0,Q6235+H6235+L6235,0)</f>
        <v/>
      </c>
      <c r="S6235" s="9">
        <f>VLOOKUP(OPERAC[[#This Row],[especie]],[1]!ESPECIES[#Data],9,FALSE)</f>
        <v/>
      </c>
    </row>
    <row r="6236">
      <c r="A6236" s="4" t="n">
        <v>18651</v>
      </c>
      <c r="B6236" s="5" t="n">
        <v>44718</v>
      </c>
      <c r="C6236" s="13" t="inlineStr">
        <is>
          <t>CPR</t>
        </is>
      </c>
      <c r="D6236" s="13" t="n">
        <v>42</v>
      </c>
      <c r="E6236" s="10">
        <f>IF(D6236&gt;0,VLOOKUP(OPERAC[[#This Row],[COD CART]],[1]!MatrizCortoLargoCyl[#All],3,0),"")</f>
        <v/>
      </c>
      <c r="F6236" s="13" t="inlineStr">
        <is>
          <t>KWEB</t>
        </is>
      </c>
      <c r="G6236" s="6" t="n">
        <v>200</v>
      </c>
      <c r="H6236" s="6" t="n">
        <v>-6216.6776</v>
      </c>
      <c r="I6236" s="7">
        <f>-H6236/G6236</f>
        <v/>
      </c>
      <c r="J6236" s="5" t="n"/>
      <c r="K6236" s="6" t="n"/>
      <c r="L6236" s="6" t="n"/>
      <c r="M6236" s="7">
        <f>IF(N6236=0,+L6236+H6236,0)</f>
        <v/>
      </c>
      <c r="N6236" s="7">
        <f>IF((+G6236-K6236)=0,0,+G6236-K6236)</f>
        <v/>
      </c>
      <c r="O6236" s="7">
        <f>IF(N6236=0,0,(L6236+H6236)/-N6236)</f>
        <v/>
      </c>
      <c r="P6236" s="7">
        <f>VLOOKUP(OPERAC[[#This Row],[especie]],[1]!ESPECIES[#All],6,0)</f>
        <v/>
      </c>
      <c r="Q6236" s="7">
        <f>IF(N6236&lt;&gt;0,P6236*N6236,0)</f>
        <v/>
      </c>
      <c r="R6236" s="8">
        <f>IF(Q6236&lt;&gt;0,Q6236+H6236+L6236,0)</f>
        <v/>
      </c>
      <c r="S6236" s="9">
        <f>VLOOKUP(OPERAC[[#This Row],[especie]],[1]!ESPECIES[#Data],9,FALSE)</f>
        <v/>
      </c>
    </row>
    <row r="6237">
      <c r="A6237" s="4" t="n">
        <v>19920</v>
      </c>
      <c r="B6237" s="5" t="n">
        <v>44615</v>
      </c>
      <c r="C6237" s="13" t="inlineStr">
        <is>
          <t>CPR</t>
        </is>
      </c>
      <c r="D6237" s="13" t="n">
        <v>32</v>
      </c>
      <c r="E6237" s="10">
        <f>IF(D6237&gt;0,VLOOKUP(OPERAC[[#This Row],[COD CART]],[1]!MatrizCortoLargoCyl[#All],3,0),"")</f>
        <v/>
      </c>
      <c r="F6237" s="13" t="inlineStr">
        <is>
          <t>ARKK/CYL/85,00/15-07-22</t>
        </is>
      </c>
      <c r="G6237" s="6" t="n">
        <v>100</v>
      </c>
      <c r="H6237" s="6">
        <f>-6229.518+3.966</f>
        <v/>
      </c>
      <c r="I6237" s="7">
        <f>-H6237/G6237</f>
        <v/>
      </c>
      <c r="J6237" s="11" t="n"/>
      <c r="K6237" s="6" t="n"/>
      <c r="L6237" s="6" t="n"/>
      <c r="M6237" s="7">
        <f>IF(N6237=0,+L6237+H6237,0)</f>
        <v/>
      </c>
      <c r="N6237" s="7">
        <f>IF((+G6237-K6237)=0,0,+G6237-K6237)</f>
        <v/>
      </c>
      <c r="O6237" s="7">
        <f>IF(N6237=0,0,(L6237+H6237)/-N6237)</f>
        <v/>
      </c>
      <c r="P6237" s="7">
        <f>VLOOKUP(OPERAC[[#This Row],[especie]],[1]!ESPECIES[#All],6,0)</f>
        <v/>
      </c>
      <c r="Q6237" s="7">
        <f>IF(N6237&lt;&gt;0,P6237*N6237,0)</f>
        <v/>
      </c>
      <c r="R6237" s="8">
        <f>IF(Q6237&lt;&gt;0,Q6237+H6237+L6237,0)</f>
        <v/>
      </c>
      <c r="S6237" s="9">
        <f>VLOOKUP(OPERAC[[#This Row],[especie]],[1]!ESPECIES[#Data],9,FALSE)</f>
        <v/>
      </c>
    </row>
    <row r="6238">
      <c r="A6238" s="4" t="n">
        <v>3728</v>
      </c>
      <c r="B6238" s="5" t="n">
        <v>44637</v>
      </c>
      <c r="C6238" s="13" t="inlineStr">
        <is>
          <t>CPR</t>
        </is>
      </c>
      <c r="D6238" s="13" t="n">
        <v>31</v>
      </c>
      <c r="E6238" s="10">
        <f>IF(D6238&gt;0,VLOOKUP(OPERAC[[#This Row],[COD CART]],[1]!MatrizCortoLargoCyl[#All],3,0),"")</f>
        <v/>
      </c>
      <c r="F6238" s="13" t="inlineStr">
        <is>
          <t>AMZN</t>
        </is>
      </c>
      <c r="G6238" s="6" t="n">
        <v>2</v>
      </c>
      <c r="H6238" s="6" t="n">
        <v>-6272.7655</v>
      </c>
      <c r="I6238" s="7">
        <f>-H6238/G6238</f>
        <v/>
      </c>
      <c r="J6238" s="11" t="n">
        <v>44693</v>
      </c>
      <c r="K6238" s="6" t="n">
        <v>2</v>
      </c>
      <c r="L6238" s="6" t="n">
        <v>4259.336</v>
      </c>
      <c r="M6238" s="7">
        <f>IF(N6238=0,+L6238+H6238,0)</f>
        <v/>
      </c>
      <c r="N6238" s="7">
        <f>IF((+G6238-K6238)=0,0,+G6238-K6238)</f>
        <v/>
      </c>
      <c r="O6238" s="7">
        <f>IF(N6238=0,0,(L6238+H6238)/-N6238)</f>
        <v/>
      </c>
      <c r="P6238" s="7">
        <f>VLOOKUP(OPERAC[[#This Row],[especie]],[1]!ESPECIES[#All],6,0)</f>
        <v/>
      </c>
      <c r="Q6238" s="7">
        <f>IF(N6238&lt;&gt;0,P6238*N6238,0)</f>
        <v/>
      </c>
      <c r="R6238" s="8">
        <f>IF(Q6238&lt;&gt;0,Q6238+H6238+L6238,0)</f>
        <v/>
      </c>
      <c r="S6238" s="9">
        <f>VLOOKUP(OPERAC[[#This Row],[especie]],[1]!ESPECIES[#Data],9,FALSE)</f>
        <v/>
      </c>
    </row>
    <row r="6239">
      <c r="A6239" s="4" t="n">
        <v>3728</v>
      </c>
      <c r="B6239" s="5" t="n">
        <v>44652</v>
      </c>
      <c r="C6239" s="13" t="inlineStr">
        <is>
          <t>CPR</t>
        </is>
      </c>
      <c r="D6239" s="13" t="n">
        <v>42</v>
      </c>
      <c r="E6239" s="10">
        <f>IF(D6239&gt;0,VLOOKUP(OPERAC[[#This Row],[COD CART]],[1]!MatrizCortoLargoCyl[#All],3,0),"")</f>
        <v/>
      </c>
      <c r="F6239" s="13" t="inlineStr">
        <is>
          <t>GBTC</t>
        </is>
      </c>
      <c r="G6239" s="6" t="n">
        <v>200</v>
      </c>
      <c r="H6239" s="6" t="n">
        <v>-6377.37</v>
      </c>
      <c r="I6239" s="7">
        <f>-H6239/G6239</f>
        <v/>
      </c>
      <c r="J6239" s="11" t="n">
        <v>44662</v>
      </c>
      <c r="K6239" s="6">
        <f>+OPERAC[[#This Row],[cantidad]]</f>
        <v/>
      </c>
      <c r="L6239" s="6">
        <f>27.99*OPERAC[[#This Row],[cantidad venta]]</f>
        <v/>
      </c>
      <c r="M6239" s="7">
        <f>IF(N6239=0,+L6239+H6239,0)</f>
        <v/>
      </c>
      <c r="N6239" s="7">
        <f>IF((+G6239-K6239)=0,0,+G6239-K6239)</f>
        <v/>
      </c>
      <c r="O6239" s="7">
        <f>IF(N6239=0,0,(L6239+H6239)/-N6239)</f>
        <v/>
      </c>
      <c r="P6239" s="7">
        <f>VLOOKUP(OPERAC[[#This Row],[especie]],[1]!ESPECIES[#All],6,0)</f>
        <v/>
      </c>
      <c r="Q6239" s="7">
        <f>IF(N6239&lt;&gt;0,P6239*N6239,0)</f>
        <v/>
      </c>
      <c r="R6239" s="8">
        <f>IF(Q6239&lt;&gt;0,Q6239+H6239+L6239,0)</f>
        <v/>
      </c>
      <c r="S6239" s="9">
        <f>VLOOKUP(OPERAC[[#This Row],[especie]],[1]!ESPECIES[#Data],9,FALSE)</f>
        <v/>
      </c>
    </row>
    <row r="6240">
      <c r="A6240" s="4" t="n">
        <v>16776</v>
      </c>
      <c r="B6240" s="5" t="n">
        <v>44053</v>
      </c>
      <c r="C6240" s="13" t="inlineStr">
        <is>
          <t>CPR</t>
        </is>
      </c>
      <c r="D6240" s="13" t="n">
        <v>41</v>
      </c>
      <c r="E6240" s="10">
        <f>IF(D6240&gt;0,VLOOKUP(OPERAC[[#This Row],[COD CART]],[1]!MatrizCortoLargoCyl[#All],3,0),"")</f>
        <v/>
      </c>
      <c r="F6240" s="13" t="inlineStr">
        <is>
          <t>SUPV</t>
        </is>
      </c>
      <c r="G6240" s="6" t="n">
        <v>2200</v>
      </c>
      <c r="H6240" s="6" t="n">
        <v>-6416.52</v>
      </c>
      <c r="I6240" s="7" t="n">
        <v>2.9166</v>
      </c>
      <c r="J6240" s="5" t="n"/>
      <c r="K6240" s="6" t="n"/>
      <c r="L6240" s="6" t="n"/>
      <c r="M6240" s="7">
        <f>IF(N6240=0,+L6240+H6240,0)</f>
        <v/>
      </c>
      <c r="N6240" s="7">
        <f>IF((+G6240-K6240)=0,0,+G6240-K6240)</f>
        <v/>
      </c>
      <c r="O6240" s="7">
        <f>IF(N6240=0,0,(L6240+H6240)/-N6240)</f>
        <v/>
      </c>
      <c r="P6240" s="7">
        <f>VLOOKUP(OPERAC[[#This Row],[especie]],[1]!ESPECIES[#All],6,0)</f>
        <v/>
      </c>
      <c r="Q6240" s="7">
        <f>IF(N6240&lt;&gt;0,P6240*N6240,0)</f>
        <v/>
      </c>
      <c r="R6240" s="8">
        <f>IF(Q6240&lt;&gt;0,Q6240+H6240+L6240,0)</f>
        <v/>
      </c>
      <c r="S6240" s="9">
        <f>VLOOKUP(OPERAC[[#This Row],[especie]],[1]!ESPECIES[#Data],9,FALSE)</f>
        <v/>
      </c>
    </row>
    <row r="6241">
      <c r="A6241" s="4" t="n">
        <v>3728</v>
      </c>
      <c r="B6241" s="5" t="n">
        <v>44539</v>
      </c>
      <c r="C6241" s="13" t="inlineStr">
        <is>
          <t>CPR</t>
        </is>
      </c>
      <c r="D6241" s="13" t="n">
        <v>40</v>
      </c>
      <c r="E6241" s="10">
        <f>IF(D6241&gt;0,VLOOKUP(OPERAC[[#This Row],[COD CART]],[1]!MatrizCortoLargoCyl[#All],3,0),"")</f>
        <v/>
      </c>
      <c r="F6241" s="13" t="inlineStr">
        <is>
          <t>ROKU</t>
        </is>
      </c>
      <c r="G6241" s="6" t="n">
        <v>25</v>
      </c>
      <c r="H6241" s="6" t="n">
        <v>-6443.009</v>
      </c>
      <c r="I6241" s="7">
        <f>-H6241/G6241</f>
        <v/>
      </c>
      <c r="J6241" s="11" t="n">
        <v>44606</v>
      </c>
      <c r="K6241" s="6" t="n">
        <v>25</v>
      </c>
      <c r="L6241" s="6" t="n">
        <v>4050.846</v>
      </c>
      <c r="M6241" s="7">
        <f>IF(N6241=0,+L6241+H6241,0)</f>
        <v/>
      </c>
      <c r="N6241" s="7">
        <f>IF((+G6241-K6241)=0,0,+G6241-K6241)</f>
        <v/>
      </c>
      <c r="O6241" s="7">
        <f>IF(N6241=0,0,(L6241+H6241)/-N6241)</f>
        <v/>
      </c>
      <c r="P6241" s="7">
        <f>VLOOKUP(OPERAC[[#This Row],[especie]],[1]!ESPECIES[#All],6,0)</f>
        <v/>
      </c>
      <c r="Q6241" s="7">
        <f>IF(N6241&lt;&gt;0,P6241*N6241,0)</f>
        <v/>
      </c>
      <c r="R6241" s="8">
        <f>IF(Q6241&lt;&gt;0,Q6241+H6241+L6241,0)</f>
        <v/>
      </c>
      <c r="S6241" s="9">
        <f>VLOOKUP(OPERAC[[#This Row],[especie]],[1]!ESPECIES[#Data],9,FALSE)</f>
        <v/>
      </c>
    </row>
    <row r="6242">
      <c r="A6242" s="4" t="n">
        <v>2218</v>
      </c>
      <c r="B6242" s="5" t="n">
        <v>44539</v>
      </c>
      <c r="C6242" s="13" t="inlineStr">
        <is>
          <t>CPR</t>
        </is>
      </c>
      <c r="D6242" s="13" t="n">
        <v>40</v>
      </c>
      <c r="E6242" s="10">
        <f>IF(D6242&gt;0,VLOOKUP(OPERAC[[#This Row],[COD CART]],[1]!MatrizCortoLargoCyl[#All],3,0),"")</f>
        <v/>
      </c>
      <c r="F6242" s="13" t="inlineStr">
        <is>
          <t>ROKU</t>
        </is>
      </c>
      <c r="G6242" s="6" t="n">
        <v>25</v>
      </c>
      <c r="H6242" s="6" t="n">
        <v>-6443.009</v>
      </c>
      <c r="I6242" s="7">
        <f>-H6242/G6242</f>
        <v/>
      </c>
      <c r="J6242" s="11" t="n">
        <v>44606</v>
      </c>
      <c r="K6242" s="6" t="n">
        <v>25</v>
      </c>
      <c r="L6242" s="6" t="n">
        <v>4050.846</v>
      </c>
      <c r="M6242" s="7">
        <f>IF(N6242=0,+L6242+H6242,0)</f>
        <v/>
      </c>
      <c r="N6242" s="7">
        <f>IF((+G6242-K6242)=0,0,+G6242-K6242)</f>
        <v/>
      </c>
      <c r="O6242" s="7">
        <f>IF(N6242=0,0,(L6242+H6242)/-N6242)</f>
        <v/>
      </c>
      <c r="P6242" s="7">
        <f>VLOOKUP(OPERAC[[#This Row],[especie]],[1]!ESPECIES[#All],6,0)</f>
        <v/>
      </c>
      <c r="Q6242" s="7">
        <f>IF(N6242&lt;&gt;0,P6242*N6242,0)</f>
        <v/>
      </c>
      <c r="R6242" s="8">
        <f>IF(Q6242&lt;&gt;0,Q6242+H6242+L6242,0)</f>
        <v/>
      </c>
      <c r="S6242" s="9">
        <f>VLOOKUP(OPERAC[[#This Row],[especie]],[1]!ESPECIES[#Data],9,FALSE)</f>
        <v/>
      </c>
    </row>
    <row r="6243">
      <c r="A6243" s="4" t="n">
        <v>7939</v>
      </c>
      <c r="B6243" s="5" t="n">
        <v>44705</v>
      </c>
      <c r="C6243" s="13" t="inlineStr">
        <is>
          <t>CPR</t>
        </is>
      </c>
      <c r="D6243" s="13" t="n">
        <v>41</v>
      </c>
      <c r="E6243" s="10">
        <f>IF(D6243&gt;0,VLOOKUP(OPERAC[[#This Row],[COD CART]],[1]!MatrizCortoLargoCyl[#All],3,0),"")</f>
        <v/>
      </c>
      <c r="F6243" s="13" t="inlineStr">
        <is>
          <t>HEXO</t>
        </is>
      </c>
      <c r="G6243" s="6" t="n">
        <v>25000</v>
      </c>
      <c r="H6243" s="6" t="n">
        <v>-6470.625</v>
      </c>
      <c r="I6243" s="7">
        <f>-H6243/G6243</f>
        <v/>
      </c>
      <c r="J6243" s="5" t="n"/>
      <c r="K6243" s="6" t="n"/>
      <c r="L6243" s="6" t="n"/>
      <c r="M6243" s="7">
        <f>IF(N6243=0,+L6243+H6243,0)</f>
        <v/>
      </c>
      <c r="N6243" s="7">
        <f>IF((+G6243-K6243)=0,0,+G6243-K6243)</f>
        <v/>
      </c>
      <c r="O6243" s="7" t="n">
        <v>0.5853</v>
      </c>
      <c r="P6243" s="7">
        <f>VLOOKUP(OPERAC[[#This Row],[especie]],[1]!ESPECIES[#All],6,0)</f>
        <v/>
      </c>
      <c r="Q6243" s="7">
        <f>IF(N6243&lt;&gt;0,P6243*N6243,0)</f>
        <v/>
      </c>
      <c r="R6243" s="8">
        <f>IF(Q6243&lt;&gt;0,Q6243+H6243+L6243,0)</f>
        <v/>
      </c>
      <c r="S6243" s="9">
        <f>VLOOKUP(OPERAC[[#This Row],[especie]],[1]!ESPECIES[#Data],9,FALSE)</f>
        <v/>
      </c>
    </row>
    <row r="6244">
      <c r="A6244" s="4" t="n">
        <v>2218</v>
      </c>
      <c r="B6244" s="5" t="n">
        <v>44680</v>
      </c>
      <c r="C6244" s="13" t="inlineStr">
        <is>
          <t>CPR</t>
        </is>
      </c>
      <c r="D6244" s="13" t="n">
        <v>42</v>
      </c>
      <c r="E6244" s="10">
        <f>IF(D6244&gt;0,VLOOKUP(OPERAC[[#This Row],[COD CART]],[1]!MatrizCortoLargoCyl[#All],3,0),"")</f>
        <v/>
      </c>
      <c r="F6244" s="14" t="inlineStr">
        <is>
          <t>XLP</t>
        </is>
      </c>
      <c r="G6244" s="6" t="n">
        <v>83</v>
      </c>
      <c r="H6244" s="6" t="n">
        <v>-6544.032494999999</v>
      </c>
      <c r="I6244" s="7">
        <f>-H6244/G6244</f>
        <v/>
      </c>
      <c r="J6244" s="11" t="n">
        <v>44690</v>
      </c>
      <c r="K6244" s="6" t="n">
        <v>83</v>
      </c>
      <c r="L6244" s="6" t="n">
        <v>6347.71</v>
      </c>
      <c r="M6244" s="7">
        <f>IF(N6244=0,+L6244+H6244,0)</f>
        <v/>
      </c>
      <c r="N6244" s="7">
        <f>IF((+G6244-K6244)=0,0,+G6244-K6244)</f>
        <v/>
      </c>
      <c r="O6244" s="7">
        <f>IF(N6244=0,0,(L6244+H6244)/-N6244)</f>
        <v/>
      </c>
      <c r="P6244" s="7">
        <f>VLOOKUP(OPERAC[[#This Row],[especie]],[1]!ESPECIES[#All],6,0)</f>
        <v/>
      </c>
      <c r="Q6244" s="7">
        <f>IF(N6244&lt;&gt;0,P6244*N6244,0)</f>
        <v/>
      </c>
      <c r="R6244" s="8">
        <f>IF(Q6244&lt;&gt;0,Q6244+H6244+L6244,0)</f>
        <v/>
      </c>
      <c r="S6244" s="9">
        <f>VLOOKUP(OPERAC[[#This Row],[especie]],[1]!ESPECIES[#Data],9,FALSE)</f>
        <v/>
      </c>
    </row>
    <row r="6245">
      <c r="A6245" s="4" t="n">
        <v>3728</v>
      </c>
      <c r="B6245" s="5" t="n">
        <v>44680</v>
      </c>
      <c r="C6245" s="13" t="inlineStr">
        <is>
          <t>CPR</t>
        </is>
      </c>
      <c r="D6245" s="13" t="n">
        <v>42</v>
      </c>
      <c r="E6245" s="10">
        <f>IF(D6245&gt;0,VLOOKUP(OPERAC[[#This Row],[COD CART]],[1]!MatrizCortoLargoCyl[#All],3,0),"")</f>
        <v/>
      </c>
      <c r="F6245" s="14" t="inlineStr">
        <is>
          <t>XLP</t>
        </is>
      </c>
      <c r="G6245" s="6" t="n">
        <v>83</v>
      </c>
      <c r="H6245" s="6" t="n">
        <v>-6544.032494999999</v>
      </c>
      <c r="I6245" s="7">
        <f>-H6245/G6245</f>
        <v/>
      </c>
      <c r="J6245" s="11" t="n">
        <v>44690</v>
      </c>
      <c r="K6245" s="6" t="n">
        <v>83</v>
      </c>
      <c r="L6245" s="6" t="n">
        <v>6351.857</v>
      </c>
      <c r="M6245" s="7">
        <f>IF(N6245=0,+L6245+H6245,0)</f>
        <v/>
      </c>
      <c r="N6245" s="7">
        <f>IF((+G6245-K6245)=0,0,+G6245-K6245)</f>
        <v/>
      </c>
      <c r="O6245" s="7">
        <f>IF(N6245=0,0,(L6245+H6245)/-N6245)</f>
        <v/>
      </c>
      <c r="P6245" s="7">
        <f>VLOOKUP(OPERAC[[#This Row],[especie]],[1]!ESPECIES[#All],6,0)</f>
        <v/>
      </c>
      <c r="Q6245" s="7">
        <f>IF(N6245&lt;&gt;0,P6245*N6245,0)</f>
        <v/>
      </c>
      <c r="R6245" s="8">
        <f>IF(Q6245&lt;&gt;0,Q6245+H6245+L6245,0)</f>
        <v/>
      </c>
      <c r="S6245" s="9">
        <f>VLOOKUP(OPERAC[[#This Row],[especie]],[1]!ESPECIES[#Data],9,FALSE)</f>
        <v/>
      </c>
    </row>
    <row r="6246">
      <c r="A6246" s="4" t="n">
        <v>13180</v>
      </c>
      <c r="B6246" s="5" t="n">
        <v>44680</v>
      </c>
      <c r="C6246" s="13" t="inlineStr">
        <is>
          <t>CPR</t>
        </is>
      </c>
      <c r="D6246" s="13" t="n">
        <v>42</v>
      </c>
      <c r="E6246" s="10">
        <f>IF(D6246&gt;0,VLOOKUP(OPERAC[[#This Row],[COD CART]],[1]!MatrizCortoLargoCyl[#All],3,0),"")</f>
        <v/>
      </c>
      <c r="F6246" s="14" t="inlineStr">
        <is>
          <t>XLP</t>
        </is>
      </c>
      <c r="G6246" s="6" t="n">
        <v>83</v>
      </c>
      <c r="H6246" s="6" t="n">
        <v>-6593.0637075</v>
      </c>
      <c r="I6246" s="7">
        <f>-H6246/G6246</f>
        <v/>
      </c>
      <c r="J6246" s="11" t="n">
        <v>44704</v>
      </c>
      <c r="K6246" s="6" t="n">
        <v>83</v>
      </c>
      <c r="L6246" s="6" t="n">
        <v>5951.703</v>
      </c>
      <c r="M6246" s="7">
        <f>IF(N6246=0,+L6246+H6246,0)</f>
        <v/>
      </c>
      <c r="N6246" s="7">
        <f>IF((+G6246-K6246)=0,0,+G6246-K6246)</f>
        <v/>
      </c>
      <c r="O6246" s="7">
        <f>IF(N6246=0,0,(L6246+H6246)/-N6246)</f>
        <v/>
      </c>
      <c r="P6246" s="7">
        <f>VLOOKUP(OPERAC[[#This Row],[especie]],[1]!ESPECIES[#All],6,0)</f>
        <v/>
      </c>
      <c r="Q6246" s="7">
        <f>IF(N6246&lt;&gt;0,P6246*N6246,0)</f>
        <v/>
      </c>
      <c r="R6246" s="8">
        <f>IF(Q6246&lt;&gt;0,Q6246+H6246+L6246,0)</f>
        <v/>
      </c>
      <c r="S6246" s="9">
        <f>VLOOKUP(OPERAC[[#This Row],[especie]],[1]!ESPECIES[#Data],9,FALSE)</f>
        <v/>
      </c>
    </row>
    <row r="6247">
      <c r="A6247" s="4" t="n">
        <v>2218</v>
      </c>
      <c r="B6247" s="5" t="n">
        <v>44609</v>
      </c>
      <c r="C6247" s="13" t="inlineStr">
        <is>
          <t>CPR</t>
        </is>
      </c>
      <c r="D6247" s="13" t="n">
        <v>32</v>
      </c>
      <c r="E6247" s="10">
        <f>IF(D6247&gt;0,VLOOKUP(OPERAC[[#This Row],[COD CART]],[1]!MatrizCortoLargoCyl[#All],3,0),"")</f>
        <v/>
      </c>
      <c r="F6247" s="13" t="inlineStr">
        <is>
          <t>F</t>
        </is>
      </c>
      <c r="G6247" s="6" t="n">
        <v>400</v>
      </c>
      <c r="H6247" s="6" t="n">
        <v>-6809.1788</v>
      </c>
      <c r="I6247" s="7">
        <f>-H6247/G6247</f>
        <v/>
      </c>
      <c r="J6247" s="11" t="n">
        <v>44642</v>
      </c>
      <c r="K6247" s="6">
        <f>200+200</f>
        <v/>
      </c>
      <c r="L6247" s="6">
        <f>3375.576+3541.41</f>
        <v/>
      </c>
      <c r="M6247" s="7">
        <f>IF(N6247=0,+L6247+H6247,0)</f>
        <v/>
      </c>
      <c r="N6247" s="7">
        <f>IF((+G6247-K6247)=0,0,+G6247-K6247)</f>
        <v/>
      </c>
      <c r="O6247" s="7">
        <f>IF(N6247=0,0,(L6247+H6247)/-N6247)</f>
        <v/>
      </c>
      <c r="P6247" s="7">
        <f>VLOOKUP(OPERAC[[#This Row],[especie]],[1]!ESPECIES[#All],6,0)</f>
        <v/>
      </c>
      <c r="Q6247" s="7">
        <f>IF(N6247&lt;&gt;0,P6247*N6247,0)</f>
        <v/>
      </c>
      <c r="R6247" s="8">
        <f>IF(Q6247&lt;&gt;0,Q6247+H6247+L6247,0)</f>
        <v/>
      </c>
      <c r="S6247" s="9">
        <f>VLOOKUP(OPERAC[[#This Row],[especie]],[1]!ESPECIES[#Data],9,FALSE)</f>
        <v/>
      </c>
    </row>
    <row r="6248">
      <c r="A6248" s="4" t="n">
        <v>2218</v>
      </c>
      <c r="B6248" s="5" t="n">
        <v>44453</v>
      </c>
      <c r="C6248" s="13" t="inlineStr">
        <is>
          <t>CPR</t>
        </is>
      </c>
      <c r="D6248" s="13" t="n">
        <v>40</v>
      </c>
      <c r="E6248" s="10">
        <f>IF(D6248&gt;0,VLOOKUP(OPERAC[[#This Row],[COD CART]],[1]!MatrizCortoLargoCyl[#All],3,0),"")</f>
        <v/>
      </c>
      <c r="F6248" s="13" t="inlineStr">
        <is>
          <t>GMBL</t>
        </is>
      </c>
      <c r="G6248" s="6" t="n">
        <v>1000</v>
      </c>
      <c r="H6248" s="6" t="n">
        <v>-6944.330000000001</v>
      </c>
      <c r="I6248" s="7">
        <f>-H6248/G6248</f>
        <v/>
      </c>
      <c r="J6248" s="11" t="n"/>
      <c r="K6248" s="6" t="n"/>
      <c r="L6248" s="6" t="n"/>
      <c r="M6248" s="7">
        <f>IF(N6248=0,+L6248+H6248,0)</f>
        <v/>
      </c>
      <c r="N6248" s="7">
        <f>IF((+G6248-K6248)=0,0,+G6248-K6248)</f>
        <v/>
      </c>
      <c r="O6248" s="7">
        <f>IF(N6248=0,0,(L6248+H6248)/-N6248)</f>
        <v/>
      </c>
      <c r="P6248" s="7">
        <f>VLOOKUP(OPERAC[[#This Row],[especie]],[1]!ESPECIES[#All],6,0)</f>
        <v/>
      </c>
      <c r="Q6248" s="7">
        <f>IF(N6248&lt;&gt;0,P6248*N6248,0)</f>
        <v/>
      </c>
      <c r="R6248" s="8">
        <f>IF(Q6248&lt;&gt;0,Q6248+H6248+L6248,0)</f>
        <v/>
      </c>
      <c r="S6248" s="9">
        <f>VLOOKUP(OPERAC[[#This Row],[especie]],[1]!ESPECIES[#Data],9,FALSE)</f>
        <v/>
      </c>
    </row>
    <row r="6249">
      <c r="A6249" s="4" t="n">
        <v>18651</v>
      </c>
      <c r="B6249" s="5" t="n">
        <v>44669</v>
      </c>
      <c r="C6249" s="13" t="inlineStr">
        <is>
          <t>CPR</t>
        </is>
      </c>
      <c r="D6249" s="13" t="n">
        <v>32</v>
      </c>
      <c r="E6249" s="10">
        <f>IF(D6249&gt;0,VLOOKUP(OPERAC[[#This Row],[COD CART]],[1]!MatrizCortoLargoCyl[#All],3,0),"")</f>
        <v/>
      </c>
      <c r="F6249" s="13" t="inlineStr">
        <is>
          <t>HMY</t>
        </is>
      </c>
      <c r="G6249" s="6" t="n">
        <v>1500</v>
      </c>
      <c r="H6249" s="6">
        <f>-4.64*OPERAC[[#This Row],[cantidad]]</f>
        <v/>
      </c>
      <c r="I6249" s="7">
        <f>-H6249/G6249</f>
        <v/>
      </c>
      <c r="J6249" s="11" t="n"/>
      <c r="K6249" s="6" t="n"/>
      <c r="L6249" s="6" t="n"/>
      <c r="M6249" s="7">
        <f>IF(N6249=0,+L6249+H6249,0)</f>
        <v/>
      </c>
      <c r="N6249" s="7">
        <f>IF((+G6249-K6249)=0,0,+G6249-K6249)</f>
        <v/>
      </c>
      <c r="O6249" s="7">
        <f>IF(N6249=0,0,(L6249+H6249)/-N6249)</f>
        <v/>
      </c>
      <c r="P6249" s="7">
        <f>VLOOKUP(OPERAC[[#This Row],[especie]],[1]!ESPECIES[#All],6,0)</f>
        <v/>
      </c>
      <c r="Q6249" s="7">
        <f>IF(N6249&lt;&gt;0,P6249*N6249,0)</f>
        <v/>
      </c>
      <c r="R6249" s="8">
        <f>IF(Q6249&lt;&gt;0,Q6249+H6249+L6249,0)</f>
        <v/>
      </c>
      <c r="S6249" s="9">
        <f>VLOOKUP(OPERAC[[#This Row],[especie]],[1]!ESPECIES[#Data],9,FALSE)</f>
        <v/>
      </c>
    </row>
    <row r="6250">
      <c r="A6250" s="4" t="n">
        <v>13180</v>
      </c>
      <c r="B6250" s="5" t="n">
        <v>44707</v>
      </c>
      <c r="C6250" s="13" t="inlineStr">
        <is>
          <t>CPR</t>
        </is>
      </c>
      <c r="D6250" s="13" t="n">
        <v>41</v>
      </c>
      <c r="E6250" s="10">
        <f>IF(D6250&gt;0,VLOOKUP(OPERAC[[#This Row],[COD CART]],[1]!MatrizCortoLargoCyl[#All],3,0),"")</f>
        <v/>
      </c>
      <c r="F6250" s="13" t="inlineStr">
        <is>
          <t>TSLA</t>
        </is>
      </c>
      <c r="G6250" s="6" t="n">
        <v>10</v>
      </c>
      <c r="H6250" s="6" t="n">
        <v>-6983.157</v>
      </c>
      <c r="I6250" s="7">
        <f>-H6250/G6250</f>
        <v/>
      </c>
      <c r="J6250" s="5" t="n"/>
      <c r="K6250" s="6" t="n"/>
      <c r="L6250" s="6" t="n"/>
      <c r="M6250" s="7">
        <f>IF(N6250=0,+L6250+H6250,0)</f>
        <v/>
      </c>
      <c r="N6250" s="7">
        <f>IF((+G6250-K6250)=0,0,+G6250-K6250)</f>
        <v/>
      </c>
      <c r="O6250" s="7">
        <f>IF(N6250=0,0,(L6250+H6250)/-N6250)</f>
        <v/>
      </c>
      <c r="P6250" s="7">
        <f>VLOOKUP(OPERAC[[#This Row],[especie]],[1]!ESPECIES[#All],6,0)</f>
        <v/>
      </c>
      <c r="Q6250" s="7">
        <f>IF(N6250&lt;&gt;0,P6250*N6250,0)</f>
        <v/>
      </c>
      <c r="R6250" s="8">
        <f>IF(Q6250&lt;&gt;0,Q6250+H6250+L6250,0)</f>
        <v/>
      </c>
      <c r="S6250" s="9">
        <f>VLOOKUP(OPERAC[[#This Row],[especie]],[1]!ESPECIES[#Data],9,FALSE)</f>
        <v/>
      </c>
    </row>
    <row r="6251">
      <c r="A6251" s="4" t="n">
        <v>3728</v>
      </c>
      <c r="B6251" s="5" t="n">
        <v>44565</v>
      </c>
      <c r="C6251" s="13" t="inlineStr">
        <is>
          <t>CPR</t>
        </is>
      </c>
      <c r="D6251" s="13" t="n">
        <v>40</v>
      </c>
      <c r="E6251" s="10">
        <f>IF(D6251&gt;0,VLOOKUP(OPERAC[[#This Row],[COD CART]],[1]!MatrizCortoLargoCyl[#All],3,0),"")</f>
        <v/>
      </c>
      <c r="F6251" s="13" t="inlineStr">
        <is>
          <t>ACB</t>
        </is>
      </c>
      <c r="G6251" s="6" t="n">
        <v>80</v>
      </c>
      <c r="H6251" s="6" t="n">
        <v>-7007</v>
      </c>
      <c r="I6251" s="7">
        <f>-H6251/G6251</f>
        <v/>
      </c>
      <c r="J6251" s="11" t="n">
        <v>44606</v>
      </c>
      <c r="K6251" s="6" t="n">
        <v>80</v>
      </c>
      <c r="L6251" s="6">
        <f>+OPERAC[[#This Row],[cantidad venta]]*4.401</f>
        <v/>
      </c>
      <c r="M6251" s="7">
        <f>IF(N6251=0,+L6251+H6251,0)</f>
        <v/>
      </c>
      <c r="N6251" s="7">
        <f>IF((+G6251-K6251)=0,0,+G6251-K6251)</f>
        <v/>
      </c>
      <c r="O6251" s="7">
        <f>IF(N6251=0,0,(L6251+H6251)/-N6251)</f>
        <v/>
      </c>
      <c r="P6251" s="7">
        <f>VLOOKUP(OPERAC[[#This Row],[especie]],[1]!ESPECIES[#All],6,0)</f>
        <v/>
      </c>
      <c r="Q6251" s="7">
        <f>IF(N6251&lt;&gt;0,P6251*N6251,0)</f>
        <v/>
      </c>
      <c r="R6251" s="8">
        <f>IF(Q6251&lt;&gt;0,Q6251+H6251+L6251,0)</f>
        <v/>
      </c>
      <c r="S6251" s="9">
        <f>VLOOKUP(OPERAC[[#This Row],[especie]],[1]!ESPECIES[#Data],9,FALSE)</f>
        <v/>
      </c>
    </row>
    <row r="6252">
      <c r="A6252" s="4" t="n">
        <v>2218</v>
      </c>
      <c r="B6252" s="5" t="n">
        <v>44480</v>
      </c>
      <c r="C6252" s="13" t="inlineStr">
        <is>
          <t>CPR</t>
        </is>
      </c>
      <c r="D6252" s="13" t="n">
        <v>31</v>
      </c>
      <c r="E6252" s="10">
        <f>IF(D6252&gt;0,VLOOKUP(OPERAC[[#This Row],[COD CART]],[1]!MatrizCortoLargoCyl[#All],3,0),"")</f>
        <v/>
      </c>
      <c r="F6252" s="13" t="inlineStr">
        <is>
          <t>CEPU</t>
        </is>
      </c>
      <c r="G6252" s="6" t="n">
        <v>2000</v>
      </c>
      <c r="H6252" s="6" t="n">
        <v>-7012.996</v>
      </c>
      <c r="I6252" s="7">
        <f>-H6252/G6252</f>
        <v/>
      </c>
      <c r="J6252" s="11" t="n">
        <v>44692</v>
      </c>
      <c r="K6252" s="6" t="n">
        <v>2000</v>
      </c>
      <c r="L6252" s="6" t="n">
        <v>6936.497</v>
      </c>
      <c r="M6252" s="7">
        <f>IF(N6252=0,+L6252+H6252,0)</f>
        <v/>
      </c>
      <c r="N6252" s="7">
        <f>IF((+G6252-K6252)=0,0,+G6252-K6252)</f>
        <v/>
      </c>
      <c r="O6252" s="7">
        <f>IF(N6252=0,0,(L6252+H6252)/-N6252)</f>
        <v/>
      </c>
      <c r="P6252" s="7">
        <f>VLOOKUP(OPERAC[[#This Row],[especie]],[1]!ESPECIES[#All],6,0)</f>
        <v/>
      </c>
      <c r="Q6252" s="7">
        <f>IF(N6252&lt;&gt;0,P6252*N6252,0)</f>
        <v/>
      </c>
      <c r="R6252" s="8">
        <f>IF(Q6252&lt;&gt;0,Q6252+H6252+L6252,0)</f>
        <v/>
      </c>
      <c r="S6252" s="9">
        <f>VLOOKUP(OPERAC[[#This Row],[especie]],[1]!ESPECIES[#Data],9,FALSE)</f>
        <v/>
      </c>
    </row>
    <row r="6253">
      <c r="A6253" s="4" t="n">
        <v>19867</v>
      </c>
      <c r="B6253" s="5" t="n">
        <v>44705</v>
      </c>
      <c r="C6253" s="13" t="inlineStr">
        <is>
          <t>CPR</t>
        </is>
      </c>
      <c r="D6253" s="13" t="n">
        <v>42</v>
      </c>
      <c r="E6253" s="10">
        <f>IF(D6253&gt;0,VLOOKUP(OPERAC[[#This Row],[COD CART]],[1]!MatrizCortoLargoCyl[#All],3,0),"")</f>
        <v/>
      </c>
      <c r="F6253" s="14" t="inlineStr">
        <is>
          <t>MELI</t>
        </is>
      </c>
      <c r="G6253" s="6" t="n">
        <v>10</v>
      </c>
      <c r="H6253" s="6" t="n">
        <v>-7048.08</v>
      </c>
      <c r="I6253" s="7">
        <f>-H6253/G6253</f>
        <v/>
      </c>
      <c r="J6253" s="5" t="n">
        <v>44706</v>
      </c>
      <c r="K6253" s="6">
        <f>+OPERAC[[#This Row],[cantidad]]</f>
        <v/>
      </c>
      <c r="L6253" s="6" t="n">
        <v>7258.734</v>
      </c>
      <c r="M6253" s="7">
        <f>IF(N6253=0,+L6253+H6253,0)</f>
        <v/>
      </c>
      <c r="N6253" s="7">
        <f>IF((+G6253-K6253)=0,0,+G6253-K6253)</f>
        <v/>
      </c>
      <c r="O6253" s="7">
        <f>IF(N6253=0,0,(L6253+H6253)/-N6253)</f>
        <v/>
      </c>
      <c r="P6253" s="7">
        <f>VLOOKUP(OPERAC[[#This Row],[especie]],[1]!ESPECIES[#All],6,0)</f>
        <v/>
      </c>
      <c r="Q6253" s="7">
        <f>IF(N6253&lt;&gt;0,P6253*N6253,0)</f>
        <v/>
      </c>
      <c r="R6253" s="8">
        <f>IF(Q6253&lt;&gt;0,Q6253+H6253+L6253,0)</f>
        <v/>
      </c>
      <c r="S6253" s="9">
        <f>VLOOKUP(OPERAC[[#This Row],[especie]],[1]!ESPECIES[#Data],9,FALSE)</f>
        <v/>
      </c>
    </row>
    <row r="6254">
      <c r="A6254" s="4" t="n">
        <v>19878</v>
      </c>
      <c r="B6254" s="5" t="n">
        <v>44705</v>
      </c>
      <c r="C6254" s="13" t="inlineStr">
        <is>
          <t>CPR</t>
        </is>
      </c>
      <c r="D6254" s="13" t="n">
        <v>42</v>
      </c>
      <c r="E6254" s="10">
        <f>IF(D6254&gt;0,VLOOKUP(OPERAC[[#This Row],[COD CART]],[1]!MatrizCortoLargoCyl[#All],3,0),"")</f>
        <v/>
      </c>
      <c r="F6254" s="14" t="inlineStr">
        <is>
          <t>MELI</t>
        </is>
      </c>
      <c r="G6254" s="6" t="n">
        <v>10</v>
      </c>
      <c r="H6254" s="6" t="n">
        <v>-7048.08</v>
      </c>
      <c r="I6254" s="7">
        <f>-H6254/G6254</f>
        <v/>
      </c>
      <c r="J6254" s="5" t="n">
        <v>44706</v>
      </c>
      <c r="K6254" s="6">
        <f>+OPERAC[[#This Row],[cantidad]]</f>
        <v/>
      </c>
      <c r="L6254" s="6" t="n">
        <v>7258.734</v>
      </c>
      <c r="M6254" s="7">
        <f>IF(N6254=0,+L6254+H6254,0)</f>
        <v/>
      </c>
      <c r="N6254" s="7">
        <f>IF((+G6254-K6254)=0,0,+G6254-K6254)</f>
        <v/>
      </c>
      <c r="O6254" s="7">
        <f>IF(N6254=0,0,(L6254+H6254)/-N6254)</f>
        <v/>
      </c>
      <c r="P6254" s="7">
        <f>VLOOKUP(OPERAC[[#This Row],[especie]],[1]!ESPECIES[#All],6,0)</f>
        <v/>
      </c>
      <c r="Q6254" s="7">
        <f>IF(N6254&lt;&gt;0,P6254*N6254,0)</f>
        <v/>
      </c>
      <c r="R6254" s="8">
        <f>IF(Q6254&lt;&gt;0,Q6254+H6254+L6254,0)</f>
        <v/>
      </c>
      <c r="S6254" s="9">
        <f>VLOOKUP(OPERAC[[#This Row],[especie]],[1]!ESPECIES[#Data],9,FALSE)</f>
        <v/>
      </c>
    </row>
    <row r="6255">
      <c r="A6255" s="4" t="n">
        <v>18651</v>
      </c>
      <c r="B6255" s="5" t="n">
        <v>44641</v>
      </c>
      <c r="C6255" s="13" t="inlineStr">
        <is>
          <t>CPR</t>
        </is>
      </c>
      <c r="D6255" s="13" t="n">
        <v>32</v>
      </c>
      <c r="E6255" s="10">
        <f>IF(D6255&gt;0,VLOOKUP(OPERAC[[#This Row],[COD CART]],[1]!MatrizCortoLargoCyl[#All],3,0),"")</f>
        <v/>
      </c>
      <c r="F6255" s="13" t="inlineStr">
        <is>
          <t>HMY</t>
        </is>
      </c>
      <c r="G6255" s="6" t="n">
        <v>1500</v>
      </c>
      <c r="H6255" s="6" t="n">
        <v>-7138.5585</v>
      </c>
      <c r="I6255" s="7">
        <f>-H6255/G6255</f>
        <v/>
      </c>
      <c r="J6255" s="11" t="n">
        <v>44669</v>
      </c>
      <c r="K6255" s="6">
        <f>+OPERAC[[#This Row],[cantidad]]</f>
        <v/>
      </c>
      <c r="L6255" s="6">
        <f>4.925*OPERAC[[#This Row],[cantidad venta]]</f>
        <v/>
      </c>
      <c r="M6255" s="7">
        <f>IF(N6255=0,+L6255+H6255,0)</f>
        <v/>
      </c>
      <c r="N6255" s="7">
        <f>IF((+G6255-K6255)=0,0,+G6255-K6255)</f>
        <v/>
      </c>
      <c r="O6255" s="7">
        <f>IF(N6255=0,0,(L6255+H6255)/-N6255)</f>
        <v/>
      </c>
      <c r="P6255" s="7">
        <f>VLOOKUP(OPERAC[[#This Row],[especie]],[1]!ESPECIES[#All],6,0)</f>
        <v/>
      </c>
      <c r="Q6255" s="7">
        <f>IF(N6255&lt;&gt;0,P6255*N6255,0)</f>
        <v/>
      </c>
      <c r="R6255" s="8">
        <f>IF(Q6255&lt;&gt;0,Q6255+H6255+L6255,0)</f>
        <v/>
      </c>
      <c r="S6255" s="9">
        <f>VLOOKUP(OPERAC[[#This Row],[especie]],[1]!ESPECIES[#Data],9,FALSE)</f>
        <v/>
      </c>
    </row>
    <row r="6256">
      <c r="A6256" s="4" t="n">
        <v>3728</v>
      </c>
      <c r="B6256" s="5" t="n">
        <v>44441</v>
      </c>
      <c r="C6256" s="13" t="inlineStr">
        <is>
          <t>CPR</t>
        </is>
      </c>
      <c r="D6256" s="13" t="n">
        <v>40</v>
      </c>
      <c r="E6256" s="10">
        <f>IF(D6256&gt;0,VLOOKUP(OPERAC[[#This Row],[COD CART]],[1]!MatrizCortoLargoCyl[#All],3,0),"")</f>
        <v/>
      </c>
      <c r="F6256" s="13" t="inlineStr">
        <is>
          <t>EDIT</t>
        </is>
      </c>
      <c r="G6256" s="6" t="n">
        <v>100</v>
      </c>
      <c r="H6256" s="6" t="n">
        <v>-7150.643000000001</v>
      </c>
      <c r="I6256" s="7">
        <f>-H6256/G6256</f>
        <v/>
      </c>
      <c r="J6256" s="11" t="n">
        <v>44637</v>
      </c>
      <c r="K6256" s="6" t="n">
        <v>100</v>
      </c>
      <c r="L6256" s="6">
        <f>+OPERAC[[#This Row],[cantidad venta]]*16.796</f>
        <v/>
      </c>
      <c r="M6256" s="7">
        <f>IF(N6256=0,+L6256+H6256,0)</f>
        <v/>
      </c>
      <c r="N6256" s="7">
        <f>IF((+G6256-K6256)=0,0,+G6256-K6256)</f>
        <v/>
      </c>
      <c r="O6256" s="7">
        <f>IF(N6256=0,0,(L6256+H6256)/-N6256)</f>
        <v/>
      </c>
      <c r="P6256" s="7">
        <f>VLOOKUP(OPERAC[[#This Row],[especie]],[1]!ESPECIES[#All],6,0)</f>
        <v/>
      </c>
      <c r="Q6256" s="7">
        <f>IF(N6256&lt;&gt;0,P6256*N6256,0)</f>
        <v/>
      </c>
      <c r="R6256" s="8">
        <f>IF(Q6256&lt;&gt;0,Q6256+H6256+L6256,0)</f>
        <v/>
      </c>
      <c r="S6256" s="9">
        <f>VLOOKUP(OPERAC[[#This Row],[especie]],[1]!ESPECIES[#Data],9,FALSE)</f>
        <v/>
      </c>
    </row>
    <row r="6257">
      <c r="A6257" s="4" t="n">
        <v>12690</v>
      </c>
      <c r="B6257" s="5" t="n">
        <v>44641</v>
      </c>
      <c r="C6257" s="13" t="inlineStr">
        <is>
          <t>CPR</t>
        </is>
      </c>
      <c r="D6257" s="13" t="n">
        <v>32</v>
      </c>
      <c r="E6257" s="10">
        <f>IF(D6257&gt;0,VLOOKUP(OPERAC[[#This Row],[COD CART]],[1]!MatrizCortoLargoCyl[#All],3,0),"")</f>
        <v/>
      </c>
      <c r="F6257" s="13" t="inlineStr">
        <is>
          <t>LAC/CYL/25,00/14-04-22</t>
        </is>
      </c>
      <c r="G6257" s="6" t="n">
        <v>300</v>
      </c>
      <c r="H6257" s="6" t="n">
        <v>-7361.753999999999</v>
      </c>
      <c r="I6257" s="7">
        <f>-H6257/G6257</f>
        <v/>
      </c>
      <c r="J6257" s="11" t="n">
        <v>44644</v>
      </c>
      <c r="K6257" s="6">
        <f>+OPERAC[[#This Row],[cantidad]]</f>
        <v/>
      </c>
      <c r="L6257" s="6" t="n">
        <v>7455.18</v>
      </c>
      <c r="M6257" s="7">
        <f>IF(N6257=0,+L6257+H6257,0)</f>
        <v/>
      </c>
      <c r="N6257" s="7">
        <f>IF((+G6257-K6257)=0,0,+G6257-K6257)</f>
        <v/>
      </c>
      <c r="O6257" s="7">
        <f>IF(N6257=0,0,(L6257+H6257)/-N6257)</f>
        <v/>
      </c>
      <c r="P6257" s="7">
        <f>VLOOKUP(OPERAC[[#This Row],[especie]],[1]!ESPECIES[#All],6,0)</f>
        <v/>
      </c>
      <c r="Q6257" s="7">
        <f>IF(N6257&lt;&gt;0,P6257*N6257,0)</f>
        <v/>
      </c>
      <c r="R6257" s="8">
        <f>IF(Q6257&lt;&gt;0,Q6257+H6257+L6257,0)</f>
        <v/>
      </c>
      <c r="S6257" s="9">
        <f>VLOOKUP(OPERAC[[#This Row],[especie]],[1]!ESPECIES[#Data],9,FALSE)</f>
        <v/>
      </c>
    </row>
    <row r="6258">
      <c r="A6258" s="4" t="n">
        <v>2218</v>
      </c>
      <c r="B6258" s="5" t="n">
        <v>44607</v>
      </c>
      <c r="C6258" s="13" t="inlineStr">
        <is>
          <t>CPR</t>
        </is>
      </c>
      <c r="D6258" s="13" t="n">
        <v>32</v>
      </c>
      <c r="E6258" s="10">
        <f>IF(D6258&gt;0,VLOOKUP(OPERAC[[#This Row],[COD CART]],[1]!MatrizCortoLargoCyl[#All],3,0),"")</f>
        <v/>
      </c>
      <c r="F6258" s="13" t="inlineStr">
        <is>
          <t>UPST/CYL/80,00/18-03-22</t>
        </is>
      </c>
      <c r="G6258" s="6" t="n">
        <v>100</v>
      </c>
      <c r="H6258" s="6" t="n">
        <v>-7469.822770000001</v>
      </c>
      <c r="I6258" s="7">
        <f>-H6258/G6258</f>
        <v/>
      </c>
      <c r="J6258" s="11" t="n">
        <v>44608</v>
      </c>
      <c r="K6258" s="6" t="n">
        <v>100</v>
      </c>
      <c r="L6258" s="6" t="n">
        <v>7956.448</v>
      </c>
      <c r="M6258" s="7">
        <f>IF(N6258=0,+L6258+H6258,0)</f>
        <v/>
      </c>
      <c r="N6258" s="7">
        <f>IF((+G6258-K6258)=0,0,+G6258-K6258)</f>
        <v/>
      </c>
      <c r="O6258" s="7">
        <f>IF(N6258=0,0,(L6258+H6258)/-N6258)</f>
        <v/>
      </c>
      <c r="P6258" s="7">
        <f>VLOOKUP(OPERAC[[#This Row],[especie]],[1]!ESPECIES[#All],6,0)</f>
        <v/>
      </c>
      <c r="Q6258" s="7">
        <f>IF(N6258&lt;&gt;0,P6258*N6258,0)</f>
        <v/>
      </c>
      <c r="R6258" s="8">
        <f>IF(Q6258&lt;&gt;0,Q6258+H6258+L6258,0)</f>
        <v/>
      </c>
      <c r="S6258" s="9">
        <f>VLOOKUP(OPERAC[[#This Row],[especie]],[1]!ESPECIES[#Data],9,FALSE)</f>
        <v/>
      </c>
    </row>
    <row r="6259">
      <c r="A6259" s="4" t="n">
        <v>3728</v>
      </c>
      <c r="B6259" s="5" t="n">
        <v>44358</v>
      </c>
      <c r="C6259" s="13" t="inlineStr">
        <is>
          <t>CPR</t>
        </is>
      </c>
      <c r="D6259" s="13" t="n">
        <v>31</v>
      </c>
      <c r="E6259" s="10">
        <f>IF(D6259&gt;0,VLOOKUP(OPERAC[[#This Row],[COD CART]],[1]!MatrizCortoLargoCyl[#All],3,0),"")</f>
        <v/>
      </c>
      <c r="F6259" s="13" t="inlineStr">
        <is>
          <t>SDGR</t>
        </is>
      </c>
      <c r="G6259" s="6" t="n">
        <v>100</v>
      </c>
      <c r="H6259" s="6">
        <f>-7701.872+218.24</f>
        <v/>
      </c>
      <c r="I6259" s="7">
        <f>-H6259/G6259</f>
        <v/>
      </c>
      <c r="J6259" s="11" t="n">
        <v>44637</v>
      </c>
      <c r="K6259" s="6" t="n">
        <v>100</v>
      </c>
      <c r="L6259" s="6" t="n">
        <v>3276.689</v>
      </c>
      <c r="M6259" s="7">
        <f>IF(N6259=0,+L6259+H6259,0)</f>
        <v/>
      </c>
      <c r="N6259" s="7">
        <f>IF((+G6259-K6259)=0,0,+G6259-K6259)</f>
        <v/>
      </c>
      <c r="O6259" s="7">
        <f>IF(N6259=0,0,(L6259+H6259)/-N6259)</f>
        <v/>
      </c>
      <c r="P6259" s="7">
        <f>VLOOKUP(OPERAC[[#This Row],[especie]],[1]!ESPECIES[#All],6,0)</f>
        <v/>
      </c>
      <c r="Q6259" s="7">
        <f>IF(N6259&lt;&gt;0,P6259*N6259,0)</f>
        <v/>
      </c>
      <c r="R6259" s="8">
        <f>IF(Q6259&lt;&gt;0,Q6259+H6259+L6259,0)</f>
        <v/>
      </c>
      <c r="S6259" s="9">
        <f>VLOOKUP(OPERAC[[#This Row],[especie]],[1]!ESPECIES[#Data],9,FALSE)</f>
        <v/>
      </c>
    </row>
    <row r="6260">
      <c r="A6260" s="4" t="n">
        <v>2218</v>
      </c>
      <c r="B6260" s="5" t="n">
        <v>44358</v>
      </c>
      <c r="C6260" s="13" t="inlineStr">
        <is>
          <t>CPR</t>
        </is>
      </c>
      <c r="D6260" s="13" t="n">
        <v>31</v>
      </c>
      <c r="E6260" s="10">
        <f>IF(D6260&gt;0,VLOOKUP(OPERAC[[#This Row],[COD CART]],[1]!MatrizCortoLargoCyl[#All],3,0),"")</f>
        <v/>
      </c>
      <c r="F6260" s="13" t="inlineStr">
        <is>
          <t>SDGR</t>
        </is>
      </c>
      <c r="G6260" s="6" t="n">
        <v>100</v>
      </c>
      <c r="H6260" s="6">
        <f>-7701.872+218.24</f>
        <v/>
      </c>
      <c r="I6260" s="7">
        <f>-H6260/G6260</f>
        <v/>
      </c>
      <c r="J6260" s="11" t="n"/>
      <c r="K6260" s="6" t="n"/>
      <c r="L6260" s="6" t="n"/>
      <c r="M6260" s="7">
        <f>IF(N6260=0,+L6260+H6260,0)</f>
        <v/>
      </c>
      <c r="N6260" s="7">
        <f>IF((+G6260-K6260)=0,0,+G6260-K6260)</f>
        <v/>
      </c>
      <c r="O6260" s="7">
        <f>IF(N6260=0,0,(L6260+H6260)/-N6260)</f>
        <v/>
      </c>
      <c r="P6260" s="7">
        <f>VLOOKUP(OPERAC[[#This Row],[especie]],[1]!ESPECIES[#All],6,0)</f>
        <v/>
      </c>
      <c r="Q6260" s="7">
        <f>IF(N6260&lt;&gt;0,P6260*N6260,0)</f>
        <v/>
      </c>
      <c r="R6260" s="8">
        <f>IF(Q6260&lt;&gt;0,Q6260+H6260+L6260,0)</f>
        <v/>
      </c>
      <c r="S6260" s="9">
        <f>VLOOKUP(OPERAC[[#This Row],[especie]],[1]!ESPECIES[#Data],9,FALSE)</f>
        <v/>
      </c>
    </row>
    <row r="6261">
      <c r="A6261" s="4" t="n">
        <v>1760</v>
      </c>
      <c r="B6261" s="5" t="n">
        <v>44599</v>
      </c>
      <c r="C6261" s="13" t="inlineStr">
        <is>
          <t>CPR</t>
        </is>
      </c>
      <c r="D6261" s="13" t="n">
        <v>32</v>
      </c>
      <c r="E6261" s="10">
        <f>IF(D6261&gt;0,VLOOKUP(OPERAC[[#This Row],[COD CART]],[1]!MatrizCortoLargoCyl[#All],3,0),"")</f>
        <v/>
      </c>
      <c r="F6261" s="13" t="inlineStr">
        <is>
          <t>UPST/CYL/80,00/18-03-22</t>
        </is>
      </c>
      <c r="G6261" s="6" t="n">
        <v>100</v>
      </c>
      <c r="H6261" s="6" t="n">
        <v>-7492</v>
      </c>
      <c r="I6261" s="7">
        <f>-H6261/G6261</f>
        <v/>
      </c>
      <c r="J6261" s="11" t="n">
        <v>44608</v>
      </c>
      <c r="K6261" s="6" t="n">
        <v>100</v>
      </c>
      <c r="L6261" s="6" t="n">
        <v>7956.448</v>
      </c>
      <c r="M6261" s="7">
        <f>IF(N6261=0,+L6261+H6261,0)</f>
        <v/>
      </c>
      <c r="N6261" s="7">
        <f>IF((+G6261-K6261)=0,0,+G6261-K6261)</f>
        <v/>
      </c>
      <c r="O6261" s="7">
        <f>IF(N6261=0,0,(L6261+H6261)/-N6261)</f>
        <v/>
      </c>
      <c r="P6261" s="7">
        <f>VLOOKUP(OPERAC[[#This Row],[especie]],[1]!ESPECIES[#All],6,0)</f>
        <v/>
      </c>
      <c r="Q6261" s="7">
        <f>IF(N6261&lt;&gt;0,P6261*N6261,0)</f>
        <v/>
      </c>
      <c r="R6261" s="8">
        <f>IF(Q6261&lt;&gt;0,Q6261+H6261+L6261,0)</f>
        <v/>
      </c>
      <c r="S6261" s="9">
        <f>VLOOKUP(OPERAC[[#This Row],[especie]],[1]!ESPECIES[#Data],9,FALSE)</f>
        <v/>
      </c>
    </row>
    <row r="6262">
      <c r="A6262" s="4" t="n">
        <v>15189</v>
      </c>
      <c r="B6262" s="5" t="n">
        <v>44599</v>
      </c>
      <c r="C6262" s="13" t="inlineStr">
        <is>
          <t>CPR</t>
        </is>
      </c>
      <c r="D6262" s="13" t="n">
        <v>32</v>
      </c>
      <c r="E6262" s="10">
        <f>IF(D6262&gt;0,VLOOKUP(OPERAC[[#This Row],[COD CART]],[1]!MatrizCortoLargoCyl[#All],3,0),"")</f>
        <v/>
      </c>
      <c r="F6262" s="13" t="inlineStr">
        <is>
          <t>UPST/CYL/80,00/18-03-22</t>
        </is>
      </c>
      <c r="G6262" s="6" t="n">
        <v>100</v>
      </c>
      <c r="H6262" s="6" t="n">
        <v>-7492</v>
      </c>
      <c r="I6262" s="7">
        <f>-H6262/G6262</f>
        <v/>
      </c>
      <c r="J6262" s="11" t="n">
        <v>44608</v>
      </c>
      <c r="K6262" s="6" t="n">
        <v>100</v>
      </c>
      <c r="L6262" s="6" t="n">
        <v>7956.448</v>
      </c>
      <c r="M6262" s="7">
        <f>IF(N6262=0,+L6262+H6262,0)</f>
        <v/>
      </c>
      <c r="N6262" s="7">
        <f>IF((+G6262-K6262)=0,0,+G6262-K6262)</f>
        <v/>
      </c>
      <c r="O6262" s="7">
        <f>IF(N6262=0,0,(L6262+H6262)/-N6262)</f>
        <v/>
      </c>
      <c r="P6262" s="7">
        <f>VLOOKUP(OPERAC[[#This Row],[especie]],[1]!ESPECIES[#All],6,0)</f>
        <v/>
      </c>
      <c r="Q6262" s="7">
        <f>IF(N6262&lt;&gt;0,P6262*N6262,0)</f>
        <v/>
      </c>
      <c r="R6262" s="8">
        <f>IF(Q6262&lt;&gt;0,Q6262+H6262+L6262,0)</f>
        <v/>
      </c>
      <c r="S6262" s="9">
        <f>VLOOKUP(OPERAC[[#This Row],[especie]],[1]!ESPECIES[#Data],9,FALSE)</f>
        <v/>
      </c>
    </row>
    <row r="6263">
      <c r="A6263" s="4" t="n">
        <v>15195</v>
      </c>
      <c r="B6263" s="5" t="n">
        <v>44599</v>
      </c>
      <c r="C6263" s="13" t="inlineStr">
        <is>
          <t>CPR</t>
        </is>
      </c>
      <c r="D6263" s="13" t="n">
        <v>32</v>
      </c>
      <c r="E6263" s="10">
        <f>IF(D6263&gt;0,VLOOKUP(OPERAC[[#This Row],[COD CART]],[1]!MatrizCortoLargoCyl[#All],3,0),"")</f>
        <v/>
      </c>
      <c r="F6263" s="13" t="inlineStr">
        <is>
          <t>UPST/CYL/80,00/18-03-22</t>
        </is>
      </c>
      <c r="G6263" s="6" t="n">
        <v>100</v>
      </c>
      <c r="H6263" s="6" t="n">
        <v>-7492</v>
      </c>
      <c r="I6263" s="7">
        <f>-H6263/G6263</f>
        <v/>
      </c>
      <c r="J6263" s="11" t="n">
        <v>44608</v>
      </c>
      <c r="K6263" s="6" t="n">
        <v>100</v>
      </c>
      <c r="L6263" s="6" t="n">
        <v>7956.448</v>
      </c>
      <c r="M6263" s="7">
        <f>IF(N6263=0,+L6263+H6263,0)</f>
        <v/>
      </c>
      <c r="N6263" s="7">
        <f>IF((+G6263-K6263)=0,0,+G6263-K6263)</f>
        <v/>
      </c>
      <c r="O6263" s="7">
        <f>IF(N6263=0,0,(L6263+H6263)/-N6263)</f>
        <v/>
      </c>
      <c r="P6263" s="7">
        <f>VLOOKUP(OPERAC[[#This Row],[especie]],[1]!ESPECIES[#All],6,0)</f>
        <v/>
      </c>
      <c r="Q6263" s="7">
        <f>IF(N6263&lt;&gt;0,P6263*N6263,0)</f>
        <v/>
      </c>
      <c r="R6263" s="8">
        <f>IF(Q6263&lt;&gt;0,Q6263+H6263+L6263,0)</f>
        <v/>
      </c>
      <c r="S6263" s="9">
        <f>VLOOKUP(OPERAC[[#This Row],[especie]],[1]!ESPECIES[#Data],9,FALSE)</f>
        <v/>
      </c>
    </row>
    <row r="6264">
      <c r="A6264" s="4" t="n">
        <v>12690</v>
      </c>
      <c r="B6264" s="5" t="n">
        <v>44599</v>
      </c>
      <c r="C6264" s="13" t="inlineStr">
        <is>
          <t>CPR</t>
        </is>
      </c>
      <c r="D6264" s="13" t="n">
        <v>32</v>
      </c>
      <c r="E6264" s="10">
        <f>IF(D6264&gt;0,VLOOKUP(OPERAC[[#This Row],[COD CART]],[1]!MatrizCortoLargoCyl[#All],3,0),"")</f>
        <v/>
      </c>
      <c r="F6264" s="13" t="inlineStr">
        <is>
          <t>UPST/CYL/80,00/18-03-22</t>
        </is>
      </c>
      <c r="G6264" s="6" t="n">
        <v>100</v>
      </c>
      <c r="H6264" s="6" t="n">
        <v>-7492</v>
      </c>
      <c r="I6264" s="7">
        <f>-H6264/G6264</f>
        <v/>
      </c>
      <c r="J6264" s="11" t="n">
        <v>44608</v>
      </c>
      <c r="K6264" s="6" t="n">
        <v>100</v>
      </c>
      <c r="L6264" s="6" t="n">
        <v>7956.448</v>
      </c>
      <c r="M6264" s="7">
        <f>IF(N6264=0,+L6264+H6264,0)</f>
        <v/>
      </c>
      <c r="N6264" s="7">
        <f>IF((+G6264-K6264)=0,0,+G6264-K6264)</f>
        <v/>
      </c>
      <c r="O6264" s="7">
        <f>IF(N6264=0,0,(L6264+H6264)/-N6264)</f>
        <v/>
      </c>
      <c r="P6264" s="7">
        <f>VLOOKUP(OPERAC[[#This Row],[especie]],[1]!ESPECIES[#All],6,0)</f>
        <v/>
      </c>
      <c r="Q6264" s="7">
        <f>IF(N6264&lt;&gt;0,P6264*N6264,0)</f>
        <v/>
      </c>
      <c r="R6264" s="8">
        <f>IF(Q6264&lt;&gt;0,Q6264+H6264+L6264,0)</f>
        <v/>
      </c>
      <c r="S6264" s="9">
        <f>VLOOKUP(OPERAC[[#This Row],[especie]],[1]!ESPECIES[#Data],9,FALSE)</f>
        <v/>
      </c>
    </row>
    <row r="6265">
      <c r="A6265" s="4" t="n">
        <v>13185</v>
      </c>
      <c r="B6265" s="5" t="n">
        <v>44599</v>
      </c>
      <c r="C6265" s="13" t="inlineStr">
        <is>
          <t>CPR</t>
        </is>
      </c>
      <c r="D6265" s="13" t="n">
        <v>32</v>
      </c>
      <c r="E6265" s="10">
        <f>IF(D6265&gt;0,VLOOKUP(OPERAC[[#This Row],[COD CART]],[1]!MatrizCortoLargoCyl[#All],3,0),"")</f>
        <v/>
      </c>
      <c r="F6265" s="13" t="inlineStr">
        <is>
          <t>UPST/CYL/80,00/18-03-22</t>
        </is>
      </c>
      <c r="G6265" s="6" t="n">
        <v>100</v>
      </c>
      <c r="H6265" s="6" t="n">
        <v>-7492</v>
      </c>
      <c r="I6265" s="7">
        <f>-H6265/G6265</f>
        <v/>
      </c>
      <c r="J6265" s="11" t="n">
        <v>44608</v>
      </c>
      <c r="K6265" s="6" t="n">
        <v>100</v>
      </c>
      <c r="L6265" s="6" t="n">
        <v>7956.448</v>
      </c>
      <c r="M6265" s="7">
        <f>IF(N6265=0,+L6265+H6265,0)</f>
        <v/>
      </c>
      <c r="N6265" s="7">
        <f>IF((+G6265-K6265)=0,0,+G6265-K6265)</f>
        <v/>
      </c>
      <c r="O6265" s="7">
        <f>IF(N6265=0,0,(L6265+H6265)/-N6265)</f>
        <v/>
      </c>
      <c r="P6265" s="7">
        <f>VLOOKUP(OPERAC[[#This Row],[especie]],[1]!ESPECIES[#All],6,0)</f>
        <v/>
      </c>
      <c r="Q6265" s="7">
        <f>IF(N6265&lt;&gt;0,P6265*N6265,0)</f>
        <v/>
      </c>
      <c r="R6265" s="8">
        <f>IF(Q6265&lt;&gt;0,Q6265+H6265+L6265,0)</f>
        <v/>
      </c>
      <c r="S6265" s="9">
        <f>VLOOKUP(OPERAC[[#This Row],[especie]],[1]!ESPECIES[#Data],9,FALSE)</f>
        <v/>
      </c>
    </row>
    <row r="6266">
      <c r="A6266" s="4" t="n">
        <v>2218</v>
      </c>
      <c r="B6266" s="5" t="n">
        <v>44720</v>
      </c>
      <c r="C6266" s="13" t="inlineStr">
        <is>
          <t>CPR</t>
        </is>
      </c>
      <c r="D6266" s="13" t="n">
        <v>42</v>
      </c>
      <c r="E6266" s="10">
        <f>IF(D6266&gt;0,VLOOKUP(OPERAC[[#This Row],[COD CART]],[1]!MatrizCortoLargoCyl[#All],3,0),"")</f>
        <v/>
      </c>
      <c r="F6266" s="13" t="inlineStr">
        <is>
          <t>HYDR</t>
        </is>
      </c>
      <c r="G6266" s="6" t="n">
        <v>500</v>
      </c>
      <c r="H6266" s="6" t="n">
        <v>-7507.5</v>
      </c>
      <c r="I6266" s="7">
        <f>-H6266/G6266</f>
        <v/>
      </c>
      <c r="J6266" s="5" t="n">
        <v>44722</v>
      </c>
      <c r="K6266" s="6" t="n">
        <v>500</v>
      </c>
      <c r="L6266" s="6">
        <f>+OPERAC[[#This Row],[cantidad venta]]*12.837</f>
        <v/>
      </c>
      <c r="M6266" s="7">
        <f>IF(N6266=0,+L6266+H6266,0)</f>
        <v/>
      </c>
      <c r="N6266" s="7">
        <f>IF((+G6266-K6266)=0,0,+G6266-K6266)</f>
        <v/>
      </c>
      <c r="O6266" s="7">
        <f>IF(N6266=0,0,(L6266+H6266)/-N6266)</f>
        <v/>
      </c>
      <c r="P6266" s="7">
        <f>VLOOKUP(OPERAC[[#This Row],[especie]],[1]!ESPECIES[#All],6,0)</f>
        <v/>
      </c>
      <c r="Q6266" s="7">
        <f>IF(N6266&lt;&gt;0,P6266*N6266,0)</f>
        <v/>
      </c>
      <c r="R6266" s="8">
        <f>IF(Q6266&lt;&gt;0,Q6266+H6266+L6266,0)</f>
        <v/>
      </c>
      <c r="S6266" s="9">
        <f>VLOOKUP(OPERAC[[#This Row],[especie]],[1]!ESPECIES[#Data],9,FALSE)</f>
        <v/>
      </c>
    </row>
    <row r="6267">
      <c r="A6267" s="4" t="n">
        <v>16783</v>
      </c>
      <c r="B6267" s="5" t="n">
        <v>44607</v>
      </c>
      <c r="C6267" s="13" t="inlineStr">
        <is>
          <t>CPR</t>
        </is>
      </c>
      <c r="D6267" s="13" t="n">
        <v>32</v>
      </c>
      <c r="E6267" s="10">
        <f>IF(D6267&gt;0,VLOOKUP(OPERAC[[#This Row],[COD CART]],[1]!MatrizCortoLargoCyl[#All],3,0),"")</f>
        <v/>
      </c>
      <c r="F6267" s="13" t="inlineStr">
        <is>
          <t>UPST/CYL/80,00/18-03-22</t>
        </is>
      </c>
      <c r="G6267" s="6" t="n">
        <v>100</v>
      </c>
      <c r="H6267" s="6" t="n">
        <v>-7511.537769999999</v>
      </c>
      <c r="I6267" s="7">
        <f>-H6267/G6267</f>
        <v/>
      </c>
      <c r="J6267" s="11" t="n">
        <v>44608</v>
      </c>
      <c r="K6267" s="6" t="n">
        <v>100</v>
      </c>
      <c r="L6267" s="6" t="n">
        <v>7956.448</v>
      </c>
      <c r="M6267" s="7">
        <f>IF(N6267=0,+L6267+H6267,0)</f>
        <v/>
      </c>
      <c r="N6267" s="7">
        <f>IF((+G6267-K6267)=0,0,+G6267-K6267)</f>
        <v/>
      </c>
      <c r="O6267" s="7">
        <f>IF(N6267=0,0,(L6267+H6267)/-N6267)</f>
        <v/>
      </c>
      <c r="P6267" s="7">
        <f>VLOOKUP(OPERAC[[#This Row],[especie]],[1]!ESPECIES[#All],6,0)</f>
        <v/>
      </c>
      <c r="Q6267" s="7">
        <f>IF(N6267&lt;&gt;0,P6267*N6267,0)</f>
        <v/>
      </c>
      <c r="R6267" s="8">
        <f>IF(Q6267&lt;&gt;0,Q6267+H6267+L6267,0)</f>
        <v/>
      </c>
      <c r="S6267" s="9">
        <f>VLOOKUP(OPERAC[[#This Row],[especie]],[1]!ESPECIES[#Data],9,FALSE)</f>
        <v/>
      </c>
    </row>
    <row r="6268">
      <c r="A6268" s="4" t="n">
        <v>3728</v>
      </c>
      <c r="B6268" s="5" t="n">
        <v>44580</v>
      </c>
      <c r="C6268" s="13" t="inlineStr">
        <is>
          <t>CPR</t>
        </is>
      </c>
      <c r="D6268" s="13" t="n">
        <v>40</v>
      </c>
      <c r="E6268" s="10">
        <f>IF(D6268&gt;0,VLOOKUP(OPERAC[[#This Row],[COD CART]],[1]!MatrizCortoLargoCyl[#All],3,0),"")</f>
        <v/>
      </c>
      <c r="F6268" s="13" t="inlineStr">
        <is>
          <t>ARKK</t>
        </is>
      </c>
      <c r="G6268" s="6" t="n">
        <v>100</v>
      </c>
      <c r="H6268" s="6" t="n">
        <v>-7528.45</v>
      </c>
      <c r="I6268" s="7">
        <f>-H6268/G6268</f>
        <v/>
      </c>
      <c r="J6268" s="11" t="n"/>
      <c r="K6268" s="6" t="n"/>
      <c r="L6268" s="6" t="n"/>
      <c r="M6268" s="7">
        <f>IF(N6268=0,+L6268+H6268,0)</f>
        <v/>
      </c>
      <c r="N6268" s="7">
        <f>IF((+G6268-K6268)=0,0,+G6268-K6268)</f>
        <v/>
      </c>
      <c r="O6268" s="7">
        <f>IF(N6268=0,0,(L6268+H6268)/-N6268)</f>
        <v/>
      </c>
      <c r="P6268" s="7">
        <f>VLOOKUP(OPERAC[[#This Row],[especie]],[1]!ESPECIES[#All],6,0)</f>
        <v/>
      </c>
      <c r="Q6268" s="7">
        <f>IF(N6268&lt;&gt;0,P6268*N6268,0)</f>
        <v/>
      </c>
      <c r="R6268" s="8">
        <f>IF(Q6268&lt;&gt;0,Q6268+H6268+L6268,0)</f>
        <v/>
      </c>
      <c r="S6268" s="9">
        <f>VLOOKUP(OPERAC[[#This Row],[especie]],[1]!ESPECIES[#Data],9,FALSE)</f>
        <v/>
      </c>
    </row>
    <row r="6269">
      <c r="A6269" s="4" t="n">
        <v>3787</v>
      </c>
      <c r="B6269" s="5" t="n">
        <v>44607</v>
      </c>
      <c r="C6269" s="13" t="inlineStr">
        <is>
          <t>CPR</t>
        </is>
      </c>
      <c r="D6269" s="13" t="n">
        <v>32</v>
      </c>
      <c r="E6269" s="10">
        <f>IF(D6269&gt;0,VLOOKUP(OPERAC[[#This Row],[COD CART]],[1]!MatrizCortoLargoCyl[#All],3,0),"")</f>
        <v/>
      </c>
      <c r="F6269" s="13" t="inlineStr">
        <is>
          <t>UPST/CYL/80,00/18-03-22</t>
        </is>
      </c>
      <c r="G6269" s="6" t="n">
        <v>100</v>
      </c>
      <c r="H6269" s="6" t="n">
        <v>-7567.157770000001</v>
      </c>
      <c r="I6269" s="7">
        <f>-H6269/G6269</f>
        <v/>
      </c>
      <c r="J6269" s="11" t="n">
        <v>44608</v>
      </c>
      <c r="K6269" s="6" t="n">
        <v>100</v>
      </c>
      <c r="L6269" s="6" t="n">
        <v>7956.448</v>
      </c>
      <c r="M6269" s="7">
        <f>IF(N6269=0,+L6269+H6269,0)</f>
        <v/>
      </c>
      <c r="N6269" s="7">
        <f>IF((+G6269-K6269)=0,0,+G6269-K6269)</f>
        <v/>
      </c>
      <c r="O6269" s="7">
        <f>IF(N6269=0,0,(L6269+H6269)/-N6269)</f>
        <v/>
      </c>
      <c r="P6269" s="7">
        <f>VLOOKUP(OPERAC[[#This Row],[especie]],[1]!ESPECIES[#All],6,0)</f>
        <v/>
      </c>
      <c r="Q6269" s="7">
        <f>IF(N6269&lt;&gt;0,P6269*N6269,0)</f>
        <v/>
      </c>
      <c r="R6269" s="8">
        <f>IF(Q6269&lt;&gt;0,Q6269+H6269+L6269,0)</f>
        <v/>
      </c>
      <c r="S6269" s="9">
        <f>VLOOKUP(OPERAC[[#This Row],[especie]],[1]!ESPECIES[#Data],9,FALSE)</f>
        <v/>
      </c>
    </row>
    <row r="6270">
      <c r="A6270" s="4" t="n">
        <v>13240</v>
      </c>
      <c r="B6270" s="5" t="n">
        <v>44607</v>
      </c>
      <c r="C6270" s="13" t="inlineStr">
        <is>
          <t>CPR</t>
        </is>
      </c>
      <c r="D6270" s="13" t="n">
        <v>32</v>
      </c>
      <c r="E6270" s="10">
        <f>IF(D6270&gt;0,VLOOKUP(OPERAC[[#This Row],[COD CART]],[1]!MatrizCortoLargoCyl[#All],3,0),"")</f>
        <v/>
      </c>
      <c r="F6270" s="13" t="inlineStr">
        <is>
          <t>UPST/CYL/80,00/18-03-22</t>
        </is>
      </c>
      <c r="G6270" s="6" t="n">
        <v>100</v>
      </c>
      <c r="H6270" s="6" t="n">
        <v>-7567.157770000001</v>
      </c>
      <c r="I6270" s="7">
        <f>-H6270/G6270</f>
        <v/>
      </c>
      <c r="J6270" s="11" t="n">
        <v>44608</v>
      </c>
      <c r="K6270" s="6" t="n">
        <v>100</v>
      </c>
      <c r="L6270" s="6" t="n">
        <v>7956.448</v>
      </c>
      <c r="M6270" s="7">
        <f>IF(N6270=0,+L6270+H6270,0)</f>
        <v/>
      </c>
      <c r="N6270" s="7">
        <f>IF((+G6270-K6270)=0,0,+G6270-K6270)</f>
        <v/>
      </c>
      <c r="O6270" s="7">
        <f>IF(N6270=0,0,(L6270+H6270)/-N6270)</f>
        <v/>
      </c>
      <c r="P6270" s="7">
        <f>VLOOKUP(OPERAC[[#This Row],[especie]],[1]!ESPECIES[#All],6,0)</f>
        <v/>
      </c>
      <c r="Q6270" s="7">
        <f>IF(N6270&lt;&gt;0,P6270*N6270,0)</f>
        <v/>
      </c>
      <c r="R6270" s="8">
        <f>IF(Q6270&lt;&gt;0,Q6270+H6270+L6270,0)</f>
        <v/>
      </c>
      <c r="S6270" s="9">
        <f>VLOOKUP(OPERAC[[#This Row],[especie]],[1]!ESPECIES[#Data],9,FALSE)</f>
        <v/>
      </c>
    </row>
    <row r="6271">
      <c r="A6271" s="4" t="n">
        <v>16780</v>
      </c>
      <c r="B6271" s="5" t="n">
        <v>44607</v>
      </c>
      <c r="C6271" s="13" t="inlineStr">
        <is>
          <t>CPR</t>
        </is>
      </c>
      <c r="D6271" s="13" t="n">
        <v>32</v>
      </c>
      <c r="E6271" s="10">
        <f>IF(D6271&gt;0,VLOOKUP(OPERAC[[#This Row],[COD CART]],[1]!MatrizCortoLargoCyl[#All],3,0),"")</f>
        <v/>
      </c>
      <c r="F6271" s="13" t="inlineStr">
        <is>
          <t>UPST/CYL/80,00/18-03-22</t>
        </is>
      </c>
      <c r="G6271" s="6" t="n">
        <v>100</v>
      </c>
      <c r="H6271" s="6" t="n">
        <v>-7567.157770000001</v>
      </c>
      <c r="I6271" s="7">
        <f>-H6271/G6271</f>
        <v/>
      </c>
      <c r="J6271" s="11" t="n">
        <v>44608</v>
      </c>
      <c r="K6271" s="6" t="n">
        <v>100</v>
      </c>
      <c r="L6271" s="6" t="n">
        <v>7956.448</v>
      </c>
      <c r="M6271" s="7">
        <f>IF(N6271=0,+L6271+H6271,0)</f>
        <v/>
      </c>
      <c r="N6271" s="7">
        <f>IF((+G6271-K6271)=0,0,+G6271-K6271)</f>
        <v/>
      </c>
      <c r="O6271" s="7">
        <f>IF(N6271=0,0,(L6271+H6271)/-N6271)</f>
        <v/>
      </c>
      <c r="P6271" s="7">
        <f>VLOOKUP(OPERAC[[#This Row],[especie]],[1]!ESPECIES[#All],6,0)</f>
        <v/>
      </c>
      <c r="Q6271" s="7">
        <f>IF(N6271&lt;&gt;0,P6271*N6271,0)</f>
        <v/>
      </c>
      <c r="R6271" s="8">
        <f>IF(Q6271&lt;&gt;0,Q6271+H6271+L6271,0)</f>
        <v/>
      </c>
      <c r="S6271" s="9">
        <f>VLOOKUP(OPERAC[[#This Row],[especie]],[1]!ESPECIES[#Data],9,FALSE)</f>
        <v/>
      </c>
    </row>
    <row r="6272">
      <c r="A6272" s="4" t="n">
        <v>18651</v>
      </c>
      <c r="B6272" s="5" t="n">
        <v>44607</v>
      </c>
      <c r="C6272" s="13" t="inlineStr">
        <is>
          <t>CPR</t>
        </is>
      </c>
      <c r="D6272" s="13" t="n">
        <v>32</v>
      </c>
      <c r="E6272" s="10">
        <f>IF(D6272&gt;0,VLOOKUP(OPERAC[[#This Row],[COD CART]],[1]!MatrizCortoLargoCyl[#All],3,0),"")</f>
        <v/>
      </c>
      <c r="F6272" s="13" t="inlineStr">
        <is>
          <t>UPST/CYL/80,00/18-03-22</t>
        </is>
      </c>
      <c r="G6272" s="6" t="n">
        <v>100</v>
      </c>
      <c r="H6272" s="6" t="n">
        <v>-7567.157770000001</v>
      </c>
      <c r="I6272" s="7">
        <f>-H6272/G6272</f>
        <v/>
      </c>
      <c r="J6272" s="11" t="n">
        <v>44608</v>
      </c>
      <c r="K6272" s="6" t="n">
        <v>100</v>
      </c>
      <c r="L6272" s="6" t="n">
        <v>7956.448</v>
      </c>
      <c r="M6272" s="7">
        <f>IF(N6272=0,+L6272+H6272,0)</f>
        <v/>
      </c>
      <c r="N6272" s="7">
        <f>IF((+G6272-K6272)=0,0,+G6272-K6272)</f>
        <v/>
      </c>
      <c r="O6272" s="7">
        <f>IF(N6272=0,0,(L6272+H6272)/-N6272)</f>
        <v/>
      </c>
      <c r="P6272" s="7">
        <f>VLOOKUP(OPERAC[[#This Row],[especie]],[1]!ESPECIES[#All],6,0)</f>
        <v/>
      </c>
      <c r="Q6272" s="7">
        <f>IF(N6272&lt;&gt;0,P6272*N6272,0)</f>
        <v/>
      </c>
      <c r="R6272" s="8">
        <f>IF(Q6272&lt;&gt;0,Q6272+H6272+L6272,0)</f>
        <v/>
      </c>
      <c r="S6272" s="9">
        <f>VLOOKUP(OPERAC[[#This Row],[especie]],[1]!ESPECIES[#Data],9,FALSE)</f>
        <v/>
      </c>
    </row>
    <row r="6273">
      <c r="A6273" s="4" t="n">
        <v>18690</v>
      </c>
      <c r="B6273" s="5" t="n">
        <v>44607</v>
      </c>
      <c r="C6273" s="13" t="inlineStr">
        <is>
          <t>CPR</t>
        </is>
      </c>
      <c r="D6273" s="13" t="n">
        <v>32</v>
      </c>
      <c r="E6273" s="10">
        <f>IF(D6273&gt;0,VLOOKUP(OPERAC[[#This Row],[COD CART]],[1]!MatrizCortoLargoCyl[#All],3,0),"")</f>
        <v/>
      </c>
      <c r="F6273" s="13" t="inlineStr">
        <is>
          <t>UPST/CYL/80,00/18-03-22</t>
        </is>
      </c>
      <c r="G6273" s="6" t="n">
        <v>100</v>
      </c>
      <c r="H6273" s="6" t="n">
        <v>-7567.157770000001</v>
      </c>
      <c r="I6273" s="7">
        <f>-H6273/G6273</f>
        <v/>
      </c>
      <c r="J6273" s="11" t="n">
        <v>44608</v>
      </c>
      <c r="K6273" s="6" t="n">
        <v>100</v>
      </c>
      <c r="L6273" s="6" t="n">
        <v>7956.448</v>
      </c>
      <c r="M6273" s="7">
        <f>IF(N6273=0,+L6273+H6273,0)</f>
        <v/>
      </c>
      <c r="N6273" s="7">
        <f>IF((+G6273-K6273)=0,0,+G6273-K6273)</f>
        <v/>
      </c>
      <c r="O6273" s="7">
        <f>IF(N6273=0,0,(L6273+H6273)/-N6273)</f>
        <v/>
      </c>
      <c r="P6273" s="7">
        <f>VLOOKUP(OPERAC[[#This Row],[especie]],[1]!ESPECIES[#All],6,0)</f>
        <v/>
      </c>
      <c r="Q6273" s="7">
        <f>IF(N6273&lt;&gt;0,P6273*N6273,0)</f>
        <v/>
      </c>
      <c r="R6273" s="8">
        <f>IF(Q6273&lt;&gt;0,Q6273+H6273+L6273,0)</f>
        <v/>
      </c>
      <c r="S6273" s="9">
        <f>VLOOKUP(OPERAC[[#This Row],[especie]],[1]!ESPECIES[#Data],9,FALSE)</f>
        <v/>
      </c>
    </row>
    <row r="6274">
      <c r="A6274" s="4" t="n">
        <v>19878</v>
      </c>
      <c r="B6274" s="5" t="n">
        <v>44607</v>
      </c>
      <c r="C6274" s="13" t="inlineStr">
        <is>
          <t>CPR</t>
        </is>
      </c>
      <c r="D6274" s="13" t="n">
        <v>32</v>
      </c>
      <c r="E6274" s="10">
        <f>IF(D6274&gt;0,VLOOKUP(OPERAC[[#This Row],[COD CART]],[1]!MatrizCortoLargoCyl[#All],3,0),"")</f>
        <v/>
      </c>
      <c r="F6274" s="13" t="inlineStr">
        <is>
          <t>UPST/CYL/80,00/18-03-22</t>
        </is>
      </c>
      <c r="G6274" s="6" t="n">
        <v>100</v>
      </c>
      <c r="H6274" s="6" t="n">
        <v>-7567.157770000001</v>
      </c>
      <c r="I6274" s="7">
        <f>-H6274/G6274</f>
        <v/>
      </c>
      <c r="J6274" s="11" t="n">
        <v>44608</v>
      </c>
      <c r="K6274" s="6" t="n">
        <v>100</v>
      </c>
      <c r="L6274" s="6" t="n">
        <v>7956.448</v>
      </c>
      <c r="M6274" s="7">
        <f>IF(N6274=0,+L6274+H6274,0)</f>
        <v/>
      </c>
      <c r="N6274" s="7">
        <f>IF((+G6274-K6274)=0,0,+G6274-K6274)</f>
        <v/>
      </c>
      <c r="O6274" s="7">
        <f>IF(N6274=0,0,(L6274+H6274)/-N6274)</f>
        <v/>
      </c>
      <c r="P6274" s="7">
        <f>VLOOKUP(OPERAC[[#This Row],[especie]],[1]!ESPECIES[#All],6,0)</f>
        <v/>
      </c>
      <c r="Q6274" s="7">
        <f>IF(N6274&lt;&gt;0,P6274*N6274,0)</f>
        <v/>
      </c>
      <c r="R6274" s="8">
        <f>IF(Q6274&lt;&gt;0,Q6274+H6274+L6274,0)</f>
        <v/>
      </c>
      <c r="S6274" s="9">
        <f>VLOOKUP(OPERAC[[#This Row],[especie]],[1]!ESPECIES[#Data],9,FALSE)</f>
        <v/>
      </c>
    </row>
    <row r="6275">
      <c r="A6275" s="4" t="n">
        <v>7860</v>
      </c>
      <c r="B6275" s="5" t="n">
        <v>44200</v>
      </c>
      <c r="C6275" s="13" t="inlineStr">
        <is>
          <t>CPR</t>
        </is>
      </c>
      <c r="D6275" s="13" t="n">
        <v>41</v>
      </c>
      <c r="E6275" s="10">
        <f>IF(D6275&gt;0,VLOOKUP(OPERAC[[#This Row],[COD CART]],[1]!MatrizCortoLargoCyl[#All],3,0),"")</f>
        <v/>
      </c>
      <c r="F6275" s="13" t="inlineStr">
        <is>
          <t>AAL</t>
        </is>
      </c>
      <c r="G6275" s="6" t="n">
        <v>500</v>
      </c>
      <c r="H6275" s="6" t="n">
        <v>-7582.7</v>
      </c>
      <c r="I6275" s="7">
        <f>-H6275/G6275</f>
        <v/>
      </c>
      <c r="J6275" s="11" t="n"/>
      <c r="K6275" s="6" t="n"/>
      <c r="L6275" s="6" t="n"/>
      <c r="M6275" s="7">
        <f>IF(N6275=0,+L6275+H6275,0)</f>
        <v/>
      </c>
      <c r="N6275" s="7">
        <f>IF((+G6275-K6275)=0,0,+G6275-K6275)</f>
        <v/>
      </c>
      <c r="O6275" s="7">
        <f>IF(N6275=0,0,(L6275+H6275)/-N6275)</f>
        <v/>
      </c>
      <c r="P6275" s="7">
        <f>VLOOKUP(OPERAC[[#This Row],[especie]],[1]!ESPECIES[#All],6,0)</f>
        <v/>
      </c>
      <c r="Q6275" s="7">
        <f>IF(N6275&lt;&gt;0,P6275*N6275,0)</f>
        <v/>
      </c>
      <c r="R6275" s="8">
        <f>IF(Q6275&lt;&gt;0,Q6275+H6275+L6275,0)</f>
        <v/>
      </c>
      <c r="S6275" s="9">
        <f>VLOOKUP(OPERAC[[#This Row],[especie]],[1]!ESPECIES[#Data],9,FALSE)</f>
        <v/>
      </c>
    </row>
    <row r="6276">
      <c r="A6276" s="4" t="n">
        <v>18651</v>
      </c>
      <c r="B6276" s="5" t="n">
        <v>44616</v>
      </c>
      <c r="C6276" s="13" t="inlineStr">
        <is>
          <t>CPR</t>
        </is>
      </c>
      <c r="D6276" s="13" t="n">
        <v>32</v>
      </c>
      <c r="E6276" s="10">
        <f>IF(D6276&gt;0,VLOOKUP(OPERAC[[#This Row],[COD CART]],[1]!MatrizCortoLargoCyl[#All],3,0),"")</f>
        <v/>
      </c>
      <c r="F6276" s="13" t="inlineStr">
        <is>
          <t>HMY/CYL/4,00/18-03-22</t>
        </is>
      </c>
      <c r="G6276" s="6" t="n">
        <v>2000</v>
      </c>
      <c r="H6276" s="6" t="n">
        <v>-7674.1</v>
      </c>
      <c r="I6276" s="7">
        <f>-H6276/G6276</f>
        <v/>
      </c>
      <c r="J6276" s="11" t="n">
        <v>44621</v>
      </c>
      <c r="K6276" s="6">
        <f>1000+1000</f>
        <v/>
      </c>
      <c r="L6276" s="6">
        <f>3893.72+3939.5</f>
        <v/>
      </c>
      <c r="M6276" s="7">
        <f>IF(N6276=0,+L6276+H6276,0)</f>
        <v/>
      </c>
      <c r="N6276" s="7">
        <f>IF((+G6276-K6276)=0,0,+G6276-K6276)</f>
        <v/>
      </c>
      <c r="O6276" s="7">
        <f>IF(N6276=0,0,(L6276+H6276)/-N6276)</f>
        <v/>
      </c>
      <c r="P6276" s="7">
        <f>VLOOKUP(OPERAC[[#This Row],[especie]],[1]!ESPECIES[#All],6,0)</f>
        <v/>
      </c>
      <c r="Q6276" s="7">
        <f>IF(N6276&lt;&gt;0,P6276*N6276,0)</f>
        <v/>
      </c>
      <c r="R6276" s="8">
        <f>IF(Q6276&lt;&gt;0,Q6276+H6276+L6276,0)</f>
        <v/>
      </c>
      <c r="S6276" s="9">
        <f>VLOOKUP(OPERAC[[#This Row],[especie]],[1]!ESPECIES[#Data],9,FALSE)</f>
        <v/>
      </c>
    </row>
    <row r="6277">
      <c r="A6277" s="4" t="n">
        <v>2218</v>
      </c>
      <c r="B6277" s="5" t="n">
        <v>44480</v>
      </c>
      <c r="C6277" s="13" t="inlineStr">
        <is>
          <t>CPR</t>
        </is>
      </c>
      <c r="D6277" s="13" t="n">
        <v>31</v>
      </c>
      <c r="E6277" s="10">
        <f>IF(D6277&gt;0,VLOOKUP(OPERAC[[#This Row],[COD CART]],[1]!MatrizCortoLargoCyl[#All],3,0),"")</f>
        <v/>
      </c>
      <c r="F6277" s="13" t="inlineStr">
        <is>
          <t>GGAL</t>
        </is>
      </c>
      <c r="G6277" s="6" t="n">
        <v>750</v>
      </c>
      <c r="H6277" s="6" t="n">
        <v>-7819.058</v>
      </c>
      <c r="I6277" s="7">
        <f>-H6277/G6277</f>
        <v/>
      </c>
      <c r="J6277" s="11" t="n">
        <v>44692</v>
      </c>
      <c r="K6277" s="6" t="n">
        <v>750</v>
      </c>
      <c r="L6277" s="6">
        <f>+OPERAC[[#This Row],[cantidad venta]]*9.032</f>
        <v/>
      </c>
      <c r="M6277" s="7">
        <f>IF(N6277=0,+L6277+H6277,0)</f>
        <v/>
      </c>
      <c r="N6277" s="7">
        <f>IF((+G6277-K6277)=0,0,+G6277-K6277)</f>
        <v/>
      </c>
      <c r="O6277" s="7">
        <f>IF(N6277=0,0,(L6277+H6277)/-N6277)</f>
        <v/>
      </c>
      <c r="P6277" s="7">
        <f>VLOOKUP(OPERAC[[#This Row],[especie]],[1]!ESPECIES[#All],6,0)</f>
        <v/>
      </c>
      <c r="Q6277" s="7">
        <f>IF(N6277&lt;&gt;0,P6277*N6277,0)</f>
        <v/>
      </c>
      <c r="R6277" s="8">
        <f>IF(Q6277&lt;&gt;0,Q6277+H6277+L6277,0)</f>
        <v/>
      </c>
      <c r="S6277" s="9">
        <f>VLOOKUP(OPERAC[[#This Row],[especie]],[1]!ESPECIES[#Data],9,FALSE)</f>
        <v/>
      </c>
    </row>
    <row r="6278">
      <c r="A6278" s="4" t="n">
        <v>10079</v>
      </c>
      <c r="B6278" s="5" t="n">
        <v>44533</v>
      </c>
      <c r="C6278" s="13" t="inlineStr">
        <is>
          <t>CPR</t>
        </is>
      </c>
      <c r="D6278" s="13" t="n">
        <v>32</v>
      </c>
      <c r="E6278" s="10">
        <f>IF(D6278&gt;0,VLOOKUP(OPERAC[[#This Row],[COD CART]],[1]!MatrizCortoLargoCyl[#All],3,0),"")</f>
        <v/>
      </c>
      <c r="F6278" s="13" t="inlineStr">
        <is>
          <t>AAL/CYL/21,00/14-04-22</t>
        </is>
      </c>
      <c r="G6278" s="6" t="n">
        <v>500</v>
      </c>
      <c r="H6278" s="6">
        <f>-8058.32+54.74+58.82</f>
        <v/>
      </c>
      <c r="I6278" s="7">
        <f>-H6278/G6278</f>
        <v/>
      </c>
      <c r="J6278" s="11" t="n">
        <v>44664</v>
      </c>
      <c r="K6278" s="6" t="n">
        <v>500</v>
      </c>
      <c r="L6278" s="6" t="n">
        <v>9325.058000000001</v>
      </c>
      <c r="M6278" s="7">
        <f>IF(N6278=0,+L6278+H6278,0)</f>
        <v/>
      </c>
      <c r="N6278" s="7">
        <f>IF((+G6278-K6278)=0,0,+G6278-K6278)</f>
        <v/>
      </c>
      <c r="O6278" s="7">
        <f>IF(N6278=0,0,(L6278+H6278)/-N6278)</f>
        <v/>
      </c>
      <c r="P6278" s="7">
        <f>VLOOKUP(OPERAC[[#This Row],[especie]],[1]!ESPECIES[#All],6,0)</f>
        <v/>
      </c>
      <c r="Q6278" s="7">
        <f>IF(N6278&lt;&gt;0,P6278*N6278,0)</f>
        <v/>
      </c>
      <c r="R6278" s="8">
        <f>IF(Q6278&lt;&gt;0,Q6278+H6278+L6278,0)</f>
        <v/>
      </c>
      <c r="S6278" s="9">
        <f>VLOOKUP(OPERAC[[#This Row],[especie]],[1]!ESPECIES[#Data],9,FALSE)</f>
        <v/>
      </c>
    </row>
    <row r="6279">
      <c r="A6279" s="4" t="n">
        <v>10079</v>
      </c>
      <c r="B6279" s="5" t="n">
        <v>44608</v>
      </c>
      <c r="C6279" s="13" t="inlineStr">
        <is>
          <t>CPR</t>
        </is>
      </c>
      <c r="D6279" s="13" t="n">
        <v>32</v>
      </c>
      <c r="E6279" s="10">
        <f>IF(D6279&gt;0,VLOOKUP(OPERAC[[#This Row],[COD CART]],[1]!MatrizCortoLargoCyl[#All],3,0),"")</f>
        <v/>
      </c>
      <c r="F6279" s="13" t="inlineStr">
        <is>
          <t>DDD/CYL/17,00/01-04-22</t>
        </is>
      </c>
      <c r="G6279" s="6" t="n">
        <v>500</v>
      </c>
      <c r="H6279" s="6">
        <f>-8147.081+98.63+82.27</f>
        <v/>
      </c>
      <c r="I6279" s="7">
        <f>-H6279/G6279</f>
        <v/>
      </c>
      <c r="J6279" s="11" t="n">
        <v>44649</v>
      </c>
      <c r="K6279" s="6" t="n">
        <v>500</v>
      </c>
      <c r="L6279" s="6" t="n">
        <v>8309.9</v>
      </c>
      <c r="M6279" s="7">
        <f>IF(N6279=0,+L6279+H6279,0)</f>
        <v/>
      </c>
      <c r="N6279" s="7">
        <f>IF((+G6279-K6279)=0,0,+G6279-K6279)</f>
        <v/>
      </c>
      <c r="O6279" s="7">
        <f>IF(N6279=0,0,(L6279+H6279)/-N6279)</f>
        <v/>
      </c>
      <c r="P6279" s="7">
        <f>VLOOKUP(OPERAC[[#This Row],[especie]],[1]!ESPECIES[#All],6,0)</f>
        <v/>
      </c>
      <c r="Q6279" s="7">
        <f>IF(N6279&lt;&gt;0,P6279*N6279,0)</f>
        <v/>
      </c>
      <c r="R6279" s="8">
        <f>IF(Q6279&lt;&gt;0,Q6279+H6279+L6279,0)</f>
        <v/>
      </c>
      <c r="S6279" s="9">
        <f>VLOOKUP(OPERAC[[#This Row],[especie]],[1]!ESPECIES[#Data],9,FALSE)</f>
        <v/>
      </c>
    </row>
    <row r="6280">
      <c r="A6280" s="4" t="n">
        <v>3021</v>
      </c>
      <c r="B6280" s="5" t="n">
        <v>44692</v>
      </c>
      <c r="C6280" s="13" t="inlineStr">
        <is>
          <t>CPR</t>
        </is>
      </c>
      <c r="D6280" s="13" t="n">
        <v>32</v>
      </c>
      <c r="E6280" s="10">
        <f>IF(D6280&gt;0,VLOOKUP(OPERAC[[#This Row],[COD CART]],[1]!MatrizCortoLargoCyl[#All],3,0),"")</f>
        <v/>
      </c>
      <c r="F6280" s="13" t="inlineStr">
        <is>
          <t>BABA/CYL/90,00/27-05-22</t>
        </is>
      </c>
      <c r="G6280" s="6" t="n">
        <v>100</v>
      </c>
      <c r="H6280" s="6">
        <f>-79.86*OPERAC[[#This Row],[cantidad]]</f>
        <v/>
      </c>
      <c r="I6280" s="7">
        <f>-H6280/G6280</f>
        <v/>
      </c>
      <c r="J6280" s="11" t="n">
        <v>44708</v>
      </c>
      <c r="K6280" s="6" t="n">
        <v>100</v>
      </c>
      <c r="L6280" s="6" t="n">
        <v>8991</v>
      </c>
      <c r="M6280" s="7">
        <f>IF(N6280=0,+L6280+H6280,0)</f>
        <v/>
      </c>
      <c r="N6280" s="7">
        <f>IF((+G6280-K6280)=0,0,+G6280-K6280)</f>
        <v/>
      </c>
      <c r="O6280" s="7">
        <f>IF(N6280=0,0,(L6280+H6280)/-N6280)</f>
        <v/>
      </c>
      <c r="P6280" s="7">
        <f>VLOOKUP(OPERAC[[#This Row],[especie]],[1]!ESPECIES[#All],6,0)</f>
        <v/>
      </c>
      <c r="Q6280" s="7">
        <f>IF(N6280&lt;&gt;0,P6280*N6280,0)</f>
        <v/>
      </c>
      <c r="R6280" s="8">
        <f>IF(Q6280&lt;&gt;0,Q6280+H6280+L6280,0)</f>
        <v/>
      </c>
      <c r="S6280" s="9">
        <f>VLOOKUP(OPERAC[[#This Row],[especie]],[1]!ESPECIES[#Data],9,FALSE)</f>
        <v/>
      </c>
    </row>
    <row r="6281">
      <c r="A6281" s="4" t="n">
        <v>18651</v>
      </c>
      <c r="B6281" s="5" t="n">
        <v>44533</v>
      </c>
      <c r="C6281" s="13" t="inlineStr">
        <is>
          <t>CPR</t>
        </is>
      </c>
      <c r="D6281" s="13" t="n">
        <v>32</v>
      </c>
      <c r="E6281" s="10">
        <f>IF(D6281&gt;0,VLOOKUP(OPERAC[[#This Row],[COD CART]],[1]!MatrizCortoLargoCyl[#All],3,0),"")</f>
        <v/>
      </c>
      <c r="F6281" s="13" t="inlineStr">
        <is>
          <t>EDIT</t>
        </is>
      </c>
      <c r="G6281" s="6" t="n">
        <v>300</v>
      </c>
      <c r="H6281" s="6">
        <f>-26.92*OPERAC[[#This Row],[cantidad]]+9.904+69.44</f>
        <v/>
      </c>
      <c r="I6281" s="7">
        <f>-H6281/G6281</f>
        <v/>
      </c>
      <c r="J6281" s="11" t="n">
        <v>44564</v>
      </c>
      <c r="K6281" s="6">
        <f>100+200</f>
        <v/>
      </c>
      <c r="L6281" s="6">
        <f>2697.096+2137.674</f>
        <v/>
      </c>
      <c r="M6281" s="7">
        <f>IF(N6281=0,+L6281+H6281,0)</f>
        <v/>
      </c>
      <c r="N6281" s="7">
        <f>IF((+G6281-K6281)=0,0,+G6281-K6281)</f>
        <v/>
      </c>
      <c r="O6281" s="7">
        <f>IF(N6281=0,0,(L6281+H6281)/-N6281)</f>
        <v/>
      </c>
      <c r="P6281" s="7">
        <f>VLOOKUP(OPERAC[[#This Row],[especie]],[1]!ESPECIES[#All],6,0)</f>
        <v/>
      </c>
      <c r="Q6281" s="7">
        <f>IF(N6281&lt;&gt;0,P6281*N6281,0)</f>
        <v/>
      </c>
      <c r="R6281" s="8">
        <f>IF(Q6281&lt;&gt;0,Q6281+H6281+L6281,0)</f>
        <v/>
      </c>
      <c r="S6281" s="9">
        <f>VLOOKUP(OPERAC[[#This Row],[especie]],[1]!ESPECIES[#Data],9,FALSE)</f>
        <v/>
      </c>
    </row>
    <row r="6282">
      <c r="A6282" s="4" t="n">
        <v>19867</v>
      </c>
      <c r="B6282" s="5" t="n">
        <v>44582</v>
      </c>
      <c r="C6282" s="13" t="inlineStr">
        <is>
          <t>CPR</t>
        </is>
      </c>
      <c r="D6282" s="13" t="n">
        <v>40</v>
      </c>
      <c r="E6282" s="10">
        <f>IF(D6282&gt;0,VLOOKUP(OPERAC[[#This Row],[COD CART]],[1]!MatrizCortoLargoCyl[#All],3,0),"")</f>
        <v/>
      </c>
      <c r="F6282" s="13" t="inlineStr">
        <is>
          <t>ACB</t>
        </is>
      </c>
      <c r="G6282" s="6" t="n">
        <v>320</v>
      </c>
      <c r="H6282" s="6">
        <f>-25*OPERAC[[#This Row],[cantidad]]</f>
        <v/>
      </c>
      <c r="I6282" s="7">
        <f>-H6282/G6282</f>
        <v/>
      </c>
      <c r="J6282" s="11" t="n">
        <v>44606</v>
      </c>
      <c r="K6282" s="6" t="n">
        <v>320</v>
      </c>
      <c r="L6282" s="6" t="n">
        <v>1398.579</v>
      </c>
      <c r="M6282" s="7">
        <f>IF(N6282=0,+L6282+H6282,0)</f>
        <v/>
      </c>
      <c r="N6282" s="7">
        <f>IF((+G6282-K6282)=0,0,+G6282-K6282)</f>
        <v/>
      </c>
      <c r="O6282" s="7">
        <f>IF(N6282=0,0,(L6282+H6282)/-N6282)</f>
        <v/>
      </c>
      <c r="P6282" s="7">
        <f>VLOOKUP(OPERAC[[#This Row],[especie]],[1]!ESPECIES[#All],6,0)</f>
        <v/>
      </c>
      <c r="Q6282" s="7">
        <f>IF(N6282&lt;&gt;0,P6282*N6282,0)</f>
        <v/>
      </c>
      <c r="R6282" s="8">
        <f>IF(Q6282&lt;&gt;0,Q6282+H6282+L6282,0)</f>
        <v/>
      </c>
      <c r="S6282" s="9">
        <f>VLOOKUP(OPERAC[[#This Row],[especie]],[1]!ESPECIES[#Data],9,FALSE)</f>
        <v/>
      </c>
    </row>
    <row r="6283">
      <c r="A6283" s="4" t="n">
        <v>19888</v>
      </c>
      <c r="B6283" s="5" t="n">
        <v>44582</v>
      </c>
      <c r="C6283" s="13" t="inlineStr">
        <is>
          <t>CPR</t>
        </is>
      </c>
      <c r="D6283" s="13" t="n">
        <v>40</v>
      </c>
      <c r="E6283" s="10">
        <f>IF(D6283&gt;0,VLOOKUP(OPERAC[[#This Row],[COD CART]],[1]!MatrizCortoLargoCyl[#All],3,0),"")</f>
        <v/>
      </c>
      <c r="F6283" s="13" t="inlineStr">
        <is>
          <t>ACB</t>
        </is>
      </c>
      <c r="G6283" s="6" t="n">
        <v>320</v>
      </c>
      <c r="H6283" s="6">
        <f>-25*OPERAC[[#This Row],[cantidad]]</f>
        <v/>
      </c>
      <c r="I6283" s="7">
        <f>-H6283/G6283</f>
        <v/>
      </c>
      <c r="J6283" s="11" t="n">
        <v>44606</v>
      </c>
      <c r="K6283" s="6" t="n">
        <v>320</v>
      </c>
      <c r="L6283" s="6" t="n">
        <v>1398.579</v>
      </c>
      <c r="M6283" s="7">
        <f>IF(N6283=0,+L6283+H6283,0)</f>
        <v/>
      </c>
      <c r="N6283" s="7">
        <f>IF((+G6283-K6283)=0,0,+G6283-K6283)</f>
        <v/>
      </c>
      <c r="O6283" s="7">
        <f>IF(N6283=0,0,(L6283+H6283)/-N6283)</f>
        <v/>
      </c>
      <c r="P6283" s="7">
        <f>VLOOKUP(OPERAC[[#This Row],[especie]],[1]!ESPECIES[#All],6,0)</f>
        <v/>
      </c>
      <c r="Q6283" s="7">
        <f>IF(N6283&lt;&gt;0,P6283*N6283,0)</f>
        <v/>
      </c>
      <c r="R6283" s="8">
        <f>IF(Q6283&lt;&gt;0,Q6283+H6283+L6283,0)</f>
        <v/>
      </c>
      <c r="S6283" s="9">
        <f>VLOOKUP(OPERAC[[#This Row],[especie]],[1]!ESPECIES[#Data],9,FALSE)</f>
        <v/>
      </c>
    </row>
    <row r="6284">
      <c r="A6284" s="4" t="n">
        <v>13185</v>
      </c>
      <c r="B6284" s="5" t="n">
        <v>44533</v>
      </c>
      <c r="C6284" s="13" t="inlineStr">
        <is>
          <t>CPR</t>
        </is>
      </c>
      <c r="D6284" s="13" t="n">
        <v>32</v>
      </c>
      <c r="E6284" s="10">
        <f>IF(D6284&gt;0,VLOOKUP(OPERAC[[#This Row],[COD CART]],[1]!MatrizCortoLargoCyl[#All],3,0),"")</f>
        <v/>
      </c>
      <c r="F6284" s="13" t="inlineStr">
        <is>
          <t>TLRY/CYL/11,00/21-01-22</t>
        </is>
      </c>
      <c r="G6284" s="6" t="n">
        <v>1000</v>
      </c>
      <c r="H6284" s="6" t="n">
        <v>-8269.75</v>
      </c>
      <c r="I6284" s="7">
        <f>-H6284/G6284</f>
        <v/>
      </c>
      <c r="J6284" s="11" t="n">
        <v>44575</v>
      </c>
      <c r="K6284" s="6" t="n">
        <v>1000</v>
      </c>
      <c r="L6284" s="6" t="n">
        <v>6831.694</v>
      </c>
      <c r="M6284" s="7">
        <f>IF(N6284=0,+L6284+H6284,0)</f>
        <v/>
      </c>
      <c r="N6284" s="7">
        <f>IF((+G6284-K6284)=0,0,+G6284-K6284)</f>
        <v/>
      </c>
      <c r="O6284" s="7">
        <f>IF(N6284=0,0,(L6284+H6284)/-N6284)</f>
        <v/>
      </c>
      <c r="P6284" s="7">
        <f>VLOOKUP(OPERAC[[#This Row],[especie]],[1]!ESPECIES[#All],6,0)</f>
        <v/>
      </c>
      <c r="Q6284" s="7">
        <f>IF(N6284&lt;&gt;0,P6284*N6284,0)</f>
        <v/>
      </c>
      <c r="R6284" s="8">
        <f>IF(Q6284&lt;&gt;0,Q6284+H6284+L6284,0)</f>
        <v/>
      </c>
      <c r="S6284" s="9">
        <f>VLOOKUP(OPERAC[[#This Row],[especie]],[1]!ESPECIES[#Data],9,FALSE)</f>
        <v/>
      </c>
    </row>
    <row r="6285">
      <c r="A6285" s="4" t="n">
        <v>16783</v>
      </c>
      <c r="B6285" s="5" t="n">
        <v>44683</v>
      </c>
      <c r="C6285" s="13" t="inlineStr">
        <is>
          <t>CPR</t>
        </is>
      </c>
      <c r="D6285" s="13" t="n">
        <v>32</v>
      </c>
      <c r="E6285" s="10">
        <f>IF(D6285&gt;0,VLOOKUP(OPERAC[[#This Row],[COD CART]],[1]!MatrizCortoLargoCyl[#All],3,0),"")</f>
        <v/>
      </c>
      <c r="F6285" s="13" t="inlineStr">
        <is>
          <t>AMD/CYL/95,00/20-05-22</t>
        </is>
      </c>
      <c r="G6285" s="6" t="n">
        <v>100</v>
      </c>
      <c r="H6285" s="6" t="n">
        <v>-8447.32</v>
      </c>
      <c r="I6285" s="7">
        <f>-H6285/G6285</f>
        <v/>
      </c>
      <c r="J6285" s="11" t="n">
        <v>44698</v>
      </c>
      <c r="K6285" s="6" t="n">
        <v>100</v>
      </c>
      <c r="L6285" s="6" t="n">
        <v>9352.975</v>
      </c>
      <c r="M6285" s="7">
        <f>IF(N6285=0,+L6285+H6285,0)</f>
        <v/>
      </c>
      <c r="N6285" s="7">
        <f>IF((+G6285-K6285)=0,0,+G6285-K6285)</f>
        <v/>
      </c>
      <c r="O6285" s="7">
        <f>IF(N6285=0,0,(L6285+H6285)/-N6285)</f>
        <v/>
      </c>
      <c r="P6285" s="7">
        <f>VLOOKUP(OPERAC[[#This Row],[especie]],[1]!ESPECIES[#All],6,0)</f>
        <v/>
      </c>
      <c r="Q6285" s="7">
        <f>IF(N6285&lt;&gt;0,P6285*N6285,0)</f>
        <v/>
      </c>
      <c r="R6285" s="8">
        <f>IF(Q6285&lt;&gt;0,Q6285+H6285+L6285,0)</f>
        <v/>
      </c>
      <c r="S6285" s="9">
        <f>VLOOKUP(OPERAC[[#This Row],[especie]],[1]!ESPECIES[#Data],9,FALSE)</f>
        <v/>
      </c>
    </row>
    <row r="6286">
      <c r="A6286" s="4" t="n">
        <v>10079</v>
      </c>
      <c r="B6286" s="5" t="n">
        <v>44533</v>
      </c>
      <c r="C6286" s="13" t="inlineStr">
        <is>
          <t>CPR</t>
        </is>
      </c>
      <c r="D6286" s="13" t="n">
        <v>32</v>
      </c>
      <c r="E6286" s="10">
        <f>IF(D6286&gt;0,VLOOKUP(OPERAC[[#This Row],[COD CART]],[1]!MatrizCortoLargoCyl[#All],3,0),"")</f>
        <v/>
      </c>
      <c r="F6286" s="13" t="inlineStr">
        <is>
          <t>TLRY/CYL/14,00/21-01-22</t>
        </is>
      </c>
      <c r="G6286" s="6" t="n">
        <v>1000</v>
      </c>
      <c r="H6286" s="6" t="n">
        <v>-8566.889999999999</v>
      </c>
      <c r="I6286" s="7">
        <f>-H6286/G6286</f>
        <v/>
      </c>
      <c r="J6286" s="11" t="n">
        <v>44574</v>
      </c>
      <c r="K6286" s="6" t="n">
        <v>1000</v>
      </c>
      <c r="L6286" s="6" t="n">
        <v>6988.43</v>
      </c>
      <c r="M6286" s="7">
        <f>IF(N6286=0,+L6286+H6286,0)</f>
        <v/>
      </c>
      <c r="N6286" s="7">
        <f>IF((+G6286-K6286)=0,0,+G6286-K6286)</f>
        <v/>
      </c>
      <c r="O6286" s="7">
        <f>IF(N6286=0,0,(L6286+H6286)/-N6286)</f>
        <v/>
      </c>
      <c r="P6286" s="7">
        <f>VLOOKUP(OPERAC[[#This Row],[especie]],[1]!ESPECIES[#All],6,0)</f>
        <v/>
      </c>
      <c r="Q6286" s="7">
        <f>IF(N6286&lt;&gt;0,P6286*N6286,0)</f>
        <v/>
      </c>
      <c r="R6286" s="8">
        <f>IF(Q6286&lt;&gt;0,Q6286+H6286+L6286,0)</f>
        <v/>
      </c>
      <c r="S6286" s="9">
        <f>VLOOKUP(OPERAC[[#This Row],[especie]],[1]!ESPECIES[#Data],9,FALSE)</f>
        <v/>
      </c>
    </row>
    <row r="6287">
      <c r="A6287" s="4" t="n">
        <v>3728</v>
      </c>
      <c r="B6287" s="5" t="n">
        <v>44426</v>
      </c>
      <c r="C6287" s="13" t="inlineStr">
        <is>
          <t>CPR</t>
        </is>
      </c>
      <c r="D6287" s="13" t="n">
        <v>40</v>
      </c>
      <c r="E6287" s="10">
        <f>IF(D6287&gt;0,VLOOKUP(OPERAC[[#This Row],[COD CART]],[1]!MatrizCortoLargoCyl[#All],3,0),"")</f>
        <v/>
      </c>
      <c r="F6287" s="13" t="inlineStr">
        <is>
          <t>BWAY</t>
        </is>
      </c>
      <c r="G6287" s="6" t="n">
        <v>1000</v>
      </c>
      <c r="H6287" s="6" t="n">
        <v>-8703.690000000001</v>
      </c>
      <c r="I6287" s="7">
        <f>-H6287/G6287</f>
        <v/>
      </c>
      <c r="J6287" s="11" t="n">
        <v>44518</v>
      </c>
      <c r="K6287" s="6">
        <f>108+92+300+500</f>
        <v/>
      </c>
      <c r="L6287" s="6">
        <f>873.465+689.219+2336.11+3993.41</f>
        <v/>
      </c>
      <c r="M6287" s="7">
        <f>IF(N6287=0,+L6287+H6287,0)</f>
        <v/>
      </c>
      <c r="N6287" s="7">
        <f>IF((+G6287-K6287)=0,0,+G6287-K6287)</f>
        <v/>
      </c>
      <c r="O6287" s="7">
        <f>IF(N6287=0,0,(L6287+H6287)/-N6287)</f>
        <v/>
      </c>
      <c r="P6287" s="7">
        <f>VLOOKUP(OPERAC[[#This Row],[especie]],[1]!ESPECIES[#All],6,0)</f>
        <v/>
      </c>
      <c r="Q6287" s="7">
        <f>IF(N6287&lt;&gt;0,P6287*N6287,0)</f>
        <v/>
      </c>
      <c r="R6287" s="8">
        <f>IF(Q6287&lt;&gt;0,Q6287+H6287+L6287,0)</f>
        <v/>
      </c>
      <c r="S6287" s="9">
        <f>VLOOKUP(OPERAC[[#This Row],[especie]],[1]!ESPECIES[#Data],9,FALSE)</f>
        <v/>
      </c>
    </row>
    <row r="6288">
      <c r="A6288" s="4" t="n">
        <v>16783</v>
      </c>
      <c r="B6288" s="5" t="n">
        <v>44698</v>
      </c>
      <c r="C6288" s="13" t="inlineStr">
        <is>
          <t>CPR</t>
        </is>
      </c>
      <c r="D6288" s="13" t="n">
        <v>32</v>
      </c>
      <c r="E6288" s="10">
        <f>IF(D6288&gt;0,VLOOKUP(OPERAC[[#This Row],[COD CART]],[1]!MatrizCortoLargoCyl[#All],3,0),"")</f>
        <v/>
      </c>
      <c r="F6288" s="13" t="inlineStr">
        <is>
          <t>BABA/CYL/92,0/27-05-22</t>
        </is>
      </c>
      <c r="G6288" s="6" t="n">
        <v>100</v>
      </c>
      <c r="H6288" s="6" t="n">
        <v>-8711.809999999999</v>
      </c>
      <c r="I6288" s="7">
        <f>-H6288/G6288</f>
        <v/>
      </c>
      <c r="J6288" s="11" t="n">
        <v>44708</v>
      </c>
      <c r="K6288" s="6" t="n">
        <v>100</v>
      </c>
      <c r="L6288" s="6" t="n">
        <v>9152.540000000001</v>
      </c>
      <c r="M6288" s="7">
        <f>IF(N6288=0,+L6288+H6288,0)</f>
        <v/>
      </c>
      <c r="N6288" s="7">
        <f>IF((+G6288-K6288)=0,0,+G6288-K6288)</f>
        <v/>
      </c>
      <c r="O6288" s="7">
        <f>IF(N6288=0,0,(L6288+H6288)/-N6288)</f>
        <v/>
      </c>
      <c r="P6288" s="7">
        <f>VLOOKUP(OPERAC[[#This Row],[especie]],[1]!ESPECIES[#All],6,0)</f>
        <v/>
      </c>
      <c r="Q6288" s="7">
        <f>IF(N6288&lt;&gt;0,P6288*N6288,0)</f>
        <v/>
      </c>
      <c r="R6288" s="8">
        <f>IF(Q6288&lt;&gt;0,Q6288+H6288+L6288,0)</f>
        <v/>
      </c>
      <c r="S6288" s="9">
        <f>VLOOKUP(OPERAC[[#This Row],[especie]],[1]!ESPECIES[#Data],9,FALSE)</f>
        <v/>
      </c>
    </row>
    <row r="6289">
      <c r="A6289" s="4" t="n">
        <v>3728</v>
      </c>
      <c r="B6289" s="5" t="n">
        <v>44707</v>
      </c>
      <c r="C6289" s="13" t="inlineStr">
        <is>
          <t>CPR</t>
        </is>
      </c>
      <c r="D6289" s="13" t="n">
        <v>32</v>
      </c>
      <c r="E6289" s="10">
        <f>IF(D6289&gt;0,VLOOKUP(OPERAC[[#This Row],[COD CART]],[1]!MatrizCortoLargoCyl[#All],3,0),"")</f>
        <v/>
      </c>
      <c r="F6289" s="13" t="inlineStr">
        <is>
          <t>BABA/CYL/105,00/10-06-22</t>
        </is>
      </c>
      <c r="G6289" s="6" t="n">
        <v>100</v>
      </c>
      <c r="H6289" s="6">
        <f>-9256.48+156.843</f>
        <v/>
      </c>
      <c r="I6289" s="7">
        <f>-H6289/G6289</f>
        <v/>
      </c>
      <c r="J6289" s="5" t="n">
        <v>44722</v>
      </c>
      <c r="K6289" s="6" t="n">
        <v>100</v>
      </c>
      <c r="L6289" s="6" t="n">
        <v>10439.15</v>
      </c>
      <c r="M6289" s="7">
        <f>IF(N6289=0,+L6289+H6289,0)</f>
        <v/>
      </c>
      <c r="N6289" s="7">
        <f>IF((+G6289-K6289)=0,0,+G6289-K6289)</f>
        <v/>
      </c>
      <c r="O6289" s="7">
        <f>IF(N6289=0,0,(L6289+H6289)/-N6289)</f>
        <v/>
      </c>
      <c r="P6289" s="7">
        <f>VLOOKUP(OPERAC[[#This Row],[especie]],[1]!ESPECIES[#All],6,0)</f>
        <v/>
      </c>
      <c r="Q6289" s="7">
        <f>IF(N6289&lt;&gt;0,P6289*N6289,0)</f>
        <v/>
      </c>
      <c r="R6289" s="8">
        <f>IF(Q6289&lt;&gt;0,Q6289+H6289+L6289,0)</f>
        <v/>
      </c>
      <c r="S6289" s="9">
        <f>VLOOKUP(OPERAC[[#This Row],[especie]],[1]!ESPECIES[#Data],9,FALSE)</f>
        <v/>
      </c>
    </row>
    <row r="6290">
      <c r="A6290" s="4" t="n">
        <v>12690</v>
      </c>
      <c r="B6290" s="5" t="n">
        <v>44644</v>
      </c>
      <c r="C6290" s="13" t="inlineStr">
        <is>
          <t>CPR</t>
        </is>
      </c>
      <c r="D6290" s="13" t="n">
        <v>32</v>
      </c>
      <c r="E6290" s="10">
        <f>IF(D6290&gt;0,VLOOKUP(OPERAC[[#This Row],[COD CART]],[1]!MatrizCortoLargoCyl[#All],3,0),"")</f>
        <v/>
      </c>
      <c r="F6290" s="13" t="inlineStr">
        <is>
          <t>LAC/CYL/32,50/15-07-22</t>
        </is>
      </c>
      <c r="G6290" s="6" t="n">
        <v>300</v>
      </c>
      <c r="H6290" s="6">
        <f>-9787.2555+386.685+148.725</f>
        <v/>
      </c>
      <c r="I6290" s="7">
        <f>-H6290/G6290</f>
        <v/>
      </c>
      <c r="J6290" s="11" t="n"/>
      <c r="K6290" s="6" t="n"/>
      <c r="L6290" s="6" t="n"/>
      <c r="M6290" s="7">
        <f>IF(N6290=0,+L6290+H6290,0)</f>
        <v/>
      </c>
      <c r="N6290" s="7">
        <f>IF((+G6290-K6290)=0,0,+G6290-K6290)</f>
        <v/>
      </c>
      <c r="O6290" s="7">
        <f>IF(N6290=0,0,(L6290+H6290)/-N6290)</f>
        <v/>
      </c>
      <c r="P6290" s="7">
        <f>VLOOKUP(OPERAC[[#This Row],[especie]],[1]!ESPECIES[#All],6,0)</f>
        <v/>
      </c>
      <c r="Q6290" s="7">
        <f>IF(N6290&lt;&gt;0,P6290*N6290,0)</f>
        <v/>
      </c>
      <c r="R6290" s="8">
        <f>IF(Q6290&lt;&gt;0,Q6290+H6290+L6290,0)</f>
        <v/>
      </c>
      <c r="S6290" s="9">
        <f>VLOOKUP(OPERAC[[#This Row],[especie]],[1]!ESPECIES[#Data],9,FALSE)</f>
        <v/>
      </c>
    </row>
    <row r="6291">
      <c r="A6291" s="4" t="n">
        <v>3728</v>
      </c>
      <c r="B6291" s="5" t="n">
        <v>44505</v>
      </c>
      <c r="C6291" s="13" t="inlineStr">
        <is>
          <t>CPR</t>
        </is>
      </c>
      <c r="D6291" s="13" t="n">
        <v>40</v>
      </c>
      <c r="E6291" s="10">
        <f>IF(D6291&gt;0,VLOOKUP(OPERAC[[#This Row],[COD CART]],[1]!MatrizCortoLargoCyl[#All],3,0),"")</f>
        <v/>
      </c>
      <c r="F6291" s="13" t="inlineStr">
        <is>
          <t>BYND</t>
        </is>
      </c>
      <c r="G6291" s="6" t="n">
        <v>100</v>
      </c>
      <c r="H6291" s="6" t="n">
        <v>-9486.85</v>
      </c>
      <c r="I6291" s="7">
        <f>-H6291/G6291</f>
        <v/>
      </c>
      <c r="J6291" s="11" t="n">
        <v>44606</v>
      </c>
      <c r="K6291" s="6" t="n">
        <v>100</v>
      </c>
      <c r="L6291" s="6" t="n">
        <v>5908.045</v>
      </c>
      <c r="M6291" s="7">
        <f>IF(N6291=0,+L6291+H6291,0)</f>
        <v/>
      </c>
      <c r="N6291" s="7">
        <f>IF((+G6291-K6291)=0,0,+G6291-K6291)</f>
        <v/>
      </c>
      <c r="O6291" s="7">
        <f>IF(N6291=0,0,(L6291+H6291)/-N6291)</f>
        <v/>
      </c>
      <c r="P6291" s="7">
        <f>VLOOKUP(OPERAC[[#This Row],[especie]],[1]!ESPECIES[#All],6,0)</f>
        <v/>
      </c>
      <c r="Q6291" s="7">
        <f>IF(N6291&lt;&gt;0,P6291*N6291,0)</f>
        <v/>
      </c>
      <c r="R6291" s="8">
        <f>IF(Q6291&lt;&gt;0,Q6291+H6291+L6291,0)</f>
        <v/>
      </c>
      <c r="S6291" s="9">
        <f>VLOOKUP(OPERAC[[#This Row],[especie]],[1]!ESPECIES[#Data],9,FALSE)</f>
        <v/>
      </c>
    </row>
    <row r="6292">
      <c r="A6292" s="4" t="n">
        <v>16783</v>
      </c>
      <c r="B6292" s="5" t="n">
        <v>44712</v>
      </c>
      <c r="C6292" s="13" t="inlineStr">
        <is>
          <t>CPR</t>
        </is>
      </c>
      <c r="D6292" s="13" t="n">
        <v>32</v>
      </c>
      <c r="E6292" s="10">
        <f>IF(D6292&gt;0,VLOOKUP(OPERAC[[#This Row],[COD CART]],[1]!MatrizCortoLargoCyl[#All],3,0),"")</f>
        <v/>
      </c>
      <c r="F6292" s="13" t="inlineStr">
        <is>
          <t>BABA/CYL/110,00/17-06-22</t>
        </is>
      </c>
      <c r="G6292" s="6" t="n">
        <v>100</v>
      </c>
      <c r="H6292" s="6" t="n">
        <v>-9778.84</v>
      </c>
      <c r="I6292" s="7">
        <f>-H6292/G6292</f>
        <v/>
      </c>
      <c r="J6292" s="5" t="n"/>
      <c r="K6292" s="6" t="n"/>
      <c r="L6292" s="6" t="n"/>
      <c r="M6292" s="7">
        <f>IF(N6292=0,+L6292+H6292,0)</f>
        <v/>
      </c>
      <c r="N6292" s="7">
        <f>IF((+G6292-K6292)=0,0,+G6292-K6292)</f>
        <v/>
      </c>
      <c r="O6292" s="7">
        <f>IF(N6292=0,0,(L6292+H6292)/-N6292)</f>
        <v/>
      </c>
      <c r="P6292" s="7">
        <f>VLOOKUP(OPERAC[[#This Row],[especie]],[1]!ESPECIES[#All],6,0)</f>
        <v/>
      </c>
      <c r="Q6292" s="7">
        <f>IF(N6292&lt;&gt;0,P6292*N6292,0)</f>
        <v/>
      </c>
      <c r="R6292" s="8">
        <f>IF(Q6292&lt;&gt;0,Q6292+H6292+L6292,0)</f>
        <v/>
      </c>
      <c r="S6292" s="9">
        <f>VLOOKUP(OPERAC[[#This Row],[especie]],[1]!ESPECIES[#Data],9,FALSE)</f>
        <v/>
      </c>
    </row>
    <row r="6293">
      <c r="A6293" s="4" t="n">
        <v>10079</v>
      </c>
      <c r="B6293" s="5" t="n">
        <v>44712</v>
      </c>
      <c r="C6293" s="13" t="inlineStr">
        <is>
          <t>CPR</t>
        </is>
      </c>
      <c r="D6293" s="13" t="n">
        <v>32</v>
      </c>
      <c r="E6293" s="10">
        <f>IF(D6293&gt;0,VLOOKUP(OPERAC[[#This Row],[COD CART]],[1]!MatrizCortoLargoCyl[#All],3,0),"")</f>
        <v/>
      </c>
      <c r="F6293" s="13" t="inlineStr">
        <is>
          <t>BABA/CYL/110,00/17-06-22</t>
        </is>
      </c>
      <c r="G6293" s="6" t="n">
        <v>100</v>
      </c>
      <c r="H6293" s="6" t="n">
        <v>-9818.709999999999</v>
      </c>
      <c r="I6293" s="7">
        <f>-H6293/G6293</f>
        <v/>
      </c>
      <c r="J6293" s="5" t="n"/>
      <c r="K6293" s="6" t="n"/>
      <c r="L6293" s="6" t="n"/>
      <c r="M6293" s="7">
        <f>IF(N6293=0,+L6293+H6293,0)</f>
        <v/>
      </c>
      <c r="N6293" s="7">
        <f>IF((+G6293-K6293)=0,0,+G6293-K6293)</f>
        <v/>
      </c>
      <c r="O6293" s="7">
        <f>IF(N6293=0,0,(L6293+H6293)/-N6293)</f>
        <v/>
      </c>
      <c r="P6293" s="7">
        <f>VLOOKUP(OPERAC[[#This Row],[especie]],[1]!ESPECIES[#All],6,0)</f>
        <v/>
      </c>
      <c r="Q6293" s="7">
        <f>IF(N6293&lt;&gt;0,P6293*N6293,0)</f>
        <v/>
      </c>
      <c r="R6293" s="8">
        <f>IF(Q6293&lt;&gt;0,Q6293+H6293+L6293,0)</f>
        <v/>
      </c>
      <c r="S6293" s="9">
        <f>VLOOKUP(OPERAC[[#This Row],[especie]],[1]!ESPECIES[#Data],9,FALSE)</f>
        <v/>
      </c>
    </row>
    <row r="6294">
      <c r="A6294" s="4" t="n">
        <v>13180</v>
      </c>
      <c r="B6294" s="5" t="n">
        <v>44586</v>
      </c>
      <c r="C6294" s="13" t="inlineStr">
        <is>
          <t>CPR</t>
        </is>
      </c>
      <c r="D6294" s="13" t="n">
        <v>43</v>
      </c>
      <c r="E6294" s="10">
        <f>IF(D6294&gt;0,VLOOKUP(OPERAC[[#This Row],[COD CART]],[1]!MatrizCortoLargoCyl[#All],3,0),"")</f>
        <v/>
      </c>
      <c r="F6294" s="13" t="inlineStr">
        <is>
          <t>GMBL</t>
        </is>
      </c>
      <c r="G6294" s="6">
        <f>2800+2800</f>
        <v/>
      </c>
      <c r="H6294" s="6">
        <f>-2856-7028</f>
        <v/>
      </c>
      <c r="I6294" s="7">
        <f>-H6294/G6294</f>
        <v/>
      </c>
      <c r="J6294" s="11" t="n">
        <v>44712</v>
      </c>
      <c r="K6294" s="6" t="n">
        <v>5600</v>
      </c>
      <c r="L6294" s="6" t="n">
        <v>2332.008</v>
      </c>
      <c r="M6294" s="7">
        <f>IF(N6294=0,+L6294+H6294,0)</f>
        <v/>
      </c>
      <c r="N6294" s="7">
        <f>IF((+G6294-K6294)=0,0,+G6294-K6294)</f>
        <v/>
      </c>
      <c r="O6294" s="7">
        <f>IF(N6294=0,0,(L6294+H6294)/-N6294)</f>
        <v/>
      </c>
      <c r="P6294" s="7">
        <f>VLOOKUP(OPERAC[[#This Row],[especie]],[1]!ESPECIES[#All],6,0)</f>
        <v/>
      </c>
      <c r="Q6294" s="7">
        <f>IF(N6294&lt;&gt;0,P6294*N6294,0)</f>
        <v/>
      </c>
      <c r="R6294" s="8">
        <f>IF(Q6294&lt;&gt;0,Q6294+H6294+L6294,0)</f>
        <v/>
      </c>
      <c r="S6294" s="9">
        <f>VLOOKUP(OPERAC[[#This Row],[especie]],[1]!ESPECIES[#Data],9,FALSE)</f>
        <v/>
      </c>
    </row>
    <row r="6295">
      <c r="A6295" s="4" t="n">
        <v>13240</v>
      </c>
      <c r="B6295" s="5" t="n">
        <v>44131</v>
      </c>
      <c r="C6295" s="13" t="inlineStr">
        <is>
          <t>CPR</t>
        </is>
      </c>
      <c r="D6295" s="13" t="n">
        <v>31</v>
      </c>
      <c r="E6295" s="10">
        <f>IF(D6295&gt;0,VLOOKUP(OPERAC[[#This Row],[COD CART]],[1]!MatrizCortoLargoCyl[#All],3,0),"")</f>
        <v/>
      </c>
      <c r="F6295" s="13" t="inlineStr">
        <is>
          <t>CYC LETRA</t>
        </is>
      </c>
      <c r="G6295" s="6" t="n">
        <v>10000</v>
      </c>
      <c r="H6295" s="6" t="n">
        <v>-10343</v>
      </c>
      <c r="I6295" s="7">
        <f>-H6295/G6295</f>
        <v/>
      </c>
      <c r="J6295" s="11" t="n"/>
      <c r="K6295" s="6" t="n"/>
      <c r="L6295" s="6" t="n"/>
      <c r="M6295" s="7">
        <f>IF(N6295=0,+L6295+H6295,0)</f>
        <v/>
      </c>
      <c r="N6295" s="7">
        <f>IF((+G6295-K6295)=0,0,+G6295-K6295)</f>
        <v/>
      </c>
      <c r="O6295" s="7">
        <f>IF(N6295=0,0,(L6295+H6295)/-N6295)</f>
        <v/>
      </c>
      <c r="P6295" s="7">
        <f>VLOOKUP(OPERAC[[#This Row],[especie]],[1]!ESPECIES[#All],6,0)</f>
        <v/>
      </c>
      <c r="Q6295" s="7">
        <f>IF(N6295&lt;&gt;0,P6295*N6295,0)</f>
        <v/>
      </c>
      <c r="R6295" s="8">
        <f>IF(Q6295&lt;&gt;0,Q6295+H6295+L6295,0)</f>
        <v/>
      </c>
      <c r="S6295" s="9">
        <f>VLOOKUP(OPERAC[[#This Row],[especie]],[1]!ESPECIES[#Data],9,FALSE)</f>
        <v/>
      </c>
    </row>
    <row r="6296">
      <c r="A6296" s="4" t="n">
        <v>3728</v>
      </c>
      <c r="B6296" s="5" t="n">
        <v>44489</v>
      </c>
      <c r="C6296" s="13" t="inlineStr">
        <is>
          <t>CPR</t>
        </is>
      </c>
      <c r="D6296" s="13" t="n">
        <v>43</v>
      </c>
      <c r="E6296" s="10">
        <f>IF(D6296&gt;0,VLOOKUP(OPERAC[[#This Row],[COD CART]],[1]!MatrizCortoLargoCyl[#All],3,0),"")</f>
        <v/>
      </c>
      <c r="F6296" s="13" t="inlineStr">
        <is>
          <t>SESN/CYL-PUT/1,00/19-01-24</t>
        </is>
      </c>
      <c r="G6296" s="6" t="n">
        <v>55000</v>
      </c>
      <c r="H6296" s="6">
        <f>-0.1885*OPERAC[[#This Row],[cantidad]]</f>
        <v/>
      </c>
      <c r="I6296" s="7">
        <f>-H6296/G6296</f>
        <v/>
      </c>
      <c r="J6296" s="11" t="n"/>
      <c r="K6296" s="6" t="n"/>
      <c r="L6296" s="6" t="n"/>
      <c r="M6296" s="7">
        <f>IF(N6296=0,+L6296+H6296,0)</f>
        <v/>
      </c>
      <c r="N6296" s="7">
        <f>IF((+G6296-K6296)=0,0,+G6296-K6296)</f>
        <v/>
      </c>
      <c r="O6296" s="7">
        <f>IF(N6296=0,0,(L6296+H6296)/-N6296)</f>
        <v/>
      </c>
      <c r="P6296" s="7">
        <f>VLOOKUP(OPERAC[[#This Row],[especie]],[1]!ESPECIES[#All],6,0)</f>
        <v/>
      </c>
      <c r="Q6296" s="7">
        <f>IF(N6296&lt;&gt;0,P6296*N6296,0)</f>
        <v/>
      </c>
      <c r="R6296" s="8">
        <f>IF(Q6296&lt;&gt;0,Q6296+H6296+L6296,0)</f>
        <v/>
      </c>
      <c r="S6296" s="9">
        <f>VLOOKUP(OPERAC[[#This Row],[especie]],[1]!ESPECIES[#Data],9,FALSE)</f>
        <v/>
      </c>
    </row>
    <row r="6297">
      <c r="A6297" s="4" t="n">
        <v>3728</v>
      </c>
      <c r="B6297" s="5" t="n">
        <v>44616</v>
      </c>
      <c r="C6297" s="13" t="inlineStr">
        <is>
          <t>CPR</t>
        </is>
      </c>
      <c r="D6297" s="13" t="n">
        <v>32</v>
      </c>
      <c r="E6297" s="10">
        <f>IF(D6297&gt;0,VLOOKUP(OPERAC[[#This Row],[COD CART]],[1]!MatrizCortoLargoCyl[#All],3,0),"")</f>
        <v/>
      </c>
      <c r="F6297" s="13" t="inlineStr">
        <is>
          <t>PLTR/CYL/12,00/14-04-22</t>
        </is>
      </c>
      <c r="G6297" s="6" t="n">
        <v>1000</v>
      </c>
      <c r="H6297" s="6" t="n">
        <v>-10476.893</v>
      </c>
      <c r="I6297" s="7">
        <f>-H6297/G6297</f>
        <v/>
      </c>
      <c r="J6297" s="11" t="n">
        <v>44615</v>
      </c>
      <c r="K6297" s="6" t="n">
        <v>1000</v>
      </c>
      <c r="L6297" s="6" t="n">
        <v>11511.32</v>
      </c>
      <c r="M6297" s="7">
        <f>IF(N6297=0,+L6297+H6297,0)</f>
        <v/>
      </c>
      <c r="N6297" s="7">
        <f>IF((+G6297-K6297)=0,0,+G6297-K6297)</f>
        <v/>
      </c>
      <c r="O6297" s="7">
        <f>IF(N6297=0,0,(L6297+H6297)/-N6297)</f>
        <v/>
      </c>
      <c r="P6297" s="7">
        <f>VLOOKUP(OPERAC[[#This Row],[especie]],[1]!ESPECIES[#All],6,0)</f>
        <v/>
      </c>
      <c r="Q6297" s="7">
        <f>IF(N6297&lt;&gt;0,P6297*N6297,0)</f>
        <v/>
      </c>
      <c r="R6297" s="8">
        <f>IF(Q6297&lt;&gt;0,Q6297+H6297+L6297,0)</f>
        <v/>
      </c>
      <c r="S6297" s="9">
        <f>VLOOKUP(OPERAC[[#This Row],[especie]],[1]!ESPECIES[#Data],9,FALSE)</f>
        <v/>
      </c>
    </row>
    <row r="6298">
      <c r="A6298" s="4" t="n">
        <v>3728</v>
      </c>
      <c r="B6298" s="5" t="n">
        <v>44638</v>
      </c>
      <c r="C6298" s="13" t="inlineStr">
        <is>
          <t>CPR</t>
        </is>
      </c>
      <c r="D6298" s="13" t="n">
        <v>32</v>
      </c>
      <c r="E6298" s="10">
        <f>IF(D6298&gt;0,VLOOKUP(OPERAC[[#This Row],[COD CART]],[1]!MatrizCortoLargoCyl[#All],3,0),"")</f>
        <v/>
      </c>
      <c r="F6298" s="13" t="inlineStr">
        <is>
          <t>BABA</t>
        </is>
      </c>
      <c r="G6298" s="6" t="n">
        <v>100</v>
      </c>
      <c r="H6298" s="6">
        <f>-10537.31-741.49+253.695-284.33+338.91+169.83</f>
        <v/>
      </c>
      <c r="I6298" s="7">
        <f>-H6298/G6298</f>
        <v/>
      </c>
      <c r="J6298" s="11" t="n">
        <v>44672</v>
      </c>
      <c r="K6298" s="6" t="n">
        <v>100</v>
      </c>
      <c r="L6298" s="6" t="n">
        <v>8812.179</v>
      </c>
      <c r="M6298" s="7">
        <f>IF(N6298=0,+L6298+H6298,0)</f>
        <v/>
      </c>
      <c r="N6298" s="7">
        <f>IF((+G6298-K6298)=0,0,+G6298-K6298)</f>
        <v/>
      </c>
      <c r="O6298" s="7">
        <f>IF(N6298=0,0,(L6298+H6298)/-N6298)</f>
        <v/>
      </c>
      <c r="P6298" s="7">
        <f>VLOOKUP(OPERAC[[#This Row],[especie]],[1]!ESPECIES[#All],6,0)</f>
        <v/>
      </c>
      <c r="Q6298" s="7">
        <f>IF(N6298&lt;&gt;0,P6298*N6298,0)</f>
        <v/>
      </c>
      <c r="R6298" s="8">
        <f>IF(Q6298&lt;&gt;0,Q6298+H6298+L6298,0)</f>
        <v/>
      </c>
      <c r="S6298" s="9">
        <f>VLOOKUP(OPERAC[[#This Row],[especie]],[1]!ESPECIES[#Data],9,FALSE)</f>
        <v/>
      </c>
    </row>
    <row r="6299">
      <c r="A6299" s="4" t="n">
        <v>2218</v>
      </c>
      <c r="B6299" s="5" t="n">
        <v>44712</v>
      </c>
      <c r="C6299" s="13" t="inlineStr">
        <is>
          <t>CPR</t>
        </is>
      </c>
      <c r="D6299" s="13" t="n">
        <v>32</v>
      </c>
      <c r="E6299" s="10">
        <f>IF(D6299&gt;0,VLOOKUP(OPERAC[[#This Row],[COD CART]],[1]!MatrizCortoLargoCyl[#All],3,0),"")</f>
        <v/>
      </c>
      <c r="F6299" s="13" t="inlineStr">
        <is>
          <t>BABA</t>
        </is>
      </c>
      <c r="G6299" s="6" t="n">
        <v>100</v>
      </c>
      <c r="H6299" s="6">
        <f>-9743.97-1273.272+199.8</f>
        <v/>
      </c>
      <c r="I6299" s="7">
        <f>-H6299/G6299</f>
        <v/>
      </c>
      <c r="J6299" s="5" t="n"/>
      <c r="K6299" s="6" t="n"/>
      <c r="L6299" s="6" t="n"/>
      <c r="M6299" s="7">
        <f>IF(N6299=0,+L6299+H6299,0)</f>
        <v/>
      </c>
      <c r="N6299" s="7">
        <f>IF((+G6299-K6299)=0,0,+G6299-K6299)</f>
        <v/>
      </c>
      <c r="O6299" s="7">
        <f>IF(N6299=0,0,(L6299+H6299)/-N6299)</f>
        <v/>
      </c>
      <c r="P6299" s="7">
        <f>VLOOKUP(OPERAC[[#This Row],[especie]],[1]!ESPECIES[#All],6,0)</f>
        <v/>
      </c>
      <c r="Q6299" s="7">
        <f>IF(N6299&lt;&gt;0,P6299*N6299,0)</f>
        <v/>
      </c>
      <c r="R6299" s="8">
        <f>IF(Q6299&lt;&gt;0,Q6299+H6299+L6299,0)</f>
        <v/>
      </c>
      <c r="S6299" s="9">
        <f>VLOOKUP(OPERAC[[#This Row],[especie]],[1]!ESPECIES[#Data],9,FALSE)</f>
        <v/>
      </c>
    </row>
    <row r="6300">
      <c r="A6300" s="4" t="n">
        <v>3021</v>
      </c>
      <c r="B6300" s="5" t="n">
        <v>44712</v>
      </c>
      <c r="C6300" s="13" t="inlineStr">
        <is>
          <t>CPR</t>
        </is>
      </c>
      <c r="D6300" s="13" t="n">
        <v>32</v>
      </c>
      <c r="E6300" s="10">
        <f>IF(D6300&gt;0,VLOOKUP(OPERAC[[#This Row],[COD CART]],[1]!MatrizCortoLargoCyl[#All],3,0),"")</f>
        <v/>
      </c>
      <c r="F6300" s="13" t="inlineStr">
        <is>
          <t>BABA</t>
        </is>
      </c>
      <c r="G6300" s="6" t="n">
        <v>100</v>
      </c>
      <c r="H6300" s="6">
        <f>-9743.97-1273.272+199.8</f>
        <v/>
      </c>
      <c r="I6300" s="7">
        <f>-H6300/G6300</f>
        <v/>
      </c>
      <c r="J6300" s="5" t="n"/>
      <c r="K6300" s="6" t="n"/>
      <c r="L6300" s="6" t="n"/>
      <c r="M6300" s="7">
        <f>IF(N6300=0,+L6300+H6300,0)</f>
        <v/>
      </c>
      <c r="N6300" s="7">
        <f>IF((+G6300-K6300)=0,0,+G6300-K6300)</f>
        <v/>
      </c>
      <c r="O6300" s="7">
        <f>IF(N6300=0,0,(L6300+H6300)/-N6300)</f>
        <v/>
      </c>
      <c r="P6300" s="7">
        <f>VLOOKUP(OPERAC[[#This Row],[especie]],[1]!ESPECIES[#All],6,0)</f>
        <v/>
      </c>
      <c r="Q6300" s="7">
        <f>IF(N6300&lt;&gt;0,P6300*N6300,0)</f>
        <v/>
      </c>
      <c r="R6300" s="8">
        <f>IF(Q6300&lt;&gt;0,Q6300+H6300+L6300,0)</f>
        <v/>
      </c>
      <c r="S6300" s="9">
        <f>VLOOKUP(OPERAC[[#This Row],[especie]],[1]!ESPECIES[#Data],9,FALSE)</f>
        <v/>
      </c>
    </row>
    <row r="6301">
      <c r="A6301" s="4" t="n">
        <v>3728</v>
      </c>
      <c r="B6301" s="5" t="n">
        <v>44712</v>
      </c>
      <c r="C6301" s="13" t="inlineStr">
        <is>
          <t>CPR</t>
        </is>
      </c>
      <c r="D6301" s="13" t="n">
        <v>32</v>
      </c>
      <c r="E6301" s="10">
        <f>IF(D6301&gt;0,VLOOKUP(OPERAC[[#This Row],[COD CART]],[1]!MatrizCortoLargoCyl[#All],3,0),"")</f>
        <v/>
      </c>
      <c r="F6301" s="13" t="inlineStr">
        <is>
          <t>BABA</t>
        </is>
      </c>
      <c r="G6301" s="6" t="n">
        <v>100</v>
      </c>
      <c r="H6301" s="6">
        <f>-9743.97-1273.272+199.8</f>
        <v/>
      </c>
      <c r="I6301" s="7">
        <f>-H6301/G6301</f>
        <v/>
      </c>
      <c r="J6301" s="5" t="n"/>
      <c r="K6301" s="6" t="n"/>
      <c r="L6301" s="6" t="n"/>
      <c r="M6301" s="7">
        <f>IF(N6301=0,+L6301+H6301,0)</f>
        <v/>
      </c>
      <c r="N6301" s="7">
        <f>IF((+G6301-K6301)=0,0,+G6301-K6301)</f>
        <v/>
      </c>
      <c r="O6301" s="7">
        <f>IF(N6301=0,0,(L6301+H6301)/-N6301)</f>
        <v/>
      </c>
      <c r="P6301" s="7">
        <f>VLOOKUP(OPERAC[[#This Row],[especie]],[1]!ESPECIES[#All],6,0)</f>
        <v/>
      </c>
      <c r="Q6301" s="7">
        <f>IF(N6301&lt;&gt;0,P6301*N6301,0)</f>
        <v/>
      </c>
      <c r="R6301" s="8">
        <f>IF(Q6301&lt;&gt;0,Q6301+H6301+L6301,0)</f>
        <v/>
      </c>
      <c r="S6301" s="9">
        <f>VLOOKUP(OPERAC[[#This Row],[especie]],[1]!ESPECIES[#Data],9,FALSE)</f>
        <v/>
      </c>
    </row>
    <row r="6302">
      <c r="A6302" s="4" t="n">
        <v>3728</v>
      </c>
      <c r="B6302" s="5" t="n">
        <v>44586</v>
      </c>
      <c r="C6302" s="13" t="inlineStr">
        <is>
          <t>CPR</t>
        </is>
      </c>
      <c r="D6302" s="13" t="n">
        <v>40</v>
      </c>
      <c r="E6302" s="10">
        <f>IF(D6302&gt;0,VLOOKUP(OPERAC[[#This Row],[COD CART]],[1]!MatrizCortoLargoCyl[#All],3,0),"")</f>
        <v/>
      </c>
      <c r="F6302" s="13" t="inlineStr">
        <is>
          <t>GMBL</t>
        </is>
      </c>
      <c r="G6302" s="6" t="n">
        <v>6000</v>
      </c>
      <c r="H6302" s="6">
        <f>-1.835*OPERAC[[#This Row],[cantidad]]</f>
        <v/>
      </c>
      <c r="I6302" s="7">
        <f>-H6302/G6302</f>
        <v/>
      </c>
      <c r="J6302" s="11" t="n">
        <v>44637</v>
      </c>
      <c r="K6302" s="6" t="n">
        <v>6000</v>
      </c>
      <c r="L6302" s="6" t="n">
        <v>4615.749</v>
      </c>
      <c r="M6302" s="7">
        <f>IF(N6302=0,+L6302+H6302,0)</f>
        <v/>
      </c>
      <c r="N6302" s="7">
        <f>IF((+G6302-K6302)=0,0,+G6302-K6302)</f>
        <v/>
      </c>
      <c r="O6302" s="7">
        <f>IF(N6302=0,0,(L6302+H6302)/-N6302)</f>
        <v/>
      </c>
      <c r="P6302" s="7">
        <f>VLOOKUP(OPERAC[[#This Row],[especie]],[1]!ESPECIES[#All],6,0)</f>
        <v/>
      </c>
      <c r="Q6302" s="7">
        <f>IF(N6302&lt;&gt;0,P6302*N6302,0)</f>
        <v/>
      </c>
      <c r="R6302" s="8">
        <f>IF(Q6302&lt;&gt;0,Q6302+H6302+L6302,0)</f>
        <v/>
      </c>
      <c r="S6302" s="9">
        <f>VLOOKUP(OPERAC[[#This Row],[especie]],[1]!ESPECIES[#Data],9,FALSE)</f>
        <v/>
      </c>
    </row>
    <row r="6303">
      <c r="A6303" s="4" t="n">
        <v>3728</v>
      </c>
      <c r="B6303" s="5" t="n">
        <v>44608</v>
      </c>
      <c r="C6303" s="13" t="inlineStr">
        <is>
          <t>CPR</t>
        </is>
      </c>
      <c r="D6303" s="13" t="n">
        <v>40</v>
      </c>
      <c r="E6303" s="10">
        <f>IF(D6303&gt;0,VLOOKUP(OPERAC[[#This Row],[COD CART]],[1]!MatrizCortoLargoCyl[#All],3,0),"")</f>
        <v/>
      </c>
      <c r="F6303" s="13" t="inlineStr">
        <is>
          <t>BYND</t>
        </is>
      </c>
      <c r="G6303" s="6" t="n">
        <v>200</v>
      </c>
      <c r="H6303" s="6" t="n">
        <v>-11119.515</v>
      </c>
      <c r="I6303" s="7">
        <f>-H6303/G6303</f>
        <v/>
      </c>
      <c r="J6303" s="11" t="n">
        <v>44690</v>
      </c>
      <c r="K6303" s="6" t="n">
        <v>200</v>
      </c>
      <c r="L6303" s="6" t="n">
        <v>6149.844</v>
      </c>
      <c r="M6303" s="7">
        <f>IF(N6303=0,+L6303+H6303,0)</f>
        <v/>
      </c>
      <c r="N6303" s="7">
        <f>IF((+G6303-K6303)=0,0,+G6303-K6303)</f>
        <v/>
      </c>
      <c r="O6303" s="7">
        <f>IF(N6303=0,0,(L6303+H6303)/-N6303)</f>
        <v/>
      </c>
      <c r="P6303" s="7">
        <f>VLOOKUP(OPERAC[[#This Row],[especie]],[1]!ESPECIES[#All],6,0)</f>
        <v/>
      </c>
      <c r="Q6303" s="7">
        <f>IF(N6303&lt;&gt;0,P6303*N6303,0)</f>
        <v/>
      </c>
      <c r="R6303" s="8">
        <f>IF(Q6303&lt;&gt;0,Q6303+H6303+L6303,0)</f>
        <v/>
      </c>
      <c r="S6303" s="9">
        <f>VLOOKUP(OPERAC[[#This Row],[especie]],[1]!ESPECIES[#Data],9,FALSE)</f>
        <v/>
      </c>
    </row>
    <row r="6304">
      <c r="A6304" s="4" t="n">
        <v>3728</v>
      </c>
      <c r="B6304" s="5" t="n">
        <v>44442</v>
      </c>
      <c r="C6304" s="13" t="inlineStr">
        <is>
          <t>CPR</t>
        </is>
      </c>
      <c r="D6304" s="13" t="n">
        <v>40</v>
      </c>
      <c r="E6304" s="10">
        <f>IF(D6304&gt;0,VLOOKUP(OPERAC[[#This Row],[COD CART]],[1]!MatrizCortoLargoCyl[#All],3,0),"")</f>
        <v/>
      </c>
      <c r="F6304" s="13" t="inlineStr">
        <is>
          <t>EDIT</t>
        </is>
      </c>
      <c r="G6304" s="6" t="n">
        <v>160</v>
      </c>
      <c r="H6304" s="6" t="n">
        <v>-11261.6496</v>
      </c>
      <c r="I6304" s="7">
        <f>-H6304/G6304</f>
        <v/>
      </c>
      <c r="J6304" s="11" t="n">
        <v>44455</v>
      </c>
      <c r="K6304" s="6">
        <f>60+100</f>
        <v/>
      </c>
      <c r="L6304" s="6">
        <f>3644.771+1679.6</f>
        <v/>
      </c>
      <c r="M6304" s="7">
        <f>IF(N6304=0,+L6304+H6304,0)</f>
        <v/>
      </c>
      <c r="N6304" s="7">
        <f>IF((+G6304-K6304)=0,0,+G6304-K6304)</f>
        <v/>
      </c>
      <c r="O6304" s="7">
        <f>IF(N6304=0,0,(L6304+H6304)/-N6304)</f>
        <v/>
      </c>
      <c r="P6304" s="7">
        <f>VLOOKUP(OPERAC[[#This Row],[especie]],[1]!ESPECIES[#All],6,0)</f>
        <v/>
      </c>
      <c r="Q6304" s="7">
        <f>IF(N6304&lt;&gt;0,P6304*N6304,0)</f>
        <v/>
      </c>
      <c r="R6304" s="8">
        <f>IF(Q6304&lt;&gt;0,Q6304+H6304+L6304,0)</f>
        <v/>
      </c>
      <c r="S6304" s="9">
        <f>VLOOKUP(OPERAC[[#This Row],[especie]],[1]!ESPECIES[#Data],9,FALSE)</f>
        <v/>
      </c>
    </row>
    <row r="6305">
      <c r="A6305" s="4" t="n">
        <v>3835</v>
      </c>
      <c r="B6305" s="5" t="n">
        <v>44531</v>
      </c>
      <c r="C6305" s="13" t="inlineStr">
        <is>
          <t>CPR</t>
        </is>
      </c>
      <c r="D6305" s="13" t="n">
        <v>40</v>
      </c>
      <c r="E6305" s="10">
        <f>IF(D6305&gt;0,VLOOKUP(OPERAC[[#This Row],[COD CART]],[1]!MatrizCortoLargoCyl[#All],3,0),"")</f>
        <v/>
      </c>
      <c r="F6305" s="13" t="inlineStr">
        <is>
          <t>MELI</t>
        </is>
      </c>
      <c r="G6305" s="6" t="n">
        <v>10</v>
      </c>
      <c r="H6305" s="6" t="n">
        <v>-11464.581</v>
      </c>
      <c r="I6305" s="7">
        <f>-H6305/G6305</f>
        <v/>
      </c>
      <c r="J6305" s="11" t="n">
        <v>44575</v>
      </c>
      <c r="K6305" s="6" t="n">
        <v>10</v>
      </c>
      <c r="L6305" s="6" t="n">
        <v>11102.226</v>
      </c>
      <c r="M6305" s="7">
        <f>IF(N6305=0,+L6305+H6305,0)</f>
        <v/>
      </c>
      <c r="N6305" s="7">
        <f>IF((+G6305-K6305)=0,0,+G6305-K6305)</f>
        <v/>
      </c>
      <c r="O6305" s="7">
        <f>IF(N6305=0,0,(L6305+H6305)/-N6305)</f>
        <v/>
      </c>
      <c r="P6305" s="7">
        <f>VLOOKUP(OPERAC[[#This Row],[especie]],[1]!ESPECIES[#All],6,0)</f>
        <v/>
      </c>
      <c r="Q6305" s="7">
        <f>IF(N6305&lt;&gt;0,P6305*N6305,0)</f>
        <v/>
      </c>
      <c r="R6305" s="8">
        <f>IF(Q6305&lt;&gt;0,Q6305+H6305+L6305,0)</f>
        <v/>
      </c>
      <c r="S6305" s="9">
        <f>VLOOKUP(OPERAC[[#This Row],[especie]],[1]!ESPECIES[#Data],9,FALSE)</f>
        <v/>
      </c>
    </row>
    <row r="6306">
      <c r="A6306" s="4" t="n">
        <v>7939</v>
      </c>
      <c r="B6306" s="5" t="n">
        <v>44562</v>
      </c>
      <c r="C6306" s="13" t="inlineStr">
        <is>
          <t>CPR</t>
        </is>
      </c>
      <c r="D6306" s="13" t="n">
        <v>41</v>
      </c>
      <c r="E6306" s="10">
        <f>IF(D6306&gt;0,VLOOKUP(OPERAC[[#This Row],[COD CART]],[1]!MatrizCortoLargoCyl[#All],3,0),"")</f>
        <v/>
      </c>
      <c r="F6306" s="13" t="inlineStr">
        <is>
          <t>BYND</t>
        </is>
      </c>
      <c r="G6306" s="6" t="n">
        <v>150</v>
      </c>
      <c r="H6306" s="6">
        <f>-77.06*OPERAC[[#This Row],[cantidad]]</f>
        <v/>
      </c>
      <c r="I6306" s="7">
        <f>-H6306/G6306</f>
        <v/>
      </c>
      <c r="J6306" s="11" t="n"/>
      <c r="K6306" s="6" t="n"/>
      <c r="L6306" s="6" t="n"/>
      <c r="M6306" s="7">
        <f>IF(N6306=0,+L6306+H6306,0)</f>
        <v/>
      </c>
      <c r="N6306" s="7">
        <f>IF((+G6306-K6306)=0,0,+G6306-K6306)</f>
        <v/>
      </c>
      <c r="O6306" s="7">
        <f>IF(N6306=0,0,(L6306+H6306)/-N6306)</f>
        <v/>
      </c>
      <c r="P6306" s="7">
        <f>VLOOKUP(OPERAC[[#This Row],[especie]],[1]!ESPECIES[#All],6,0)</f>
        <v/>
      </c>
      <c r="Q6306" s="7">
        <f>IF(N6306&lt;&gt;0,P6306*N6306,0)</f>
        <v/>
      </c>
      <c r="R6306" s="8">
        <f>IF(Q6306&lt;&gt;0,Q6306+H6306+L6306,0)</f>
        <v/>
      </c>
      <c r="S6306" s="9">
        <f>VLOOKUP(OPERAC[[#This Row],[especie]],[1]!ESPECIES[#Data],9,FALSE)</f>
        <v/>
      </c>
    </row>
    <row r="6307">
      <c r="A6307" s="4" t="n">
        <v>10079</v>
      </c>
      <c r="B6307" s="5" t="n">
        <v>44533</v>
      </c>
      <c r="C6307" s="13" t="inlineStr">
        <is>
          <t>CPR</t>
        </is>
      </c>
      <c r="D6307" s="13" t="n">
        <v>32</v>
      </c>
      <c r="E6307" s="10">
        <f>IF(D6307&gt;0,VLOOKUP(OPERAC[[#This Row],[COD CART]],[1]!MatrizCortoLargoCyl[#All],3,0),"")</f>
        <v/>
      </c>
      <c r="F6307" s="13" t="inlineStr">
        <is>
          <t>INO/CYL/8,00/18-02-22</t>
        </is>
      </c>
      <c r="G6307" s="6" t="n">
        <v>2000</v>
      </c>
      <c r="H6307" s="6">
        <f>-11737.93+94.145</f>
        <v/>
      </c>
      <c r="I6307" s="7">
        <f>-H6307/G6307</f>
        <v/>
      </c>
      <c r="J6307" s="11" t="n">
        <v>44592</v>
      </c>
      <c r="K6307" s="6">
        <f>1100+900</f>
        <v/>
      </c>
      <c r="L6307" s="6">
        <f>4528.266+3303.194</f>
        <v/>
      </c>
      <c r="M6307" s="7">
        <f>IF(N6307=0,+L6307+H6307,0)</f>
        <v/>
      </c>
      <c r="N6307" s="7">
        <f>IF((+G6307-K6307)=0,0,+G6307-K6307)</f>
        <v/>
      </c>
      <c r="O6307" s="7">
        <f>IF(N6307=0,0,(L6307+H6307)/-N6307)</f>
        <v/>
      </c>
      <c r="P6307" s="7">
        <f>VLOOKUP(OPERAC[[#This Row],[especie]],[1]!ESPECIES[#All],6,0)</f>
        <v/>
      </c>
      <c r="Q6307" s="7">
        <f>IF(N6307&lt;&gt;0,P6307*N6307,0)</f>
        <v/>
      </c>
      <c r="R6307" s="8">
        <f>IF(Q6307&lt;&gt;0,Q6307+H6307+L6307,0)</f>
        <v/>
      </c>
      <c r="S6307" s="9">
        <f>VLOOKUP(OPERAC[[#This Row],[especie]],[1]!ESPECIES[#Data],9,FALSE)</f>
        <v/>
      </c>
    </row>
    <row r="6308">
      <c r="A6308" s="4" t="n">
        <v>12690</v>
      </c>
      <c r="B6308" s="5" t="n">
        <v>44558</v>
      </c>
      <c r="C6308" s="13" t="inlineStr">
        <is>
          <t>CPR</t>
        </is>
      </c>
      <c r="D6308" s="13" t="n">
        <v>32</v>
      </c>
      <c r="E6308" s="10">
        <f>IF(D6308&gt;0,VLOOKUP(OPERAC[[#This Row],[COD CART]],[1]!MatrizCortoLargoCyl[#All],3,0),"")</f>
        <v/>
      </c>
      <c r="F6308" s="13" t="inlineStr">
        <is>
          <t>TSM/CYL/123,00/21-01-22</t>
        </is>
      </c>
      <c r="G6308" s="6" t="n">
        <v>100</v>
      </c>
      <c r="H6308" s="6" t="n">
        <v>-12008.59</v>
      </c>
      <c r="I6308" s="7">
        <f>-H6308/G6308</f>
        <v/>
      </c>
      <c r="J6308" s="11" t="n">
        <v>44574</v>
      </c>
      <c r="K6308" s="6" t="n">
        <v>100</v>
      </c>
      <c r="L6308" s="6" t="n">
        <v>12612.74</v>
      </c>
      <c r="M6308" s="7">
        <f>IF(N6308=0,+L6308+H6308,0)</f>
        <v/>
      </c>
      <c r="N6308" s="7">
        <f>IF((+G6308-K6308)=0,0,+G6308-K6308)</f>
        <v/>
      </c>
      <c r="O6308" s="7">
        <f>IF(N6308=0,0,(L6308+H6308)/-N6308)</f>
        <v/>
      </c>
      <c r="P6308" s="7">
        <f>VLOOKUP(OPERAC[[#This Row],[especie]],[1]!ESPECIES[#All],6,0)</f>
        <v/>
      </c>
      <c r="Q6308" s="7">
        <f>IF(N6308&lt;&gt;0,P6308*N6308,0)</f>
        <v/>
      </c>
      <c r="R6308" s="8">
        <f>IF(Q6308&lt;&gt;0,Q6308+H6308+L6308,0)</f>
        <v/>
      </c>
      <c r="S6308" s="9">
        <f>VLOOKUP(OPERAC[[#This Row],[especie]],[1]!ESPECIES[#Data],9,FALSE)</f>
        <v/>
      </c>
    </row>
    <row r="6309">
      <c r="A6309" s="4" t="n">
        <v>12690</v>
      </c>
      <c r="B6309" s="5" t="n">
        <v>44574</v>
      </c>
      <c r="C6309" s="13" t="inlineStr">
        <is>
          <t>CPR</t>
        </is>
      </c>
      <c r="D6309" s="13" t="n">
        <v>32</v>
      </c>
      <c r="E6309" s="10">
        <f>IF(D6309&gt;0,VLOOKUP(OPERAC[[#This Row],[COD CART]],[1]!MatrizCortoLargoCyl[#All],3,0),"")</f>
        <v/>
      </c>
      <c r="F6309" s="13" t="inlineStr">
        <is>
          <t>BABA/CYL/140,00/17-06-22</t>
        </is>
      </c>
      <c r="G6309" s="6" t="n">
        <v>100</v>
      </c>
      <c r="H6309" s="6">
        <f>-12574.71+153.02+157.97+68.69+60.482</f>
        <v/>
      </c>
      <c r="I6309" s="7">
        <f>-H6309/G6309</f>
        <v/>
      </c>
      <c r="J6309" s="11" t="n"/>
      <c r="K6309" s="6" t="n"/>
      <c r="L6309" s="6" t="n"/>
      <c r="M6309" s="7">
        <f>IF(N6309=0,+L6309+H6309,0)</f>
        <v/>
      </c>
      <c r="N6309" s="7">
        <f>IF((+G6309-K6309)=0,0,+G6309-K6309)</f>
        <v/>
      </c>
      <c r="O6309" s="7">
        <f>IF(N6309=0,0,(L6309+H6309)/-N6309)</f>
        <v/>
      </c>
      <c r="P6309" s="7">
        <f>VLOOKUP(OPERAC[[#This Row],[especie]],[1]!ESPECIES[#All],6,0)</f>
        <v/>
      </c>
      <c r="Q6309" s="7">
        <f>IF(N6309&lt;&gt;0,P6309*N6309,0)</f>
        <v/>
      </c>
      <c r="R6309" s="8">
        <f>IF(Q6309&lt;&gt;0,Q6309+H6309+L6309,0)</f>
        <v/>
      </c>
      <c r="S6309" s="9">
        <f>VLOOKUP(OPERAC[[#This Row],[especie]],[1]!ESPECIES[#Data],9,FALSE)</f>
        <v/>
      </c>
    </row>
    <row r="6310">
      <c r="A6310" s="4" t="n">
        <v>3728</v>
      </c>
      <c r="B6310" s="5" t="n">
        <v>44664</v>
      </c>
      <c r="C6310" s="13" t="inlineStr">
        <is>
          <t>CPR</t>
        </is>
      </c>
      <c r="D6310" s="13" t="n">
        <v>42</v>
      </c>
      <c r="E6310" s="10">
        <f>IF(D6310&gt;0,VLOOKUP(OPERAC[[#This Row],[COD CART]],[1]!MatrizCortoLargoCyl[#All],3,0),"")</f>
        <v/>
      </c>
      <c r="F6310" s="13" t="inlineStr">
        <is>
          <t>PSQ</t>
        </is>
      </c>
      <c r="G6310" s="6" t="n">
        <v>1000</v>
      </c>
      <c r="H6310" s="6" t="n">
        <v>-12340.113786</v>
      </c>
      <c r="I6310" s="7">
        <f>-H6310/G6310</f>
        <v/>
      </c>
      <c r="J6310" s="11" t="n">
        <v>44671</v>
      </c>
      <c r="K6310" s="6">
        <f>500+500</f>
        <v/>
      </c>
      <c r="L6310" s="6">
        <f>6099.434+6443.55</f>
        <v/>
      </c>
      <c r="M6310" s="7">
        <f>IF(N6310=0,+L6310+H6310,0)</f>
        <v/>
      </c>
      <c r="N6310" s="7">
        <f>IF((+G6310-K6310)=0,0,+G6310-K6310)</f>
        <v/>
      </c>
      <c r="O6310" s="7">
        <f>IF(N6310=0,0,(L6310+H6310)/-N6310)</f>
        <v/>
      </c>
      <c r="P6310" s="7">
        <f>VLOOKUP(OPERAC[[#This Row],[especie]],[1]!ESPECIES[#All],6,0)</f>
        <v/>
      </c>
      <c r="Q6310" s="7">
        <f>IF(N6310&lt;&gt;0,P6310*N6310,0)</f>
        <v/>
      </c>
      <c r="R6310" s="8">
        <f>IF(Q6310&lt;&gt;0,Q6310+H6310+L6310,0)</f>
        <v/>
      </c>
      <c r="S6310" s="9">
        <f>VLOOKUP(OPERAC[[#This Row],[especie]],[1]!ESPECIES[#Data],9,FALSE)</f>
        <v/>
      </c>
    </row>
    <row r="6311">
      <c r="A6311" s="4" t="n">
        <v>10079</v>
      </c>
      <c r="B6311" s="5" t="n">
        <v>44664</v>
      </c>
      <c r="C6311" s="13" t="inlineStr">
        <is>
          <t>CPR</t>
        </is>
      </c>
      <c r="D6311" s="13" t="n">
        <v>42</v>
      </c>
      <c r="E6311" s="10">
        <f>IF(D6311&gt;0,VLOOKUP(OPERAC[[#This Row],[COD CART]],[1]!MatrizCortoLargoCyl[#All],3,0),"")</f>
        <v/>
      </c>
      <c r="F6311" s="13" t="inlineStr">
        <is>
          <t>PSQ</t>
        </is>
      </c>
      <c r="G6311" s="6" t="n">
        <v>1000</v>
      </c>
      <c r="H6311" s="6" t="n">
        <v>-12432.572181</v>
      </c>
      <c r="I6311" s="7">
        <f>-H6311/G6311</f>
        <v/>
      </c>
      <c r="J6311" s="11" t="n">
        <v>44680</v>
      </c>
      <c r="K6311" s="6">
        <f>+OPERAC[[#This Row],[cantidad]]</f>
        <v/>
      </c>
      <c r="L6311" s="6">
        <f>12.848*OPERAC[[#This Row],[cantidad venta]]</f>
        <v/>
      </c>
      <c r="M6311" s="7">
        <f>IF(N6311=0,+L6311+H6311,0)</f>
        <v/>
      </c>
      <c r="N6311" s="7">
        <f>IF((+G6311-K6311)=0,0,+G6311-K6311)</f>
        <v/>
      </c>
      <c r="O6311" s="7">
        <f>IF(N6311=0,0,(L6311+H6311)/-N6311)</f>
        <v/>
      </c>
      <c r="P6311" s="7">
        <f>VLOOKUP(OPERAC[[#This Row],[especie]],[1]!ESPECIES[#All],6,0)</f>
        <v/>
      </c>
      <c r="Q6311" s="7">
        <f>IF(N6311&lt;&gt;0,P6311*N6311,0)</f>
        <v/>
      </c>
      <c r="R6311" s="8">
        <f>IF(Q6311&lt;&gt;0,Q6311+H6311+L6311,0)</f>
        <v/>
      </c>
      <c r="S6311" s="9">
        <f>VLOOKUP(OPERAC[[#This Row],[especie]],[1]!ESPECIES[#Data],9,FALSE)</f>
        <v/>
      </c>
    </row>
    <row r="6312">
      <c r="A6312" s="4" t="n">
        <v>18651</v>
      </c>
      <c r="B6312" s="5" t="n">
        <v>44574</v>
      </c>
      <c r="C6312" s="13" t="inlineStr">
        <is>
          <t>CPR</t>
        </is>
      </c>
      <c r="D6312" s="13" t="n">
        <v>32</v>
      </c>
      <c r="E6312" s="10">
        <f>IF(D6312&gt;0,VLOOKUP(OPERAC[[#This Row],[COD CART]],[1]!MatrizCortoLargoCyl[#All],3,0),"")</f>
        <v/>
      </c>
      <c r="F6312" s="13" t="inlineStr">
        <is>
          <t>BABA</t>
        </is>
      </c>
      <c r="G6312" s="6" t="n">
        <v>100</v>
      </c>
      <c r="H6312" s="6">
        <f>-13117.27+52.18+177.87+123.6</f>
        <v/>
      </c>
      <c r="I6312" s="7">
        <f>-H6312/G6312</f>
        <v/>
      </c>
      <c r="J6312" s="11" t="n">
        <v>44693</v>
      </c>
      <c r="K6312" s="6" t="n">
        <v>100</v>
      </c>
      <c r="L6312" s="6" t="n">
        <v>8003.589</v>
      </c>
      <c r="M6312" s="7">
        <f>IF(N6312=0,+L6312+H6312,0)</f>
        <v/>
      </c>
      <c r="N6312" s="7">
        <f>IF((+G6312-K6312)=0,0,+G6312-K6312)</f>
        <v/>
      </c>
      <c r="O6312" s="7">
        <f>IF(N6312=0,0,(L6312+H6312)/-N6312)</f>
        <v/>
      </c>
      <c r="P6312" s="7">
        <f>VLOOKUP(OPERAC[[#This Row],[especie]],[1]!ESPECIES[#All],6,0)</f>
        <v/>
      </c>
      <c r="Q6312" s="7">
        <f>IF(N6312&lt;&gt;0,P6312*N6312,0)</f>
        <v/>
      </c>
      <c r="R6312" s="8">
        <f>IF(Q6312&lt;&gt;0,Q6312+H6312+L6312,0)</f>
        <v/>
      </c>
      <c r="S6312" s="9">
        <f>VLOOKUP(OPERAC[[#This Row],[especie]],[1]!ESPECIES[#Data],9,FALSE)</f>
        <v/>
      </c>
    </row>
    <row r="6313">
      <c r="A6313" s="4" t="n">
        <v>10079</v>
      </c>
      <c r="B6313" s="5" t="n">
        <v>44574</v>
      </c>
      <c r="C6313" s="13" t="inlineStr">
        <is>
          <t>CPR</t>
        </is>
      </c>
      <c r="D6313" s="13" t="n">
        <v>32</v>
      </c>
      <c r="E6313" s="10">
        <f>IF(D6313&gt;0,VLOOKUP(OPERAC[[#This Row],[COD CART]],[1]!MatrizCortoLargoCyl[#All],3,0),"")</f>
        <v/>
      </c>
      <c r="F6313" s="13" t="inlineStr">
        <is>
          <t>BABA/CYL/140,00/14-04-22</t>
        </is>
      </c>
      <c r="G6313" s="6" t="n">
        <v>100</v>
      </c>
      <c r="H6313" s="6">
        <f>-13125.336+52.18+177.87+123.6</f>
        <v/>
      </c>
      <c r="I6313" s="7">
        <f>-H6313/G6313</f>
        <v/>
      </c>
      <c r="J6313" s="11" t="n">
        <v>44664</v>
      </c>
      <c r="K6313" s="6" t="n">
        <v>100</v>
      </c>
      <c r="L6313" s="6" t="n">
        <v>9989.362999999999</v>
      </c>
      <c r="M6313" s="7">
        <f>IF(N6313=0,+L6313+H6313,0)</f>
        <v/>
      </c>
      <c r="N6313" s="7">
        <f>IF((+G6313-K6313)=0,0,+G6313-K6313)</f>
        <v/>
      </c>
      <c r="O6313" s="7">
        <f>IF(N6313=0,0,(L6313+H6313)/-N6313)</f>
        <v/>
      </c>
      <c r="P6313" s="7">
        <f>VLOOKUP(OPERAC[[#This Row],[especie]],[1]!ESPECIES[#All],6,0)</f>
        <v/>
      </c>
      <c r="Q6313" s="7">
        <f>IF(N6313&lt;&gt;0,P6313*N6313,0)</f>
        <v/>
      </c>
      <c r="R6313" s="8">
        <f>IF(Q6313&lt;&gt;0,Q6313+H6313+L6313,0)</f>
        <v/>
      </c>
      <c r="S6313" s="9">
        <f>VLOOKUP(OPERAC[[#This Row],[especie]],[1]!ESPECIES[#Data],9,FALSE)</f>
        <v/>
      </c>
    </row>
    <row r="6314">
      <c r="A6314" s="4" t="n">
        <v>3728</v>
      </c>
      <c r="B6314" s="5" t="n">
        <v>44574</v>
      </c>
      <c r="C6314" s="13" t="inlineStr">
        <is>
          <t>CPR</t>
        </is>
      </c>
      <c r="D6314" s="13" t="n">
        <v>40</v>
      </c>
      <c r="E6314" s="10">
        <f>IF(D6314&gt;0,VLOOKUP(OPERAC[[#This Row],[COD CART]],[1]!MatrizCortoLargoCyl[#All],3,0),"")</f>
        <v/>
      </c>
      <c r="F6314" s="13" t="inlineStr">
        <is>
          <t>BABA</t>
        </is>
      </c>
      <c r="G6314" s="6" t="n">
        <v>100</v>
      </c>
      <c r="H6314" s="6" t="n">
        <v>-13028.27</v>
      </c>
      <c r="I6314" s="7">
        <f>-H6314/G6314</f>
        <v/>
      </c>
      <c r="J6314" s="11" t="n">
        <v>44615</v>
      </c>
      <c r="K6314" s="6" t="n">
        <v>100</v>
      </c>
      <c r="L6314" s="6">
        <f>+OPERAC[[#This Row],[cantidad venta]]*110.617</f>
        <v/>
      </c>
      <c r="M6314" s="7">
        <f>IF(N6314=0,+L6314+H6314,0)</f>
        <v/>
      </c>
      <c r="N6314" s="7">
        <f>IF((+G6314-K6314)=0,0,+G6314-K6314)</f>
        <v/>
      </c>
      <c r="O6314" s="7">
        <f>IF(N6314=0,0,(L6314+H6314)/-N6314)</f>
        <v/>
      </c>
      <c r="P6314" s="7">
        <f>VLOOKUP(OPERAC[[#This Row],[especie]],[1]!ESPECIES[#All],6,0)</f>
        <v/>
      </c>
      <c r="Q6314" s="7">
        <f>IF(N6314&lt;&gt;0,P6314*N6314,0)</f>
        <v/>
      </c>
      <c r="R6314" s="8">
        <f>IF(Q6314&lt;&gt;0,Q6314+H6314+L6314,0)</f>
        <v/>
      </c>
      <c r="S6314" s="9">
        <f>VLOOKUP(OPERAC[[#This Row],[especie]],[1]!ESPECIES[#Data],9,FALSE)</f>
        <v/>
      </c>
    </row>
    <row r="6315">
      <c r="A6315" s="4" t="n">
        <v>10079</v>
      </c>
      <c r="B6315" s="5" t="n">
        <v>44680</v>
      </c>
      <c r="C6315" s="13" t="inlineStr">
        <is>
          <t>CPR</t>
        </is>
      </c>
      <c r="D6315" s="13" t="n">
        <v>42</v>
      </c>
      <c r="E6315" s="10">
        <f>IF(D6315&gt;0,VLOOKUP(OPERAC[[#This Row],[COD CART]],[1]!MatrizCortoLargoCyl[#All],3,0),"")</f>
        <v/>
      </c>
      <c r="F6315" s="14" t="inlineStr">
        <is>
          <t>XLP</t>
        </is>
      </c>
      <c r="G6315" s="6" t="n">
        <v>165</v>
      </c>
      <c r="H6315" s="6" t="n">
        <v>-13106.6929125</v>
      </c>
      <c r="I6315" s="7">
        <f>-H6315/G6315</f>
        <v/>
      </c>
      <c r="J6315" s="11" t="n">
        <v>44692</v>
      </c>
      <c r="K6315" s="6">
        <f>25+140</f>
        <v/>
      </c>
      <c r="L6315" s="6">
        <f>1895.624+10478.748</f>
        <v/>
      </c>
      <c r="M6315" s="7">
        <f>IF(N6315=0,+L6315+H6315,0)</f>
        <v/>
      </c>
      <c r="N6315" s="7">
        <f>IF((+G6315-K6315)=0,0,+G6315-K6315)</f>
        <v/>
      </c>
      <c r="O6315" s="7">
        <f>IF(N6315=0,0,(L6315+H6315)/-N6315)</f>
        <v/>
      </c>
      <c r="P6315" s="7">
        <f>VLOOKUP(OPERAC[[#This Row],[especie]],[1]!ESPECIES[#All],6,0)</f>
        <v/>
      </c>
      <c r="Q6315" s="7">
        <f>IF(N6315&lt;&gt;0,P6315*N6315,0)</f>
        <v/>
      </c>
      <c r="R6315" s="8">
        <f>IF(Q6315&lt;&gt;0,Q6315+H6315+L6315,0)</f>
        <v/>
      </c>
      <c r="S6315" s="9">
        <f>VLOOKUP(OPERAC[[#This Row],[especie]],[1]!ESPECIES[#Data],9,FALSE)</f>
        <v/>
      </c>
    </row>
    <row r="6316">
      <c r="A6316" s="4" t="n">
        <v>10079</v>
      </c>
      <c r="B6316" s="5" t="n">
        <v>44599</v>
      </c>
      <c r="C6316" s="13" t="inlineStr">
        <is>
          <t>CPR</t>
        </is>
      </c>
      <c r="D6316" s="13" t="n">
        <v>32</v>
      </c>
      <c r="E6316" s="10">
        <f>IF(D6316&gt;0,VLOOKUP(OPERAC[[#This Row],[COD CART]],[1]!MatrizCortoLargoCyl[#All],3,0),"")</f>
        <v/>
      </c>
      <c r="F6316" s="13" t="inlineStr">
        <is>
          <t>UPST/CYL/80,00/18-03-22</t>
        </is>
      </c>
      <c r="G6316" s="6" t="n">
        <v>200</v>
      </c>
      <c r="H6316" s="6">
        <f>-74.92*200</f>
        <v/>
      </c>
      <c r="I6316" s="7">
        <f>-H6316/G6316</f>
        <v/>
      </c>
      <c r="J6316" s="11" t="n">
        <v>44608</v>
      </c>
      <c r="K6316" s="6" t="n">
        <v>200</v>
      </c>
      <c r="L6316" s="6" t="n">
        <v>15912.896</v>
      </c>
      <c r="M6316" s="7">
        <f>IF(N6316=0,+L6316+H6316,0)</f>
        <v/>
      </c>
      <c r="N6316" s="7">
        <f>IF((+G6316-K6316)=0,0,+G6316-K6316)</f>
        <v/>
      </c>
      <c r="O6316" s="7">
        <f>IF(N6316=0,0,(L6316+H6316)/-N6316)</f>
        <v/>
      </c>
      <c r="P6316" s="7">
        <f>VLOOKUP(OPERAC[[#This Row],[especie]],[1]!ESPECIES[#All],6,0)</f>
        <v/>
      </c>
      <c r="Q6316" s="7">
        <f>IF(N6316&lt;&gt;0,P6316*N6316,0)</f>
        <v/>
      </c>
      <c r="R6316" s="8">
        <f>IF(Q6316&lt;&gt;0,Q6316+H6316+L6316,0)</f>
        <v/>
      </c>
      <c r="S6316" s="9">
        <f>VLOOKUP(OPERAC[[#This Row],[especie]],[1]!ESPECIES[#Data],9,FALSE)</f>
        <v/>
      </c>
    </row>
    <row r="6317">
      <c r="A6317" s="4" t="n">
        <v>3728</v>
      </c>
      <c r="B6317" s="5" t="n">
        <v>44553</v>
      </c>
      <c r="C6317" s="13" t="inlineStr">
        <is>
          <t>CPR</t>
        </is>
      </c>
      <c r="D6317" s="13" t="n">
        <v>40</v>
      </c>
      <c r="E6317" s="10">
        <f>IF(D6317&gt;0,VLOOKUP(OPERAC[[#This Row],[COD CART]],[1]!MatrizCortoLargoCyl[#All],3,0),"")</f>
        <v/>
      </c>
      <c r="F6317" s="13" t="inlineStr">
        <is>
          <t>DIS</t>
        </is>
      </c>
      <c r="G6317" s="6" t="n">
        <v>100</v>
      </c>
      <c r="H6317" s="6" t="n">
        <v>-15112.14</v>
      </c>
      <c r="I6317" s="7">
        <f>-H6317/G6317</f>
        <v/>
      </c>
      <c r="J6317" s="11" t="n">
        <v>44602</v>
      </c>
      <c r="K6317" s="6" t="n">
        <v>100</v>
      </c>
      <c r="L6317" s="6" t="n">
        <v>15706.64</v>
      </c>
      <c r="M6317" s="7">
        <f>IF(N6317=0,+L6317+H6317,0)</f>
        <v/>
      </c>
      <c r="N6317" s="7">
        <f>IF((+G6317-K6317)=0,0,+G6317-K6317)</f>
        <v/>
      </c>
      <c r="O6317" s="7">
        <f>IF(N6317=0,0,(L6317+H6317)/-N6317)</f>
        <v/>
      </c>
      <c r="P6317" s="7">
        <f>VLOOKUP(OPERAC[[#This Row],[especie]],[1]!ESPECIES[#All],6,0)</f>
        <v/>
      </c>
      <c r="Q6317" s="7">
        <f>IF(N6317&lt;&gt;0,P6317*N6317,0)</f>
        <v/>
      </c>
      <c r="R6317" s="8">
        <f>IF(Q6317&lt;&gt;0,Q6317+H6317+L6317,0)</f>
        <v/>
      </c>
      <c r="S6317" s="9">
        <f>VLOOKUP(OPERAC[[#This Row],[especie]],[1]!ESPECIES[#Data],9,FALSE)</f>
        <v/>
      </c>
    </row>
    <row r="6318">
      <c r="A6318" s="4" t="n">
        <v>12690</v>
      </c>
      <c r="B6318" s="5" t="n">
        <v>44558</v>
      </c>
      <c r="C6318" s="13" t="inlineStr">
        <is>
          <t>CPR</t>
        </is>
      </c>
      <c r="D6318" s="13" t="n">
        <v>32</v>
      </c>
      <c r="E6318" s="10">
        <f>IF(D6318&gt;0,VLOOKUP(OPERAC[[#This Row],[COD CART]],[1]!MatrizCortoLargoCyl[#All],3,0),"")</f>
        <v/>
      </c>
      <c r="F6318" s="13" t="inlineStr">
        <is>
          <t>DIS</t>
        </is>
      </c>
      <c r="G6318" s="6" t="n">
        <v>100</v>
      </c>
      <c r="H6318" s="6">
        <f>-15474.068+88.54+17.308+12.89</f>
        <v/>
      </c>
      <c r="I6318" s="7">
        <f>-H6318/G6318</f>
        <v/>
      </c>
      <c r="J6318" s="11" t="n">
        <v>44715</v>
      </c>
      <c r="K6318" s="6" t="n">
        <v>100</v>
      </c>
      <c r="L6318" s="6" t="n">
        <v>10781.57</v>
      </c>
      <c r="M6318" s="7">
        <f>IF(N6318=0,+L6318+H6318,0)</f>
        <v/>
      </c>
      <c r="N6318" s="7">
        <f>IF((+G6318-K6318)=0,0,+G6318-K6318)</f>
        <v/>
      </c>
      <c r="O6318" s="7">
        <f>IF(N6318=0,0,(L6318+H6318)/-N6318)</f>
        <v/>
      </c>
      <c r="P6318" s="7">
        <f>VLOOKUP(OPERAC[[#This Row],[especie]],[1]!ESPECIES[#All],6,0)</f>
        <v/>
      </c>
      <c r="Q6318" s="7">
        <f>IF(N6318&lt;&gt;0,P6318*N6318,0)</f>
        <v/>
      </c>
      <c r="R6318" s="8">
        <f>IF(Q6318&lt;&gt;0,Q6318+H6318+L6318,0)</f>
        <v/>
      </c>
      <c r="S6318" s="9">
        <f>VLOOKUP(OPERAC[[#This Row],[especie]],[1]!ESPECIES[#Data],9,FALSE)</f>
        <v/>
      </c>
    </row>
    <row r="6319">
      <c r="A6319" s="4" t="n">
        <v>3728</v>
      </c>
      <c r="B6319" s="5" t="n">
        <v>44580</v>
      </c>
      <c r="C6319" s="13" t="inlineStr">
        <is>
          <t>CPR</t>
        </is>
      </c>
      <c r="D6319" s="13" t="n">
        <v>40</v>
      </c>
      <c r="E6319" s="10">
        <f>IF(D6319&gt;0,VLOOKUP(OPERAC[[#This Row],[COD CART]],[1]!MatrizCortoLargoCyl[#All],3,0),"")</f>
        <v/>
      </c>
      <c r="F6319" s="13" t="inlineStr">
        <is>
          <t>ROKU</t>
        </is>
      </c>
      <c r="G6319" s="6" t="n">
        <v>100</v>
      </c>
      <c r="H6319" s="6">
        <f>-16290.84+498.75</f>
        <v/>
      </c>
      <c r="I6319" s="7">
        <f>-H6319/G6319</f>
        <v/>
      </c>
      <c r="J6319" s="11" t="n">
        <v>44637</v>
      </c>
      <c r="K6319" s="6" t="n">
        <v>100</v>
      </c>
      <c r="L6319" s="6" t="n">
        <v>11789.128</v>
      </c>
      <c r="M6319" s="7">
        <f>IF(N6319=0,+L6319+H6319,0)</f>
        <v/>
      </c>
      <c r="N6319" s="7">
        <f>IF((+G6319-K6319)=0,0,+G6319-K6319)</f>
        <v/>
      </c>
      <c r="O6319" s="7">
        <f>IF(N6319=0,0,(L6319+H6319)/-N6319)</f>
        <v/>
      </c>
      <c r="P6319" s="7">
        <f>VLOOKUP(OPERAC[[#This Row],[especie]],[1]!ESPECIES[#All],6,0)</f>
        <v/>
      </c>
      <c r="Q6319" s="7">
        <f>IF(N6319&lt;&gt;0,P6319*N6319,0)</f>
        <v/>
      </c>
      <c r="R6319" s="8">
        <f>IF(Q6319&lt;&gt;0,Q6319+H6319+L6319,0)</f>
        <v/>
      </c>
      <c r="S6319" s="9">
        <f>VLOOKUP(OPERAC[[#This Row],[especie]],[1]!ESPECIES[#Data],9,FALSE)</f>
        <v/>
      </c>
    </row>
    <row r="6320">
      <c r="A6320" s="4" t="n">
        <v>3728</v>
      </c>
      <c r="B6320" s="5" t="n">
        <v>44602</v>
      </c>
      <c r="C6320" s="13" t="inlineStr">
        <is>
          <t>CPR</t>
        </is>
      </c>
      <c r="D6320" s="13" t="n">
        <v>32</v>
      </c>
      <c r="E6320" s="10">
        <f>IF(D6320&gt;0,VLOOKUP(OPERAC[[#This Row],[COD CART]],[1]!MatrizCortoLargoCyl[#All],3,0),"")</f>
        <v/>
      </c>
      <c r="F6320" s="13" t="inlineStr">
        <is>
          <t>UPST/CYL/90,00/18-03-22</t>
        </is>
      </c>
      <c r="G6320" s="6" t="n">
        <v>200</v>
      </c>
      <c r="H6320" s="6">
        <f>-23804+6992</f>
        <v/>
      </c>
      <c r="I6320" s="7">
        <f>-H6320/G6320</f>
        <v/>
      </c>
      <c r="J6320" s="11" t="n">
        <v>44608</v>
      </c>
      <c r="K6320" s="6" t="n">
        <v>200</v>
      </c>
      <c r="L6320" s="6" t="n">
        <v>17917.57</v>
      </c>
      <c r="M6320" s="7">
        <f>IF(N6320=0,+L6320+H6320,0)</f>
        <v/>
      </c>
      <c r="N6320" s="7">
        <f>IF((+G6320-K6320)=0,0,+G6320-K6320)</f>
        <v/>
      </c>
      <c r="O6320" s="7">
        <f>IF(N6320=0,0,(L6320+H6320)/-N6320)</f>
        <v/>
      </c>
      <c r="P6320" s="7">
        <f>VLOOKUP(OPERAC[[#This Row],[especie]],[1]!ESPECIES[#All],6,0)</f>
        <v/>
      </c>
      <c r="Q6320" s="7">
        <f>IF(N6320&lt;&gt;0,P6320*N6320,0)</f>
        <v/>
      </c>
      <c r="R6320" s="8">
        <f>IF(Q6320&lt;&gt;0,Q6320+H6320+L6320,0)</f>
        <v/>
      </c>
      <c r="S6320" s="9">
        <f>VLOOKUP(OPERAC[[#This Row],[especie]],[1]!ESPECIES[#Data],9,FALSE)</f>
        <v/>
      </c>
    </row>
    <row r="6321">
      <c r="A6321" s="4" t="n">
        <v>7939</v>
      </c>
      <c r="B6321" s="5" t="n">
        <v>44704</v>
      </c>
      <c r="C6321" s="13" t="inlineStr">
        <is>
          <t>CPR</t>
        </is>
      </c>
      <c r="D6321" s="13" t="n">
        <v>41</v>
      </c>
      <c r="E6321" s="10">
        <f>IF(D6321&gt;0,VLOOKUP(OPERAC[[#This Row],[COD CART]],[1]!MatrizCortoLargoCyl[#All],3,0),"")</f>
        <v/>
      </c>
      <c r="F6321" s="13" t="inlineStr">
        <is>
          <t>TLRY</t>
        </is>
      </c>
      <c r="G6321" s="6" t="n">
        <v>4000</v>
      </c>
      <c r="H6321" s="6" t="n">
        <v>-18309.2</v>
      </c>
      <c r="I6321" s="7">
        <f>-H6321/G6321</f>
        <v/>
      </c>
      <c r="J6321" s="5" t="n"/>
      <c r="K6321" s="6" t="n"/>
      <c r="L6321" s="6" t="n"/>
      <c r="M6321" s="7">
        <f>IF(N6321=0,+L6321+H6321,0)</f>
        <v/>
      </c>
      <c r="N6321" s="7">
        <f>IF((+G6321-K6321)=0,0,+G6321-K6321)</f>
        <v/>
      </c>
      <c r="O6321" s="7">
        <f>IF(N6321=0,0,(L6321+H6321)/-N6321)</f>
        <v/>
      </c>
      <c r="P6321" s="7">
        <f>VLOOKUP(OPERAC[[#This Row],[especie]],[1]!ESPECIES[#All],6,0)</f>
        <v/>
      </c>
      <c r="Q6321" s="7">
        <f>IF(N6321&lt;&gt;0,P6321*N6321,0)</f>
        <v/>
      </c>
      <c r="R6321" s="8">
        <f>IF(Q6321&lt;&gt;0,Q6321+H6321+L6321,0)</f>
        <v/>
      </c>
      <c r="S6321" s="9">
        <f>VLOOKUP(OPERAC[[#This Row],[especie]],[1]!ESPECIES[#Data],9,FALSE)</f>
        <v/>
      </c>
    </row>
    <row r="6322">
      <c r="A6322" s="4" t="n">
        <v>7939</v>
      </c>
      <c r="B6322" s="5" t="n">
        <v>44718</v>
      </c>
      <c r="C6322" s="13" t="inlineStr">
        <is>
          <t>CPR</t>
        </is>
      </c>
      <c r="D6322" s="13" t="n">
        <v>41</v>
      </c>
      <c r="E6322" s="10">
        <f>IF(D6322&gt;0,VLOOKUP(OPERAC[[#This Row],[COD CART]],[1]!MatrizCortoLargoCyl[#All],3,0),"")</f>
        <v/>
      </c>
      <c r="F6322" s="13" t="inlineStr">
        <is>
          <t>HEXO</t>
        </is>
      </c>
      <c r="G6322" s="6" t="n">
        <v>80000</v>
      </c>
      <c r="H6322" s="6" t="n">
        <v>-19975.2</v>
      </c>
      <c r="I6322" s="7">
        <f>-H6322/G6322</f>
        <v/>
      </c>
      <c r="J6322" s="5" t="n"/>
      <c r="K6322" s="6" t="n"/>
      <c r="L6322" s="6" t="n"/>
      <c r="M6322" s="7">
        <f>IF(N6322=0,+L6322+H6322,0)</f>
        <v/>
      </c>
      <c r="N6322" s="7">
        <f>IF((+G6322-K6322)=0,0,+G6322-K6322)</f>
        <v/>
      </c>
      <c r="O6322" s="7" t="n">
        <v>0.5853</v>
      </c>
      <c r="P6322" s="7">
        <f>VLOOKUP(OPERAC[[#This Row],[especie]],[1]!ESPECIES[#All],6,0)</f>
        <v/>
      </c>
      <c r="Q6322" s="7">
        <f>IF(N6322&lt;&gt;0,P6322*N6322,0)</f>
        <v/>
      </c>
      <c r="R6322" s="8">
        <f>IF(Q6322&lt;&gt;0,Q6322+H6322+L6322,0)</f>
        <v/>
      </c>
      <c r="S6322" s="9">
        <f>VLOOKUP(OPERAC[[#This Row],[especie]],[1]!ESPECIES[#Data],9,FALSE)</f>
        <v/>
      </c>
    </row>
    <row r="6323">
      <c r="A6323" s="4" t="n">
        <v>3728</v>
      </c>
      <c r="B6323" s="5" t="n">
        <v>44671</v>
      </c>
      <c r="C6323" s="13" t="inlineStr">
        <is>
          <t>CPR</t>
        </is>
      </c>
      <c r="D6323" s="13" t="n">
        <v>40</v>
      </c>
      <c r="E6323" s="10">
        <f>IF(D6323&gt;0,VLOOKUP(OPERAC[[#This Row],[COD CART]],[1]!MatrizCortoLargoCyl[#All],3,0),"")</f>
        <v/>
      </c>
      <c r="F6323" s="13" t="inlineStr">
        <is>
          <t>NFLX</t>
        </is>
      </c>
      <c r="G6323" s="6" t="n">
        <v>100</v>
      </c>
      <c r="H6323" s="6" t="n">
        <v>-23823.8</v>
      </c>
      <c r="I6323" s="7">
        <f>-H6323/G6323</f>
        <v/>
      </c>
      <c r="J6323" s="11" t="n"/>
      <c r="K6323" s="6" t="n"/>
      <c r="L6323" s="6" t="n"/>
      <c r="M6323" s="7">
        <f>IF(N6323=0,+L6323+H6323,0)</f>
        <v/>
      </c>
      <c r="N6323" s="7">
        <f>IF((+G6323-K6323)=0,0,+G6323-K6323)</f>
        <v/>
      </c>
      <c r="O6323" s="7">
        <f>IF(N6323=0,0,(L6323+H6323)/-N6323)</f>
        <v/>
      </c>
      <c r="P6323" s="7">
        <f>VLOOKUP(OPERAC[[#This Row],[especie]],[1]!ESPECIES[#All],6,0)</f>
        <v/>
      </c>
      <c r="Q6323" s="7">
        <f>IF(N6323&lt;&gt;0,P6323*N6323,0)</f>
        <v/>
      </c>
      <c r="R6323" s="8">
        <f>IF(Q6323&lt;&gt;0,Q6323+H6323+L6323,0)</f>
        <v/>
      </c>
      <c r="S6323" s="9">
        <f>VLOOKUP(OPERAC[[#This Row],[especie]],[1]!ESPECIES[#Data],9,FALSE)</f>
        <v/>
      </c>
    </row>
    <row r="6324">
      <c r="A6324" s="4" t="n">
        <v>3728</v>
      </c>
      <c r="B6324" s="5" t="n">
        <v>44538</v>
      </c>
      <c r="C6324" s="13" t="inlineStr">
        <is>
          <t>CPR</t>
        </is>
      </c>
      <c r="D6324" s="13" t="n">
        <v>40</v>
      </c>
      <c r="E6324" s="10">
        <f>IF(D6324&gt;0,VLOOKUP(OPERAC[[#This Row],[COD CART]],[1]!MatrizCortoLargoCyl[#All],3,0),"")</f>
        <v/>
      </c>
      <c r="F6324" s="13" t="inlineStr">
        <is>
          <t>HIMX</t>
        </is>
      </c>
      <c r="G6324" s="6" t="n">
        <v>3000</v>
      </c>
      <c r="H6324" s="6" t="n">
        <v>-35330.28</v>
      </c>
      <c r="I6324" s="7">
        <f>-H6324/G6324</f>
        <v/>
      </c>
      <c r="J6324" s="11" t="n">
        <v>44547</v>
      </c>
      <c r="K6324" s="6">
        <f>1000+500+1500</f>
        <v/>
      </c>
      <c r="L6324" s="6">
        <f>11445.358+6545.855+19373.809</f>
        <v/>
      </c>
      <c r="M6324" s="7">
        <f>IF(N6324=0,+L6324+H6324,0)</f>
        <v/>
      </c>
      <c r="N6324" s="7">
        <f>IF((+G6324-K6324)=0,0,+G6324-K6324)</f>
        <v/>
      </c>
      <c r="O6324" s="7">
        <f>IF(N6324=0,0,(L6324+H6324)/-N6324)</f>
        <v/>
      </c>
      <c r="P6324" s="7">
        <f>VLOOKUP(OPERAC[[#This Row],[especie]],[1]!ESPECIES[#All],6,0)</f>
        <v/>
      </c>
      <c r="Q6324" s="7">
        <f>IF(N6324&lt;&gt;0,P6324*N6324,0)</f>
        <v/>
      </c>
      <c r="R6324" s="8">
        <f>IF(Q6324&lt;&gt;0,Q6324+H6324+L6324,0)</f>
        <v/>
      </c>
      <c r="S6324" s="9">
        <f>VLOOKUP(OPERAC[[#This Row],[especie]],[1]!ESPECIES[#Data],9,FALSE)</f>
        <v/>
      </c>
    </row>
    <row r="6325">
      <c r="A6325" s="4" t="n">
        <v>3728</v>
      </c>
      <c r="B6325" s="5" t="n">
        <v>44536</v>
      </c>
      <c r="C6325" s="13" t="inlineStr">
        <is>
          <t>CPR</t>
        </is>
      </c>
      <c r="D6325" s="13" t="n">
        <v>40</v>
      </c>
      <c r="E6325" s="10">
        <f>IF(D6325&gt;0,VLOOKUP(OPERAC[[#This Row],[COD CART]],[1]!MatrizCortoLargoCyl[#All],3,0),"")</f>
        <v/>
      </c>
      <c r="F6325" s="13" t="inlineStr">
        <is>
          <t>BABA</t>
        </is>
      </c>
      <c r="G6325" s="6" t="n">
        <v>400</v>
      </c>
      <c r="H6325" s="6" t="n">
        <v>-48269.072</v>
      </c>
      <c r="I6325" s="7">
        <f>-H6325/G6325</f>
        <v/>
      </c>
      <c r="J6325" s="11" t="n">
        <v>44537</v>
      </c>
      <c r="K6325" s="6">
        <f>300+100</f>
        <v/>
      </c>
      <c r="L6325" s="6">
        <f>36882.349+11061.7</f>
        <v/>
      </c>
      <c r="M6325" s="7">
        <f>IF(N6325=0,+L6325+H6325,0)</f>
        <v/>
      </c>
      <c r="N6325" s="7">
        <f>IF((+G6325-K6325)=0,0,+G6325-K6325)</f>
        <v/>
      </c>
      <c r="O6325" s="7">
        <f>IF(N6325=0,0,(L6325+H6325)/-N6325)</f>
        <v/>
      </c>
      <c r="P6325" s="7">
        <f>VLOOKUP(OPERAC[[#This Row],[especie]],[1]!ESPECIES[#All],6,0)</f>
        <v/>
      </c>
      <c r="Q6325" s="7">
        <f>IF(N6325&lt;&gt;0,P6325*N6325,0)</f>
        <v/>
      </c>
      <c r="R6325" s="8">
        <f>IF(Q6325&lt;&gt;0,Q6325+H6325+L6325,0)</f>
        <v/>
      </c>
      <c r="S6325" s="9">
        <f>VLOOKUP(OPERAC[[#This Row],[especie]],[1]!ESPECIES[#Data],9,FALSE)</f>
        <v/>
      </c>
    </row>
    <row r="6326">
      <c r="A6326" s="4" t="n">
        <v>3728</v>
      </c>
      <c r="B6326" s="5" t="n">
        <v>44468</v>
      </c>
      <c r="C6326" s="13" t="inlineStr">
        <is>
          <t>CPR</t>
        </is>
      </c>
      <c r="D6326" s="13" t="n">
        <v>40</v>
      </c>
      <c r="E6326" s="10">
        <f>IF(D6326&gt;0,VLOOKUP(OPERAC[[#This Row],[COD CART]],[1]!MatrizCortoLargoCyl[#All],3,0),"")</f>
        <v/>
      </c>
      <c r="F6326" s="13" t="inlineStr">
        <is>
          <t>EDIT</t>
        </is>
      </c>
      <c r="G6326" s="6" t="n">
        <v>1500</v>
      </c>
      <c r="H6326" s="6" t="n">
        <v>-69146.575</v>
      </c>
      <c r="I6326" s="7">
        <f>-H6326/G6326</f>
        <v/>
      </c>
      <c r="J6326" s="11" t="n">
        <v>44468</v>
      </c>
      <c r="K6326" s="6">
        <f>1000+400+100</f>
        <v/>
      </c>
      <c r="L6326" s="6">
        <f>42442.18+11286.84+1617.9</f>
        <v/>
      </c>
      <c r="M6326" s="7">
        <f>IF(N6326=0,+L6326+H6326,0)</f>
        <v/>
      </c>
      <c r="N6326" s="7">
        <f>IF((+G6326-K6326)=0,0,+G6326-K6326)</f>
        <v/>
      </c>
      <c r="O6326" s="7">
        <f>IF(N6326=0,0,(L6326+H6326)/-N6326)</f>
        <v/>
      </c>
      <c r="P6326" s="7">
        <f>VLOOKUP(OPERAC[[#This Row],[especie]],[1]!ESPECIES[#All],6,0)</f>
        <v/>
      </c>
      <c r="Q6326" s="7">
        <f>IF(N6326&lt;&gt;0,P6326*N6326,0)</f>
        <v/>
      </c>
      <c r="R6326" s="8">
        <f>IF(Q6326&lt;&gt;0,Q6326+H6326+L6326,0)</f>
        <v/>
      </c>
      <c r="S6326" s="9">
        <f>VLOOKUP(OPERAC[[#This Row],[especie]],[1]!ESPECIES[#Data],9,FALSE)</f>
        <v/>
      </c>
    </row>
    <row r="6327">
      <c r="A6327" s="4" t="n">
        <v>7939</v>
      </c>
      <c r="B6327" s="5" t="n">
        <v>44562</v>
      </c>
      <c r="C6327" s="13" t="inlineStr">
        <is>
          <t>CPR</t>
        </is>
      </c>
      <c r="D6327" s="13" t="n">
        <v>41</v>
      </c>
      <c r="E6327" s="10">
        <f>IF(D6327&gt;0,VLOOKUP(OPERAC[[#This Row],[COD CART]],[1]!MatrizCortoLargoCyl[#All],3,0),"")</f>
        <v/>
      </c>
      <c r="F6327" s="13" t="inlineStr">
        <is>
          <t>HEXO</t>
        </is>
      </c>
      <c r="G6327" s="6" t="n">
        <v>54400</v>
      </c>
      <c r="H6327" s="6">
        <f>-OPERAC[[#This Row],[cantidad]]*1.36</f>
        <v/>
      </c>
      <c r="I6327" s="7">
        <f>-H6327/G6327</f>
        <v/>
      </c>
      <c r="J6327" s="11" t="n"/>
      <c r="K6327" s="6" t="n"/>
      <c r="L6327" s="6" t="n"/>
      <c r="M6327" s="7">
        <f>IF(N6327=0,+L6327+H6327,0)</f>
        <v/>
      </c>
      <c r="N6327" s="7">
        <f>IF((+G6327-K6327)=0,0,+G6327-K6327)</f>
        <v/>
      </c>
      <c r="O6327" s="7" t="n">
        <v>0.5853</v>
      </c>
      <c r="P6327" s="7">
        <f>VLOOKUP(OPERAC[[#This Row],[especie]],[1]!ESPECIES[#All],6,0)</f>
        <v/>
      </c>
      <c r="Q6327" s="7">
        <f>IF(N6327&lt;&gt;0,P6327*N6327,0)</f>
        <v/>
      </c>
      <c r="R6327" s="8">
        <f>IF(Q6327&lt;&gt;0,Q6327+H6327+L6327,0)</f>
        <v/>
      </c>
      <c r="S6327" s="9">
        <f>VLOOKUP(OPERAC[[#This Row],[especie]],[1]!ESPECIES[#Data],9,FALSE)</f>
        <v/>
      </c>
    </row>
    <row r="6328">
      <c r="A6328" s="4" t="n"/>
      <c r="B6328" s="5" t="n"/>
      <c r="C6328" s="13" t="n"/>
      <c r="D6328" s="13" t="n"/>
      <c r="E6328" s="10" t="inlineStr">
        <is>
          <t>TOTAL</t>
        </is>
      </c>
      <c r="F6328" s="13" t="n"/>
      <c r="G6328" s="6" t="n"/>
      <c r="H6328" s="6" t="n"/>
      <c r="I6328" s="7" t="n"/>
      <c r="J6328" s="11" t="n"/>
      <c r="K6328" s="6" t="n"/>
      <c r="L6328" s="6" t="n"/>
      <c r="M6328" s="7">
        <f>SUBTOTAL(109,OPERAC[UTILIDAD])</f>
        <v/>
      </c>
      <c r="N6328" s="7">
        <f>SUBTOTAL(109,OPERAC[saldo custodia])</f>
        <v/>
      </c>
      <c r="O6328" s="7" t="n"/>
      <c r="P6328" s="7">
        <f>SUBTOTAL(109,OPERAC[cierre])</f>
        <v/>
      </c>
      <c r="Q6328" s="7">
        <f>SUBTOTAL(109,OPERAC[valorizada])</f>
        <v/>
      </c>
      <c r="R6328" s="8">
        <f>SUBTOTAL(109,OPERAC[utilidad parcial])</f>
        <v/>
      </c>
      <c r="S6328" s="7" t="n"/>
    </row>
  </sheetData>
  <conditionalFormatting sqref="D1510 D1812:D1813 D4637:D4640 D1661:D1664 D1519:D1553 D2:D1492">
    <cfRule type="cellIs" priority="208" operator="equal" dxfId="38">
      <formula>41</formula>
    </cfRule>
  </conditionalFormatting>
  <conditionalFormatting sqref="D1493:D1503">
    <cfRule type="cellIs" priority="207" operator="equal" dxfId="38">
      <formula>41</formula>
    </cfRule>
  </conditionalFormatting>
  <conditionalFormatting sqref="D1504:D1509">
    <cfRule type="cellIs" priority="206" operator="equal" dxfId="38">
      <formula>41</formula>
    </cfRule>
  </conditionalFormatting>
  <conditionalFormatting sqref="D1511:D1518">
    <cfRule type="cellIs" priority="205" operator="equal" dxfId="38">
      <formula>41</formula>
    </cfRule>
  </conditionalFormatting>
  <conditionalFormatting sqref="D1554:D1557">
    <cfRule type="cellIs" priority="204" operator="equal" dxfId="38">
      <formula>41</formula>
    </cfRule>
  </conditionalFormatting>
  <conditionalFormatting sqref="D1559">
    <cfRule type="cellIs" priority="203" operator="equal" dxfId="38">
      <formula>41</formula>
    </cfRule>
  </conditionalFormatting>
  <conditionalFormatting sqref="D1560">
    <cfRule type="cellIs" priority="202" operator="equal" dxfId="38">
      <formula>41</formula>
    </cfRule>
  </conditionalFormatting>
  <conditionalFormatting sqref="D1597:D1601">
    <cfRule type="cellIs" priority="201" operator="equal" dxfId="38">
      <formula>41</formula>
    </cfRule>
  </conditionalFormatting>
  <conditionalFormatting sqref="D1720">
    <cfRule type="cellIs" priority="200" operator="equal" dxfId="38">
      <formula>41</formula>
    </cfRule>
  </conditionalFormatting>
  <conditionalFormatting sqref="D1796:D1798">
    <cfRule type="cellIs" priority="199" operator="equal" dxfId="38">
      <formula>41</formula>
    </cfRule>
  </conditionalFormatting>
  <conditionalFormatting sqref="D1814:D1817">
    <cfRule type="cellIs" priority="198" operator="equal" dxfId="38">
      <formula>41</formula>
    </cfRule>
  </conditionalFormatting>
  <conditionalFormatting sqref="D1834:D1837">
    <cfRule type="cellIs" priority="197" operator="equal" dxfId="38">
      <formula>41</formula>
    </cfRule>
  </conditionalFormatting>
  <conditionalFormatting sqref="D1838">
    <cfRule type="cellIs" priority="196" operator="equal" dxfId="38">
      <formula>41</formula>
    </cfRule>
  </conditionalFormatting>
  <conditionalFormatting sqref="D1867">
    <cfRule type="cellIs" priority="195" operator="equal" dxfId="38">
      <formula>41</formula>
    </cfRule>
  </conditionalFormatting>
  <conditionalFormatting sqref="D1868:D1869">
    <cfRule type="cellIs" priority="194" operator="equal" dxfId="38">
      <formula>41</formula>
    </cfRule>
  </conditionalFormatting>
  <conditionalFormatting sqref="D1880">
    <cfRule type="cellIs" priority="193" operator="equal" dxfId="38">
      <formula>41</formula>
    </cfRule>
  </conditionalFormatting>
  <conditionalFormatting sqref="D1882">
    <cfRule type="cellIs" priority="192" operator="equal" dxfId="38">
      <formula>41</formula>
    </cfRule>
  </conditionalFormatting>
  <conditionalFormatting sqref="D1883">
    <cfRule type="cellIs" priority="191" operator="equal" dxfId="38">
      <formula>41</formula>
    </cfRule>
  </conditionalFormatting>
  <conditionalFormatting sqref="D1983:D1984">
    <cfRule type="cellIs" priority="190" operator="equal" dxfId="38">
      <formula>41</formula>
    </cfRule>
  </conditionalFormatting>
  <conditionalFormatting sqref="D2160">
    <cfRule type="cellIs" priority="189" operator="equal" dxfId="38">
      <formula>41</formula>
    </cfRule>
  </conditionalFormatting>
  <conditionalFormatting sqref="D1583:D1584">
    <cfRule type="cellIs" priority="188" operator="equal" dxfId="38">
      <formula>41</formula>
    </cfRule>
  </conditionalFormatting>
  <conditionalFormatting sqref="D1602:D1604">
    <cfRule type="cellIs" priority="187" operator="equal" dxfId="38">
      <formula>41</formula>
    </cfRule>
  </conditionalFormatting>
  <conditionalFormatting sqref="D1612:D1613">
    <cfRule type="cellIs" priority="186" operator="equal" dxfId="38">
      <formula>41</formula>
    </cfRule>
  </conditionalFormatting>
  <conditionalFormatting sqref="D1642">
    <cfRule type="cellIs" priority="185" operator="equal" dxfId="38">
      <formula>41</formula>
    </cfRule>
  </conditionalFormatting>
  <conditionalFormatting sqref="D1643">
    <cfRule type="cellIs" priority="184" operator="equal" dxfId="38">
      <formula>41</formula>
    </cfRule>
  </conditionalFormatting>
  <conditionalFormatting sqref="D1667">
    <cfRule type="cellIs" priority="183" operator="equal" dxfId="38">
      <formula>41</formula>
    </cfRule>
  </conditionalFormatting>
  <conditionalFormatting sqref="D1719">
    <cfRule type="cellIs" priority="182" operator="equal" dxfId="38">
      <formula>41</formula>
    </cfRule>
  </conditionalFormatting>
  <conditionalFormatting sqref="D1829">
    <cfRule type="cellIs" priority="181" operator="equal" dxfId="38">
      <formula>41</formula>
    </cfRule>
  </conditionalFormatting>
  <conditionalFormatting sqref="D1830">
    <cfRule type="cellIs" priority="180" operator="equal" dxfId="38">
      <formula>41</formula>
    </cfRule>
  </conditionalFormatting>
  <conditionalFormatting sqref="D1831">
    <cfRule type="cellIs" priority="179" operator="equal" dxfId="38">
      <formula>41</formula>
    </cfRule>
  </conditionalFormatting>
  <conditionalFormatting sqref="D1832">
    <cfRule type="cellIs" priority="178" operator="equal" dxfId="38">
      <formula>41</formula>
    </cfRule>
  </conditionalFormatting>
  <conditionalFormatting sqref="D1855">
    <cfRule type="cellIs" priority="177" operator="equal" dxfId="38">
      <formula>41</formula>
    </cfRule>
  </conditionalFormatting>
  <conditionalFormatting sqref="D1866">
    <cfRule type="cellIs" priority="176" operator="equal" dxfId="38">
      <formula>41</formula>
    </cfRule>
  </conditionalFormatting>
  <conditionalFormatting sqref="D1872">
    <cfRule type="cellIs" priority="175" operator="equal" dxfId="38">
      <formula>41</formula>
    </cfRule>
  </conditionalFormatting>
  <conditionalFormatting sqref="D1881">
    <cfRule type="cellIs" priority="174" operator="equal" dxfId="38">
      <formula>41</formula>
    </cfRule>
  </conditionalFormatting>
  <conditionalFormatting sqref="D1893">
    <cfRule type="cellIs" priority="173" operator="equal" dxfId="38">
      <formula>41</formula>
    </cfRule>
  </conditionalFormatting>
  <conditionalFormatting sqref="D1896">
    <cfRule type="cellIs" priority="172" operator="equal" dxfId="38">
      <formula>41</formula>
    </cfRule>
  </conditionalFormatting>
  <conditionalFormatting sqref="D2008">
    <cfRule type="cellIs" priority="171" operator="equal" dxfId="38">
      <formula>41</formula>
    </cfRule>
  </conditionalFormatting>
  <conditionalFormatting sqref="D2009">
    <cfRule type="cellIs" priority="170" operator="equal" dxfId="38">
      <formula>41</formula>
    </cfRule>
  </conditionalFormatting>
  <conditionalFormatting sqref="D2053">
    <cfRule type="cellIs" priority="169" operator="equal" dxfId="38">
      <formula>41</formula>
    </cfRule>
  </conditionalFormatting>
  <conditionalFormatting sqref="D2222:D2225">
    <cfRule type="cellIs" priority="168" operator="equal" dxfId="38">
      <formula>41</formula>
    </cfRule>
  </conditionalFormatting>
  <conditionalFormatting sqref="D2227">
    <cfRule type="cellIs" priority="167" operator="equal" dxfId="38">
      <formula>41</formula>
    </cfRule>
  </conditionalFormatting>
  <conditionalFormatting sqref="D2246:D2248">
    <cfRule type="cellIs" priority="166" operator="equal" dxfId="38">
      <formula>41</formula>
    </cfRule>
  </conditionalFormatting>
  <conditionalFormatting sqref="D2256">
    <cfRule type="cellIs" priority="165" operator="equal" dxfId="38">
      <formula>41</formula>
    </cfRule>
  </conditionalFormatting>
  <conditionalFormatting sqref="D2277:D2279">
    <cfRule type="cellIs" priority="164" operator="equal" dxfId="38">
      <formula>41</formula>
    </cfRule>
  </conditionalFormatting>
  <conditionalFormatting sqref="D2286">
    <cfRule type="cellIs" priority="163" operator="equal" dxfId="38">
      <formula>41</formula>
    </cfRule>
  </conditionalFormatting>
  <conditionalFormatting sqref="D2447:D2452">
    <cfRule type="cellIs" priority="162" operator="equal" dxfId="38">
      <formula>41</formula>
    </cfRule>
  </conditionalFormatting>
  <conditionalFormatting sqref="D2482">
    <cfRule type="cellIs" priority="161" operator="equal" dxfId="38">
      <formula>41</formula>
    </cfRule>
  </conditionalFormatting>
  <conditionalFormatting sqref="D2483">
    <cfRule type="cellIs" priority="160" operator="equal" dxfId="38">
      <formula>41</formula>
    </cfRule>
  </conditionalFormatting>
  <conditionalFormatting sqref="D2748">
    <cfRule type="cellIs" priority="159" operator="equal" dxfId="38">
      <formula>41</formula>
    </cfRule>
  </conditionalFormatting>
  <conditionalFormatting sqref="D2608">
    <cfRule type="cellIs" priority="158" operator="equal" dxfId="38">
      <formula>41</formula>
    </cfRule>
  </conditionalFormatting>
  <conditionalFormatting sqref="D2609">
    <cfRule type="cellIs" priority="157" operator="equal" dxfId="38">
      <formula>41</formula>
    </cfRule>
  </conditionalFormatting>
  <conditionalFormatting sqref="D2661">
    <cfRule type="cellIs" priority="156" operator="equal" dxfId="38">
      <formula>41</formula>
    </cfRule>
  </conditionalFormatting>
  <conditionalFormatting sqref="D2745">
    <cfRule type="cellIs" priority="155" operator="equal" dxfId="38">
      <formula>41</formula>
    </cfRule>
  </conditionalFormatting>
  <conditionalFormatting sqref="D2780">
    <cfRule type="cellIs" priority="154" operator="equal" dxfId="38">
      <formula>41</formula>
    </cfRule>
  </conditionalFormatting>
  <conditionalFormatting sqref="D2829:D2830">
    <cfRule type="cellIs" priority="153" operator="equal" dxfId="38">
      <formula>41</formula>
    </cfRule>
  </conditionalFormatting>
  <conditionalFormatting sqref="D2834">
    <cfRule type="cellIs" priority="152" operator="equal" dxfId="38">
      <formula>41</formula>
    </cfRule>
  </conditionalFormatting>
  <conditionalFormatting sqref="D2969">
    <cfRule type="cellIs" priority="151" operator="equal" dxfId="38">
      <formula>41</formula>
    </cfRule>
  </conditionalFormatting>
  <conditionalFormatting sqref="D2971">
    <cfRule type="cellIs" priority="150" operator="equal" dxfId="38">
      <formula>41</formula>
    </cfRule>
  </conditionalFormatting>
  <conditionalFormatting sqref="D2972">
    <cfRule type="cellIs" priority="149" operator="equal" dxfId="38">
      <formula>41</formula>
    </cfRule>
  </conditionalFormatting>
  <conditionalFormatting sqref="D2230">
    <cfRule type="cellIs" priority="148" operator="equal" dxfId="38">
      <formula>41</formula>
    </cfRule>
  </conditionalFormatting>
  <conditionalFormatting sqref="D2231">
    <cfRule type="cellIs" priority="147" operator="equal" dxfId="38">
      <formula>41</formula>
    </cfRule>
  </conditionalFormatting>
  <conditionalFormatting sqref="D2233">
    <cfRule type="cellIs" priority="146" operator="equal" dxfId="38">
      <formula>41</formula>
    </cfRule>
  </conditionalFormatting>
  <conditionalFormatting sqref="D2262">
    <cfRule type="cellIs" priority="145" operator="equal" dxfId="38">
      <formula>41</formula>
    </cfRule>
  </conditionalFormatting>
  <conditionalFormatting sqref="D2569">
    <cfRule type="cellIs" priority="144" operator="equal" dxfId="38">
      <formula>41</formula>
    </cfRule>
  </conditionalFormatting>
  <conditionalFormatting sqref="D2570">
    <cfRule type="cellIs" priority="143" operator="equal" dxfId="38">
      <formula>41</formula>
    </cfRule>
  </conditionalFormatting>
  <conditionalFormatting sqref="D2610">
    <cfRule type="cellIs" priority="142" operator="equal" dxfId="38">
      <formula>41</formula>
    </cfRule>
  </conditionalFormatting>
  <conditionalFormatting sqref="D2621">
    <cfRule type="cellIs" priority="141" operator="equal" dxfId="38">
      <formula>41</formula>
    </cfRule>
  </conditionalFormatting>
  <conditionalFormatting sqref="D2229">
    <cfRule type="cellIs" priority="138" operator="equal" dxfId="38">
      <formula>41</formula>
    </cfRule>
  </conditionalFormatting>
  <conditionalFormatting sqref="D2059">
    <cfRule type="cellIs" priority="140" operator="equal" dxfId="38">
      <formula>41</formula>
    </cfRule>
  </conditionalFormatting>
  <conditionalFormatting sqref="D2228">
    <cfRule type="cellIs" priority="139" operator="equal" dxfId="38">
      <formula>41</formula>
    </cfRule>
  </conditionalFormatting>
  <conditionalFormatting sqref="D2252">
    <cfRule type="cellIs" priority="137" operator="equal" dxfId="38">
      <formula>41</formula>
    </cfRule>
  </conditionalFormatting>
  <conditionalFormatting sqref="D2253">
    <cfRule type="cellIs" priority="136" operator="equal" dxfId="38">
      <formula>41</formula>
    </cfRule>
  </conditionalFormatting>
  <conditionalFormatting sqref="D2254">
    <cfRule type="cellIs" priority="135" operator="equal" dxfId="38">
      <formula>41</formula>
    </cfRule>
  </conditionalFormatting>
  <conditionalFormatting sqref="D2283:D2285">
    <cfRule type="cellIs" priority="134" operator="equal" dxfId="38">
      <formula>41</formula>
    </cfRule>
  </conditionalFormatting>
  <conditionalFormatting sqref="D2663">
    <cfRule type="cellIs" priority="133" operator="equal" dxfId="38">
      <formula>41</formula>
    </cfRule>
  </conditionalFormatting>
  <conditionalFormatting sqref="D2751">
    <cfRule type="cellIs" priority="132" operator="equal" dxfId="38">
      <formula>41</formula>
    </cfRule>
  </conditionalFormatting>
  <conditionalFormatting sqref="D2833">
    <cfRule type="cellIs" priority="131" operator="equal" dxfId="38">
      <formula>41</formula>
    </cfRule>
  </conditionalFormatting>
  <conditionalFormatting sqref="D2784">
    <cfRule type="cellIs" priority="130" operator="equal" dxfId="38">
      <formula>41</formula>
    </cfRule>
  </conditionalFormatting>
  <conditionalFormatting sqref="D2838">
    <cfRule type="cellIs" priority="129" operator="equal" dxfId="38">
      <formula>41</formula>
    </cfRule>
  </conditionalFormatting>
  <conditionalFormatting sqref="D3038:D3040">
    <cfRule type="cellIs" priority="128" operator="equal" dxfId="38">
      <formula>41</formula>
    </cfRule>
  </conditionalFormatting>
  <conditionalFormatting sqref="D3113:D3114">
    <cfRule type="cellIs" priority="127" operator="equal" dxfId="38">
      <formula>41</formula>
    </cfRule>
  </conditionalFormatting>
  <conditionalFormatting sqref="D3161">
    <cfRule type="cellIs" priority="126" operator="equal" dxfId="38">
      <formula>41</formula>
    </cfRule>
  </conditionalFormatting>
  <conditionalFormatting sqref="D3173:D3175">
    <cfRule type="cellIs" priority="125" operator="equal" dxfId="38">
      <formula>41</formula>
    </cfRule>
  </conditionalFormatting>
  <conditionalFormatting sqref="D3269">
    <cfRule type="cellIs" priority="124" operator="equal" dxfId="38">
      <formula>41</formula>
    </cfRule>
  </conditionalFormatting>
  <conditionalFormatting sqref="D3318:D3319">
    <cfRule type="cellIs" priority="123" operator="equal" dxfId="38">
      <formula>41</formula>
    </cfRule>
  </conditionalFormatting>
  <conditionalFormatting sqref="D3412:D3414">
    <cfRule type="cellIs" priority="122" operator="equal" dxfId="38">
      <formula>41</formula>
    </cfRule>
  </conditionalFormatting>
  <conditionalFormatting sqref="D3417:D3418">
    <cfRule type="cellIs" priority="121" operator="equal" dxfId="38">
      <formula>41</formula>
    </cfRule>
  </conditionalFormatting>
  <conditionalFormatting sqref="D3421">
    <cfRule type="cellIs" priority="120" operator="equal" dxfId="38">
      <formula>41</formula>
    </cfRule>
  </conditionalFormatting>
  <conditionalFormatting sqref="D3422:D3423">
    <cfRule type="cellIs" priority="119" operator="equal" dxfId="38">
      <formula>41</formula>
    </cfRule>
  </conditionalFormatting>
  <conditionalFormatting sqref="D3426">
    <cfRule type="cellIs" priority="118" operator="equal" dxfId="38">
      <formula>41</formula>
    </cfRule>
  </conditionalFormatting>
  <conditionalFormatting sqref="D3427">
    <cfRule type="cellIs" priority="117" operator="equal" dxfId="38">
      <formula>41</formula>
    </cfRule>
  </conditionalFormatting>
  <conditionalFormatting sqref="D3473">
    <cfRule type="cellIs" priority="116" operator="equal" dxfId="38">
      <formula>41</formula>
    </cfRule>
  </conditionalFormatting>
  <conditionalFormatting sqref="D3475">
    <cfRule type="cellIs" priority="115" operator="equal" dxfId="38">
      <formula>41</formula>
    </cfRule>
  </conditionalFormatting>
  <conditionalFormatting sqref="D3297">
    <cfRule type="cellIs" priority="114" operator="equal" dxfId="38">
      <formula>41</formula>
    </cfRule>
  </conditionalFormatting>
  <conditionalFormatting sqref="D3298">
    <cfRule type="cellIs" priority="113" operator="equal" dxfId="38">
      <formula>41</formula>
    </cfRule>
  </conditionalFormatting>
  <conditionalFormatting sqref="D3299">
    <cfRule type="cellIs" priority="112" operator="equal" dxfId="38">
      <formula>41</formula>
    </cfRule>
  </conditionalFormatting>
  <conditionalFormatting sqref="D3300">
    <cfRule type="cellIs" priority="111" operator="equal" dxfId="38">
      <formula>41</formula>
    </cfRule>
  </conditionalFormatting>
  <conditionalFormatting sqref="D3303">
    <cfRule type="cellIs" priority="110" operator="equal" dxfId="38">
      <formula>41</formula>
    </cfRule>
  </conditionalFormatting>
  <conditionalFormatting sqref="D3304">
    <cfRule type="cellIs" priority="109" operator="equal" dxfId="38">
      <formula>41</formula>
    </cfRule>
  </conditionalFormatting>
  <conditionalFormatting sqref="D3307">
    <cfRule type="cellIs" priority="108" operator="equal" dxfId="38">
      <formula>41</formula>
    </cfRule>
  </conditionalFormatting>
  <conditionalFormatting sqref="D3536">
    <cfRule type="cellIs" priority="107" operator="equal" dxfId="38">
      <formula>41</formula>
    </cfRule>
  </conditionalFormatting>
  <conditionalFormatting sqref="D3538:D3540">
    <cfRule type="cellIs" priority="106" operator="equal" dxfId="38">
      <formula>41</formula>
    </cfRule>
  </conditionalFormatting>
  <conditionalFormatting sqref="D3541">
    <cfRule type="cellIs" priority="105" operator="equal" dxfId="38">
      <formula>41</formula>
    </cfRule>
  </conditionalFormatting>
  <conditionalFormatting sqref="D3544:D3545">
    <cfRule type="cellIs" priority="104" operator="equal" dxfId="38">
      <formula>41</formula>
    </cfRule>
  </conditionalFormatting>
  <conditionalFormatting sqref="D3636:D3638">
    <cfRule type="cellIs" priority="103" operator="equal" dxfId="38">
      <formula>41</formula>
    </cfRule>
  </conditionalFormatting>
  <conditionalFormatting sqref="D3305">
    <cfRule type="cellIs" priority="102" operator="equal" dxfId="38">
      <formula>41</formula>
    </cfRule>
  </conditionalFormatting>
  <conditionalFormatting sqref="D3306">
    <cfRule type="cellIs" priority="101" operator="equal" dxfId="38">
      <formula>41</formula>
    </cfRule>
  </conditionalFormatting>
  <conditionalFormatting sqref="D3642">
    <cfRule type="cellIs" priority="100" operator="equal" dxfId="38">
      <formula>41</formula>
    </cfRule>
  </conditionalFormatting>
  <conditionalFormatting sqref="D3648">
    <cfRule type="cellIs" priority="99" operator="equal" dxfId="38">
      <formula>41</formula>
    </cfRule>
  </conditionalFormatting>
  <conditionalFormatting sqref="D3679">
    <cfRule type="cellIs" priority="98" operator="equal" dxfId="38">
      <formula>41</formula>
    </cfRule>
  </conditionalFormatting>
  <conditionalFormatting sqref="D3301">
    <cfRule type="cellIs" priority="97" operator="equal" dxfId="38">
      <formula>41</formula>
    </cfRule>
  </conditionalFormatting>
  <conditionalFormatting sqref="D3302">
    <cfRule type="cellIs" priority="96" operator="equal" dxfId="38">
      <formula>41</formula>
    </cfRule>
  </conditionalFormatting>
  <conditionalFormatting sqref="D3308">
    <cfRule type="cellIs" priority="95" operator="equal" dxfId="38">
      <formula>41</formula>
    </cfRule>
  </conditionalFormatting>
  <conditionalFormatting sqref="D3309:D3312">
    <cfRule type="cellIs" priority="94" operator="equal" dxfId="38">
      <formula>41</formula>
    </cfRule>
  </conditionalFormatting>
  <conditionalFormatting sqref="D3928">
    <cfRule type="cellIs" priority="93" operator="equal" dxfId="38">
      <formula>41</formula>
    </cfRule>
  </conditionalFormatting>
  <conditionalFormatting sqref="D4483">
    <cfRule type="cellIs" priority="92" operator="equal" dxfId="38">
      <formula>41</formula>
    </cfRule>
  </conditionalFormatting>
  <conditionalFormatting sqref="D4485">
    <cfRule type="cellIs" priority="91" operator="equal" dxfId="38">
      <formula>41</formula>
    </cfRule>
  </conditionalFormatting>
  <conditionalFormatting sqref="D4516">
    <cfRule type="cellIs" priority="90" operator="equal" dxfId="38">
      <formula>41</formula>
    </cfRule>
  </conditionalFormatting>
  <conditionalFormatting sqref="D4570">
    <cfRule type="cellIs" priority="89" operator="equal" dxfId="38">
      <formula>41</formula>
    </cfRule>
  </conditionalFormatting>
  <conditionalFormatting sqref="D4571">
    <cfRule type="cellIs" priority="88" operator="equal" dxfId="38">
      <formula>41</formula>
    </cfRule>
  </conditionalFormatting>
  <conditionalFormatting sqref="D4572">
    <cfRule type="cellIs" priority="87" operator="equal" dxfId="38">
      <formula>41</formula>
    </cfRule>
  </conditionalFormatting>
  <conditionalFormatting sqref="D4599">
    <cfRule type="cellIs" priority="86" operator="equal" dxfId="38">
      <formula>41</formula>
    </cfRule>
  </conditionalFormatting>
  <conditionalFormatting sqref="D4600">
    <cfRule type="cellIs" priority="85" operator="equal" dxfId="38">
      <formula>41</formula>
    </cfRule>
  </conditionalFormatting>
  <conditionalFormatting sqref="D4601">
    <cfRule type="cellIs" priority="84" operator="equal" dxfId="38">
      <formula>41</formula>
    </cfRule>
  </conditionalFormatting>
  <conditionalFormatting sqref="D4602:D4603">
    <cfRule type="cellIs" priority="83" operator="equal" dxfId="38">
      <formula>41</formula>
    </cfRule>
  </conditionalFormatting>
  <conditionalFormatting sqref="D4604:D4609">
    <cfRule type="cellIs" priority="82" operator="equal" dxfId="38">
      <formula>41</formula>
    </cfRule>
  </conditionalFormatting>
  <conditionalFormatting sqref="D4610:D4615">
    <cfRule type="cellIs" priority="81" operator="equal" dxfId="38">
      <formula>41</formula>
    </cfRule>
  </conditionalFormatting>
  <conditionalFormatting sqref="D4616">
    <cfRule type="cellIs" priority="80" operator="equal" dxfId="38">
      <formula>41</formula>
    </cfRule>
  </conditionalFormatting>
  <conditionalFormatting sqref="D4620:D4623">
    <cfRule type="cellIs" priority="79" operator="equal" dxfId="38">
      <formula>41</formula>
    </cfRule>
  </conditionalFormatting>
  <conditionalFormatting sqref="D4624">
    <cfRule type="cellIs" priority="78" operator="equal" dxfId="38">
      <formula>41</formula>
    </cfRule>
  </conditionalFormatting>
  <conditionalFormatting sqref="D4634">
    <cfRule type="cellIs" priority="77" operator="equal" dxfId="38">
      <formula>41</formula>
    </cfRule>
  </conditionalFormatting>
  <conditionalFormatting sqref="D4641">
    <cfRule type="cellIs" priority="76" operator="equal" dxfId="38">
      <formula>41</formula>
    </cfRule>
  </conditionalFormatting>
  <conditionalFormatting sqref="D4642:D4645">
    <cfRule type="cellIs" priority="75" operator="equal" dxfId="38">
      <formula>41</formula>
    </cfRule>
  </conditionalFormatting>
  <conditionalFormatting sqref="D4650">
    <cfRule type="cellIs" priority="74" operator="equal" dxfId="38">
      <formula>41</formula>
    </cfRule>
  </conditionalFormatting>
  <conditionalFormatting sqref="D4754">
    <cfRule type="cellIs" priority="73" operator="equal" dxfId="38">
      <formula>41</formula>
    </cfRule>
  </conditionalFormatting>
  <conditionalFormatting sqref="D4943">
    <cfRule type="cellIs" priority="72" operator="equal" dxfId="38">
      <formula>41</formula>
    </cfRule>
  </conditionalFormatting>
  <conditionalFormatting sqref="D3666">
    <cfRule type="cellIs" priority="71" operator="equal" dxfId="38">
      <formula>41</formula>
    </cfRule>
  </conditionalFormatting>
  <conditionalFormatting sqref="D5010">
    <cfRule type="cellIs" priority="70" operator="equal" dxfId="38">
      <formula>41</formula>
    </cfRule>
  </conditionalFormatting>
  <conditionalFormatting sqref="D5011">
    <cfRule type="cellIs" priority="69" operator="equal" dxfId="38">
      <formula>41</formula>
    </cfRule>
  </conditionalFormatting>
  <conditionalFormatting sqref="D5014:D5015">
    <cfRule type="cellIs" priority="68" operator="equal" dxfId="38">
      <formula>41</formula>
    </cfRule>
  </conditionalFormatting>
  <conditionalFormatting sqref="D5016:D5017">
    <cfRule type="cellIs" priority="67" operator="equal" dxfId="38">
      <formula>41</formula>
    </cfRule>
  </conditionalFormatting>
  <conditionalFormatting sqref="D5019:D5020">
    <cfRule type="cellIs" priority="66" operator="equal" dxfId="38">
      <formula>41</formula>
    </cfRule>
  </conditionalFormatting>
  <conditionalFormatting sqref="D5033">
    <cfRule type="cellIs" priority="65" operator="equal" dxfId="38">
      <formula>41</formula>
    </cfRule>
  </conditionalFormatting>
  <conditionalFormatting sqref="D5211">
    <cfRule type="cellIs" priority="64" operator="equal" dxfId="38">
      <formula>41</formula>
    </cfRule>
  </conditionalFormatting>
  <conditionalFormatting sqref="D5233:D5234">
    <cfRule type="cellIs" priority="63" operator="equal" dxfId="38">
      <formula>41</formula>
    </cfRule>
  </conditionalFormatting>
  <conditionalFormatting sqref="D4654">
    <cfRule type="cellIs" priority="62" operator="equal" dxfId="38">
      <formula>41</formula>
    </cfRule>
  </conditionalFormatting>
  <conditionalFormatting sqref="D5270">
    <cfRule type="cellIs" priority="61" operator="equal" dxfId="38">
      <formula>41</formula>
    </cfRule>
  </conditionalFormatting>
  <conditionalFormatting sqref="D5282">
    <cfRule type="cellIs" priority="60" operator="equal" dxfId="38">
      <formula>41</formula>
    </cfRule>
  </conditionalFormatting>
  <conditionalFormatting sqref="D5295">
    <cfRule type="cellIs" priority="59" operator="equal" dxfId="38">
      <formula>41</formula>
    </cfRule>
  </conditionalFormatting>
  <conditionalFormatting sqref="D5432">
    <cfRule type="cellIs" priority="58" operator="equal" dxfId="38">
      <formula>41</formula>
    </cfRule>
  </conditionalFormatting>
  <conditionalFormatting sqref="D5437">
    <cfRule type="cellIs" priority="57" operator="equal" dxfId="38">
      <formula>41</formula>
    </cfRule>
  </conditionalFormatting>
  <conditionalFormatting sqref="D5439:D5442">
    <cfRule type="cellIs" priority="56" operator="equal" dxfId="38">
      <formula>41</formula>
    </cfRule>
  </conditionalFormatting>
  <conditionalFormatting sqref="D5449">
    <cfRule type="cellIs" priority="55" operator="equal" dxfId="38">
      <formula>41</formula>
    </cfRule>
  </conditionalFormatting>
  <conditionalFormatting sqref="D5450:D5451">
    <cfRule type="cellIs" priority="54" operator="equal" dxfId="38">
      <formula>41</formula>
    </cfRule>
  </conditionalFormatting>
  <conditionalFormatting sqref="D5463">
    <cfRule type="cellIs" priority="53" operator="equal" dxfId="38">
      <formula>41</formula>
    </cfRule>
  </conditionalFormatting>
  <conditionalFormatting sqref="D5464:D5465">
    <cfRule type="cellIs" priority="52" operator="equal" dxfId="38">
      <formula>41</formula>
    </cfRule>
  </conditionalFormatting>
  <conditionalFormatting sqref="D5486:D5487">
    <cfRule type="cellIs" priority="51" operator="equal" dxfId="38">
      <formula>41</formula>
    </cfRule>
  </conditionalFormatting>
  <conditionalFormatting sqref="D5503">
    <cfRule type="cellIs" priority="50" operator="equal" dxfId="38">
      <formula>41</formula>
    </cfRule>
  </conditionalFormatting>
  <conditionalFormatting sqref="D5507">
    <cfRule type="cellIs" priority="49" operator="equal" dxfId="38">
      <formula>41</formula>
    </cfRule>
  </conditionalFormatting>
  <conditionalFormatting sqref="D5508:D5510">
    <cfRule type="cellIs" priority="48" operator="equal" dxfId="38">
      <formula>41</formula>
    </cfRule>
  </conditionalFormatting>
  <conditionalFormatting sqref="D5513">
    <cfRule type="cellIs" priority="47" operator="equal" dxfId="38">
      <formula>41</formula>
    </cfRule>
  </conditionalFormatting>
  <conditionalFormatting sqref="D5528">
    <cfRule type="cellIs" priority="46" operator="equal" dxfId="38">
      <formula>41</formula>
    </cfRule>
  </conditionalFormatting>
  <conditionalFormatting sqref="D4587">
    <cfRule type="cellIs" priority="45" operator="equal" dxfId="38">
      <formula>41</formula>
    </cfRule>
  </conditionalFormatting>
  <conditionalFormatting sqref="D5582">
    <cfRule type="cellIs" priority="44" operator="equal" dxfId="38">
      <formula>41</formula>
    </cfRule>
  </conditionalFormatting>
  <conditionalFormatting sqref="D5623">
    <cfRule type="cellIs" priority="43" operator="equal" dxfId="38">
      <formula>41</formula>
    </cfRule>
  </conditionalFormatting>
  <conditionalFormatting sqref="D5419">
    <cfRule type="cellIs" priority="42" operator="equal" dxfId="38">
      <formula>41</formula>
    </cfRule>
  </conditionalFormatting>
  <conditionalFormatting sqref="D3909">
    <cfRule type="cellIs" priority="35" operator="equal" dxfId="38">
      <formula>41</formula>
    </cfRule>
  </conditionalFormatting>
  <conditionalFormatting sqref="D4949">
    <cfRule type="cellIs" priority="41" operator="equal" dxfId="38">
      <formula>41</formula>
    </cfRule>
  </conditionalFormatting>
  <conditionalFormatting sqref="D4929:D4930">
    <cfRule type="cellIs" priority="40" operator="equal" dxfId="38">
      <formula>41</formula>
    </cfRule>
  </conditionalFormatting>
  <conditionalFormatting sqref="D4905">
    <cfRule type="cellIs" priority="39" operator="equal" dxfId="38">
      <formula>41</formula>
    </cfRule>
  </conditionalFormatting>
  <conditionalFormatting sqref="D4904">
    <cfRule type="cellIs" priority="38" operator="equal" dxfId="38">
      <formula>41</formula>
    </cfRule>
  </conditionalFormatting>
  <conditionalFormatting sqref="D4662">
    <cfRule type="cellIs" priority="37" operator="equal" dxfId="38">
      <formula>41</formula>
    </cfRule>
  </conditionalFormatting>
  <conditionalFormatting sqref="D3908">
    <cfRule type="cellIs" priority="36" operator="equal" dxfId="38">
      <formula>41</formula>
    </cfRule>
  </conditionalFormatting>
  <conditionalFormatting sqref="D5472">
    <cfRule type="cellIs" priority="34" operator="equal" dxfId="38">
      <formula>41</formula>
    </cfRule>
  </conditionalFormatting>
  <conditionalFormatting sqref="D5556">
    <cfRule type="cellIs" priority="33" operator="equal" dxfId="38">
      <formula>41</formula>
    </cfRule>
  </conditionalFormatting>
  <conditionalFormatting sqref="D5557">
    <cfRule type="cellIs" priority="32" operator="equal" dxfId="38">
      <formula>41</formula>
    </cfRule>
  </conditionalFormatting>
  <conditionalFormatting sqref="D5558">
    <cfRule type="cellIs" priority="31" operator="equal" dxfId="38">
      <formula>41</formula>
    </cfRule>
  </conditionalFormatting>
  <conditionalFormatting sqref="D5643:D5644">
    <cfRule type="cellIs" priority="30" operator="equal" dxfId="38">
      <formula>41</formula>
    </cfRule>
  </conditionalFormatting>
  <conditionalFormatting sqref="D5688">
    <cfRule type="cellIs" priority="29" operator="equal" dxfId="38">
      <formula>41</formula>
    </cfRule>
  </conditionalFormatting>
  <conditionalFormatting sqref="D5698:D5699">
    <cfRule type="cellIs" priority="28" operator="equal" dxfId="38">
      <formula>41</formula>
    </cfRule>
  </conditionalFormatting>
  <conditionalFormatting sqref="D5706">
    <cfRule type="cellIs" priority="27" operator="equal" dxfId="38">
      <formula>41</formula>
    </cfRule>
  </conditionalFormatting>
  <conditionalFormatting sqref="D5740">
    <cfRule type="cellIs" priority="26" operator="equal" dxfId="38">
      <formula>41</formula>
    </cfRule>
  </conditionalFormatting>
  <conditionalFormatting sqref="D5741">
    <cfRule type="cellIs" priority="25" operator="equal" dxfId="38">
      <formula>41</formula>
    </cfRule>
  </conditionalFormatting>
  <conditionalFormatting sqref="D5742:D5745">
    <cfRule type="cellIs" priority="24" operator="equal" dxfId="38">
      <formula>41</formula>
    </cfRule>
  </conditionalFormatting>
  <conditionalFormatting sqref="D5763">
    <cfRule type="cellIs" priority="23" operator="equal" dxfId="38">
      <formula>41</formula>
    </cfRule>
  </conditionalFormatting>
  <conditionalFormatting sqref="D5765">
    <cfRule type="cellIs" priority="22" operator="equal" dxfId="38">
      <formula>41</formula>
    </cfRule>
  </conditionalFormatting>
  <conditionalFormatting sqref="D5870">
    <cfRule type="cellIs" priority="21" operator="equal" dxfId="38">
      <formula>41</formula>
    </cfRule>
  </conditionalFormatting>
  <conditionalFormatting sqref="D5871:D5874">
    <cfRule type="cellIs" priority="20" operator="equal" dxfId="38">
      <formula>41</formula>
    </cfRule>
  </conditionalFormatting>
  <conditionalFormatting sqref="D5968:D5969">
    <cfRule type="cellIs" priority="19" operator="equal" dxfId="38">
      <formula>41</formula>
    </cfRule>
  </conditionalFormatting>
  <conditionalFormatting sqref="D5999:D6001">
    <cfRule type="cellIs" priority="18" operator="equal" dxfId="38">
      <formula>41</formula>
    </cfRule>
  </conditionalFormatting>
  <conditionalFormatting sqref="D6025:D6027">
    <cfRule type="cellIs" priority="17" operator="equal" dxfId="38">
      <formula>41</formula>
    </cfRule>
  </conditionalFormatting>
  <conditionalFormatting sqref="D6028">
    <cfRule type="cellIs" priority="16" operator="equal" dxfId="38">
      <formula>41</formula>
    </cfRule>
  </conditionalFormatting>
  <conditionalFormatting sqref="D6030">
    <cfRule type="cellIs" priority="15" operator="equal" dxfId="38">
      <formula>41</formula>
    </cfRule>
  </conditionalFormatting>
  <conditionalFormatting sqref="D6049">
    <cfRule type="cellIs" priority="14" operator="equal" dxfId="38">
      <formula>41</formula>
    </cfRule>
  </conditionalFormatting>
  <conditionalFormatting sqref="D6073">
    <cfRule type="cellIs" priority="13" operator="equal" dxfId="38">
      <formula>41</formula>
    </cfRule>
  </conditionalFormatting>
  <conditionalFormatting sqref="D6120">
    <cfRule type="cellIs" priority="12" operator="equal" dxfId="38">
      <formula>41</formula>
    </cfRule>
  </conditionalFormatting>
  <conditionalFormatting sqref="D6132:D6133">
    <cfRule type="cellIs" priority="11" operator="equal" dxfId="38">
      <formula>41</formula>
    </cfRule>
  </conditionalFormatting>
  <conditionalFormatting sqref="D6149">
    <cfRule type="cellIs" priority="10" operator="equal" dxfId="38">
      <formula>41</formula>
    </cfRule>
  </conditionalFormatting>
  <conditionalFormatting sqref="D6150">
    <cfRule type="cellIs" priority="9" operator="equal" dxfId="38">
      <formula>41</formula>
    </cfRule>
  </conditionalFormatting>
  <conditionalFormatting sqref="D6194:D6197">
    <cfRule type="cellIs" priority="8" operator="equal" dxfId="38">
      <formula>41</formula>
    </cfRule>
  </conditionalFormatting>
  <conditionalFormatting sqref="D6214">
    <cfRule type="cellIs" priority="7" operator="equal" dxfId="38">
      <formula>41</formula>
    </cfRule>
  </conditionalFormatting>
  <conditionalFormatting sqref="D6273">
    <cfRule type="cellIs" priority="6" operator="equal" dxfId="38">
      <formula>41</formula>
    </cfRule>
  </conditionalFormatting>
  <conditionalFormatting sqref="D6270">
    <cfRule type="cellIs" priority="5" operator="equal" dxfId="38">
      <formula>41</formula>
    </cfRule>
  </conditionalFormatting>
  <conditionalFormatting sqref="D6253">
    <cfRule type="cellIs" priority="4" operator="equal" dxfId="38">
      <formula>41</formula>
    </cfRule>
  </conditionalFormatting>
  <conditionalFormatting sqref="D6254">
    <cfRule type="cellIs" priority="3" operator="equal" dxfId="38">
      <formula>41</formula>
    </cfRule>
  </conditionalFormatting>
  <conditionalFormatting sqref="D6277:D6283">
    <cfRule type="cellIs" priority="2" operator="equal" dxfId="38">
      <formula>41</formula>
    </cfRule>
  </conditionalFormatting>
  <conditionalFormatting sqref="D6286">
    <cfRule type="cellIs" priority="1" operator="equal" dxfId="38">
      <formula>41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6326"/>
  <sheetViews>
    <sheetView tabSelected="1" workbookViewId="0">
      <selection activeCell="B1" sqref="B1"/>
    </sheetView>
  </sheetViews>
  <sheetFormatPr baseColWidth="10" defaultColWidth="9.140625" defaultRowHeight="15"/>
  <cols>
    <col width="17.140625" bestFit="1" customWidth="1" min="2" max="2"/>
    <col width="17.140625" bestFit="1" customWidth="1" min="10" max="10"/>
  </cols>
  <sheetData>
    <row r="1">
      <c r="A1" t="n">
        <v>1000</v>
      </c>
      <c r="B1" s="16" t="n">
        <v>44518</v>
      </c>
      <c r="C1" t="inlineStr">
        <is>
          <t>CPR</t>
        </is>
      </c>
      <c r="D1" t="n">
        <v>41</v>
      </c>
      <c r="E1">
        <f>IF(D2658&gt;0,VLOOKUP(OPERAC[[#This Row],[COD CART]],[1]!MatrizCortoLargoCyl[#All],3,0),"")</f>
        <v/>
      </c>
      <c r="F1" t="inlineStr">
        <is>
          <t>TWTR</t>
        </is>
      </c>
      <c r="G1" t="n">
        <v>10</v>
      </c>
      <c r="H1" t="n">
        <v>-486.7</v>
      </c>
      <c r="I1">
        <f>-H2658/G2658</f>
        <v/>
      </c>
      <c r="J1" s="16" t="n">
        <v>44572</v>
      </c>
      <c r="K1" t="n">
        <v>10</v>
      </c>
      <c r="L1" t="n">
        <v>405.2</v>
      </c>
    </row>
    <row r="2">
      <c r="A2" t="n">
        <v>1000</v>
      </c>
      <c r="B2" s="16" t="n">
        <v>44552</v>
      </c>
      <c r="C2" t="inlineStr">
        <is>
          <t>VTA</t>
        </is>
      </c>
      <c r="D2" t="n">
        <v>41</v>
      </c>
      <c r="E2">
        <f>IF(D1385&gt;0,VLOOKUP(OPERAC[[#This Row],[COD CART]],[1]!MatrizCortoLargoCyl[#All],3,0),"")</f>
        <v/>
      </c>
      <c r="F2" t="inlineStr">
        <is>
          <t>SKLZ</t>
        </is>
      </c>
      <c r="G2" t="n">
        <v>15</v>
      </c>
      <c r="H2" t="n">
        <v>-129.1</v>
      </c>
      <c r="I2">
        <f>-H1385/G1385</f>
        <v/>
      </c>
      <c r="J2" s="16" t="n">
        <v>44572</v>
      </c>
      <c r="K2" t="n">
        <v>15</v>
      </c>
      <c r="L2" t="n">
        <v>96.52</v>
      </c>
    </row>
    <row r="3">
      <c r="A3" t="n">
        <v>1000</v>
      </c>
      <c r="B3" s="16" t="n">
        <v>44552</v>
      </c>
      <c r="C3" t="inlineStr">
        <is>
          <t>VTA</t>
        </is>
      </c>
      <c r="D3" t="n">
        <v>41</v>
      </c>
      <c r="E3">
        <f>IF(D1398&gt;0,VLOOKUP(OPERAC[[#This Row],[COD CART]],[1]!MatrizCortoLargoCyl[#All],3,0),"")</f>
        <v/>
      </c>
      <c r="F3" t="inlineStr">
        <is>
          <t>BYND</t>
        </is>
      </c>
      <c r="G3" t="n">
        <v>2</v>
      </c>
      <c r="H3" t="n">
        <v>-140.4</v>
      </c>
      <c r="I3">
        <f>-H1398/G1398</f>
        <v/>
      </c>
      <c r="J3" s="16" t="n">
        <v>44572</v>
      </c>
      <c r="K3" t="n">
        <v>2</v>
      </c>
      <c r="L3" t="n">
        <v>137.4</v>
      </c>
    </row>
    <row r="4">
      <c r="A4" t="n">
        <v>1000</v>
      </c>
      <c r="B4" s="16" t="n">
        <v>44552</v>
      </c>
      <c r="C4" t="inlineStr">
        <is>
          <t>VTA</t>
        </is>
      </c>
      <c r="D4" t="n">
        <v>41</v>
      </c>
      <c r="E4">
        <f>IF(D1511&gt;0,VLOOKUP(OPERAC[[#This Row],[COD CART]],[1]!MatrizCortoLargoCyl[#All],3,0),"")</f>
        <v/>
      </c>
      <c r="F4" t="inlineStr">
        <is>
          <t>PLTR</t>
        </is>
      </c>
      <c r="G4" t="n">
        <v>10</v>
      </c>
      <c r="H4" t="n">
        <v>-188.35</v>
      </c>
      <c r="I4">
        <f>-H1511/G1511</f>
        <v/>
      </c>
      <c r="J4" s="16" t="n">
        <v>44572</v>
      </c>
      <c r="K4" t="n">
        <v>10</v>
      </c>
      <c r="L4" t="n">
        <v>169.12</v>
      </c>
    </row>
    <row r="5">
      <c r="A5" t="n">
        <v>1000</v>
      </c>
      <c r="B5" s="16" t="n">
        <v>44552</v>
      </c>
      <c r="C5" t="inlineStr">
        <is>
          <t>VTA</t>
        </is>
      </c>
      <c r="D5" t="n">
        <v>41</v>
      </c>
      <c r="E5">
        <f>IF(D1532&gt;0,VLOOKUP(OPERAC[[#This Row],[COD CART]],[1]!MatrizCortoLargoCyl[#All],3,0),"")</f>
        <v/>
      </c>
      <c r="F5" t="inlineStr">
        <is>
          <t>TLRY</t>
        </is>
      </c>
      <c r="G5" t="n">
        <v>25</v>
      </c>
      <c r="H5" t="n">
        <v>-191.475</v>
      </c>
      <c r="I5">
        <f>-H1532/G1532</f>
        <v/>
      </c>
      <c r="J5" s="16" t="n">
        <v>44572</v>
      </c>
      <c r="K5" t="n">
        <v>25</v>
      </c>
      <c r="L5" t="n">
        <v>184.3175</v>
      </c>
    </row>
    <row r="6">
      <c r="A6" t="n">
        <v>1000</v>
      </c>
      <c r="B6" s="16" t="n">
        <v>44552</v>
      </c>
      <c r="C6" t="inlineStr">
        <is>
          <t>VTA</t>
        </is>
      </c>
      <c r="D6" t="n">
        <v>41</v>
      </c>
      <c r="E6">
        <f>IF(D1936&gt;0,VLOOKUP(OPERAC[[#This Row],[COD CART]],[1]!MatrizCortoLargoCyl[#All],3,0),"")</f>
        <v/>
      </c>
      <c r="F6" t="inlineStr">
        <is>
          <t>SMH</t>
        </is>
      </c>
      <c r="G6" t="n">
        <v>1</v>
      </c>
      <c r="H6" t="n">
        <v>-301.09</v>
      </c>
      <c r="I6">
        <f>-H1936/G1936</f>
        <v/>
      </c>
      <c r="J6" s="16" t="n">
        <v>44572</v>
      </c>
      <c r="K6" t="n">
        <v>1</v>
      </c>
      <c r="L6" t="n">
        <v>299.87</v>
      </c>
    </row>
    <row r="7">
      <c r="A7" t="n">
        <v>1000</v>
      </c>
      <c r="B7" s="16" t="n">
        <v>44573</v>
      </c>
      <c r="C7" t="inlineStr">
        <is>
          <t>CPR</t>
        </is>
      </c>
      <c r="D7" t="n">
        <v>41</v>
      </c>
      <c r="E7">
        <f>IF(D3304&gt;0,VLOOKUP(OPERAC[[#This Row],[COD CART]],[1]!MatrizCortoLargoCyl[#All],3,0),"")</f>
        <v/>
      </c>
      <c r="F7" t="inlineStr">
        <is>
          <t>BABA</t>
        </is>
      </c>
      <c r="G7" t="n">
        <v>5</v>
      </c>
      <c r="H7" t="n">
        <v>-686.4299999999999</v>
      </c>
      <c r="I7">
        <f>-H3304/G3304</f>
        <v/>
      </c>
    </row>
    <row r="8">
      <c r="A8" t="n">
        <v>1000</v>
      </c>
      <c r="B8" s="16" t="n">
        <v>44573</v>
      </c>
      <c r="C8" t="inlineStr">
        <is>
          <t>VTA</t>
        </is>
      </c>
      <c r="D8" t="n">
        <v>41</v>
      </c>
      <c r="E8">
        <f>IF(D1702&gt;0,VLOOKUP(OPERAC[[#This Row],[COD CART]],[1]!MatrizCortoLargoCyl[#All],3,0),"")</f>
        <v/>
      </c>
      <c r="F8" t="inlineStr">
        <is>
          <t>EDIT</t>
        </is>
      </c>
      <c r="G8" t="n">
        <v>10</v>
      </c>
      <c r="H8" t="n">
        <v>-241</v>
      </c>
      <c r="I8">
        <f>-H1702/G1702</f>
        <v/>
      </c>
    </row>
    <row r="9">
      <c r="A9" t="n">
        <v>1000</v>
      </c>
      <c r="B9" s="16" t="n">
        <v>44607</v>
      </c>
      <c r="C9" t="inlineStr">
        <is>
          <t>VTA</t>
        </is>
      </c>
      <c r="D9" t="n">
        <v>41</v>
      </c>
      <c r="E9">
        <f>IF(D1897&gt;0,VLOOKUP(OPERAC[[#This Row],[COD CART]],[1]!MatrizCortoLargoCyl[#All],3,0),"")</f>
        <v/>
      </c>
      <c r="F9" t="inlineStr">
        <is>
          <t>DDD</t>
        </is>
      </c>
      <c r="G9" t="n">
        <v>15</v>
      </c>
      <c r="H9" t="n">
        <v>-284.275</v>
      </c>
      <c r="I9">
        <f>-H1897/G1897</f>
        <v/>
      </c>
    </row>
    <row r="10">
      <c r="A10" t="n">
        <v>1760</v>
      </c>
      <c r="B10" s="16" t="n">
        <v>44237</v>
      </c>
      <c r="C10" t="inlineStr">
        <is>
          <t>CPR</t>
        </is>
      </c>
      <c r="D10" t="n">
        <v>32</v>
      </c>
      <c r="E10">
        <f>IF(D6049&gt;0,VLOOKUP(OPERAC[[#This Row],[COD CART]],[1]!MatrizCortoLargoCyl[#All],3,0),"")</f>
        <v/>
      </c>
      <c r="F10" t="inlineStr">
        <is>
          <t>DDD/CYL/32,00/21-01-22</t>
        </is>
      </c>
      <c r="G10" t="n">
        <v>100</v>
      </c>
      <c r="H10">
        <f>-4006.915+48.865+27.566+49.34+124+78.797+26.07+40.172+29.76</f>
        <v/>
      </c>
      <c r="I10">
        <f>-H6049/G6049</f>
        <v/>
      </c>
      <c r="J10" s="16" t="n">
        <v>44582</v>
      </c>
      <c r="K10" t="n">
        <v>100</v>
      </c>
      <c r="L10">
        <f>17.262*OPERAC[[#This Row],[cantidad venta]]</f>
        <v/>
      </c>
    </row>
    <row r="11">
      <c r="A11" t="n">
        <v>1760</v>
      </c>
      <c r="B11" s="16" t="n">
        <v>44299</v>
      </c>
      <c r="C11" t="inlineStr">
        <is>
          <t>VTA</t>
        </is>
      </c>
      <c r="D11" t="n">
        <v>39</v>
      </c>
      <c r="E11">
        <f>IF(D1080&gt;0,VLOOKUP(OPERAC[[#This Row],[COD CART]],[1]!MatrizCortoLargoCyl[#All],3,0),"")</f>
        <v/>
      </c>
      <c r="F11" t="inlineStr">
        <is>
          <t>TLRY1/V/10,00/20-01-23</t>
        </is>
      </c>
      <c r="G11" t="n">
        <v>-10</v>
      </c>
      <c r="H11" t="n">
        <v>30.44</v>
      </c>
      <c r="I11">
        <f>-H1080/G1080</f>
        <v/>
      </c>
      <c r="J11" s="16" t="n">
        <v>44628</v>
      </c>
      <c r="K11" t="n">
        <v>-10</v>
      </c>
      <c r="L11" t="n">
        <v>-63.0699</v>
      </c>
    </row>
    <row r="12">
      <c r="A12" t="n">
        <v>1760</v>
      </c>
      <c r="B12" s="16" t="n">
        <v>44340</v>
      </c>
      <c r="C12" t="inlineStr">
        <is>
          <t>VTA</t>
        </is>
      </c>
      <c r="D12" t="n">
        <v>39</v>
      </c>
      <c r="E12">
        <f>IF(D1030&gt;0,VLOOKUP(OPERAC[[#This Row],[COD CART]],[1]!MatrizCortoLargoCyl[#All],3,0),"")</f>
        <v/>
      </c>
      <c r="F12" t="inlineStr">
        <is>
          <t>SOLO/V/2,50/20-01-23</t>
        </is>
      </c>
      <c r="G12" t="n">
        <v>-50</v>
      </c>
      <c r="H12" t="n">
        <v>51.34</v>
      </c>
      <c r="I12">
        <f>-H1030/G1030</f>
        <v/>
      </c>
    </row>
    <row r="13">
      <c r="A13" t="n">
        <v>1760</v>
      </c>
      <c r="B13" s="16" t="n">
        <v>44341</v>
      </c>
      <c r="C13" t="inlineStr">
        <is>
          <t>VTA</t>
        </is>
      </c>
      <c r="D13" t="n">
        <v>39</v>
      </c>
      <c r="E13">
        <f>IF(D403&gt;0,VLOOKUP(OPERAC[[#This Row],[COD CART]],[1]!MatrizCortoLargoCyl[#All],3,0),"")</f>
        <v/>
      </c>
      <c r="F13" t="inlineStr">
        <is>
          <t>INO/V/5,00/21-01-22</t>
        </is>
      </c>
      <c r="G13" t="n">
        <v>-1100</v>
      </c>
      <c r="H13">
        <f>1100*1.05</f>
        <v/>
      </c>
      <c r="I13">
        <f>-H403/G403</f>
        <v/>
      </c>
      <c r="J13" s="16" t="n">
        <v>44580</v>
      </c>
      <c r="K13" t="n">
        <v>-1100</v>
      </c>
      <c r="L13" t="n">
        <v>-859.771</v>
      </c>
    </row>
    <row r="14">
      <c r="A14" t="n">
        <v>1760</v>
      </c>
      <c r="B14" s="16" t="n">
        <v>44369</v>
      </c>
      <c r="C14" t="inlineStr">
        <is>
          <t>CPR</t>
        </is>
      </c>
      <c r="D14" t="n">
        <v>32</v>
      </c>
      <c r="E14">
        <f>IF(D5819&gt;0,VLOOKUP(OPERAC[[#This Row],[COD CART]],[1]!MatrizCortoLargoCyl[#All],3,0),"")</f>
        <v/>
      </c>
      <c r="F14" t="inlineStr">
        <is>
          <t>DDD/CYL/32,00/21-01-22</t>
        </is>
      </c>
      <c r="G14" t="n">
        <v>100</v>
      </c>
      <c r="H14">
        <f>-3080.779+124+78.797+26.07+40.172+29.76</f>
        <v/>
      </c>
      <c r="I14">
        <f>-H5819/G5819</f>
        <v/>
      </c>
      <c r="J14" s="16" t="n">
        <v>44582</v>
      </c>
      <c r="K14" t="n">
        <v>100</v>
      </c>
      <c r="L14">
        <f>17.262*OPERAC[[#This Row],[cantidad venta]]</f>
        <v/>
      </c>
    </row>
    <row r="15">
      <c r="A15" t="n">
        <v>1760</v>
      </c>
      <c r="B15" s="16" t="n">
        <v>44378</v>
      </c>
      <c r="C15" t="inlineStr">
        <is>
          <t>CPR</t>
        </is>
      </c>
      <c r="D15" t="n">
        <v>43</v>
      </c>
      <c r="E15">
        <f>IF(D5666&gt;0,VLOOKUP(OPERAC[[#This Row],[COD CART]],[1]!MatrizCortoLargoCyl[#All],3,0),"")</f>
        <v/>
      </c>
      <c r="F15" t="inlineStr">
        <is>
          <t>INO/CYL-PUT/7,00/21-01-22</t>
        </is>
      </c>
      <c r="G15" t="n">
        <v>500</v>
      </c>
      <c r="H15">
        <f>-7.87*OPERAC[[#This Row],[cantidad]]+77.01+494.58+940.97</f>
        <v/>
      </c>
      <c r="I15">
        <f>-H5666/G5666</f>
        <v/>
      </c>
      <c r="J15" s="16" t="n">
        <v>44581</v>
      </c>
      <c r="K15" t="n">
        <v>500</v>
      </c>
      <c r="L15" t="n">
        <v>628.797</v>
      </c>
    </row>
    <row r="16">
      <c r="A16" t="n">
        <v>1760</v>
      </c>
      <c r="B16" s="16" t="n">
        <v>44424</v>
      </c>
      <c r="C16" t="inlineStr">
        <is>
          <t>VTA</t>
        </is>
      </c>
      <c r="D16" t="n">
        <v>39</v>
      </c>
      <c r="E16">
        <f>IF(D990&gt;0,VLOOKUP(OPERAC[[#This Row],[COD CART]],[1]!MatrizCortoLargoCyl[#All],3,0),"")</f>
        <v/>
      </c>
      <c r="F16" t="inlineStr">
        <is>
          <t>ACB/V/5,00/20-01-23</t>
        </is>
      </c>
      <c r="G16" t="n">
        <v>-50</v>
      </c>
      <c r="H16" t="n">
        <v>71.47</v>
      </c>
      <c r="I16">
        <f>-H990/G990</f>
        <v/>
      </c>
    </row>
    <row r="17">
      <c r="A17" t="n">
        <v>1760</v>
      </c>
      <c r="B17" s="16" t="n">
        <v>44427</v>
      </c>
      <c r="C17" t="inlineStr">
        <is>
          <t>VTA</t>
        </is>
      </c>
      <c r="D17" t="n">
        <v>39</v>
      </c>
      <c r="E17">
        <f>IF(D1205&gt;0,VLOOKUP(OPERAC[[#This Row],[COD CART]],[1]!MatrizCortoLargoCyl[#All],3,0),"")</f>
        <v/>
      </c>
      <c r="F17" t="inlineStr">
        <is>
          <t>SPWR/V/15,00/20-01-23</t>
        </is>
      </c>
      <c r="G17" t="n">
        <v>-3</v>
      </c>
      <c r="H17" t="n">
        <v>8.52</v>
      </c>
      <c r="I17">
        <f>-H1205/G1205</f>
        <v/>
      </c>
    </row>
    <row r="18">
      <c r="A18" t="n">
        <v>1760</v>
      </c>
      <c r="B18" s="16" t="n">
        <v>44428</v>
      </c>
      <c r="C18" t="inlineStr">
        <is>
          <t>VTA</t>
        </is>
      </c>
      <c r="D18" t="n">
        <v>39</v>
      </c>
      <c r="E18">
        <f>IF(D1206&gt;0,VLOOKUP(OPERAC[[#This Row],[COD CART]],[1]!MatrizCortoLargoCyl[#All],3,0),"")</f>
        <v/>
      </c>
      <c r="F18" t="inlineStr">
        <is>
          <t>EDU/V/20,00/20-01-23</t>
        </is>
      </c>
      <c r="G18" t="n">
        <v>-10</v>
      </c>
      <c r="H18" t="n">
        <v>8.41</v>
      </c>
      <c r="I18">
        <f>-H1206/G1206</f>
        <v/>
      </c>
    </row>
    <row r="19">
      <c r="A19" t="n">
        <v>1760</v>
      </c>
      <c r="B19" s="16" t="n">
        <v>44431</v>
      </c>
      <c r="C19" t="inlineStr">
        <is>
          <t>VTA</t>
        </is>
      </c>
      <c r="D19" t="n">
        <v>39</v>
      </c>
      <c r="E19">
        <f>IF(D1098&gt;0,VLOOKUP(OPERAC[[#This Row],[COD CART]],[1]!MatrizCortoLargoCyl[#All],3,0),"")</f>
        <v/>
      </c>
      <c r="F19" t="inlineStr">
        <is>
          <t>GGAL/V/10,00/20-01-23</t>
        </is>
      </c>
      <c r="G19" t="n">
        <v>-10</v>
      </c>
      <c r="H19" t="n">
        <v>24.8</v>
      </c>
      <c r="I19">
        <f>-H1098/G1098</f>
        <v/>
      </c>
    </row>
    <row r="20">
      <c r="A20" t="n">
        <v>1760</v>
      </c>
      <c r="B20" s="16" t="n">
        <v>44459</v>
      </c>
      <c r="C20" t="inlineStr">
        <is>
          <t>VTA</t>
        </is>
      </c>
      <c r="D20" t="n">
        <v>43</v>
      </c>
      <c r="E20">
        <f>IF(D5434&gt;0,VLOOKUP(OPERAC[[#This Row],[COD CART]],[1]!MatrizCortoLargoCyl[#All],3,0),"")</f>
        <v/>
      </c>
      <c r="F20" t="inlineStr">
        <is>
          <t>SOLO/CYL-PUT/3,00/17-06-22</t>
        </is>
      </c>
      <c r="G20" t="n">
        <v>1000</v>
      </c>
      <c r="H20">
        <f>-2241.56+0.137*OPERAC[[#This Row],[cantidad]]-1042.231+144.8+1136.78</f>
        <v/>
      </c>
      <c r="I20">
        <f>-H5434/G5434</f>
        <v/>
      </c>
      <c r="J20" s="16" t="n">
        <v>44719</v>
      </c>
      <c r="K20" t="n">
        <v>1000</v>
      </c>
      <c r="L20" t="n">
        <v>31.38</v>
      </c>
    </row>
    <row r="21">
      <c r="A21" t="n">
        <v>1760</v>
      </c>
      <c r="B21" s="16" t="n">
        <v>44462</v>
      </c>
      <c r="C21" t="inlineStr">
        <is>
          <t>CPR</t>
        </is>
      </c>
      <c r="D21" t="n">
        <v>43</v>
      </c>
      <c r="E21">
        <f>IF(D4004&gt;0,VLOOKUP(OPERAC[[#This Row],[COD CART]],[1]!MatrizCortoLargoCyl[#All],3,0),"")</f>
        <v/>
      </c>
      <c r="F21" t="inlineStr">
        <is>
          <t>SOLO/CYL-PUT/4,00/18-03-22</t>
        </is>
      </c>
      <c r="G21" t="n">
        <v>500</v>
      </c>
      <c r="H21">
        <f>OPERAC[[#This Row],[cantidad]]*-2.54+0.32*OPERAC[[#This Row],[cantidad]]+0.387*OPERAC[[#This Row],[cantidad]]</f>
        <v/>
      </c>
      <c r="I21">
        <f>-H4004/G4004</f>
        <v/>
      </c>
      <c r="J21" s="16" t="n">
        <v>44622</v>
      </c>
      <c r="K21" t="n">
        <v>500</v>
      </c>
      <c r="L21" t="n">
        <v>-49.738</v>
      </c>
    </row>
    <row r="22">
      <c r="A22" t="n">
        <v>1760</v>
      </c>
      <c r="B22" s="16" t="n">
        <v>44474</v>
      </c>
      <c r="C22" t="inlineStr">
        <is>
          <t>VTA</t>
        </is>
      </c>
      <c r="D22" t="n">
        <v>39</v>
      </c>
      <c r="E22">
        <f>IF(D855&gt;0,VLOOKUP(OPERAC[[#This Row],[COD CART]],[1]!MatrizCortoLargoCyl[#All],3,0),"")</f>
        <v/>
      </c>
      <c r="F22" t="inlineStr">
        <is>
          <t>NKE/V/115,00/21-01-22</t>
        </is>
      </c>
      <c r="G22" t="n">
        <v>-200</v>
      </c>
      <c r="H22" t="n">
        <v>199.914</v>
      </c>
      <c r="I22">
        <f>-H855/G855</f>
        <v/>
      </c>
      <c r="J22" s="16" t="n">
        <v>44582</v>
      </c>
      <c r="K22" t="n">
        <v>-200</v>
      </c>
      <c r="L22" t="n">
        <v>0</v>
      </c>
    </row>
    <row r="23">
      <c r="A23" t="n">
        <v>1760</v>
      </c>
      <c r="B23" s="16" t="n">
        <v>44489</v>
      </c>
      <c r="C23" t="inlineStr">
        <is>
          <t>VTA</t>
        </is>
      </c>
      <c r="D23" t="n">
        <v>43</v>
      </c>
      <c r="E23">
        <f>IF(D2227&gt;0,VLOOKUP(OPERAC[[#This Row],[COD CART]],[1]!MatrizCortoLargoCyl[#All],3,0),"")</f>
        <v/>
      </c>
      <c r="F23" t="inlineStr">
        <is>
          <t>SESN/CYL-PUT/1,00/19-01-24</t>
        </is>
      </c>
      <c r="G23" t="n">
        <v>2000</v>
      </c>
      <c r="H23">
        <f>-0.1885*OPERAC[[#This Row],[cantidad]]</f>
        <v/>
      </c>
      <c r="I23">
        <f>-H2227/G2227</f>
        <v/>
      </c>
      <c r="J23" s="16" t="n">
        <v>44582</v>
      </c>
      <c r="K23" t="n">
        <v>2000</v>
      </c>
      <c r="L23" t="n">
        <v>-918.54</v>
      </c>
    </row>
    <row r="24">
      <c r="A24" t="n">
        <v>1760</v>
      </c>
      <c r="B24" s="16" t="n">
        <v>44495</v>
      </c>
      <c r="C24" t="inlineStr">
        <is>
          <t>VTA</t>
        </is>
      </c>
      <c r="D24" t="n">
        <v>39</v>
      </c>
      <c r="E24">
        <f>IF(D373&gt;0,VLOOKUP(OPERAC[[#This Row],[COD CART]],[1]!MatrizCortoLargoCyl[#All],3,0),"")</f>
        <v/>
      </c>
      <c r="F24" t="inlineStr">
        <is>
          <t>YPF/CC10/LP7/CP3/19-01-24</t>
        </is>
      </c>
      <c r="G24" t="n">
        <v>-500</v>
      </c>
      <c r="H24">
        <f>-2.41*OPERAC[[#This Row],[cantidad]]</f>
        <v/>
      </c>
      <c r="I24">
        <f>-H373/G373</f>
        <v/>
      </c>
    </row>
    <row r="25">
      <c r="A25" t="n">
        <v>1760</v>
      </c>
      <c r="B25" s="16" t="n">
        <v>44505</v>
      </c>
      <c r="C25" t="inlineStr">
        <is>
          <t>CPR</t>
        </is>
      </c>
      <c r="D25" t="n">
        <v>32</v>
      </c>
      <c r="E25">
        <f>IF(D5785&gt;0,VLOOKUP(OPERAC[[#This Row],[COD CART]],[1]!MatrizCortoLargoCyl[#All],3,0),"")</f>
        <v/>
      </c>
      <c r="F25" t="inlineStr">
        <is>
          <t>DDD/CYL/32,00/21-01-22</t>
        </is>
      </c>
      <c r="G25" t="n">
        <v>100</v>
      </c>
      <c r="H25">
        <f>-2682.032+29.76</f>
        <v/>
      </c>
      <c r="I25">
        <f>-H5785/G5785</f>
        <v/>
      </c>
      <c r="J25" s="16" t="n">
        <v>44582</v>
      </c>
      <c r="K25" t="n">
        <v>100</v>
      </c>
      <c r="L25">
        <f>17.262*OPERAC[[#This Row],[cantidad venta]]</f>
        <v/>
      </c>
    </row>
    <row r="26">
      <c r="A26" t="n">
        <v>1760</v>
      </c>
      <c r="B26" s="16" t="n">
        <v>44511</v>
      </c>
      <c r="C26" t="inlineStr">
        <is>
          <t>CPR</t>
        </is>
      </c>
      <c r="D26" t="n">
        <v>31</v>
      </c>
      <c r="E26">
        <f>IF(D4379&gt;0,VLOOKUP(OPERAC[[#This Row],[COD CART]],[1]!MatrizCortoLargoCyl[#All],3,0),"")</f>
        <v/>
      </c>
      <c r="F26" t="inlineStr">
        <is>
          <t>IPIX</t>
        </is>
      </c>
      <c r="G26" t="n">
        <v>10000</v>
      </c>
      <c r="H26" t="n">
        <v>-1099.9</v>
      </c>
      <c r="I26">
        <f>-H4379/G4379</f>
        <v/>
      </c>
    </row>
    <row r="27">
      <c r="A27" t="n">
        <v>1760</v>
      </c>
      <c r="B27" s="16" t="n">
        <v>44531</v>
      </c>
      <c r="C27" t="inlineStr">
        <is>
          <t>VTA</t>
        </is>
      </c>
      <c r="D27" t="n">
        <v>39</v>
      </c>
      <c r="E27">
        <f>IF(D715&gt;0,VLOOKUP(OPERAC[[#This Row],[COD CART]],[1]!MatrizCortoLargoCyl[#All],3,0),"")</f>
        <v/>
      </c>
      <c r="F27" t="inlineStr">
        <is>
          <t>MELI/V/740,00/16-09-22</t>
        </is>
      </c>
      <c r="G27" t="n">
        <v>-200</v>
      </c>
      <c r="H27">
        <f>-2*OPERAC[[#This Row],[cantidad]]</f>
        <v/>
      </c>
      <c r="I27">
        <f>-H715/G715</f>
        <v/>
      </c>
      <c r="J27" s="16" t="n">
        <v>44614</v>
      </c>
      <c r="K27">
        <f>+OPERAC[[#This Row],[cantidad]]</f>
        <v/>
      </c>
      <c r="L27" t="n">
        <v>-400</v>
      </c>
    </row>
    <row r="28">
      <c r="A28" t="n">
        <v>1760</v>
      </c>
      <c r="B28" s="16" t="n">
        <v>44536</v>
      </c>
      <c r="C28" t="inlineStr">
        <is>
          <t>CPR</t>
        </is>
      </c>
      <c r="D28" t="n">
        <v>43</v>
      </c>
      <c r="E28">
        <f>IF(D2712&gt;0,VLOOKUP(OPERAC[[#This Row],[COD CART]],[1]!MatrizCortoLargoCyl[#All],3,0),"")</f>
        <v/>
      </c>
      <c r="F28" t="inlineStr">
        <is>
          <t>HEXO/CYL-PUT/1,00/20-01-23</t>
        </is>
      </c>
      <c r="G28" t="n">
        <v>3000</v>
      </c>
      <c r="H28">
        <f>-0.1671*OPERAC[[#This Row],[cantidad]]</f>
        <v/>
      </c>
      <c r="I28">
        <f>-H2712/G2712</f>
        <v/>
      </c>
    </row>
    <row r="29">
      <c r="A29" t="n">
        <v>1760</v>
      </c>
      <c r="B29" s="16" t="n">
        <v>44536</v>
      </c>
      <c r="C29" t="inlineStr">
        <is>
          <t>CPR</t>
        </is>
      </c>
      <c r="D29" t="n">
        <v>41</v>
      </c>
      <c r="E29">
        <f>IF(D5951&gt;0,VLOOKUP(OPERAC[[#This Row],[COD CART]],[1]!MatrizCortoLargoCyl[#All],3,0),"")</f>
        <v/>
      </c>
      <c r="F29" t="inlineStr">
        <is>
          <t>LOMA</t>
        </is>
      </c>
      <c r="G29" t="n">
        <v>500</v>
      </c>
      <c r="H29" t="n">
        <v>-3115.825</v>
      </c>
      <c r="I29">
        <f>-H5951/G5951</f>
        <v/>
      </c>
    </row>
    <row r="30">
      <c r="A30" t="n">
        <v>1760</v>
      </c>
      <c r="B30" s="16" t="n">
        <v>44536</v>
      </c>
      <c r="C30" t="inlineStr">
        <is>
          <t>CPR</t>
        </is>
      </c>
      <c r="D30" t="n">
        <v>41</v>
      </c>
      <c r="E30">
        <f>IF(D6152&gt;0,VLOOKUP(OPERAC[[#This Row],[COD CART]],[1]!MatrizCortoLargoCyl[#All],3,0),"")</f>
        <v/>
      </c>
      <c r="F30" t="inlineStr">
        <is>
          <t>BBAR</t>
        </is>
      </c>
      <c r="G30" t="n">
        <v>1500</v>
      </c>
      <c r="H30" t="n">
        <v>-4822.17</v>
      </c>
      <c r="I30">
        <f>-H6152/G6152</f>
        <v/>
      </c>
      <c r="J30" s="16" t="n">
        <v>44693</v>
      </c>
      <c r="K30" t="n">
        <v>1000</v>
      </c>
      <c r="L30" t="n">
        <v>2723.56</v>
      </c>
    </row>
    <row r="31">
      <c r="A31" t="n">
        <v>1760</v>
      </c>
      <c r="B31" s="16" t="n">
        <v>44536</v>
      </c>
      <c r="C31" t="inlineStr">
        <is>
          <t>CPR</t>
        </is>
      </c>
      <c r="D31" t="n">
        <v>41</v>
      </c>
      <c r="E31">
        <f>IF(D6171&gt;0,VLOOKUP(OPERAC[[#This Row],[COD CART]],[1]!MatrizCortoLargoCyl[#All],3,0),"")</f>
        <v/>
      </c>
      <c r="F31" t="inlineStr">
        <is>
          <t>CEPU</t>
        </is>
      </c>
      <c r="G31" t="n">
        <v>1500</v>
      </c>
      <c r="H31" t="n">
        <v>-4955.49</v>
      </c>
      <c r="I31">
        <f>-H6171/G6171</f>
        <v/>
      </c>
      <c r="J31" s="16" t="n">
        <v>44657</v>
      </c>
      <c r="K31" t="n">
        <v>1000</v>
      </c>
      <c r="L31" t="n">
        <v>4043.95</v>
      </c>
    </row>
    <row r="32">
      <c r="A32" t="n">
        <v>1760</v>
      </c>
      <c r="B32" s="16" t="n">
        <v>44536</v>
      </c>
      <c r="C32" t="inlineStr">
        <is>
          <t>CPR</t>
        </is>
      </c>
      <c r="D32" t="n">
        <v>41</v>
      </c>
      <c r="E32">
        <f>IF(D6174&gt;0,VLOOKUP(OPERAC[[#This Row],[COD CART]],[1]!MatrizCortoLargoCyl[#All],3,0),"")</f>
        <v/>
      </c>
      <c r="F32" t="inlineStr">
        <is>
          <t>YPF</t>
        </is>
      </c>
      <c r="G32" t="n">
        <v>1250</v>
      </c>
      <c r="H32" t="n">
        <v>-5056.25</v>
      </c>
      <c r="I32">
        <f>-H6174/G6174</f>
        <v/>
      </c>
    </row>
    <row r="33">
      <c r="A33" t="n">
        <v>1760</v>
      </c>
      <c r="B33" s="16" t="n">
        <v>44537</v>
      </c>
      <c r="C33" t="inlineStr">
        <is>
          <t>CPR</t>
        </is>
      </c>
      <c r="D33" t="n">
        <v>43</v>
      </c>
      <c r="E33">
        <f>IF(D6054&gt;0,VLOOKUP(OPERAC[[#This Row],[COD CART]],[1]!MatrizCortoLargoCyl[#All],3,0),"")</f>
        <v/>
      </c>
      <c r="F33" t="inlineStr">
        <is>
          <t>HEXO/CYL-PUT/1,00/20-01-23</t>
        </is>
      </c>
      <c r="G33" t="n">
        <v>20000</v>
      </c>
      <c r="H33" t="n">
        <v>-3648.16</v>
      </c>
      <c r="I33">
        <f>-H6054/G6054</f>
        <v/>
      </c>
      <c r="J33" s="16" t="n">
        <v>44609</v>
      </c>
      <c r="K33">
        <f>1500+1500+2000+10000</f>
        <v/>
      </c>
      <c r="L33">
        <f>555.537+555.182-608.1+3279.32</f>
        <v/>
      </c>
    </row>
    <row r="34">
      <c r="A34" t="n">
        <v>1760</v>
      </c>
      <c r="B34" s="16" t="n">
        <v>44560</v>
      </c>
      <c r="C34" t="inlineStr">
        <is>
          <t>VTA</t>
        </is>
      </c>
      <c r="D34" t="n">
        <v>39</v>
      </c>
      <c r="E34">
        <f>IF(D686&gt;0,VLOOKUP(OPERAC[[#This Row],[COD CART]],[1]!MatrizCortoLargoCyl[#All],3,0),"")</f>
        <v/>
      </c>
      <c r="F34" t="inlineStr">
        <is>
          <t>ACB/V/6,00/07-01-22</t>
        </is>
      </c>
      <c r="G34" t="n">
        <v>-900</v>
      </c>
      <c r="H34" t="n">
        <v>431.2935</v>
      </c>
      <c r="I34">
        <f>-H686/G686</f>
        <v/>
      </c>
      <c r="J34" s="16" t="n">
        <v>44567</v>
      </c>
      <c r="K34" t="n">
        <v>-900</v>
      </c>
      <c r="L34" t="n">
        <v>-431.29</v>
      </c>
    </row>
    <row r="35">
      <c r="A35" t="n">
        <v>1760</v>
      </c>
      <c r="B35" s="16" t="n">
        <v>44567</v>
      </c>
      <c r="C35" t="inlineStr">
        <is>
          <t>VTA</t>
        </is>
      </c>
      <c r="D35" t="n">
        <v>39</v>
      </c>
      <c r="E35">
        <f>IF(D630&gt;0,VLOOKUP(OPERAC[[#This Row],[COD CART]],[1]!MatrizCortoLargoCyl[#All],3,0),"")</f>
        <v/>
      </c>
      <c r="F35" t="inlineStr">
        <is>
          <t>ACB/V/6,00/14-01-22</t>
        </is>
      </c>
      <c r="G35" t="n">
        <v>-900</v>
      </c>
      <c r="H35" t="n">
        <v>572.4099</v>
      </c>
      <c r="I35">
        <f>-H630/G630</f>
        <v/>
      </c>
      <c r="J35" s="16" t="n">
        <v>44574</v>
      </c>
      <c r="K35">
        <f>+OPERAC[[#This Row],[cantidad]]</f>
        <v/>
      </c>
      <c r="L35" t="n">
        <v>-416.267</v>
      </c>
    </row>
    <row r="36">
      <c r="A36" t="n">
        <v>1760</v>
      </c>
      <c r="B36" s="16" t="n">
        <v>44574</v>
      </c>
      <c r="C36" t="inlineStr">
        <is>
          <t>CPR</t>
        </is>
      </c>
      <c r="D36" t="n">
        <v>39</v>
      </c>
      <c r="E36">
        <f>IF(D4135&gt;0,VLOOKUP(OPERAC[[#This Row],[COD CART]],[1]!MatrizCortoLargoCyl[#All],3,0),"")</f>
        <v/>
      </c>
      <c r="F36" t="inlineStr">
        <is>
          <t>BABA/BULL/120,0-135,0/20-05-22</t>
        </is>
      </c>
      <c r="G36" t="n">
        <v>100</v>
      </c>
      <c r="H36" t="n">
        <v>-965.8</v>
      </c>
      <c r="I36">
        <f>-H4135/G4135</f>
        <v/>
      </c>
      <c r="J36" s="16" t="n">
        <v>44701</v>
      </c>
      <c r="K36">
        <f>+OPERAC[[#This Row],[cantidad]]</f>
        <v/>
      </c>
      <c r="L36" t="n">
        <v>0</v>
      </c>
    </row>
    <row r="37">
      <c r="A37" t="n">
        <v>1760</v>
      </c>
      <c r="B37" s="16" t="n">
        <v>44574</v>
      </c>
      <c r="C37" t="inlineStr">
        <is>
          <t>VTA</t>
        </is>
      </c>
      <c r="D37" t="n">
        <v>39</v>
      </c>
      <c r="E37">
        <f>IF(D674&gt;0,VLOOKUP(OPERAC[[#This Row],[COD CART]],[1]!MatrizCortoLargoCyl[#All],3,0),"")</f>
        <v/>
      </c>
      <c r="F37" t="inlineStr">
        <is>
          <t>ACB/V/6,00/21-01-22</t>
        </is>
      </c>
      <c r="G37" t="n">
        <v>-900</v>
      </c>
      <c r="H37" t="n">
        <v>438.373</v>
      </c>
      <c r="I37">
        <f>-H674/G674</f>
        <v/>
      </c>
      <c r="J37" s="16" t="n">
        <v>44581</v>
      </c>
      <c r="K37">
        <f>+OPERAC[[#This Row],[cantidad]]</f>
        <v/>
      </c>
      <c r="L37">
        <f>-OPERAC[[#This Row],[importe]]</f>
        <v/>
      </c>
    </row>
    <row r="38">
      <c r="A38" t="n">
        <v>1760</v>
      </c>
      <c r="B38" s="16" t="n">
        <v>44579</v>
      </c>
      <c r="C38" t="inlineStr">
        <is>
          <t>VTA</t>
        </is>
      </c>
      <c r="D38" t="n">
        <v>39</v>
      </c>
      <c r="E38">
        <f>IF(D1211&gt;0,VLOOKUP(OPERAC[[#This Row],[COD CART]],[1]!MatrizCortoLargoCyl[#All],3,0),"")</f>
        <v/>
      </c>
      <c r="F38" t="inlineStr">
        <is>
          <t>YPF/V/5,00/15-07-22</t>
        </is>
      </c>
      <c r="G38" t="n">
        <v>-7</v>
      </c>
      <c r="H38" t="n">
        <v>7.5943</v>
      </c>
      <c r="I38">
        <f>-H1211/G1211</f>
        <v/>
      </c>
    </row>
    <row r="39">
      <c r="A39" t="n">
        <v>1760</v>
      </c>
      <c r="B39" s="16" t="n">
        <v>44580</v>
      </c>
      <c r="C39" t="inlineStr">
        <is>
          <t>VTA</t>
        </is>
      </c>
      <c r="D39" t="n">
        <v>39</v>
      </c>
      <c r="E39">
        <f>IF(D448&gt;0,VLOOKUP(OPERAC[[#This Row],[COD CART]],[1]!MatrizCortoLargoCyl[#All],3,0),"")</f>
        <v/>
      </c>
      <c r="F39" t="inlineStr">
        <is>
          <t>INO/V/5,00/18-02-22</t>
        </is>
      </c>
      <c r="G39" t="n">
        <v>-1100</v>
      </c>
      <c r="H39" t="n">
        <v>1029.006</v>
      </c>
      <c r="I39">
        <f>-H448/G448</f>
        <v/>
      </c>
      <c r="J39" s="16" t="n">
        <v>44600</v>
      </c>
      <c r="K39" t="n">
        <v>-1100</v>
      </c>
      <c r="L39" t="n">
        <v>-1029</v>
      </c>
    </row>
    <row r="40">
      <c r="A40" t="n">
        <v>1760</v>
      </c>
      <c r="B40" s="16" t="n">
        <v>44581</v>
      </c>
      <c r="C40" t="inlineStr">
        <is>
          <t>VTA</t>
        </is>
      </c>
      <c r="D40" t="n">
        <v>39</v>
      </c>
      <c r="E40">
        <f>IF(D154&gt;0,VLOOKUP(OPERAC[[#This Row],[COD CART]],[1]!MatrizCortoLargoCyl[#All],3,0),"")</f>
        <v/>
      </c>
      <c r="F40" t="inlineStr">
        <is>
          <t>ROKU/V/170,00/28-01-22</t>
        </is>
      </c>
      <c r="G40" t="n">
        <v>-500</v>
      </c>
      <c r="H40" t="n">
        <v>2626.82</v>
      </c>
      <c r="I40">
        <f>-H154/G154</f>
        <v/>
      </c>
      <c r="J40" s="16" t="n">
        <v>44587</v>
      </c>
      <c r="K40">
        <f>+OPERAC[[#This Row],[cantidad]]</f>
        <v/>
      </c>
      <c r="L40">
        <f>-OPERAC[[#This Row],[importe]]</f>
        <v/>
      </c>
    </row>
    <row r="41">
      <c r="A41" t="n">
        <v>1760</v>
      </c>
      <c r="B41" s="16" t="n">
        <v>44581</v>
      </c>
      <c r="C41" t="inlineStr">
        <is>
          <t>VTA</t>
        </is>
      </c>
      <c r="D41" t="n">
        <v>39</v>
      </c>
      <c r="E41">
        <f>IF(D478&gt;0,VLOOKUP(OPERAC[[#This Row],[COD CART]],[1]!MatrizCortoLargoCyl[#All],3,0),"")</f>
        <v/>
      </c>
      <c r="F41" t="inlineStr">
        <is>
          <t>ACB/V/6,00/18-02-22</t>
        </is>
      </c>
      <c r="G41" t="n">
        <v>-800</v>
      </c>
      <c r="H41" t="n">
        <v>967.6120000000001</v>
      </c>
      <c r="I41">
        <f>-H478/G478</f>
        <v/>
      </c>
      <c r="J41" s="16" t="n">
        <v>44601</v>
      </c>
      <c r="K41" t="n">
        <v>-800</v>
      </c>
      <c r="L41">
        <f>1.21*OPERAC[[#This Row],[cantidad venta]]</f>
        <v/>
      </c>
    </row>
    <row r="42">
      <c r="A42" t="n">
        <v>1760</v>
      </c>
      <c r="B42" s="16" t="n">
        <v>44582</v>
      </c>
      <c r="C42" t="inlineStr">
        <is>
          <t>VTA</t>
        </is>
      </c>
      <c r="D42" t="n">
        <v>39</v>
      </c>
      <c r="E42">
        <f>IF(D24&gt;0,VLOOKUP(OPERAC[[#This Row],[COD CART]],[1]!MatrizCortoLargoCyl[#All],3,0),"")</f>
        <v/>
      </c>
      <c r="F42" t="inlineStr">
        <is>
          <t>MELI/V/880,00/28-01-22</t>
        </is>
      </c>
      <c r="G42" t="n">
        <v>-2000</v>
      </c>
      <c r="H42" t="n">
        <v>7936</v>
      </c>
      <c r="I42">
        <f>-H24/G24</f>
        <v/>
      </c>
      <c r="J42" s="16" t="n">
        <v>44589</v>
      </c>
      <c r="K42" t="n">
        <v>-2000</v>
      </c>
      <c r="L42" t="n">
        <v>0</v>
      </c>
    </row>
    <row r="43">
      <c r="A43" t="n">
        <v>1760</v>
      </c>
      <c r="B43" s="16" t="n">
        <v>44582</v>
      </c>
      <c r="C43" t="inlineStr">
        <is>
          <t>VTA</t>
        </is>
      </c>
      <c r="D43" t="n">
        <v>40</v>
      </c>
      <c r="E43">
        <f>IF(D5483&gt;0,VLOOKUP(OPERAC[[#This Row],[COD CART]],[1]!MatrizCortoLargoCyl[#All],3,0),"")</f>
        <v/>
      </c>
      <c r="F43" t="inlineStr">
        <is>
          <t>NFLX</t>
        </is>
      </c>
      <c r="G43" t="n">
        <v>5</v>
      </c>
      <c r="H43" t="n">
        <v>-1953.1855</v>
      </c>
      <c r="I43">
        <f>-H5483/G5483</f>
        <v/>
      </c>
      <c r="J43" s="16" t="n">
        <v>44593</v>
      </c>
      <c r="K43">
        <f>+OPERAC[[#This Row],[cantidad]]</f>
        <v/>
      </c>
      <c r="L43">
        <f>+OPERAC[[#This Row],[cantidad venta]]*448.602</f>
        <v/>
      </c>
    </row>
    <row r="44">
      <c r="A44" t="n">
        <v>1760</v>
      </c>
      <c r="B44" s="16" t="n">
        <v>44587</v>
      </c>
      <c r="C44" t="inlineStr">
        <is>
          <t>CPR</t>
        </is>
      </c>
      <c r="D44" t="n">
        <v>40</v>
      </c>
      <c r="E44">
        <f>IF(D6095&gt;0,VLOOKUP(OPERAC[[#This Row],[COD CART]],[1]!MatrizCortoLargoCyl[#All],3,0),"")</f>
        <v/>
      </c>
      <c r="F44" t="inlineStr">
        <is>
          <t>AAPL</t>
        </is>
      </c>
      <c r="G44" t="n">
        <v>25</v>
      </c>
      <c r="H44" t="n">
        <v>-4101.3605</v>
      </c>
      <c r="I44">
        <f>-H6095/G6095</f>
        <v/>
      </c>
      <c r="J44" s="16" t="n">
        <v>44601</v>
      </c>
      <c r="K44" t="n">
        <v>25</v>
      </c>
      <c r="L44">
        <f>175.66*OPERAC[[#This Row],[cantidad venta]]</f>
        <v/>
      </c>
    </row>
    <row r="45">
      <c r="A45" t="n">
        <v>1760</v>
      </c>
      <c r="B45" s="16" t="n">
        <v>44587</v>
      </c>
      <c r="C45" t="inlineStr">
        <is>
          <t>CPR</t>
        </is>
      </c>
      <c r="D45" t="n">
        <v>40</v>
      </c>
      <c r="E45">
        <f>IF(D6121&gt;0,VLOOKUP(OPERAC[[#This Row],[COD CART]],[1]!MatrizCortoLargoCyl[#All],3,0),"")</f>
        <v/>
      </c>
      <c r="F45" t="inlineStr">
        <is>
          <t>MSFT</t>
        </is>
      </c>
      <c r="G45" t="n">
        <v>15</v>
      </c>
      <c r="H45" t="n">
        <v>-4551.168900000001</v>
      </c>
      <c r="I45">
        <f>-H6121/G6121</f>
        <v/>
      </c>
      <c r="J45" s="16" t="n">
        <v>44606</v>
      </c>
      <c r="K45">
        <f>+OPERAC[[#This Row],[cantidad]]</f>
        <v/>
      </c>
      <c r="L45">
        <f>+OPERAC[[#This Row],[cantidad venta]]*290.091</f>
        <v/>
      </c>
    </row>
    <row r="46">
      <c r="A46" t="n">
        <v>1760</v>
      </c>
      <c r="B46" s="16" t="n">
        <v>44587</v>
      </c>
      <c r="C46" t="inlineStr">
        <is>
          <t>VTA</t>
        </is>
      </c>
      <c r="D46" t="n">
        <v>39</v>
      </c>
      <c r="E46">
        <f>IF(D23&gt;0,VLOOKUP(OPERAC[[#This Row],[COD CART]],[1]!MatrizCortoLargoCyl[#All],3,0),"")</f>
        <v/>
      </c>
      <c r="F46" t="inlineStr">
        <is>
          <t>ROKU/V/155,00/04-02-22</t>
        </is>
      </c>
      <c r="G46" t="n">
        <v>-1000</v>
      </c>
      <c r="H46" t="n">
        <v>7939.959999999999</v>
      </c>
      <c r="I46">
        <f>-H23/G23</f>
        <v/>
      </c>
      <c r="J46" s="16" t="n">
        <v>44595</v>
      </c>
      <c r="K46" t="n">
        <v>-1000</v>
      </c>
      <c r="L46" t="n">
        <v>-8958.4</v>
      </c>
    </row>
    <row r="47">
      <c r="A47" t="n">
        <v>1760</v>
      </c>
      <c r="B47" s="16" t="n">
        <v>44595</v>
      </c>
      <c r="C47" t="inlineStr">
        <is>
          <t>VTA</t>
        </is>
      </c>
      <c r="D47" t="n">
        <v>39</v>
      </c>
      <c r="E47">
        <f>IF(D16&gt;0,VLOOKUP(OPERAC[[#This Row],[COD CART]],[1]!MatrizCortoLargoCyl[#All],3,0),"")</f>
        <v/>
      </c>
      <c r="F47" t="inlineStr">
        <is>
          <t>ROKU/V/150,00/11-02-22</t>
        </is>
      </c>
      <c r="G47" t="n">
        <v>-1000</v>
      </c>
      <c r="H47" t="n">
        <v>9023.120000000001</v>
      </c>
      <c r="I47">
        <f>-H16/G16</f>
        <v/>
      </c>
      <c r="J47" s="16" t="n">
        <v>44601</v>
      </c>
      <c r="K47" t="n">
        <v>-1000</v>
      </c>
      <c r="L47" t="n">
        <v>-600</v>
      </c>
    </row>
    <row r="48">
      <c r="A48" t="n">
        <v>1760</v>
      </c>
      <c r="B48" s="16" t="n">
        <v>44599</v>
      </c>
      <c r="C48" t="inlineStr">
        <is>
          <t>CPR</t>
        </is>
      </c>
      <c r="D48" t="n">
        <v>32</v>
      </c>
      <c r="E48">
        <f>IF(D6261&gt;0,VLOOKUP(OPERAC[[#This Row],[COD CART]],[1]!MatrizCortoLargoCyl[#All],3,0),"")</f>
        <v/>
      </c>
      <c r="F48" t="inlineStr">
        <is>
          <t>UPST/CYL/80,00/18-03-22</t>
        </is>
      </c>
      <c r="G48" t="n">
        <v>100</v>
      </c>
      <c r="H48" t="n">
        <v>-7492</v>
      </c>
      <c r="I48">
        <f>-H6261/G6261</f>
        <v/>
      </c>
      <c r="J48" s="16" t="n">
        <v>44608</v>
      </c>
      <c r="K48" t="n">
        <v>100</v>
      </c>
      <c r="L48" t="n">
        <v>7956.448</v>
      </c>
    </row>
    <row r="49">
      <c r="A49" t="n">
        <v>1760</v>
      </c>
      <c r="B49" s="16" t="n">
        <v>44600</v>
      </c>
      <c r="C49" t="inlineStr">
        <is>
          <t>VTA</t>
        </is>
      </c>
      <c r="D49" t="n">
        <v>39</v>
      </c>
      <c r="E49">
        <f>IF(D1153&gt;0,VLOOKUP(OPERAC[[#This Row],[COD CART]],[1]!MatrizCortoLargoCyl[#All],3,0),"")</f>
        <v/>
      </c>
      <c r="F49" t="inlineStr">
        <is>
          <t>DDD/V/12,00/20-01-23</t>
        </is>
      </c>
      <c r="G49" t="n">
        <v>-10</v>
      </c>
      <c r="H49" t="n">
        <v>15.5</v>
      </c>
      <c r="I49">
        <f>-H1153/G1153</f>
        <v/>
      </c>
    </row>
    <row r="50">
      <c r="A50" t="n">
        <v>1760</v>
      </c>
      <c r="B50" s="16" t="n">
        <v>44601</v>
      </c>
      <c r="C50" t="inlineStr">
        <is>
          <t>VTA</t>
        </is>
      </c>
      <c r="D50" t="n">
        <v>39</v>
      </c>
      <c r="E50">
        <f>IF(D1167&gt;0,VLOOKUP(OPERAC[[#This Row],[COD CART]],[1]!MatrizCortoLargoCyl[#All],3,0),"")</f>
        <v/>
      </c>
      <c r="F50" t="inlineStr">
        <is>
          <t>ACB/V/5,00/16-09-22</t>
        </is>
      </c>
      <c r="G50" t="n">
        <v>-9</v>
      </c>
      <c r="H50">
        <f>-1.56*OPERAC[[#This Row],[cantidad]]</f>
        <v/>
      </c>
      <c r="I50">
        <f>-H1167/G1167</f>
        <v/>
      </c>
      <c r="J50" s="16" t="n">
        <v>44622</v>
      </c>
      <c r="K50" t="n">
        <v>-9</v>
      </c>
      <c r="L50" t="n">
        <v>-17.75</v>
      </c>
    </row>
    <row r="51">
      <c r="A51" t="n">
        <v>1760</v>
      </c>
      <c r="B51" s="16" t="n">
        <v>44602</v>
      </c>
      <c r="C51" t="inlineStr">
        <is>
          <t>CPR</t>
        </is>
      </c>
      <c r="D51" t="n">
        <v>32</v>
      </c>
      <c r="E51">
        <f>IF(D5767&gt;0,VLOOKUP(OPERAC[[#This Row],[COD CART]],[1]!MatrizCortoLargoCyl[#All],3,0),"")</f>
        <v/>
      </c>
      <c r="F51" t="inlineStr">
        <is>
          <t>BIOX</t>
        </is>
      </c>
      <c r="G51" t="n">
        <v>200</v>
      </c>
      <c r="H51">
        <f>-2672+29.76</f>
        <v/>
      </c>
      <c r="I51">
        <f>-H5767/G5767</f>
        <v/>
      </c>
      <c r="J51" s="16" t="n">
        <v>44680</v>
      </c>
      <c r="K51">
        <f>+OPERAC[[#This Row],[cantidad]]</f>
        <v/>
      </c>
      <c r="L51">
        <f>13.688*OPERAC[[#This Row],[cantidad venta]]</f>
        <v/>
      </c>
    </row>
    <row r="52">
      <c r="A52" t="n">
        <v>1760</v>
      </c>
      <c r="B52" s="16" t="n">
        <v>44602</v>
      </c>
      <c r="C52" t="inlineStr">
        <is>
          <t>VTA</t>
        </is>
      </c>
      <c r="D52" t="n">
        <v>32</v>
      </c>
      <c r="E52">
        <f>IF(D3824&gt;0,VLOOKUP(OPERAC[[#This Row],[COD CART]],[1]!MatrizCortoLargoCyl[#All],3,0),"")</f>
        <v/>
      </c>
      <c r="F52" t="inlineStr">
        <is>
          <t>TEVA</t>
        </is>
      </c>
      <c r="G52" t="n">
        <v>100</v>
      </c>
      <c r="H52">
        <f>-8.59*OPERAC[[#This Row],[cantidad]]</f>
        <v/>
      </c>
      <c r="I52">
        <f>-H3824/G3824</f>
        <v/>
      </c>
      <c r="J52" s="16" t="n">
        <v>44643</v>
      </c>
      <c r="K52">
        <f>+OPERAC[[#This Row],[cantidad]]</f>
        <v/>
      </c>
      <c r="L52">
        <f>+OPERAC[[#This Row],[cantidad venta]]*8.051</f>
        <v/>
      </c>
    </row>
    <row r="53">
      <c r="A53" t="n">
        <v>1760</v>
      </c>
      <c r="B53" s="16" t="n">
        <v>44607</v>
      </c>
      <c r="C53" t="inlineStr">
        <is>
          <t>VTA</t>
        </is>
      </c>
      <c r="D53" t="n">
        <v>32</v>
      </c>
      <c r="E53">
        <f>IF(D5210&gt;0,VLOOKUP(OPERAC[[#This Row],[COD CART]],[1]!MatrizCortoLargoCyl[#All],3,0),"")</f>
        <v/>
      </c>
      <c r="F53" t="inlineStr">
        <is>
          <t>F/CYL/17,00/18-03-22</t>
        </is>
      </c>
      <c r="G53" t="n">
        <v>100</v>
      </c>
      <c r="H53" t="n">
        <v>-1658.76</v>
      </c>
      <c r="I53">
        <f>-H5210/G5210</f>
        <v/>
      </c>
      <c r="J53" s="16" t="n">
        <v>44638</v>
      </c>
      <c r="K53">
        <f>+OPERAC[[#This Row],[cantidad]]</f>
        <v/>
      </c>
      <c r="L53">
        <f>+OPERAC[[#This Row],[cantidad venta]]*16.75</f>
        <v/>
      </c>
    </row>
    <row r="54">
      <c r="A54" t="n">
        <v>1760</v>
      </c>
      <c r="B54" s="16" t="n">
        <v>44607</v>
      </c>
      <c r="C54" t="inlineStr">
        <is>
          <t>VTA</t>
        </is>
      </c>
      <c r="D54" t="n">
        <v>41</v>
      </c>
      <c r="E54">
        <f>IF(D5337&gt;0,VLOOKUP(OPERAC[[#This Row],[COD CART]],[1]!MatrizCortoLargoCyl[#All],3,0),"")</f>
        <v/>
      </c>
      <c r="F54" t="inlineStr">
        <is>
          <t>CEPU</t>
        </is>
      </c>
      <c r="G54" t="n">
        <v>500</v>
      </c>
      <c r="H54" t="n">
        <v>-1756.9</v>
      </c>
      <c r="I54">
        <f>-H5337/G5337</f>
        <v/>
      </c>
    </row>
    <row r="55">
      <c r="A55" t="n">
        <v>1760</v>
      </c>
      <c r="B55" s="16" t="n">
        <v>44608</v>
      </c>
      <c r="C55" t="inlineStr">
        <is>
          <t>CPR</t>
        </is>
      </c>
      <c r="D55" t="n">
        <v>40</v>
      </c>
      <c r="E55">
        <f>IF(D4694&gt;0,VLOOKUP(OPERAC[[#This Row],[COD CART]],[1]!MatrizCortoLargoCyl[#All],3,0),"")</f>
        <v/>
      </c>
      <c r="F55" t="inlineStr">
        <is>
          <t>NVDA</t>
        </is>
      </c>
      <c r="G55" t="n">
        <v>5</v>
      </c>
      <c r="H55" t="n">
        <v>-1317.57</v>
      </c>
      <c r="I55">
        <f>-H4694/G4694</f>
        <v/>
      </c>
      <c r="J55" s="16" t="n">
        <v>44616</v>
      </c>
      <c r="K55">
        <f>+OPERAC[[#This Row],[cantidad]]</f>
        <v/>
      </c>
      <c r="L55">
        <f>+OPERAC[[#This Row],[cantidad venta]]*224.117</f>
        <v/>
      </c>
    </row>
    <row r="56">
      <c r="A56" t="n">
        <v>1760</v>
      </c>
      <c r="B56" s="16" t="n">
        <v>44608</v>
      </c>
      <c r="C56" t="inlineStr">
        <is>
          <t>CPR</t>
        </is>
      </c>
      <c r="D56" t="n">
        <v>32</v>
      </c>
      <c r="E56">
        <f>IF(D4849&gt;0,VLOOKUP(OPERAC[[#This Row],[COD CART]],[1]!MatrizCortoLargoCyl[#All],3,0),"")</f>
        <v/>
      </c>
      <c r="F56" t="inlineStr">
        <is>
          <t>SPWR/CYL/15,00/18-03-22</t>
        </is>
      </c>
      <c r="G56" t="n">
        <v>100</v>
      </c>
      <c r="H56" t="n">
        <v>-1441.812</v>
      </c>
      <c r="I56">
        <f>-H4849/G4849</f>
        <v/>
      </c>
      <c r="J56" s="16" t="n">
        <v>44628</v>
      </c>
      <c r="K56">
        <f>+OPERAC[[#This Row],[cantidad]]</f>
        <v/>
      </c>
      <c r="L56" t="n">
        <v>1504.278</v>
      </c>
    </row>
    <row r="57">
      <c r="A57" t="n">
        <v>1760</v>
      </c>
      <c r="B57" s="16" t="n">
        <v>44608</v>
      </c>
      <c r="C57" t="inlineStr">
        <is>
          <t>VTA</t>
        </is>
      </c>
      <c r="D57" t="n">
        <v>32</v>
      </c>
      <c r="E57">
        <f>IF(D5097&gt;0,VLOOKUP(OPERAC[[#This Row],[COD CART]],[1]!MatrizCortoLargoCyl[#All],3,0),"")</f>
        <v/>
      </c>
      <c r="F57" t="inlineStr">
        <is>
          <t>DDD/CYL/17,00/01-04-22</t>
        </is>
      </c>
      <c r="G57" t="n">
        <v>100</v>
      </c>
      <c r="H57">
        <f>-1629.4234+19.7+16.45</f>
        <v/>
      </c>
      <c r="I57">
        <f>-H5097/G5097</f>
        <v/>
      </c>
      <c r="J57" s="16" t="n">
        <v>44649</v>
      </c>
      <c r="K57" t="n">
        <v>100</v>
      </c>
      <c r="L57" t="n">
        <v>1661.98</v>
      </c>
    </row>
    <row r="58">
      <c r="A58" t="n">
        <v>1760</v>
      </c>
      <c r="B58" s="16" t="n">
        <v>44609</v>
      </c>
      <c r="C58" t="inlineStr">
        <is>
          <t>CPR</t>
        </is>
      </c>
      <c r="D58" t="n">
        <v>32</v>
      </c>
      <c r="E58">
        <f>IF(D6018&gt;0,VLOOKUP(OPERAC[[#This Row],[COD CART]],[1]!MatrizCortoLargoCyl[#All],3,0),"")</f>
        <v/>
      </c>
      <c r="F58" t="inlineStr">
        <is>
          <t>F</t>
        </is>
      </c>
      <c r="G58" t="n">
        <v>200</v>
      </c>
      <c r="H58" t="n">
        <v>-3430.5552</v>
      </c>
      <c r="I58">
        <f>-H6018/G6018</f>
        <v/>
      </c>
      <c r="J58" s="16" t="n">
        <v>44642</v>
      </c>
      <c r="K58" t="n">
        <v>200</v>
      </c>
      <c r="L58" t="n">
        <v>3351.916</v>
      </c>
    </row>
    <row r="59">
      <c r="A59" t="n">
        <v>1760</v>
      </c>
      <c r="B59" s="16" t="n">
        <v>44609</v>
      </c>
      <c r="C59" t="inlineStr">
        <is>
          <t>VTA</t>
        </is>
      </c>
      <c r="D59" t="n">
        <v>39</v>
      </c>
      <c r="E59">
        <f>IF(D183&gt;0,VLOOKUP(OPERAC[[#This Row],[COD CART]],[1]!MatrizCortoLargoCyl[#All],3,0),"")</f>
        <v/>
      </c>
      <c r="F59" t="inlineStr">
        <is>
          <t>SMH/V/245,00/25-02-22</t>
        </is>
      </c>
      <c r="G59" t="n">
        <v>-2000</v>
      </c>
      <c r="H59" t="n">
        <v>2235.28</v>
      </c>
      <c r="I59">
        <f>-H183/G183</f>
        <v/>
      </c>
      <c r="J59" s="16" t="n">
        <v>44615</v>
      </c>
      <c r="K59" t="n">
        <v>-2000</v>
      </c>
      <c r="L59" t="n">
        <v>-1651.924</v>
      </c>
    </row>
    <row r="60">
      <c r="A60" t="n">
        <v>1760</v>
      </c>
      <c r="B60" s="16" t="n">
        <v>44609</v>
      </c>
      <c r="C60" t="inlineStr">
        <is>
          <t>VTA</t>
        </is>
      </c>
      <c r="D60" t="n">
        <v>39</v>
      </c>
      <c r="E60">
        <f>IF(D474&gt;0,VLOOKUP(OPERAC[[#This Row],[COD CART]],[1]!MatrizCortoLargoCyl[#All],3,0),"")</f>
        <v/>
      </c>
      <c r="F60" t="inlineStr">
        <is>
          <t>ROKU/C/225,00/18-02-22</t>
        </is>
      </c>
      <c r="G60" t="n">
        <v>-2000</v>
      </c>
      <c r="H60" t="n">
        <v>983.96</v>
      </c>
      <c r="I60">
        <f>-H474/G474</f>
        <v/>
      </c>
      <c r="J60" s="16" t="n">
        <v>44610</v>
      </c>
      <c r="K60" t="n">
        <v>-2000</v>
      </c>
      <c r="L60" t="n">
        <v>0</v>
      </c>
    </row>
    <row r="61">
      <c r="A61" t="n">
        <v>1760</v>
      </c>
      <c r="B61" s="16" t="n">
        <v>44609</v>
      </c>
      <c r="C61" t="inlineStr">
        <is>
          <t>VTA</t>
        </is>
      </c>
      <c r="D61" t="n">
        <v>39</v>
      </c>
      <c r="E61">
        <f>IF(D508&gt;0,VLOOKUP(OPERAC[[#This Row],[COD CART]],[1]!MatrizCortoLargoCyl[#All],3,0),"")</f>
        <v/>
      </c>
      <c r="F61" t="inlineStr">
        <is>
          <t>ROKU/V/100,00/18-02-22</t>
        </is>
      </c>
      <c r="G61" t="n">
        <v>-2000</v>
      </c>
      <c r="H61" t="n">
        <v>881.86</v>
      </c>
      <c r="I61">
        <f>-H508/G508</f>
        <v/>
      </c>
      <c r="J61" s="16" t="n">
        <v>44610</v>
      </c>
      <c r="K61" t="n">
        <v>-2000</v>
      </c>
      <c r="L61" t="n">
        <v>-1636.58</v>
      </c>
    </row>
    <row r="62">
      <c r="A62" t="n">
        <v>1760</v>
      </c>
      <c r="B62" s="16" t="n">
        <v>44614</v>
      </c>
      <c r="C62" t="inlineStr">
        <is>
          <t>VTA</t>
        </is>
      </c>
      <c r="D62" t="n">
        <v>39</v>
      </c>
      <c r="E62">
        <f>IF(D1003&gt;0,VLOOKUP(OPERAC[[#This Row],[COD CART]],[1]!MatrizCortoLargoCyl[#All],3,0),"")</f>
        <v/>
      </c>
      <c r="F62" t="inlineStr">
        <is>
          <t>MELI/V/500,00/19-01-24</t>
        </is>
      </c>
      <c r="G62" t="n">
        <v>-1</v>
      </c>
      <c r="H62" t="n">
        <v>64.48</v>
      </c>
      <c r="I62">
        <f>-H1003/G1003</f>
        <v/>
      </c>
    </row>
    <row r="63">
      <c r="A63" t="n">
        <v>1760</v>
      </c>
      <c r="B63" s="16" t="n">
        <v>44614</v>
      </c>
      <c r="C63" t="inlineStr">
        <is>
          <t>VTA</t>
        </is>
      </c>
      <c r="D63" t="n">
        <v>39</v>
      </c>
      <c r="E63">
        <f>IF(D1025&gt;0,VLOOKUP(OPERAC[[#This Row],[COD CART]],[1]!MatrizCortoLargoCyl[#All],3,0),"")</f>
        <v/>
      </c>
      <c r="F63" t="inlineStr">
        <is>
          <t>FB/V/105,00/19-01-24</t>
        </is>
      </c>
      <c r="G63" t="n">
        <v>-10</v>
      </c>
      <c r="H63" t="n">
        <v>53.52</v>
      </c>
      <c r="I63">
        <f>-H1025/G1025</f>
        <v/>
      </c>
    </row>
    <row r="64">
      <c r="A64" t="n">
        <v>1760</v>
      </c>
      <c r="B64" s="16" t="n">
        <v>44614</v>
      </c>
      <c r="C64" t="inlineStr">
        <is>
          <t>VTA</t>
        </is>
      </c>
      <c r="D64" t="n">
        <v>39</v>
      </c>
      <c r="E64">
        <f>IF(D1032&gt;0,VLOOKUP(OPERAC[[#This Row],[COD CART]],[1]!MatrizCortoLargoCyl[#All],3,0),"")</f>
        <v/>
      </c>
      <c r="F64" t="inlineStr">
        <is>
          <t>NFLX/V/200,00/19-01-24</t>
        </is>
      </c>
      <c r="G64" t="n">
        <v>-4</v>
      </c>
      <c r="H64" t="n">
        <v>49.98</v>
      </c>
      <c r="I64">
        <f>-H1032/G1032</f>
        <v/>
      </c>
    </row>
    <row r="65">
      <c r="A65" t="n">
        <v>1760</v>
      </c>
      <c r="B65" s="16" t="n">
        <v>44615</v>
      </c>
      <c r="C65" t="inlineStr">
        <is>
          <t>CPR</t>
        </is>
      </c>
      <c r="D65" t="n">
        <v>40</v>
      </c>
      <c r="E65">
        <f>IF(D5990&gt;0,VLOOKUP(OPERAC[[#This Row],[COD CART]],[1]!MatrizCortoLargoCyl[#All],3,0),"")</f>
        <v/>
      </c>
      <c r="F65" t="inlineStr">
        <is>
          <t>GMBL</t>
        </is>
      </c>
      <c r="G65" t="n">
        <v>2000</v>
      </c>
      <c r="H65" t="n">
        <v>-3265.84</v>
      </c>
      <c r="I65">
        <f>-H5990/G5990</f>
        <v/>
      </c>
      <c r="J65" s="16" t="n">
        <v>44628</v>
      </c>
      <c r="K65" t="n">
        <v>2000</v>
      </c>
      <c r="L65" t="n">
        <v>1327.343</v>
      </c>
    </row>
    <row r="66">
      <c r="A66" t="n">
        <v>1760</v>
      </c>
      <c r="B66" s="16" t="n">
        <v>44616</v>
      </c>
      <c r="C66" t="inlineStr">
        <is>
          <t>VTA</t>
        </is>
      </c>
      <c r="D66" t="n">
        <v>32</v>
      </c>
      <c r="E66">
        <f>IF(D5548&gt;0,VLOOKUP(OPERAC[[#This Row],[COD CART]],[1]!MatrizCortoLargoCyl[#All],3,0),"")</f>
        <v/>
      </c>
      <c r="F66" t="inlineStr">
        <is>
          <t>UUUU/CYL/8,00/18-03-22</t>
        </is>
      </c>
      <c r="G66" t="n">
        <v>300</v>
      </c>
      <c r="H66" t="n">
        <v>-2051.478</v>
      </c>
      <c r="I66">
        <f>-H5548/G5548</f>
        <v/>
      </c>
      <c r="J66" s="16" t="n">
        <v>44636</v>
      </c>
      <c r="K66">
        <f>+OPERAC[[#This Row],[cantidad]]</f>
        <v/>
      </c>
      <c r="L66" t="n">
        <v>2302.39</v>
      </c>
    </row>
    <row r="67">
      <c r="A67" t="n">
        <v>1760</v>
      </c>
      <c r="B67" s="16" t="n">
        <v>44616</v>
      </c>
      <c r="C67" t="inlineStr">
        <is>
          <t>VTA</t>
        </is>
      </c>
      <c r="D67" t="n">
        <v>32</v>
      </c>
      <c r="E67">
        <f>IF(D5562&gt;0,VLOOKUP(OPERAC[[#This Row],[COD CART]],[1]!MatrizCortoLargoCyl[#All],3,0),"")</f>
        <v/>
      </c>
      <c r="F67" t="inlineStr">
        <is>
          <t>PLTR/CYL/12,00/14-04-22</t>
        </is>
      </c>
      <c r="G67" t="n">
        <v>200</v>
      </c>
      <c r="H67" t="n">
        <v>-2105.453</v>
      </c>
      <c r="I67">
        <f>-H5562/G5562</f>
        <v/>
      </c>
      <c r="J67" s="16" t="n">
        <v>44643</v>
      </c>
      <c r="K67" t="n">
        <v>200</v>
      </c>
      <c r="L67" t="n">
        <v>2293.448</v>
      </c>
    </row>
    <row r="68">
      <c r="A68" t="n">
        <v>1760</v>
      </c>
      <c r="B68" s="16" t="n">
        <v>44622</v>
      </c>
      <c r="C68" t="inlineStr">
        <is>
          <t>CPR</t>
        </is>
      </c>
      <c r="D68" t="n">
        <v>32</v>
      </c>
      <c r="E68">
        <f>IF(D4873&gt;0,VLOOKUP(OPERAC[[#This Row],[COD CART]],[1]!MatrizCortoLargoCyl[#All],3,0),"")</f>
        <v/>
      </c>
      <c r="F68" t="inlineStr">
        <is>
          <t>AMC/CYL/16,00/14-04-22</t>
        </is>
      </c>
      <c r="G68" t="n">
        <v>100</v>
      </c>
      <c r="H68" t="n">
        <v>-1460.8686</v>
      </c>
      <c r="I68">
        <f>-H4873/G4873</f>
        <v/>
      </c>
      <c r="J68" s="16" t="n">
        <v>44648</v>
      </c>
      <c r="K68">
        <f>+OPERAC[[#This Row],[cantidad]]</f>
        <v/>
      </c>
      <c r="L68" t="n">
        <v>1581.776</v>
      </c>
    </row>
    <row r="69">
      <c r="A69" t="n">
        <v>1760</v>
      </c>
      <c r="B69" s="16" t="n">
        <v>44628</v>
      </c>
      <c r="C69" t="inlineStr">
        <is>
          <t>VTA</t>
        </is>
      </c>
      <c r="D69" t="n">
        <v>39</v>
      </c>
      <c r="E69">
        <f>IF(D1027&gt;0,VLOOKUP(OPERAC[[#This Row],[COD CART]],[1]!MatrizCortoLargoCyl[#All],3,0),"")</f>
        <v/>
      </c>
      <c r="F69" t="inlineStr">
        <is>
          <t>TSLA/V/550,00/14-04-22</t>
        </is>
      </c>
      <c r="G69" t="n">
        <v>-10</v>
      </c>
      <c r="H69" t="n">
        <v>53.4976</v>
      </c>
      <c r="I69">
        <f>-H1027/G1027</f>
        <v/>
      </c>
      <c r="J69" s="16" t="n">
        <v>44638</v>
      </c>
      <c r="K69" t="n">
        <v>-10</v>
      </c>
      <c r="L69" t="n">
        <v>-10.2</v>
      </c>
    </row>
    <row r="70">
      <c r="A70" t="n">
        <v>1760</v>
      </c>
      <c r="B70" s="16" t="n">
        <v>44641</v>
      </c>
      <c r="C70" t="inlineStr">
        <is>
          <t>VTA</t>
        </is>
      </c>
      <c r="D70" t="n">
        <v>42</v>
      </c>
      <c r="E70">
        <f>IF(D3724&gt;0,VLOOKUP(OPERAC[[#This Row],[COD CART]],[1]!MatrizCortoLargoCyl[#All],3,0),"")</f>
        <v/>
      </c>
      <c r="F70" t="inlineStr">
        <is>
          <t>JPM</t>
        </is>
      </c>
      <c r="G70" t="n">
        <v>6</v>
      </c>
      <c r="H70" t="n">
        <v>-842.7260400000001</v>
      </c>
      <c r="I70">
        <f>-H3724/G3724</f>
        <v/>
      </c>
      <c r="J70" s="16" t="n">
        <v>44664</v>
      </c>
      <c r="K70">
        <f>+OPERAC[[#This Row],[cantidad]]</f>
        <v/>
      </c>
      <c r="L70">
        <f>+OPERAC[[#This Row],[cantidad venta]]*125.943</f>
        <v/>
      </c>
    </row>
    <row r="71">
      <c r="A71" t="n">
        <v>1760</v>
      </c>
      <c r="B71" s="16" t="n">
        <v>44641</v>
      </c>
      <c r="C71" t="inlineStr">
        <is>
          <t>VTA</t>
        </is>
      </c>
      <c r="D71" t="n">
        <v>42</v>
      </c>
      <c r="E71">
        <f>IF(D3768&gt;0,VLOOKUP(OPERAC[[#This Row],[COD CART]],[1]!MatrizCortoLargoCyl[#All],3,0),"")</f>
        <v/>
      </c>
      <c r="F71" t="inlineStr">
        <is>
          <t>FB</t>
        </is>
      </c>
      <c r="G71" t="n">
        <v>4</v>
      </c>
      <c r="H71" t="n">
        <v>-848.6255200000001</v>
      </c>
      <c r="I71">
        <f>-H3768/G3768</f>
        <v/>
      </c>
      <c r="J71" s="16" t="n">
        <v>44671</v>
      </c>
      <c r="K71">
        <f>+OPERAC[[#This Row],[cantidad]]</f>
        <v/>
      </c>
      <c r="L71">
        <f>+OPERAC[[#This Row],[cantidad venta]]*213.173</f>
        <v/>
      </c>
    </row>
    <row r="72">
      <c r="A72" t="n">
        <v>1760</v>
      </c>
      <c r="B72" s="16" t="n">
        <v>44642</v>
      </c>
      <c r="C72" t="inlineStr">
        <is>
          <t>CPR</t>
        </is>
      </c>
      <c r="D72" t="n">
        <v>42</v>
      </c>
      <c r="E72">
        <f>IF(D5937&gt;0,VLOOKUP(OPERAC[[#This Row],[COD CART]],[1]!MatrizCortoLargoCyl[#All],3,0),"")</f>
        <v/>
      </c>
      <c r="F72" t="inlineStr">
        <is>
          <t>HYDR</t>
        </is>
      </c>
      <c r="G72" t="n">
        <v>160</v>
      </c>
      <c r="H72">
        <f>-19.39*OPERAC[[#This Row],[cantidad]]</f>
        <v/>
      </c>
      <c r="I72">
        <f>-H5937/G5937</f>
        <v/>
      </c>
      <c r="J72" s="16" t="n">
        <v>44693</v>
      </c>
      <c r="K72">
        <f>+OPERAC[[#This Row],[cantidad]]</f>
        <v/>
      </c>
      <c r="L72">
        <f>+OPERAC[[#This Row],[cantidad venta]]*11.63</f>
        <v/>
      </c>
    </row>
    <row r="73">
      <c r="A73" t="n">
        <v>1760</v>
      </c>
      <c r="B73" s="16" t="n">
        <v>44643</v>
      </c>
      <c r="C73" t="inlineStr">
        <is>
          <t>CPR</t>
        </is>
      </c>
      <c r="D73" t="n">
        <v>32</v>
      </c>
      <c r="E73">
        <f>IF(D3263&gt;0,VLOOKUP(OPERAC[[#This Row],[COD CART]],[1]!MatrizCortoLargoCyl[#All],3,0),"")</f>
        <v/>
      </c>
      <c r="F73" t="inlineStr">
        <is>
          <t>CRESY</t>
        </is>
      </c>
      <c r="G73" t="n">
        <v>100</v>
      </c>
      <c r="H73" t="n">
        <v>-680.303</v>
      </c>
      <c r="I73">
        <f>-H3263/G3263</f>
        <v/>
      </c>
      <c r="J73" s="16" t="n">
        <v>44708</v>
      </c>
      <c r="K73" t="n">
        <v>100</v>
      </c>
      <c r="L73" t="n">
        <v>733.71</v>
      </c>
    </row>
    <row r="74">
      <c r="A74" t="n">
        <v>1760</v>
      </c>
      <c r="B74" s="16" t="n">
        <v>44643</v>
      </c>
      <c r="C74" t="inlineStr">
        <is>
          <t>CPR</t>
        </is>
      </c>
      <c r="D74" t="n">
        <v>42</v>
      </c>
      <c r="E74">
        <f>IF(D4167&gt;0,VLOOKUP(OPERAC[[#This Row],[COD CART]],[1]!MatrizCortoLargoCyl[#All],3,0),"")</f>
        <v/>
      </c>
      <c r="F74" t="inlineStr">
        <is>
          <t>DIS</t>
        </is>
      </c>
      <c r="G74" t="n">
        <v>7</v>
      </c>
      <c r="H74" t="n">
        <v>-977.9150500000001</v>
      </c>
      <c r="I74">
        <f>-H4167/G4167</f>
        <v/>
      </c>
      <c r="J74" s="16" t="n">
        <v>44671</v>
      </c>
      <c r="K74">
        <f>+OPERAC[[#This Row],[cantidad]]</f>
        <v/>
      </c>
      <c r="L74">
        <f>+OPERAC[[#This Row],[cantidad venta]]*123.621</f>
        <v/>
      </c>
    </row>
    <row r="75">
      <c r="A75" t="n">
        <v>1760</v>
      </c>
      <c r="B75" s="16" t="n">
        <v>44643</v>
      </c>
      <c r="C75" t="inlineStr">
        <is>
          <t>VTA</t>
        </is>
      </c>
      <c r="D75" t="n">
        <v>42</v>
      </c>
      <c r="E75">
        <f>IF(D3764&gt;0,VLOOKUP(OPERAC[[#This Row],[COD CART]],[1]!MatrizCortoLargoCyl[#All],3,0),"")</f>
        <v/>
      </c>
      <c r="F75" t="inlineStr">
        <is>
          <t>JPM</t>
        </is>
      </c>
      <c r="G75" t="n">
        <v>6</v>
      </c>
      <c r="H75" t="n">
        <v>-847.4798400000001</v>
      </c>
      <c r="I75">
        <f>-H3764/G3764</f>
        <v/>
      </c>
      <c r="J75" s="16" t="n">
        <v>44664</v>
      </c>
      <c r="K75">
        <f>+OPERAC[[#This Row],[cantidad]]</f>
        <v/>
      </c>
      <c r="L75">
        <f>+OPERAC[[#This Row],[cantidad venta]]*125.943</f>
        <v/>
      </c>
    </row>
    <row r="76">
      <c r="A76" t="n">
        <v>1760</v>
      </c>
      <c r="B76" s="16" t="n">
        <v>44643</v>
      </c>
      <c r="C76" t="inlineStr">
        <is>
          <t>VTA</t>
        </is>
      </c>
      <c r="D76" t="n">
        <v>42</v>
      </c>
      <c r="E76">
        <f>IF(D3851&gt;0,VLOOKUP(OPERAC[[#This Row],[COD CART]],[1]!MatrizCortoLargoCyl[#All],3,0),"")</f>
        <v/>
      </c>
      <c r="F76" t="inlineStr">
        <is>
          <t>FB</t>
        </is>
      </c>
      <c r="G76" t="n">
        <v>4</v>
      </c>
      <c r="H76" t="n">
        <v>-864.4930400000001</v>
      </c>
      <c r="I76">
        <f>-H3851/G3851</f>
        <v/>
      </c>
      <c r="J76" s="16" t="n">
        <v>44671</v>
      </c>
      <c r="K76">
        <f>+OPERAC[[#This Row],[cantidad]]</f>
        <v/>
      </c>
      <c r="L76">
        <f>+OPERAC[[#This Row],[cantidad venta]]*213.173</f>
        <v/>
      </c>
    </row>
    <row r="77">
      <c r="A77" t="n">
        <v>1760</v>
      </c>
      <c r="B77" s="16" t="n">
        <v>44648</v>
      </c>
      <c r="C77" t="inlineStr">
        <is>
          <t>VTA</t>
        </is>
      </c>
      <c r="D77" t="n">
        <v>42</v>
      </c>
      <c r="E77">
        <f>IF(D5352&gt;0,VLOOKUP(OPERAC[[#This Row],[COD CART]],[1]!MatrizCortoLargoCyl[#All],3,0),"")</f>
        <v/>
      </c>
      <c r="F77" t="inlineStr">
        <is>
          <t>ADBE</t>
        </is>
      </c>
      <c r="G77" t="n">
        <v>4</v>
      </c>
      <c r="H77" t="n">
        <v>-1765.6498</v>
      </c>
      <c r="I77">
        <f>-H5352/G5352</f>
        <v/>
      </c>
      <c r="J77" s="16" t="n">
        <v>44687</v>
      </c>
      <c r="K77">
        <f>+OPERAC[[#This Row],[cantidad]]</f>
        <v/>
      </c>
      <c r="L77" t="n">
        <v>1545.69</v>
      </c>
    </row>
    <row r="78">
      <c r="A78" t="n">
        <v>1760</v>
      </c>
      <c r="B78" s="16" t="n">
        <v>44649</v>
      </c>
      <c r="C78" t="inlineStr">
        <is>
          <t>VTA</t>
        </is>
      </c>
      <c r="D78" t="n">
        <v>42</v>
      </c>
      <c r="E78">
        <f>IF(D5058&gt;0,VLOOKUP(OPERAC[[#This Row],[COD CART]],[1]!MatrizCortoLargoCyl[#All],3,0),"")</f>
        <v/>
      </c>
      <c r="F78" t="inlineStr">
        <is>
          <t>MSFT</t>
        </is>
      </c>
      <c r="G78" t="n">
        <v>5</v>
      </c>
      <c r="H78" t="n">
        <v>-1574.192</v>
      </c>
      <c r="I78">
        <f>-H5058/G5058</f>
        <v/>
      </c>
      <c r="J78" s="16" t="n">
        <v>44662</v>
      </c>
      <c r="K78">
        <f>+OPERAC[[#This Row],[cantidad]]</f>
        <v/>
      </c>
      <c r="L78">
        <f>287.546*OPERAC[[#This Row],[cantidad venta]]</f>
        <v/>
      </c>
    </row>
    <row r="79">
      <c r="A79" t="n">
        <v>1760</v>
      </c>
      <c r="B79" s="16" t="n">
        <v>44651</v>
      </c>
      <c r="C79" t="inlineStr">
        <is>
          <t>VTA</t>
        </is>
      </c>
      <c r="D79" t="n">
        <v>39</v>
      </c>
      <c r="E79">
        <f>IF(D280&gt;0,VLOOKUP(OPERAC[[#This Row],[COD CART]],[1]!MatrizCortoLargoCyl[#All],3,0),"")</f>
        <v/>
      </c>
      <c r="F79" t="inlineStr">
        <is>
          <t>TSLA/C/1375,00/08-04-22</t>
        </is>
      </c>
      <c r="G79" t="n">
        <v>-1000</v>
      </c>
      <c r="H79" t="n">
        <v>1634.8</v>
      </c>
      <c r="I79">
        <f>-H280/G280</f>
        <v/>
      </c>
      <c r="J79" s="16" t="n">
        <v>44659</v>
      </c>
      <c r="K79">
        <f>+OPERAC[[#This Row],[cantidad]]</f>
        <v/>
      </c>
      <c r="L79" t="n">
        <v>0</v>
      </c>
    </row>
    <row r="80">
      <c r="A80" t="n">
        <v>1760</v>
      </c>
      <c r="B80" s="16" t="n">
        <v>44655</v>
      </c>
      <c r="C80" t="inlineStr">
        <is>
          <t>CPR</t>
        </is>
      </c>
      <c r="D80" t="n">
        <v>32</v>
      </c>
      <c r="E80">
        <f>IF(D5810&gt;0,VLOOKUP(OPERAC[[#This Row],[COD CART]],[1]!MatrizCortoLargoCyl[#All],3,0),"")</f>
        <v/>
      </c>
      <c r="F80" t="inlineStr">
        <is>
          <t>PLUG/CYL/30,00/20-05-22</t>
        </is>
      </c>
      <c r="G80" t="n">
        <v>100</v>
      </c>
      <c r="H80" t="n">
        <v>-2769.489</v>
      </c>
      <c r="I80">
        <f>-H5810/G5810</f>
        <v/>
      </c>
      <c r="J80" s="16" t="n">
        <v>44693</v>
      </c>
      <c r="K80" t="n">
        <v>100</v>
      </c>
      <c r="L80" t="n">
        <v>1271.525</v>
      </c>
    </row>
    <row r="81">
      <c r="A81" t="n">
        <v>1760</v>
      </c>
      <c r="B81" s="16" t="n">
        <v>44655</v>
      </c>
      <c r="C81" t="inlineStr">
        <is>
          <t>VTA</t>
        </is>
      </c>
      <c r="D81" t="n">
        <v>39</v>
      </c>
      <c r="E81">
        <f>IF(D62&gt;0,VLOOKUP(OPERAC[[#This Row],[COD CART]],[1]!MatrizCortoLargoCyl[#All],3,0),"")</f>
        <v/>
      </c>
      <c r="F81" t="inlineStr">
        <is>
          <t>TSLA/C/1300,00/08-04-22</t>
        </is>
      </c>
      <c r="G81">
        <f>-2000-1000</f>
        <v/>
      </c>
      <c r="H81">
        <f>3061.36+1683.68</f>
        <v/>
      </c>
      <c r="I81">
        <f>-H62/G62</f>
        <v/>
      </c>
      <c r="J81" s="16" t="n">
        <v>44659</v>
      </c>
      <c r="K81">
        <f>+OPERAC[[#This Row],[cantidad]]</f>
        <v/>
      </c>
      <c r="L81" t="n">
        <v>0</v>
      </c>
    </row>
    <row r="82">
      <c r="A82" t="n">
        <v>1760</v>
      </c>
      <c r="B82" s="16" t="n">
        <v>44655</v>
      </c>
      <c r="C82" t="inlineStr">
        <is>
          <t>VTA</t>
        </is>
      </c>
      <c r="D82" t="n">
        <v>39</v>
      </c>
      <c r="E82">
        <f>IF(D429&gt;0,VLOOKUP(OPERAC[[#This Row],[COD CART]],[1]!MatrizCortoLargoCyl[#All],3,0),"")</f>
        <v/>
      </c>
      <c r="F82" t="inlineStr">
        <is>
          <t>TSLA/V/950,00/08-04-22</t>
        </is>
      </c>
      <c r="G82">
        <f>-1000-1000</f>
        <v/>
      </c>
      <c r="H82">
        <f>527.815+538.58</f>
        <v/>
      </c>
      <c r="I82">
        <f>-H429/G429</f>
        <v/>
      </c>
      <c r="J82" s="16" t="n">
        <v>44659</v>
      </c>
      <c r="K82">
        <f>+OPERAC[[#This Row],[cantidad]]</f>
        <v/>
      </c>
      <c r="L82" t="n">
        <v>0</v>
      </c>
    </row>
    <row r="83">
      <c r="A83" t="n">
        <v>1760</v>
      </c>
      <c r="B83" s="16" t="n">
        <v>44655</v>
      </c>
      <c r="C83" t="inlineStr">
        <is>
          <t>VTA</t>
        </is>
      </c>
      <c r="D83" t="n">
        <v>39</v>
      </c>
      <c r="E83">
        <f>IF(D470&gt;0,VLOOKUP(OPERAC[[#This Row],[COD CART]],[1]!MatrizCortoLargoCyl[#All],3,0),"")</f>
        <v/>
      </c>
      <c r="F83" t="inlineStr">
        <is>
          <t>TSLA/V/920,00/08-04-22</t>
        </is>
      </c>
      <c r="G83" t="n">
        <v>-1000</v>
      </c>
      <c r="H83" t="n">
        <v>989.28</v>
      </c>
      <c r="I83">
        <f>-H470/G470</f>
        <v/>
      </c>
      <c r="J83" s="16" t="n">
        <v>44659</v>
      </c>
      <c r="K83">
        <f>+OPERAC[[#This Row],[cantidad]]</f>
        <v/>
      </c>
      <c r="L83" t="n">
        <v>0</v>
      </c>
    </row>
    <row r="84">
      <c r="A84" t="n">
        <v>1760</v>
      </c>
      <c r="B84" s="16" t="n">
        <v>44655</v>
      </c>
      <c r="C84" t="inlineStr">
        <is>
          <t>VTA</t>
        </is>
      </c>
      <c r="D84" t="n">
        <v>39</v>
      </c>
      <c r="E84">
        <f>IF(D473&gt;0,VLOOKUP(OPERAC[[#This Row],[COD CART]],[1]!MatrizCortoLargoCyl[#All],3,0),"")</f>
        <v/>
      </c>
      <c r="F84" t="inlineStr">
        <is>
          <t>UPST/V/90,00/14-04-22</t>
        </is>
      </c>
      <c r="G84" t="n">
        <v>-1000</v>
      </c>
      <c r="H84" t="n">
        <v>984.98</v>
      </c>
      <c r="I84">
        <f>-H473/G473</f>
        <v/>
      </c>
      <c r="J84" s="16" t="n">
        <v>44665</v>
      </c>
      <c r="K84" t="n">
        <v>-1000</v>
      </c>
      <c r="L84" t="n">
        <v>-6656.1</v>
      </c>
    </row>
    <row r="85">
      <c r="A85" t="n">
        <v>1760</v>
      </c>
      <c r="B85" s="16" t="n">
        <v>44655</v>
      </c>
      <c r="C85" t="inlineStr">
        <is>
          <t>VTA</t>
        </is>
      </c>
      <c r="D85" t="n">
        <v>32</v>
      </c>
      <c r="E85">
        <f>IF(D5242&gt;0,VLOOKUP(OPERAC[[#This Row],[COD CART]],[1]!MatrizCortoLargoCyl[#All],3,0),"")</f>
        <v/>
      </c>
      <c r="F85" t="inlineStr">
        <is>
          <t>COTY</t>
        </is>
      </c>
      <c r="G85" t="n">
        <v>200</v>
      </c>
      <c r="H85" t="n">
        <v>-1671.039</v>
      </c>
      <c r="I85">
        <f>-H5242/G5242</f>
        <v/>
      </c>
    </row>
    <row r="86">
      <c r="A86" t="n">
        <v>1760</v>
      </c>
      <c r="B86" s="16" t="n">
        <v>44656</v>
      </c>
      <c r="C86" t="inlineStr">
        <is>
          <t>CPR</t>
        </is>
      </c>
      <c r="D86" t="n">
        <v>32</v>
      </c>
      <c r="E86">
        <f>IF(D4535&gt;0,VLOOKUP(OPERAC[[#This Row],[COD CART]],[1]!MatrizCortoLargoCyl[#All],3,0),"")</f>
        <v/>
      </c>
      <c r="F86" t="inlineStr">
        <is>
          <t>DOLE</t>
        </is>
      </c>
      <c r="G86" t="n">
        <v>100</v>
      </c>
      <c r="H86">
        <f>-1290.74+88.589</f>
        <v/>
      </c>
      <c r="I86">
        <f>-H4535/G4535</f>
        <v/>
      </c>
      <c r="J86" s="16" t="n">
        <v>44704</v>
      </c>
      <c r="K86" t="n">
        <v>100</v>
      </c>
      <c r="L86" t="n">
        <v>1098.483</v>
      </c>
    </row>
    <row r="87">
      <c r="A87" t="n">
        <v>1760</v>
      </c>
      <c r="B87" s="16" t="n">
        <v>44657</v>
      </c>
      <c r="C87" t="inlineStr">
        <is>
          <t>CPR</t>
        </is>
      </c>
      <c r="D87" t="n">
        <v>41</v>
      </c>
      <c r="E87">
        <f>IF(D3618&gt;0,VLOOKUP(OPERAC[[#This Row],[COD CART]],[1]!MatrizCortoLargoCyl[#All],3,0),"")</f>
        <v/>
      </c>
      <c r="F87" t="inlineStr">
        <is>
          <t>CRESY</t>
        </is>
      </c>
      <c r="G87" t="n">
        <v>100</v>
      </c>
      <c r="H87" t="n">
        <v>-793.85</v>
      </c>
      <c r="I87">
        <f>-H3618/G3618</f>
        <v/>
      </c>
    </row>
    <row r="88">
      <c r="A88" t="n">
        <v>1760</v>
      </c>
      <c r="B88" s="16" t="n">
        <v>44657</v>
      </c>
      <c r="C88" t="inlineStr">
        <is>
          <t>CPR</t>
        </is>
      </c>
      <c r="D88" t="n">
        <v>41</v>
      </c>
      <c r="E88">
        <f>IF(D4339&gt;0,VLOOKUP(OPERAC[[#This Row],[COD CART]],[1]!MatrizCortoLargoCyl[#All],3,0),"")</f>
        <v/>
      </c>
      <c r="F88" t="inlineStr">
        <is>
          <t>GGAL</t>
        </is>
      </c>
      <c r="G88" t="n">
        <v>100</v>
      </c>
      <c r="H88" t="n">
        <v>-1063.52</v>
      </c>
      <c r="I88">
        <f>-H4339/G4339</f>
        <v/>
      </c>
    </row>
    <row r="89">
      <c r="A89" t="n">
        <v>1760</v>
      </c>
      <c r="B89" s="16" t="n">
        <v>44657</v>
      </c>
      <c r="C89" t="inlineStr">
        <is>
          <t>VTA</t>
        </is>
      </c>
      <c r="D89" t="n">
        <v>41</v>
      </c>
      <c r="E89">
        <f>IF(D3173&gt;0,VLOOKUP(OPERAC[[#This Row],[COD CART]],[1]!MatrizCortoLargoCyl[#All],3,0),"")</f>
        <v/>
      </c>
      <c r="F89" t="inlineStr">
        <is>
          <t>TEO</t>
        </is>
      </c>
      <c r="G89" t="n">
        <v>100</v>
      </c>
      <c r="H89" t="n">
        <v>-643.36</v>
      </c>
      <c r="I89">
        <f>-H3173/G3173</f>
        <v/>
      </c>
    </row>
    <row r="90">
      <c r="A90" t="n">
        <v>1760</v>
      </c>
      <c r="B90" s="16" t="n">
        <v>44657</v>
      </c>
      <c r="C90" t="inlineStr">
        <is>
          <t>VTA</t>
        </is>
      </c>
      <c r="D90" t="n">
        <v>41</v>
      </c>
      <c r="E90">
        <f>IF(D5315&gt;0,VLOOKUP(OPERAC[[#This Row],[COD CART]],[1]!MatrizCortoLargoCyl[#All],3,0),"")</f>
        <v/>
      </c>
      <c r="F90" t="inlineStr">
        <is>
          <t>BMA</t>
        </is>
      </c>
      <c r="G90" t="n">
        <v>100</v>
      </c>
      <c r="H90" t="n">
        <v>-1725.07</v>
      </c>
      <c r="I90">
        <f>-H5315/G5315</f>
        <v/>
      </c>
    </row>
    <row r="91">
      <c r="A91" t="n">
        <v>1760</v>
      </c>
      <c r="B91" s="16" t="n">
        <v>44662</v>
      </c>
      <c r="C91" t="inlineStr">
        <is>
          <t>VTA</t>
        </is>
      </c>
      <c r="D91" t="n">
        <v>42</v>
      </c>
      <c r="E91">
        <f>IF(D1844&gt;0,VLOOKUP(OPERAC[[#This Row],[COD CART]],[1]!MatrizCortoLargoCyl[#All],3,0),"")</f>
        <v/>
      </c>
      <c r="F91" t="inlineStr">
        <is>
          <t>HYDR</t>
        </is>
      </c>
      <c r="G91" t="n">
        <v>15</v>
      </c>
      <c r="H91" t="n">
        <v>-278.5551599999999</v>
      </c>
      <c r="I91">
        <f>-H1844/G1844</f>
        <v/>
      </c>
      <c r="J91" s="16" t="n">
        <v>44693</v>
      </c>
      <c r="K91">
        <f>+OPERAC[[#This Row],[cantidad]]</f>
        <v/>
      </c>
      <c r="L91">
        <f>+OPERAC[[#This Row],[cantidad venta]]*11.63</f>
        <v/>
      </c>
    </row>
    <row r="92">
      <c r="A92" t="n">
        <v>1760</v>
      </c>
      <c r="B92" s="16" t="n">
        <v>44662</v>
      </c>
      <c r="C92" t="inlineStr">
        <is>
          <t>VTA</t>
        </is>
      </c>
      <c r="D92" t="n">
        <v>42</v>
      </c>
      <c r="E92">
        <f>IF(D2205&gt;0,VLOOKUP(OPERAC[[#This Row],[COD CART]],[1]!MatrizCortoLargoCyl[#All],3,0),"")</f>
        <v/>
      </c>
      <c r="F92" t="inlineStr">
        <is>
          <t>HYDR</t>
        </is>
      </c>
      <c r="G92" t="n">
        <v>20</v>
      </c>
      <c r="H92" t="n">
        <v>-371.4068800000001</v>
      </c>
      <c r="I92">
        <f>-H2205/G2205</f>
        <v/>
      </c>
      <c r="J92" s="16" t="n">
        <v>44693</v>
      </c>
      <c r="K92">
        <f>+OPERAC[[#This Row],[cantidad]]</f>
        <v/>
      </c>
      <c r="L92">
        <f>+OPERAC[[#This Row],[cantidad venta]]*11.63</f>
        <v/>
      </c>
    </row>
    <row r="93">
      <c r="A93" t="n">
        <v>1760</v>
      </c>
      <c r="B93" s="16" t="n">
        <v>44663</v>
      </c>
      <c r="C93" t="inlineStr">
        <is>
          <t>CPR</t>
        </is>
      </c>
      <c r="D93" t="n">
        <v>32</v>
      </c>
      <c r="E93">
        <f>IF(D3316&gt;0,VLOOKUP(OPERAC[[#This Row],[COD CART]],[1]!MatrizCortoLargoCyl[#All],3,0),"")</f>
        <v/>
      </c>
      <c r="F93" t="inlineStr">
        <is>
          <t>PCT/CYL/7,50/20-05-22</t>
        </is>
      </c>
      <c r="G93" t="n">
        <v>100</v>
      </c>
      <c r="H93" t="n">
        <v>-691.124</v>
      </c>
      <c r="I93">
        <f>-H3316/G3316</f>
        <v/>
      </c>
      <c r="J93" s="16" t="n">
        <v>44698</v>
      </c>
      <c r="K93">
        <f>+OPERAC[[#This Row],[cantidad]]</f>
        <v/>
      </c>
      <c r="L93" t="n">
        <v>736.16</v>
      </c>
    </row>
    <row r="94">
      <c r="A94" t="n">
        <v>1760</v>
      </c>
      <c r="B94" s="16" t="n">
        <v>44664</v>
      </c>
      <c r="C94" t="inlineStr">
        <is>
          <t>CPR</t>
        </is>
      </c>
      <c r="D94" t="n">
        <v>42</v>
      </c>
      <c r="E94">
        <f>IF(D4189&gt;0,VLOOKUP(OPERAC[[#This Row],[COD CART]],[1]!MatrizCortoLargoCyl[#All],3,0),"")</f>
        <v/>
      </c>
      <c r="F94" t="inlineStr">
        <is>
          <t>AMD</t>
        </is>
      </c>
      <c r="G94" t="n">
        <v>10</v>
      </c>
      <c r="H94" t="n">
        <v>-987.7065453</v>
      </c>
      <c r="I94">
        <f>-H4189/G4189</f>
        <v/>
      </c>
      <c r="J94" s="16" t="n">
        <v>44693</v>
      </c>
      <c r="K94" t="n">
        <v>10</v>
      </c>
      <c r="L94" t="n">
        <v>831.481</v>
      </c>
    </row>
    <row r="95">
      <c r="A95" t="n">
        <v>1760</v>
      </c>
      <c r="B95" s="16" t="n">
        <v>44664</v>
      </c>
      <c r="C95" t="inlineStr">
        <is>
          <t>CPR</t>
        </is>
      </c>
      <c r="D95" t="n">
        <v>42</v>
      </c>
      <c r="E95">
        <f>IF(D5825&gt;0,VLOOKUP(OPERAC[[#This Row],[COD CART]],[1]!MatrizCortoLargoCyl[#All],3,0),"")</f>
        <v/>
      </c>
      <c r="F95" t="inlineStr">
        <is>
          <t>PSQ</t>
        </is>
      </c>
      <c r="G95" t="n">
        <v>225</v>
      </c>
      <c r="H95" t="n">
        <v>-2797.328740725</v>
      </c>
      <c r="I95">
        <f>-H5825/G5825</f>
        <v/>
      </c>
      <c r="J95" s="16" t="n">
        <v>44680</v>
      </c>
      <c r="K95">
        <f>+OPERAC[[#This Row],[cantidad]]</f>
        <v/>
      </c>
      <c r="L95">
        <f>12.848*OPERAC[[#This Row],[cantidad venta]]</f>
        <v/>
      </c>
    </row>
    <row r="96">
      <c r="A96" t="n">
        <v>1760</v>
      </c>
      <c r="B96" s="16" t="n">
        <v>44665</v>
      </c>
      <c r="C96" t="inlineStr">
        <is>
          <t>VTA</t>
        </is>
      </c>
      <c r="D96" t="n">
        <v>39</v>
      </c>
      <c r="E96">
        <f>IF(D988&gt;0,VLOOKUP(OPERAC[[#This Row],[COD CART]],[1]!MatrizCortoLargoCyl[#All],3,0),"")</f>
        <v/>
      </c>
      <c r="F96" t="inlineStr">
        <is>
          <t>TSLA/V/750,00/20-05-2022</t>
        </is>
      </c>
      <c r="G96" t="n">
        <v>-10</v>
      </c>
      <c r="H96" t="n">
        <v>72.52</v>
      </c>
      <c r="I96">
        <f>-H988/G988</f>
        <v/>
      </c>
      <c r="J96" s="16" t="n">
        <v>44692</v>
      </c>
      <c r="K96" t="n">
        <v>-10</v>
      </c>
      <c r="L96" t="n">
        <v>-437.175</v>
      </c>
    </row>
    <row r="97">
      <c r="A97" t="n">
        <v>1760</v>
      </c>
      <c r="B97" s="16" t="n">
        <v>44669</v>
      </c>
      <c r="C97" t="inlineStr">
        <is>
          <t>VTA</t>
        </is>
      </c>
      <c r="D97" t="n">
        <v>39</v>
      </c>
      <c r="E97">
        <f>IF(D210&gt;0,VLOOKUP(OPERAC[[#This Row],[COD CART]],[1]!MatrizCortoLargoCyl[#All],3,0),"")</f>
        <v/>
      </c>
      <c r="F97" t="inlineStr">
        <is>
          <t>UPST/V/80,00/22-04-22</t>
        </is>
      </c>
      <c r="G97" t="n">
        <v>-500</v>
      </c>
      <c r="H97" t="n">
        <v>2082.15</v>
      </c>
      <c r="I97">
        <f>-H210/G210</f>
        <v/>
      </c>
      <c r="J97" s="16" t="n">
        <v>44673</v>
      </c>
      <c r="K97" t="n">
        <v>-500</v>
      </c>
      <c r="L97" t="n">
        <v>-1966.575</v>
      </c>
    </row>
    <row r="98">
      <c r="A98" t="n">
        <v>1760</v>
      </c>
      <c r="B98" s="16" t="n">
        <v>44670</v>
      </c>
      <c r="C98" t="inlineStr">
        <is>
          <t>VTA</t>
        </is>
      </c>
      <c r="D98" t="n">
        <v>39</v>
      </c>
      <c r="E98">
        <f>IF(D1201&gt;0,VLOOKUP(OPERAC[[#This Row],[COD CART]],[1]!MatrizCortoLargoCyl[#All],3,0),"")</f>
        <v/>
      </c>
      <c r="F98" t="inlineStr">
        <is>
          <t>TSLA/V/400,00/20-01-23</t>
        </is>
      </c>
      <c r="G98" t="n">
        <v>-1</v>
      </c>
      <c r="H98" t="n">
        <v>9.1218</v>
      </c>
      <c r="I98">
        <f>-H1201/G1201</f>
        <v/>
      </c>
      <c r="J98" s="16" t="n">
        <v>44692</v>
      </c>
      <c r="K98" t="n">
        <v>-1</v>
      </c>
      <c r="L98" t="n">
        <v>-33.165</v>
      </c>
    </row>
    <row r="99">
      <c r="A99" t="n">
        <v>1760</v>
      </c>
      <c r="B99" s="16" t="n">
        <v>44670</v>
      </c>
      <c r="C99" t="inlineStr">
        <is>
          <t>VTA</t>
        </is>
      </c>
      <c r="D99" t="n">
        <v>43</v>
      </c>
      <c r="E99">
        <f>IF(D5362&gt;0,VLOOKUP(OPERAC[[#This Row],[COD CART]],[1]!MatrizCortoLargoCyl[#All],3,0),"")</f>
        <v/>
      </c>
      <c r="F99" t="inlineStr">
        <is>
          <t>PCT/CYL-PUT/7,50/20-01-23</t>
        </is>
      </c>
      <c r="G99" t="n">
        <v>500</v>
      </c>
      <c r="H99" t="n">
        <v>-1790.115</v>
      </c>
      <c r="I99">
        <f>-H5362/G5362</f>
        <v/>
      </c>
    </row>
    <row r="100">
      <c r="A100" t="n">
        <v>1760</v>
      </c>
      <c r="B100" s="16" t="n">
        <v>44671</v>
      </c>
      <c r="C100" t="inlineStr">
        <is>
          <t>CPR</t>
        </is>
      </c>
      <c r="D100" t="n">
        <v>42</v>
      </c>
      <c r="E100">
        <f>IF(D4615&gt;0,VLOOKUP(OPERAC[[#This Row],[COD CART]],[1]!MatrizCortoLargoCyl[#All],3,0),"")</f>
        <v/>
      </c>
      <c r="F100" t="inlineStr">
        <is>
          <t>NFLX</t>
        </is>
      </c>
      <c r="G100" t="n">
        <v>5</v>
      </c>
      <c r="H100" t="n">
        <v>-1272.5253</v>
      </c>
      <c r="I100">
        <f>-H4615/G4615</f>
        <v/>
      </c>
      <c r="J100" s="16" t="n">
        <v>44693</v>
      </c>
      <c r="K100">
        <f>+OPERAC[[#This Row],[cantidad]]</f>
        <v/>
      </c>
      <c r="L100">
        <f>+OPERAC[[#This Row],[cantidad venta]]*164.905</f>
        <v/>
      </c>
    </row>
    <row r="101">
      <c r="A101" t="n">
        <v>1760</v>
      </c>
      <c r="B101" s="16" t="n">
        <v>44671</v>
      </c>
      <c r="C101" t="inlineStr">
        <is>
          <t>VTA</t>
        </is>
      </c>
      <c r="D101" t="n">
        <v>42</v>
      </c>
      <c r="E101">
        <f>IF(D3821&gt;0,VLOOKUP(OPERAC[[#This Row],[COD CART]],[1]!MatrizCortoLargoCyl[#All],3,0),"")</f>
        <v/>
      </c>
      <c r="F101" t="inlineStr">
        <is>
          <t>TLT</t>
        </is>
      </c>
      <c r="G101" t="n">
        <v>7</v>
      </c>
      <c r="H101" t="n">
        <v>-857.9410350000001</v>
      </c>
      <c r="I101">
        <f>-H3821/G3821</f>
        <v/>
      </c>
      <c r="J101" s="16" t="n">
        <v>44704</v>
      </c>
      <c r="K101" t="n">
        <v>7</v>
      </c>
      <c r="L101">
        <f>+OPERAC[[#This Row],[cantidad venta]]*116.581</f>
        <v/>
      </c>
    </row>
    <row r="102">
      <c r="A102" t="n">
        <v>1760</v>
      </c>
      <c r="B102" s="16" t="n">
        <v>44672</v>
      </c>
      <c r="C102" t="inlineStr">
        <is>
          <t>VTA</t>
        </is>
      </c>
      <c r="D102" t="n">
        <v>39</v>
      </c>
      <c r="E102">
        <f>IF(D439&gt;0,VLOOKUP(OPERAC[[#This Row],[COD CART]],[1]!MatrizCortoLargoCyl[#All],3,0),"")</f>
        <v/>
      </c>
      <c r="F102" t="inlineStr">
        <is>
          <t>UPST/V/75,00/22-04-22</t>
        </is>
      </c>
      <c r="G102" t="n">
        <v>-500</v>
      </c>
      <c r="H102" t="n">
        <v>1041.075</v>
      </c>
      <c r="I102">
        <f>-H439/G439</f>
        <v/>
      </c>
      <c r="J102" s="16" t="n">
        <v>44673</v>
      </c>
      <c r="K102" t="n">
        <v>-500</v>
      </c>
      <c r="L102" t="n">
        <v>-1058.925</v>
      </c>
    </row>
    <row r="103">
      <c r="A103" t="n">
        <v>1760</v>
      </c>
      <c r="B103" s="16" t="n">
        <v>44673</v>
      </c>
      <c r="C103" t="inlineStr">
        <is>
          <t>VTA</t>
        </is>
      </c>
      <c r="D103" t="n">
        <v>39</v>
      </c>
      <c r="E103">
        <f>IF(D443&gt;0,VLOOKUP(OPERAC[[#This Row],[COD CART]],[1]!MatrizCortoLargoCyl[#All],3,0),"")</f>
        <v/>
      </c>
      <c r="F103" t="inlineStr">
        <is>
          <t>UPST/V/70,00/29-04-22</t>
        </is>
      </c>
      <c r="G103" t="n">
        <v>-500</v>
      </c>
      <c r="H103" t="n">
        <v>1041.075</v>
      </c>
      <c r="I103">
        <f>-H443/G443</f>
        <v/>
      </c>
      <c r="J103" s="16" t="n">
        <v>44676</v>
      </c>
      <c r="K103" t="n">
        <v>-500</v>
      </c>
      <c r="L103" t="n">
        <v>-665.61</v>
      </c>
    </row>
    <row r="104">
      <c r="A104" t="n">
        <v>1760</v>
      </c>
      <c r="B104" s="16" t="n">
        <v>44673</v>
      </c>
      <c r="C104" t="inlineStr">
        <is>
          <t>VTA</t>
        </is>
      </c>
      <c r="D104" t="n">
        <v>39</v>
      </c>
      <c r="E104">
        <f>IF(D464&gt;0,VLOOKUP(OPERAC[[#This Row],[COD CART]],[1]!MatrizCortoLargoCyl[#All],3,0),"")</f>
        <v/>
      </c>
      <c r="F104" t="inlineStr">
        <is>
          <t>UPST/V/68,00/29-04-22</t>
        </is>
      </c>
      <c r="G104" t="n">
        <v>-500</v>
      </c>
      <c r="H104" t="n">
        <v>991.5</v>
      </c>
      <c r="I104">
        <f>-H464/G464</f>
        <v/>
      </c>
      <c r="J104" s="16" t="n">
        <v>44679</v>
      </c>
      <c r="K104">
        <f>+OPERAC[[#This Row],[cantidad]]</f>
        <v/>
      </c>
      <c r="L104" t="n">
        <v>-252.125</v>
      </c>
    </row>
    <row r="105">
      <c r="A105" t="n">
        <v>1760</v>
      </c>
      <c r="B105" s="16" t="n">
        <v>44680</v>
      </c>
      <c r="C105" t="inlineStr">
        <is>
          <t>CPR</t>
        </is>
      </c>
      <c r="D105" t="n">
        <v>42</v>
      </c>
      <c r="E105">
        <f>IF(D5861&gt;0,VLOOKUP(OPERAC[[#This Row],[COD CART]],[1]!MatrizCortoLargoCyl[#All],3,0),"")</f>
        <v/>
      </c>
      <c r="F105" t="inlineStr">
        <is>
          <t>XLP</t>
        </is>
      </c>
      <c r="G105" t="n">
        <v>37</v>
      </c>
      <c r="H105" t="n">
        <v>-2939.0765925</v>
      </c>
      <c r="I105">
        <f>-H5861/G5861</f>
        <v/>
      </c>
      <c r="J105" s="16" t="n">
        <v>44704</v>
      </c>
      <c r="K105" t="n">
        <v>37</v>
      </c>
      <c r="L105" t="n">
        <v>2632.99</v>
      </c>
    </row>
    <row r="106">
      <c r="A106" t="n">
        <v>1760</v>
      </c>
      <c r="B106" s="16" t="n">
        <v>44680</v>
      </c>
      <c r="C106" t="inlineStr">
        <is>
          <t>VTA</t>
        </is>
      </c>
      <c r="D106" t="n">
        <v>42</v>
      </c>
      <c r="E106">
        <f>IF(D5044&gt;0,VLOOKUP(OPERAC[[#This Row],[COD CART]],[1]!MatrizCortoLargoCyl[#All],3,0),"")</f>
        <v/>
      </c>
      <c r="F106" t="inlineStr">
        <is>
          <t>TS</t>
        </is>
      </c>
      <c r="G106" t="n">
        <v>50</v>
      </c>
      <c r="H106" t="n">
        <v>-1564.939875</v>
      </c>
      <c r="I106">
        <f>-H5044/G5044</f>
        <v/>
      </c>
      <c r="J106" s="16" t="n">
        <v>44704</v>
      </c>
      <c r="K106" t="n">
        <v>50</v>
      </c>
      <c r="L106" t="n">
        <v>1616.39</v>
      </c>
    </row>
    <row r="107">
      <c r="A107" t="n">
        <v>1760</v>
      </c>
      <c r="B107" s="16" t="n">
        <v>44686</v>
      </c>
      <c r="C107" t="inlineStr">
        <is>
          <t>CPR</t>
        </is>
      </c>
      <c r="D107" t="n">
        <v>40</v>
      </c>
      <c r="E107">
        <f>IF(D5685&gt;0,VLOOKUP(OPERAC[[#This Row],[COD CART]],[1]!MatrizCortoLargoCyl[#All],3,0),"")</f>
        <v/>
      </c>
      <c r="F107" t="inlineStr">
        <is>
          <t>SFM</t>
        </is>
      </c>
      <c r="G107" t="n">
        <v>100</v>
      </c>
      <c r="H107">
        <f>-2530.83+44.618</f>
        <v/>
      </c>
      <c r="I107">
        <f>-H5685/G5685</f>
        <v/>
      </c>
      <c r="J107" s="16" t="n">
        <v>44704</v>
      </c>
      <c r="K107" t="n">
        <v>100</v>
      </c>
      <c r="L107" t="n">
        <v>2338.254</v>
      </c>
    </row>
    <row r="108">
      <c r="A108" t="n">
        <v>1760</v>
      </c>
      <c r="B108" s="16" t="n">
        <v>44692</v>
      </c>
      <c r="C108" t="inlineStr">
        <is>
          <t>VTA</t>
        </is>
      </c>
      <c r="D108" t="n">
        <v>39</v>
      </c>
      <c r="E108">
        <f>IF(D675&gt;0,VLOOKUP(OPERAC[[#This Row],[COD CART]],[1]!MatrizCortoLargoCyl[#All],3,0),"")</f>
        <v/>
      </c>
      <c r="F108" t="inlineStr">
        <is>
          <t>TSLA/V/450,00/20-01-23</t>
        </is>
      </c>
      <c r="G108" t="n">
        <v>-10</v>
      </c>
      <c r="H108" t="n">
        <v>437.8</v>
      </c>
      <c r="I108">
        <f>-H675/G675</f>
        <v/>
      </c>
    </row>
    <row r="109">
      <c r="A109" t="n">
        <v>1760</v>
      </c>
      <c r="B109" s="16" t="n">
        <v>44693</v>
      </c>
      <c r="C109" t="inlineStr">
        <is>
          <t>CPR</t>
        </is>
      </c>
      <c r="D109" t="n">
        <v>40</v>
      </c>
      <c r="E109">
        <f>IF(D5906&gt;0,VLOOKUP(OPERAC[[#This Row],[COD CART]],[1]!MatrizCortoLargoCyl[#All],3,0),"")</f>
        <v/>
      </c>
      <c r="F109" t="inlineStr">
        <is>
          <t>TGS</t>
        </is>
      </c>
      <c r="G109" t="n">
        <v>500</v>
      </c>
      <c r="H109" t="n">
        <v>-3012.467</v>
      </c>
      <c r="I109">
        <f>-H5906/G5906</f>
        <v/>
      </c>
    </row>
    <row r="110">
      <c r="A110" t="n">
        <v>1760</v>
      </c>
      <c r="B110" s="16" t="n">
        <v>44693</v>
      </c>
      <c r="C110" t="inlineStr">
        <is>
          <t>VTA</t>
        </is>
      </c>
      <c r="D110" t="n">
        <v>42</v>
      </c>
      <c r="E110">
        <f>IF(D5020&gt;0,VLOOKUP(OPERAC[[#This Row],[COD CART]],[1]!MatrizCortoLargoCyl[#All],3,0),"")</f>
        <v/>
      </c>
      <c r="F110" t="inlineStr">
        <is>
          <t>TLT</t>
        </is>
      </c>
      <c r="G110" t="n">
        <v>13</v>
      </c>
      <c r="H110" t="n">
        <v>-1549.678</v>
      </c>
      <c r="I110">
        <f>-H5020/G5020</f>
        <v/>
      </c>
      <c r="J110" s="16" t="n">
        <v>44704</v>
      </c>
      <c r="K110" t="n">
        <v>13</v>
      </c>
      <c r="L110">
        <f>+OPERAC[[#This Row],[cantidad venta]]*116.581</f>
        <v/>
      </c>
    </row>
    <row r="111">
      <c r="A111" t="n">
        <v>1760</v>
      </c>
      <c r="B111" s="16" t="n">
        <v>44704</v>
      </c>
      <c r="C111" t="inlineStr">
        <is>
          <t>CPR</t>
        </is>
      </c>
      <c r="D111" t="n">
        <v>43</v>
      </c>
      <c r="E111">
        <f>IF(D5991&gt;0,VLOOKUP(OPERAC[[#This Row],[COD CART]],[1]!MatrizCortoLargoCyl[#All],3,0),"")</f>
        <v/>
      </c>
      <c r="F111" t="inlineStr">
        <is>
          <t>AAL/CYP/16,50-15,00/10-06-22</t>
        </is>
      </c>
      <c r="G111" t="n">
        <v>200</v>
      </c>
      <c r="H111">
        <f>-3247.862-32.27</f>
        <v/>
      </c>
      <c r="I111">
        <f>-H5991/G5991</f>
        <v/>
      </c>
      <c r="J111" s="16" t="n">
        <v>44722</v>
      </c>
      <c r="K111" t="n">
        <v>200</v>
      </c>
      <c r="L111" t="n">
        <v>3271.95</v>
      </c>
    </row>
    <row r="112">
      <c r="A112" t="n">
        <v>1760</v>
      </c>
      <c r="B112" s="16" t="n">
        <v>44704</v>
      </c>
      <c r="C112" t="inlineStr">
        <is>
          <t>VTA</t>
        </is>
      </c>
      <c r="D112" t="n">
        <v>32</v>
      </c>
      <c r="E112">
        <f>IF(D2167&gt;0,VLOOKUP(OPERAC[[#This Row],[COD CART]],[1]!MatrizCortoLargoCyl[#All],3,0),"")</f>
        <v/>
      </c>
      <c r="F112" t="inlineStr">
        <is>
          <t>HMY/CYL/4,00/17-06-22</t>
        </is>
      </c>
      <c r="G112" t="n">
        <v>100</v>
      </c>
      <c r="H112" t="n">
        <v>-359.68</v>
      </c>
      <c r="I112">
        <f>-H2167/G2167</f>
        <v/>
      </c>
    </row>
    <row r="113">
      <c r="A113" t="n">
        <v>1760</v>
      </c>
      <c r="B113" s="16" t="n">
        <v>44704</v>
      </c>
      <c r="C113" t="inlineStr">
        <is>
          <t>VTA</t>
        </is>
      </c>
      <c r="D113" t="n">
        <v>32</v>
      </c>
      <c r="E113">
        <f>IF(D5180&gt;0,VLOOKUP(OPERAC[[#This Row],[COD CART]],[1]!MatrizCortoLargoCyl[#All],3,0),"")</f>
        <v/>
      </c>
      <c r="F113" t="inlineStr">
        <is>
          <t>SPWR/CYL/20,00/24-06-22</t>
        </is>
      </c>
      <c r="G113" t="n">
        <v>100</v>
      </c>
      <c r="H113" t="n">
        <v>-1630.078</v>
      </c>
      <c r="I113">
        <f>-H5180/G5180</f>
        <v/>
      </c>
    </row>
    <row r="114">
      <c r="A114" t="n">
        <v>1760</v>
      </c>
      <c r="B114" s="16" t="n">
        <v>44705</v>
      </c>
      <c r="C114" t="inlineStr">
        <is>
          <t>VTA</t>
        </is>
      </c>
      <c r="D114" t="n">
        <v>42</v>
      </c>
      <c r="E114">
        <f>IF(D5623&gt;0,VLOOKUP(OPERAC[[#This Row],[COD CART]],[1]!MatrizCortoLargoCyl[#All],3,0),"")</f>
        <v/>
      </c>
      <c r="F114" t="inlineStr">
        <is>
          <t>AMD</t>
        </is>
      </c>
      <c r="G114" t="n">
        <v>25</v>
      </c>
      <c r="H114" t="n">
        <v>-2312.5885</v>
      </c>
      <c r="I114">
        <f>-H5623/G5623</f>
        <v/>
      </c>
      <c r="J114" s="16" t="n">
        <v>44707</v>
      </c>
      <c r="K114">
        <f>+OPERAC[[#This Row],[cantidad]]</f>
        <v/>
      </c>
      <c r="L114">
        <f>+OPERAC[[#This Row],[cantidad venta]]*94.8</f>
        <v/>
      </c>
    </row>
    <row r="115">
      <c r="A115" t="n">
        <v>1760</v>
      </c>
      <c r="B115" s="16" t="n">
        <v>44707</v>
      </c>
      <c r="C115" t="inlineStr">
        <is>
          <t>CPR</t>
        </is>
      </c>
      <c r="D115" t="n">
        <v>32</v>
      </c>
      <c r="E115">
        <f>IF(D5756&gt;0,VLOOKUP(OPERAC[[#This Row],[COD CART]],[1]!MatrizCortoLargoCyl[#All],3,0),"")</f>
        <v/>
      </c>
      <c r="F115" t="inlineStr">
        <is>
          <t>BIG/CYL/27,50/17-06-22</t>
        </is>
      </c>
      <c r="G115" t="n">
        <v>100</v>
      </c>
      <c r="H115" t="n">
        <v>-2636.628</v>
      </c>
      <c r="I115">
        <f>-H5756/G5756</f>
        <v/>
      </c>
    </row>
    <row r="116">
      <c r="A116" t="n">
        <v>1760</v>
      </c>
      <c r="B116" s="16" t="n">
        <v>44708</v>
      </c>
      <c r="C116" t="inlineStr">
        <is>
          <t>VTA</t>
        </is>
      </c>
      <c r="D116" t="n">
        <v>42</v>
      </c>
      <c r="E116">
        <f>IF(D5397&gt;0,VLOOKUP(OPERAC[[#This Row],[COD CART]],[1]!MatrizCortoLargoCyl[#All],3,0),"")</f>
        <v/>
      </c>
      <c r="F116" t="inlineStr">
        <is>
          <t>ACB</t>
        </is>
      </c>
      <c r="G116" t="n">
        <v>1000</v>
      </c>
      <c r="H116" t="n">
        <v>-1825.320788805</v>
      </c>
      <c r="I116">
        <f>-H5397/G5397</f>
        <v/>
      </c>
    </row>
    <row r="117">
      <c r="A117" t="n">
        <v>1760</v>
      </c>
      <c r="B117" s="16" t="n">
        <v>44712</v>
      </c>
      <c r="C117" t="inlineStr">
        <is>
          <t>CPR</t>
        </is>
      </c>
      <c r="D117" t="n">
        <v>32</v>
      </c>
      <c r="E117">
        <f>IF(D4557&gt;0,VLOOKUP(OPERAC[[#This Row],[COD CART]],[1]!MatrizCortoLargoCyl[#All],3,0),"")</f>
        <v/>
      </c>
      <c r="F117" t="inlineStr">
        <is>
          <t>AMC/CYL/13,00/10-06-22</t>
        </is>
      </c>
      <c r="G117" t="n">
        <v>100</v>
      </c>
      <c r="H117" t="n">
        <v>-1232.75</v>
      </c>
      <c r="I117">
        <f>-H4557/G4557</f>
        <v/>
      </c>
      <c r="J117" s="16" t="n">
        <v>44722</v>
      </c>
      <c r="K117" t="n">
        <v>100</v>
      </c>
      <c r="L117" t="n">
        <v>1234.29</v>
      </c>
    </row>
    <row r="118">
      <c r="A118" t="n">
        <v>1760</v>
      </c>
      <c r="B118" s="16" t="n">
        <v>44719</v>
      </c>
      <c r="C118" t="inlineStr">
        <is>
          <t>VTA</t>
        </is>
      </c>
      <c r="D118" t="n">
        <v>39</v>
      </c>
      <c r="E118">
        <f>IF(D306&gt;0,VLOOKUP(OPERAC[[#This Row],[COD CART]],[1]!MatrizCortoLargoCyl[#All],3,0),"")</f>
        <v/>
      </c>
      <c r="F118" t="inlineStr">
        <is>
          <t>TSLA/C/790,00/10-06-22</t>
        </is>
      </c>
      <c r="G118" t="n">
        <v>-700</v>
      </c>
      <c r="H118" t="n">
        <v>1489.95</v>
      </c>
      <c r="I118">
        <f>-H306/G306</f>
        <v/>
      </c>
      <c r="J118" s="16" t="n">
        <v>44722</v>
      </c>
      <c r="K118">
        <f>+OPERAC[[#This Row],[cantidad]]</f>
        <v/>
      </c>
      <c r="L118" t="n">
        <v>0</v>
      </c>
    </row>
    <row r="119">
      <c r="A119" t="n">
        <v>1760</v>
      </c>
      <c r="B119" s="16" t="n">
        <v>44719</v>
      </c>
      <c r="C119" t="inlineStr">
        <is>
          <t>VTA</t>
        </is>
      </c>
      <c r="D119" t="n">
        <v>39</v>
      </c>
      <c r="E119">
        <f>IF(D310&gt;0,VLOOKUP(OPERAC[[#This Row],[COD CART]],[1]!MatrizCortoLargoCyl[#All],3,0),"")</f>
        <v/>
      </c>
      <c r="F119" t="inlineStr">
        <is>
          <t>TSLA/P/600,00/10-06-22</t>
        </is>
      </c>
      <c r="G119" t="n">
        <v>-700</v>
      </c>
      <c r="H119" t="n">
        <v>1462.23</v>
      </c>
      <c r="I119">
        <f>-H310/G310</f>
        <v/>
      </c>
      <c r="J119" s="16" t="n">
        <v>44719</v>
      </c>
      <c r="K119" t="n">
        <v>-700</v>
      </c>
      <c r="L119" t="n">
        <v>-501.2245</v>
      </c>
    </row>
    <row r="120">
      <c r="A120" t="n">
        <v>1760</v>
      </c>
      <c r="B120" s="16" t="n">
        <v>44719</v>
      </c>
      <c r="C120" t="inlineStr">
        <is>
          <t>VTA</t>
        </is>
      </c>
      <c r="D120" t="n">
        <v>39</v>
      </c>
      <c r="E120">
        <f>IF(D684&gt;0,VLOOKUP(OPERAC[[#This Row],[COD CART]],[1]!MatrizCortoLargoCyl[#All],3,0),"")</f>
        <v/>
      </c>
      <c r="F120" t="inlineStr">
        <is>
          <t>TSLA/V/625,00/10-06-22</t>
        </is>
      </c>
      <c r="G120" t="n">
        <v>-300</v>
      </c>
      <c r="H120" t="n">
        <v>431.303</v>
      </c>
      <c r="I120">
        <f>-H684/G684</f>
        <v/>
      </c>
      <c r="J120" s="16" t="n">
        <v>44721</v>
      </c>
      <c r="K120" t="n">
        <v>-300</v>
      </c>
      <c r="L120" t="n">
        <v>-69.587</v>
      </c>
    </row>
    <row r="121">
      <c r="A121" t="n">
        <v>1760</v>
      </c>
      <c r="B121" s="16" t="n">
        <v>44720</v>
      </c>
      <c r="C121" t="inlineStr">
        <is>
          <t>CPR</t>
        </is>
      </c>
      <c r="D121" t="n">
        <v>42</v>
      </c>
      <c r="E121">
        <f>IF(D5912&gt;0,VLOOKUP(OPERAC[[#This Row],[COD CART]],[1]!MatrizCortoLargoCyl[#All],3,0),"")</f>
        <v/>
      </c>
      <c r="F121" t="inlineStr">
        <is>
          <t>HYDR</t>
        </is>
      </c>
      <c r="G121" t="n">
        <v>200</v>
      </c>
      <c r="H121" t="n">
        <v>-3025.5</v>
      </c>
      <c r="I121">
        <f>-H5912/G5912</f>
        <v/>
      </c>
    </row>
    <row r="122">
      <c r="A122" t="n">
        <v>1760</v>
      </c>
      <c r="B122" s="16" t="n">
        <v>44722</v>
      </c>
      <c r="C122" t="inlineStr">
        <is>
          <t>CPR</t>
        </is>
      </c>
      <c r="D122" t="n">
        <v>32</v>
      </c>
      <c r="E122">
        <f>IF(D4221&gt;0,VLOOKUP(OPERAC[[#This Row],[COD CART]],[1]!MatrizCortoLargoCyl[#All],3,0),"")</f>
        <v/>
      </c>
      <c r="F122" t="inlineStr">
        <is>
          <t>CCL/CYL/10,50/24-06-22</t>
        </is>
      </c>
      <c r="G122" t="n">
        <v>100</v>
      </c>
      <c r="H122" t="n">
        <v>-1005.33</v>
      </c>
      <c r="I122">
        <f>-H4221/G4221</f>
        <v/>
      </c>
    </row>
    <row r="123">
      <c r="A123" t="n">
        <v>1760</v>
      </c>
      <c r="B123" s="16" t="n">
        <v>44725</v>
      </c>
      <c r="C123" t="inlineStr">
        <is>
          <t>CPR</t>
        </is>
      </c>
      <c r="D123" t="n">
        <v>40</v>
      </c>
      <c r="E123">
        <f>IF(D4206&gt;0,VLOOKUP(OPERAC[[#This Row],[COD CART]],[1]!MatrizCortoLargoCyl[#All],3,0),"")</f>
        <v/>
      </c>
      <c r="F123" t="inlineStr">
        <is>
          <t>EDIT</t>
        </is>
      </c>
      <c r="G123" t="n">
        <v>100</v>
      </c>
      <c r="H123" t="n">
        <v>-993.8364099999999</v>
      </c>
      <c r="I123">
        <f>-H4206/G4206</f>
        <v/>
      </c>
    </row>
    <row r="124">
      <c r="A124" t="n">
        <v>1760</v>
      </c>
      <c r="B124" s="16" t="n">
        <v>44725</v>
      </c>
      <c r="C124" t="inlineStr">
        <is>
          <t>VTA</t>
        </is>
      </c>
      <c r="D124" t="n">
        <v>40</v>
      </c>
      <c r="E124">
        <f>IF(D3112&gt;0,VLOOKUP(OPERAC[[#This Row],[COD CART]],[1]!MatrizCortoLargoCyl[#All],3,0),"")</f>
        <v/>
      </c>
      <c r="F124" t="inlineStr">
        <is>
          <t>MELI</t>
        </is>
      </c>
      <c r="G124" t="n">
        <v>1</v>
      </c>
      <c r="H124" t="n">
        <v>-628.39635</v>
      </c>
      <c r="I124">
        <f>-H3112/G3112</f>
        <v/>
      </c>
    </row>
    <row r="125">
      <c r="A125" t="n">
        <v>1760</v>
      </c>
      <c r="B125" s="16" t="n">
        <v>44725</v>
      </c>
      <c r="C125" t="inlineStr">
        <is>
          <t>VTA</t>
        </is>
      </c>
      <c r="D125" t="n">
        <v>40</v>
      </c>
      <c r="E125">
        <f>IF(D3909&gt;0,VLOOKUP(OPERAC[[#This Row],[COD CART]],[1]!MatrizCortoLargoCyl[#All],3,0),"")</f>
        <v/>
      </c>
      <c r="F125" t="inlineStr">
        <is>
          <t>AMD</t>
        </is>
      </c>
      <c r="G125" t="n">
        <v>10</v>
      </c>
      <c r="H125" t="n">
        <v>-876.9411749999999</v>
      </c>
      <c r="I125">
        <f>-H3909/G3909</f>
        <v/>
      </c>
    </row>
    <row r="126">
      <c r="A126" t="n">
        <v>1762</v>
      </c>
      <c r="B126" s="16" t="n">
        <v>44354</v>
      </c>
      <c r="C126" t="inlineStr">
        <is>
          <t>VTA</t>
        </is>
      </c>
      <c r="D126" t="n">
        <v>41</v>
      </c>
      <c r="E126">
        <f>IF(D5579&gt;0,VLOOKUP(OPERAC[[#This Row],[COD CART]],[1]!MatrizCortoLargoCyl[#All],3,0),"")</f>
        <v/>
      </c>
      <c r="F126" t="inlineStr">
        <is>
          <t>GBTC</t>
        </is>
      </c>
      <c r="G126" t="n">
        <v>70</v>
      </c>
      <c r="H126" t="n">
        <v>-2108.014</v>
      </c>
      <c r="I126">
        <f>-H5579/G5579</f>
        <v/>
      </c>
    </row>
    <row r="127">
      <c r="A127" t="n">
        <v>1779</v>
      </c>
      <c r="B127" s="16" t="n">
        <v>44351</v>
      </c>
      <c r="C127" t="inlineStr">
        <is>
          <t>VTA</t>
        </is>
      </c>
      <c r="D127" t="n">
        <v>41</v>
      </c>
      <c r="E127">
        <f>IF(D5590&gt;0,VLOOKUP(OPERAC[[#This Row],[COD CART]],[1]!MatrizCortoLargoCyl[#All],3,0),"")</f>
        <v/>
      </c>
      <c r="F127" t="inlineStr">
        <is>
          <t>SPY</t>
        </is>
      </c>
      <c r="G127" t="n">
        <v>5</v>
      </c>
      <c r="H127" t="n">
        <v>-2125.511199999999</v>
      </c>
      <c r="I127">
        <f>-H5590/G5590</f>
        <v/>
      </c>
      <c r="J127" s="16" t="n">
        <v>44718</v>
      </c>
      <c r="K127" t="n">
        <v>3</v>
      </c>
      <c r="L127" t="n">
        <v>1237.63</v>
      </c>
    </row>
    <row r="128">
      <c r="A128" t="n">
        <v>1779</v>
      </c>
      <c r="B128" s="16" t="n">
        <v>44351</v>
      </c>
      <c r="C128" t="inlineStr">
        <is>
          <t>VTA</t>
        </is>
      </c>
      <c r="D128" t="n">
        <v>41</v>
      </c>
      <c r="E128">
        <f>IF(D5610&gt;0,VLOOKUP(OPERAC[[#This Row],[COD CART]],[1]!MatrizCortoLargoCyl[#All],3,0),"")</f>
        <v/>
      </c>
      <c r="F128" t="inlineStr">
        <is>
          <t>MOAT</t>
        </is>
      </c>
      <c r="G128" t="n">
        <v>30</v>
      </c>
      <c r="H128" t="n">
        <v>-2233.55872</v>
      </c>
      <c r="I128">
        <f>-H5610/G5610</f>
        <v/>
      </c>
      <c r="J128" s="16" t="n">
        <v>44718</v>
      </c>
      <c r="K128" t="n">
        <v>15</v>
      </c>
      <c r="L128" t="n">
        <v>1035.572</v>
      </c>
    </row>
    <row r="129">
      <c r="A129" t="n">
        <v>1779</v>
      </c>
      <c r="B129" s="16" t="n">
        <v>44531</v>
      </c>
      <c r="C129" t="inlineStr">
        <is>
          <t>VTA</t>
        </is>
      </c>
      <c r="D129" t="n">
        <v>41</v>
      </c>
      <c r="E129">
        <f>IF(D2200&gt;0,VLOOKUP(OPERAC[[#This Row],[COD CART]],[1]!MatrizCortoLargoCyl[#All],3,0),"")</f>
        <v/>
      </c>
      <c r="F129" t="inlineStr">
        <is>
          <t>JEPI</t>
        </is>
      </c>
      <c r="G129" t="n">
        <v>6</v>
      </c>
      <c r="H129" t="n">
        <v>-367.69</v>
      </c>
      <c r="I129">
        <f>-H2200/G2200</f>
        <v/>
      </c>
      <c r="J129" s="16" t="n">
        <v>44629</v>
      </c>
      <c r="K129" t="n">
        <v>6</v>
      </c>
      <c r="L129" t="n">
        <v>349.394</v>
      </c>
    </row>
    <row r="130">
      <c r="A130" t="n">
        <v>1779</v>
      </c>
      <c r="B130" s="16" t="n">
        <v>44629</v>
      </c>
      <c r="C130" t="inlineStr">
        <is>
          <t>CPR</t>
        </is>
      </c>
      <c r="D130" t="n">
        <v>32</v>
      </c>
      <c r="E130">
        <f>IF(D3455&gt;0,VLOOKUP(OPERAC[[#This Row],[COD CART]],[1]!MatrizCortoLargoCyl[#All],3,0),"")</f>
        <v/>
      </c>
      <c r="F130" t="inlineStr">
        <is>
          <t>COTY/CYL/8,00/14-04-22</t>
        </is>
      </c>
      <c r="G130" t="n">
        <v>100</v>
      </c>
      <c r="H130" t="n">
        <v>-753.72</v>
      </c>
      <c r="I130">
        <f>-H3455/G3455</f>
        <v/>
      </c>
      <c r="J130" s="16" t="n">
        <v>44643</v>
      </c>
      <c r="K130" t="n">
        <v>100</v>
      </c>
      <c r="L130" t="n">
        <v>779.3200000000001</v>
      </c>
    </row>
    <row r="131">
      <c r="A131" t="n">
        <v>1779</v>
      </c>
      <c r="B131" s="16" t="n">
        <v>44652</v>
      </c>
      <c r="C131" t="inlineStr">
        <is>
          <t>CPR</t>
        </is>
      </c>
      <c r="D131" t="n">
        <v>32</v>
      </c>
      <c r="E131">
        <f>IF(D3529&gt;0,VLOOKUP(OPERAC[[#This Row],[COD CART]],[1]!MatrizCortoLargoCyl[#All],3,0),"")</f>
        <v/>
      </c>
      <c r="F131" t="inlineStr">
        <is>
          <t>COTY/CYL/8,00/24-06-22</t>
        </is>
      </c>
      <c r="G131" t="n">
        <v>100</v>
      </c>
      <c r="H131">
        <f>-771.136+3.966</f>
        <v/>
      </c>
      <c r="I131">
        <f>-H3529/G3529</f>
        <v/>
      </c>
    </row>
    <row r="132">
      <c r="A132" t="n">
        <v>1779</v>
      </c>
      <c r="B132" s="16" t="n">
        <v>44718</v>
      </c>
      <c r="C132" t="inlineStr">
        <is>
          <t>CPR</t>
        </is>
      </c>
      <c r="D132" t="n">
        <v>32</v>
      </c>
      <c r="E132">
        <f>IF(D3389&gt;0,VLOOKUP(OPERAC[[#This Row],[COD CART]],[1]!MatrizCortoLargoCyl[#All],3,0),"")</f>
        <v/>
      </c>
      <c r="F132" t="inlineStr">
        <is>
          <t>HMY</t>
        </is>
      </c>
      <c r="G132" t="n">
        <v>200</v>
      </c>
      <c r="H132" t="n">
        <v>-712</v>
      </c>
      <c r="I132">
        <f>-H3389/G3389</f>
        <v/>
      </c>
    </row>
    <row r="133">
      <c r="A133" t="n">
        <v>1779</v>
      </c>
      <c r="B133" s="16" t="n">
        <v>44718</v>
      </c>
      <c r="C133" t="inlineStr">
        <is>
          <t>CPR</t>
        </is>
      </c>
      <c r="D133" t="n">
        <v>32</v>
      </c>
      <c r="E133">
        <f>IF(D4071&gt;0,VLOOKUP(OPERAC[[#This Row],[COD CART]],[1]!MatrizCortoLargoCyl[#All],3,0),"")</f>
        <v/>
      </c>
      <c r="F133" t="inlineStr">
        <is>
          <t>HIMX/CYL/9,50/17-06-22</t>
        </is>
      </c>
      <c r="G133" t="n">
        <v>100</v>
      </c>
      <c r="H133" t="n">
        <v>-931.54</v>
      </c>
      <c r="I133">
        <f>-H4071/G4071</f>
        <v/>
      </c>
    </row>
    <row r="134">
      <c r="A134" t="n">
        <v>1779</v>
      </c>
      <c r="B134" s="16" t="n">
        <v>44718</v>
      </c>
      <c r="C134" t="inlineStr">
        <is>
          <t>VTA</t>
        </is>
      </c>
      <c r="D134" t="n">
        <v>42</v>
      </c>
      <c r="E134">
        <f>IF(D3099&gt;0,VLOOKUP(OPERAC[[#This Row],[COD CART]],[1]!MatrizCortoLargoCyl[#All],3,0),"")</f>
        <v/>
      </c>
      <c r="F134" t="inlineStr">
        <is>
          <t>KWEB</t>
        </is>
      </c>
      <c r="G134" t="n">
        <v>20</v>
      </c>
      <c r="H134" t="n">
        <v>-621.668</v>
      </c>
      <c r="I134">
        <f>-H3099/G3099</f>
        <v/>
      </c>
    </row>
    <row r="135">
      <c r="A135" t="n">
        <v>1792</v>
      </c>
      <c r="B135" s="16" t="n">
        <v>44266</v>
      </c>
      <c r="C135" t="inlineStr">
        <is>
          <t>VTA</t>
        </is>
      </c>
      <c r="D135" t="n">
        <v>31</v>
      </c>
      <c r="E135">
        <f>IF(D1334&gt;0,VLOOKUP(OPERAC[[#This Row],[COD CART]],[1]!MatrizCortoLargoCyl[#All],3,0),"")</f>
        <v/>
      </c>
      <c r="F135" t="inlineStr">
        <is>
          <t>IPIX</t>
        </is>
      </c>
      <c r="G135" t="n">
        <v>300</v>
      </c>
      <c r="H135" t="n">
        <v>-105.6</v>
      </c>
      <c r="I135">
        <f>-H1334/G1334</f>
        <v/>
      </c>
    </row>
    <row r="136">
      <c r="A136" t="n">
        <v>1792</v>
      </c>
      <c r="B136" s="16" t="n">
        <v>44403</v>
      </c>
      <c r="C136" t="inlineStr">
        <is>
          <t>VTA</t>
        </is>
      </c>
      <c r="D136" t="n">
        <v>40</v>
      </c>
      <c r="E136">
        <f>IF(D2516&gt;0,VLOOKUP(OPERAC[[#This Row],[COD CART]],[1]!MatrizCortoLargoCyl[#All],3,0),"")</f>
        <v/>
      </c>
      <c r="F136" t="inlineStr">
        <is>
          <t>EDU</t>
        </is>
      </c>
      <c r="G136" t="n">
        <v>200</v>
      </c>
      <c r="H136">
        <f>-506.53216+44.2877</f>
        <v/>
      </c>
      <c r="I136">
        <f>-H2516/G2516</f>
        <v/>
      </c>
      <c r="J136" s="16" t="n">
        <v>44606</v>
      </c>
      <c r="K136" t="n">
        <v>200</v>
      </c>
      <c r="L136" t="n">
        <v>293.993</v>
      </c>
    </row>
    <row r="137">
      <c r="A137" t="n">
        <v>1792</v>
      </c>
      <c r="B137" s="16" t="n">
        <v>44424</v>
      </c>
      <c r="C137" t="inlineStr">
        <is>
          <t>VTA</t>
        </is>
      </c>
      <c r="D137" t="n">
        <v>39</v>
      </c>
      <c r="E137">
        <f>IF(D653&gt;0,VLOOKUP(OPERAC[[#This Row],[COD CART]],[1]!MatrizCortoLargoCyl[#All],3,0),"")</f>
        <v/>
      </c>
      <c r="F137" t="inlineStr">
        <is>
          <t>TLRY/V/11,00/21-01-22</t>
        </is>
      </c>
      <c r="G137" t="n">
        <v>-300</v>
      </c>
      <c r="H137" t="n">
        <v>503.8026</v>
      </c>
      <c r="I137">
        <f>-H653/G653</f>
        <v/>
      </c>
      <c r="J137" s="16" t="n">
        <v>44571</v>
      </c>
      <c r="K137" t="n">
        <v>-300</v>
      </c>
      <c r="L137" t="n">
        <v>-503.8</v>
      </c>
    </row>
    <row r="138">
      <c r="A138" t="n">
        <v>1792</v>
      </c>
      <c r="B138" s="16" t="n">
        <v>44463</v>
      </c>
      <c r="C138" t="inlineStr">
        <is>
          <t>CPR</t>
        </is>
      </c>
      <c r="D138" t="n">
        <v>32</v>
      </c>
      <c r="E138">
        <f>IF(D3308&gt;0,VLOOKUP(OPERAC[[#This Row],[COD CART]],[1]!MatrizCortoLargoCyl[#All],3,0),"")</f>
        <v/>
      </c>
      <c r="F138" t="inlineStr">
        <is>
          <t>INO/CYL/8,00/21-01-22</t>
        </is>
      </c>
      <c r="G138" t="n">
        <v>100</v>
      </c>
      <c r="H138">
        <f>-806.19+46.98+27.502+30.172+14.579</f>
        <v/>
      </c>
      <c r="I138">
        <f>-H3308/G3308</f>
        <v/>
      </c>
      <c r="J138" s="16" t="n">
        <v>44581</v>
      </c>
      <c r="K138" t="n">
        <v>100</v>
      </c>
      <c r="L138" t="n">
        <v>412.156</v>
      </c>
    </row>
    <row r="139">
      <c r="A139" t="n">
        <v>1792</v>
      </c>
      <c r="B139" s="16" t="n">
        <v>44489</v>
      </c>
      <c r="C139" t="inlineStr">
        <is>
          <t>VTA</t>
        </is>
      </c>
      <c r="D139" t="n">
        <v>43</v>
      </c>
      <c r="E139">
        <f>IF(D1894&gt;0,VLOOKUP(OPERAC[[#This Row],[COD CART]],[1]!MatrizCortoLargoCyl[#All],3,0),"")</f>
        <v/>
      </c>
      <c r="F139" t="inlineStr">
        <is>
          <t>SESN/CYL-PUT/1,00/19-01-24</t>
        </is>
      </c>
      <c r="G139" t="n">
        <v>1500</v>
      </c>
      <c r="H139">
        <f>-0.1885*OPERAC[[#This Row],[cantidad]]</f>
        <v/>
      </c>
      <c r="I139">
        <f>-H1894/G1894</f>
        <v/>
      </c>
    </row>
    <row r="140">
      <c r="A140" t="n">
        <v>1792</v>
      </c>
      <c r="B140" s="16" t="n">
        <v>44494</v>
      </c>
      <c r="C140" t="inlineStr">
        <is>
          <t>CPR</t>
        </is>
      </c>
      <c r="D140" t="n">
        <v>40</v>
      </c>
      <c r="E140">
        <f>IF(D1857&gt;0,VLOOKUP(OPERAC[[#This Row],[COD CART]],[1]!MatrizCortoLargoCyl[#All],3,0),"")</f>
        <v/>
      </c>
      <c r="F140" t="inlineStr">
        <is>
          <t>YPF</t>
        </is>
      </c>
      <c r="G140" t="n">
        <v>60</v>
      </c>
      <c r="H140" t="n">
        <v>-279.1632</v>
      </c>
      <c r="I140">
        <f>-H1857/G1857</f>
        <v/>
      </c>
      <c r="J140" s="16" t="n">
        <v>44606</v>
      </c>
      <c r="K140">
        <f>+OPERAC[[#This Row],[cantidad]]</f>
        <v/>
      </c>
      <c r="L140">
        <f>+OPERAC[[#This Row],[cantidad venta]]*4.161</f>
        <v/>
      </c>
    </row>
    <row r="141">
      <c r="A141" t="n">
        <v>1792</v>
      </c>
      <c r="B141" s="16" t="n">
        <v>44497</v>
      </c>
      <c r="C141" t="inlineStr">
        <is>
          <t>VTA</t>
        </is>
      </c>
      <c r="D141" t="n">
        <v>39</v>
      </c>
      <c r="E141">
        <f>IF(D745&gt;0,VLOOKUP(OPERAC[[#This Row],[COD CART]],[1]!MatrizCortoLargoCyl[#All],3,0),"")</f>
        <v/>
      </c>
      <c r="F141" t="inlineStr">
        <is>
          <t>YPF/V/5,00/21-01-22</t>
        </is>
      </c>
      <c r="G141" t="n">
        <v>-500</v>
      </c>
      <c r="H141" t="n">
        <v>373.03</v>
      </c>
      <c r="I141">
        <f>-H745/G745</f>
        <v/>
      </c>
      <c r="J141" s="16" t="n">
        <v>44579</v>
      </c>
      <c r="K141" t="n">
        <v>-500</v>
      </c>
      <c r="L141" t="n">
        <v>-371.377</v>
      </c>
    </row>
    <row r="142">
      <c r="A142" t="n">
        <v>1792</v>
      </c>
      <c r="B142" s="16" t="n">
        <v>44511</v>
      </c>
      <c r="C142" t="inlineStr">
        <is>
          <t>VTA</t>
        </is>
      </c>
      <c r="D142" t="n">
        <v>31</v>
      </c>
      <c r="E142">
        <f>IF(D1341&gt;0,VLOOKUP(OPERAC[[#This Row],[COD CART]],[1]!MatrizCortoLargoCyl[#All],3,0),"")</f>
        <v/>
      </c>
      <c r="F142" t="inlineStr">
        <is>
          <t>IPIX</t>
        </is>
      </c>
      <c r="G142" t="n">
        <v>1000</v>
      </c>
      <c r="H142" t="n">
        <v>-109.99</v>
      </c>
      <c r="I142">
        <f>-H1341/G1341</f>
        <v/>
      </c>
    </row>
    <row r="143">
      <c r="A143" t="n">
        <v>1792</v>
      </c>
      <c r="B143" s="16" t="n">
        <v>44523</v>
      </c>
      <c r="C143" t="inlineStr">
        <is>
          <t>VTA</t>
        </is>
      </c>
      <c r="D143" t="n">
        <v>40</v>
      </c>
      <c r="E143">
        <f>IF(D2141&gt;0,VLOOKUP(OPERAC[[#This Row],[COD CART]],[1]!MatrizCortoLargoCyl[#All],3,0),"")</f>
        <v/>
      </c>
      <c r="F143" t="inlineStr">
        <is>
          <t>EDU</t>
        </is>
      </c>
      <c r="G143" t="n">
        <v>200</v>
      </c>
      <c r="H143">
        <f>-355.898+0.026*OPERAC[[#This Row],[cantidad]]</f>
        <v/>
      </c>
      <c r="I143">
        <f>-H2141/G2141</f>
        <v/>
      </c>
      <c r="J143" s="16" t="n">
        <v>44627</v>
      </c>
      <c r="K143" t="n">
        <v>200</v>
      </c>
      <c r="L143" t="n">
        <v>237.05</v>
      </c>
    </row>
    <row r="144">
      <c r="A144" t="n">
        <v>1792</v>
      </c>
      <c r="B144" s="16" t="n">
        <v>44536</v>
      </c>
      <c r="C144" t="inlineStr">
        <is>
          <t>CPR</t>
        </is>
      </c>
      <c r="D144" t="n">
        <v>43</v>
      </c>
      <c r="E144">
        <f>IF(D4363&gt;0,VLOOKUP(OPERAC[[#This Row],[COD CART]],[1]!MatrizCortoLargoCyl[#All],3,0),"")</f>
        <v/>
      </c>
      <c r="F144" t="inlineStr">
        <is>
          <t>NNDM/CYL-PUT/2,50/19-01-24</t>
        </is>
      </c>
      <c r="G144" t="n">
        <v>1000</v>
      </c>
      <c r="H144">
        <f>-1.08*OPERAC[[#This Row],[cantidad]]</f>
        <v/>
      </c>
      <c r="I144">
        <f>-H4363/G4363</f>
        <v/>
      </c>
    </row>
    <row r="145">
      <c r="A145" t="n">
        <v>1792</v>
      </c>
      <c r="B145" s="16" t="n">
        <v>44536</v>
      </c>
      <c r="C145" t="inlineStr">
        <is>
          <t>VTA</t>
        </is>
      </c>
      <c r="D145" t="n">
        <v>40</v>
      </c>
      <c r="E145">
        <f>IF(D3186&gt;0,VLOOKUP(OPERAC[[#This Row],[COD CART]],[1]!MatrizCortoLargoCyl[#All],3,0),"")</f>
        <v/>
      </c>
      <c r="F145" t="inlineStr">
        <is>
          <t>UVXY</t>
        </is>
      </c>
      <c r="G145" t="n">
        <v>28</v>
      </c>
      <c r="H145" t="n">
        <v>-649.0097599999999</v>
      </c>
      <c r="I145">
        <f>-H3186/G3186</f>
        <v/>
      </c>
      <c r="J145" s="16" t="n">
        <v>44571</v>
      </c>
      <c r="K145">
        <f>+OPERAC[[#This Row],[cantidad]]</f>
        <v/>
      </c>
      <c r="L145">
        <f>+OPERAC[[#This Row],[cantidad venta]]*14.135</f>
        <v/>
      </c>
    </row>
    <row r="146">
      <c r="A146" t="n">
        <v>1792</v>
      </c>
      <c r="B146" s="16" t="n">
        <v>44539</v>
      </c>
      <c r="C146" t="inlineStr">
        <is>
          <t>CPR</t>
        </is>
      </c>
      <c r="D146" t="n">
        <v>40</v>
      </c>
      <c r="E146">
        <f>IF(D2785&gt;0,VLOOKUP(OPERAC[[#This Row],[COD CART]],[1]!MatrizCortoLargoCyl[#All],3,0),"")</f>
        <v/>
      </c>
      <c r="F146" t="inlineStr">
        <is>
          <t>ROKU</t>
        </is>
      </c>
      <c r="G146" t="n">
        <v>2</v>
      </c>
      <c r="H146" t="n">
        <v>-515.4407199999999</v>
      </c>
      <c r="I146">
        <f>-H2785/G2785</f>
        <v/>
      </c>
      <c r="J146" s="16" t="n">
        <v>44606</v>
      </c>
      <c r="K146">
        <f>+OPERAC[[#This Row],[cantidad]]</f>
        <v/>
      </c>
      <c r="L146">
        <f>+OPERAC[[#This Row],[cantidad venta]]*160.574</f>
        <v/>
      </c>
    </row>
    <row r="147">
      <c r="A147" t="n">
        <v>1792</v>
      </c>
      <c r="B147" s="16" t="n">
        <v>44557</v>
      </c>
      <c r="C147" t="inlineStr">
        <is>
          <t>CPR</t>
        </is>
      </c>
      <c r="D147" t="n">
        <v>40</v>
      </c>
      <c r="E147">
        <f>IF(D3544&gt;0,VLOOKUP(OPERAC[[#This Row],[COD CART]],[1]!MatrizCortoLargoCyl[#All],3,0),"")</f>
        <v/>
      </c>
      <c r="F147" t="inlineStr">
        <is>
          <t>TLRY</t>
        </is>
      </c>
      <c r="G147" t="n">
        <v>100</v>
      </c>
      <c r="H147" t="n">
        <v>-771.62</v>
      </c>
      <c r="I147">
        <f>-H3544/G3544</f>
        <v/>
      </c>
      <c r="J147" s="16" t="n">
        <v>44585</v>
      </c>
      <c r="K147">
        <f>+OPERAC[[#This Row],[cantidad]]</f>
        <v/>
      </c>
      <c r="L147">
        <f>+OPERAC[[#This Row],[cantidad venta]]*5.263</f>
        <v/>
      </c>
    </row>
    <row r="148">
      <c r="A148" t="n">
        <v>1792</v>
      </c>
      <c r="B148" s="16" t="n">
        <v>44558</v>
      </c>
      <c r="C148" t="inlineStr">
        <is>
          <t>CPR</t>
        </is>
      </c>
      <c r="D148" t="n">
        <v>40</v>
      </c>
      <c r="E148">
        <f>IF(D3446&gt;0,VLOOKUP(OPERAC[[#This Row],[COD CART]],[1]!MatrizCortoLargoCyl[#All],3,0),"")</f>
        <v/>
      </c>
      <c r="F148" t="inlineStr">
        <is>
          <t>UPST</t>
        </is>
      </c>
      <c r="G148" t="n">
        <v>5</v>
      </c>
      <c r="H148" t="n">
        <v>-753.001</v>
      </c>
      <c r="I148">
        <f>-H3446/G3446</f>
        <v/>
      </c>
      <c r="J148" s="16" t="n">
        <v>44606</v>
      </c>
      <c r="K148">
        <f>+OPERAC[[#This Row],[cantidad]]</f>
        <v/>
      </c>
      <c r="L148">
        <f>+OPERAC[[#This Row],[cantidad venta]]*98.994+164.15</f>
        <v/>
      </c>
    </row>
    <row r="149">
      <c r="A149" t="n">
        <v>1792</v>
      </c>
      <c r="B149" s="16" t="n">
        <v>44571</v>
      </c>
      <c r="C149" t="inlineStr">
        <is>
          <t>VTA</t>
        </is>
      </c>
      <c r="D149" t="n">
        <v>39</v>
      </c>
      <c r="E149">
        <f>IF(D504&gt;0,VLOOKUP(OPERAC[[#This Row],[COD CART]],[1]!MatrizCortoLargoCyl[#All],3,0),"")</f>
        <v/>
      </c>
      <c r="F149" t="inlineStr">
        <is>
          <t>MELI/V/850,00/14-01-22</t>
        </is>
      </c>
      <c r="G149" t="n">
        <v>-200</v>
      </c>
      <c r="H149" t="n">
        <v>892.8</v>
      </c>
      <c r="I149">
        <f>-H504/G504</f>
        <v/>
      </c>
      <c r="J149" s="16" t="n">
        <v>44572</v>
      </c>
      <c r="K149" t="n">
        <v>-200</v>
      </c>
      <c r="L149" t="n">
        <v>-100.704</v>
      </c>
    </row>
    <row r="150">
      <c r="A150" t="n">
        <v>1792</v>
      </c>
      <c r="B150" s="16" t="n">
        <v>44579</v>
      </c>
      <c r="C150" t="inlineStr">
        <is>
          <t>VTA</t>
        </is>
      </c>
      <c r="D150" t="n">
        <v>39</v>
      </c>
      <c r="E150">
        <f>IF(D1243&gt;0,VLOOKUP(OPERAC[[#This Row],[COD CART]],[1]!MatrizCortoLargoCyl[#All],3,0),"")</f>
        <v/>
      </c>
      <c r="F150" t="inlineStr">
        <is>
          <t>YPF/V/5,00/15-07-22</t>
        </is>
      </c>
      <c r="G150" t="n">
        <v>-3</v>
      </c>
      <c r="H150" t="n">
        <v>3.2547</v>
      </c>
      <c r="I150">
        <f>-H1243/G1243</f>
        <v/>
      </c>
    </row>
    <row r="151">
      <c r="A151" t="n">
        <v>1792</v>
      </c>
      <c r="B151" s="16" t="n">
        <v>44581</v>
      </c>
      <c r="C151" t="inlineStr">
        <is>
          <t>VTA</t>
        </is>
      </c>
      <c r="D151" t="n">
        <v>39</v>
      </c>
      <c r="E151">
        <f>IF(D736&gt;0,VLOOKUP(OPERAC[[#This Row],[COD CART]],[1]!MatrizCortoLargoCyl[#All],3,0),"")</f>
        <v/>
      </c>
      <c r="F151" t="inlineStr">
        <is>
          <t>SMH/V/260,00/28-01-22</t>
        </is>
      </c>
      <c r="G151" t="n">
        <v>-400</v>
      </c>
      <c r="H151" t="n">
        <v>383.8</v>
      </c>
      <c r="I151">
        <f>-H736/G736</f>
        <v/>
      </c>
      <c r="J151" s="16" t="n">
        <v>44588</v>
      </c>
      <c r="K151">
        <f>+OPERAC[[#This Row],[cantidad]]</f>
        <v/>
      </c>
      <c r="L151">
        <f>-OPERAC[[#This Row],[importe]]</f>
        <v/>
      </c>
    </row>
    <row r="152">
      <c r="A152" t="n">
        <v>1792</v>
      </c>
      <c r="B152" s="16" t="n">
        <v>44582</v>
      </c>
      <c r="C152" t="inlineStr">
        <is>
          <t>CPR</t>
        </is>
      </c>
      <c r="D152" t="n">
        <v>40</v>
      </c>
      <c r="E152">
        <f>IF(D3602&gt;0,VLOOKUP(OPERAC[[#This Row],[COD CART]],[1]!MatrizCortoLargoCyl[#All],3,0),"")</f>
        <v/>
      </c>
      <c r="F152" t="inlineStr">
        <is>
          <t>NFLX</t>
        </is>
      </c>
      <c r="G152" t="n">
        <v>2</v>
      </c>
      <c r="H152" t="n">
        <v>-781.2742000000001</v>
      </c>
      <c r="I152">
        <f>-H3602/G3602</f>
        <v/>
      </c>
      <c r="J152" s="16" t="n">
        <v>44593</v>
      </c>
      <c r="K152">
        <f>+OPERAC[[#This Row],[cantidad]]</f>
        <v/>
      </c>
      <c r="L152">
        <f>+OPERAC[[#This Row],[cantidad venta]]*448.602</f>
        <v/>
      </c>
    </row>
    <row r="153">
      <c r="A153" t="n">
        <v>1792</v>
      </c>
      <c r="B153" s="16" t="n">
        <v>44585</v>
      </c>
      <c r="C153" t="inlineStr">
        <is>
          <t>VTA</t>
        </is>
      </c>
      <c r="D153" t="n">
        <v>39</v>
      </c>
      <c r="E153">
        <f>IF(D845&gt;0,VLOOKUP(OPERAC[[#This Row],[COD CART]],[1]!MatrizCortoLargoCyl[#All],3,0),"")</f>
        <v/>
      </c>
      <c r="F153" t="inlineStr">
        <is>
          <t>TSLA/C/1200,00/28-01-22</t>
        </is>
      </c>
      <c r="G153" t="n">
        <v>-200</v>
      </c>
      <c r="H153" t="n">
        <v>201.84</v>
      </c>
      <c r="I153">
        <f>-H845/G845</f>
        <v/>
      </c>
      <c r="J153" s="16" t="n">
        <v>44589</v>
      </c>
      <c r="K153" t="n">
        <v>-200</v>
      </c>
      <c r="L153" t="n">
        <v>0</v>
      </c>
    </row>
    <row r="154">
      <c r="A154" t="n">
        <v>1792</v>
      </c>
      <c r="B154" s="16" t="n">
        <v>44587</v>
      </c>
      <c r="C154" t="inlineStr">
        <is>
          <t>VTA</t>
        </is>
      </c>
      <c r="D154" t="n">
        <v>40</v>
      </c>
      <c r="E154">
        <f>IF(D3045&gt;0,VLOOKUP(OPERAC[[#This Row],[COD CART]],[1]!MatrizCortoLargoCyl[#All],3,0),"")</f>
        <v/>
      </c>
      <c r="F154" t="inlineStr">
        <is>
          <t>MSFT</t>
        </is>
      </c>
      <c r="G154" t="n">
        <v>2</v>
      </c>
      <c r="H154" t="n">
        <v>-606.8225200000001</v>
      </c>
      <c r="I154">
        <f>-H3045/G3045</f>
        <v/>
      </c>
      <c r="J154" s="16" t="n">
        <v>44606</v>
      </c>
      <c r="K154">
        <f>+OPERAC[[#This Row],[cantidad]]</f>
        <v/>
      </c>
      <c r="L154">
        <f>+OPERAC[[#This Row],[cantidad venta]]*290.091</f>
        <v/>
      </c>
    </row>
    <row r="155">
      <c r="A155" t="n">
        <v>1792</v>
      </c>
      <c r="B155" s="16" t="n">
        <v>44588</v>
      </c>
      <c r="C155" t="inlineStr">
        <is>
          <t>VTA</t>
        </is>
      </c>
      <c r="D155" t="n">
        <v>39</v>
      </c>
      <c r="E155">
        <f>IF(D191&gt;0,VLOOKUP(OPERAC[[#This Row],[COD CART]],[1]!MatrizCortoLargoCyl[#All],3,0),"")</f>
        <v/>
      </c>
      <c r="F155" t="inlineStr">
        <is>
          <t>SMH/V/255,00/04-02-22</t>
        </is>
      </c>
      <c r="G155" t="n">
        <v>-300</v>
      </c>
      <c r="H155" t="n">
        <v>2200.0335</v>
      </c>
      <c r="I155">
        <f>-H191/G191</f>
        <v/>
      </c>
      <c r="J155" s="16" t="n">
        <v>44596</v>
      </c>
      <c r="K155" t="n">
        <v>-300</v>
      </c>
      <c r="L155" t="n">
        <v>-15.663</v>
      </c>
    </row>
    <row r="156">
      <c r="A156" t="n">
        <v>1792</v>
      </c>
      <c r="B156" s="16" t="n">
        <v>44599</v>
      </c>
      <c r="C156" t="inlineStr">
        <is>
          <t>VTA</t>
        </is>
      </c>
      <c r="D156" t="n">
        <v>40</v>
      </c>
      <c r="E156">
        <f>IF(D1695&gt;0,VLOOKUP(OPERAC[[#This Row],[COD CART]],[1]!MatrizCortoLargoCyl[#All],3,0),"")</f>
        <v/>
      </c>
      <c r="F156" t="inlineStr">
        <is>
          <t>FB</t>
        </is>
      </c>
      <c r="G156" t="n">
        <v>1</v>
      </c>
      <c r="H156" t="n">
        <v>-238.46</v>
      </c>
      <c r="I156">
        <f>-H1695/G1695</f>
        <v/>
      </c>
      <c r="J156" s="16" t="n">
        <v>44616</v>
      </c>
      <c r="K156">
        <f>+OPERAC[[#This Row],[cantidad]]</f>
        <v/>
      </c>
      <c r="L156">
        <f>200.299*OPERAC[[#This Row],[cantidad venta]]</f>
        <v/>
      </c>
    </row>
    <row r="157">
      <c r="A157" t="n">
        <v>1792</v>
      </c>
      <c r="B157" s="16" t="n">
        <v>44602</v>
      </c>
      <c r="C157" t="inlineStr">
        <is>
          <t>VTA</t>
        </is>
      </c>
      <c r="D157" t="n">
        <v>32</v>
      </c>
      <c r="E157">
        <f>IF(D3840&gt;0,VLOOKUP(OPERAC[[#This Row],[COD CART]],[1]!MatrizCortoLargoCyl[#All],3,0),"")</f>
        <v/>
      </c>
      <c r="F157" t="inlineStr">
        <is>
          <t>TEVA</t>
        </is>
      </c>
      <c r="G157" t="n">
        <v>100</v>
      </c>
      <c r="H157">
        <f>-8.59*OPERAC[[#This Row],[cantidad]]</f>
        <v/>
      </c>
      <c r="I157">
        <f>-H3840/G3840</f>
        <v/>
      </c>
      <c r="J157" s="16" t="n">
        <v>44643</v>
      </c>
      <c r="K157">
        <f>+OPERAC[[#This Row],[cantidad]]</f>
        <v/>
      </c>
      <c r="L157">
        <f>+OPERAC[[#This Row],[cantidad venta]]*8.051</f>
        <v/>
      </c>
    </row>
    <row r="158">
      <c r="A158" t="n">
        <v>1792</v>
      </c>
      <c r="B158" s="16" t="n">
        <v>44608</v>
      </c>
      <c r="C158" t="inlineStr">
        <is>
          <t>VTA</t>
        </is>
      </c>
      <c r="D158" t="n">
        <v>32</v>
      </c>
      <c r="E158">
        <f>IF(D5098&gt;0,VLOOKUP(OPERAC[[#This Row],[COD CART]],[1]!MatrizCortoLargoCyl[#All],3,0),"")</f>
        <v/>
      </c>
      <c r="F158" t="inlineStr">
        <is>
          <t>DDD/CYL/17,00/01-04-22</t>
        </is>
      </c>
      <c r="G158" t="n">
        <v>100</v>
      </c>
      <c r="H158">
        <f>-1629.4234+19.7+16.45</f>
        <v/>
      </c>
      <c r="I158">
        <f>-H5098/G5098</f>
        <v/>
      </c>
      <c r="J158" s="16" t="n">
        <v>44649</v>
      </c>
      <c r="K158" t="n">
        <v>100</v>
      </c>
      <c r="L158" t="n">
        <v>1661.98</v>
      </c>
    </row>
    <row r="159">
      <c r="A159" t="n">
        <v>1792</v>
      </c>
      <c r="B159" s="16" t="n">
        <v>44622</v>
      </c>
      <c r="C159" t="inlineStr">
        <is>
          <t>VTA</t>
        </is>
      </c>
      <c r="D159" t="n">
        <v>32</v>
      </c>
      <c r="E159">
        <f>IF(D2566&gt;0,VLOOKUP(OPERAC[[#This Row],[COD CART]],[1]!MatrizCortoLargoCyl[#All],3,0),"")</f>
        <v/>
      </c>
      <c r="F159" t="inlineStr">
        <is>
          <t>HMY/CYL/5,00/18-03-22</t>
        </is>
      </c>
      <c r="G159" t="n">
        <v>100</v>
      </c>
      <c r="H159" t="n">
        <v>-468.532</v>
      </c>
      <c r="I159">
        <f>-H2566/G2566</f>
        <v/>
      </c>
      <c r="J159" s="16" t="n">
        <v>44637</v>
      </c>
      <c r="K159">
        <f>+OPERAC[[#This Row],[cantidad]]</f>
        <v/>
      </c>
      <c r="L159">
        <f>4.85553*OPERAC[[#This Row],[cantidad venta]]</f>
        <v/>
      </c>
    </row>
    <row r="160">
      <c r="A160" t="n">
        <v>1792</v>
      </c>
      <c r="B160" s="16" t="n">
        <v>44641</v>
      </c>
      <c r="C160" t="inlineStr">
        <is>
          <t>VTA</t>
        </is>
      </c>
      <c r="D160" t="n">
        <v>42</v>
      </c>
      <c r="E160">
        <f>IF(D3151&gt;0,VLOOKUP(OPERAC[[#This Row],[COD CART]],[1]!MatrizCortoLargoCyl[#All],3,0),"")</f>
        <v/>
      </c>
      <c r="F160" t="inlineStr">
        <is>
          <t>FB</t>
        </is>
      </c>
      <c r="G160" t="n">
        <v>3</v>
      </c>
      <c r="H160" t="n">
        <v>-636.4691399999999</v>
      </c>
      <c r="I160">
        <f>-H3151/G3151</f>
        <v/>
      </c>
      <c r="J160" s="16" t="n">
        <v>44669</v>
      </c>
      <c r="K160">
        <f>1+2</f>
        <v/>
      </c>
      <c r="L160">
        <f>207.61+426.345</f>
        <v/>
      </c>
    </row>
    <row r="161">
      <c r="A161" t="n">
        <v>1792</v>
      </c>
      <c r="B161" s="16" t="n">
        <v>44642</v>
      </c>
      <c r="C161" t="inlineStr">
        <is>
          <t>CPR</t>
        </is>
      </c>
      <c r="D161" t="n">
        <v>42</v>
      </c>
      <c r="E161">
        <f>IF(D2644&gt;0,VLOOKUP(OPERAC[[#This Row],[COD CART]],[1]!MatrizCortoLargoCyl[#All],3,0),"")</f>
        <v/>
      </c>
      <c r="F161" t="inlineStr">
        <is>
          <t>HYDR</t>
        </is>
      </c>
      <c r="G161" t="n">
        <v>25</v>
      </c>
      <c r="H161">
        <f>-19.39*OPERAC[[#This Row],[cantidad]]</f>
        <v/>
      </c>
      <c r="I161">
        <f>-H2644/G2644</f>
        <v/>
      </c>
      <c r="J161" s="16" t="n">
        <v>44693</v>
      </c>
      <c r="K161" t="n">
        <v>25</v>
      </c>
      <c r="L161" t="n">
        <v>290.745</v>
      </c>
    </row>
    <row r="162">
      <c r="A162" t="n">
        <v>1792</v>
      </c>
      <c r="B162" s="16" t="n">
        <v>44643</v>
      </c>
      <c r="C162" t="inlineStr">
        <is>
          <t>CPR</t>
        </is>
      </c>
      <c r="D162" t="n">
        <v>32</v>
      </c>
      <c r="E162">
        <f>IF(D3276&gt;0,VLOOKUP(OPERAC[[#This Row],[COD CART]],[1]!MatrizCortoLargoCyl[#All],3,0),"")</f>
        <v/>
      </c>
      <c r="F162" t="inlineStr">
        <is>
          <t>CRESY</t>
        </is>
      </c>
      <c r="G162" t="n">
        <v>100</v>
      </c>
      <c r="H162" t="n">
        <v>-680.303</v>
      </c>
      <c r="I162">
        <f>-H3276/G3276</f>
        <v/>
      </c>
      <c r="J162" s="16" t="n">
        <v>44704</v>
      </c>
      <c r="K162" t="n">
        <v>100</v>
      </c>
      <c r="L162" t="n">
        <v>643.72</v>
      </c>
    </row>
    <row r="163">
      <c r="A163" t="n">
        <v>1792</v>
      </c>
      <c r="B163" s="16" t="n">
        <v>44649</v>
      </c>
      <c r="C163" t="inlineStr">
        <is>
          <t>CPR</t>
        </is>
      </c>
      <c r="D163" t="n">
        <v>32</v>
      </c>
      <c r="E163">
        <f>IF(D4927&gt;0,VLOOKUP(OPERAC[[#This Row],[COD CART]],[1]!MatrizCortoLargoCyl[#All],3,0),"")</f>
        <v/>
      </c>
      <c r="F163" t="inlineStr">
        <is>
          <t>DDD</t>
        </is>
      </c>
      <c r="G163" t="n">
        <v>100</v>
      </c>
      <c r="H163" t="n">
        <v>-1498.949</v>
      </c>
      <c r="I163">
        <f>-H4927/G4927</f>
        <v/>
      </c>
      <c r="J163" s="16" t="n">
        <v>44704</v>
      </c>
      <c r="K163" t="n">
        <v>100</v>
      </c>
      <c r="L163" t="n">
        <v>1001.6</v>
      </c>
    </row>
    <row r="164">
      <c r="A164" t="n">
        <v>1792</v>
      </c>
      <c r="B164" s="16" t="n">
        <v>44671</v>
      </c>
      <c r="C164" t="inlineStr">
        <is>
          <t>CPR</t>
        </is>
      </c>
      <c r="D164" t="n">
        <v>42</v>
      </c>
      <c r="E164">
        <f>IF(D2748&gt;0,VLOOKUP(OPERAC[[#This Row],[COD CART]],[1]!MatrizCortoLargoCyl[#All],3,0),"")</f>
        <v/>
      </c>
      <c r="F164" t="inlineStr">
        <is>
          <t>NFLX</t>
        </is>
      </c>
      <c r="G164" t="n">
        <v>2</v>
      </c>
      <c r="H164" t="n">
        <v>-509.01012</v>
      </c>
      <c r="I164">
        <f>-H2748/G2748</f>
        <v/>
      </c>
      <c r="J164" s="16" t="n">
        <v>44693</v>
      </c>
      <c r="K164">
        <f>+OPERAC[[#This Row],[cantidad]]</f>
        <v/>
      </c>
      <c r="L164">
        <f>+OPERAC[[#This Row],[cantidad venta]]*164.905</f>
        <v/>
      </c>
    </row>
    <row r="165">
      <c r="A165" t="n">
        <v>1792</v>
      </c>
      <c r="B165" s="16" t="n">
        <v>44707</v>
      </c>
      <c r="C165" t="inlineStr">
        <is>
          <t>CPR</t>
        </is>
      </c>
      <c r="D165" t="n">
        <v>32</v>
      </c>
      <c r="E165">
        <f>IF(D4008&gt;0,VLOOKUP(OPERAC[[#This Row],[COD CART]],[1]!MatrizCortoLargoCyl[#All],3,0),"")</f>
        <v/>
      </c>
      <c r="F165" t="inlineStr">
        <is>
          <t>PLBY/CYL/12,50/17-06-22</t>
        </is>
      </c>
      <c r="G165" t="n">
        <v>100</v>
      </c>
      <c r="H165" t="n">
        <v>-918.3099999999999</v>
      </c>
      <c r="I165">
        <f>-H4008/G4008</f>
        <v/>
      </c>
    </row>
    <row r="166">
      <c r="A166" t="n">
        <v>1792</v>
      </c>
      <c r="B166" s="16" t="n">
        <v>44707</v>
      </c>
      <c r="C166" t="inlineStr">
        <is>
          <t>VTA</t>
        </is>
      </c>
      <c r="D166" t="n">
        <v>32</v>
      </c>
      <c r="E166">
        <f>IF(D2508&gt;0,VLOOKUP(OPERAC[[#This Row],[COD CART]],[1]!MatrizCortoLargoCyl[#All],3,0),"")</f>
        <v/>
      </c>
      <c r="F166" t="inlineStr">
        <is>
          <t>TLRY/CYL/6,00/17-06-22</t>
        </is>
      </c>
      <c r="G166" t="n">
        <v>100</v>
      </c>
      <c r="H166" t="n">
        <v>-458.516</v>
      </c>
      <c r="I166">
        <f>-H2508/G2508</f>
        <v/>
      </c>
    </row>
    <row r="167">
      <c r="A167" t="n">
        <v>1792</v>
      </c>
      <c r="B167" s="16" t="n">
        <v>44707</v>
      </c>
      <c r="C167" t="inlineStr">
        <is>
          <t>VTA</t>
        </is>
      </c>
      <c r="D167" t="n">
        <v>32</v>
      </c>
      <c r="E167">
        <f>IF(D3150&gt;0,VLOOKUP(OPERAC[[#This Row],[COD CART]],[1]!MatrizCortoLargoCyl[#All],3,0),"")</f>
        <v/>
      </c>
      <c r="F167" t="inlineStr">
        <is>
          <t>UUUU/CYL/8,00/17-06-22</t>
        </is>
      </c>
      <c r="G167" t="n">
        <v>100</v>
      </c>
      <c r="H167" t="n">
        <v>-636.316</v>
      </c>
      <c r="I167">
        <f>-H3150/G3150</f>
        <v/>
      </c>
    </row>
    <row r="168">
      <c r="A168" t="n">
        <v>1800</v>
      </c>
      <c r="B168" s="16" t="n">
        <v>44439</v>
      </c>
      <c r="C168" t="inlineStr">
        <is>
          <t>VTA</t>
        </is>
      </c>
      <c r="D168" t="n">
        <v>39</v>
      </c>
      <c r="E168">
        <f>IF(D1228&gt;0,VLOOKUP(OPERAC[[#This Row],[COD CART]],[1]!MatrizCortoLargoCyl[#All],3,0),"")</f>
        <v/>
      </c>
      <c r="F168" t="inlineStr">
        <is>
          <t>INO/V/5,00/20-01-23</t>
        </is>
      </c>
      <c r="G168" t="n">
        <v>-5</v>
      </c>
      <c r="H168" t="n">
        <v>5.215</v>
      </c>
      <c r="I168">
        <f>-H1228/G1228</f>
        <v/>
      </c>
      <c r="J168" s="16" t="n">
        <v>44643</v>
      </c>
      <c r="K168" t="n">
        <v>-3</v>
      </c>
      <c r="L168" t="n">
        <v>-6.51</v>
      </c>
    </row>
    <row r="169">
      <c r="A169" t="n">
        <v>1800</v>
      </c>
      <c r="B169" s="16" t="n">
        <v>44447</v>
      </c>
      <c r="C169" t="inlineStr">
        <is>
          <t>VTA</t>
        </is>
      </c>
      <c r="D169" t="n">
        <v>32</v>
      </c>
      <c r="E169">
        <f>IF(D3060&gt;0,VLOOKUP(OPERAC[[#This Row],[COD CART]],[1]!MatrizCortoLargoCyl[#All],3,0),"")</f>
        <v/>
      </c>
      <c r="F169" t="inlineStr">
        <is>
          <t>NNDM/CYL/7,50/21-01-22</t>
        </is>
      </c>
      <c r="G169" t="n">
        <v>100</v>
      </c>
      <c r="H169">
        <f>-630.87+10.784+7.956</f>
        <v/>
      </c>
      <c r="I169">
        <f>-H3060/G3060</f>
        <v/>
      </c>
      <c r="J169" s="16" t="n">
        <v>44572</v>
      </c>
      <c r="K169" t="n">
        <v>100</v>
      </c>
      <c r="L169" t="n">
        <v>385.13</v>
      </c>
    </row>
    <row r="170">
      <c r="A170" t="n">
        <v>1800</v>
      </c>
      <c r="B170" s="16" t="n">
        <v>44459</v>
      </c>
      <c r="C170" t="inlineStr">
        <is>
          <t>CPR</t>
        </is>
      </c>
      <c r="D170" t="n">
        <v>43</v>
      </c>
      <c r="E170">
        <f>IF(D4134&gt;0,VLOOKUP(OPERAC[[#This Row],[COD CART]],[1]!MatrizCortoLargoCyl[#All],3,0),"")</f>
        <v/>
      </c>
      <c r="F170" t="inlineStr">
        <is>
          <t>SOLO/CYL-PUT/3,00/17-06-22</t>
        </is>
      </c>
      <c r="G170" t="n">
        <v>500</v>
      </c>
      <c r="H170">
        <f>-1153.28+0.137*OPERAC[[#This Row],[cantidad]]-521.116+72.4+568.39</f>
        <v/>
      </c>
      <c r="I170">
        <f>-H4134/G4134</f>
        <v/>
      </c>
      <c r="J170" s="16" t="n">
        <v>44719</v>
      </c>
      <c r="K170" t="n">
        <v>1000</v>
      </c>
      <c r="L170" t="n">
        <v>15.69</v>
      </c>
    </row>
    <row r="171">
      <c r="A171" t="n">
        <v>1800</v>
      </c>
      <c r="B171" s="16" t="n">
        <v>44459</v>
      </c>
      <c r="C171" t="inlineStr">
        <is>
          <t>CPR</t>
        </is>
      </c>
      <c r="D171" t="n">
        <v>43</v>
      </c>
      <c r="E171">
        <f>IF(D4284&gt;0,VLOOKUP(OPERAC[[#This Row],[COD CART]],[1]!MatrizCortoLargoCyl[#All],3,0),"")</f>
        <v/>
      </c>
      <c r="F171" t="inlineStr">
        <is>
          <t>INO/CYL-PUT/7,00/21-01-22</t>
        </is>
      </c>
      <c r="G171" t="n">
        <v>200</v>
      </c>
      <c r="H171" t="n">
        <v>-1030.91</v>
      </c>
      <c r="I171">
        <f>-H4284/G4284</f>
        <v/>
      </c>
      <c r="J171" s="16" t="n">
        <v>44581</v>
      </c>
      <c r="K171" t="n">
        <v>200</v>
      </c>
      <c r="L171" t="n">
        <v>251.59</v>
      </c>
    </row>
    <row r="172">
      <c r="A172" t="n">
        <v>1800</v>
      </c>
      <c r="B172" s="16" t="n">
        <v>44490</v>
      </c>
      <c r="C172" t="inlineStr">
        <is>
          <t>CPR</t>
        </is>
      </c>
      <c r="D172" t="n">
        <v>43</v>
      </c>
      <c r="E172">
        <f>IF(D1872&gt;0,VLOOKUP(OPERAC[[#This Row],[COD CART]],[1]!MatrizCortoLargoCyl[#All],3,0),"")</f>
        <v/>
      </c>
      <c r="F172" t="inlineStr">
        <is>
          <t>SESN/CYL-PUT/1,00/19-01-24</t>
        </is>
      </c>
      <c r="G172" t="n">
        <v>1000</v>
      </c>
      <c r="H172">
        <f>-0.28*OPERAC[[#This Row],[cantidad]]</f>
        <v/>
      </c>
      <c r="I172">
        <f>-H1872/G1872</f>
        <v/>
      </c>
    </row>
    <row r="173">
      <c r="A173" t="n">
        <v>1800</v>
      </c>
      <c r="B173" s="16" t="n">
        <v>44511</v>
      </c>
      <c r="C173" t="inlineStr">
        <is>
          <t>VTA</t>
        </is>
      </c>
      <c r="D173" t="n">
        <v>31</v>
      </c>
      <c r="E173">
        <f>IF(D1342&gt;0,VLOOKUP(OPERAC[[#This Row],[COD CART]],[1]!MatrizCortoLargoCyl[#All],3,0),"")</f>
        <v/>
      </c>
      <c r="F173" t="inlineStr">
        <is>
          <t>IPIX</t>
        </is>
      </c>
      <c r="G173" t="n">
        <v>1000</v>
      </c>
      <c r="H173" t="n">
        <v>-109.99</v>
      </c>
      <c r="I173">
        <f>-H1342/G1342</f>
        <v/>
      </c>
    </row>
    <row r="174">
      <c r="A174" t="n">
        <v>1800</v>
      </c>
      <c r="B174" s="16" t="n">
        <v>44523</v>
      </c>
      <c r="C174" t="inlineStr">
        <is>
          <t>VTA</t>
        </is>
      </c>
      <c r="D174" t="n">
        <v>32</v>
      </c>
      <c r="E174">
        <f>IF(D2304&gt;0,VLOOKUP(OPERAC[[#This Row],[COD CART]],[1]!MatrizCortoLargoCyl[#All],3,0),"")</f>
        <v/>
      </c>
      <c r="F174" t="inlineStr">
        <is>
          <t>GMBL/CYL/5,00/18-03-22</t>
        </is>
      </c>
      <c r="G174" t="n">
        <v>100</v>
      </c>
      <c r="H174">
        <f>-411.931+9.067</f>
        <v/>
      </c>
      <c r="I174">
        <f>-H2304/G2304</f>
        <v/>
      </c>
      <c r="J174" s="16" t="n">
        <v>44622</v>
      </c>
      <c r="K174" t="n">
        <v>100</v>
      </c>
      <c r="L174" t="n">
        <v>81.496</v>
      </c>
    </row>
    <row r="175">
      <c r="A175" t="n">
        <v>1800</v>
      </c>
      <c r="B175" s="16" t="n">
        <v>44537</v>
      </c>
      <c r="C175" t="inlineStr">
        <is>
          <t>VTA</t>
        </is>
      </c>
      <c r="D175" t="n">
        <v>43</v>
      </c>
      <c r="E175">
        <f>IF(D1440&gt;0,VLOOKUP(OPERAC[[#This Row],[COD CART]],[1]!MatrizCortoLargoCyl[#All],3,0),"")</f>
        <v/>
      </c>
      <c r="F175" t="inlineStr">
        <is>
          <t>XSPA/CYL-PUT/1,50/20-01-23</t>
        </is>
      </c>
      <c r="G175" t="n">
        <v>300</v>
      </c>
      <c r="H175">
        <f>-0.52*OPERAC[[#This Row],[cantidad]]</f>
        <v/>
      </c>
      <c r="I175">
        <f>-H1440/G1440</f>
        <v/>
      </c>
    </row>
    <row r="176">
      <c r="A176" t="n">
        <v>1800</v>
      </c>
      <c r="B176" s="16" t="n">
        <v>44539</v>
      </c>
      <c r="C176" t="inlineStr">
        <is>
          <t>VTA</t>
        </is>
      </c>
      <c r="D176" t="n">
        <v>40</v>
      </c>
      <c r="E176">
        <f>IF(D1756&gt;0,VLOOKUP(OPERAC[[#This Row],[COD CART]],[1]!MatrizCortoLargoCyl[#All],3,0),"")</f>
        <v/>
      </c>
      <c r="F176" t="inlineStr">
        <is>
          <t>ROKU</t>
        </is>
      </c>
      <c r="G176" t="n">
        <v>1</v>
      </c>
      <c r="H176" t="n">
        <v>-257.72036</v>
      </c>
      <c r="I176">
        <f>-H1756/G1756</f>
        <v/>
      </c>
      <c r="J176" s="16" t="n">
        <v>44606</v>
      </c>
      <c r="K176">
        <f>+OPERAC[[#This Row],[cantidad]]</f>
        <v/>
      </c>
      <c r="L176">
        <f>+OPERAC[[#This Row],[cantidad venta]]*160.574</f>
        <v/>
      </c>
    </row>
    <row r="177">
      <c r="A177" t="n">
        <v>1800</v>
      </c>
      <c r="B177" s="16" t="n">
        <v>44558</v>
      </c>
      <c r="C177" t="inlineStr">
        <is>
          <t>VTA</t>
        </is>
      </c>
      <c r="D177" t="n">
        <v>40</v>
      </c>
      <c r="E177">
        <f>IF(D1422&gt;0,VLOOKUP(OPERAC[[#This Row],[COD CART]],[1]!MatrizCortoLargoCyl[#All],3,0),"")</f>
        <v/>
      </c>
      <c r="F177" t="inlineStr">
        <is>
          <t>UPST</t>
        </is>
      </c>
      <c r="G177" t="n">
        <v>1</v>
      </c>
      <c r="H177" t="n">
        <v>-150.6002</v>
      </c>
      <c r="I177">
        <f>-H1422/G1422</f>
        <v/>
      </c>
      <c r="J177" s="16" t="n">
        <v>44606</v>
      </c>
      <c r="K177">
        <f>+OPERAC[[#This Row],[cantidad]]</f>
        <v/>
      </c>
      <c r="L177">
        <f>+OPERAC[[#This Row],[cantidad venta]]*98.994</f>
        <v/>
      </c>
    </row>
    <row r="178">
      <c r="A178" t="n">
        <v>1800</v>
      </c>
      <c r="B178" s="16" t="n">
        <v>44581</v>
      </c>
      <c r="C178" t="inlineStr">
        <is>
          <t>VTA</t>
        </is>
      </c>
      <c r="D178" t="n">
        <v>39</v>
      </c>
      <c r="E178">
        <f>IF(D431&gt;0,VLOOKUP(OPERAC[[#This Row],[COD CART]],[1]!MatrizCortoLargoCyl[#All],3,0),"")</f>
        <v/>
      </c>
      <c r="F178" t="inlineStr">
        <is>
          <t>ROKU/V/170,00/28-01-22</t>
        </is>
      </c>
      <c r="G178" t="n">
        <v>-200</v>
      </c>
      <c r="H178" t="n">
        <v>1050.728</v>
      </c>
      <c r="I178">
        <f>-H431/G431</f>
        <v/>
      </c>
      <c r="J178" s="16" t="n">
        <v>44587</v>
      </c>
      <c r="K178">
        <f>+OPERAC[[#This Row],[cantidad]]</f>
        <v/>
      </c>
      <c r="L178">
        <f>-OPERAC[[#This Row],[importe]]</f>
        <v/>
      </c>
    </row>
    <row r="179">
      <c r="A179" t="n">
        <v>1800</v>
      </c>
      <c r="B179" s="16" t="n">
        <v>44581</v>
      </c>
      <c r="C179" t="inlineStr">
        <is>
          <t>VTA</t>
        </is>
      </c>
      <c r="D179" t="n">
        <v>32</v>
      </c>
      <c r="E179">
        <f>IF(D2267&gt;0,VLOOKUP(OPERAC[[#This Row],[COD CART]],[1]!MatrizCortoLargoCyl[#All],3,0),"")</f>
        <v/>
      </c>
      <c r="F179" t="inlineStr">
        <is>
          <t>HMY/CYL/4,00/18-02-22</t>
        </is>
      </c>
      <c r="G179" t="n">
        <v>100</v>
      </c>
      <c r="H179" t="n">
        <v>-387.467996</v>
      </c>
      <c r="I179">
        <f>-H2267/G2267</f>
        <v/>
      </c>
      <c r="J179" s="16" t="n">
        <v>44610</v>
      </c>
      <c r="K179">
        <f>+OPERAC[[#This Row],[cantidad]]</f>
        <v/>
      </c>
      <c r="L179">
        <f>+OPERAC[[#This Row],[cantidad venta]]*3.8323</f>
        <v/>
      </c>
    </row>
    <row r="180">
      <c r="A180" t="n">
        <v>1800</v>
      </c>
      <c r="B180" s="16" t="n">
        <v>44582</v>
      </c>
      <c r="C180" t="inlineStr">
        <is>
          <t>CPR</t>
        </is>
      </c>
      <c r="D180" t="n">
        <v>40</v>
      </c>
      <c r="E180">
        <f>IF(D3603&gt;0,VLOOKUP(OPERAC[[#This Row],[COD CART]],[1]!MatrizCortoLargoCyl[#All],3,0),"")</f>
        <v/>
      </c>
      <c r="F180" t="inlineStr">
        <is>
          <t>NFLX</t>
        </is>
      </c>
      <c r="G180" t="n">
        <v>2</v>
      </c>
      <c r="H180" t="n">
        <v>-781.2742000000001</v>
      </c>
      <c r="I180">
        <f>-H3603/G3603</f>
        <v/>
      </c>
      <c r="J180" s="16" t="n">
        <v>44593</v>
      </c>
      <c r="K180">
        <f>+OPERAC[[#This Row],[cantidad]]</f>
        <v/>
      </c>
      <c r="L180">
        <f>+OPERAC[[#This Row],[cantidad venta]]*448.602</f>
        <v/>
      </c>
    </row>
    <row r="181">
      <c r="A181" t="n">
        <v>1800</v>
      </c>
      <c r="B181" s="16" t="n">
        <v>44586</v>
      </c>
      <c r="C181" t="inlineStr">
        <is>
          <t>VTA</t>
        </is>
      </c>
      <c r="D181" t="n">
        <v>43</v>
      </c>
      <c r="E181">
        <f>IF(D2331&gt;0,VLOOKUP(OPERAC[[#This Row],[COD CART]],[1]!MatrizCortoLargoCyl[#All],3,0),"")</f>
        <v/>
      </c>
      <c r="F181" t="inlineStr">
        <is>
          <t>GMBL/CYL-PUT/2,50/20-01-23</t>
        </is>
      </c>
      <c r="G181" t="n">
        <v>400</v>
      </c>
      <c r="H181" t="n">
        <v>-406.4183000000002</v>
      </c>
      <c r="I181">
        <f>-H2331/G2331</f>
        <v/>
      </c>
      <c r="J181" s="16" t="n">
        <v>44622</v>
      </c>
      <c r="K181" t="n">
        <v>400</v>
      </c>
      <c r="L181" t="n">
        <v>-418.626</v>
      </c>
    </row>
    <row r="182">
      <c r="A182" t="n">
        <v>1800</v>
      </c>
      <c r="B182" s="16" t="n">
        <v>44587</v>
      </c>
      <c r="C182" t="inlineStr">
        <is>
          <t>VTA</t>
        </is>
      </c>
      <c r="D182" t="n">
        <v>39</v>
      </c>
      <c r="E182">
        <f>IF(D119&gt;0,VLOOKUP(OPERAC[[#This Row],[COD CART]],[1]!MatrizCortoLargoCyl[#All],3,0),"")</f>
        <v/>
      </c>
      <c r="F182" t="inlineStr">
        <is>
          <t>ROKU/V/155,00/04-02-22</t>
        </is>
      </c>
      <c r="G182" t="n">
        <v>-400</v>
      </c>
      <c r="H182" t="n">
        <v>3175.984</v>
      </c>
      <c r="I182">
        <f>-H119/G119</f>
        <v/>
      </c>
      <c r="J182" s="16" t="n">
        <v>44592</v>
      </c>
      <c r="K182">
        <f>+OPERAC[[#This Row],[cantidad]]</f>
        <v/>
      </c>
      <c r="L182" t="n">
        <v>-1432.926</v>
      </c>
    </row>
    <row r="183">
      <c r="A183" t="n">
        <v>1800</v>
      </c>
      <c r="B183" s="16" t="n">
        <v>44587</v>
      </c>
      <c r="C183" t="inlineStr">
        <is>
          <t>VTA</t>
        </is>
      </c>
      <c r="D183" t="n">
        <v>40</v>
      </c>
      <c r="E183">
        <f>IF(D1458&gt;0,VLOOKUP(OPERAC[[#This Row],[COD CART]],[1]!MatrizCortoLargoCyl[#All],3,0),"")</f>
        <v/>
      </c>
      <c r="F183" t="inlineStr">
        <is>
          <t>AAPL</t>
        </is>
      </c>
      <c r="G183" t="n">
        <v>1</v>
      </c>
      <c r="H183" t="n">
        <v>-164.05442</v>
      </c>
      <c r="I183">
        <f>-H1458/G1458</f>
        <v/>
      </c>
      <c r="J183" s="16" t="n">
        <v>44601</v>
      </c>
      <c r="K183" t="n">
        <v>1</v>
      </c>
      <c r="L183">
        <f>175.66*OPERAC[[#This Row],[cantidad venta]]</f>
        <v/>
      </c>
    </row>
    <row r="184">
      <c r="A184" t="n">
        <v>1800</v>
      </c>
      <c r="B184" s="16" t="n">
        <v>44592</v>
      </c>
      <c r="C184" t="inlineStr">
        <is>
          <t>VTA</t>
        </is>
      </c>
      <c r="D184" t="n">
        <v>39</v>
      </c>
      <c r="E184">
        <f>IF(D315&gt;0,VLOOKUP(OPERAC[[#This Row],[COD CART]],[1]!MatrizCortoLargoCyl[#All],3,0),"")</f>
        <v/>
      </c>
      <c r="F184" t="inlineStr">
        <is>
          <t>ROKU/V/150,00/11-02-22</t>
        </is>
      </c>
      <c r="G184" t="n">
        <v>-300</v>
      </c>
      <c r="H184" t="n">
        <v>1427.292</v>
      </c>
      <c r="I184">
        <f>-H315/G315</f>
        <v/>
      </c>
      <c r="J184" s="16" t="n">
        <v>44601</v>
      </c>
      <c r="K184">
        <f>+OPERAC[[#This Row],[cantidad]]</f>
        <v/>
      </c>
      <c r="L184">
        <f>0.67*OPERAC[[#This Row],[cantidad venta]]</f>
        <v/>
      </c>
    </row>
    <row r="185">
      <c r="A185" t="n">
        <v>1800</v>
      </c>
      <c r="B185" s="16" t="n">
        <v>44599</v>
      </c>
      <c r="C185" t="inlineStr">
        <is>
          <t>VTA</t>
        </is>
      </c>
      <c r="D185" t="n">
        <v>40</v>
      </c>
      <c r="E185">
        <f>IF(D1696&gt;0,VLOOKUP(OPERAC[[#This Row],[COD CART]],[1]!MatrizCortoLargoCyl[#All],3,0),"")</f>
        <v/>
      </c>
      <c r="F185" t="inlineStr">
        <is>
          <t>FB</t>
        </is>
      </c>
      <c r="G185" t="n">
        <v>1</v>
      </c>
      <c r="H185" t="n">
        <v>-238.46</v>
      </c>
      <c r="I185">
        <f>-H1696/G1696</f>
        <v/>
      </c>
      <c r="J185" s="16" t="n">
        <v>44616</v>
      </c>
      <c r="K185">
        <f>+OPERAC[[#This Row],[cantidad]]</f>
        <v/>
      </c>
      <c r="L185">
        <f>200.299*OPERAC[[#This Row],[cantidad venta]]</f>
        <v/>
      </c>
    </row>
    <row r="186">
      <c r="A186" t="n">
        <v>1800</v>
      </c>
      <c r="B186" s="16" t="n">
        <v>44608</v>
      </c>
      <c r="C186" t="inlineStr">
        <is>
          <t>VTA</t>
        </is>
      </c>
      <c r="D186" t="n">
        <v>40</v>
      </c>
      <c r="E186">
        <f>IF(D2834&gt;0,VLOOKUP(OPERAC[[#This Row],[COD CART]],[1]!MatrizCortoLargoCyl[#All],3,0),"")</f>
        <v/>
      </c>
      <c r="F186" t="inlineStr">
        <is>
          <t>NVDA</t>
        </is>
      </c>
      <c r="G186" t="n">
        <v>2</v>
      </c>
      <c r="H186" t="n">
        <v>-527.0279999999999</v>
      </c>
      <c r="I186">
        <f>-H2834/G2834</f>
        <v/>
      </c>
      <c r="J186" s="16" t="n">
        <v>44616</v>
      </c>
      <c r="K186">
        <f>+OPERAC[[#This Row],[cantidad]]</f>
        <v/>
      </c>
      <c r="L186">
        <f>+OPERAC[[#This Row],[cantidad venta]]*224.117</f>
        <v/>
      </c>
    </row>
    <row r="187">
      <c r="A187" t="n">
        <v>1800</v>
      </c>
      <c r="B187" s="16" t="n">
        <v>44616</v>
      </c>
      <c r="C187" t="inlineStr">
        <is>
          <t>CPR</t>
        </is>
      </c>
      <c r="D187" t="n">
        <v>32</v>
      </c>
      <c r="E187">
        <f>IF(D4306&gt;0,VLOOKUP(OPERAC[[#This Row],[COD CART]],[1]!MatrizCortoLargoCyl[#All],3,0),"")</f>
        <v/>
      </c>
      <c r="F187" t="inlineStr">
        <is>
          <t>PLTR/CYL/12,00/14-04-22</t>
        </is>
      </c>
      <c r="G187" t="n">
        <v>100</v>
      </c>
      <c r="H187" t="n">
        <v>-1052.7265</v>
      </c>
      <c r="I187">
        <f>-H4306/G4306</f>
        <v/>
      </c>
      <c r="J187" s="16" t="n">
        <v>44643</v>
      </c>
      <c r="K187" t="n">
        <v>100</v>
      </c>
      <c r="L187" t="n">
        <v>1146.72</v>
      </c>
    </row>
    <row r="188">
      <c r="A188" t="n">
        <v>1800</v>
      </c>
      <c r="B188" s="16" t="n">
        <v>44622</v>
      </c>
      <c r="C188" t="inlineStr">
        <is>
          <t>CPR</t>
        </is>
      </c>
      <c r="D188" t="n">
        <v>32</v>
      </c>
      <c r="E188">
        <f>IF(D4874&gt;0,VLOOKUP(OPERAC[[#This Row],[COD CART]],[1]!MatrizCortoLargoCyl[#All],3,0),"")</f>
        <v/>
      </c>
      <c r="F188" t="inlineStr">
        <is>
          <t>AMC/CYL/16,00/14-04-22</t>
        </is>
      </c>
      <c r="G188" t="n">
        <v>100</v>
      </c>
      <c r="H188" t="n">
        <v>-1460.8686</v>
      </c>
      <c r="I188">
        <f>-H4874/G4874</f>
        <v/>
      </c>
      <c r="J188" s="16" t="n">
        <v>44648</v>
      </c>
      <c r="K188">
        <f>+OPERAC[[#This Row],[cantidad]]</f>
        <v/>
      </c>
      <c r="L188" t="n">
        <v>1581.776</v>
      </c>
    </row>
    <row r="189">
      <c r="A189" t="n">
        <v>1800</v>
      </c>
      <c r="B189" s="16" t="n">
        <v>44622</v>
      </c>
      <c r="C189" t="inlineStr">
        <is>
          <t>VTA</t>
        </is>
      </c>
      <c r="D189" t="n">
        <v>39</v>
      </c>
      <c r="E189">
        <f>IF(D1114&gt;0,VLOOKUP(OPERAC[[#This Row],[COD CART]],[1]!MatrizCortoLargoCyl[#All],3,0),"")</f>
        <v/>
      </c>
      <c r="F189" t="inlineStr">
        <is>
          <t>TSLA/V/400,00/20-01-23</t>
        </is>
      </c>
      <c r="G189" t="n">
        <v>-1</v>
      </c>
      <c r="H189" t="n">
        <v>22.06</v>
      </c>
      <c r="I189">
        <f>-H1114/G1114</f>
        <v/>
      </c>
    </row>
    <row r="190">
      <c r="A190" t="n">
        <v>1800</v>
      </c>
      <c r="B190" s="16" t="n">
        <v>44628</v>
      </c>
      <c r="C190" t="inlineStr">
        <is>
          <t>CPR</t>
        </is>
      </c>
      <c r="D190" t="n">
        <v>32</v>
      </c>
      <c r="E190">
        <f>IF(D3396&gt;0,VLOOKUP(OPERAC[[#This Row],[COD CART]],[1]!MatrizCortoLargoCyl[#All],3,0),"")</f>
        <v/>
      </c>
      <c r="F190" t="inlineStr">
        <is>
          <t>COTY/CYL/8,00/14-04-22</t>
        </is>
      </c>
      <c r="G190" t="n">
        <v>100</v>
      </c>
      <c r="H190" t="n">
        <v>-718.0550999999999</v>
      </c>
      <c r="I190">
        <f>-H3396/G3396</f>
        <v/>
      </c>
      <c r="J190" s="16" t="n">
        <v>44643</v>
      </c>
      <c r="K190" t="n">
        <v>100</v>
      </c>
      <c r="L190" t="n">
        <v>779.3200000000001</v>
      </c>
    </row>
    <row r="191">
      <c r="A191" t="n">
        <v>1800</v>
      </c>
      <c r="B191" s="16" t="n">
        <v>44643</v>
      </c>
      <c r="C191" t="inlineStr">
        <is>
          <t>VTA</t>
        </is>
      </c>
      <c r="D191" t="n">
        <v>42</v>
      </c>
      <c r="E191">
        <f>IF(D2402&gt;0,VLOOKUP(OPERAC[[#This Row],[COD CART]],[1]!MatrizCortoLargoCyl[#All],3,0),"")</f>
        <v/>
      </c>
      <c r="F191" t="inlineStr">
        <is>
          <t>JPM</t>
        </is>
      </c>
      <c r="G191" t="n">
        <v>3</v>
      </c>
      <c r="H191" t="n">
        <v>-423.73992</v>
      </c>
      <c r="I191">
        <f>-H2402/G2402</f>
        <v/>
      </c>
      <c r="J191" s="16" t="n">
        <v>44664</v>
      </c>
      <c r="K191">
        <f>+OPERAC[[#This Row],[cantidad]]</f>
        <v/>
      </c>
      <c r="L191">
        <f>+OPERAC[[#This Row],[cantidad venta]]*125.943</f>
        <v/>
      </c>
    </row>
    <row r="192">
      <c r="A192" t="n">
        <v>1800</v>
      </c>
      <c r="B192" s="16" t="n">
        <v>44643</v>
      </c>
      <c r="C192" t="inlineStr">
        <is>
          <t>VTA</t>
        </is>
      </c>
      <c r="D192" t="n">
        <v>42</v>
      </c>
      <c r="E192">
        <f>IF(D2453&gt;0,VLOOKUP(OPERAC[[#This Row],[COD CART]],[1]!MatrizCortoLargoCyl[#All],3,0),"")</f>
        <v/>
      </c>
      <c r="F192" t="inlineStr">
        <is>
          <t>FB</t>
        </is>
      </c>
      <c r="G192" t="n">
        <v>2</v>
      </c>
      <c r="H192" t="n">
        <v>-432.24652</v>
      </c>
      <c r="I192">
        <f>-H2453/G2453</f>
        <v/>
      </c>
      <c r="J192" s="16" t="n">
        <v>44671</v>
      </c>
      <c r="K192">
        <f>+OPERAC[[#This Row],[cantidad]]</f>
        <v/>
      </c>
      <c r="L192">
        <f>+OPERAC[[#This Row],[cantidad venta]]*213.173</f>
        <v/>
      </c>
    </row>
    <row r="193">
      <c r="A193" t="n">
        <v>1800</v>
      </c>
      <c r="B193" s="16" t="n">
        <v>44643</v>
      </c>
      <c r="C193" t="inlineStr">
        <is>
          <t>VTA</t>
        </is>
      </c>
      <c r="D193" t="n">
        <v>42</v>
      </c>
      <c r="E193">
        <f>IF(D2854&gt;0,VLOOKUP(OPERAC[[#This Row],[COD CART]],[1]!MatrizCortoLargoCyl[#All],3,0),"")</f>
        <v/>
      </c>
      <c r="F193" t="inlineStr">
        <is>
          <t>SMH</t>
        </is>
      </c>
      <c r="G193" t="n">
        <v>2</v>
      </c>
      <c r="H193" t="n">
        <v>-534.325796</v>
      </c>
      <c r="I193">
        <f>-H2854/G2854</f>
        <v/>
      </c>
      <c r="J193" s="16" t="n">
        <v>44663</v>
      </c>
      <c r="K193">
        <f>+OPERAC[[#This Row],[cantidad]]</f>
        <v/>
      </c>
      <c r="L193">
        <f>+OPERAC[[#This Row],[cantidad venta]]*238.066</f>
        <v/>
      </c>
    </row>
    <row r="194">
      <c r="A194" t="n">
        <v>1800</v>
      </c>
      <c r="B194" s="16" t="n">
        <v>44648</v>
      </c>
      <c r="C194" t="inlineStr">
        <is>
          <t>VTA</t>
        </is>
      </c>
      <c r="D194" t="n">
        <v>42</v>
      </c>
      <c r="E194">
        <f>IF(D1396&gt;0,VLOOKUP(OPERAC[[#This Row],[COD CART]],[1]!MatrizCortoLargoCyl[#All],3,0),"")</f>
        <v/>
      </c>
      <c r="F194" t="inlineStr">
        <is>
          <t>JPM</t>
        </is>
      </c>
      <c r="G194" t="n">
        <v>1</v>
      </c>
      <c r="H194" t="n">
        <v>-140.13048</v>
      </c>
      <c r="I194">
        <f>-H1396/G1396</f>
        <v/>
      </c>
      <c r="J194" s="16" t="n">
        <v>44664</v>
      </c>
      <c r="K194">
        <f>+OPERAC[[#This Row],[cantidad]]</f>
        <v/>
      </c>
      <c r="L194">
        <f>+OPERAC[[#This Row],[cantidad venta]]*125.943</f>
        <v/>
      </c>
    </row>
    <row r="195">
      <c r="A195" t="n">
        <v>1800</v>
      </c>
      <c r="B195" s="16" t="n">
        <v>44648</v>
      </c>
      <c r="C195" t="inlineStr">
        <is>
          <t>VTA</t>
        </is>
      </c>
      <c r="D195" t="n">
        <v>42</v>
      </c>
      <c r="E195">
        <f>IF(D1642&gt;0,VLOOKUP(OPERAC[[#This Row],[COD CART]],[1]!MatrizCortoLargoCyl[#All],3,0),"")</f>
        <v/>
      </c>
      <c r="F195" t="inlineStr">
        <is>
          <t>FB</t>
        </is>
      </c>
      <c r="G195" t="n">
        <v>1</v>
      </c>
      <c r="H195" t="n">
        <v>-222.16543</v>
      </c>
      <c r="I195">
        <f>-H1642/G1642</f>
        <v/>
      </c>
      <c r="J195" s="16" t="n">
        <v>44671</v>
      </c>
      <c r="K195">
        <f>+OPERAC[[#This Row],[cantidad]]</f>
        <v/>
      </c>
      <c r="L195">
        <f>+OPERAC[[#This Row],[cantidad venta]]*213.173</f>
        <v/>
      </c>
    </row>
    <row r="196">
      <c r="A196" t="n">
        <v>1800</v>
      </c>
      <c r="B196" s="16" t="n">
        <v>44648</v>
      </c>
      <c r="C196" t="inlineStr">
        <is>
          <t>VTA</t>
        </is>
      </c>
      <c r="D196" t="n">
        <v>42</v>
      </c>
      <c r="E196">
        <f>IF(D1832&gt;0,VLOOKUP(OPERAC[[#This Row],[COD CART]],[1]!MatrizCortoLargoCyl[#All],3,0),"")</f>
        <v/>
      </c>
      <c r="F196" t="inlineStr">
        <is>
          <t>SMH</t>
        </is>
      </c>
      <c r="G196" t="n">
        <v>1</v>
      </c>
      <c r="H196" t="n">
        <v>-273.38696</v>
      </c>
      <c r="I196">
        <f>-H1832/G1832</f>
        <v/>
      </c>
      <c r="J196" s="16" t="n">
        <v>44663</v>
      </c>
      <c r="K196">
        <f>+OPERAC[[#This Row],[cantidad]]</f>
        <v/>
      </c>
      <c r="L196">
        <f>+OPERAC[[#This Row],[cantidad venta]]*238.066</f>
        <v/>
      </c>
    </row>
    <row r="197">
      <c r="A197" t="n">
        <v>1800</v>
      </c>
      <c r="B197" s="16" t="n">
        <v>44648</v>
      </c>
      <c r="C197" t="inlineStr">
        <is>
          <t>VTA</t>
        </is>
      </c>
      <c r="D197" t="n">
        <v>42</v>
      </c>
      <c r="E197">
        <f>IF(D2472&gt;0,VLOOKUP(OPERAC[[#This Row],[COD CART]],[1]!MatrizCortoLargoCyl[#All],3,0),"")</f>
        <v/>
      </c>
      <c r="F197" t="inlineStr">
        <is>
          <t>ADBE</t>
        </is>
      </c>
      <c r="G197" t="n">
        <v>1</v>
      </c>
      <c r="H197" t="n">
        <v>-441.41245</v>
      </c>
      <c r="I197">
        <f>-H2472/G2472</f>
        <v/>
      </c>
      <c r="J197" s="16" t="n">
        <v>44687</v>
      </c>
      <c r="K197">
        <f>+OPERAC[[#This Row],[cantidad]]</f>
        <v/>
      </c>
      <c r="L197" t="n">
        <v>386.42</v>
      </c>
    </row>
    <row r="198">
      <c r="A198" t="n">
        <v>1800</v>
      </c>
      <c r="B198" s="16" t="n">
        <v>44648</v>
      </c>
      <c r="C198" t="inlineStr">
        <is>
          <t>VTA</t>
        </is>
      </c>
      <c r="D198" t="n">
        <v>42</v>
      </c>
      <c r="E198">
        <f>IF(D2916&gt;0,VLOOKUP(OPERAC[[#This Row],[COD CART]],[1]!MatrizCortoLargoCyl[#All],3,0),"")</f>
        <v/>
      </c>
      <c r="F198" t="inlineStr">
        <is>
          <t>DIS</t>
        </is>
      </c>
      <c r="G198" t="n">
        <v>4</v>
      </c>
      <c r="H198" t="n">
        <v>-550.3664</v>
      </c>
      <c r="I198">
        <f>-H2916/G2916</f>
        <v/>
      </c>
      <c r="J198" s="16" t="n">
        <v>44671</v>
      </c>
      <c r="K198">
        <f>+OPERAC[[#This Row],[cantidad]]</f>
        <v/>
      </c>
      <c r="L198">
        <f>+OPERAC[[#This Row],[cantidad venta]]*123.621</f>
        <v/>
      </c>
    </row>
    <row r="199">
      <c r="A199" t="n">
        <v>1800</v>
      </c>
      <c r="B199" s="16" t="n">
        <v>44664</v>
      </c>
      <c r="C199" t="inlineStr">
        <is>
          <t>VTA</t>
        </is>
      </c>
      <c r="D199" t="n">
        <v>42</v>
      </c>
      <c r="E199">
        <f>IF(D1921&gt;0,VLOOKUP(OPERAC[[#This Row],[COD CART]],[1]!MatrizCortoLargoCyl[#All],3,0),"")</f>
        <v/>
      </c>
      <c r="F199" t="inlineStr">
        <is>
          <t>AMD</t>
        </is>
      </c>
      <c r="G199" t="n">
        <v>3</v>
      </c>
      <c r="H199" t="n">
        <v>-296.31196359</v>
      </c>
      <c r="I199">
        <f>-H1921/G1921</f>
        <v/>
      </c>
      <c r="J199" s="16" t="n">
        <v>44693</v>
      </c>
      <c r="K199" t="n">
        <v>3</v>
      </c>
      <c r="L199" t="n">
        <v>249.44</v>
      </c>
    </row>
    <row r="200">
      <c r="A200" t="n">
        <v>1800</v>
      </c>
      <c r="B200" s="16" t="n">
        <v>44664</v>
      </c>
      <c r="C200" t="inlineStr">
        <is>
          <t>VTA</t>
        </is>
      </c>
      <c r="D200" t="n">
        <v>42</v>
      </c>
      <c r="E200">
        <f>IF(D2004&gt;0,VLOOKUP(OPERAC[[#This Row],[COD CART]],[1]!MatrizCortoLargoCyl[#All],3,0),"")</f>
        <v/>
      </c>
      <c r="F200" t="inlineStr">
        <is>
          <t>PSQ</t>
        </is>
      </c>
      <c r="G200" t="n">
        <v>25</v>
      </c>
      <c r="H200" t="n">
        <v>-310.814304525</v>
      </c>
      <c r="I200">
        <f>-H2004/G2004</f>
        <v/>
      </c>
      <c r="J200" s="16" t="n">
        <v>44680</v>
      </c>
      <c r="K200">
        <f>+OPERAC[[#This Row],[cantidad]]</f>
        <v/>
      </c>
      <c r="L200">
        <f>12.848*OPERAC[[#This Row],[cantidad venta]]</f>
        <v/>
      </c>
    </row>
    <row r="201">
      <c r="A201" t="n">
        <v>1800</v>
      </c>
      <c r="B201" s="16" t="n">
        <v>44669</v>
      </c>
      <c r="C201" t="inlineStr">
        <is>
          <t>VTA</t>
        </is>
      </c>
      <c r="D201" t="n">
        <v>32</v>
      </c>
      <c r="E201">
        <f>IF(D2522&gt;0,VLOOKUP(OPERAC[[#This Row],[COD CART]],[1]!MatrizCortoLargoCyl[#All],3,0),"")</f>
        <v/>
      </c>
      <c r="F201" t="inlineStr">
        <is>
          <t>HMY</t>
        </is>
      </c>
      <c r="G201" t="n">
        <v>100</v>
      </c>
      <c r="H201">
        <f>-4.64*OPERAC[[#This Row],[cantidad]]</f>
        <v/>
      </c>
      <c r="I201">
        <f>-H2522/G2522</f>
        <v/>
      </c>
      <c r="J201" s="16" t="n">
        <v>44704</v>
      </c>
      <c r="K201" t="n">
        <v>100</v>
      </c>
      <c r="L201" t="n">
        <v>366.902</v>
      </c>
    </row>
    <row r="202">
      <c r="A202" t="n">
        <v>1800</v>
      </c>
      <c r="B202" s="16" t="n">
        <v>44671</v>
      </c>
      <c r="C202" t="inlineStr">
        <is>
          <t>CPR</t>
        </is>
      </c>
      <c r="D202" t="n">
        <v>42</v>
      </c>
      <c r="E202">
        <f>IF(D2676&gt;0,VLOOKUP(OPERAC[[#This Row],[COD CART]],[1]!MatrizCortoLargoCyl[#All],3,0),"")</f>
        <v/>
      </c>
      <c r="F202" t="inlineStr">
        <is>
          <t>TLT</t>
        </is>
      </c>
      <c r="G202" t="n">
        <v>4</v>
      </c>
      <c r="H202" t="n">
        <v>-490.25202</v>
      </c>
      <c r="I202">
        <f>-H2676/G2676</f>
        <v/>
      </c>
      <c r="J202" s="16" t="n">
        <v>44704</v>
      </c>
      <c r="K202" t="n">
        <v>4</v>
      </c>
      <c r="L202" t="n">
        <v>466.322</v>
      </c>
    </row>
    <row r="203">
      <c r="A203" t="n">
        <v>1800</v>
      </c>
      <c r="B203" s="16" t="n">
        <v>44671</v>
      </c>
      <c r="C203" t="inlineStr">
        <is>
          <t>CPR</t>
        </is>
      </c>
      <c r="D203" t="n">
        <v>42</v>
      </c>
      <c r="E203">
        <f>IF(D3489&gt;0,VLOOKUP(OPERAC[[#This Row],[COD CART]],[1]!MatrizCortoLargoCyl[#All],3,0),"")</f>
        <v/>
      </c>
      <c r="F203" t="inlineStr">
        <is>
          <t>NFLX</t>
        </is>
      </c>
      <c r="G203" t="n">
        <v>3</v>
      </c>
      <c r="H203" t="n">
        <v>-763.51518</v>
      </c>
      <c r="I203">
        <f>-H3489/G3489</f>
        <v/>
      </c>
      <c r="J203" s="16" t="n">
        <v>44693</v>
      </c>
      <c r="K203">
        <f>+OPERAC[[#This Row],[cantidad]]</f>
        <v/>
      </c>
      <c r="L203">
        <f>+OPERAC[[#This Row],[cantidad venta]]*164.905</f>
        <v/>
      </c>
    </row>
    <row r="204">
      <c r="A204" t="n">
        <v>1800</v>
      </c>
      <c r="B204" s="16" t="n">
        <v>44680</v>
      </c>
      <c r="C204" t="inlineStr">
        <is>
          <t>VTA</t>
        </is>
      </c>
      <c r="D204" t="n">
        <v>42</v>
      </c>
      <c r="E204">
        <f>IF(D2034&gt;0,VLOOKUP(OPERAC[[#This Row],[COD CART]],[1]!MatrizCortoLargoCyl[#All],3,0),"")</f>
        <v/>
      </c>
      <c r="F204" t="inlineStr">
        <is>
          <t>XLP</t>
        </is>
      </c>
      <c r="G204" t="n">
        <v>4</v>
      </c>
      <c r="H204" t="n">
        <v>-317.73801</v>
      </c>
      <c r="I204">
        <f>-H2034/G2034</f>
        <v/>
      </c>
      <c r="J204" s="16" t="n">
        <v>44693</v>
      </c>
      <c r="K204">
        <f>+OPERAC[[#This Row],[cantidad]]</f>
        <v/>
      </c>
      <c r="L204">
        <f>+OPERAC[[#This Row],[cantidad venta]]*75.624</f>
        <v/>
      </c>
    </row>
    <row r="205">
      <c r="A205" t="n">
        <v>1800</v>
      </c>
      <c r="B205" s="16" t="n">
        <v>44704</v>
      </c>
      <c r="C205" t="inlineStr">
        <is>
          <t>VTA</t>
        </is>
      </c>
      <c r="D205" t="n">
        <v>32</v>
      </c>
      <c r="E205">
        <f>IF(D5181&gt;0,VLOOKUP(OPERAC[[#This Row],[COD CART]],[1]!MatrizCortoLargoCyl[#All],3,0),"")</f>
        <v/>
      </c>
      <c r="F205" t="inlineStr">
        <is>
          <t>SPWR/CYL/20,00/24-06-22</t>
        </is>
      </c>
      <c r="G205" t="n">
        <v>100</v>
      </c>
      <c r="H205" t="n">
        <v>-1630.078</v>
      </c>
      <c r="I205">
        <f>-H5181/G5181</f>
        <v/>
      </c>
    </row>
    <row r="206">
      <c r="A206" t="n">
        <v>1800</v>
      </c>
      <c r="B206" s="16" t="n">
        <v>44705</v>
      </c>
      <c r="C206" t="inlineStr">
        <is>
          <t>VTA</t>
        </is>
      </c>
      <c r="D206" t="n">
        <v>42</v>
      </c>
      <c r="E206">
        <f>IF(D1492&gt;0,VLOOKUP(OPERAC[[#This Row],[COD CART]],[1]!MatrizCortoLargoCyl[#All],3,0),"")</f>
        <v/>
      </c>
      <c r="F206" t="inlineStr">
        <is>
          <t>AMD</t>
        </is>
      </c>
      <c r="G206" t="n">
        <v>2</v>
      </c>
      <c r="H206" t="n">
        <v>-185.00708</v>
      </c>
      <c r="I206">
        <f>-H1492/G1492</f>
        <v/>
      </c>
      <c r="J206" s="16" t="n">
        <v>44707</v>
      </c>
      <c r="K206">
        <f>+OPERAC[[#This Row],[cantidad]]</f>
        <v/>
      </c>
      <c r="L206">
        <f>+OPERAC[[#This Row],[cantidad venta]]*94.8</f>
        <v/>
      </c>
    </row>
    <row r="207">
      <c r="A207" t="n">
        <v>1800</v>
      </c>
      <c r="B207" s="16" t="n">
        <v>44707</v>
      </c>
      <c r="C207" t="inlineStr">
        <is>
          <t>CPR</t>
        </is>
      </c>
      <c r="D207" t="n">
        <v>42</v>
      </c>
      <c r="E207">
        <f>IF(D2653&gt;0,VLOOKUP(OPERAC[[#This Row],[COD CART]],[1]!MatrizCortoLargoCyl[#All],3,0),"")</f>
        <v/>
      </c>
      <c r="F207" t="inlineStr">
        <is>
          <t>PCT</t>
        </is>
      </c>
      <c r="G207" t="n">
        <v>50</v>
      </c>
      <c r="H207" t="n">
        <v>-486.5316635</v>
      </c>
      <c r="I207">
        <f>-H2653/G2653</f>
        <v/>
      </c>
    </row>
    <row r="208">
      <c r="A208" t="n">
        <v>1800</v>
      </c>
      <c r="B208" s="16" t="n">
        <v>44718</v>
      </c>
      <c r="C208" t="inlineStr">
        <is>
          <t>VTA</t>
        </is>
      </c>
      <c r="D208" t="n">
        <v>42</v>
      </c>
      <c r="E208">
        <f>IF(D2005&gt;0,VLOOKUP(OPERAC[[#This Row],[COD CART]],[1]!MatrizCortoLargoCyl[#All],3,0),"")</f>
        <v/>
      </c>
      <c r="F208" t="inlineStr">
        <is>
          <t>KWEB</t>
        </is>
      </c>
      <c r="G208" t="n">
        <v>10</v>
      </c>
      <c r="H208" t="n">
        <v>-310.83388</v>
      </c>
      <c r="I208">
        <f>-H2005/G2005</f>
        <v/>
      </c>
    </row>
    <row r="209">
      <c r="A209" t="n">
        <v>1800</v>
      </c>
      <c r="B209" s="16" t="n">
        <v>44719</v>
      </c>
      <c r="C209" t="inlineStr">
        <is>
          <t>VTA</t>
        </is>
      </c>
      <c r="D209" t="n">
        <v>39</v>
      </c>
      <c r="E209">
        <f>IF(D553&gt;0,VLOOKUP(OPERAC[[#This Row],[COD CART]],[1]!MatrizCortoLargoCyl[#All],3,0),"")</f>
        <v/>
      </c>
      <c r="F209" t="inlineStr">
        <is>
          <t>TSLA/C/800,00/10-06-22</t>
        </is>
      </c>
      <c r="G209" t="n">
        <v>-500</v>
      </c>
      <c r="H209" t="n">
        <v>772.2</v>
      </c>
      <c r="I209">
        <f>-H553/G553</f>
        <v/>
      </c>
      <c r="J209" s="16" t="n">
        <v>44722</v>
      </c>
      <c r="K209">
        <f>+OPERAC[[#This Row],[cantidad]]</f>
        <v/>
      </c>
      <c r="L209" t="n">
        <v>0</v>
      </c>
    </row>
    <row r="210">
      <c r="A210" t="n">
        <v>1800</v>
      </c>
      <c r="B210" s="16" t="n">
        <v>44719</v>
      </c>
      <c r="C210" t="inlineStr">
        <is>
          <t>VTA</t>
        </is>
      </c>
      <c r="D210" t="n">
        <v>39</v>
      </c>
      <c r="E210">
        <f>IF(D576&gt;0,VLOOKUP(OPERAC[[#This Row],[COD CART]],[1]!MatrizCortoLargoCyl[#All],3,0),"")</f>
        <v/>
      </c>
      <c r="F210" t="inlineStr">
        <is>
          <t>TSLA/P/615,00/10-06-22</t>
        </is>
      </c>
      <c r="G210" t="n">
        <v>-400</v>
      </c>
      <c r="H210" t="n">
        <v>667.062</v>
      </c>
      <c r="I210">
        <f>-H576/G576</f>
        <v/>
      </c>
      <c r="J210" s="16" t="n">
        <v>44719</v>
      </c>
      <c r="K210" t="n">
        <v>-400</v>
      </c>
      <c r="L210" t="n">
        <v>-432.2431</v>
      </c>
    </row>
    <row r="211">
      <c r="A211" t="n">
        <v>1800</v>
      </c>
      <c r="B211" s="16" t="n">
        <v>44719</v>
      </c>
      <c r="C211" t="inlineStr">
        <is>
          <t>VTA</t>
        </is>
      </c>
      <c r="D211" t="n">
        <v>39</v>
      </c>
      <c r="E211">
        <f>IF(D685&gt;0,VLOOKUP(OPERAC[[#This Row],[COD CART]],[1]!MatrizCortoLargoCyl[#All],3,0),"")</f>
        <v/>
      </c>
      <c r="F211" t="inlineStr">
        <is>
          <t>TSLA/V/625,00/10-06-22</t>
        </is>
      </c>
      <c r="G211" t="n">
        <v>-300</v>
      </c>
      <c r="H211" t="n">
        <v>431.3025</v>
      </c>
      <c r="I211">
        <f>-H685/G685</f>
        <v/>
      </c>
      <c r="J211" s="16" t="n">
        <v>44721</v>
      </c>
      <c r="K211" t="n">
        <v>-300</v>
      </c>
      <c r="L211" t="n">
        <v>-69.587</v>
      </c>
    </row>
    <row r="212">
      <c r="A212" t="n">
        <v>1800</v>
      </c>
      <c r="B212" s="16" t="n">
        <v>44720</v>
      </c>
      <c r="C212" t="inlineStr">
        <is>
          <t>CPR</t>
        </is>
      </c>
      <c r="D212" t="n">
        <v>42</v>
      </c>
      <c r="E212">
        <f>IF(D4962&gt;0,VLOOKUP(OPERAC[[#This Row],[COD CART]],[1]!MatrizCortoLargoCyl[#All],3,0),"")</f>
        <v/>
      </c>
      <c r="F212" t="inlineStr">
        <is>
          <t>HYDR</t>
        </is>
      </c>
      <c r="G212" t="n">
        <v>100</v>
      </c>
      <c r="H212" t="n">
        <v>-1512.75</v>
      </c>
      <c r="I212">
        <f>-H4962/G4962</f>
        <v/>
      </c>
    </row>
    <row r="213">
      <c r="A213" t="n">
        <v>1801</v>
      </c>
      <c r="B213" s="16" t="n">
        <v>44461</v>
      </c>
      <c r="C213" t="inlineStr">
        <is>
          <t>VTA</t>
        </is>
      </c>
      <c r="D213" t="n">
        <v>40</v>
      </c>
      <c r="E213">
        <f>IF(D1594&gt;0,VLOOKUP(OPERAC[[#This Row],[COD CART]],[1]!MatrizCortoLargoCyl[#All],3,0),"")</f>
        <v/>
      </c>
      <c r="F213" t="inlineStr">
        <is>
          <t>EDU</t>
        </is>
      </c>
      <c r="G213" t="n">
        <v>200</v>
      </c>
      <c r="H213">
        <f>-1.0864*OPERAC[[#This Row],[cantidad]]+0.04*OPERAC[[#This Row],[cantidad]]</f>
        <v/>
      </c>
      <c r="I213">
        <f>-H1594/G1594</f>
        <v/>
      </c>
      <c r="J213" s="16" t="n">
        <v>44641</v>
      </c>
      <c r="K213" t="n">
        <v>200</v>
      </c>
      <c r="L213" t="n">
        <v>243.994</v>
      </c>
    </row>
    <row r="214">
      <c r="A214" t="n">
        <v>1801</v>
      </c>
      <c r="B214" s="16" t="n">
        <v>44511</v>
      </c>
      <c r="C214" t="inlineStr">
        <is>
          <t>VTA</t>
        </is>
      </c>
      <c r="D214" t="n">
        <v>31</v>
      </c>
      <c r="E214">
        <f>IF(D1273&gt;0,VLOOKUP(OPERAC[[#This Row],[COD CART]],[1]!MatrizCortoLargoCyl[#All],3,0),"")</f>
        <v/>
      </c>
      <c r="F214" t="inlineStr">
        <is>
          <t>IPIX</t>
        </is>
      </c>
      <c r="G214" t="n">
        <v>500</v>
      </c>
      <c r="H214" t="n">
        <v>-54.995</v>
      </c>
      <c r="I214">
        <f>-H1273/G1273</f>
        <v/>
      </c>
    </row>
    <row r="215">
      <c r="A215" t="n">
        <v>1801</v>
      </c>
      <c r="B215" s="16" t="n">
        <v>44532</v>
      </c>
      <c r="C215" t="inlineStr">
        <is>
          <t>VTA</t>
        </is>
      </c>
      <c r="D215" t="n">
        <v>32</v>
      </c>
      <c r="E215">
        <f>IF(D3916&gt;0,VLOOKUP(OPERAC[[#This Row],[COD CART]],[1]!MatrizCortoLargoCyl[#All],3,0),"")</f>
        <v/>
      </c>
      <c r="F215" t="inlineStr">
        <is>
          <t>COTY/CYL/10,00/18-02-22</t>
        </is>
      </c>
      <c r="G215" t="n">
        <v>100</v>
      </c>
      <c r="H215">
        <f>-901.599+20.838</f>
        <v/>
      </c>
      <c r="I215">
        <f>-H3916/G3916</f>
        <v/>
      </c>
      <c r="J215" s="16" t="n">
        <v>44608</v>
      </c>
      <c r="K215">
        <f>+OPERAC[[#This Row],[cantidad]]</f>
        <v/>
      </c>
      <c r="L215" t="n">
        <v>941.701</v>
      </c>
    </row>
    <row r="216">
      <c r="A216" t="n">
        <v>1801</v>
      </c>
      <c r="B216" s="16" t="n">
        <v>44539</v>
      </c>
      <c r="C216" t="inlineStr">
        <is>
          <t>VTA</t>
        </is>
      </c>
      <c r="D216" t="n">
        <v>40</v>
      </c>
      <c r="E216">
        <f>IF(D1757&gt;0,VLOOKUP(OPERAC[[#This Row],[COD CART]],[1]!MatrizCortoLargoCyl[#All],3,0),"")</f>
        <v/>
      </c>
      <c r="F216" t="inlineStr">
        <is>
          <t>ROKU</t>
        </is>
      </c>
      <c r="G216" t="n">
        <v>1</v>
      </c>
      <c r="H216" t="n">
        <v>-257.72036</v>
      </c>
      <c r="I216">
        <f>-H1757/G1757</f>
        <v/>
      </c>
      <c r="J216" s="16" t="n">
        <v>44606</v>
      </c>
      <c r="K216">
        <f>+OPERAC[[#This Row],[cantidad]]</f>
        <v/>
      </c>
      <c r="L216">
        <f>+OPERAC[[#This Row],[cantidad venta]]*160.574</f>
        <v/>
      </c>
    </row>
    <row r="217">
      <c r="A217" t="n">
        <v>1801</v>
      </c>
      <c r="B217" s="16" t="n">
        <v>44543</v>
      </c>
      <c r="C217" t="inlineStr">
        <is>
          <t>VTA</t>
        </is>
      </c>
      <c r="D217" t="n">
        <v>40</v>
      </c>
      <c r="E217">
        <f>IF(D1368&gt;0,VLOOKUP(OPERAC[[#This Row],[COD CART]],[1]!MatrizCortoLargoCyl[#All],3,0),"")</f>
        <v/>
      </c>
      <c r="F217" t="inlineStr">
        <is>
          <t>VIST</t>
        </is>
      </c>
      <c r="G217" t="n">
        <v>20</v>
      </c>
      <c r="H217" t="n">
        <v>-111.988</v>
      </c>
      <c r="I217">
        <f>-H1368/G1368</f>
        <v/>
      </c>
      <c r="J217" s="16" t="n">
        <v>44574</v>
      </c>
      <c r="K217">
        <f>+OPERAC[[#This Row],[cantidad]]</f>
        <v/>
      </c>
      <c r="L217">
        <f>+OPERAC[[#This Row],[cantidad venta]]*6.125</f>
        <v/>
      </c>
    </row>
    <row r="218">
      <c r="A218" t="n">
        <v>1801</v>
      </c>
      <c r="B218" s="16" t="n">
        <v>44558</v>
      </c>
      <c r="C218" t="inlineStr">
        <is>
          <t>VTA</t>
        </is>
      </c>
      <c r="D218" t="n">
        <v>40</v>
      </c>
      <c r="E218">
        <f>IF(D1423&gt;0,VLOOKUP(OPERAC[[#This Row],[COD CART]],[1]!MatrizCortoLargoCyl[#All],3,0),"")</f>
        <v/>
      </c>
      <c r="F218" t="inlineStr">
        <is>
          <t>UPST</t>
        </is>
      </c>
      <c r="G218" t="n">
        <v>1</v>
      </c>
      <c r="H218" t="n">
        <v>-150.6002</v>
      </c>
      <c r="I218">
        <f>-H1423/G1423</f>
        <v/>
      </c>
      <c r="J218" s="16" t="n">
        <v>44606</v>
      </c>
      <c r="K218">
        <f>+OPERAC[[#This Row],[cantidad]]</f>
        <v/>
      </c>
      <c r="L218">
        <f>+OPERAC[[#This Row],[cantidad venta]]*98.994</f>
        <v/>
      </c>
    </row>
    <row r="219">
      <c r="A219" t="n">
        <v>1801</v>
      </c>
      <c r="B219" s="16" t="n">
        <v>44571</v>
      </c>
      <c r="C219" t="inlineStr">
        <is>
          <t>VTA</t>
        </is>
      </c>
      <c r="D219" t="n">
        <v>39</v>
      </c>
      <c r="E219">
        <f>IF(D670&gt;0,VLOOKUP(OPERAC[[#This Row],[COD CART]],[1]!MatrizCortoLargoCyl[#All],3,0),"")</f>
        <v/>
      </c>
      <c r="F219" t="inlineStr">
        <is>
          <t>MELI/V/850,00/14-01-22</t>
        </is>
      </c>
      <c r="G219" t="n">
        <v>-100</v>
      </c>
      <c r="H219" t="n">
        <v>446.4</v>
      </c>
      <c r="I219">
        <f>-H670/G670</f>
        <v/>
      </c>
      <c r="J219" s="16" t="n">
        <v>44572</v>
      </c>
      <c r="K219" t="n">
        <v>-100</v>
      </c>
      <c r="L219" t="n">
        <v>-50.392</v>
      </c>
    </row>
    <row r="220">
      <c r="A220" t="n">
        <v>1801</v>
      </c>
      <c r="B220" s="16" t="n">
        <v>44579</v>
      </c>
      <c r="C220" t="inlineStr">
        <is>
          <t>CPR</t>
        </is>
      </c>
      <c r="D220" t="n">
        <v>40</v>
      </c>
      <c r="E220">
        <f>IF(D2657&gt;0,VLOOKUP(OPERAC[[#This Row],[COD CART]],[1]!MatrizCortoLargoCyl[#All],3,0),"")</f>
        <v/>
      </c>
      <c r="F220" t="inlineStr">
        <is>
          <t>GBTC</t>
        </is>
      </c>
      <c r="G220" t="n">
        <v>17</v>
      </c>
      <c r="H220" t="n">
        <v>-486.634</v>
      </c>
      <c r="I220">
        <f>-H2657/G2657</f>
        <v/>
      </c>
      <c r="J220" s="16" t="n">
        <v>44641</v>
      </c>
      <c r="K220" t="n">
        <v>17</v>
      </c>
      <c r="L220" t="n">
        <v>467.651</v>
      </c>
    </row>
    <row r="221">
      <c r="A221" t="n">
        <v>1801</v>
      </c>
      <c r="B221" s="16" t="n">
        <v>44587</v>
      </c>
      <c r="C221" t="inlineStr">
        <is>
          <t>VTA</t>
        </is>
      </c>
      <c r="D221" t="n">
        <v>40</v>
      </c>
      <c r="E221">
        <f>IF(D1459&gt;0,VLOOKUP(OPERAC[[#This Row],[COD CART]],[1]!MatrizCortoLargoCyl[#All],3,0),"")</f>
        <v/>
      </c>
      <c r="F221" t="inlineStr">
        <is>
          <t>AAPL</t>
        </is>
      </c>
      <c r="G221" t="n">
        <v>1</v>
      </c>
      <c r="H221" t="n">
        <v>-164.05442</v>
      </c>
      <c r="I221">
        <f>-H1459/G1459</f>
        <v/>
      </c>
      <c r="J221" s="16" t="n">
        <v>44601</v>
      </c>
      <c r="K221" t="n">
        <v>1</v>
      </c>
      <c r="L221">
        <f>175.66*OPERAC[[#This Row],[cantidad venta]]</f>
        <v/>
      </c>
    </row>
    <row r="222">
      <c r="A222" t="n">
        <v>1801</v>
      </c>
      <c r="B222" s="16" t="n">
        <v>44594</v>
      </c>
      <c r="C222" t="inlineStr">
        <is>
          <t>VTA</t>
        </is>
      </c>
      <c r="D222" t="n">
        <v>40</v>
      </c>
      <c r="E222">
        <f>IF(D2323&gt;0,VLOOKUP(OPERAC[[#This Row],[COD CART]],[1]!MatrizCortoLargoCyl[#All],3,0),"")</f>
        <v/>
      </c>
      <c r="F222" t="inlineStr">
        <is>
          <t>EDU</t>
        </is>
      </c>
      <c r="G222" t="n">
        <v>200</v>
      </c>
      <c r="H222" t="n">
        <v>-403.2</v>
      </c>
      <c r="I222">
        <f>-H2323/G2323</f>
        <v/>
      </c>
      <c r="J222" s="16" t="n">
        <v>44606</v>
      </c>
      <c r="K222" t="n">
        <v>200</v>
      </c>
      <c r="L222" t="n">
        <v>294.589</v>
      </c>
    </row>
    <row r="223">
      <c r="A223" t="n">
        <v>1801</v>
      </c>
      <c r="B223" s="16" t="n">
        <v>44641</v>
      </c>
      <c r="C223" t="inlineStr">
        <is>
          <t>CPR</t>
        </is>
      </c>
      <c r="D223" t="n">
        <v>42</v>
      </c>
      <c r="E223">
        <f>IF(D1878&gt;0,VLOOKUP(OPERAC[[#This Row],[COD CART]],[1]!MatrizCortoLargoCyl[#All],3,0),"")</f>
        <v/>
      </c>
      <c r="F223" t="inlineStr">
        <is>
          <t>JPM</t>
        </is>
      </c>
      <c r="G223" t="n">
        <v>2</v>
      </c>
      <c r="H223" t="n">
        <v>-280.9086800000001</v>
      </c>
      <c r="I223">
        <f>-H1878/G1878</f>
        <v/>
      </c>
      <c r="J223" s="16" t="n">
        <v>44664</v>
      </c>
      <c r="K223">
        <f>+OPERAC[[#This Row],[cantidad]]</f>
        <v/>
      </c>
      <c r="L223">
        <f>+OPERAC[[#This Row],[cantidad venta]]*125.943</f>
        <v/>
      </c>
    </row>
    <row r="224">
      <c r="A224" t="n">
        <v>1801</v>
      </c>
      <c r="B224" s="16" t="n">
        <v>44641</v>
      </c>
      <c r="C224" t="inlineStr">
        <is>
          <t>VTA</t>
        </is>
      </c>
      <c r="D224" t="n">
        <v>42</v>
      </c>
      <c r="E224">
        <f>IF(D2406&gt;0,VLOOKUP(OPERAC[[#This Row],[COD CART]],[1]!MatrizCortoLargoCyl[#All],3,0),"")</f>
        <v/>
      </c>
      <c r="F224" t="inlineStr">
        <is>
          <t>FB</t>
        </is>
      </c>
      <c r="G224" t="n">
        <v>2</v>
      </c>
      <c r="H224" t="n">
        <v>-424.31276</v>
      </c>
      <c r="I224">
        <f>-H2406/G2406</f>
        <v/>
      </c>
      <c r="J224" s="16" t="n">
        <v>44671</v>
      </c>
      <c r="K224">
        <f>+OPERAC[[#This Row],[cantidad]]</f>
        <v/>
      </c>
      <c r="L224">
        <f>+OPERAC[[#This Row],[cantidad venta]]*213.173</f>
        <v/>
      </c>
    </row>
    <row r="225">
      <c r="A225" t="n">
        <v>1801</v>
      </c>
      <c r="B225" s="16" t="n">
        <v>44662</v>
      </c>
      <c r="C225" t="inlineStr">
        <is>
          <t>VTA</t>
        </is>
      </c>
      <c r="D225" t="n">
        <v>42</v>
      </c>
      <c r="E225">
        <f>IF(D1296&gt;0,VLOOKUP(OPERAC[[#This Row],[COD CART]],[1]!MatrizCortoLargoCyl[#All],3,0),"")</f>
        <v/>
      </c>
      <c r="F225" t="inlineStr">
        <is>
          <t>HYDR</t>
        </is>
      </c>
      <c r="G225" t="n">
        <v>5</v>
      </c>
      <c r="H225" t="n">
        <v>-92.85172000000001</v>
      </c>
      <c r="I225">
        <f>-H1296/G1296</f>
        <v/>
      </c>
      <c r="J225" s="16" t="n">
        <v>44704</v>
      </c>
      <c r="K225" t="n">
        <v>5</v>
      </c>
      <c r="L225" t="n">
        <v>67.17400000000001</v>
      </c>
    </row>
    <row r="226">
      <c r="A226" t="n">
        <v>1801</v>
      </c>
      <c r="B226" s="16" t="n">
        <v>44671</v>
      </c>
      <c r="C226" t="inlineStr">
        <is>
          <t>CPR</t>
        </is>
      </c>
      <c r="D226" t="n">
        <v>42</v>
      </c>
      <c r="E226">
        <f>IF(D2749&gt;0,VLOOKUP(OPERAC[[#This Row],[COD CART]],[1]!MatrizCortoLargoCyl[#All],3,0),"")</f>
        <v/>
      </c>
      <c r="F226" t="inlineStr">
        <is>
          <t>NFLX</t>
        </is>
      </c>
      <c r="G226" t="n">
        <v>2</v>
      </c>
      <c r="H226" t="n">
        <v>-509.01012</v>
      </c>
      <c r="I226">
        <f>-H2749/G2749</f>
        <v/>
      </c>
      <c r="J226" s="16" t="n">
        <v>44704</v>
      </c>
      <c r="K226" t="n">
        <v>2</v>
      </c>
      <c r="L226" t="n">
        <v>363.98</v>
      </c>
    </row>
    <row r="227">
      <c r="A227" t="n">
        <v>1801</v>
      </c>
      <c r="B227" s="16" t="n">
        <v>44707</v>
      </c>
      <c r="C227" t="inlineStr">
        <is>
          <t>CPR</t>
        </is>
      </c>
      <c r="D227" t="n">
        <v>42</v>
      </c>
      <c r="E227">
        <f>IF(D2654&gt;0,VLOOKUP(OPERAC[[#This Row],[COD CART]],[1]!MatrizCortoLargoCyl[#All],3,0),"")</f>
        <v/>
      </c>
      <c r="F227" t="inlineStr">
        <is>
          <t>PCT</t>
        </is>
      </c>
      <c r="G227" t="n">
        <v>50</v>
      </c>
      <c r="H227" t="n">
        <v>-486.5316635</v>
      </c>
      <c r="I227">
        <f>-H2654/G2654</f>
        <v/>
      </c>
    </row>
    <row r="228">
      <c r="A228" t="n">
        <v>1807</v>
      </c>
      <c r="B228" s="16" t="n">
        <v>44358</v>
      </c>
      <c r="C228" t="inlineStr">
        <is>
          <t>CPR</t>
        </is>
      </c>
      <c r="D228" t="n">
        <v>31</v>
      </c>
      <c r="E228">
        <f>IF(D3521&gt;0,VLOOKUP(OPERAC[[#This Row],[COD CART]],[1]!MatrizCortoLargoCyl[#All],3,0),"")</f>
        <v/>
      </c>
      <c r="F228" t="inlineStr">
        <is>
          <t>MPW</t>
        </is>
      </c>
      <c r="G228" t="n">
        <v>35</v>
      </c>
      <c r="H228" t="n">
        <v>-763.68304</v>
      </c>
      <c r="I228">
        <f>-H3521/G3521</f>
        <v/>
      </c>
    </row>
    <row r="229">
      <c r="A229" t="n">
        <v>1807</v>
      </c>
      <c r="B229" s="16" t="n">
        <v>44532</v>
      </c>
      <c r="C229" t="inlineStr">
        <is>
          <t>VTA</t>
        </is>
      </c>
      <c r="D229" t="n">
        <v>32</v>
      </c>
      <c r="E229">
        <f>IF(D3917&gt;0,VLOOKUP(OPERAC[[#This Row],[COD CART]],[1]!MatrizCortoLargoCyl[#All],3,0),"")</f>
        <v/>
      </c>
      <c r="F229" t="inlineStr">
        <is>
          <t>COTY/CYL/10,00/18-02-22</t>
        </is>
      </c>
      <c r="G229" t="n">
        <v>100</v>
      </c>
      <c r="H229">
        <f>-901.599+20.838</f>
        <v/>
      </c>
      <c r="I229">
        <f>-H3917/G3917</f>
        <v/>
      </c>
      <c r="J229" s="16" t="n">
        <v>44608</v>
      </c>
      <c r="K229">
        <f>+OPERAC[[#This Row],[cantidad]]</f>
        <v/>
      </c>
      <c r="L229" t="n">
        <v>941.701</v>
      </c>
    </row>
    <row r="230">
      <c r="A230" t="n">
        <v>1807</v>
      </c>
      <c r="B230" s="16" t="n">
        <v>44551</v>
      </c>
      <c r="C230" t="inlineStr">
        <is>
          <t>CPR</t>
        </is>
      </c>
      <c r="D230" t="n">
        <v>40</v>
      </c>
      <c r="E230">
        <f>IF(D3989&gt;0,VLOOKUP(OPERAC[[#This Row],[COD CART]],[1]!MatrizCortoLargoCyl[#All],3,0),"")</f>
        <v/>
      </c>
      <c r="F230" t="inlineStr">
        <is>
          <t>EDIT</t>
        </is>
      </c>
      <c r="G230" t="n">
        <v>30</v>
      </c>
      <c r="H230" t="n">
        <v>-912.7859999999999</v>
      </c>
      <c r="I230">
        <f>-H3989/G3989</f>
        <v/>
      </c>
      <c r="J230" s="16" t="n">
        <v>44585</v>
      </c>
      <c r="K230" t="n">
        <v>30</v>
      </c>
      <c r="L230" t="n">
        <v>514.4299999999999</v>
      </c>
    </row>
    <row r="231">
      <c r="A231" t="n">
        <v>1807</v>
      </c>
      <c r="B231" s="16" t="n">
        <v>44560</v>
      </c>
      <c r="C231" t="inlineStr">
        <is>
          <t>VTA</t>
        </is>
      </c>
      <c r="D231" t="n">
        <v>39</v>
      </c>
      <c r="E231">
        <f>IF(D786&gt;0,VLOOKUP(OPERAC[[#This Row],[COD CART]],[1]!MatrizCortoLargoCyl[#All],3,0),"")</f>
        <v/>
      </c>
      <c r="F231" t="inlineStr">
        <is>
          <t>ACB/V/6,00/07-01-22</t>
        </is>
      </c>
      <c r="G231" t="n">
        <v>-600</v>
      </c>
      <c r="H231" t="n">
        <v>287.529</v>
      </c>
      <c r="I231">
        <f>-H786/G786</f>
        <v/>
      </c>
      <c r="J231" s="16" t="n">
        <v>44567</v>
      </c>
      <c r="K231" t="n">
        <v>-600</v>
      </c>
      <c r="L231" t="n">
        <v>-287.53</v>
      </c>
    </row>
    <row r="232">
      <c r="A232" t="n">
        <v>1807</v>
      </c>
      <c r="B232" s="16" t="n">
        <v>44567</v>
      </c>
      <c r="C232" t="inlineStr">
        <is>
          <t>VTA</t>
        </is>
      </c>
      <c r="D232" t="n">
        <v>39</v>
      </c>
      <c r="E232">
        <f>IF(D741&gt;0,VLOOKUP(OPERAC[[#This Row],[COD CART]],[1]!MatrizCortoLargoCyl[#All],3,0),"")</f>
        <v/>
      </c>
      <c r="F232" t="inlineStr">
        <is>
          <t>ACB/V/6,00/14-01-22</t>
        </is>
      </c>
      <c r="G232" t="n">
        <v>-600</v>
      </c>
      <c r="H232" t="n">
        <v>381.6066</v>
      </c>
      <c r="I232">
        <f>-H741/G741</f>
        <v/>
      </c>
      <c r="J232" s="16" t="n">
        <v>44574</v>
      </c>
      <c r="K232">
        <f>+OPERAC[[#This Row],[cantidad]]</f>
        <v/>
      </c>
      <c r="L232" t="n">
        <v>-277.511</v>
      </c>
    </row>
    <row r="233">
      <c r="A233" t="n">
        <v>1807</v>
      </c>
      <c r="B233" s="16" t="n">
        <v>44574</v>
      </c>
      <c r="C233" t="inlineStr">
        <is>
          <t>VTA</t>
        </is>
      </c>
      <c r="D233" t="n">
        <v>39</v>
      </c>
      <c r="E233">
        <f>IF(D784&gt;0,VLOOKUP(OPERAC[[#This Row],[COD CART]],[1]!MatrizCortoLargoCyl[#All],3,0),"")</f>
        <v/>
      </c>
      <c r="F233" t="inlineStr">
        <is>
          <t>ACB/V/6,00/21-01-22</t>
        </is>
      </c>
      <c r="G233" t="n">
        <v>-600</v>
      </c>
      <c r="H233" t="n">
        <v>292.249</v>
      </c>
      <c r="I233">
        <f>-H784/G784</f>
        <v/>
      </c>
      <c r="J233" s="16" t="n">
        <v>44581</v>
      </c>
      <c r="K233">
        <f>+OPERAC[[#This Row],[cantidad]]</f>
        <v/>
      </c>
      <c r="L233">
        <f>-OPERAC[[#This Row],[importe]]</f>
        <v/>
      </c>
    </row>
    <row r="234">
      <c r="A234" t="n">
        <v>1807</v>
      </c>
      <c r="B234" s="16" t="n">
        <v>44581</v>
      </c>
      <c r="C234" t="inlineStr">
        <is>
          <t>CPR</t>
        </is>
      </c>
      <c r="D234" t="n">
        <v>32</v>
      </c>
      <c r="E234">
        <f>IF(D3561&gt;0,VLOOKUP(OPERAC[[#This Row],[COD CART]],[1]!MatrizCortoLargoCyl[#All],3,0),"")</f>
        <v/>
      </c>
      <c r="F234" t="inlineStr">
        <is>
          <t>HMY/CYL/4,00/18-02-22</t>
        </is>
      </c>
      <c r="G234" t="n">
        <v>200</v>
      </c>
      <c r="H234" t="n">
        <v>-774.9359920000001</v>
      </c>
      <c r="I234">
        <f>-H3561/G3561</f>
        <v/>
      </c>
      <c r="J234" s="16" t="n">
        <v>44610</v>
      </c>
      <c r="K234">
        <f>+OPERAC[[#This Row],[cantidad]]</f>
        <v/>
      </c>
      <c r="L234">
        <f>+OPERAC[[#This Row],[cantidad venta]]*3.8323</f>
        <v/>
      </c>
    </row>
    <row r="235">
      <c r="A235" t="n">
        <v>1807</v>
      </c>
      <c r="B235" s="16" t="n">
        <v>44581</v>
      </c>
      <c r="C235" t="inlineStr">
        <is>
          <t>VTA</t>
        </is>
      </c>
      <c r="D235" t="n">
        <v>39</v>
      </c>
      <c r="E235">
        <f>IF(D601&gt;0,VLOOKUP(OPERAC[[#This Row],[COD CART]],[1]!MatrizCortoLargoCyl[#All],3,0),"")</f>
        <v/>
      </c>
      <c r="F235" t="inlineStr">
        <is>
          <t>ACB/V/6,00/18-02-22</t>
        </is>
      </c>
      <c r="G235" t="n">
        <v>-500</v>
      </c>
      <c r="H235" t="n">
        <v>604.7575000000001</v>
      </c>
      <c r="I235">
        <f>-H601/G601</f>
        <v/>
      </c>
      <c r="J235" s="16" t="n">
        <v>44601</v>
      </c>
      <c r="K235" t="n">
        <v>-500</v>
      </c>
      <c r="L235">
        <f>1.21*OPERAC[[#This Row],[cantidad venta]]</f>
        <v/>
      </c>
    </row>
    <row r="236">
      <c r="A236" t="n">
        <v>1807</v>
      </c>
      <c r="B236" s="16" t="n">
        <v>44585</v>
      </c>
      <c r="C236" t="inlineStr">
        <is>
          <t>VTA</t>
        </is>
      </c>
      <c r="D236" t="n">
        <v>40</v>
      </c>
      <c r="E236">
        <f>IF(D1431&gt;0,VLOOKUP(OPERAC[[#This Row],[COD CART]],[1]!MatrizCortoLargoCyl[#All],3,0),"")</f>
        <v/>
      </c>
      <c r="F236" t="inlineStr">
        <is>
          <t>ROKU</t>
        </is>
      </c>
      <c r="G236" t="n">
        <v>1</v>
      </c>
      <c r="H236" t="n">
        <v>-152.099</v>
      </c>
      <c r="I236">
        <f>-H1431/G1431</f>
        <v/>
      </c>
      <c r="J236" s="16" t="n">
        <v>44606</v>
      </c>
      <c r="K236">
        <f>+OPERAC[[#This Row],[cantidad]]</f>
        <v/>
      </c>
      <c r="L236">
        <f>+OPERAC[[#This Row],[cantidad venta]]*160.574</f>
        <v/>
      </c>
    </row>
    <row r="237">
      <c r="A237" t="n">
        <v>1807</v>
      </c>
      <c r="B237" s="16" t="n">
        <v>44585</v>
      </c>
      <c r="C237" t="inlineStr">
        <is>
          <t>VTA</t>
        </is>
      </c>
      <c r="D237" t="n">
        <v>40</v>
      </c>
      <c r="E237">
        <f>IF(D2221&gt;0,VLOOKUP(OPERAC[[#This Row],[COD CART]],[1]!MatrizCortoLargoCyl[#All],3,0),"")</f>
        <v/>
      </c>
      <c r="F237" t="inlineStr">
        <is>
          <t>NFLX</t>
        </is>
      </c>
      <c r="G237" t="n">
        <v>1</v>
      </c>
      <c r="H237" t="n">
        <v>-373.97</v>
      </c>
      <c r="I237">
        <f>-H2221/G2221</f>
        <v/>
      </c>
      <c r="J237" s="16" t="n">
        <v>44593</v>
      </c>
      <c r="K237">
        <f>+OPERAC[[#This Row],[cantidad]]</f>
        <v/>
      </c>
      <c r="L237">
        <f>+OPERAC[[#This Row],[cantidad venta]]*448.602</f>
        <v/>
      </c>
    </row>
    <row r="238">
      <c r="A238" t="n">
        <v>1807</v>
      </c>
      <c r="B238" s="16" t="n">
        <v>44601</v>
      </c>
      <c r="C238" t="inlineStr">
        <is>
          <t>VTA</t>
        </is>
      </c>
      <c r="D238" t="n">
        <v>39</v>
      </c>
      <c r="E238">
        <f>IF(D523&gt;0,VLOOKUP(OPERAC[[#This Row],[COD CART]],[1]!MatrizCortoLargoCyl[#All],3,0),"")</f>
        <v/>
      </c>
      <c r="F238" t="inlineStr">
        <is>
          <t>TSLA/V/805/18-02-22</t>
        </is>
      </c>
      <c r="G238" t="n">
        <v>-300</v>
      </c>
      <c r="H238" t="n">
        <v>860</v>
      </c>
      <c r="I238">
        <f>-H523/G523</f>
        <v/>
      </c>
      <c r="J238" s="16" t="n">
        <v>44607</v>
      </c>
      <c r="K238" t="n">
        <v>-300</v>
      </c>
      <c r="L238" t="n">
        <v>-319.498</v>
      </c>
    </row>
    <row r="239">
      <c r="A239" t="n">
        <v>1807</v>
      </c>
      <c r="B239" s="16" t="n">
        <v>44607</v>
      </c>
      <c r="C239" t="inlineStr">
        <is>
          <t>VTA</t>
        </is>
      </c>
      <c r="D239" t="n">
        <v>39</v>
      </c>
      <c r="E239">
        <f>IF(D876&gt;0,VLOOKUP(OPERAC[[#This Row],[COD CART]],[1]!MatrizCortoLargoCyl[#All],3,0),"")</f>
        <v/>
      </c>
      <c r="F239" t="inlineStr">
        <is>
          <t>TSLA/V/830,00/18-02-22</t>
        </is>
      </c>
      <c r="G239" t="n">
        <v>-100</v>
      </c>
      <c r="H239" t="n">
        <v>192.74775</v>
      </c>
      <c r="I239">
        <f>-H876/G876</f>
        <v/>
      </c>
      <c r="J239" s="16" t="n">
        <v>44609</v>
      </c>
      <c r="K239" t="n">
        <v>-100</v>
      </c>
      <c r="L239" t="n">
        <v>-192.209</v>
      </c>
    </row>
    <row r="240">
      <c r="A240" t="n">
        <v>1807</v>
      </c>
      <c r="B240" s="16" t="n">
        <v>44607</v>
      </c>
      <c r="C240" t="inlineStr">
        <is>
          <t>VTA</t>
        </is>
      </c>
      <c r="D240" t="n">
        <v>32</v>
      </c>
      <c r="E240">
        <f>IF(D5080&gt;0,VLOOKUP(OPERAC[[#This Row],[COD CART]],[1]!MatrizCortoLargoCyl[#All],3,0),"")</f>
        <v/>
      </c>
      <c r="F240" t="inlineStr">
        <is>
          <t>DDD/CYL/17,00/01-04-22</t>
        </is>
      </c>
      <c r="G240" t="n">
        <v>100</v>
      </c>
      <c r="H240">
        <f>-1620.23+19.7+16.45</f>
        <v/>
      </c>
      <c r="I240">
        <f>-H5080/G5080</f>
        <v/>
      </c>
      <c r="J240" s="16" t="n">
        <v>44649</v>
      </c>
      <c r="K240" t="n">
        <v>100</v>
      </c>
      <c r="L240" t="n">
        <v>1661.98</v>
      </c>
    </row>
    <row r="241">
      <c r="A241" t="n">
        <v>1807</v>
      </c>
      <c r="B241" s="16" t="n">
        <v>44609</v>
      </c>
      <c r="C241" t="inlineStr">
        <is>
          <t>VTA</t>
        </is>
      </c>
      <c r="D241" t="n">
        <v>32</v>
      </c>
      <c r="E241">
        <f>IF(D3862&gt;0,VLOOKUP(OPERAC[[#This Row],[COD CART]],[1]!MatrizCortoLargoCyl[#All],3,0),"")</f>
        <v/>
      </c>
      <c r="F241" t="inlineStr">
        <is>
          <t>HIMX/CYL/9,00/18-03-22</t>
        </is>
      </c>
      <c r="G241" t="n">
        <v>100</v>
      </c>
      <c r="H241" t="n">
        <v>-869.5839999999999</v>
      </c>
      <c r="I241">
        <f>-H3862/G3862</f>
        <v/>
      </c>
      <c r="J241" s="16" t="n">
        <v>44622</v>
      </c>
      <c r="K241">
        <f>+OPERAC[[#This Row],[cantidad]]</f>
        <v/>
      </c>
      <c r="L241" t="n">
        <v>883.576</v>
      </c>
    </row>
    <row r="242">
      <c r="A242" t="n">
        <v>1807</v>
      </c>
      <c r="B242" s="16" t="n">
        <v>44616</v>
      </c>
      <c r="C242" t="inlineStr">
        <is>
          <t>VTA</t>
        </is>
      </c>
      <c r="D242" t="n">
        <v>32</v>
      </c>
      <c r="E242">
        <f>IF(D2255&gt;0,VLOOKUP(OPERAC[[#This Row],[COD CART]],[1]!MatrizCortoLargoCyl[#All],3,0),"")</f>
        <v/>
      </c>
      <c r="F242" t="inlineStr">
        <is>
          <t>HMY/CYL/4,00/18-03-22</t>
        </is>
      </c>
      <c r="G242" t="n">
        <v>100</v>
      </c>
      <c r="H242" t="n">
        <v>-383.705</v>
      </c>
      <c r="I242">
        <f>-H2255/G2255</f>
        <v/>
      </c>
      <c r="J242" s="16" t="n">
        <v>44622</v>
      </c>
      <c r="K242" t="n">
        <v>100</v>
      </c>
      <c r="L242" t="n">
        <v>393.95</v>
      </c>
    </row>
    <row r="243">
      <c r="A243" t="n">
        <v>1807</v>
      </c>
      <c r="B243" s="16" t="n">
        <v>44622</v>
      </c>
      <c r="C243" t="inlineStr">
        <is>
          <t>VTA</t>
        </is>
      </c>
      <c r="D243" t="n">
        <v>32</v>
      </c>
      <c r="E243">
        <f>IF(D2567&gt;0,VLOOKUP(OPERAC[[#This Row],[COD CART]],[1]!MatrizCortoLargoCyl[#All],3,0),"")</f>
        <v/>
      </c>
      <c r="F243" t="inlineStr">
        <is>
          <t>HMY/CYL/5,00/18-03-22</t>
        </is>
      </c>
      <c r="G243" t="n">
        <v>100</v>
      </c>
      <c r="H243" t="n">
        <v>-468.532</v>
      </c>
      <c r="I243">
        <f>-H2567/G2567</f>
        <v/>
      </c>
      <c r="J243" s="16" t="n">
        <v>44637</v>
      </c>
      <c r="K243">
        <f>+OPERAC[[#This Row],[cantidad]]</f>
        <v/>
      </c>
      <c r="L243">
        <f>4.85553*OPERAC[[#This Row],[cantidad venta]]</f>
        <v/>
      </c>
    </row>
    <row r="244">
      <c r="A244" t="n">
        <v>1807</v>
      </c>
      <c r="B244" s="16" t="n">
        <v>44623</v>
      </c>
      <c r="C244" t="inlineStr">
        <is>
          <t>VTA</t>
        </is>
      </c>
      <c r="D244" t="n">
        <v>39</v>
      </c>
      <c r="E244">
        <f>IF(D725&gt;0,VLOOKUP(OPERAC[[#This Row],[COD CART]],[1]!MatrizCortoLargoCyl[#All],3,0),"")</f>
        <v/>
      </c>
      <c r="F244" t="inlineStr">
        <is>
          <t>TSLA/C/970,00/04-03-22</t>
        </is>
      </c>
      <c r="G244" t="n">
        <v>-1000</v>
      </c>
      <c r="H244" t="n">
        <v>394.08</v>
      </c>
      <c r="I244">
        <f>-H725/G725</f>
        <v/>
      </c>
      <c r="J244" s="16" t="n">
        <v>44624</v>
      </c>
      <c r="K244" t="n">
        <v>-1000</v>
      </c>
      <c r="L244" t="n">
        <v>0</v>
      </c>
    </row>
    <row r="245">
      <c r="A245" t="n">
        <v>1807</v>
      </c>
      <c r="B245" s="16" t="n">
        <v>44628</v>
      </c>
      <c r="C245" t="inlineStr">
        <is>
          <t>CPR</t>
        </is>
      </c>
      <c r="D245" t="n">
        <v>42</v>
      </c>
      <c r="E245">
        <f>IF(D2729&gt;0,VLOOKUP(OPERAC[[#This Row],[COD CART]],[1]!MatrizCortoLargoCyl[#All],3,0),"")</f>
        <v/>
      </c>
      <c r="F245" t="inlineStr">
        <is>
          <t>COIN</t>
        </is>
      </c>
      <c r="G245" t="n">
        <v>3</v>
      </c>
      <c r="H245" t="n">
        <v>-506.764</v>
      </c>
      <c r="I245">
        <f>-H2729/G2729</f>
        <v/>
      </c>
      <c r="J245" s="16" t="n">
        <v>44642</v>
      </c>
      <c r="K245">
        <f>1+2</f>
        <v/>
      </c>
      <c r="L245">
        <f>179.544+395.8</f>
        <v/>
      </c>
    </row>
    <row r="246">
      <c r="A246" t="n">
        <v>1807</v>
      </c>
      <c r="B246" s="16" t="n">
        <v>44628</v>
      </c>
      <c r="C246" t="inlineStr">
        <is>
          <t>VTA</t>
        </is>
      </c>
      <c r="D246" t="n">
        <v>42</v>
      </c>
      <c r="E246">
        <f>IF(D2293&gt;0,VLOOKUP(OPERAC[[#This Row],[COD CART]],[1]!MatrizCortoLargoCyl[#All],3,0),"")</f>
        <v/>
      </c>
      <c r="F246" t="inlineStr">
        <is>
          <t>FB</t>
        </is>
      </c>
      <c r="G246" t="n">
        <v>2</v>
      </c>
      <c r="H246" t="n">
        <v>-396.3376</v>
      </c>
      <c r="I246">
        <f>-H2293/G2293</f>
        <v/>
      </c>
      <c r="J246" s="16" t="n">
        <v>44671</v>
      </c>
      <c r="K246">
        <f>+OPERAC[[#This Row],[cantidad]]</f>
        <v/>
      </c>
      <c r="L246">
        <f>+OPERAC[[#This Row],[cantidad venta]]*213.173</f>
        <v/>
      </c>
    </row>
    <row r="247">
      <c r="A247" t="n">
        <v>1807</v>
      </c>
      <c r="B247" s="16" t="n">
        <v>44628</v>
      </c>
      <c r="C247" t="inlineStr">
        <is>
          <t>VTA</t>
        </is>
      </c>
      <c r="D247" t="n">
        <v>42</v>
      </c>
      <c r="E247">
        <f>IF(D2515&gt;0,VLOOKUP(OPERAC[[#This Row],[COD CART]],[1]!MatrizCortoLargoCyl[#All],3,0),"")</f>
        <v/>
      </c>
      <c r="F247" t="inlineStr">
        <is>
          <t>DDD</t>
        </is>
      </c>
      <c r="G247" t="n">
        <v>30</v>
      </c>
      <c r="H247" t="n">
        <v>-461.8576</v>
      </c>
      <c r="I247">
        <f>-H2515/G2515</f>
        <v/>
      </c>
      <c r="J247" s="16" t="n">
        <v>44641</v>
      </c>
      <c r="K247" t="n">
        <v>30</v>
      </c>
      <c r="L247" t="n">
        <v>463.856</v>
      </c>
    </row>
    <row r="248">
      <c r="A248" t="n">
        <v>1807</v>
      </c>
      <c r="B248" s="16" t="n">
        <v>44641</v>
      </c>
      <c r="C248" t="inlineStr">
        <is>
          <t>VTA</t>
        </is>
      </c>
      <c r="D248" t="n">
        <v>42</v>
      </c>
      <c r="E248">
        <f>IF(D2371&gt;0,VLOOKUP(OPERAC[[#This Row],[COD CART]],[1]!MatrizCortoLargoCyl[#All],3,0),"")</f>
        <v/>
      </c>
      <c r="F248" t="inlineStr">
        <is>
          <t>JPM</t>
        </is>
      </c>
      <c r="G248" t="n">
        <v>3</v>
      </c>
      <c r="H248" t="n">
        <v>-421.3630200000001</v>
      </c>
      <c r="I248">
        <f>-H2371/G2371</f>
        <v/>
      </c>
      <c r="J248" s="16" t="n">
        <v>44664</v>
      </c>
      <c r="K248">
        <f>+OPERAC[[#This Row],[cantidad]]</f>
        <v/>
      </c>
      <c r="L248">
        <f>+OPERAC[[#This Row],[cantidad venta]]*125.943</f>
        <v/>
      </c>
    </row>
    <row r="249">
      <c r="A249" t="n">
        <v>1807</v>
      </c>
      <c r="B249" s="16" t="n">
        <v>44641</v>
      </c>
      <c r="C249" t="inlineStr">
        <is>
          <t>VTA</t>
        </is>
      </c>
      <c r="D249" t="n">
        <v>42</v>
      </c>
      <c r="E249">
        <f>IF(D2865&gt;0,VLOOKUP(OPERAC[[#This Row],[COD CART]],[1]!MatrizCortoLargoCyl[#All],3,0),"")</f>
        <v/>
      </c>
      <c r="F249" t="inlineStr">
        <is>
          <t>SMH</t>
        </is>
      </c>
      <c r="G249" t="n">
        <v>2</v>
      </c>
      <c r="H249" t="n">
        <v>-537.9153000000001</v>
      </c>
      <c r="I249">
        <f>-H2865/G2865</f>
        <v/>
      </c>
      <c r="J249" s="16" t="n">
        <v>44663</v>
      </c>
      <c r="K249">
        <f>+OPERAC[[#This Row],[cantidad]]</f>
        <v/>
      </c>
      <c r="L249">
        <f>+OPERAC[[#This Row],[cantidad venta]]*238.066</f>
        <v/>
      </c>
    </row>
    <row r="250">
      <c r="A250" t="n">
        <v>1807</v>
      </c>
      <c r="B250" s="16" t="n">
        <v>44642</v>
      </c>
      <c r="C250" t="inlineStr">
        <is>
          <t>VTA</t>
        </is>
      </c>
      <c r="D250" t="n">
        <v>42</v>
      </c>
      <c r="E250">
        <f>IF(D1317&gt;0,VLOOKUP(OPERAC[[#This Row],[COD CART]],[1]!MatrizCortoLargoCyl[#All],3,0),"")</f>
        <v/>
      </c>
      <c r="F250" t="inlineStr">
        <is>
          <t>HYDR</t>
        </is>
      </c>
      <c r="G250" t="n">
        <v>5</v>
      </c>
      <c r="H250">
        <f>-19.39*OPERAC[[#This Row],[cantidad]]</f>
        <v/>
      </c>
      <c r="I250">
        <f>-H1317/G1317</f>
        <v/>
      </c>
      <c r="J250" s="16" t="n">
        <v>44693</v>
      </c>
      <c r="K250">
        <f>+OPERAC[[#This Row],[cantidad]]</f>
        <v/>
      </c>
      <c r="L250">
        <f>+OPERAC[[#This Row],[cantidad venta]]*11.63</f>
        <v/>
      </c>
    </row>
    <row r="251">
      <c r="A251" t="n">
        <v>1807</v>
      </c>
      <c r="B251" s="16" t="n">
        <v>44649</v>
      </c>
      <c r="C251" t="inlineStr">
        <is>
          <t>CPR</t>
        </is>
      </c>
      <c r="D251" t="n">
        <v>32</v>
      </c>
      <c r="E251">
        <f>IF(D4922&gt;0,VLOOKUP(OPERAC[[#This Row],[COD CART]],[1]!MatrizCortoLargoCyl[#All],3,0),"")</f>
        <v/>
      </c>
      <c r="F251" t="inlineStr">
        <is>
          <t>DDD</t>
        </is>
      </c>
      <c r="G251" t="n">
        <v>100</v>
      </c>
      <c r="H251" t="n">
        <v>-1498.949</v>
      </c>
      <c r="I251">
        <f>-H4922/G4922</f>
        <v/>
      </c>
      <c r="J251" s="16" t="n">
        <v>44704</v>
      </c>
      <c r="K251" t="n">
        <v>100</v>
      </c>
      <c r="L251" t="n">
        <v>1001.601</v>
      </c>
    </row>
    <row r="252">
      <c r="A252" t="n">
        <v>1807</v>
      </c>
      <c r="B252" s="16" t="n">
        <v>44662</v>
      </c>
      <c r="C252" t="inlineStr">
        <is>
          <t>VTA</t>
        </is>
      </c>
      <c r="D252" t="n">
        <v>42</v>
      </c>
      <c r="E252">
        <f>IF(D2546&gt;0,VLOOKUP(OPERAC[[#This Row],[COD CART]],[1]!MatrizCortoLargoCyl[#All],3,0),"")</f>
        <v/>
      </c>
      <c r="F252" t="inlineStr">
        <is>
          <t>HYDR</t>
        </is>
      </c>
      <c r="G252" t="n">
        <v>25</v>
      </c>
      <c r="H252" t="n">
        <v>-464.2586</v>
      </c>
      <c r="I252">
        <f>-H2546/G2546</f>
        <v/>
      </c>
      <c r="J252" s="16" t="n">
        <v>44693</v>
      </c>
      <c r="K252">
        <f>+OPERAC[[#This Row],[cantidad]]</f>
        <v/>
      </c>
      <c r="L252">
        <f>+OPERAC[[#This Row],[cantidad venta]]*11.63</f>
        <v/>
      </c>
    </row>
    <row r="253">
      <c r="A253" t="n">
        <v>1807</v>
      </c>
      <c r="B253" s="16" t="n">
        <v>44664</v>
      </c>
      <c r="C253" t="inlineStr">
        <is>
          <t>VTA</t>
        </is>
      </c>
      <c r="D253" t="n">
        <v>42</v>
      </c>
      <c r="E253">
        <f>IF(D1540&gt;0,VLOOKUP(OPERAC[[#This Row],[COD CART]],[1]!MatrizCortoLargoCyl[#All],3,0),"")</f>
        <v/>
      </c>
      <c r="F253" t="inlineStr">
        <is>
          <t>AMD</t>
        </is>
      </c>
      <c r="G253" t="n">
        <v>2</v>
      </c>
      <c r="H253" t="n">
        <v>-197.54130906</v>
      </c>
      <c r="I253">
        <f>-H1540/G1540</f>
        <v/>
      </c>
      <c r="J253" s="16" t="n">
        <v>44693</v>
      </c>
      <c r="K253" t="n">
        <v>2</v>
      </c>
      <c r="L253" t="n">
        <v>166.296</v>
      </c>
    </row>
    <row r="254">
      <c r="A254" t="n">
        <v>1807</v>
      </c>
      <c r="B254" s="16" t="n">
        <v>44664</v>
      </c>
      <c r="C254" t="inlineStr">
        <is>
          <t>VTA</t>
        </is>
      </c>
      <c r="D254" t="n">
        <v>42</v>
      </c>
      <c r="E254">
        <f>IF(D1719&gt;0,VLOOKUP(OPERAC[[#This Row],[COD CART]],[1]!MatrizCortoLargoCyl[#All],3,0),"")</f>
        <v/>
      </c>
      <c r="F254" t="inlineStr">
        <is>
          <t>PSQ</t>
        </is>
      </c>
      <c r="G254" t="n">
        <v>20</v>
      </c>
      <c r="H254" t="n">
        <v>-248.65144362</v>
      </c>
      <c r="I254">
        <f>-H1719/G1719</f>
        <v/>
      </c>
      <c r="J254" s="16" t="n">
        <v>44680</v>
      </c>
      <c r="K254">
        <f>+OPERAC[[#This Row],[cantidad]]</f>
        <v/>
      </c>
      <c r="L254">
        <f>12.848*OPERAC[[#This Row],[cantidad venta]]</f>
        <v/>
      </c>
    </row>
    <row r="255">
      <c r="A255" t="n">
        <v>1807</v>
      </c>
      <c r="B255" s="16" t="n">
        <v>44664</v>
      </c>
      <c r="C255" t="inlineStr">
        <is>
          <t>VTA</t>
        </is>
      </c>
      <c r="D255" t="n">
        <v>42</v>
      </c>
      <c r="E255">
        <f>IF(D2219&gt;0,VLOOKUP(OPERAC[[#This Row],[COD CART]],[1]!MatrizCortoLargoCyl[#All],3,0),"")</f>
        <v/>
      </c>
      <c r="F255" t="inlineStr">
        <is>
          <t>PSQ</t>
        </is>
      </c>
      <c r="G255" t="n">
        <v>30</v>
      </c>
      <c r="H255" t="n">
        <v>-372.97716543</v>
      </c>
      <c r="I255">
        <f>-H2219/G2219</f>
        <v/>
      </c>
      <c r="J255" s="16" t="n">
        <v>44680</v>
      </c>
      <c r="K255">
        <f>+OPERAC[[#This Row],[cantidad]]</f>
        <v/>
      </c>
      <c r="L255">
        <f>12.848*OPERAC[[#This Row],[cantidad venta]]</f>
        <v/>
      </c>
    </row>
    <row r="256">
      <c r="A256" t="n">
        <v>1807</v>
      </c>
      <c r="B256" s="16" t="n">
        <v>44671</v>
      </c>
      <c r="C256" t="inlineStr">
        <is>
          <t>CPR</t>
        </is>
      </c>
      <c r="D256" t="n">
        <v>42</v>
      </c>
      <c r="E256">
        <f>IF(D2750&gt;0,VLOOKUP(OPERAC[[#This Row],[COD CART]],[1]!MatrizCortoLargoCyl[#All],3,0),"")</f>
        <v/>
      </c>
      <c r="F256" t="inlineStr">
        <is>
          <t>NFLX</t>
        </is>
      </c>
      <c r="G256" t="n">
        <v>2</v>
      </c>
      <c r="H256" t="n">
        <v>-509.01012</v>
      </c>
      <c r="I256">
        <f>-H2750/G2750</f>
        <v/>
      </c>
      <c r="J256" s="16" t="n">
        <v>44693</v>
      </c>
      <c r="K256">
        <f>+OPERAC[[#This Row],[cantidad]]</f>
        <v/>
      </c>
      <c r="L256">
        <f>+OPERAC[[#This Row],[cantidad venta]]*164.905</f>
        <v/>
      </c>
    </row>
    <row r="257">
      <c r="A257" t="n">
        <v>1807</v>
      </c>
      <c r="B257" s="16" t="n">
        <v>44680</v>
      </c>
      <c r="C257" t="inlineStr">
        <is>
          <t>VTA</t>
        </is>
      </c>
      <c r="D257" t="n">
        <v>42</v>
      </c>
      <c r="E257">
        <f>IF(D1681&gt;0,VLOOKUP(OPERAC[[#This Row],[COD CART]],[1]!MatrizCortoLargoCyl[#All],3,0),"")</f>
        <v/>
      </c>
      <c r="F257" t="inlineStr">
        <is>
          <t>XLP</t>
        </is>
      </c>
      <c r="G257" t="n">
        <v>3</v>
      </c>
      <c r="H257" t="n">
        <v>-238.3035075</v>
      </c>
      <c r="I257">
        <f>-H1681/G1681</f>
        <v/>
      </c>
      <c r="J257" s="16" t="n">
        <v>44704</v>
      </c>
      <c r="K257" t="n">
        <v>3</v>
      </c>
      <c r="L257">
        <f>71.162*OPERAC[[#This Row],[cantidad venta]]</f>
        <v/>
      </c>
    </row>
    <row r="258">
      <c r="A258" t="n">
        <v>1807</v>
      </c>
      <c r="B258" s="16" t="n">
        <v>44680</v>
      </c>
      <c r="C258" t="inlineStr">
        <is>
          <t>VTA</t>
        </is>
      </c>
      <c r="D258" t="n">
        <v>42</v>
      </c>
      <c r="E258">
        <f>IF(D2295&gt;0,VLOOKUP(OPERAC[[#This Row],[COD CART]],[1]!MatrizCortoLargoCyl[#All],3,0),"")</f>
        <v/>
      </c>
      <c r="F258" t="inlineStr">
        <is>
          <t>XLP</t>
        </is>
      </c>
      <c r="G258" t="n">
        <v>5</v>
      </c>
      <c r="H258" t="n">
        <v>-397.1725125</v>
      </c>
      <c r="I258">
        <f>-H2295/G2295</f>
        <v/>
      </c>
      <c r="J258" s="16" t="n">
        <v>44704</v>
      </c>
      <c r="K258" t="n">
        <v>5</v>
      </c>
      <c r="L258">
        <f>71.162*OPERAC[[#This Row],[cantidad venta]]</f>
        <v/>
      </c>
    </row>
    <row r="259">
      <c r="A259" t="n">
        <v>1807</v>
      </c>
      <c r="B259" s="16" t="n">
        <v>44704</v>
      </c>
      <c r="C259" t="inlineStr">
        <is>
          <t>VTA</t>
        </is>
      </c>
      <c r="D259" t="n">
        <v>32</v>
      </c>
      <c r="E259">
        <f>IF(D2477&gt;0,VLOOKUP(OPERAC[[#This Row],[COD CART]],[1]!MatrizCortoLargoCyl[#All],3,0),"")</f>
        <v/>
      </c>
      <c r="F259" t="inlineStr">
        <is>
          <t>TLRY/CYL/6,00/17-06-22</t>
        </is>
      </c>
      <c r="G259" t="n">
        <v>100</v>
      </c>
      <c r="H259" t="n">
        <v>-443.389</v>
      </c>
      <c r="I259">
        <f>-H2477/G2477</f>
        <v/>
      </c>
    </row>
    <row r="260">
      <c r="A260" t="n">
        <v>1807</v>
      </c>
      <c r="B260" s="16" t="n">
        <v>44706</v>
      </c>
      <c r="C260" t="inlineStr">
        <is>
          <t>VTA</t>
        </is>
      </c>
      <c r="D260" t="n">
        <v>39</v>
      </c>
      <c r="E260">
        <f>IF(D632&gt;0,VLOOKUP(OPERAC[[#This Row],[COD CART]],[1]!MatrizCortoLargoCyl[#All],3,0),"")</f>
        <v/>
      </c>
      <c r="F260" t="inlineStr">
        <is>
          <t>BABA/P/60,00/20-01-23</t>
        </is>
      </c>
      <c r="G260" t="n">
        <v>-100</v>
      </c>
      <c r="H260" t="n">
        <v>570.1130000000001</v>
      </c>
      <c r="I260">
        <f>-H632/G632</f>
        <v/>
      </c>
    </row>
    <row r="261">
      <c r="A261" t="n">
        <v>1807</v>
      </c>
      <c r="B261" s="16" t="n">
        <v>44707</v>
      </c>
      <c r="C261" t="inlineStr">
        <is>
          <t>CPR</t>
        </is>
      </c>
      <c r="D261" t="n">
        <v>42</v>
      </c>
      <c r="E261">
        <f>IF(D4155&gt;0,VLOOKUP(OPERAC[[#This Row],[COD CART]],[1]!MatrizCortoLargoCyl[#All],3,0),"")</f>
        <v/>
      </c>
      <c r="F261" t="inlineStr">
        <is>
          <t>PCT</t>
        </is>
      </c>
      <c r="G261" t="n">
        <v>100</v>
      </c>
      <c r="H261" t="n">
        <v>-973.063327</v>
      </c>
      <c r="I261">
        <f>-H4155/G4155</f>
        <v/>
      </c>
    </row>
    <row r="262">
      <c r="A262" t="n">
        <v>1807</v>
      </c>
      <c r="B262" s="16" t="n">
        <v>44708</v>
      </c>
      <c r="C262" t="inlineStr">
        <is>
          <t>CPR</t>
        </is>
      </c>
      <c r="D262" t="n">
        <v>42</v>
      </c>
      <c r="E262">
        <f>IF(D3983&gt;0,VLOOKUP(OPERAC[[#This Row],[COD CART]],[1]!MatrizCortoLargoCyl[#All],3,0),"")</f>
        <v/>
      </c>
      <c r="F262" t="inlineStr">
        <is>
          <t>ACB</t>
        </is>
      </c>
      <c r="G262" t="n">
        <v>500</v>
      </c>
      <c r="H262" t="n">
        <v>-912.6603944024999</v>
      </c>
      <c r="I262">
        <f>-H3983/G3983</f>
        <v/>
      </c>
    </row>
    <row r="263">
      <c r="A263" t="n">
        <v>1807</v>
      </c>
      <c r="B263" s="16" t="n">
        <v>44712</v>
      </c>
      <c r="C263" t="inlineStr">
        <is>
          <t>CPR</t>
        </is>
      </c>
      <c r="D263" t="n">
        <v>32</v>
      </c>
      <c r="E263">
        <f>IF(D3319&gt;0,VLOOKUP(OPERAC[[#This Row],[COD CART]],[1]!MatrizCortoLargoCyl[#All],3,0),"")</f>
        <v/>
      </c>
      <c r="F263" t="inlineStr">
        <is>
          <t>CRESY/CYL/7,50/17-06-22</t>
        </is>
      </c>
      <c r="G263" t="n">
        <v>100</v>
      </c>
      <c r="H263" t="n">
        <v>-693.075</v>
      </c>
      <c r="I263">
        <f>-H3319/G3319</f>
        <v/>
      </c>
    </row>
    <row r="264">
      <c r="A264" t="n">
        <v>1816</v>
      </c>
      <c r="B264" s="16" t="n">
        <v>44637</v>
      </c>
      <c r="C264" t="inlineStr">
        <is>
          <t>VTA</t>
        </is>
      </c>
      <c r="D264" t="n">
        <v>41</v>
      </c>
      <c r="E264">
        <f>IF(D1959&gt;0,VLOOKUP(OPERAC[[#This Row],[COD CART]],[1]!MatrizCortoLargoCyl[#All],3,0),"")</f>
        <v/>
      </c>
      <c r="F264" t="inlineStr">
        <is>
          <t>QCOM</t>
        </is>
      </c>
      <c r="G264" t="n">
        <v>2</v>
      </c>
      <c r="H264" t="n">
        <v>-301.82752</v>
      </c>
      <c r="I264">
        <f>-H1959/G1959</f>
        <v/>
      </c>
    </row>
    <row r="265">
      <c r="A265" t="n">
        <v>1816</v>
      </c>
      <c r="B265" s="16" t="n">
        <v>44637</v>
      </c>
      <c r="C265" t="inlineStr">
        <is>
          <t>VTA</t>
        </is>
      </c>
      <c r="D265" t="n">
        <v>41</v>
      </c>
      <c r="E265">
        <f>IF(D2033&gt;0,VLOOKUP(OPERAC[[#This Row],[COD CART]],[1]!MatrizCortoLargoCyl[#All],3,0),"")</f>
        <v/>
      </c>
      <c r="F265" t="inlineStr">
        <is>
          <t>ICLN</t>
        </is>
      </c>
      <c r="G265" t="n">
        <v>15</v>
      </c>
      <c r="H265" t="n">
        <v>-317.3104</v>
      </c>
      <c r="I265">
        <f>-H2033/G2033</f>
        <v/>
      </c>
      <c r="J265" s="16" t="n">
        <v>44656</v>
      </c>
      <c r="K265" t="n">
        <v>15</v>
      </c>
      <c r="L265" t="n">
        <v>327.327</v>
      </c>
    </row>
    <row r="266">
      <c r="A266" t="n">
        <v>1816</v>
      </c>
      <c r="B266" s="16" t="n">
        <v>44637</v>
      </c>
      <c r="C266" t="inlineStr">
        <is>
          <t>VTA</t>
        </is>
      </c>
      <c r="D266" t="n">
        <v>41</v>
      </c>
      <c r="E266">
        <f>IF(D2039&gt;0,VLOOKUP(OPERAC[[#This Row],[COD CART]],[1]!MatrizCortoLargoCyl[#All],3,0),"")</f>
        <v/>
      </c>
      <c r="F266" t="inlineStr">
        <is>
          <t>BIOX</t>
        </is>
      </c>
      <c r="G266" t="n">
        <v>25</v>
      </c>
      <c r="H266" t="n">
        <v>-321.04</v>
      </c>
      <c r="I266">
        <f>-H2039/G2039</f>
        <v/>
      </c>
    </row>
    <row r="267">
      <c r="A267" t="n">
        <v>1816</v>
      </c>
      <c r="B267" s="16" t="n">
        <v>44656</v>
      </c>
      <c r="C267" t="inlineStr">
        <is>
          <t>VTA</t>
        </is>
      </c>
      <c r="D267" t="n">
        <v>41</v>
      </c>
      <c r="E267">
        <f>IF(D1442&gt;0,VLOOKUP(OPERAC[[#This Row],[COD CART]],[1]!MatrizCortoLargoCyl[#All],3,0),"")</f>
        <v/>
      </c>
      <c r="F267" t="inlineStr">
        <is>
          <t>LIT</t>
        </is>
      </c>
      <c r="G267" t="n">
        <v>2</v>
      </c>
      <c r="H267" t="n">
        <v>-158.182</v>
      </c>
      <c r="I267">
        <f>-H1442/G1442</f>
        <v/>
      </c>
    </row>
    <row r="268">
      <c r="A268" t="n">
        <v>1816</v>
      </c>
      <c r="B268" s="16" t="n">
        <v>44656</v>
      </c>
      <c r="C268" t="inlineStr">
        <is>
          <t>VTA</t>
        </is>
      </c>
      <c r="D268" t="n">
        <v>41</v>
      </c>
      <c r="E268">
        <f>IF(D1457&gt;0,VLOOKUP(OPERAC[[#This Row],[COD CART]],[1]!MatrizCortoLargoCyl[#All],3,0),"")</f>
        <v/>
      </c>
      <c r="F268" t="inlineStr">
        <is>
          <t>GGAL</t>
        </is>
      </c>
      <c r="G268" t="n">
        <v>15</v>
      </c>
      <c r="H268" t="n">
        <v>-163.54</v>
      </c>
      <c r="I268">
        <f>-H1457/G1457</f>
        <v/>
      </c>
    </row>
    <row r="269">
      <c r="A269" t="n">
        <v>1816</v>
      </c>
      <c r="B269" s="16" t="n">
        <v>44662</v>
      </c>
      <c r="C269" t="inlineStr">
        <is>
          <t>VTA</t>
        </is>
      </c>
      <c r="D269" t="n">
        <v>41</v>
      </c>
      <c r="E269">
        <f>IF(D1297&gt;0,VLOOKUP(OPERAC[[#This Row],[COD CART]],[1]!MatrizCortoLargoCyl[#All],3,0),"")</f>
        <v/>
      </c>
      <c r="F269" t="inlineStr">
        <is>
          <t>HYDR</t>
        </is>
      </c>
      <c r="G269" t="n">
        <v>5</v>
      </c>
      <c r="H269" t="n">
        <v>-92.85172000000001</v>
      </c>
      <c r="I269">
        <f>-H1297/G1297</f>
        <v/>
      </c>
    </row>
    <row r="270">
      <c r="A270" t="n">
        <v>1817</v>
      </c>
      <c r="B270" s="16" t="n">
        <v>44657</v>
      </c>
      <c r="C270" t="inlineStr">
        <is>
          <t>VTA</t>
        </is>
      </c>
      <c r="D270" t="n">
        <v>41</v>
      </c>
      <c r="E270">
        <f>IF(D1283&gt;0,VLOOKUP(OPERAC[[#This Row],[COD CART]],[1]!MatrizCortoLargoCyl[#All],3,0),"")</f>
        <v/>
      </c>
      <c r="F270" t="inlineStr">
        <is>
          <t>TEO</t>
        </is>
      </c>
      <c r="G270" t="n">
        <v>10</v>
      </c>
      <c r="H270" t="n">
        <v>-65.17899999999999</v>
      </c>
      <c r="I270">
        <f>-H1283/G1283</f>
        <v/>
      </c>
    </row>
    <row r="271">
      <c r="A271" t="n">
        <v>1817</v>
      </c>
      <c r="B271" s="16" t="n">
        <v>44657</v>
      </c>
      <c r="C271" t="inlineStr">
        <is>
          <t>VTA</t>
        </is>
      </c>
      <c r="D271" t="n">
        <v>41</v>
      </c>
      <c r="E271">
        <f>IF(D1284&gt;0,VLOOKUP(OPERAC[[#This Row],[COD CART]],[1]!MatrizCortoLargoCyl[#All],3,0),"")</f>
        <v/>
      </c>
      <c r="F271" t="inlineStr">
        <is>
          <t>GGAL</t>
        </is>
      </c>
      <c r="G271" t="n">
        <v>7</v>
      </c>
      <c r="H271" t="n">
        <v>-75.57594999999999</v>
      </c>
      <c r="I271">
        <f>-H1284/G1284</f>
        <v/>
      </c>
    </row>
    <row r="272">
      <c r="A272" t="n">
        <v>1817</v>
      </c>
      <c r="B272" s="16" t="n">
        <v>44657</v>
      </c>
      <c r="C272" t="inlineStr">
        <is>
          <t>VTA</t>
        </is>
      </c>
      <c r="D272" t="n">
        <v>41</v>
      </c>
      <c r="E272">
        <f>IF(D1287&gt;0,VLOOKUP(OPERAC[[#This Row],[COD CART]],[1]!MatrizCortoLargoCyl[#All],3,0),"")</f>
        <v/>
      </c>
      <c r="F272" t="inlineStr">
        <is>
          <t>CRESY</t>
        </is>
      </c>
      <c r="G272" t="n">
        <v>10</v>
      </c>
      <c r="H272" t="n">
        <v>-80.075</v>
      </c>
      <c r="I272">
        <f>-H1287/G1287</f>
        <v/>
      </c>
    </row>
    <row r="273">
      <c r="A273" t="n">
        <v>1817</v>
      </c>
      <c r="B273" s="16" t="n">
        <v>44657</v>
      </c>
      <c r="C273" t="inlineStr">
        <is>
          <t>VTA</t>
        </is>
      </c>
      <c r="D273" t="n">
        <v>41</v>
      </c>
      <c r="E273">
        <f>IF(D1315&gt;0,VLOOKUP(OPERAC[[#This Row],[COD CART]],[1]!MatrizCortoLargoCyl[#All],3,0),"")</f>
        <v/>
      </c>
      <c r="F273" t="inlineStr">
        <is>
          <t>HYDR</t>
        </is>
      </c>
      <c r="G273" t="n">
        <v>5</v>
      </c>
      <c r="H273" t="n">
        <v>-95.98099999999999</v>
      </c>
      <c r="I273">
        <f>-H1315/G1315</f>
        <v/>
      </c>
    </row>
    <row r="274">
      <c r="A274" t="n">
        <v>1817</v>
      </c>
      <c r="B274" s="16" t="n">
        <v>44657</v>
      </c>
      <c r="C274" t="inlineStr">
        <is>
          <t>VTA</t>
        </is>
      </c>
      <c r="D274" t="n">
        <v>41</v>
      </c>
      <c r="E274">
        <f>IF(D1436&gt;0,VLOOKUP(OPERAC[[#This Row],[COD CART]],[1]!MatrizCortoLargoCyl[#All],3,0),"")</f>
        <v/>
      </c>
      <c r="F274" t="inlineStr">
        <is>
          <t>ICLN</t>
        </is>
      </c>
      <c r="G274" t="n">
        <v>7</v>
      </c>
      <c r="H274" t="n">
        <v>-153.74735</v>
      </c>
      <c r="I274">
        <f>-H1436/G1436</f>
        <v/>
      </c>
    </row>
    <row r="275">
      <c r="A275" t="n">
        <v>1817</v>
      </c>
      <c r="B275" s="16" t="n">
        <v>44690</v>
      </c>
      <c r="C275" t="inlineStr">
        <is>
          <t>CPR</t>
        </is>
      </c>
      <c r="D275" t="n">
        <v>32</v>
      </c>
      <c r="E275">
        <f>IF(D4666&gt;0,VLOOKUP(OPERAC[[#This Row],[COD CART]],[1]!MatrizCortoLargoCyl[#All],3,0),"")</f>
        <v/>
      </c>
      <c r="F275" t="inlineStr">
        <is>
          <t>F/CYL/14,00/17-06-22</t>
        </is>
      </c>
      <c r="G275" t="n">
        <v>100</v>
      </c>
      <c r="H275">
        <f>-1322.93+24.788</f>
        <v/>
      </c>
      <c r="I275">
        <f>-H4666/G4666</f>
        <v/>
      </c>
    </row>
    <row r="276">
      <c r="A276" t="n">
        <v>1817</v>
      </c>
      <c r="B276" s="16" t="n">
        <v>44690</v>
      </c>
      <c r="C276" t="inlineStr">
        <is>
          <t>VTA</t>
        </is>
      </c>
      <c r="D276" t="n">
        <v>41</v>
      </c>
      <c r="E276">
        <f>IF(D1548&gt;0,VLOOKUP(OPERAC[[#This Row],[COD CART]],[1]!MatrizCortoLargoCyl[#All],3,0),"")</f>
        <v/>
      </c>
      <c r="F276" t="inlineStr">
        <is>
          <t>BIOX</t>
        </is>
      </c>
      <c r="G276" t="n">
        <v>15</v>
      </c>
      <c r="H276" t="n">
        <v>-200.742</v>
      </c>
      <c r="I276">
        <f>-H1548/G1548</f>
        <v/>
      </c>
    </row>
    <row r="277">
      <c r="A277" t="n">
        <v>1817</v>
      </c>
      <c r="B277" s="16" t="n">
        <v>44690</v>
      </c>
      <c r="C277" t="inlineStr">
        <is>
          <t>VTA</t>
        </is>
      </c>
      <c r="D277" t="n">
        <v>32</v>
      </c>
      <c r="E277">
        <f>IF(D3168&gt;0,VLOOKUP(OPERAC[[#This Row],[COD CART]],[1]!MatrizCortoLargoCyl[#All],3,0),"")</f>
        <v/>
      </c>
      <c r="F277" t="inlineStr">
        <is>
          <t>COTY/CYL/7,00/17-06-22</t>
        </is>
      </c>
      <c r="G277" t="n">
        <v>100</v>
      </c>
      <c r="H277">
        <f>-653.983+14.873</f>
        <v/>
      </c>
      <c r="I277">
        <f>-H3168/G3168</f>
        <v/>
      </c>
    </row>
    <row r="278">
      <c r="A278" t="n">
        <v>1817</v>
      </c>
      <c r="B278" s="16" t="n">
        <v>44697</v>
      </c>
      <c r="C278" t="inlineStr">
        <is>
          <t>CPR</t>
        </is>
      </c>
      <c r="D278" t="n">
        <v>32</v>
      </c>
      <c r="E278">
        <f>IF(D3315&gt;0,VLOOKUP(OPERAC[[#This Row],[COD CART]],[1]!MatrizCortoLargoCyl[#All],3,0),"")</f>
        <v/>
      </c>
      <c r="F278" t="inlineStr">
        <is>
          <t>DDD/CYL/7,00/27-05-22</t>
        </is>
      </c>
      <c r="G278" t="n">
        <v>100</v>
      </c>
      <c r="H278" t="n">
        <v>-691.033</v>
      </c>
      <c r="I278">
        <f>-H3315/G3315</f>
        <v/>
      </c>
      <c r="J278" s="16" t="n">
        <v>44708</v>
      </c>
      <c r="K278" t="n">
        <v>100</v>
      </c>
      <c r="L278" t="n">
        <v>697.2</v>
      </c>
    </row>
    <row r="279">
      <c r="A279" t="n">
        <v>1817</v>
      </c>
      <c r="B279" s="16" t="n">
        <v>44697</v>
      </c>
      <c r="C279" t="inlineStr">
        <is>
          <t>VTA</t>
        </is>
      </c>
      <c r="D279" t="n">
        <v>41</v>
      </c>
      <c r="E279">
        <f>IF(D1546&gt;0,VLOOKUP(OPERAC[[#This Row],[COD CART]],[1]!MatrizCortoLargoCyl[#All],3,0),"")</f>
        <v/>
      </c>
      <c r="F279" t="inlineStr">
        <is>
          <t>TLRY</t>
        </is>
      </c>
      <c r="G279" t="n">
        <v>40</v>
      </c>
      <c r="H279" t="n">
        <v>-198.675</v>
      </c>
      <c r="I279">
        <f>-H1546/G1546</f>
        <v/>
      </c>
    </row>
    <row r="280">
      <c r="A280" t="n">
        <v>1817</v>
      </c>
      <c r="B280" s="16" t="n">
        <v>44697</v>
      </c>
      <c r="C280" t="inlineStr">
        <is>
          <t>VTA</t>
        </is>
      </c>
      <c r="D280" t="n">
        <v>41</v>
      </c>
      <c r="E280">
        <f>IF(D2266&gt;0,VLOOKUP(OPERAC[[#This Row],[COD CART]],[1]!MatrizCortoLargoCyl[#All],3,0),"")</f>
        <v/>
      </c>
      <c r="F280" t="inlineStr">
        <is>
          <t>SPWR</t>
        </is>
      </c>
      <c r="G280" t="n">
        <v>25</v>
      </c>
      <c r="H280" t="n">
        <v>-386.76</v>
      </c>
      <c r="I280">
        <f>-H2266/G2266</f>
        <v/>
      </c>
    </row>
    <row r="281">
      <c r="A281" t="n">
        <v>1817</v>
      </c>
      <c r="B281" s="16" t="n">
        <v>44697</v>
      </c>
      <c r="C281" t="inlineStr">
        <is>
          <t>VTA</t>
        </is>
      </c>
      <c r="D281" t="n">
        <v>41</v>
      </c>
      <c r="E281">
        <f>IF(D2445&gt;0,VLOOKUP(OPERAC[[#This Row],[COD CART]],[1]!MatrizCortoLargoCyl[#All],3,0),"")</f>
        <v/>
      </c>
      <c r="F281" t="inlineStr">
        <is>
          <t>PCT</t>
        </is>
      </c>
      <c r="G281" t="n">
        <v>50</v>
      </c>
      <c r="H281" t="n">
        <v>-428.981</v>
      </c>
      <c r="I281">
        <f>-H2445/G2445</f>
        <v/>
      </c>
    </row>
    <row r="282">
      <c r="A282" t="n">
        <v>2194</v>
      </c>
      <c r="B282" s="16" t="n">
        <v>43831</v>
      </c>
      <c r="C282" t="inlineStr">
        <is>
          <t>CPR</t>
        </is>
      </c>
      <c r="D282" t="n">
        <v>31</v>
      </c>
      <c r="E282">
        <f>IF(D6196&gt;0,VLOOKUP(OPERAC[[#This Row],[COD CART]],[1]!MatrizCortoLargoCyl[#All],3,0),"")</f>
        <v/>
      </c>
      <c r="F282" t="inlineStr">
        <is>
          <t>ACB</t>
        </is>
      </c>
      <c r="G282" t="n">
        <v>67</v>
      </c>
      <c r="H282" t="n">
        <v>-5349.280000000001</v>
      </c>
      <c r="I282">
        <f>-H6196/G6196</f>
        <v/>
      </c>
      <c r="J282" s="16" t="n">
        <v>44615</v>
      </c>
      <c r="K282" t="n">
        <v>67</v>
      </c>
      <c r="L282" t="n">
        <v>260.194</v>
      </c>
    </row>
    <row r="283">
      <c r="A283" t="n">
        <v>2194</v>
      </c>
      <c r="B283" s="16" t="n">
        <v>44011</v>
      </c>
      <c r="C283" t="inlineStr">
        <is>
          <t>VTA</t>
        </is>
      </c>
      <c r="D283" t="n">
        <v>31</v>
      </c>
      <c r="E283">
        <f>IF(D2352&gt;0,VLOOKUP(OPERAC[[#This Row],[COD CART]],[1]!MatrizCortoLargoCyl[#All],3,0),"")</f>
        <v/>
      </c>
      <c r="F283" t="inlineStr">
        <is>
          <t>BBAR</t>
        </is>
      </c>
      <c r="G283" t="n">
        <v>100</v>
      </c>
      <c r="H283" t="n">
        <v>-413.9999999999999</v>
      </c>
      <c r="I283">
        <f>-H2352/G2352</f>
        <v/>
      </c>
      <c r="J283" s="16" t="n">
        <v>44686</v>
      </c>
      <c r="K283" t="n">
        <v>100</v>
      </c>
      <c r="L283" t="n">
        <v>298.44</v>
      </c>
    </row>
    <row r="284">
      <c r="A284" t="n">
        <v>2194</v>
      </c>
      <c r="B284" s="16" t="n">
        <v>44147</v>
      </c>
      <c r="C284" t="inlineStr">
        <is>
          <t>VTA</t>
        </is>
      </c>
      <c r="D284" t="n">
        <v>41</v>
      </c>
      <c r="E284">
        <f>IF(D3953&gt;0,VLOOKUP(OPERAC[[#This Row],[COD CART]],[1]!MatrizCortoLargoCyl[#All],3,0),"")</f>
        <v/>
      </c>
      <c r="F284" t="inlineStr">
        <is>
          <t>GLD</t>
        </is>
      </c>
      <c r="G284" t="n">
        <v>5</v>
      </c>
      <c r="H284" t="n">
        <v>-888.6448</v>
      </c>
      <c r="I284">
        <f>-H3953/G3953</f>
        <v/>
      </c>
      <c r="J284" s="16" t="n">
        <v>44623</v>
      </c>
      <c r="K284" t="n">
        <v>5</v>
      </c>
      <c r="L284" t="n">
        <v>892.785</v>
      </c>
    </row>
    <row r="285">
      <c r="A285" t="n">
        <v>2194</v>
      </c>
      <c r="B285" s="16" t="n">
        <v>44299</v>
      </c>
      <c r="C285" t="inlineStr">
        <is>
          <t>VTA</t>
        </is>
      </c>
      <c r="D285" t="n">
        <v>39</v>
      </c>
      <c r="E285">
        <f>IF(D1202&gt;0,VLOOKUP(OPERAC[[#This Row],[COD CART]],[1]!MatrizCortoLargoCyl[#All],3,0),"")</f>
        <v/>
      </c>
      <c r="F285" t="inlineStr">
        <is>
          <t>TLRY1/V/10,00/20-01-23</t>
        </is>
      </c>
      <c r="G285" t="n">
        <v>-3</v>
      </c>
      <c r="H285" t="n">
        <v>9.08</v>
      </c>
      <c r="I285">
        <f>-H1202/G1202</f>
        <v/>
      </c>
    </row>
    <row r="286">
      <c r="A286" t="n">
        <v>2194</v>
      </c>
      <c r="B286" s="16" t="n">
        <v>44312</v>
      </c>
      <c r="C286" t="inlineStr">
        <is>
          <t>CPR</t>
        </is>
      </c>
      <c r="D286" t="n">
        <v>41</v>
      </c>
      <c r="E286">
        <f>IF(D3262&gt;0,VLOOKUP(OPERAC[[#This Row],[COD CART]],[1]!MatrizCortoLargoCyl[#All],3,0),"")</f>
        <v/>
      </c>
      <c r="F286" t="inlineStr">
        <is>
          <t>AAPL</t>
        </is>
      </c>
      <c r="G286" t="n">
        <v>5</v>
      </c>
      <c r="H286" t="n">
        <v>-679.4848000000001</v>
      </c>
      <c r="I286">
        <f>-H3262/G3262</f>
        <v/>
      </c>
    </row>
    <row r="287">
      <c r="A287" t="n">
        <v>2194</v>
      </c>
      <c r="B287" s="16" t="n">
        <v>44312</v>
      </c>
      <c r="C287" t="inlineStr">
        <is>
          <t>CPR</t>
        </is>
      </c>
      <c r="D287" t="n">
        <v>41</v>
      </c>
      <c r="E287">
        <f>IF(D3309&gt;0,VLOOKUP(OPERAC[[#This Row],[COD CART]],[1]!MatrizCortoLargoCyl[#All],3,0),"")</f>
        <v/>
      </c>
      <c r="F287" t="inlineStr">
        <is>
          <t>BNTX</t>
        </is>
      </c>
      <c r="G287" t="n">
        <v>4</v>
      </c>
      <c r="H287" t="n">
        <v>-688.0528</v>
      </c>
      <c r="I287">
        <f>-H3309/G3309</f>
        <v/>
      </c>
    </row>
    <row r="288">
      <c r="A288" t="n">
        <v>2194</v>
      </c>
      <c r="B288" s="16" t="n">
        <v>44312</v>
      </c>
      <c r="C288" t="inlineStr">
        <is>
          <t>VTA</t>
        </is>
      </c>
      <c r="D288" t="n">
        <v>41</v>
      </c>
      <c r="E288">
        <f>IF(D2076&gt;0,VLOOKUP(OPERAC[[#This Row],[COD CART]],[1]!MatrizCortoLargoCyl[#All],3,0),"")</f>
        <v/>
      </c>
      <c r="F288" t="inlineStr">
        <is>
          <t>ETHE</t>
        </is>
      </c>
      <c r="G288" t="n">
        <v>13</v>
      </c>
      <c r="H288" t="n">
        <v>-331.48288</v>
      </c>
      <c r="I288">
        <f>-H2076/G2076</f>
        <v/>
      </c>
    </row>
    <row r="289">
      <c r="A289" t="n">
        <v>2194</v>
      </c>
      <c r="B289" s="16" t="n">
        <v>44312</v>
      </c>
      <c r="C289" t="inlineStr">
        <is>
          <t>VTA</t>
        </is>
      </c>
      <c r="D289" t="n">
        <v>41</v>
      </c>
      <c r="E289">
        <f>IF(D2282&gt;0,VLOOKUP(OPERAC[[#This Row],[COD CART]],[1]!MatrizCortoLargoCyl[#All],3,0),"")</f>
        <v/>
      </c>
      <c r="F289" t="inlineStr">
        <is>
          <t>SPGI</t>
        </is>
      </c>
      <c r="G289" t="n">
        <v>1</v>
      </c>
      <c r="H289" t="n">
        <v>-390.088</v>
      </c>
      <c r="I289">
        <f>-H2282/G2282</f>
        <v/>
      </c>
    </row>
    <row r="290">
      <c r="A290" t="n">
        <v>2194</v>
      </c>
      <c r="B290" s="16" t="n">
        <v>44312</v>
      </c>
      <c r="C290" t="inlineStr">
        <is>
          <t>VTA</t>
        </is>
      </c>
      <c r="D290" t="n">
        <v>41</v>
      </c>
      <c r="E290">
        <f>IF(D2850&gt;0,VLOOKUP(OPERAC[[#This Row],[COD CART]],[1]!MatrizCortoLargoCyl[#All],3,0),"")</f>
        <v/>
      </c>
      <c r="F290" t="inlineStr">
        <is>
          <t>MSFT</t>
        </is>
      </c>
      <c r="G290" t="n">
        <v>2</v>
      </c>
      <c r="H290" t="n">
        <v>-527.8614399999999</v>
      </c>
      <c r="I290">
        <f>-H2850/G2850</f>
        <v/>
      </c>
    </row>
    <row r="291">
      <c r="A291" t="n">
        <v>2194</v>
      </c>
      <c r="B291" s="16" t="n">
        <v>44312</v>
      </c>
      <c r="C291" t="inlineStr">
        <is>
          <t>VTA</t>
        </is>
      </c>
      <c r="D291" t="n">
        <v>41</v>
      </c>
      <c r="E291">
        <f>IF(D2894&gt;0,VLOOKUP(OPERAC[[#This Row],[COD CART]],[1]!MatrizCortoLargoCyl[#All],3,0),"")</f>
        <v/>
      </c>
      <c r="F291" t="inlineStr">
        <is>
          <t>KO</t>
        </is>
      </c>
      <c r="G291" t="n">
        <v>10</v>
      </c>
      <c r="H291" t="n">
        <v>-543.6064</v>
      </c>
      <c r="I291">
        <f>-H2894/G2894</f>
        <v/>
      </c>
    </row>
    <row r="292">
      <c r="A292" t="n">
        <v>2194</v>
      </c>
      <c r="B292" s="16" t="n">
        <v>44312</v>
      </c>
      <c r="C292" t="inlineStr">
        <is>
          <t>VTA</t>
        </is>
      </c>
      <c r="D292" t="n">
        <v>41</v>
      </c>
      <c r="E292">
        <f>IF(D2968&gt;0,VLOOKUP(OPERAC[[#This Row],[COD CART]],[1]!MatrizCortoLargoCyl[#All],3,0),"")</f>
        <v/>
      </c>
      <c r="F292" t="inlineStr">
        <is>
          <t>ABBV</t>
        </is>
      </c>
      <c r="G292" t="n">
        <v>5</v>
      </c>
      <c r="H292" t="n">
        <v>-562.7583999999999</v>
      </c>
      <c r="I292">
        <f>-H2968/G2968</f>
        <v/>
      </c>
    </row>
    <row r="293">
      <c r="A293" t="n">
        <v>2194</v>
      </c>
      <c r="B293" s="16" t="n">
        <v>44312</v>
      </c>
      <c r="C293" t="inlineStr">
        <is>
          <t>VTA</t>
        </is>
      </c>
      <c r="D293" t="n">
        <v>41</v>
      </c>
      <c r="E293">
        <f>IF(D3059&gt;0,VLOOKUP(OPERAC[[#This Row],[COD CART]],[1]!MatrizCortoLargoCyl[#All],3,0),"")</f>
        <v/>
      </c>
      <c r="F293" t="inlineStr">
        <is>
          <t>FB</t>
        </is>
      </c>
      <c r="G293" t="n">
        <v>2</v>
      </c>
      <c r="H293" t="n">
        <v>-611.82784</v>
      </c>
      <c r="I293">
        <f>-H3059/G3059</f>
        <v/>
      </c>
    </row>
    <row r="294">
      <c r="A294" t="n">
        <v>2194</v>
      </c>
      <c r="B294" s="16" t="n">
        <v>44340</v>
      </c>
      <c r="C294" t="inlineStr">
        <is>
          <t>VTA</t>
        </is>
      </c>
      <c r="D294" t="n">
        <v>39</v>
      </c>
      <c r="E294">
        <f>IF(D1190&gt;0,VLOOKUP(OPERAC[[#This Row],[COD CART]],[1]!MatrizCortoLargoCyl[#All],3,0),"")</f>
        <v/>
      </c>
      <c r="F294" t="inlineStr">
        <is>
          <t>SOLO/V/2,50/20-01-23</t>
        </is>
      </c>
      <c r="G294" t="n">
        <v>-10</v>
      </c>
      <c r="H294" t="n">
        <v>9.960000000000001</v>
      </c>
      <c r="I294">
        <f>-H1190/G1190</f>
        <v/>
      </c>
    </row>
    <row r="295">
      <c r="A295" t="n">
        <v>2194</v>
      </c>
      <c r="B295" s="16" t="n">
        <v>44341</v>
      </c>
      <c r="C295" t="inlineStr">
        <is>
          <t>VTA</t>
        </is>
      </c>
      <c r="D295" t="n">
        <v>39</v>
      </c>
      <c r="E295">
        <f>IF(D835&gt;0,VLOOKUP(OPERAC[[#This Row],[COD CART]],[1]!MatrizCortoLargoCyl[#All],3,0),"")</f>
        <v/>
      </c>
      <c r="F295" t="inlineStr">
        <is>
          <t>INO/V/5,00/21-01-22</t>
        </is>
      </c>
      <c r="G295" t="n">
        <v>-200</v>
      </c>
      <c r="H295">
        <f>200*1.05</f>
        <v/>
      </c>
      <c r="I295">
        <f>-H835/G835</f>
        <v/>
      </c>
      <c r="J295" s="16" t="n">
        <v>44580</v>
      </c>
      <c r="K295" t="n">
        <v>-200</v>
      </c>
      <c r="L295" t="n">
        <v>-156.322</v>
      </c>
    </row>
    <row r="296">
      <c r="A296" t="n">
        <v>2194</v>
      </c>
      <c r="B296" s="16" t="n">
        <v>44446</v>
      </c>
      <c r="C296" t="inlineStr">
        <is>
          <t>CPR</t>
        </is>
      </c>
      <c r="D296" t="n">
        <v>32</v>
      </c>
      <c r="E296">
        <f>IF(D3280&gt;0,VLOOKUP(OPERAC[[#This Row],[COD CART]],[1]!MatrizCortoLargoCyl[#All],3,0),"")</f>
        <v/>
      </c>
      <c r="F296" t="inlineStr">
        <is>
          <t>INO/CYL/8,00/18-02-22</t>
        </is>
      </c>
      <c r="G296" t="n">
        <v>100</v>
      </c>
      <c r="H296">
        <f>-758.932+27.502+30.172+14.579+4.707</f>
        <v/>
      </c>
      <c r="I296">
        <f>-H3280/G3280</f>
        <v/>
      </c>
      <c r="J296" s="16" t="n">
        <v>44596</v>
      </c>
      <c r="K296" t="n">
        <v>100</v>
      </c>
      <c r="L296">
        <f>3.665*OPERAC[[#This Row],[cantidad venta]]</f>
        <v/>
      </c>
    </row>
    <row r="297">
      <c r="A297" t="n">
        <v>2194</v>
      </c>
      <c r="B297" s="16" t="n">
        <v>44461</v>
      </c>
      <c r="C297" t="inlineStr">
        <is>
          <t>CPR</t>
        </is>
      </c>
      <c r="D297" t="n">
        <v>32</v>
      </c>
      <c r="E297">
        <f>IF(D4418&gt;0,VLOOKUP(OPERAC[[#This Row],[COD CART]],[1]!MatrizCortoLargoCyl[#All],3,0),"")</f>
        <v/>
      </c>
      <c r="F297" t="inlineStr">
        <is>
          <t>SKLZ/CYL/10,00/21-01-22</t>
        </is>
      </c>
      <c r="G297" t="n">
        <v>100</v>
      </c>
      <c r="H297">
        <f>-1142+276.7-244.956</f>
        <v/>
      </c>
      <c r="I297">
        <f>-H4418/G4418</f>
        <v/>
      </c>
      <c r="J297" s="16" t="n">
        <v>44579</v>
      </c>
      <c r="K297">
        <f>+OPERAC[[#This Row],[cantidad]]</f>
        <v/>
      </c>
      <c r="L297">
        <f>+OPERAC[[#This Row],[cantidad venta]]*5.679</f>
        <v/>
      </c>
    </row>
    <row r="298">
      <c r="A298" t="n">
        <v>2194</v>
      </c>
      <c r="B298" s="16" t="n">
        <v>44461</v>
      </c>
      <c r="C298" t="inlineStr">
        <is>
          <t>VTA</t>
        </is>
      </c>
      <c r="D298" t="n">
        <v>40</v>
      </c>
      <c r="E298">
        <f>IF(D5620&gt;0,VLOOKUP(OPERAC[[#This Row],[COD CART]],[1]!MatrizCortoLargoCyl[#All],3,0),"")</f>
        <v/>
      </c>
      <c r="F298" t="inlineStr">
        <is>
          <t>EDU</t>
        </is>
      </c>
      <c r="G298" t="n">
        <v>1400</v>
      </c>
      <c r="H298">
        <f>-1400*1.68+0.04*OPERAC[[#This Row],[cantidad]]</f>
        <v/>
      </c>
      <c r="I298">
        <f>-H5620/G5620</f>
        <v/>
      </c>
      <c r="J298" s="16" t="n">
        <v>44622</v>
      </c>
      <c r="K298" t="n">
        <v>1400</v>
      </c>
      <c r="L298">
        <f>+OPERAC[[#This Row],[cantidad venta]]*1.376</f>
        <v/>
      </c>
    </row>
    <row r="299">
      <c r="A299" t="n">
        <v>2194</v>
      </c>
      <c r="B299" s="16" t="n">
        <v>44466</v>
      </c>
      <c r="C299" t="inlineStr">
        <is>
          <t>VTA</t>
        </is>
      </c>
      <c r="D299" t="n">
        <v>43</v>
      </c>
      <c r="E299">
        <f>IF(D3070&gt;0,VLOOKUP(OPERAC[[#This Row],[COD CART]],[1]!MatrizCortoLargoCyl[#All],3,0),"")</f>
        <v/>
      </c>
      <c r="F299" t="inlineStr">
        <is>
          <t>SOLO/CYL-PUT/4,00/16-09-22</t>
        </is>
      </c>
      <c r="G299" t="n">
        <v>300</v>
      </c>
      <c r="H299">
        <f>-892.25181+0.32*OPERAC[[#This Row],[cantidad]]+0.387*OPERAC[[#This Row],[cantidad]]+0.22*OPERAC[[#This Row],[cantidad]]</f>
        <v/>
      </c>
      <c r="I299">
        <f>-H3070/G3070</f>
        <v/>
      </c>
    </row>
    <row r="300">
      <c r="A300" t="n">
        <v>2194</v>
      </c>
      <c r="B300" s="16" t="n">
        <v>44511</v>
      </c>
      <c r="C300" t="inlineStr">
        <is>
          <t>VTA</t>
        </is>
      </c>
      <c r="D300" t="n">
        <v>31</v>
      </c>
      <c r="E300">
        <f>IF(D1633&gt;0,VLOOKUP(OPERAC[[#This Row],[COD CART]],[1]!MatrizCortoLargoCyl[#All],3,0),"")</f>
        <v/>
      </c>
      <c r="F300" t="inlineStr">
        <is>
          <t>IPIX</t>
        </is>
      </c>
      <c r="G300" t="n">
        <v>2000</v>
      </c>
      <c r="H300" t="n">
        <v>-219.98</v>
      </c>
      <c r="I300">
        <f>-H1633/G1633</f>
        <v/>
      </c>
    </row>
    <row r="301">
      <c r="A301" t="n">
        <v>2194</v>
      </c>
      <c r="B301" s="16" t="n">
        <v>44523</v>
      </c>
      <c r="C301" t="inlineStr">
        <is>
          <t>VTA</t>
        </is>
      </c>
      <c r="D301" t="n">
        <v>40</v>
      </c>
      <c r="E301">
        <f>IF(D2142&gt;0,VLOOKUP(OPERAC[[#This Row],[COD CART]],[1]!MatrizCortoLargoCyl[#All],3,0),"")</f>
        <v/>
      </c>
      <c r="F301" t="inlineStr">
        <is>
          <t>EDU</t>
        </is>
      </c>
      <c r="G301" t="n">
        <v>200</v>
      </c>
      <c r="H301">
        <f>-355.898+0.026*OPERAC[[#This Row],[cantidad]]</f>
        <v/>
      </c>
      <c r="I301">
        <f>-H2142/G2142</f>
        <v/>
      </c>
      <c r="J301" s="16" t="n">
        <v>44622</v>
      </c>
      <c r="K301" t="n">
        <v>200</v>
      </c>
      <c r="L301">
        <f>+OPERAC[[#This Row],[cantidad venta]]*1.376</f>
        <v/>
      </c>
    </row>
    <row r="302">
      <c r="A302" t="n">
        <v>2194</v>
      </c>
      <c r="B302" s="16" t="n">
        <v>44523</v>
      </c>
      <c r="C302" t="inlineStr">
        <is>
          <t>VTA</t>
        </is>
      </c>
      <c r="D302" t="n">
        <v>40</v>
      </c>
      <c r="E302">
        <f>IF(D2305&gt;0,VLOOKUP(OPERAC[[#This Row],[COD CART]],[1]!MatrizCortoLargoCyl[#All],3,0),"")</f>
        <v/>
      </c>
      <c r="F302" t="inlineStr">
        <is>
          <t>GMBL</t>
        </is>
      </c>
      <c r="G302" t="n">
        <v>100</v>
      </c>
      <c r="H302">
        <f>-411.931+9.067</f>
        <v/>
      </c>
      <c r="I302">
        <f>-H2305/G2305</f>
        <v/>
      </c>
      <c r="J302" s="16" t="n">
        <v>44636</v>
      </c>
      <c r="K302" t="n">
        <v>100</v>
      </c>
      <c r="L302" t="n">
        <v>73.196</v>
      </c>
    </row>
    <row r="303">
      <c r="A303" t="n">
        <v>2194</v>
      </c>
      <c r="B303" s="16" t="n">
        <v>44523</v>
      </c>
      <c r="C303" t="inlineStr">
        <is>
          <t>VTA</t>
        </is>
      </c>
      <c r="D303" t="n">
        <v>32</v>
      </c>
      <c r="E303">
        <f>IF(D3731&gt;0,VLOOKUP(OPERAC[[#This Row],[COD CART]],[1]!MatrizCortoLargoCyl[#All],3,0),"")</f>
        <v/>
      </c>
      <c r="F303" t="inlineStr">
        <is>
          <t>TEVA/CYL/9,00/21-01-22</t>
        </is>
      </c>
      <c r="G303" t="n">
        <v>100</v>
      </c>
      <c r="H303">
        <f>-861.6332+18.874</f>
        <v/>
      </c>
      <c r="I303">
        <f>-H3731/G3731</f>
        <v/>
      </c>
      <c r="J303" s="16" t="n">
        <v>44575</v>
      </c>
      <c r="K303" t="n">
        <v>100</v>
      </c>
      <c r="L303" t="n">
        <v>878.913</v>
      </c>
    </row>
    <row r="304">
      <c r="A304" t="n">
        <v>2194</v>
      </c>
      <c r="B304" s="16" t="n">
        <v>44532</v>
      </c>
      <c r="C304" t="inlineStr">
        <is>
          <t>CPR</t>
        </is>
      </c>
      <c r="D304" t="n">
        <v>32</v>
      </c>
      <c r="E304">
        <f>IF(D5782&gt;0,VLOOKUP(OPERAC[[#This Row],[COD CART]],[1]!MatrizCortoLargoCyl[#All],3,0),"")</f>
        <v/>
      </c>
      <c r="F304" t="inlineStr">
        <is>
          <t>COTY/CYL/10,00/18-02-22</t>
        </is>
      </c>
      <c r="G304" t="n">
        <v>300</v>
      </c>
      <c r="H304">
        <f>-2704.797+62.513</f>
        <v/>
      </c>
      <c r="I304">
        <f>-H5782/G5782</f>
        <v/>
      </c>
      <c r="J304" s="16" t="n">
        <v>44608</v>
      </c>
      <c r="K304">
        <f>+OPERAC[[#This Row],[cantidad]]</f>
        <v/>
      </c>
      <c r="L304" t="n">
        <v>2825.1</v>
      </c>
    </row>
    <row r="305">
      <c r="A305" t="n">
        <v>2194</v>
      </c>
      <c r="B305" s="16" t="n">
        <v>44537</v>
      </c>
      <c r="C305" t="inlineStr">
        <is>
          <t>CPR</t>
        </is>
      </c>
      <c r="D305" t="n">
        <v>32</v>
      </c>
      <c r="E305">
        <f>IF(D3406&gt;0,VLOOKUP(OPERAC[[#This Row],[COD CART]],[1]!MatrizCortoLargoCyl[#All],3,0),"")</f>
        <v/>
      </c>
      <c r="F305" t="inlineStr">
        <is>
          <t>INO/CYL/7,00/21-01-22</t>
        </is>
      </c>
      <c r="G305" t="n">
        <v>100</v>
      </c>
      <c r="H305">
        <f>-7.72*OPERAC[[#This Row],[cantidad]]+53.74</f>
        <v/>
      </c>
      <c r="I305">
        <f>-H3406/G3406</f>
        <v/>
      </c>
      <c r="J305" s="16" t="n">
        <v>44581</v>
      </c>
      <c r="K305" t="n">
        <v>100</v>
      </c>
      <c r="L305" t="n">
        <v>423.262</v>
      </c>
    </row>
    <row r="306">
      <c r="A306" t="n">
        <v>2194</v>
      </c>
      <c r="B306" s="16" t="n">
        <v>44538</v>
      </c>
      <c r="C306" t="inlineStr">
        <is>
          <t>CPR</t>
        </is>
      </c>
      <c r="D306" t="n">
        <v>43</v>
      </c>
      <c r="E306">
        <f>IF(D3457&gt;0,VLOOKUP(OPERAC[[#This Row],[COD CART]],[1]!MatrizCortoLargoCyl[#All],3,0),"")</f>
        <v/>
      </c>
      <c r="F306" t="inlineStr">
        <is>
          <t>HEXO/CYL-PUT/1,00/20-01-23</t>
        </is>
      </c>
      <c r="G306" t="n">
        <v>4000</v>
      </c>
      <c r="H306">
        <f>-0.1886*OPERAC[[#This Row],[cantidad]]</f>
        <v/>
      </c>
      <c r="I306">
        <f>-H3457/G3457</f>
        <v/>
      </c>
      <c r="J306" s="16" t="n">
        <v>44691</v>
      </c>
      <c r="K306" t="n">
        <v>4000</v>
      </c>
      <c r="L306" t="n">
        <v>-2407.88</v>
      </c>
    </row>
    <row r="307">
      <c r="A307" t="n">
        <v>2194</v>
      </c>
      <c r="B307" s="16" t="n">
        <v>44538</v>
      </c>
      <c r="C307" t="inlineStr">
        <is>
          <t>CPR</t>
        </is>
      </c>
      <c r="D307" t="n">
        <v>43</v>
      </c>
      <c r="E307">
        <f>IF(D4675&gt;0,VLOOKUP(OPERAC[[#This Row],[COD CART]],[1]!MatrizCortoLargoCyl[#All],3,0),"")</f>
        <v/>
      </c>
      <c r="F307" t="inlineStr">
        <is>
          <t>NNDM/CYL-PUT/2,50/19-01-24</t>
        </is>
      </c>
      <c r="G307" t="n">
        <v>1000</v>
      </c>
      <c r="H307">
        <f>-1.306*OPERAC[[#This Row],[cantidad]]</f>
        <v/>
      </c>
      <c r="I307">
        <f>-H4675/G4675</f>
        <v/>
      </c>
    </row>
    <row r="308">
      <c r="A308" t="n">
        <v>2194</v>
      </c>
      <c r="B308" s="16" t="n">
        <v>44538</v>
      </c>
      <c r="C308" t="inlineStr">
        <is>
          <t>VTA</t>
        </is>
      </c>
      <c r="D308" t="n">
        <v>43</v>
      </c>
      <c r="E308">
        <f>IF(D3017&gt;0,VLOOKUP(OPERAC[[#This Row],[COD CART]],[1]!MatrizCortoLargoCyl[#All],3,0),"")</f>
        <v/>
      </c>
      <c r="F308" t="inlineStr">
        <is>
          <t>XSPA/CYL-PUT/1,50/20-01-23</t>
        </is>
      </c>
      <c r="G308" t="n">
        <v>1000</v>
      </c>
      <c r="H308">
        <f>-0.59863*OPERAC[[#This Row],[cantidad]]</f>
        <v/>
      </c>
      <c r="I308">
        <f>-H3017/G3017</f>
        <v/>
      </c>
    </row>
    <row r="309">
      <c r="A309" t="n">
        <v>2194</v>
      </c>
      <c r="B309" s="16" t="n">
        <v>44539</v>
      </c>
      <c r="C309" t="inlineStr">
        <is>
          <t>CPR</t>
        </is>
      </c>
      <c r="D309" t="n">
        <v>40</v>
      </c>
      <c r="E309">
        <f>IF(D4640&gt;0,VLOOKUP(OPERAC[[#This Row],[COD CART]],[1]!MatrizCortoLargoCyl[#All],3,0),"")</f>
        <v/>
      </c>
      <c r="F309" t="inlineStr">
        <is>
          <t>ROKU</t>
        </is>
      </c>
      <c r="G309" t="n">
        <v>5</v>
      </c>
      <c r="H309" t="n">
        <v>-1288.6018</v>
      </c>
      <c r="I309">
        <f>-H4640/G4640</f>
        <v/>
      </c>
      <c r="J309" s="16" t="n">
        <v>44606</v>
      </c>
      <c r="K309">
        <f>+OPERAC[[#This Row],[cantidad]]</f>
        <v/>
      </c>
      <c r="L309">
        <f>+OPERAC[[#This Row],[cantidad venta]]*160.574</f>
        <v/>
      </c>
    </row>
    <row r="310">
      <c r="A310" t="n">
        <v>2194</v>
      </c>
      <c r="B310" s="16" t="n">
        <v>44547</v>
      </c>
      <c r="C310" t="inlineStr">
        <is>
          <t>VTA</t>
        </is>
      </c>
      <c r="D310" t="n">
        <v>39</v>
      </c>
      <c r="E310">
        <f>IF(D178&gt;0,VLOOKUP(OPERAC[[#This Row],[COD CART]],[1]!MatrizCortoLargoCyl[#All],3,0),"")</f>
        <v/>
      </c>
      <c r="F310" t="inlineStr">
        <is>
          <t>INO/V/7,00/21-01-22</t>
        </is>
      </c>
      <c r="G310" t="n">
        <v>-2500</v>
      </c>
      <c r="H310" t="n">
        <v>2276.1</v>
      </c>
      <c r="I310">
        <f>-H178/G178</f>
        <v/>
      </c>
      <c r="J310" s="16" t="n">
        <v>44580</v>
      </c>
      <c r="K310">
        <f>+OPERAC[[#This Row],[cantidad]]</f>
        <v/>
      </c>
      <c r="L310">
        <f>-OPERAC[[#This Row],[importe]]</f>
        <v/>
      </c>
    </row>
    <row r="311">
      <c r="A311" t="n">
        <v>2194</v>
      </c>
      <c r="B311" s="16" t="n">
        <v>44547</v>
      </c>
      <c r="C311" t="inlineStr">
        <is>
          <t>VTA</t>
        </is>
      </c>
      <c r="D311" t="n">
        <v>32</v>
      </c>
      <c r="E311">
        <f>IF(D3781&gt;0,VLOOKUP(OPERAC[[#This Row],[COD CART]],[1]!MatrizCortoLargoCyl[#All],3,0),"")</f>
        <v/>
      </c>
      <c r="F311" t="inlineStr">
        <is>
          <t>ARLO/CYL/9,00/18-02-22</t>
        </is>
      </c>
      <c r="G311" t="n">
        <v>100</v>
      </c>
      <c r="H311">
        <f>-866.74+14.88</f>
        <v/>
      </c>
      <c r="I311">
        <f>-H3781/G3781</f>
        <v/>
      </c>
      <c r="J311" s="16" t="n">
        <v>44607</v>
      </c>
      <c r="K311" t="n">
        <v>100</v>
      </c>
      <c r="L311" t="n">
        <v>875.33</v>
      </c>
    </row>
    <row r="312">
      <c r="A312" t="n">
        <v>2194</v>
      </c>
      <c r="B312" s="16" t="n">
        <v>44550</v>
      </c>
      <c r="C312" t="inlineStr">
        <is>
          <t>CPR</t>
        </is>
      </c>
      <c r="D312" t="n">
        <v>40</v>
      </c>
      <c r="E312">
        <f>IF(D4894&gt;0,VLOOKUP(OPERAC[[#This Row],[COD CART]],[1]!MatrizCortoLargoCyl[#All],3,0),"")</f>
        <v/>
      </c>
      <c r="F312" t="inlineStr">
        <is>
          <t>SMH</t>
        </is>
      </c>
      <c r="G312" t="n">
        <v>5</v>
      </c>
      <c r="H312" t="n">
        <v>-1469.8652</v>
      </c>
      <c r="I312">
        <f>-H4894/G4894</f>
        <v/>
      </c>
      <c r="J312" s="16" t="n">
        <v>44574</v>
      </c>
      <c r="K312">
        <f>+OPERAC[[#This Row],[cantidad]]</f>
        <v/>
      </c>
      <c r="L312">
        <f>+OPERAC[[#This Row],[cantidad venta]]*306.843</f>
        <v/>
      </c>
    </row>
    <row r="313">
      <c r="A313" t="n">
        <v>2194</v>
      </c>
      <c r="B313" s="16" t="n">
        <v>44553</v>
      </c>
      <c r="C313" t="inlineStr">
        <is>
          <t>CPR</t>
        </is>
      </c>
      <c r="D313" t="n">
        <v>40</v>
      </c>
      <c r="E313">
        <f>IF(D2591&gt;0,VLOOKUP(OPERAC[[#This Row],[COD CART]],[1]!MatrizCortoLargoCyl[#All],3,0),"")</f>
        <v/>
      </c>
      <c r="F313" t="inlineStr">
        <is>
          <t>ON</t>
        </is>
      </c>
      <c r="G313" t="n">
        <v>7</v>
      </c>
      <c r="H313" t="n">
        <v>-469.7952559999999</v>
      </c>
      <c r="I313">
        <f>-H2591/G2591</f>
        <v/>
      </c>
      <c r="J313" s="16" t="n">
        <v>44606</v>
      </c>
      <c r="K313">
        <f>+OPERAC[[#This Row],[cantidad]]</f>
        <v/>
      </c>
      <c r="L313">
        <f>+OPERAC[[#This Row],[cantidad venta]]*58.449</f>
        <v/>
      </c>
    </row>
    <row r="314">
      <c r="A314" t="n">
        <v>2194</v>
      </c>
      <c r="B314" s="16" t="n">
        <v>44558</v>
      </c>
      <c r="C314" t="inlineStr">
        <is>
          <t>VTA</t>
        </is>
      </c>
      <c r="D314" t="n">
        <v>40</v>
      </c>
      <c r="E314">
        <f>IF(D1937&gt;0,VLOOKUP(OPERAC[[#This Row],[COD CART]],[1]!MatrizCortoLargoCyl[#All],3,0),"")</f>
        <v/>
      </c>
      <c r="F314" t="inlineStr">
        <is>
          <t>UPST</t>
        </is>
      </c>
      <c r="G314" t="n">
        <v>2</v>
      </c>
      <c r="H314" t="n">
        <v>-301.2004</v>
      </c>
      <c r="I314">
        <f>-H1937/G1937</f>
        <v/>
      </c>
      <c r="J314" s="16" t="n">
        <v>44606</v>
      </c>
      <c r="K314">
        <f>+OPERAC[[#This Row],[cantidad]]</f>
        <v/>
      </c>
      <c r="L314">
        <f>+OPERAC[[#This Row],[cantidad venta]]*98.994</f>
        <v/>
      </c>
    </row>
    <row r="315">
      <c r="A315" t="n">
        <v>2194</v>
      </c>
      <c r="B315" s="16" t="n">
        <v>44572</v>
      </c>
      <c r="C315" t="inlineStr">
        <is>
          <t>VTA</t>
        </is>
      </c>
      <c r="D315" t="n">
        <v>39</v>
      </c>
      <c r="E315">
        <f>IF(D150&gt;0,VLOOKUP(OPERAC[[#This Row],[COD CART]],[1]!MatrizCortoLargoCyl[#All],3,0),"")</f>
        <v/>
      </c>
      <c r="F315" t="inlineStr">
        <is>
          <t>TLRY/V/9,00/17-06-22</t>
        </is>
      </c>
      <c r="G315" t="n">
        <v>-1000</v>
      </c>
      <c r="H315" t="n">
        <v>2750.76</v>
      </c>
      <c r="I315">
        <f>-H150/G150</f>
        <v/>
      </c>
      <c r="J315" s="16" t="n">
        <v>44614</v>
      </c>
      <c r="K315" t="n">
        <v>-1000</v>
      </c>
      <c r="L315" t="n">
        <v>-3429.99</v>
      </c>
    </row>
    <row r="316">
      <c r="A316" t="n">
        <v>2194</v>
      </c>
      <c r="B316" s="16" t="n">
        <v>44575</v>
      </c>
      <c r="C316" t="inlineStr">
        <is>
          <t>VTA</t>
        </is>
      </c>
      <c r="D316" t="n">
        <v>40</v>
      </c>
      <c r="E316">
        <f>IF(D1989&gt;0,VLOOKUP(OPERAC[[#This Row],[COD CART]],[1]!MatrizCortoLargoCyl[#All],3,0),"")</f>
        <v/>
      </c>
      <c r="F316" t="inlineStr">
        <is>
          <t>GBTC</t>
        </is>
      </c>
      <c r="G316" t="n">
        <v>10</v>
      </c>
      <c r="H316" t="n">
        <v>-308.0948</v>
      </c>
      <c r="I316">
        <f>-H1989/G1989</f>
        <v/>
      </c>
      <c r="J316" s="16" t="n">
        <v>44651</v>
      </c>
      <c r="K316">
        <f>+OPERAC[[#This Row],[cantidad]]</f>
        <v/>
      </c>
      <c r="L316">
        <f>+OPERAC[[#This Row],[cantidad venta]]*31.332</f>
        <v/>
      </c>
    </row>
    <row r="317">
      <c r="A317" t="n">
        <v>2194</v>
      </c>
      <c r="B317" s="16" t="n">
        <v>44579</v>
      </c>
      <c r="C317" t="inlineStr">
        <is>
          <t>VTA</t>
        </is>
      </c>
      <c r="D317" t="n">
        <v>39</v>
      </c>
      <c r="E317">
        <f>IF(D702&gt;0,VLOOKUP(OPERAC[[#This Row],[COD CART]],[1]!MatrizCortoLargoCyl[#All],3,0),"")</f>
        <v/>
      </c>
      <c r="F317" t="inlineStr">
        <is>
          <t>ACB/V/5,50/21-01-22</t>
        </is>
      </c>
      <c r="G317" t="n">
        <v>-1300</v>
      </c>
      <c r="H317" t="n">
        <v>415.168</v>
      </c>
      <c r="I317">
        <f>-H702/G702</f>
        <v/>
      </c>
      <c r="J317" s="16" t="n">
        <v>44581</v>
      </c>
      <c r="K317">
        <f>+OPERAC[[#This Row],[cantidad]]</f>
        <v/>
      </c>
      <c r="L317">
        <f>-OPERAC[[#This Row],[importe]]</f>
        <v/>
      </c>
    </row>
    <row r="318">
      <c r="A318" t="n">
        <v>2194</v>
      </c>
      <c r="B318" s="16" t="n">
        <v>44579</v>
      </c>
      <c r="C318" t="inlineStr">
        <is>
          <t>VTA</t>
        </is>
      </c>
      <c r="D318" t="n">
        <v>39</v>
      </c>
      <c r="E318">
        <f>IF(D1244&gt;0,VLOOKUP(OPERAC[[#This Row],[COD CART]],[1]!MatrizCortoLargoCyl[#All],3,0),"")</f>
        <v/>
      </c>
      <c r="F318" t="inlineStr">
        <is>
          <t>YPF/V/5,00/15-07-22</t>
        </is>
      </c>
      <c r="G318" t="n">
        <v>-3</v>
      </c>
      <c r="H318" t="n">
        <v>3.2547</v>
      </c>
      <c r="I318">
        <f>-H1244/G1244</f>
        <v/>
      </c>
    </row>
    <row r="319">
      <c r="A319" t="n">
        <v>2194</v>
      </c>
      <c r="B319" s="16" t="n">
        <v>44580</v>
      </c>
      <c r="C319" t="inlineStr">
        <is>
          <t>VTA</t>
        </is>
      </c>
      <c r="D319" t="n">
        <v>39</v>
      </c>
      <c r="E319">
        <f>IF(D28&gt;0,VLOOKUP(OPERAC[[#This Row],[COD CART]],[1]!MatrizCortoLargoCyl[#All],3,0),"")</f>
        <v/>
      </c>
      <c r="F319" t="inlineStr">
        <is>
          <t>INO/V/7,00/18-02-22</t>
        </is>
      </c>
      <c r="G319" t="n">
        <v>-2500</v>
      </c>
      <c r="H319" t="n">
        <v>6926.625</v>
      </c>
      <c r="I319">
        <f>-H28/G28</f>
        <v/>
      </c>
      <c r="J319" s="16" t="n">
        <v>44600</v>
      </c>
      <c r="K319" t="n">
        <v>-2500</v>
      </c>
      <c r="L319" t="n">
        <v>-6926</v>
      </c>
    </row>
    <row r="320">
      <c r="A320" t="n">
        <v>2194</v>
      </c>
      <c r="B320" s="16" t="n">
        <v>44580</v>
      </c>
      <c r="C320" t="inlineStr">
        <is>
          <t>VTA</t>
        </is>
      </c>
      <c r="D320" t="n">
        <v>39</v>
      </c>
      <c r="E320">
        <f>IF(D883&gt;0,VLOOKUP(OPERAC[[#This Row],[COD CART]],[1]!MatrizCortoLargoCyl[#All],3,0),"")</f>
        <v/>
      </c>
      <c r="F320" t="inlineStr">
        <is>
          <t>INO/V/5,00/18-02-22</t>
        </is>
      </c>
      <c r="G320" t="n">
        <v>-200</v>
      </c>
      <c r="H320" t="n">
        <v>187.092</v>
      </c>
      <c r="I320">
        <f>-H883/G883</f>
        <v/>
      </c>
      <c r="J320" s="16" t="n">
        <v>44600</v>
      </c>
      <c r="K320" t="n">
        <v>-200</v>
      </c>
      <c r="L320" t="n">
        <v>-187</v>
      </c>
    </row>
    <row r="321">
      <c r="A321" t="n">
        <v>2194</v>
      </c>
      <c r="B321" s="16" t="n">
        <v>44581</v>
      </c>
      <c r="C321" t="inlineStr">
        <is>
          <t>CPR</t>
        </is>
      </c>
      <c r="D321" t="n">
        <v>32</v>
      </c>
      <c r="E321">
        <f>IF(D3562&gt;0,VLOOKUP(OPERAC[[#This Row],[COD CART]],[1]!MatrizCortoLargoCyl[#All],3,0),"")</f>
        <v/>
      </c>
      <c r="F321" t="inlineStr">
        <is>
          <t>HMY/CYL/4,00/18-02-22</t>
        </is>
      </c>
      <c r="G321" t="n">
        <v>200</v>
      </c>
      <c r="H321" t="n">
        <v>-774.9359920000001</v>
      </c>
      <c r="I321">
        <f>-H3562/G3562</f>
        <v/>
      </c>
      <c r="J321" s="16" t="n">
        <v>44610</v>
      </c>
      <c r="K321">
        <f>+OPERAC[[#This Row],[cantidad]]</f>
        <v/>
      </c>
      <c r="L321">
        <f>+OPERAC[[#This Row],[cantidad venta]]*3.8323</f>
        <v/>
      </c>
    </row>
    <row r="322">
      <c r="A322" t="n">
        <v>2194</v>
      </c>
      <c r="B322" s="16" t="n">
        <v>44581</v>
      </c>
      <c r="C322" t="inlineStr">
        <is>
          <t>VTA</t>
        </is>
      </c>
      <c r="D322" t="n">
        <v>39</v>
      </c>
      <c r="E322">
        <f>IF(D557&gt;0,VLOOKUP(OPERAC[[#This Row],[COD CART]],[1]!MatrizCortoLargoCyl[#All],3,0),"")</f>
        <v/>
      </c>
      <c r="F322" t="inlineStr">
        <is>
          <t>DIS/V/155,00/18-02-22</t>
        </is>
      </c>
      <c r="G322" t="n">
        <v>-100</v>
      </c>
      <c r="H322" t="n">
        <v>743.723</v>
      </c>
      <c r="I322">
        <f>-H557/G557</f>
        <v/>
      </c>
      <c r="J322" s="16" t="n">
        <v>44607</v>
      </c>
      <c r="K322" t="n">
        <v>-100</v>
      </c>
      <c r="L322" t="n">
        <v>-217.42</v>
      </c>
    </row>
    <row r="323">
      <c r="A323" t="n">
        <v>2194</v>
      </c>
      <c r="B323" s="16" t="n">
        <v>44581</v>
      </c>
      <c r="C323" t="inlineStr">
        <is>
          <t>VTA</t>
        </is>
      </c>
      <c r="D323" t="n">
        <v>39</v>
      </c>
      <c r="E323">
        <f>IF(D579&gt;0,VLOOKUP(OPERAC[[#This Row],[COD CART]],[1]!MatrizCortoLargoCyl[#All],3,0),"")</f>
        <v/>
      </c>
      <c r="F323" t="inlineStr">
        <is>
          <t>ACB/V/5,50/25-02-22</t>
        </is>
      </c>
      <c r="G323" t="n">
        <v>-800</v>
      </c>
      <c r="H323" t="n">
        <v>656.4964</v>
      </c>
      <c r="I323">
        <f>-H579/G579</f>
        <v/>
      </c>
      <c r="J323" s="16" t="n">
        <v>44614</v>
      </c>
      <c r="K323" t="n">
        <v>-800</v>
      </c>
      <c r="L323" t="n">
        <v>-656</v>
      </c>
    </row>
    <row r="324">
      <c r="A324" t="n">
        <v>2194</v>
      </c>
      <c r="B324" s="16" t="n">
        <v>44582</v>
      </c>
      <c r="C324" t="inlineStr">
        <is>
          <t>VTA</t>
        </is>
      </c>
      <c r="D324" t="n">
        <v>40</v>
      </c>
      <c r="E324">
        <f>IF(D5484&gt;0,VLOOKUP(OPERAC[[#This Row],[COD CART]],[1]!MatrizCortoLargoCyl[#All],3,0),"")</f>
        <v/>
      </c>
      <c r="F324" t="inlineStr">
        <is>
          <t>NFLX</t>
        </is>
      </c>
      <c r="G324" t="n">
        <v>5</v>
      </c>
      <c r="H324" t="n">
        <v>-1953.1855</v>
      </c>
      <c r="I324">
        <f>-H5484/G5484</f>
        <v/>
      </c>
      <c r="J324" s="16" t="n">
        <v>44593</v>
      </c>
      <c r="K324">
        <f>+OPERAC[[#This Row],[cantidad]]</f>
        <v/>
      </c>
      <c r="L324">
        <f>+OPERAC[[#This Row],[cantidad venta]]*448.602</f>
        <v/>
      </c>
    </row>
    <row r="325">
      <c r="A325" t="n">
        <v>2194</v>
      </c>
      <c r="B325" s="16" t="n">
        <v>44587</v>
      </c>
      <c r="C325" t="inlineStr">
        <is>
          <t>CPR</t>
        </is>
      </c>
      <c r="D325" t="n">
        <v>40</v>
      </c>
      <c r="E325">
        <f>IF(D4975&gt;0,VLOOKUP(OPERAC[[#This Row],[COD CART]],[1]!MatrizCortoLargoCyl[#All],3,0),"")</f>
        <v/>
      </c>
      <c r="F325" t="inlineStr">
        <is>
          <t>MSFT</t>
        </is>
      </c>
      <c r="G325" t="n">
        <v>5</v>
      </c>
      <c r="H325" t="n">
        <v>-1517.0563</v>
      </c>
      <c r="I325">
        <f>-H4975/G4975</f>
        <v/>
      </c>
      <c r="J325" s="16" t="n">
        <v>44606</v>
      </c>
      <c r="K325">
        <f>+OPERAC[[#This Row],[cantidad]]</f>
        <v/>
      </c>
      <c r="L325">
        <f>+OPERAC[[#This Row],[cantidad venta]]*290.091</f>
        <v/>
      </c>
    </row>
    <row r="326">
      <c r="A326" t="n">
        <v>2194</v>
      </c>
      <c r="B326" s="16" t="n">
        <v>44594</v>
      </c>
      <c r="C326" t="inlineStr">
        <is>
          <t>CPR</t>
        </is>
      </c>
      <c r="D326" t="n">
        <v>40</v>
      </c>
      <c r="E326">
        <f>IF(D5832&gt;0,VLOOKUP(OPERAC[[#This Row],[COD CART]],[1]!MatrizCortoLargoCyl[#All],3,0),"")</f>
        <v/>
      </c>
      <c r="F326" t="inlineStr">
        <is>
          <t>EDU</t>
        </is>
      </c>
      <c r="G326" t="n">
        <v>1400</v>
      </c>
      <c r="H326" t="n">
        <v>-2822.4</v>
      </c>
      <c r="I326">
        <f>-H5832/G5832</f>
        <v/>
      </c>
      <c r="J326" s="16" t="n">
        <v>44601</v>
      </c>
      <c r="K326" t="n">
        <v>1400</v>
      </c>
      <c r="L326">
        <f>1.472*1400</f>
        <v/>
      </c>
    </row>
    <row r="327">
      <c r="A327" t="n">
        <v>2194</v>
      </c>
      <c r="B327" s="16" t="n">
        <v>44596</v>
      </c>
      <c r="C327" t="inlineStr">
        <is>
          <t>VTA</t>
        </is>
      </c>
      <c r="D327" t="n">
        <v>39</v>
      </c>
      <c r="E327">
        <f>IF(D606&gt;0,VLOOKUP(OPERAC[[#This Row],[COD CART]],[1]!MatrizCortoLargoCyl[#All],3,0),"")</f>
        <v/>
      </c>
      <c r="F327" t="inlineStr">
        <is>
          <t>SMH/V/260,00/11-02-22</t>
        </is>
      </c>
      <c r="G327" t="n">
        <v>-200</v>
      </c>
      <c r="H327" t="n">
        <v>601.726</v>
      </c>
      <c r="I327">
        <f>-H606/G606</f>
        <v/>
      </c>
      <c r="J327" s="16" t="n">
        <v>44603</v>
      </c>
      <c r="K327" t="n">
        <v>-200</v>
      </c>
      <c r="L327" t="n">
        <v>-20</v>
      </c>
    </row>
    <row r="328">
      <c r="A328" t="n">
        <v>2194</v>
      </c>
      <c r="B328" s="16" t="n">
        <v>44600</v>
      </c>
      <c r="C328" t="inlineStr">
        <is>
          <t>VTA</t>
        </is>
      </c>
      <c r="D328" t="n">
        <v>39</v>
      </c>
      <c r="E328">
        <f>IF(D962&gt;0,VLOOKUP(OPERAC[[#This Row],[COD CART]],[1]!MatrizCortoLargoCyl[#All],3,0),"")</f>
        <v/>
      </c>
      <c r="F328" t="inlineStr">
        <is>
          <t>DDD/V/17,00/20-01-23</t>
        </is>
      </c>
      <c r="G328" t="n">
        <v>-23</v>
      </c>
      <c r="H328">
        <f>-3.8*OPERAC[[#This Row],[cantidad]]</f>
        <v/>
      </c>
      <c r="I328">
        <f>-H962/G962</f>
        <v/>
      </c>
    </row>
    <row r="329">
      <c r="A329" t="n">
        <v>2194</v>
      </c>
      <c r="B329" s="16" t="n">
        <v>44601</v>
      </c>
      <c r="C329" t="inlineStr">
        <is>
          <t>VTA</t>
        </is>
      </c>
      <c r="D329" t="n">
        <v>43</v>
      </c>
      <c r="E329">
        <f>IF(D5552&gt;0,VLOOKUP(OPERAC[[#This Row],[COD CART]],[1]!MatrizCortoLargoCyl[#All],3,0),"")</f>
        <v/>
      </c>
      <c r="F329" t="inlineStr">
        <is>
          <t>GMBL/CYL-PUT/2,50/20-01-23</t>
        </is>
      </c>
      <c r="G329" t="n">
        <v>1600</v>
      </c>
      <c r="H329">
        <f>-1.3*OPERAC[[#This Row],[cantidad]]</f>
        <v/>
      </c>
      <c r="I329">
        <f>-H5552/G5552</f>
        <v/>
      </c>
      <c r="J329" s="16" t="n">
        <v>44636</v>
      </c>
      <c r="K329" t="n">
        <v>1600</v>
      </c>
      <c r="L329">
        <f>-1.36*OPERAC[[#This Row],[cantidad venta]]</f>
        <v/>
      </c>
    </row>
    <row r="330">
      <c r="A330" t="n">
        <v>2194</v>
      </c>
      <c r="B330" s="16" t="n">
        <v>44602</v>
      </c>
      <c r="C330" t="inlineStr">
        <is>
          <t>CPR</t>
        </is>
      </c>
      <c r="D330" t="n">
        <v>32</v>
      </c>
      <c r="E330">
        <f>IF(D4489&gt;0,VLOOKUP(OPERAC[[#This Row],[COD CART]],[1]!MatrizCortoLargoCyl[#All],3,0),"")</f>
        <v/>
      </c>
      <c r="F330" t="inlineStr">
        <is>
          <t>BIOX/CYL/12,50/18-03-22</t>
        </is>
      </c>
      <c r="G330" t="n">
        <v>100</v>
      </c>
      <c r="H330" t="n">
        <v>-1176</v>
      </c>
      <c r="I330">
        <f>-H4489/G4489</f>
        <v/>
      </c>
      <c r="J330" s="16" t="n">
        <v>44634</v>
      </c>
      <c r="K330" t="n">
        <v>100</v>
      </c>
      <c r="L330" t="n">
        <v>1235.48</v>
      </c>
    </row>
    <row r="331">
      <c r="A331" t="n">
        <v>2194</v>
      </c>
      <c r="B331" s="16" t="n">
        <v>44602</v>
      </c>
      <c r="C331" t="inlineStr">
        <is>
          <t>VTA</t>
        </is>
      </c>
      <c r="D331" t="n">
        <v>32</v>
      </c>
      <c r="E331">
        <f>IF(D3825&gt;0,VLOOKUP(OPERAC[[#This Row],[COD CART]],[1]!MatrizCortoLargoCyl[#All],3,0),"")</f>
        <v/>
      </c>
      <c r="F331" t="inlineStr">
        <is>
          <t>TEVA</t>
        </is>
      </c>
      <c r="G331" t="n">
        <v>100</v>
      </c>
      <c r="H331">
        <f>-8.59*OPERAC[[#This Row],[cantidad]]</f>
        <v/>
      </c>
      <c r="I331">
        <f>-H3825/G3825</f>
        <v/>
      </c>
      <c r="J331" s="16" t="n">
        <v>44643</v>
      </c>
      <c r="K331">
        <f>+OPERAC[[#This Row],[cantidad]]</f>
        <v/>
      </c>
      <c r="L331">
        <f>+OPERAC[[#This Row],[cantidad venta]]*8.051</f>
        <v/>
      </c>
    </row>
    <row r="332">
      <c r="A332" t="n">
        <v>2194</v>
      </c>
      <c r="B332" s="16" t="n">
        <v>44607</v>
      </c>
      <c r="C332" t="inlineStr">
        <is>
          <t>VTA</t>
        </is>
      </c>
      <c r="D332" t="n">
        <v>39</v>
      </c>
      <c r="E332">
        <f>IF(D833&gt;0,VLOOKUP(OPERAC[[#This Row],[COD CART]],[1]!MatrizCortoLargoCyl[#All],3,0),"")</f>
        <v/>
      </c>
      <c r="F332" t="inlineStr">
        <is>
          <t>ROKU/V/120,00/18-02-22</t>
        </is>
      </c>
      <c r="G332" t="n">
        <v>-200</v>
      </c>
      <c r="H332" t="n">
        <v>215.452</v>
      </c>
      <c r="I332">
        <f>-H833/G833</f>
        <v/>
      </c>
      <c r="J332" s="16" t="n">
        <v>44609</v>
      </c>
      <c r="K332" t="n">
        <v>-200</v>
      </c>
      <c r="L332" t="n">
        <v>-807.52</v>
      </c>
    </row>
    <row r="333">
      <c r="A333" t="n">
        <v>2194</v>
      </c>
      <c r="B333" s="16" t="n">
        <v>44608</v>
      </c>
      <c r="C333" t="inlineStr">
        <is>
          <t>CPR</t>
        </is>
      </c>
      <c r="D333" t="n">
        <v>32</v>
      </c>
      <c r="E333">
        <f>IF(D4850&gt;0,VLOOKUP(OPERAC[[#This Row],[COD CART]],[1]!MatrizCortoLargoCyl[#All],3,0),"")</f>
        <v/>
      </c>
      <c r="F333" t="inlineStr">
        <is>
          <t>SPWR/CYL/15,00/18-03-22</t>
        </is>
      </c>
      <c r="G333" t="n">
        <v>100</v>
      </c>
      <c r="H333" t="n">
        <v>-1441.812</v>
      </c>
      <c r="I333">
        <f>-H4850/G4850</f>
        <v/>
      </c>
      <c r="J333" s="16" t="n">
        <v>44628</v>
      </c>
      <c r="K333">
        <f>+OPERAC[[#This Row],[cantidad]]</f>
        <v/>
      </c>
      <c r="L333" t="n">
        <v>1504.278</v>
      </c>
    </row>
    <row r="334">
      <c r="A334" t="n">
        <v>2194</v>
      </c>
      <c r="B334" s="16" t="n">
        <v>44608</v>
      </c>
      <c r="C334" t="inlineStr">
        <is>
          <t>VTA</t>
        </is>
      </c>
      <c r="D334" t="n">
        <v>32</v>
      </c>
      <c r="E334">
        <f>IF(D5099&gt;0,VLOOKUP(OPERAC[[#This Row],[COD CART]],[1]!MatrizCortoLargoCyl[#All],3,0),"")</f>
        <v/>
      </c>
      <c r="F334" t="inlineStr">
        <is>
          <t>DDD/CYL/17,00/01-04-22</t>
        </is>
      </c>
      <c r="G334" t="n">
        <v>100</v>
      </c>
      <c r="H334">
        <f>-1629.4234+19.7+16.45</f>
        <v/>
      </c>
      <c r="I334">
        <f>-H5099/G5099</f>
        <v/>
      </c>
      <c r="J334" s="16" t="n">
        <v>44649</v>
      </c>
      <c r="K334" t="n">
        <v>100</v>
      </c>
      <c r="L334" t="n">
        <v>1661.98</v>
      </c>
    </row>
    <row r="335">
      <c r="A335" t="n">
        <v>2194</v>
      </c>
      <c r="B335" s="16" t="n">
        <v>44609</v>
      </c>
      <c r="C335" t="inlineStr">
        <is>
          <t>VTA</t>
        </is>
      </c>
      <c r="D335" t="n">
        <v>39</v>
      </c>
      <c r="E335">
        <f>IF(D635&gt;0,VLOOKUP(OPERAC[[#This Row],[COD CART]],[1]!MatrizCortoLargoCyl[#All],3,0),"")</f>
        <v/>
      </c>
      <c r="F335" t="inlineStr">
        <is>
          <t>MELI/V/850,00/25-02-22</t>
        </is>
      </c>
      <c r="G335" t="n">
        <v>-100</v>
      </c>
      <c r="H335" t="n">
        <v>555.52</v>
      </c>
      <c r="I335">
        <f>-H635/G635</f>
        <v/>
      </c>
      <c r="J335" s="16" t="n">
        <v>44610</v>
      </c>
      <c r="K335" t="n">
        <v>-100</v>
      </c>
      <c r="L335" t="n">
        <v>-2419.899</v>
      </c>
    </row>
    <row r="336">
      <c r="A336" t="n">
        <v>2194</v>
      </c>
      <c r="B336" s="16" t="n">
        <v>44609</v>
      </c>
      <c r="C336" t="inlineStr">
        <is>
          <t>VTA</t>
        </is>
      </c>
      <c r="D336" t="n">
        <v>32</v>
      </c>
      <c r="E336">
        <f>IF(D3863&gt;0,VLOOKUP(OPERAC[[#This Row],[COD CART]],[1]!MatrizCortoLargoCyl[#All],3,0),"")</f>
        <v/>
      </c>
      <c r="F336" t="inlineStr">
        <is>
          <t>HIMX/CYL/9,00/18-03-22</t>
        </is>
      </c>
      <c r="G336" t="n">
        <v>100</v>
      </c>
      <c r="H336" t="n">
        <v>-869.5839999999999</v>
      </c>
      <c r="I336">
        <f>-H3863/G3863</f>
        <v/>
      </c>
      <c r="J336" s="16" t="n">
        <v>44622</v>
      </c>
      <c r="K336">
        <f>+OPERAC[[#This Row],[cantidad]]</f>
        <v/>
      </c>
      <c r="L336" t="n">
        <v>883.576</v>
      </c>
    </row>
    <row r="337">
      <c r="A337" t="n">
        <v>2194</v>
      </c>
      <c r="B337" s="16" t="n">
        <v>44609</v>
      </c>
      <c r="C337" t="inlineStr">
        <is>
          <t>VTA</t>
        </is>
      </c>
      <c r="D337" t="n">
        <v>32</v>
      </c>
      <c r="E337">
        <f>IF(D5274&gt;0,VLOOKUP(OPERAC[[#This Row],[COD CART]],[1]!MatrizCortoLargoCyl[#All],3,0),"")</f>
        <v/>
      </c>
      <c r="F337" t="inlineStr">
        <is>
          <t>F</t>
        </is>
      </c>
      <c r="G337" t="n">
        <v>100</v>
      </c>
      <c r="H337" t="n">
        <v>-1715.2776</v>
      </c>
      <c r="I337">
        <f>-H5274/G5274</f>
        <v/>
      </c>
      <c r="J337" s="16" t="n">
        <v>44649</v>
      </c>
      <c r="K337" t="n">
        <v>100</v>
      </c>
      <c r="L337">
        <f>17.636*OPERAC[[#This Row],[cantidad venta]]</f>
        <v/>
      </c>
    </row>
    <row r="338">
      <c r="A338" t="n">
        <v>2194</v>
      </c>
      <c r="B338" s="16" t="n">
        <v>44610</v>
      </c>
      <c r="C338" t="inlineStr">
        <is>
          <t>VTA</t>
        </is>
      </c>
      <c r="D338" t="n">
        <v>39</v>
      </c>
      <c r="E338">
        <f>IF(D1084&gt;0,VLOOKUP(OPERAC[[#This Row],[COD CART]],[1]!MatrizCortoLargoCyl[#All],3,0),"")</f>
        <v/>
      </c>
      <c r="F338" t="inlineStr">
        <is>
          <t>MELI/V/540,00/16-09-22</t>
        </is>
      </c>
      <c r="G338" t="n">
        <v>-1</v>
      </c>
      <c r="H338" t="n">
        <v>27.77</v>
      </c>
      <c r="I338">
        <f>-H1084/G1084</f>
        <v/>
      </c>
    </row>
    <row r="339">
      <c r="A339" t="n">
        <v>2194</v>
      </c>
      <c r="B339" s="16" t="n">
        <v>44614</v>
      </c>
      <c r="C339" t="inlineStr">
        <is>
          <t>VTA</t>
        </is>
      </c>
      <c r="D339" t="n">
        <v>39</v>
      </c>
      <c r="E339">
        <f>IF(D1031&gt;0,VLOOKUP(OPERAC[[#This Row],[COD CART]],[1]!MatrizCortoLargoCyl[#All],3,0),"")</f>
        <v/>
      </c>
      <c r="F339" t="inlineStr">
        <is>
          <t>ACB/V/5,00/20-01-23</t>
        </is>
      </c>
      <c r="G339" t="n">
        <v>-25</v>
      </c>
      <c r="H339" t="n">
        <v>50.66</v>
      </c>
      <c r="I339">
        <f>-H1031/G1031</f>
        <v/>
      </c>
    </row>
    <row r="340">
      <c r="A340" t="n">
        <v>2194</v>
      </c>
      <c r="B340" s="16" t="n">
        <v>44616</v>
      </c>
      <c r="C340" t="inlineStr">
        <is>
          <t>VTA</t>
        </is>
      </c>
      <c r="D340" t="n">
        <v>32</v>
      </c>
      <c r="E340">
        <f>IF(D5563&gt;0,VLOOKUP(OPERAC[[#This Row],[COD CART]],[1]!MatrizCortoLargoCyl[#All],3,0),"")</f>
        <v/>
      </c>
      <c r="F340" t="inlineStr">
        <is>
          <t>PLTR/CYL/12,00/14-04-22</t>
        </is>
      </c>
      <c r="G340" t="n">
        <v>200</v>
      </c>
      <c r="H340" t="n">
        <v>-2105.453</v>
      </c>
      <c r="I340">
        <f>-H5563/G5563</f>
        <v/>
      </c>
      <c r="J340" s="16" t="n">
        <v>44643</v>
      </c>
      <c r="K340" t="n">
        <v>200</v>
      </c>
      <c r="L340" t="n">
        <v>2293.448</v>
      </c>
    </row>
    <row r="341">
      <c r="A341" t="n">
        <v>2194</v>
      </c>
      <c r="B341" s="16" t="n">
        <v>44622</v>
      </c>
      <c r="C341" t="inlineStr">
        <is>
          <t>CPR</t>
        </is>
      </c>
      <c r="D341" t="n">
        <v>32</v>
      </c>
      <c r="E341">
        <f>IF(D4875&gt;0,VLOOKUP(OPERAC[[#This Row],[COD CART]],[1]!MatrizCortoLargoCyl[#All],3,0),"")</f>
        <v/>
      </c>
      <c r="F341" t="inlineStr">
        <is>
          <t>AMC/CYL/16,00/14-04-22</t>
        </is>
      </c>
      <c r="G341" t="n">
        <v>100</v>
      </c>
      <c r="H341" t="n">
        <v>-1460.8686</v>
      </c>
      <c r="I341">
        <f>-H4875/G4875</f>
        <v/>
      </c>
      <c r="J341" s="16" t="n">
        <v>44648</v>
      </c>
      <c r="K341">
        <f>+OPERAC[[#This Row],[cantidad]]</f>
        <v/>
      </c>
      <c r="L341" t="n">
        <v>1581.776</v>
      </c>
    </row>
    <row r="342">
      <c r="A342" t="n">
        <v>2194</v>
      </c>
      <c r="B342" s="16" t="n">
        <v>44634</v>
      </c>
      <c r="C342" t="inlineStr">
        <is>
          <t>VTA</t>
        </is>
      </c>
      <c r="D342" t="n">
        <v>42</v>
      </c>
      <c r="E342">
        <f>IF(D2081&gt;0,VLOOKUP(OPERAC[[#This Row],[COD CART]],[1]!MatrizCortoLargoCyl[#All],3,0),"")</f>
        <v/>
      </c>
      <c r="F342" t="inlineStr">
        <is>
          <t>INO</t>
        </is>
      </c>
      <c r="G342" t="n">
        <v>100</v>
      </c>
      <c r="H342" t="n">
        <v>-332.0816</v>
      </c>
      <c r="I342">
        <f>-H2081/G2081</f>
        <v/>
      </c>
      <c r="J342" s="16" t="n">
        <v>44634</v>
      </c>
      <c r="K342" t="n">
        <v>100</v>
      </c>
      <c r="L342" t="n">
        <v>298.8855</v>
      </c>
    </row>
    <row r="343">
      <c r="A343" t="n">
        <v>2194</v>
      </c>
      <c r="B343" s="16" t="n">
        <v>44636</v>
      </c>
      <c r="C343" t="inlineStr">
        <is>
          <t>CPR</t>
        </is>
      </c>
      <c r="D343" t="n">
        <v>43</v>
      </c>
      <c r="E343">
        <f>IF(D3664&gt;0,VLOOKUP(OPERAC[[#This Row],[COD CART]],[1]!MatrizCortoLargoCyl[#All],3,0),"")</f>
        <v/>
      </c>
      <c r="F343" t="inlineStr">
        <is>
          <t>GMBL/CYL-PUT/1,00/20-01-23</t>
        </is>
      </c>
      <c r="G343" t="n">
        <v>5000</v>
      </c>
      <c r="H343" t="n">
        <v>-816.9432500000003</v>
      </c>
      <c r="I343">
        <f>-H3664/G3664</f>
        <v/>
      </c>
      <c r="J343" s="16" t="n">
        <v>44691</v>
      </c>
      <c r="K343" t="n">
        <v>5000</v>
      </c>
      <c r="L343" t="n">
        <v>-2075.78</v>
      </c>
    </row>
    <row r="344">
      <c r="A344" t="n">
        <v>2194</v>
      </c>
      <c r="B344" s="16" t="n">
        <v>44637</v>
      </c>
      <c r="C344" t="inlineStr">
        <is>
          <t>VTA</t>
        </is>
      </c>
      <c r="D344" t="n">
        <v>43</v>
      </c>
      <c r="E344">
        <f>IF(D2091&gt;0,VLOOKUP(OPERAC[[#This Row],[COD CART]],[1]!MatrizCortoLargoCyl[#All],3,0),"")</f>
        <v/>
      </c>
      <c r="F344" t="inlineStr">
        <is>
          <t>GMBL/CYL-PUT/1,00/20-01-23</t>
        </is>
      </c>
      <c r="G344" t="n">
        <v>1600</v>
      </c>
      <c r="H344" t="n">
        <v>-332.530816</v>
      </c>
      <c r="I344">
        <f>-H2091/G2091</f>
        <v/>
      </c>
      <c r="J344" s="16" t="n">
        <v>44691</v>
      </c>
      <c r="K344" t="n">
        <v>1600</v>
      </c>
      <c r="L344" t="n">
        <v>-664.25</v>
      </c>
    </row>
    <row r="345">
      <c r="A345" t="n">
        <v>2194</v>
      </c>
      <c r="B345" s="16" t="n">
        <v>44643</v>
      </c>
      <c r="C345" t="inlineStr">
        <is>
          <t>CPR</t>
        </is>
      </c>
      <c r="D345" t="n">
        <v>32</v>
      </c>
      <c r="E345">
        <f>IF(D3264&gt;0,VLOOKUP(OPERAC[[#This Row],[COD CART]],[1]!MatrizCortoLargoCyl[#All],3,0),"")</f>
        <v/>
      </c>
      <c r="F345" t="inlineStr">
        <is>
          <t>CRESY</t>
        </is>
      </c>
      <c r="G345" t="n">
        <v>100</v>
      </c>
      <c r="H345" t="n">
        <v>-680.303</v>
      </c>
      <c r="I345">
        <f>-H3264/G3264</f>
        <v/>
      </c>
      <c r="J345" s="16" t="n">
        <v>44708</v>
      </c>
      <c r="K345" t="n">
        <v>100</v>
      </c>
      <c r="L345" t="n">
        <v>733.71</v>
      </c>
    </row>
    <row r="346">
      <c r="A346" t="n">
        <v>2194</v>
      </c>
      <c r="B346" s="16" t="n">
        <v>44645</v>
      </c>
      <c r="C346" t="inlineStr">
        <is>
          <t>VTA</t>
        </is>
      </c>
      <c r="D346" t="n">
        <v>42</v>
      </c>
      <c r="E346">
        <f>IF(D5556&gt;0,VLOOKUP(OPERAC[[#This Row],[COD CART]],[1]!MatrizCortoLargoCyl[#All],3,0),"")</f>
        <v/>
      </c>
      <c r="F346" t="inlineStr">
        <is>
          <t>PLUG</t>
        </is>
      </c>
      <c r="G346" t="n">
        <v>75</v>
      </c>
      <c r="H346" t="n">
        <v>-2094.873</v>
      </c>
      <c r="I346">
        <f>-H5556/G5556</f>
        <v/>
      </c>
      <c r="J346" s="16" t="n">
        <v>44652</v>
      </c>
      <c r="K346">
        <f>+OPERAC[[#This Row],[cantidad]]</f>
        <v/>
      </c>
      <c r="L346">
        <f>+OPERAC[[#This Row],[cantidad venta]]*27.754</f>
        <v/>
      </c>
    </row>
    <row r="347">
      <c r="A347" t="n">
        <v>2194</v>
      </c>
      <c r="B347" s="16" t="n">
        <v>44648</v>
      </c>
      <c r="C347" t="inlineStr">
        <is>
          <t>CPR</t>
        </is>
      </c>
      <c r="D347" t="n">
        <v>42</v>
      </c>
      <c r="E347">
        <f>IF(D3667&gt;0,VLOOKUP(OPERAC[[#This Row],[COD CART]],[1]!MatrizCortoLargoCyl[#All],3,0),"")</f>
        <v/>
      </c>
      <c r="F347" t="inlineStr">
        <is>
          <t>SMH</t>
        </is>
      </c>
      <c r="G347" t="n">
        <v>3</v>
      </c>
      <c r="H347" t="n">
        <v>-820.1608799999999</v>
      </c>
      <c r="I347">
        <f>-H3667/G3667</f>
        <v/>
      </c>
      <c r="J347" s="16" t="n">
        <v>44663</v>
      </c>
      <c r="K347">
        <f>+OPERAC[[#This Row],[cantidad]]</f>
        <v/>
      </c>
      <c r="L347">
        <f>+OPERAC[[#This Row],[cantidad venta]]*238.066</f>
        <v/>
      </c>
    </row>
    <row r="348">
      <c r="A348" t="n">
        <v>2194</v>
      </c>
      <c r="B348" s="16" t="n">
        <v>44648</v>
      </c>
      <c r="C348" t="inlineStr">
        <is>
          <t>VTA</t>
        </is>
      </c>
      <c r="D348" t="n">
        <v>42</v>
      </c>
      <c r="E348">
        <f>IF(D3954&gt;0,VLOOKUP(OPERAC[[#This Row],[COD CART]],[1]!MatrizCortoLargoCyl[#All],3,0),"")</f>
        <v/>
      </c>
      <c r="F348" t="inlineStr">
        <is>
          <t>FB</t>
        </is>
      </c>
      <c r="G348" t="n">
        <v>4</v>
      </c>
      <c r="H348" t="n">
        <v>-888.6617199999999</v>
      </c>
      <c r="I348">
        <f>-H3954/G3954</f>
        <v/>
      </c>
      <c r="J348" s="16" t="n">
        <v>44671</v>
      </c>
      <c r="K348">
        <f>+OPERAC[[#This Row],[cantidad]]</f>
        <v/>
      </c>
      <c r="L348">
        <f>+OPERAC[[#This Row],[cantidad venta]]*213.173</f>
        <v/>
      </c>
    </row>
    <row r="349">
      <c r="A349" t="n">
        <v>2194</v>
      </c>
      <c r="B349" s="16" t="n">
        <v>44649</v>
      </c>
      <c r="C349" t="inlineStr">
        <is>
          <t>CPR</t>
        </is>
      </c>
      <c r="D349" t="n">
        <v>42</v>
      </c>
      <c r="E349">
        <f>IF(D4787&gt;0,VLOOKUP(OPERAC[[#This Row],[COD CART]],[1]!MatrizCortoLargoCyl[#All],3,0),"")</f>
        <v/>
      </c>
      <c r="F349" t="inlineStr">
        <is>
          <t>ADBE</t>
        </is>
      </c>
      <c r="G349" t="n">
        <v>3</v>
      </c>
      <c r="H349" t="n">
        <v>-1391.90528</v>
      </c>
      <c r="I349">
        <f>-H4787/G4787</f>
        <v/>
      </c>
      <c r="J349" s="16" t="n">
        <v>44686</v>
      </c>
      <c r="K349" t="n">
        <v>3</v>
      </c>
      <c r="L349" t="n">
        <v>1229.123</v>
      </c>
    </row>
    <row r="350">
      <c r="A350" t="n">
        <v>2194</v>
      </c>
      <c r="B350" s="16" t="n">
        <v>44649</v>
      </c>
      <c r="C350" t="inlineStr">
        <is>
          <t>VTA</t>
        </is>
      </c>
      <c r="D350" t="n">
        <v>42</v>
      </c>
      <c r="E350">
        <f>IF(D1888&gt;0,VLOOKUP(OPERAC[[#This Row],[COD CART]],[1]!MatrizCortoLargoCyl[#All],3,0),"")</f>
        <v/>
      </c>
      <c r="F350" t="inlineStr">
        <is>
          <t>SMH</t>
        </is>
      </c>
      <c r="G350" t="n">
        <v>1</v>
      </c>
      <c r="H350" t="n">
        <v>-281.9972</v>
      </c>
      <c r="I350">
        <f>-H1888/G1888</f>
        <v/>
      </c>
      <c r="J350" s="16" t="n">
        <v>44663</v>
      </c>
      <c r="K350">
        <f>+OPERAC[[#This Row],[cantidad]]</f>
        <v/>
      </c>
      <c r="L350">
        <f>+OPERAC[[#This Row],[cantidad venta]]*238.066</f>
        <v/>
      </c>
    </row>
    <row r="351">
      <c r="A351" t="n">
        <v>2194</v>
      </c>
      <c r="B351" s="16" t="n">
        <v>44651</v>
      </c>
      <c r="C351" t="inlineStr">
        <is>
          <t>VTA</t>
        </is>
      </c>
      <c r="D351" t="n">
        <v>42</v>
      </c>
      <c r="E351">
        <f>IF(D2120&gt;0,VLOOKUP(OPERAC[[#This Row],[COD CART]],[1]!MatrizCortoLargoCyl[#All],3,0),"")</f>
        <v/>
      </c>
      <c r="F351" t="inlineStr">
        <is>
          <t>AMD</t>
        </is>
      </c>
      <c r="G351" t="n">
        <v>3</v>
      </c>
      <c r="H351" t="n">
        <v>-341.69676</v>
      </c>
      <c r="I351">
        <f>-H2120/G2120</f>
        <v/>
      </c>
      <c r="J351" s="16" t="n">
        <v>44686</v>
      </c>
      <c r="K351" t="n">
        <v>3</v>
      </c>
      <c r="L351">
        <f>+OPERAC[[#This Row],[cantidad venta]]*95.353</f>
        <v/>
      </c>
    </row>
    <row r="352">
      <c r="A352" t="n">
        <v>2194</v>
      </c>
      <c r="B352" s="16" t="n">
        <v>44652</v>
      </c>
      <c r="C352" t="inlineStr">
        <is>
          <t>CPR</t>
        </is>
      </c>
      <c r="D352" t="n">
        <v>42</v>
      </c>
      <c r="E352">
        <f>IF(D5663&gt;0,VLOOKUP(OPERAC[[#This Row],[COD CART]],[1]!MatrizCortoLargoCyl[#All],3,0),"")</f>
        <v/>
      </c>
      <c r="F352" t="inlineStr">
        <is>
          <t>GBTC</t>
        </is>
      </c>
      <c r="G352" t="n">
        <v>75</v>
      </c>
      <c r="H352" t="n">
        <v>-2408.235</v>
      </c>
      <c r="I352">
        <f>-H5663/G5663</f>
        <v/>
      </c>
      <c r="J352" s="16" t="n">
        <v>44662</v>
      </c>
      <c r="K352">
        <f>+OPERAC[[#This Row],[cantidad]]</f>
        <v/>
      </c>
      <c r="L352">
        <f>27.99*OPERAC[[#This Row],[cantidad venta]]</f>
        <v/>
      </c>
    </row>
    <row r="353">
      <c r="A353" t="n">
        <v>2194</v>
      </c>
      <c r="B353" s="16" t="n">
        <v>44662</v>
      </c>
      <c r="C353" t="inlineStr">
        <is>
          <t>CPR</t>
        </is>
      </c>
      <c r="D353" t="n">
        <v>42</v>
      </c>
      <c r="E353">
        <f>IF(D4908&gt;0,VLOOKUP(OPERAC[[#This Row],[COD CART]],[1]!MatrizCortoLargoCyl[#All],3,0),"")</f>
        <v/>
      </c>
      <c r="F353" t="inlineStr">
        <is>
          <t>HYDR</t>
        </is>
      </c>
      <c r="G353" t="n">
        <v>80</v>
      </c>
      <c r="H353" t="n">
        <v>-1485.62752</v>
      </c>
      <c r="I353">
        <f>-H4908/G4908</f>
        <v/>
      </c>
      <c r="J353" s="16" t="n">
        <v>44677</v>
      </c>
      <c r="K353">
        <f>30+50</f>
        <v/>
      </c>
      <c r="L353">
        <f>481.869+782.294</f>
        <v/>
      </c>
    </row>
    <row r="354">
      <c r="A354" t="n">
        <v>2194</v>
      </c>
      <c r="B354" s="16" t="n">
        <v>44663</v>
      </c>
      <c r="C354" t="inlineStr">
        <is>
          <t>CPR</t>
        </is>
      </c>
      <c r="D354" t="n">
        <v>32</v>
      </c>
      <c r="E354">
        <f>IF(D4768&gt;0,VLOOKUP(OPERAC[[#This Row],[COD CART]],[1]!MatrizCortoLargoCyl[#All],3,0),"")</f>
        <v/>
      </c>
      <c r="F354" t="inlineStr">
        <is>
          <t>PCT/CYL/7,50/20-05-22</t>
        </is>
      </c>
      <c r="G354" t="n">
        <v>200</v>
      </c>
      <c r="H354" t="n">
        <v>-1382.248</v>
      </c>
      <c r="I354">
        <f>-H4768/G4768</f>
        <v/>
      </c>
      <c r="J354" s="16" t="n">
        <v>44686</v>
      </c>
      <c r="K354" t="n">
        <v>200</v>
      </c>
      <c r="L354" t="n">
        <v>1388.29</v>
      </c>
    </row>
    <row r="355">
      <c r="A355" t="n">
        <v>2194</v>
      </c>
      <c r="B355" s="16" t="n">
        <v>44664</v>
      </c>
      <c r="C355" t="inlineStr">
        <is>
          <t>CPR</t>
        </is>
      </c>
      <c r="D355" t="n">
        <v>42</v>
      </c>
      <c r="E355">
        <f>IF(D2685&gt;0,VLOOKUP(OPERAC[[#This Row],[COD CART]],[1]!MatrizCortoLargoCyl[#All],3,0),"")</f>
        <v/>
      </c>
      <c r="F355" t="inlineStr">
        <is>
          <t>AMD</t>
        </is>
      </c>
      <c r="G355" t="n">
        <v>5</v>
      </c>
      <c r="H355" t="n">
        <v>-493.85327265</v>
      </c>
      <c r="I355">
        <f>-H2685/G2685</f>
        <v/>
      </c>
      <c r="J355" s="16" t="n">
        <v>44686</v>
      </c>
      <c r="K355" t="n">
        <v>5</v>
      </c>
      <c r="L355">
        <f>+OPERAC[[#This Row],[cantidad venta]]*95.353</f>
        <v/>
      </c>
    </row>
    <row r="356">
      <c r="A356" t="n">
        <v>2194</v>
      </c>
      <c r="B356" s="16" t="n">
        <v>44664</v>
      </c>
      <c r="C356" t="inlineStr">
        <is>
          <t>VTA</t>
        </is>
      </c>
      <c r="D356" t="n">
        <v>42</v>
      </c>
      <c r="E356">
        <f>IF(D2217&gt;0,VLOOKUP(OPERAC[[#This Row],[COD CART]],[1]!MatrizCortoLargoCyl[#All],3,0),"")</f>
        <v/>
      </c>
      <c r="F356" t="inlineStr">
        <is>
          <t>PSQ</t>
        </is>
      </c>
      <c r="G356" t="n">
        <v>30</v>
      </c>
      <c r="H356" t="n">
        <v>-372.97716543</v>
      </c>
      <c r="I356">
        <f>-H2217/G2217</f>
        <v/>
      </c>
      <c r="J356" s="16" t="n">
        <v>44680</v>
      </c>
      <c r="K356">
        <f>+OPERAC[[#This Row],[cantidad]]</f>
        <v/>
      </c>
      <c r="L356">
        <f>12.848*OPERAC[[#This Row],[cantidad venta]]</f>
        <v/>
      </c>
    </row>
    <row r="357">
      <c r="A357" t="n">
        <v>2194</v>
      </c>
      <c r="B357" s="16" t="n">
        <v>44669</v>
      </c>
      <c r="C357" t="inlineStr">
        <is>
          <t>VTA</t>
        </is>
      </c>
      <c r="D357" t="n">
        <v>39</v>
      </c>
      <c r="E357">
        <f>IF(D354&gt;0,VLOOKUP(OPERAC[[#This Row],[COD CART]],[1]!MatrizCortoLargoCyl[#All],3,0),"")</f>
        <v/>
      </c>
      <c r="F357" t="inlineStr">
        <is>
          <t>UPST/V/80,00/22-04-22</t>
        </is>
      </c>
      <c r="G357" t="n">
        <v>-300</v>
      </c>
      <c r="H357" t="n">
        <v>1249.29</v>
      </c>
      <c r="I357">
        <f>-H354/G354</f>
        <v/>
      </c>
      <c r="J357" s="16" t="n">
        <v>44673</v>
      </c>
      <c r="K357" t="n">
        <v>-300</v>
      </c>
      <c r="L357" t="n">
        <v>-1179.945</v>
      </c>
    </row>
    <row r="358">
      <c r="A358" t="n">
        <v>2194</v>
      </c>
      <c r="B358" s="16" t="n">
        <v>44671</v>
      </c>
      <c r="C358" t="inlineStr">
        <is>
          <t>CPR</t>
        </is>
      </c>
      <c r="D358" t="n">
        <v>42</v>
      </c>
      <c r="E358">
        <f>IF(D3491&gt;0,VLOOKUP(OPERAC[[#This Row],[COD CART]],[1]!MatrizCortoLargoCyl[#All],3,0),"")</f>
        <v/>
      </c>
      <c r="F358" t="inlineStr">
        <is>
          <t>NFLX</t>
        </is>
      </c>
      <c r="G358" t="n">
        <v>3</v>
      </c>
      <c r="H358" t="n">
        <v>-763.51518</v>
      </c>
      <c r="I358">
        <f>-H3491/G3491</f>
        <v/>
      </c>
      <c r="J358" s="16" t="n">
        <v>44686</v>
      </c>
      <c r="K358" t="n">
        <v>3</v>
      </c>
      <c r="L358" t="n">
        <v>577.4690000000001</v>
      </c>
    </row>
    <row r="359">
      <c r="A359" t="n">
        <v>2194</v>
      </c>
      <c r="B359" s="16" t="n">
        <v>44673</v>
      </c>
      <c r="C359" t="inlineStr">
        <is>
          <t>VTA</t>
        </is>
      </c>
      <c r="D359" t="n">
        <v>39</v>
      </c>
      <c r="E359">
        <f>IF(D595&gt;0,VLOOKUP(OPERAC[[#This Row],[COD CART]],[1]!MatrizCortoLargoCyl[#All],3,0),"")</f>
        <v/>
      </c>
      <c r="F359" t="inlineStr">
        <is>
          <t>UPST/V/70,00/29-04-22</t>
        </is>
      </c>
      <c r="G359" t="n">
        <v>-300</v>
      </c>
      <c r="H359" t="n">
        <v>624.645</v>
      </c>
      <c r="I359">
        <f>-H595/G595</f>
        <v/>
      </c>
      <c r="J359" s="16" t="n">
        <v>44676</v>
      </c>
      <c r="K359" t="n">
        <v>-300</v>
      </c>
      <c r="L359" t="n">
        <v>-399.366</v>
      </c>
    </row>
    <row r="360">
      <c r="A360" t="n">
        <v>2194</v>
      </c>
      <c r="B360" s="16" t="n">
        <v>44676</v>
      </c>
      <c r="C360" t="inlineStr">
        <is>
          <t>VTA</t>
        </is>
      </c>
      <c r="D360" t="n">
        <v>39</v>
      </c>
      <c r="E360">
        <f>IF(D673&gt;0,VLOOKUP(OPERAC[[#This Row],[COD CART]],[1]!MatrizCortoLargoCyl[#All],3,0),"")</f>
        <v/>
      </c>
      <c r="F360" t="inlineStr">
        <is>
          <t>UPST/V/67,00/06-05-22</t>
        </is>
      </c>
      <c r="G360" t="n">
        <v>-200</v>
      </c>
      <c r="H360" t="n">
        <v>446.175</v>
      </c>
      <c r="I360">
        <f>-H673/G673</f>
        <v/>
      </c>
      <c r="J360" s="16" t="n">
        <v>44687</v>
      </c>
      <c r="K360">
        <f>OPERAC[[#This Row],[cantidad]]</f>
        <v/>
      </c>
      <c r="L360" t="n">
        <v>0</v>
      </c>
    </row>
    <row r="361">
      <c r="A361" t="n">
        <v>2194</v>
      </c>
      <c r="B361" s="16" t="n">
        <v>44680</v>
      </c>
      <c r="C361" t="inlineStr">
        <is>
          <t>VTA</t>
        </is>
      </c>
      <c r="D361" t="n">
        <v>42</v>
      </c>
      <c r="E361">
        <f>IF(D2296&gt;0,VLOOKUP(OPERAC[[#This Row],[COD CART]],[1]!MatrizCortoLargoCyl[#All],3,0),"")</f>
        <v/>
      </c>
      <c r="F361" t="inlineStr">
        <is>
          <t>XLP</t>
        </is>
      </c>
      <c r="G361" t="n">
        <v>5</v>
      </c>
      <c r="H361" t="n">
        <v>-397.1725125</v>
      </c>
      <c r="I361">
        <f>-H2296/G2296</f>
        <v/>
      </c>
      <c r="J361" s="16" t="n">
        <v>44686</v>
      </c>
      <c r="K361" t="n">
        <v>5</v>
      </c>
      <c r="L361" t="n">
        <v>384.99</v>
      </c>
    </row>
    <row r="362">
      <c r="A362" t="n">
        <v>2194</v>
      </c>
      <c r="B362" s="16" t="n">
        <v>44691</v>
      </c>
      <c r="C362" t="inlineStr">
        <is>
          <t>VTA</t>
        </is>
      </c>
      <c r="D362" t="n">
        <v>39</v>
      </c>
      <c r="E362">
        <f>IF(D907&gt;0,VLOOKUP(OPERAC[[#This Row],[COD CART]],[1]!MatrizCortoLargoCyl[#All],3,0),"")</f>
        <v/>
      </c>
      <c r="F362" t="inlineStr">
        <is>
          <t>MELI/V/500,00/16-09-22</t>
        </is>
      </c>
      <c r="G362" t="n">
        <v>-5</v>
      </c>
      <c r="H362" t="n">
        <v>148.5</v>
      </c>
      <c r="I362">
        <f>-H907/G907</f>
        <v/>
      </c>
    </row>
    <row r="363">
      <c r="A363" t="n">
        <v>2194</v>
      </c>
      <c r="B363" s="16" t="n">
        <v>44697</v>
      </c>
      <c r="C363" t="inlineStr">
        <is>
          <t>VTA</t>
        </is>
      </c>
      <c r="D363" t="n">
        <v>32</v>
      </c>
      <c r="E363">
        <f>IF(D2517&gt;0,VLOOKUP(OPERAC[[#This Row],[COD CART]],[1]!MatrizCortoLargoCyl[#All],3,0),"")</f>
        <v/>
      </c>
      <c r="F363" t="inlineStr">
        <is>
          <t>TLRY/CYL/5,50/17-06-22</t>
        </is>
      </c>
      <c r="G363" t="n">
        <v>100</v>
      </c>
      <c r="H363">
        <f>-474.29+11.898</f>
        <v/>
      </c>
      <c r="I363">
        <f>-H2517/G2517</f>
        <v/>
      </c>
    </row>
    <row r="364">
      <c r="A364" t="n">
        <v>2194</v>
      </c>
      <c r="B364" s="16" t="n">
        <v>44704</v>
      </c>
      <c r="C364" t="inlineStr">
        <is>
          <t>VTA</t>
        </is>
      </c>
      <c r="D364" t="n">
        <v>32</v>
      </c>
      <c r="E364">
        <f>IF(D3854&gt;0,VLOOKUP(OPERAC[[#This Row],[COD CART]],[1]!MatrizCortoLargoCyl[#All],3,0),"")</f>
        <v/>
      </c>
      <c r="F364" t="inlineStr">
        <is>
          <t>HIMX/CYL/9,00/10-06-22</t>
        </is>
      </c>
      <c r="G364" t="n">
        <v>100</v>
      </c>
      <c r="H364" t="n">
        <v>-866.7</v>
      </c>
      <c r="I364">
        <f>-H3854/G3854</f>
        <v/>
      </c>
      <c r="J364" s="16" t="n">
        <v>44721</v>
      </c>
      <c r="K364" t="n">
        <v>100</v>
      </c>
      <c r="L364" t="n">
        <v>898.25</v>
      </c>
    </row>
    <row r="365">
      <c r="A365" t="n">
        <v>2194</v>
      </c>
      <c r="B365" s="16" t="n">
        <v>44704</v>
      </c>
      <c r="C365" t="inlineStr">
        <is>
          <t>VTA</t>
        </is>
      </c>
      <c r="D365" t="n">
        <v>32</v>
      </c>
      <c r="E365">
        <f>IF(D5182&gt;0,VLOOKUP(OPERAC[[#This Row],[COD CART]],[1]!MatrizCortoLargoCyl[#All],3,0),"")</f>
        <v/>
      </c>
      <c r="F365" t="inlineStr">
        <is>
          <t>SPWR/CYL/20,00/24-06-22</t>
        </is>
      </c>
      <c r="G365" t="n">
        <v>100</v>
      </c>
      <c r="H365" t="n">
        <v>-1630.078</v>
      </c>
      <c r="I365">
        <f>-H5182/G5182</f>
        <v/>
      </c>
    </row>
    <row r="366">
      <c r="A366" t="n">
        <v>2194</v>
      </c>
      <c r="B366" s="16" t="n">
        <v>44707</v>
      </c>
      <c r="C366" t="inlineStr">
        <is>
          <t>CPR</t>
        </is>
      </c>
      <c r="D366" t="n">
        <v>42</v>
      </c>
      <c r="E366">
        <f>IF(D4156&gt;0,VLOOKUP(OPERAC[[#This Row],[COD CART]],[1]!MatrizCortoLargoCyl[#All],3,0),"")</f>
        <v/>
      </c>
      <c r="F366" t="inlineStr">
        <is>
          <t>PCT</t>
        </is>
      </c>
      <c r="G366" t="n">
        <v>100</v>
      </c>
      <c r="H366" t="n">
        <v>-973.063327</v>
      </c>
      <c r="I366">
        <f>-H4156/G4156</f>
        <v/>
      </c>
    </row>
    <row r="367">
      <c r="A367" t="n">
        <v>2194</v>
      </c>
      <c r="B367" s="16" t="n">
        <v>44707</v>
      </c>
      <c r="C367" t="inlineStr">
        <is>
          <t>CPR</t>
        </is>
      </c>
      <c r="D367" t="n">
        <v>32</v>
      </c>
      <c r="E367">
        <f>IF(D5757&gt;0,VLOOKUP(OPERAC[[#This Row],[COD CART]],[1]!MatrizCortoLargoCyl[#All],3,0),"")</f>
        <v/>
      </c>
      <c r="F367" t="inlineStr">
        <is>
          <t>BIG/CYL/27,50/17-06-22</t>
        </is>
      </c>
      <c r="G367" t="n">
        <v>100</v>
      </c>
      <c r="H367" t="n">
        <v>-2636.628</v>
      </c>
      <c r="I367">
        <f>-H5757/G5757</f>
        <v/>
      </c>
    </row>
    <row r="368">
      <c r="A368" t="n">
        <v>2194</v>
      </c>
      <c r="B368" s="16" t="n">
        <v>44708</v>
      </c>
      <c r="C368" t="inlineStr">
        <is>
          <t>CPR</t>
        </is>
      </c>
      <c r="D368" t="n">
        <v>42</v>
      </c>
      <c r="E368">
        <f>IF(D3984&gt;0,VLOOKUP(OPERAC[[#This Row],[COD CART]],[1]!MatrizCortoLargoCyl[#All],3,0),"")</f>
        <v/>
      </c>
      <c r="F368" t="inlineStr">
        <is>
          <t>ACB</t>
        </is>
      </c>
      <c r="G368" t="n">
        <v>500</v>
      </c>
      <c r="H368" t="n">
        <v>-912.6603944024999</v>
      </c>
      <c r="I368">
        <f>-H3984/G3984</f>
        <v/>
      </c>
    </row>
    <row r="369">
      <c r="A369" t="n">
        <v>2194</v>
      </c>
      <c r="B369" s="16" t="n">
        <v>44712</v>
      </c>
      <c r="C369" t="inlineStr">
        <is>
          <t>CPR</t>
        </is>
      </c>
      <c r="D369" t="n">
        <v>32</v>
      </c>
      <c r="E369">
        <f>IF(D4558&gt;0,VLOOKUP(OPERAC[[#This Row],[COD CART]],[1]!MatrizCortoLargoCyl[#All],3,0),"")</f>
        <v/>
      </c>
      <c r="F369" t="inlineStr">
        <is>
          <t>AMC/CYL/13,00/10-06-22</t>
        </is>
      </c>
      <c r="G369" t="n">
        <v>100</v>
      </c>
      <c r="H369" t="n">
        <v>-1232.75</v>
      </c>
      <c r="I369">
        <f>-H4558/G4558</f>
        <v/>
      </c>
      <c r="J369" s="16" t="n">
        <v>44722</v>
      </c>
      <c r="K369" t="n">
        <v>100</v>
      </c>
      <c r="L369" t="n">
        <v>1234.29</v>
      </c>
    </row>
    <row r="370">
      <c r="A370" t="n">
        <v>2194</v>
      </c>
      <c r="B370" s="16" t="n">
        <v>44718</v>
      </c>
      <c r="C370" t="inlineStr">
        <is>
          <t>VTA</t>
        </is>
      </c>
      <c r="D370" t="n">
        <v>42</v>
      </c>
      <c r="E370">
        <f>IF(D5031&gt;0,VLOOKUP(OPERAC[[#This Row],[COD CART]],[1]!MatrizCortoLargoCyl[#All],3,0),"")</f>
        <v/>
      </c>
      <c r="F370" t="inlineStr">
        <is>
          <t>KWEB</t>
        </is>
      </c>
      <c r="G370" t="n">
        <v>50</v>
      </c>
      <c r="H370" t="n">
        <v>-1554.1694</v>
      </c>
      <c r="I370">
        <f>-H5031/G5031</f>
        <v/>
      </c>
    </row>
    <row r="371">
      <c r="A371" t="n">
        <v>2194</v>
      </c>
      <c r="B371" s="16" t="n">
        <v>44722</v>
      </c>
      <c r="C371" t="inlineStr">
        <is>
          <t>CPR</t>
        </is>
      </c>
      <c r="D371" t="n">
        <v>32</v>
      </c>
      <c r="E371">
        <f>IF(D4218&gt;0,VLOOKUP(OPERAC[[#This Row],[COD CART]],[1]!MatrizCortoLargoCyl[#All],3,0),"")</f>
        <v/>
      </c>
      <c r="F371" t="inlineStr">
        <is>
          <t>CCL/CYL/10,50/24-06-22</t>
        </is>
      </c>
      <c r="G371" t="n">
        <v>100</v>
      </c>
      <c r="H371" t="n">
        <v>-1005.33</v>
      </c>
      <c r="I371">
        <f>-H4218/G4218</f>
        <v/>
      </c>
    </row>
    <row r="372">
      <c r="A372" t="n">
        <v>2203</v>
      </c>
      <c r="B372" s="16" t="n">
        <v>43831</v>
      </c>
      <c r="C372" t="inlineStr">
        <is>
          <t>VTA</t>
        </is>
      </c>
      <c r="D372" t="n">
        <v>40</v>
      </c>
      <c r="E372">
        <f>IF(D1263&gt;0,VLOOKUP(OPERAC[[#This Row],[COD CART]],[1]!MatrizCortoLargoCyl[#All],3,0),"")</f>
        <v/>
      </c>
      <c r="F372" t="inlineStr">
        <is>
          <t>PNTV</t>
        </is>
      </c>
      <c r="G372" t="n">
        <v>2000</v>
      </c>
      <c r="H372" t="n">
        <v>-20</v>
      </c>
      <c r="I372">
        <f>-H1263/G1263</f>
        <v/>
      </c>
    </row>
    <row r="373">
      <c r="A373" t="n">
        <v>2203</v>
      </c>
      <c r="B373" s="16" t="n">
        <v>44441</v>
      </c>
      <c r="C373" t="inlineStr">
        <is>
          <t>VTA</t>
        </is>
      </c>
      <c r="D373" t="n">
        <v>39</v>
      </c>
      <c r="E373">
        <f>IF(D397&gt;0,VLOOKUP(OPERAC[[#This Row],[COD CART]],[1]!MatrizCortoLargoCyl[#All],3,0),"")</f>
        <v/>
      </c>
      <c r="F373" t="inlineStr">
        <is>
          <t>EDIT/V/35,00/20-01-23</t>
        </is>
      </c>
      <c r="G373" t="n">
        <v>-200</v>
      </c>
      <c r="H373" t="n">
        <v>1200</v>
      </c>
      <c r="I373">
        <f>-H397/G397</f>
        <v/>
      </c>
      <c r="J373" s="16" t="n">
        <v>44614</v>
      </c>
      <c r="K373" t="n">
        <v>-200</v>
      </c>
      <c r="L373" t="n">
        <v>-4273.92</v>
      </c>
    </row>
    <row r="374">
      <c r="A374" t="n">
        <v>2203</v>
      </c>
      <c r="B374" s="16" t="n">
        <v>44495</v>
      </c>
      <c r="C374" t="inlineStr">
        <is>
          <t>VTA</t>
        </is>
      </c>
      <c r="D374" t="n">
        <v>39</v>
      </c>
      <c r="E374">
        <f>IF(D374&gt;0,VLOOKUP(OPERAC[[#This Row],[COD CART]],[1]!MatrizCortoLargoCyl[#All],3,0),"")</f>
        <v/>
      </c>
      <c r="F374" t="inlineStr">
        <is>
          <t>YPF/CC10/LP7/CP3/19-01-24</t>
        </is>
      </c>
      <c r="G374" t="n">
        <v>-500</v>
      </c>
      <c r="H374">
        <f>-2.41*OPERAC[[#This Row],[cantidad]]</f>
        <v/>
      </c>
      <c r="I374">
        <f>-H374/G374</f>
        <v/>
      </c>
    </row>
    <row r="375">
      <c r="A375" t="n">
        <v>2203</v>
      </c>
      <c r="B375" s="16" t="n">
        <v>44511</v>
      </c>
      <c r="C375" t="inlineStr">
        <is>
          <t>VTA</t>
        </is>
      </c>
      <c r="D375" t="n">
        <v>31</v>
      </c>
      <c r="E375">
        <f>IF(D1634&gt;0,VLOOKUP(OPERAC[[#This Row],[COD CART]],[1]!MatrizCortoLargoCyl[#All],3,0),"")</f>
        <v/>
      </c>
      <c r="F375" t="inlineStr">
        <is>
          <t>IPIX</t>
        </is>
      </c>
      <c r="G375" t="n">
        <v>2000</v>
      </c>
      <c r="H375" t="n">
        <v>-219.98</v>
      </c>
      <c r="I375">
        <f>-H1634/G1634</f>
        <v/>
      </c>
    </row>
    <row r="376">
      <c r="A376" t="n">
        <v>2203</v>
      </c>
      <c r="B376" s="16" t="n">
        <v>44523</v>
      </c>
      <c r="C376" t="inlineStr">
        <is>
          <t>VTA</t>
        </is>
      </c>
      <c r="D376" t="n">
        <v>40</v>
      </c>
      <c r="E376">
        <f>IF(D2143&gt;0,VLOOKUP(OPERAC[[#This Row],[COD CART]],[1]!MatrizCortoLargoCyl[#All],3,0),"")</f>
        <v/>
      </c>
      <c r="F376" t="inlineStr">
        <is>
          <t>EDU</t>
        </is>
      </c>
      <c r="G376" t="n">
        <v>200</v>
      </c>
      <c r="H376">
        <f>-355.898+0.026*OPERAC[[#This Row],[cantidad]]</f>
        <v/>
      </c>
      <c r="I376">
        <f>-H2143/G2143</f>
        <v/>
      </c>
      <c r="J376" s="16" t="n">
        <v>44615</v>
      </c>
      <c r="K376" t="n">
        <v>200</v>
      </c>
      <c r="L376" t="n">
        <v>298.953</v>
      </c>
    </row>
    <row r="377">
      <c r="A377" t="n">
        <v>2203</v>
      </c>
      <c r="B377" s="16" t="n">
        <v>44523</v>
      </c>
      <c r="C377" t="inlineStr">
        <is>
          <t>VTA</t>
        </is>
      </c>
      <c r="D377" t="n">
        <v>40</v>
      </c>
      <c r="E377">
        <f>IF(D2306&gt;0,VLOOKUP(OPERAC[[#This Row],[COD CART]],[1]!MatrizCortoLargoCyl[#All],3,0),"")</f>
        <v/>
      </c>
      <c r="F377" t="inlineStr">
        <is>
          <t>GMBL</t>
        </is>
      </c>
      <c r="G377" t="n">
        <v>100</v>
      </c>
      <c r="H377">
        <f>-411.931+9.067</f>
        <v/>
      </c>
      <c r="I377">
        <f>-H2306/G2306</f>
        <v/>
      </c>
      <c r="J377" s="16" t="n">
        <v>44636</v>
      </c>
      <c r="K377" t="n">
        <v>100</v>
      </c>
      <c r="L377" t="n">
        <v>73.2</v>
      </c>
    </row>
    <row r="378">
      <c r="A378" t="n">
        <v>2203</v>
      </c>
      <c r="B378" s="16" t="n">
        <v>44523</v>
      </c>
      <c r="C378" t="inlineStr">
        <is>
          <t>VTA</t>
        </is>
      </c>
      <c r="D378" t="n">
        <v>32</v>
      </c>
      <c r="E378">
        <f>IF(D3732&gt;0,VLOOKUP(OPERAC[[#This Row],[COD CART]],[1]!MatrizCortoLargoCyl[#All],3,0),"")</f>
        <v/>
      </c>
      <c r="F378" t="inlineStr">
        <is>
          <t>TEVA/CYL/9,00/21-01-22</t>
        </is>
      </c>
      <c r="G378" t="n">
        <v>100</v>
      </c>
      <c r="H378">
        <f>-861.6332+18.874</f>
        <v/>
      </c>
      <c r="I378">
        <f>-H3732/G3732</f>
        <v/>
      </c>
      <c r="J378" s="16" t="n">
        <v>44575</v>
      </c>
      <c r="K378" t="n">
        <v>100</v>
      </c>
      <c r="L378" t="n">
        <v>878.913</v>
      </c>
    </row>
    <row r="379">
      <c r="A379" t="n">
        <v>2203</v>
      </c>
      <c r="B379" s="16" t="n">
        <v>44531</v>
      </c>
      <c r="C379" t="inlineStr">
        <is>
          <t>VTA</t>
        </is>
      </c>
      <c r="D379" t="n">
        <v>39</v>
      </c>
      <c r="E379">
        <f>IF(D853&gt;0,VLOOKUP(OPERAC[[#This Row],[COD CART]],[1]!MatrizCortoLargoCyl[#All],3,0),"")</f>
        <v/>
      </c>
      <c r="F379" t="inlineStr">
        <is>
          <t>MELI/V/740,00/16-09-22</t>
        </is>
      </c>
      <c r="G379" t="n">
        <v>-100</v>
      </c>
      <c r="H379">
        <f>-2*OPERAC[[#This Row],[cantidad]]</f>
        <v/>
      </c>
      <c r="I379">
        <f>-H853/G853</f>
        <v/>
      </c>
      <c r="J379" s="16" t="n">
        <v>44614</v>
      </c>
      <c r="K379">
        <f>+OPERAC[[#This Row],[cantidad]]</f>
        <v/>
      </c>
      <c r="L379" t="n">
        <v>-200</v>
      </c>
    </row>
    <row r="380">
      <c r="A380" t="n">
        <v>2203</v>
      </c>
      <c r="B380" s="16" t="n">
        <v>44536</v>
      </c>
      <c r="C380" t="inlineStr">
        <is>
          <t>CPR</t>
        </is>
      </c>
      <c r="D380" t="n">
        <v>43</v>
      </c>
      <c r="E380">
        <f>IF(D2713&gt;0,VLOOKUP(OPERAC[[#This Row],[COD CART]],[1]!MatrizCortoLargoCyl[#All],3,0),"")</f>
        <v/>
      </c>
      <c r="F380" t="inlineStr">
        <is>
          <t>HEXO/CYL-PUT/1,00/20-01-23</t>
        </is>
      </c>
      <c r="G380" t="n">
        <v>3000</v>
      </c>
      <c r="H380">
        <f>-0.1671*OPERAC[[#This Row],[cantidad]]</f>
        <v/>
      </c>
      <c r="I380">
        <f>-H2713/G2713</f>
        <v/>
      </c>
      <c r="J380" s="16" t="n">
        <v>44617</v>
      </c>
      <c r="K380" t="n">
        <v>1000</v>
      </c>
      <c r="L380" t="n">
        <v>326.13</v>
      </c>
    </row>
    <row r="381">
      <c r="A381" t="n">
        <v>2203</v>
      </c>
      <c r="B381" s="16" t="n">
        <v>44539</v>
      </c>
      <c r="C381" t="inlineStr">
        <is>
          <t>CPR</t>
        </is>
      </c>
      <c r="D381" t="n">
        <v>40</v>
      </c>
      <c r="E381">
        <f>IF(D6072&gt;0,VLOOKUP(OPERAC[[#This Row],[COD CART]],[1]!MatrizCortoLargoCyl[#All],3,0),"")</f>
        <v/>
      </c>
      <c r="F381" t="inlineStr">
        <is>
          <t>ROKU</t>
        </is>
      </c>
      <c r="G381" t="n">
        <v>15</v>
      </c>
      <c r="H381" t="n">
        <v>-3865.8054</v>
      </c>
      <c r="I381">
        <f>-H6072/G6072</f>
        <v/>
      </c>
      <c r="J381" s="16" t="n">
        <v>44606</v>
      </c>
      <c r="K381">
        <f>+OPERAC[[#This Row],[cantidad]]</f>
        <v/>
      </c>
      <c r="L381">
        <f>+OPERAC[[#This Row],[cantidad venta]]*160.574</f>
        <v/>
      </c>
    </row>
    <row r="382">
      <c r="A382" t="n">
        <v>2203</v>
      </c>
      <c r="B382" s="16" t="n">
        <v>44543</v>
      </c>
      <c r="C382" t="inlineStr">
        <is>
          <t>VTA</t>
        </is>
      </c>
      <c r="D382" t="n">
        <v>40</v>
      </c>
      <c r="E382">
        <f>IF(D2947&gt;0,VLOOKUP(OPERAC[[#This Row],[COD CART]],[1]!MatrizCortoLargoCyl[#All],3,0),"")</f>
        <v/>
      </c>
      <c r="F382" t="inlineStr">
        <is>
          <t>VIST</t>
        </is>
      </c>
      <c r="G382" t="n">
        <v>100</v>
      </c>
      <c r="H382" t="n">
        <v>-559.9400000000001</v>
      </c>
      <c r="I382">
        <f>-H2947/G2947</f>
        <v/>
      </c>
      <c r="J382" s="16" t="n">
        <v>44574</v>
      </c>
      <c r="K382">
        <f>+OPERAC[[#This Row],[cantidad]]</f>
        <v/>
      </c>
      <c r="L382">
        <f>+OPERAC[[#This Row],[cantidad venta]]*6.125</f>
        <v/>
      </c>
    </row>
    <row r="383">
      <c r="A383" t="n">
        <v>2203</v>
      </c>
      <c r="B383" s="16" t="n">
        <v>44550</v>
      </c>
      <c r="C383" t="inlineStr">
        <is>
          <t>VTA</t>
        </is>
      </c>
      <c r="D383" t="n">
        <v>40</v>
      </c>
      <c r="E383">
        <f>IF(D3010&gt;0,VLOOKUP(OPERAC[[#This Row],[COD CART]],[1]!MatrizCortoLargoCyl[#All],3,0),"")</f>
        <v/>
      </c>
      <c r="F383" t="inlineStr">
        <is>
          <t>SMH</t>
        </is>
      </c>
      <c r="G383" t="n">
        <v>2</v>
      </c>
      <c r="H383" t="n">
        <v>-583.86326</v>
      </c>
      <c r="I383">
        <f>-H3010/G3010</f>
        <v/>
      </c>
      <c r="J383" s="16" t="n">
        <v>44574</v>
      </c>
      <c r="K383">
        <f>+OPERAC[[#This Row],[cantidad]]</f>
        <v/>
      </c>
      <c r="L383">
        <f>+OPERAC[[#This Row],[cantidad venta]]*306.843</f>
        <v/>
      </c>
    </row>
    <row r="384">
      <c r="A384" t="n">
        <v>2203</v>
      </c>
      <c r="B384" s="16" t="n">
        <v>44551</v>
      </c>
      <c r="C384" t="inlineStr">
        <is>
          <t>CPR</t>
        </is>
      </c>
      <c r="D384" t="n">
        <v>40</v>
      </c>
      <c r="E384">
        <f>IF(D4547&gt;0,VLOOKUP(OPERAC[[#This Row],[COD CART]],[1]!MatrizCortoLargoCyl[#All],3,0),"")</f>
        <v/>
      </c>
      <c r="F384" t="inlineStr">
        <is>
          <t>EDIT</t>
        </is>
      </c>
      <c r="G384" t="n">
        <v>40</v>
      </c>
      <c r="H384" t="n">
        <v>-1217.048</v>
      </c>
      <c r="I384">
        <f>-H4547/G4547</f>
        <v/>
      </c>
      <c r="J384" s="16" t="n">
        <v>44585</v>
      </c>
      <c r="K384" t="n">
        <v>40</v>
      </c>
      <c r="L384" t="n">
        <v>671.169</v>
      </c>
    </row>
    <row r="385">
      <c r="A385" t="n">
        <v>2203</v>
      </c>
      <c r="B385" s="16" t="n">
        <v>44553</v>
      </c>
      <c r="C385" t="inlineStr">
        <is>
          <t>VTA</t>
        </is>
      </c>
      <c r="D385" t="n">
        <v>40</v>
      </c>
      <c r="E385">
        <f>IF(D2101&gt;0,VLOOKUP(OPERAC[[#This Row],[COD CART]],[1]!MatrizCortoLargoCyl[#All],3,0),"")</f>
        <v/>
      </c>
      <c r="F385" t="inlineStr">
        <is>
          <t>ON</t>
        </is>
      </c>
      <c r="G385" t="n">
        <v>5</v>
      </c>
      <c r="H385" t="n">
        <v>-335.56804</v>
      </c>
      <c r="I385">
        <f>-H2101/G2101</f>
        <v/>
      </c>
      <c r="J385" s="16" t="n">
        <v>44606</v>
      </c>
      <c r="K385">
        <f>+OPERAC[[#This Row],[cantidad]]</f>
        <v/>
      </c>
      <c r="L385">
        <f>+OPERAC[[#This Row],[cantidad venta]]*58.449</f>
        <v/>
      </c>
    </row>
    <row r="386">
      <c r="A386" t="n">
        <v>2203</v>
      </c>
      <c r="B386" s="16" t="n">
        <v>44575</v>
      </c>
      <c r="C386" t="inlineStr">
        <is>
          <t>VTA</t>
        </is>
      </c>
      <c r="D386" t="n">
        <v>40</v>
      </c>
      <c r="E386">
        <f>IF(D1990&gt;0,VLOOKUP(OPERAC[[#This Row],[COD CART]],[1]!MatrizCortoLargoCyl[#All],3,0),"")</f>
        <v/>
      </c>
      <c r="F386" t="inlineStr">
        <is>
          <t>GBTC</t>
        </is>
      </c>
      <c r="G386" t="n">
        <v>10</v>
      </c>
      <c r="H386" t="n">
        <v>-308.0948</v>
      </c>
      <c r="I386">
        <f>-H1990/G1990</f>
        <v/>
      </c>
      <c r="J386" s="16" t="n">
        <v>44651</v>
      </c>
      <c r="K386">
        <f>+OPERAC[[#This Row],[cantidad]]</f>
        <v/>
      </c>
      <c r="L386">
        <f>+OPERAC[[#This Row],[cantidad venta]]*31.332</f>
        <v/>
      </c>
    </row>
    <row r="387">
      <c r="A387" t="n">
        <v>2203</v>
      </c>
      <c r="B387" s="16" t="n">
        <v>44582</v>
      </c>
      <c r="C387" t="inlineStr">
        <is>
          <t>CPR</t>
        </is>
      </c>
      <c r="D387" t="n">
        <v>40</v>
      </c>
      <c r="E387">
        <f>IF(D3604&gt;0,VLOOKUP(OPERAC[[#This Row],[COD CART]],[1]!MatrizCortoLargoCyl[#All],3,0),"")</f>
        <v/>
      </c>
      <c r="F387" t="inlineStr">
        <is>
          <t>NFLX</t>
        </is>
      </c>
      <c r="G387" t="n">
        <v>2</v>
      </c>
      <c r="H387" t="n">
        <v>-781.2742000000001</v>
      </c>
      <c r="I387">
        <f>-H3604/G3604</f>
        <v/>
      </c>
      <c r="J387" s="16" t="n">
        <v>44593</v>
      </c>
      <c r="K387">
        <f>+OPERAC[[#This Row],[cantidad]]</f>
        <v/>
      </c>
      <c r="L387">
        <f>+OPERAC[[#This Row],[cantidad venta]]*448.602</f>
        <v/>
      </c>
    </row>
    <row r="388">
      <c r="A388" t="n">
        <v>2203</v>
      </c>
      <c r="B388" s="16" t="n">
        <v>44582</v>
      </c>
      <c r="C388" t="inlineStr">
        <is>
          <t>CPR</t>
        </is>
      </c>
      <c r="D388" t="n">
        <v>40</v>
      </c>
      <c r="E388">
        <f>IF(D6087&gt;0,VLOOKUP(OPERAC[[#This Row],[COD CART]],[1]!MatrizCortoLargoCyl[#All],3,0),"")</f>
        <v/>
      </c>
      <c r="F388" t="inlineStr">
        <is>
          <t>ACB</t>
        </is>
      </c>
      <c r="G388" t="n">
        <v>160</v>
      </c>
      <c r="H388">
        <f>-25*OPERAC[[#This Row],[cantidad]]</f>
        <v/>
      </c>
      <c r="I388">
        <f>-H6087/G6087</f>
        <v/>
      </c>
      <c r="J388" s="16" t="n">
        <v>44602</v>
      </c>
      <c r="K388" t="n">
        <v>160</v>
      </c>
      <c r="L388">
        <f>4.74*160</f>
        <v/>
      </c>
    </row>
    <row r="389">
      <c r="A389" t="n">
        <v>2203</v>
      </c>
      <c r="B389" s="16" t="n">
        <v>44585</v>
      </c>
      <c r="C389" t="inlineStr">
        <is>
          <t>CPR</t>
        </is>
      </c>
      <c r="D389" t="n">
        <v>32</v>
      </c>
      <c r="E389">
        <f>IF(D4822&gt;0,VLOOKUP(OPERAC[[#This Row],[COD CART]],[1]!MatrizCortoLargoCyl[#All],3,0),"")</f>
        <v/>
      </c>
      <c r="F389" t="inlineStr">
        <is>
          <t>SPWR/CYL/20,00/18-03-22</t>
        </is>
      </c>
      <c r="G389" t="n">
        <v>100</v>
      </c>
      <c r="H389">
        <f>-1434.29+15.022</f>
        <v/>
      </c>
      <c r="I389">
        <f>-H4822/G4822</f>
        <v/>
      </c>
      <c r="J389" s="16" t="n">
        <v>44636</v>
      </c>
      <c r="K389" t="n">
        <v>100</v>
      </c>
      <c r="L389" t="n">
        <v>1911.85</v>
      </c>
    </row>
    <row r="390">
      <c r="A390" t="n">
        <v>2203</v>
      </c>
      <c r="B390" s="16" t="n">
        <v>44588</v>
      </c>
      <c r="C390" t="inlineStr">
        <is>
          <t>VTA</t>
        </is>
      </c>
      <c r="D390" t="n">
        <v>39</v>
      </c>
      <c r="E390">
        <f>IF(D61&gt;0,VLOOKUP(OPERAC[[#This Row],[COD CART]],[1]!MatrizCortoLargoCyl[#All],3,0),"")</f>
        <v/>
      </c>
      <c r="F390" t="inlineStr">
        <is>
          <t>ROKU/V/150,00/04-02-22</t>
        </is>
      </c>
      <c r="G390" t="n">
        <v>-500</v>
      </c>
      <c r="H390" t="n">
        <v>4749.6875</v>
      </c>
      <c r="I390">
        <f>-H61/G61</f>
        <v/>
      </c>
      <c r="J390" s="16" t="n">
        <v>44595</v>
      </c>
      <c r="K390" t="n">
        <v>-500</v>
      </c>
      <c r="L390" t="n">
        <v>-2925.205</v>
      </c>
    </row>
    <row r="391">
      <c r="A391" t="n">
        <v>2203</v>
      </c>
      <c r="B391" s="16" t="n">
        <v>44595</v>
      </c>
      <c r="C391" t="inlineStr">
        <is>
          <t>VTA</t>
        </is>
      </c>
      <c r="D391" t="n">
        <v>39</v>
      </c>
      <c r="E391">
        <f>IF(D140&gt;0,VLOOKUP(OPERAC[[#This Row],[COD CART]],[1]!MatrizCortoLargoCyl[#All],3,0),"")</f>
        <v/>
      </c>
      <c r="F391" t="inlineStr">
        <is>
          <t>ROKU/V/145,00/11-02-22</t>
        </is>
      </c>
      <c r="G391" t="n">
        <v>-400</v>
      </c>
      <c r="H391" t="n">
        <v>2974.372</v>
      </c>
      <c r="I391">
        <f>-H140/G140</f>
        <v/>
      </c>
      <c r="J391" s="16" t="n">
        <v>44603</v>
      </c>
      <c r="K391" t="n">
        <v>-400</v>
      </c>
      <c r="L391" t="n">
        <v>0</v>
      </c>
    </row>
    <row r="392">
      <c r="A392" t="n">
        <v>2203</v>
      </c>
      <c r="B392" s="16" t="n">
        <v>44599</v>
      </c>
      <c r="C392" t="inlineStr">
        <is>
          <t>CPR</t>
        </is>
      </c>
      <c r="D392" t="n">
        <v>40</v>
      </c>
      <c r="E392">
        <f>IF(D5650&gt;0,VLOOKUP(OPERAC[[#This Row],[COD CART]],[1]!MatrizCortoLargoCyl[#All],3,0),"")</f>
        <v/>
      </c>
      <c r="F392" t="inlineStr">
        <is>
          <t>FB</t>
        </is>
      </c>
      <c r="G392" t="n">
        <v>10</v>
      </c>
      <c r="H392" t="n">
        <v>-2384.6</v>
      </c>
      <c r="I392">
        <f>-H5650/G5650</f>
        <v/>
      </c>
      <c r="J392" s="16" t="n">
        <v>44602</v>
      </c>
      <c r="K392" t="n">
        <v>10</v>
      </c>
      <c r="L392">
        <f>232*10</f>
        <v/>
      </c>
    </row>
    <row r="393">
      <c r="A393" t="n">
        <v>2203</v>
      </c>
      <c r="B393" s="16" t="n">
        <v>44607</v>
      </c>
      <c r="C393" t="inlineStr">
        <is>
          <t>VTA</t>
        </is>
      </c>
      <c r="D393" t="n">
        <v>32</v>
      </c>
      <c r="E393">
        <f>IF(D5021&gt;0,VLOOKUP(OPERAC[[#This Row],[COD CART]],[1]!MatrizCortoLargoCyl[#All],3,0),"")</f>
        <v/>
      </c>
      <c r="F393" t="inlineStr">
        <is>
          <t>DDD/CYL/16,00/18-03-22</t>
        </is>
      </c>
      <c r="G393" t="n">
        <v>100</v>
      </c>
      <c r="H393" t="n">
        <v>-1552.775</v>
      </c>
      <c r="I393">
        <f>-H5021/G5021</f>
        <v/>
      </c>
      <c r="J393" s="16" t="n">
        <v>44638</v>
      </c>
      <c r="K393" t="n">
        <v>100</v>
      </c>
      <c r="L393">
        <f>15.866*OPERAC[[#This Row],[cantidad venta]]</f>
        <v/>
      </c>
    </row>
    <row r="394">
      <c r="A394" t="n">
        <v>2203</v>
      </c>
      <c r="B394" s="16" t="n">
        <v>44608</v>
      </c>
      <c r="C394" t="inlineStr">
        <is>
          <t>VTA</t>
        </is>
      </c>
      <c r="D394" t="n">
        <v>40</v>
      </c>
      <c r="E394">
        <f>IF(D2835&gt;0,VLOOKUP(OPERAC[[#This Row],[COD CART]],[1]!MatrizCortoLargoCyl[#All],3,0),"")</f>
        <v/>
      </c>
      <c r="F394" t="inlineStr">
        <is>
          <t>NVDA</t>
        </is>
      </c>
      <c r="G394" t="n">
        <v>2</v>
      </c>
      <c r="H394" t="n">
        <v>-527.0279999999999</v>
      </c>
      <c r="I394">
        <f>-H2835/G2835</f>
        <v/>
      </c>
      <c r="J394" s="16" t="n">
        <v>44616</v>
      </c>
      <c r="K394">
        <f>+OPERAC[[#This Row],[cantidad]]</f>
        <v/>
      </c>
      <c r="L394">
        <f>+OPERAC[[#This Row],[cantidad venta]]*224.117</f>
        <v/>
      </c>
    </row>
    <row r="395">
      <c r="A395" t="n">
        <v>2203</v>
      </c>
      <c r="B395" s="16" t="n">
        <v>44609</v>
      </c>
      <c r="C395" t="inlineStr">
        <is>
          <t>VTA</t>
        </is>
      </c>
      <c r="D395" t="n">
        <v>32</v>
      </c>
      <c r="E395">
        <f>IF(D3864&gt;0,VLOOKUP(OPERAC[[#This Row],[COD CART]],[1]!MatrizCortoLargoCyl[#All],3,0),"")</f>
        <v/>
      </c>
      <c r="F395" t="inlineStr">
        <is>
          <t>HIMX/CYL/9,00/18-03-22</t>
        </is>
      </c>
      <c r="G395" t="n">
        <v>100</v>
      </c>
      <c r="H395" t="n">
        <v>-869.5839999999999</v>
      </c>
      <c r="I395">
        <f>-H3864/G3864</f>
        <v/>
      </c>
      <c r="J395" s="16" t="n">
        <v>44622</v>
      </c>
      <c r="K395">
        <f>+OPERAC[[#This Row],[cantidad]]</f>
        <v/>
      </c>
      <c r="L395" t="n">
        <v>883.576</v>
      </c>
    </row>
    <row r="396">
      <c r="A396" t="n">
        <v>2203</v>
      </c>
      <c r="B396" s="16" t="n">
        <v>44614</v>
      </c>
      <c r="C396" t="inlineStr">
        <is>
          <t>VTA</t>
        </is>
      </c>
      <c r="D396" t="n">
        <v>39</v>
      </c>
      <c r="E396">
        <f>IF(D1035&gt;0,VLOOKUP(OPERAC[[#This Row],[COD CART]],[1]!MatrizCortoLargoCyl[#All],3,0),"")</f>
        <v/>
      </c>
      <c r="F396" t="inlineStr">
        <is>
          <t>ROKU/V/55,00/20-01-23</t>
        </is>
      </c>
      <c r="G396" t="n">
        <v>-10</v>
      </c>
      <c r="H396" t="n">
        <v>49.55</v>
      </c>
      <c r="I396">
        <f>-H1035/G1035</f>
        <v/>
      </c>
      <c r="J396" s="16" t="n">
        <v>44672</v>
      </c>
      <c r="K396" t="n">
        <v>-10</v>
      </c>
      <c r="L396" t="n">
        <v>-47.3995</v>
      </c>
    </row>
    <row r="397">
      <c r="A397" t="n">
        <v>2203</v>
      </c>
      <c r="B397" s="16" t="n">
        <v>44614</v>
      </c>
      <c r="C397" t="inlineStr">
        <is>
          <t>VTA</t>
        </is>
      </c>
      <c r="D397" t="n">
        <v>39</v>
      </c>
      <c r="E397">
        <f>IF(D1045&gt;0,VLOOKUP(OPERAC[[#This Row],[COD CART]],[1]!MatrizCortoLargoCyl[#All],3,0),"")</f>
        <v/>
      </c>
      <c r="F397" t="inlineStr">
        <is>
          <t>MELI/V/540,00/20-01-23</t>
        </is>
      </c>
      <c r="G397" t="n">
        <v>-1</v>
      </c>
      <c r="H397" t="n">
        <v>43.64</v>
      </c>
      <c r="I397">
        <f>-H1045/G1045</f>
        <v/>
      </c>
    </row>
    <row r="398">
      <c r="A398" t="n">
        <v>2203</v>
      </c>
      <c r="B398" s="16" t="n">
        <v>44614</v>
      </c>
      <c r="C398" t="inlineStr">
        <is>
          <t>VTA</t>
        </is>
      </c>
      <c r="D398" t="n">
        <v>39</v>
      </c>
      <c r="E398">
        <f>IF(D1058&gt;0,VLOOKUP(OPERAC[[#This Row],[COD CART]],[1]!MatrizCortoLargoCyl[#All],3,0),"")</f>
        <v/>
      </c>
      <c r="F398" t="inlineStr">
        <is>
          <t>ACB/V/4,00/20-01-23</t>
        </is>
      </c>
      <c r="G398" t="n">
        <v>-30</v>
      </c>
      <c r="H398" t="n">
        <v>38.6</v>
      </c>
      <c r="I398">
        <f>-H1058/G1058</f>
        <v/>
      </c>
      <c r="J398" s="16" t="n">
        <v>44637</v>
      </c>
      <c r="K398" t="n">
        <v>-10</v>
      </c>
      <c r="L398" t="n">
        <v>-15.18892</v>
      </c>
    </row>
    <row r="399">
      <c r="A399" t="n">
        <v>2203</v>
      </c>
      <c r="B399" s="16" t="n">
        <v>44616</v>
      </c>
      <c r="C399" t="inlineStr">
        <is>
          <t>CPR</t>
        </is>
      </c>
      <c r="D399" t="n">
        <v>32</v>
      </c>
      <c r="E399">
        <f>IF(D4307&gt;0,VLOOKUP(OPERAC[[#This Row],[COD CART]],[1]!MatrizCortoLargoCyl[#All],3,0),"")</f>
        <v/>
      </c>
      <c r="F399" t="inlineStr">
        <is>
          <t>PLTR/CYL/12,00/14-04-22</t>
        </is>
      </c>
      <c r="G399" t="n">
        <v>100</v>
      </c>
      <c r="H399" t="n">
        <v>-1052.7265</v>
      </c>
      <c r="I399">
        <f>-H4307/G4307</f>
        <v/>
      </c>
      <c r="J399" s="16" t="n">
        <v>44643</v>
      </c>
      <c r="K399" t="n">
        <v>100</v>
      </c>
      <c r="L399" t="n">
        <v>1146.72</v>
      </c>
    </row>
    <row r="400">
      <c r="A400" t="n">
        <v>2203</v>
      </c>
      <c r="B400" s="16" t="n">
        <v>44622</v>
      </c>
      <c r="C400" t="inlineStr">
        <is>
          <t>CPR</t>
        </is>
      </c>
      <c r="D400" t="n">
        <v>32</v>
      </c>
      <c r="E400">
        <f>IF(D4050&gt;0,VLOOKUP(OPERAC[[#This Row],[COD CART]],[1]!MatrizCortoLargoCyl[#All],3,0),"")</f>
        <v/>
      </c>
      <c r="F400" t="inlineStr">
        <is>
          <t>SABR/CYL/10,00/14-04-22</t>
        </is>
      </c>
      <c r="G400" t="n">
        <v>100</v>
      </c>
      <c r="H400" t="n">
        <v>-928.9848000000001</v>
      </c>
      <c r="I400">
        <f>-H4050/G4050</f>
        <v/>
      </c>
      <c r="J400" s="16" t="n">
        <v>44649</v>
      </c>
      <c r="K400" t="n">
        <v>100</v>
      </c>
      <c r="L400" t="n">
        <v>982.1799999999999</v>
      </c>
    </row>
    <row r="401">
      <c r="A401" t="n">
        <v>2203</v>
      </c>
      <c r="B401" s="16" t="n">
        <v>44634</v>
      </c>
      <c r="C401" t="inlineStr">
        <is>
          <t>VTA</t>
        </is>
      </c>
      <c r="D401" t="n">
        <v>42</v>
      </c>
      <c r="E401">
        <f>IF(D3229&gt;0,VLOOKUP(OPERAC[[#This Row],[COD CART]],[1]!MatrizCortoLargoCyl[#All],3,0),"")</f>
        <v/>
      </c>
      <c r="F401" t="inlineStr">
        <is>
          <t>INO</t>
        </is>
      </c>
      <c r="G401" t="n">
        <v>200</v>
      </c>
      <c r="H401" t="n">
        <v>-664.1632</v>
      </c>
      <c r="I401">
        <f>-H3229/G3229</f>
        <v/>
      </c>
      <c r="J401" s="16" t="n">
        <v>44634</v>
      </c>
      <c r="K401" t="n">
        <v>200</v>
      </c>
      <c r="L401" t="n">
        <v>597.771</v>
      </c>
    </row>
    <row r="402">
      <c r="A402" t="n">
        <v>2203</v>
      </c>
      <c r="B402" s="16" t="n">
        <v>44641</v>
      </c>
      <c r="C402" t="inlineStr">
        <is>
          <t>CPR</t>
        </is>
      </c>
      <c r="D402" t="n">
        <v>42</v>
      </c>
      <c r="E402">
        <f>IF(D3642&gt;0,VLOOKUP(OPERAC[[#This Row],[COD CART]],[1]!MatrizCortoLargoCyl[#All],3,0),"")</f>
        <v/>
      </c>
      <c r="F402" t="inlineStr">
        <is>
          <t>SMH</t>
        </is>
      </c>
      <c r="G402" t="n">
        <v>3</v>
      </c>
      <c r="H402" t="n">
        <v>-806.8729500000001</v>
      </c>
      <c r="I402">
        <f>-H3642/G3642</f>
        <v/>
      </c>
      <c r="J402" s="16" t="n">
        <v>44663</v>
      </c>
      <c r="K402">
        <f>+OPERAC[[#This Row],[cantidad]]</f>
        <v/>
      </c>
      <c r="L402">
        <f>+OPERAC[[#This Row],[cantidad venta]]*238.066</f>
        <v/>
      </c>
    </row>
    <row r="403">
      <c r="A403" t="n">
        <v>2203</v>
      </c>
      <c r="B403" s="16" t="n">
        <v>44641</v>
      </c>
      <c r="C403" t="inlineStr">
        <is>
          <t>CPR</t>
        </is>
      </c>
      <c r="D403" t="n">
        <v>42</v>
      </c>
      <c r="E403">
        <f>IF(D4181&gt;0,VLOOKUP(OPERAC[[#This Row],[COD CART]],[1]!MatrizCortoLargoCyl[#All],3,0),"")</f>
        <v/>
      </c>
      <c r="F403" t="inlineStr">
        <is>
          <t>JPM</t>
        </is>
      </c>
      <c r="G403" t="n">
        <v>7</v>
      </c>
      <c r="H403" t="n">
        <v>-983.18038</v>
      </c>
      <c r="I403">
        <f>-H4181/G4181</f>
        <v/>
      </c>
      <c r="J403" s="16" t="n">
        <v>44664</v>
      </c>
      <c r="K403">
        <f>+OPERAC[[#This Row],[cantidad]]</f>
        <v/>
      </c>
      <c r="L403">
        <f>+OPERAC[[#This Row],[cantidad venta]]*125.943</f>
        <v/>
      </c>
    </row>
    <row r="404">
      <c r="A404" t="n">
        <v>2203</v>
      </c>
      <c r="B404" s="16" t="n">
        <v>44641</v>
      </c>
      <c r="C404" t="inlineStr">
        <is>
          <t>VTA</t>
        </is>
      </c>
      <c r="D404" t="n">
        <v>42</v>
      </c>
      <c r="E404">
        <f>IF(D3769&gt;0,VLOOKUP(OPERAC[[#This Row],[COD CART]],[1]!MatrizCortoLargoCyl[#All],3,0),"")</f>
        <v/>
      </c>
      <c r="F404" t="inlineStr">
        <is>
          <t>FB</t>
        </is>
      </c>
      <c r="G404" t="n">
        <v>4</v>
      </c>
      <c r="H404" t="n">
        <v>-848.6255200000001</v>
      </c>
      <c r="I404">
        <f>-H3769/G3769</f>
        <v/>
      </c>
      <c r="J404" s="16" t="n">
        <v>44671</v>
      </c>
      <c r="K404">
        <f>+OPERAC[[#This Row],[cantidad]]</f>
        <v/>
      </c>
      <c r="L404">
        <f>+OPERAC[[#This Row],[cantidad venta]]*213.173</f>
        <v/>
      </c>
    </row>
    <row r="405">
      <c r="A405" t="n">
        <v>2203</v>
      </c>
      <c r="B405" s="16" t="n">
        <v>44643</v>
      </c>
      <c r="C405" t="inlineStr">
        <is>
          <t>VTA</t>
        </is>
      </c>
      <c r="D405" t="n">
        <v>32</v>
      </c>
      <c r="E405">
        <f>IF(D3808&gt;0,VLOOKUP(OPERAC[[#This Row],[COD CART]],[1]!MatrizCortoLargoCyl[#All],3,0),"")</f>
        <v/>
      </c>
      <c r="F405" t="inlineStr">
        <is>
          <t>COTY/CYL/9,00/14-04-22</t>
        </is>
      </c>
      <c r="G405" t="n">
        <v>100</v>
      </c>
      <c r="H405" t="n">
        <v>-855.451</v>
      </c>
      <c r="I405">
        <f>-H3808/G3808</f>
        <v/>
      </c>
      <c r="J405" s="16" t="n">
        <v>44649</v>
      </c>
      <c r="K405" t="n">
        <v>100</v>
      </c>
      <c r="L405" t="n">
        <v>875.28</v>
      </c>
    </row>
    <row r="406">
      <c r="A406" t="n">
        <v>2203</v>
      </c>
      <c r="B406" s="16" t="n">
        <v>44645</v>
      </c>
      <c r="C406" t="inlineStr">
        <is>
          <t>VTA</t>
        </is>
      </c>
      <c r="D406" t="n">
        <v>42</v>
      </c>
      <c r="E406">
        <f>IF(D2362&gt;0,VLOOKUP(OPERAC[[#This Row],[COD CART]],[1]!MatrizCortoLargoCyl[#All],3,0),"")</f>
        <v/>
      </c>
      <c r="F406" t="inlineStr">
        <is>
          <t>PLUG</t>
        </is>
      </c>
      <c r="G406" t="n">
        <v>15</v>
      </c>
      <c r="H406" t="n">
        <v>-418.9746</v>
      </c>
      <c r="I406">
        <f>-H2362/G2362</f>
        <v/>
      </c>
      <c r="J406" s="16" t="n">
        <v>44652</v>
      </c>
      <c r="K406">
        <f>+OPERAC[[#This Row],[cantidad]]</f>
        <v/>
      </c>
      <c r="L406">
        <f>+OPERAC[[#This Row],[cantidad venta]]*27.754</f>
        <v/>
      </c>
    </row>
    <row r="407">
      <c r="A407" t="n">
        <v>2203</v>
      </c>
      <c r="B407" s="16" t="n">
        <v>44649</v>
      </c>
      <c r="C407" t="inlineStr">
        <is>
          <t>VTA</t>
        </is>
      </c>
      <c r="D407" t="n">
        <v>32</v>
      </c>
      <c r="E407">
        <f>IF(D3220&gt;0,VLOOKUP(OPERAC[[#This Row],[COD CART]],[1]!MatrizCortoLargoCyl[#All],3,0),"")</f>
        <v/>
      </c>
      <c r="F407" t="inlineStr">
        <is>
          <t>TLRY</t>
        </is>
      </c>
      <c r="G407" t="n">
        <v>100</v>
      </c>
      <c r="H407">
        <f>-672.216+9.915</f>
        <v/>
      </c>
      <c r="I407">
        <f>-H3220/G3220</f>
        <v/>
      </c>
      <c r="J407" s="16" t="n">
        <v>44704</v>
      </c>
      <c r="K407" t="n">
        <v>100</v>
      </c>
      <c r="L407" t="n">
        <v>454.305</v>
      </c>
    </row>
    <row r="408">
      <c r="A408" t="n">
        <v>2203</v>
      </c>
      <c r="B408" s="16" t="n">
        <v>44649</v>
      </c>
      <c r="C408" t="inlineStr">
        <is>
          <t>VTA</t>
        </is>
      </c>
      <c r="D408" t="n">
        <v>32</v>
      </c>
      <c r="E408">
        <f>IF(D5014&gt;0,VLOOKUP(OPERAC[[#This Row],[COD CART]],[1]!MatrizCortoLargoCyl[#All],3,0),"")</f>
        <v/>
      </c>
      <c r="F408" t="inlineStr">
        <is>
          <t>LIND</t>
        </is>
      </c>
      <c r="G408" t="n">
        <v>100</v>
      </c>
      <c r="H408" t="n">
        <v>-1545.764</v>
      </c>
      <c r="I408">
        <f>-H5014/G5014</f>
        <v/>
      </c>
      <c r="J408" s="16" t="n">
        <v>44656</v>
      </c>
      <c r="K408" t="n">
        <v>100</v>
      </c>
      <c r="L408">
        <f>+OPERAC[[#This Row],[cantidad venta]]*15.682</f>
        <v/>
      </c>
    </row>
    <row r="409">
      <c r="A409" t="n">
        <v>2203</v>
      </c>
      <c r="B409" s="16" t="n">
        <v>44651</v>
      </c>
      <c r="C409" t="inlineStr">
        <is>
          <t>VTA</t>
        </is>
      </c>
      <c r="D409" t="n">
        <v>42</v>
      </c>
      <c r="E409">
        <f>IF(D2121&gt;0,VLOOKUP(OPERAC[[#This Row],[COD CART]],[1]!MatrizCortoLargoCyl[#All],3,0),"")</f>
        <v/>
      </c>
      <c r="F409" t="inlineStr">
        <is>
          <t>AMD</t>
        </is>
      </c>
      <c r="G409" t="n">
        <v>3</v>
      </c>
      <c r="H409" t="n">
        <v>-341.69676</v>
      </c>
      <c r="I409">
        <f>-H2121/G2121</f>
        <v/>
      </c>
      <c r="J409" s="16" t="n">
        <v>44693</v>
      </c>
      <c r="K409" t="n">
        <v>3</v>
      </c>
      <c r="L409" t="n">
        <v>249.44</v>
      </c>
    </row>
    <row r="410">
      <c r="A410" t="n">
        <v>2203</v>
      </c>
      <c r="B410" s="16" t="n">
        <v>44652</v>
      </c>
      <c r="C410" t="inlineStr">
        <is>
          <t>CPR</t>
        </is>
      </c>
      <c r="D410" t="n">
        <v>42</v>
      </c>
      <c r="E410">
        <f>IF(D2636&gt;0,VLOOKUP(OPERAC[[#This Row],[COD CART]],[1]!MatrizCortoLargoCyl[#All],3,0),"")</f>
        <v/>
      </c>
      <c r="F410" t="inlineStr">
        <is>
          <t>GBTC</t>
        </is>
      </c>
      <c r="G410" t="n">
        <v>15</v>
      </c>
      <c r="H410" t="n">
        <v>-481.647</v>
      </c>
      <c r="I410">
        <f>-H2636/G2636</f>
        <v/>
      </c>
      <c r="J410" s="16" t="n">
        <v>44662</v>
      </c>
      <c r="K410">
        <f>+OPERAC[[#This Row],[cantidad]]</f>
        <v/>
      </c>
      <c r="L410">
        <f>27.99*OPERAC[[#This Row],[cantidad venta]]</f>
        <v/>
      </c>
    </row>
    <row r="411">
      <c r="A411" t="n">
        <v>2203</v>
      </c>
      <c r="B411" s="16" t="n">
        <v>44656</v>
      </c>
      <c r="C411" t="inlineStr">
        <is>
          <t>CPR</t>
        </is>
      </c>
      <c r="D411" t="n">
        <v>32</v>
      </c>
      <c r="E411">
        <f>IF(D2659&gt;0,VLOOKUP(OPERAC[[#This Row],[COD CART]],[1]!MatrizCortoLargoCyl[#All],3,0),"")</f>
        <v/>
      </c>
      <c r="F411" t="inlineStr">
        <is>
          <t>HMY</t>
        </is>
      </c>
      <c r="G411" t="n">
        <v>100</v>
      </c>
      <c r="H411" t="n">
        <v>-487.753</v>
      </c>
      <c r="I411">
        <f>-H2659/G2659</f>
        <v/>
      </c>
      <c r="J411" s="16" t="n">
        <v>44669</v>
      </c>
      <c r="K411">
        <f>+OPERAC[[#This Row],[cantidad]]</f>
        <v/>
      </c>
      <c r="L411">
        <f>4.925*OPERAC[[#This Row],[cantidad venta]]</f>
        <v/>
      </c>
    </row>
    <row r="412">
      <c r="A412" t="n">
        <v>2203</v>
      </c>
      <c r="B412" s="16" t="n">
        <v>44656</v>
      </c>
      <c r="C412" t="inlineStr">
        <is>
          <t>CPR</t>
        </is>
      </c>
      <c r="D412" t="n">
        <v>32</v>
      </c>
      <c r="E412">
        <f>IF(D4120&gt;0,VLOOKUP(OPERAC[[#This Row],[COD CART]],[1]!MatrizCortoLargoCyl[#All],3,0),"")</f>
        <v/>
      </c>
      <c r="F412" t="inlineStr">
        <is>
          <t>HIMX/CYL/10,00/20-05-22</t>
        </is>
      </c>
      <c r="G412" t="n">
        <v>100</v>
      </c>
      <c r="H412" t="n">
        <v>-955.798</v>
      </c>
      <c r="I412">
        <f>-H4120/G4120</f>
        <v/>
      </c>
      <c r="J412" s="16" t="n">
        <v>44693</v>
      </c>
      <c r="K412" t="n">
        <v>100</v>
      </c>
      <c r="L412" t="n">
        <v>777.308</v>
      </c>
    </row>
    <row r="413">
      <c r="A413" t="n">
        <v>2203</v>
      </c>
      <c r="B413" s="16" t="n">
        <v>44659</v>
      </c>
      <c r="C413" t="inlineStr">
        <is>
          <t>VTA</t>
        </is>
      </c>
      <c r="D413" t="n">
        <v>39</v>
      </c>
      <c r="E413">
        <f>IF(D471&gt;0,VLOOKUP(OPERAC[[#This Row],[COD CART]],[1]!MatrizCortoLargoCyl[#All],3,0),"")</f>
        <v/>
      </c>
      <c r="F413" t="inlineStr">
        <is>
          <t>UPST/V/80,00/14-04-22</t>
        </is>
      </c>
      <c r="G413" t="n">
        <v>-1000</v>
      </c>
      <c r="H413" t="n">
        <v>987.98</v>
      </c>
      <c r="I413">
        <f>-H471/G471</f>
        <v/>
      </c>
      <c r="J413" s="16" t="n">
        <v>44665</v>
      </c>
      <c r="K413" t="n">
        <v>-1000</v>
      </c>
      <c r="L413" t="n">
        <v>0</v>
      </c>
    </row>
    <row r="414">
      <c r="A414" t="n">
        <v>2203</v>
      </c>
      <c r="B414" s="16" t="n">
        <v>44662</v>
      </c>
      <c r="C414" t="inlineStr">
        <is>
          <t>VTA</t>
        </is>
      </c>
      <c r="D414" t="n">
        <v>42</v>
      </c>
      <c r="E414">
        <f>IF(D2547&gt;0,VLOOKUP(OPERAC[[#This Row],[COD CART]],[1]!MatrizCortoLargoCyl[#All],3,0),"")</f>
        <v/>
      </c>
      <c r="F414" t="inlineStr">
        <is>
          <t>HYDR</t>
        </is>
      </c>
      <c r="G414" t="n">
        <v>25</v>
      </c>
      <c r="H414" t="n">
        <v>-464.2586</v>
      </c>
      <c r="I414">
        <f>-H2547/G2547</f>
        <v/>
      </c>
      <c r="J414" s="16" t="n">
        <v>44693</v>
      </c>
      <c r="K414">
        <f>5+20</f>
        <v/>
      </c>
      <c r="L414">
        <f>58.15+268.7</f>
        <v/>
      </c>
    </row>
    <row r="415">
      <c r="A415" t="n">
        <v>2203</v>
      </c>
      <c r="B415" s="16" t="n">
        <v>44662</v>
      </c>
      <c r="C415" t="inlineStr">
        <is>
          <t>VTA</t>
        </is>
      </c>
      <c r="D415" t="n">
        <v>42</v>
      </c>
      <c r="E415">
        <f>IF(D5427&gt;0,VLOOKUP(OPERAC[[#This Row],[COD CART]],[1]!MatrizCortoLargoCyl[#All],3,0),"")</f>
        <v/>
      </c>
      <c r="F415" t="inlineStr">
        <is>
          <t>HYDR</t>
        </is>
      </c>
      <c r="G415" t="n">
        <v>100</v>
      </c>
      <c r="H415" t="n">
        <v>-1857.0344</v>
      </c>
      <c r="I415">
        <f>-H5427/G5427</f>
        <v/>
      </c>
      <c r="J415" s="16" t="n">
        <v>44677</v>
      </c>
      <c r="K415">
        <f>50+50</f>
        <v/>
      </c>
      <c r="L415">
        <f>794.192+671.75</f>
        <v/>
      </c>
    </row>
    <row r="416">
      <c r="A416" t="n">
        <v>2203</v>
      </c>
      <c r="B416" s="16" t="n">
        <v>44664</v>
      </c>
      <c r="C416" t="inlineStr">
        <is>
          <t>VTA</t>
        </is>
      </c>
      <c r="D416" t="n">
        <v>42</v>
      </c>
      <c r="E416">
        <f>IF(D2218&gt;0,VLOOKUP(OPERAC[[#This Row],[COD CART]],[1]!MatrizCortoLargoCyl[#All],3,0),"")</f>
        <v/>
      </c>
      <c r="F416" t="inlineStr">
        <is>
          <t>PSQ</t>
        </is>
      </c>
      <c r="G416" t="n">
        <v>30</v>
      </c>
      <c r="H416" t="n">
        <v>-372.97716543</v>
      </c>
      <c r="I416">
        <f>-H2218/G2218</f>
        <v/>
      </c>
      <c r="J416" s="16" t="n">
        <v>44680</v>
      </c>
      <c r="K416">
        <f>+OPERAC[[#This Row],[cantidad]]</f>
        <v/>
      </c>
      <c r="L416">
        <f>12.848*OPERAC[[#This Row],[cantidad venta]]</f>
        <v/>
      </c>
    </row>
    <row r="417">
      <c r="A417" t="n">
        <v>2203</v>
      </c>
      <c r="B417" s="16" t="n">
        <v>44664</v>
      </c>
      <c r="C417" t="inlineStr">
        <is>
          <t>VTA</t>
        </is>
      </c>
      <c r="D417" t="n">
        <v>42</v>
      </c>
      <c r="E417">
        <f>IF(D3082&gt;0,VLOOKUP(OPERAC[[#This Row],[COD CART]],[1]!MatrizCortoLargoCyl[#All],3,0),"")</f>
        <v/>
      </c>
      <c r="F417" t="inlineStr">
        <is>
          <t>PSQ</t>
        </is>
      </c>
      <c r="G417" t="n">
        <v>50</v>
      </c>
      <c r="H417" t="n">
        <v>-621.6286090499999</v>
      </c>
      <c r="I417">
        <f>-H3082/G3082</f>
        <v/>
      </c>
      <c r="J417" s="16" t="n">
        <v>44680</v>
      </c>
      <c r="K417">
        <f>+OPERAC[[#This Row],[cantidad]]</f>
        <v/>
      </c>
      <c r="L417">
        <f>12.848*OPERAC[[#This Row],[cantidad venta]]</f>
        <v/>
      </c>
    </row>
    <row r="418">
      <c r="A418" t="n">
        <v>2203</v>
      </c>
      <c r="B418" s="16" t="n">
        <v>44669</v>
      </c>
      <c r="C418" t="inlineStr">
        <is>
          <t>CPR</t>
        </is>
      </c>
      <c r="D418" t="n">
        <v>32</v>
      </c>
      <c r="E418">
        <f>IF(D4034&gt;0,VLOOKUP(OPERAC[[#This Row],[COD CART]],[1]!MatrizCortoLargoCyl[#All],3,0),"")</f>
        <v/>
      </c>
      <c r="F418" t="inlineStr">
        <is>
          <t>HMY</t>
        </is>
      </c>
      <c r="G418" t="n">
        <v>200</v>
      </c>
      <c r="H418">
        <f>-4.64*OPERAC[[#This Row],[cantidad]]</f>
        <v/>
      </c>
      <c r="I418">
        <f>-H4034/G4034</f>
        <v/>
      </c>
      <c r="J418" s="16" t="n">
        <v>44704</v>
      </c>
      <c r="K418" t="n">
        <v>200</v>
      </c>
      <c r="L418" t="n">
        <v>733.804</v>
      </c>
    </row>
    <row r="419">
      <c r="A419" t="n">
        <v>2203</v>
      </c>
      <c r="B419" s="16" t="n">
        <v>44671</v>
      </c>
      <c r="C419" t="inlineStr">
        <is>
          <t>CPR</t>
        </is>
      </c>
      <c r="D419" t="n">
        <v>42</v>
      </c>
      <c r="E419">
        <f>IF(D3490&gt;0,VLOOKUP(OPERAC[[#This Row],[COD CART]],[1]!MatrizCortoLargoCyl[#All],3,0),"")</f>
        <v/>
      </c>
      <c r="F419" t="inlineStr">
        <is>
          <t>NFLX</t>
        </is>
      </c>
      <c r="G419" t="n">
        <v>3</v>
      </c>
      <c r="H419" t="n">
        <v>-763.51518</v>
      </c>
      <c r="I419">
        <f>-H3490/G3490</f>
        <v/>
      </c>
      <c r="J419" s="16" t="n">
        <v>44693</v>
      </c>
      <c r="K419">
        <f>+OPERAC[[#This Row],[cantidad]]</f>
        <v/>
      </c>
      <c r="L419">
        <f>+OPERAC[[#This Row],[cantidad venta]]*164.905</f>
        <v/>
      </c>
    </row>
    <row r="420">
      <c r="A420" t="n">
        <v>2203</v>
      </c>
      <c r="B420" s="16" t="n">
        <v>44676</v>
      </c>
      <c r="C420" t="inlineStr">
        <is>
          <t>VTA</t>
        </is>
      </c>
      <c r="D420" t="n">
        <v>39</v>
      </c>
      <c r="E420">
        <f>IF(D1068&gt;0,VLOOKUP(OPERAC[[#This Row],[COD CART]],[1]!MatrizCortoLargoCyl[#All],3,0),"")</f>
        <v/>
      </c>
      <c r="F420" t="inlineStr">
        <is>
          <t>NFLX/V/150,00/20-01-23</t>
        </is>
      </c>
      <c r="G420" t="n">
        <v>-3</v>
      </c>
      <c r="H420" t="n">
        <v>36.88</v>
      </c>
      <c r="I420">
        <f>-H1068/G1068</f>
        <v/>
      </c>
      <c r="J420" s="16" t="n">
        <v>44718</v>
      </c>
      <c r="K420" t="n">
        <v>-3</v>
      </c>
      <c r="L420" t="n">
        <v>-39.78</v>
      </c>
    </row>
    <row r="421">
      <c r="A421" t="n">
        <v>2203</v>
      </c>
      <c r="B421" s="16" t="n">
        <v>44680</v>
      </c>
      <c r="C421" t="inlineStr">
        <is>
          <t>VTA</t>
        </is>
      </c>
      <c r="D421" t="n">
        <v>42</v>
      </c>
      <c r="E421">
        <f>IF(D2297&gt;0,VLOOKUP(OPERAC[[#This Row],[COD CART]],[1]!MatrizCortoLargoCyl[#All],3,0),"")</f>
        <v/>
      </c>
      <c r="F421" t="inlineStr">
        <is>
          <t>XLP</t>
        </is>
      </c>
      <c r="G421" t="n">
        <v>5</v>
      </c>
      <c r="H421" t="n">
        <v>-397.1725125</v>
      </c>
      <c r="I421">
        <f>-H2297/G2297</f>
        <v/>
      </c>
      <c r="J421" s="16" t="n">
        <v>44693</v>
      </c>
      <c r="K421">
        <f>+OPERAC[[#This Row],[cantidad]]</f>
        <v/>
      </c>
      <c r="L421">
        <f>+OPERAC[[#This Row],[cantidad venta]]*75.624</f>
        <v/>
      </c>
    </row>
    <row r="422">
      <c r="A422" t="n">
        <v>2203</v>
      </c>
      <c r="B422" s="16" t="n">
        <v>44680</v>
      </c>
      <c r="C422" t="inlineStr">
        <is>
          <t>VTA</t>
        </is>
      </c>
      <c r="D422" t="n">
        <v>42</v>
      </c>
      <c r="E422">
        <f>IF(D3133&gt;0,VLOOKUP(OPERAC[[#This Row],[COD CART]],[1]!MatrizCortoLargoCyl[#All],3,0),"")</f>
        <v/>
      </c>
      <c r="F422" t="inlineStr">
        <is>
          <t>XLP</t>
        </is>
      </c>
      <c r="G422" t="n">
        <v>8</v>
      </c>
      <c r="H422" t="n">
        <v>-635.4760199999999</v>
      </c>
      <c r="I422">
        <f>-H3133/G3133</f>
        <v/>
      </c>
      <c r="J422" s="16" t="n">
        <v>44693</v>
      </c>
      <c r="K422">
        <f>+OPERAC[[#This Row],[cantidad]]</f>
        <v/>
      </c>
      <c r="L422">
        <f>+OPERAC[[#This Row],[cantidad venta]]*75.624</f>
        <v/>
      </c>
    </row>
    <row r="423">
      <c r="A423" t="n">
        <v>2203</v>
      </c>
      <c r="B423" s="16" t="n">
        <v>44685</v>
      </c>
      <c r="C423" t="inlineStr">
        <is>
          <t>VTA</t>
        </is>
      </c>
      <c r="D423" t="n">
        <v>39</v>
      </c>
      <c r="E423">
        <f>IF(D444&gt;0,VLOOKUP(OPERAC[[#This Row],[COD CART]],[1]!MatrizCortoLargoCyl[#All],3,0),"")</f>
        <v/>
      </c>
      <c r="F423" t="inlineStr">
        <is>
          <t>TSLA/V/815,00/06-05-22</t>
        </is>
      </c>
      <c r="G423" t="n">
        <v>-1000</v>
      </c>
      <c r="H423" t="n">
        <v>1041.075</v>
      </c>
      <c r="I423">
        <f>-H444/G444</f>
        <v/>
      </c>
      <c r="J423" s="16" t="n">
        <v>44687</v>
      </c>
      <c r="K423" t="n">
        <v>-1000</v>
      </c>
      <c r="L423" t="n">
        <v>0</v>
      </c>
    </row>
    <row r="424">
      <c r="A424" t="n">
        <v>2203</v>
      </c>
      <c r="B424" s="16" t="n">
        <v>44697</v>
      </c>
      <c r="C424" t="inlineStr">
        <is>
          <t>CPR</t>
        </is>
      </c>
      <c r="D424" t="n">
        <v>32</v>
      </c>
      <c r="E424">
        <f>IF(D2607&gt;0,VLOOKUP(OPERAC[[#This Row],[COD CART]],[1]!MatrizCortoLargoCyl[#All],3,0),"")</f>
        <v/>
      </c>
      <c r="F424" t="inlineStr">
        <is>
          <t>TLRY/CYL/5,50/17-06-22</t>
        </is>
      </c>
      <c r="G424" t="n">
        <v>100</v>
      </c>
      <c r="H424">
        <f>-484.256+11.898</f>
        <v/>
      </c>
      <c r="I424">
        <f>-H2607/G2607</f>
        <v/>
      </c>
    </row>
    <row r="425">
      <c r="A425" t="n">
        <v>2203</v>
      </c>
      <c r="B425" s="16" t="n">
        <v>44704</v>
      </c>
      <c r="C425" t="inlineStr">
        <is>
          <t>VTA</t>
        </is>
      </c>
      <c r="D425" t="n">
        <v>32</v>
      </c>
      <c r="E425">
        <f>IF(D5170&gt;0,VLOOKUP(OPERAC[[#This Row],[COD CART]],[1]!MatrizCortoLargoCyl[#All],3,0),"")</f>
        <v/>
      </c>
      <c r="F425" t="inlineStr">
        <is>
          <t>PLUG/CYL/21,00/24-06-22</t>
        </is>
      </c>
      <c r="G425" t="n">
        <v>100</v>
      </c>
      <c r="H425" t="n">
        <v>-1615.895</v>
      </c>
      <c r="I425">
        <f>-H5170/G5170</f>
        <v/>
      </c>
    </row>
    <row r="426">
      <c r="A426" t="n">
        <v>2203</v>
      </c>
      <c r="B426" s="16" t="n">
        <v>44704</v>
      </c>
      <c r="C426" t="inlineStr">
        <is>
          <t>VTA</t>
        </is>
      </c>
      <c r="D426" t="n">
        <v>32</v>
      </c>
      <c r="E426">
        <f>IF(D5183&gt;0,VLOOKUP(OPERAC[[#This Row],[COD CART]],[1]!MatrizCortoLargoCyl[#All],3,0),"")</f>
        <v/>
      </c>
      <c r="F426" t="inlineStr">
        <is>
          <t>SPWR/CYL/20,00/24-06-22</t>
        </is>
      </c>
      <c r="G426" t="n">
        <v>100</v>
      </c>
      <c r="H426" t="n">
        <v>-1630.078</v>
      </c>
      <c r="I426">
        <f>-H5183/G5183</f>
        <v/>
      </c>
    </row>
    <row r="427">
      <c r="A427" t="n">
        <v>2203</v>
      </c>
      <c r="B427" s="16" t="n">
        <v>44705</v>
      </c>
      <c r="C427" t="inlineStr">
        <is>
          <t>VTA</t>
        </is>
      </c>
      <c r="D427" t="n">
        <v>42</v>
      </c>
      <c r="E427">
        <f>IF(D5416&gt;0,VLOOKUP(OPERAC[[#This Row],[COD CART]],[1]!MatrizCortoLargoCyl[#All],3,0),"")</f>
        <v/>
      </c>
      <c r="F427" t="inlineStr">
        <is>
          <t>AMD</t>
        </is>
      </c>
      <c r="G427" t="n">
        <v>20</v>
      </c>
      <c r="H427" t="n">
        <v>-1850.0708</v>
      </c>
      <c r="I427">
        <f>-H5416/G5416</f>
        <v/>
      </c>
      <c r="J427" s="16" t="n">
        <v>44707</v>
      </c>
      <c r="K427">
        <f>+OPERAC[[#This Row],[cantidad]]</f>
        <v/>
      </c>
      <c r="L427">
        <f>+OPERAC[[#This Row],[cantidad venta]]*94.8</f>
        <v/>
      </c>
    </row>
    <row r="428">
      <c r="A428" t="n">
        <v>2203</v>
      </c>
      <c r="B428" s="16" t="n">
        <v>44708</v>
      </c>
      <c r="C428" t="inlineStr">
        <is>
          <t>CPR</t>
        </is>
      </c>
      <c r="D428" t="n">
        <v>42</v>
      </c>
      <c r="E428">
        <f>IF(D3987&gt;0,VLOOKUP(OPERAC[[#This Row],[COD CART]],[1]!MatrizCortoLargoCyl[#All],3,0),"")</f>
        <v/>
      </c>
      <c r="F428" t="inlineStr">
        <is>
          <t>ACB</t>
        </is>
      </c>
      <c r="G428" t="n">
        <v>500</v>
      </c>
      <c r="H428" t="n">
        <v>-912.6603944024999</v>
      </c>
      <c r="I428">
        <f>-H3987/G3987</f>
        <v/>
      </c>
    </row>
    <row r="429">
      <c r="A429" t="n">
        <v>2203</v>
      </c>
      <c r="B429" s="16" t="n">
        <v>44712</v>
      </c>
      <c r="C429" t="inlineStr">
        <is>
          <t>CPR</t>
        </is>
      </c>
      <c r="D429" t="n">
        <v>32</v>
      </c>
      <c r="E429">
        <f>IF(D3320&gt;0,VLOOKUP(OPERAC[[#This Row],[COD CART]],[1]!MatrizCortoLargoCyl[#All],3,0),"")</f>
        <v/>
      </c>
      <c r="F429" t="inlineStr">
        <is>
          <t>CRESY/CYL/7,50/17-06-22</t>
        </is>
      </c>
      <c r="G429" t="n">
        <v>100</v>
      </c>
      <c r="H429" t="n">
        <v>-693.075</v>
      </c>
      <c r="I429">
        <f>-H3320/G3320</f>
        <v/>
      </c>
    </row>
    <row r="430">
      <c r="A430" t="n">
        <v>2203</v>
      </c>
      <c r="B430" s="16" t="n">
        <v>44712</v>
      </c>
      <c r="C430" t="inlineStr">
        <is>
          <t>VTA</t>
        </is>
      </c>
      <c r="D430" t="n">
        <v>39</v>
      </c>
      <c r="E430">
        <f>IF(D1552&gt;0,VLOOKUP(OPERAC[[#This Row],[COD CART]],[1]!MatrizCortoLargoCyl[#All],3,0),"")</f>
        <v/>
      </c>
      <c r="F430" t="inlineStr">
        <is>
          <t>ET/C/10,00/21-10-22</t>
        </is>
      </c>
      <c r="G430" t="n">
        <v>100</v>
      </c>
      <c r="H430" t="n">
        <v>-202.808</v>
      </c>
      <c r="I430">
        <f>-H1552/G1552</f>
        <v/>
      </c>
    </row>
    <row r="431">
      <c r="A431" t="n">
        <v>2203</v>
      </c>
      <c r="B431" s="16" t="n">
        <v>44718</v>
      </c>
      <c r="C431" t="inlineStr">
        <is>
          <t>VTA</t>
        </is>
      </c>
      <c r="D431" t="n">
        <v>39</v>
      </c>
      <c r="E431">
        <f>IF(D1041&gt;0,VLOOKUP(OPERAC[[#This Row],[COD CART]],[1]!MatrizCortoLargoCyl[#All],3,0),"")</f>
        <v/>
      </c>
      <c r="F431" t="inlineStr">
        <is>
          <t>MELI/V/490,00/16-09-22</t>
        </is>
      </c>
      <c r="G431" t="n">
        <v>-3</v>
      </c>
      <c r="H431" t="n">
        <v>45.57</v>
      </c>
      <c r="I431">
        <f>-H1041/G1041</f>
        <v/>
      </c>
    </row>
    <row r="432">
      <c r="A432" t="n">
        <v>2203</v>
      </c>
      <c r="B432" s="16" t="n">
        <v>44718</v>
      </c>
      <c r="C432" t="inlineStr">
        <is>
          <t>VTA</t>
        </is>
      </c>
      <c r="D432" t="n">
        <v>42</v>
      </c>
      <c r="E432">
        <f>IF(D2006&gt;0,VLOOKUP(OPERAC[[#This Row],[COD CART]],[1]!MatrizCortoLargoCyl[#All],3,0),"")</f>
        <v/>
      </c>
      <c r="F432" t="inlineStr">
        <is>
          <t>KWEB</t>
        </is>
      </c>
      <c r="G432" t="n">
        <v>10</v>
      </c>
      <c r="H432" t="n">
        <v>-310.83388</v>
      </c>
      <c r="I432">
        <f>-H2006/G2006</f>
        <v/>
      </c>
    </row>
    <row r="433">
      <c r="A433" t="n">
        <v>2209</v>
      </c>
      <c r="B433" s="16" t="n">
        <v>43831</v>
      </c>
      <c r="C433" t="inlineStr">
        <is>
          <t>VTA</t>
        </is>
      </c>
      <c r="D433" t="n">
        <v>41</v>
      </c>
      <c r="E433">
        <f>IF(D1323&gt;0,VLOOKUP(OPERAC[[#This Row],[COD CART]],[1]!MatrizCortoLargoCyl[#All],3,0),"")</f>
        <v/>
      </c>
      <c r="F433" t="inlineStr">
        <is>
          <t>ACB</t>
        </is>
      </c>
      <c r="G433" t="n">
        <v>25</v>
      </c>
      <c r="H433" t="n">
        <v>-100</v>
      </c>
      <c r="I433">
        <f>-H1323/G1323</f>
        <v/>
      </c>
    </row>
    <row r="434">
      <c r="A434" t="n">
        <v>2209</v>
      </c>
      <c r="B434" s="16" t="n">
        <v>43831</v>
      </c>
      <c r="C434" t="inlineStr">
        <is>
          <t>VTA</t>
        </is>
      </c>
      <c r="D434" t="n">
        <v>41</v>
      </c>
      <c r="E434">
        <f>IF(D5305&gt;0,VLOOKUP(OPERAC[[#This Row],[COD CART]],[1]!MatrizCortoLargoCyl[#All],3,0),"")</f>
        <v/>
      </c>
      <c r="F434" t="inlineStr">
        <is>
          <t>YPF</t>
        </is>
      </c>
      <c r="G434" t="n">
        <v>150</v>
      </c>
      <c r="H434" t="n">
        <v>-1719</v>
      </c>
      <c r="I434">
        <f>-H5305/G5305</f>
        <v/>
      </c>
      <c r="J434" s="16" t="n">
        <v>44655</v>
      </c>
      <c r="K434" t="n">
        <v>150</v>
      </c>
      <c r="L434">
        <f>+OPERAC[[#This Row],[cantidad venta]]*5.232</f>
        <v/>
      </c>
    </row>
    <row r="435">
      <c r="A435" t="n">
        <v>2209</v>
      </c>
      <c r="B435" s="16" t="n">
        <v>44148</v>
      </c>
      <c r="C435" t="inlineStr">
        <is>
          <t>CPR</t>
        </is>
      </c>
      <c r="D435" t="n">
        <v>41</v>
      </c>
      <c r="E435">
        <f>IF(D5658&gt;0,VLOOKUP(OPERAC[[#This Row],[COD CART]],[1]!MatrizCortoLargoCyl[#All],3,0),"")</f>
        <v/>
      </c>
      <c r="F435" t="inlineStr">
        <is>
          <t>SUPV</t>
        </is>
      </c>
      <c r="G435" t="n">
        <v>1200</v>
      </c>
      <c r="H435" t="n">
        <v>-2386.4928</v>
      </c>
      <c r="I435">
        <f>-H5658/G5658</f>
        <v/>
      </c>
    </row>
    <row r="436">
      <c r="A436" t="n">
        <v>2209</v>
      </c>
      <c r="B436" s="16" t="n">
        <v>44258</v>
      </c>
      <c r="C436" t="inlineStr">
        <is>
          <t>VTA</t>
        </is>
      </c>
      <c r="D436" t="n">
        <v>41</v>
      </c>
      <c r="E436">
        <f>IF(D2114&gt;0,VLOOKUP(OPERAC[[#This Row],[COD CART]],[1]!MatrizCortoLargoCyl[#All],3,0),"")</f>
        <v/>
      </c>
      <c r="F436" t="inlineStr">
        <is>
          <t>YPF</t>
        </is>
      </c>
      <c r="G436" t="n">
        <v>85</v>
      </c>
      <c r="H436" t="n">
        <v>-339.26</v>
      </c>
      <c r="I436">
        <f>-H2114/G2114</f>
        <v/>
      </c>
      <c r="J436" s="16" t="n">
        <v>44655</v>
      </c>
      <c r="K436" t="n">
        <v>20</v>
      </c>
      <c r="L436">
        <f>+OPERAC[[#This Row],[cantidad venta]]*5.232</f>
        <v/>
      </c>
    </row>
    <row r="437">
      <c r="A437" t="n">
        <v>2209</v>
      </c>
      <c r="B437" s="16" t="n">
        <v>44258</v>
      </c>
      <c r="C437" t="inlineStr">
        <is>
          <t>VTA</t>
        </is>
      </c>
      <c r="D437" t="n">
        <v>41</v>
      </c>
      <c r="E437">
        <f>IF(D2158&gt;0,VLOOKUP(OPERAC[[#This Row],[COD CART]],[1]!MatrizCortoLargoCyl[#All],3,0),"")</f>
        <v/>
      </c>
      <c r="F437" t="inlineStr">
        <is>
          <t>SUPV</t>
        </is>
      </c>
      <c r="G437" t="n">
        <v>185</v>
      </c>
      <c r="H437" t="n">
        <v>-354.37</v>
      </c>
      <c r="I437">
        <f>-H2158/G2158</f>
        <v/>
      </c>
    </row>
    <row r="438">
      <c r="A438" t="n">
        <v>2209</v>
      </c>
      <c r="B438" s="16" t="n">
        <v>44391</v>
      </c>
      <c r="C438" t="inlineStr">
        <is>
          <t>CPR</t>
        </is>
      </c>
      <c r="D438" t="n">
        <v>41</v>
      </c>
      <c r="E438">
        <f>IF(D2728&gt;0,VLOOKUP(OPERAC[[#This Row],[COD CART]],[1]!MatrizCortoLargoCyl[#All],3,0),"")</f>
        <v/>
      </c>
      <c r="F438" t="inlineStr">
        <is>
          <t>BSQR</t>
        </is>
      </c>
      <c r="G438" t="n">
        <v>132</v>
      </c>
      <c r="H438" t="n">
        <v>-506.62</v>
      </c>
      <c r="I438">
        <f>-H2728/G2728</f>
        <v/>
      </c>
    </row>
    <row r="439">
      <c r="A439" t="n">
        <v>2209</v>
      </c>
      <c r="B439" s="16" t="n">
        <v>44453</v>
      </c>
      <c r="C439" t="inlineStr">
        <is>
          <t>CPR</t>
        </is>
      </c>
      <c r="D439" t="n">
        <v>41</v>
      </c>
      <c r="E439">
        <f>IF(D2718&gt;0,VLOOKUP(OPERAC[[#This Row],[COD CART]],[1]!MatrizCortoLargoCyl[#All],3,0),"")</f>
        <v/>
      </c>
      <c r="F439" t="inlineStr">
        <is>
          <t>MJ</t>
        </is>
      </c>
      <c r="G439" t="n">
        <v>33</v>
      </c>
      <c r="H439" t="n">
        <v>-503.785</v>
      </c>
      <c r="I439">
        <f>-H2718/G2718</f>
        <v/>
      </c>
    </row>
    <row r="440">
      <c r="A440" t="n">
        <v>2209</v>
      </c>
      <c r="B440" s="16" t="n">
        <v>44460</v>
      </c>
      <c r="C440" t="inlineStr">
        <is>
          <t>VTA</t>
        </is>
      </c>
      <c r="D440" t="n">
        <v>41</v>
      </c>
      <c r="E440">
        <f>IF(D2443&gt;0,VLOOKUP(OPERAC[[#This Row],[COD CART]],[1]!MatrizCortoLargoCyl[#All],3,0),"")</f>
        <v/>
      </c>
      <c r="F440" t="inlineStr">
        <is>
          <t>SUPV</t>
        </is>
      </c>
      <c r="G440" t="n">
        <v>200</v>
      </c>
      <c r="H440" t="n">
        <v>-428.39</v>
      </c>
      <c r="I440">
        <f>-H2443/G2443</f>
        <v/>
      </c>
    </row>
    <row r="441">
      <c r="A441" t="n">
        <v>2209</v>
      </c>
      <c r="B441" s="16" t="n">
        <v>44463</v>
      </c>
      <c r="C441" t="inlineStr">
        <is>
          <t>VTA</t>
        </is>
      </c>
      <c r="D441" t="n">
        <v>41</v>
      </c>
      <c r="E441">
        <f>IF(D455&gt;0,VLOOKUP(OPERAC[[#This Row],[COD CART]],[1]!MatrizCortoLargoCyl[#All],3,0),"")</f>
        <v/>
      </c>
      <c r="F441" t="inlineStr">
        <is>
          <t>ETR</t>
        </is>
      </c>
      <c r="G441" t="n">
        <v>10</v>
      </c>
      <c r="H441" t="n">
        <v>1011</v>
      </c>
      <c r="I441">
        <f>-H455/G455</f>
        <v/>
      </c>
    </row>
    <row r="442">
      <c r="A442" t="n">
        <v>2209</v>
      </c>
      <c r="B442" s="16" t="n">
        <v>44517</v>
      </c>
      <c r="C442" t="inlineStr">
        <is>
          <t>CPR</t>
        </is>
      </c>
      <c r="D442" t="n">
        <v>41</v>
      </c>
      <c r="E442">
        <f>IF(D2777&gt;0,VLOOKUP(OPERAC[[#This Row],[COD CART]],[1]!MatrizCortoLargoCyl[#All],3,0),"")</f>
        <v/>
      </c>
      <c r="F442" t="inlineStr">
        <is>
          <t>SUPV</t>
        </is>
      </c>
      <c r="G442" t="n">
        <v>250</v>
      </c>
      <c r="H442" t="n">
        <v>-509.786</v>
      </c>
      <c r="I442">
        <f>-H2777/G2777</f>
        <v/>
      </c>
    </row>
    <row r="443">
      <c r="A443" t="n">
        <v>2209</v>
      </c>
      <c r="B443" s="16" t="n">
        <v>44585</v>
      </c>
      <c r="C443" t="inlineStr">
        <is>
          <t>VTA</t>
        </is>
      </c>
      <c r="D443" t="n">
        <v>41</v>
      </c>
      <c r="E443">
        <f>IF(D1766&gt;0,VLOOKUP(OPERAC[[#This Row],[COD CART]],[1]!MatrizCortoLargoCyl[#All],3,0),"")</f>
        <v/>
      </c>
      <c r="F443" t="inlineStr">
        <is>
          <t>BBAR</t>
        </is>
      </c>
      <c r="G443" t="n">
        <v>90</v>
      </c>
      <c r="H443" t="n">
        <v>-257.7376</v>
      </c>
      <c r="I443">
        <f>-H1766/G1766</f>
        <v/>
      </c>
    </row>
    <row r="444">
      <c r="A444" t="n">
        <v>2209</v>
      </c>
      <c r="B444" s="16" t="n">
        <v>44585</v>
      </c>
      <c r="C444" t="inlineStr">
        <is>
          <t>VTA</t>
        </is>
      </c>
      <c r="D444" t="n">
        <v>41</v>
      </c>
      <c r="E444">
        <f>IF(D2035&gt;0,VLOOKUP(OPERAC[[#This Row],[COD CART]],[1]!MatrizCortoLargoCyl[#All],3,0),"")</f>
        <v/>
      </c>
      <c r="F444" t="inlineStr">
        <is>
          <t>YPF</t>
        </is>
      </c>
      <c r="G444" t="n">
        <v>85</v>
      </c>
      <c r="H444" t="n">
        <v>-318.4444</v>
      </c>
      <c r="I444">
        <f>-H2035/G2035</f>
        <v/>
      </c>
    </row>
    <row r="445">
      <c r="A445" t="n">
        <v>2209</v>
      </c>
      <c r="B445" s="16" t="n">
        <v>44585</v>
      </c>
      <c r="C445" t="inlineStr">
        <is>
          <t>VTA</t>
        </is>
      </c>
      <c r="D445" t="n">
        <v>41</v>
      </c>
      <c r="E445">
        <f>IF(D2133&gt;0,VLOOKUP(OPERAC[[#This Row],[COD CART]],[1]!MatrizCortoLargoCyl[#All],3,0),"")</f>
        <v/>
      </c>
      <c r="F445" t="inlineStr">
        <is>
          <t>SUPV</t>
        </is>
      </c>
      <c r="G445" t="n">
        <v>200</v>
      </c>
      <c r="H445" t="n">
        <v>-344.9296</v>
      </c>
      <c r="I445">
        <f>-H2133/G2133</f>
        <v/>
      </c>
    </row>
    <row r="446">
      <c r="A446" t="n">
        <v>2211</v>
      </c>
      <c r="B446" s="16" t="n">
        <v>44411</v>
      </c>
      <c r="C446" t="inlineStr">
        <is>
          <t>VTA</t>
        </is>
      </c>
      <c r="D446" t="n">
        <v>41</v>
      </c>
      <c r="E446">
        <f>IF(D1439&gt;0,VLOOKUP(OPERAC[[#This Row],[COD CART]],[1]!MatrizCortoLargoCyl[#All],3,0),"")</f>
        <v/>
      </c>
      <c r="F446" t="inlineStr">
        <is>
          <t>TDOC</t>
        </is>
      </c>
      <c r="G446" t="n">
        <v>1</v>
      </c>
      <c r="H446" t="n">
        <v>-155.31</v>
      </c>
      <c r="I446">
        <f>-H1439/G1439</f>
        <v/>
      </c>
      <c r="J446" s="16" t="n">
        <v>44683</v>
      </c>
      <c r="K446" t="n">
        <v>1</v>
      </c>
      <c r="L446" t="n">
        <v>36.19</v>
      </c>
    </row>
    <row r="447">
      <c r="A447" t="n">
        <v>2211</v>
      </c>
      <c r="B447" s="16" t="n">
        <v>44448</v>
      </c>
      <c r="C447" t="inlineStr">
        <is>
          <t>VTA</t>
        </is>
      </c>
      <c r="D447" t="n">
        <v>41</v>
      </c>
      <c r="E447">
        <f>IF(D1384&gt;0,VLOOKUP(OPERAC[[#This Row],[COD CART]],[1]!MatrizCortoLargoCyl[#All],3,0),"")</f>
        <v/>
      </c>
      <c r="F447" t="inlineStr">
        <is>
          <t>HMY</t>
        </is>
      </c>
      <c r="G447" t="n">
        <v>40</v>
      </c>
      <c r="H447" t="n">
        <v>-128.21</v>
      </c>
      <c r="I447">
        <f>-H1384/G1384</f>
        <v/>
      </c>
      <c r="J447" s="16" t="n">
        <v>44683</v>
      </c>
      <c r="K447" t="n">
        <v>40</v>
      </c>
      <c r="L447" t="n">
        <v>158.045</v>
      </c>
    </row>
    <row r="448">
      <c r="A448" t="n">
        <v>2211</v>
      </c>
      <c r="B448" s="16" t="n">
        <v>44448</v>
      </c>
      <c r="C448" t="inlineStr">
        <is>
          <t>VTA</t>
        </is>
      </c>
      <c r="D448" t="n">
        <v>41</v>
      </c>
      <c r="E448">
        <f>IF(D1482&gt;0,VLOOKUP(OPERAC[[#This Row],[COD CART]],[1]!MatrizCortoLargoCyl[#All],3,0),"")</f>
        <v/>
      </c>
      <c r="F448" t="inlineStr">
        <is>
          <t>KGC</t>
        </is>
      </c>
      <c r="G448" t="n">
        <v>30</v>
      </c>
      <c r="H448" t="n">
        <v>-178.055</v>
      </c>
      <c r="I448">
        <f>-H1482/G1482</f>
        <v/>
      </c>
      <c r="J448" s="16" t="n">
        <v>44683</v>
      </c>
      <c r="K448" t="n">
        <v>30</v>
      </c>
      <c r="L448" t="n">
        <v>146.792</v>
      </c>
    </row>
    <row r="449">
      <c r="A449" t="n">
        <v>2211</v>
      </c>
      <c r="B449" s="16" t="n">
        <v>44466</v>
      </c>
      <c r="C449" t="inlineStr">
        <is>
          <t>VTA</t>
        </is>
      </c>
      <c r="D449" t="n">
        <v>43</v>
      </c>
      <c r="E449">
        <f>IF(D1581&gt;0,VLOOKUP(OPERAC[[#This Row],[COD CART]],[1]!MatrizCortoLargoCyl[#All],3,0),"")</f>
        <v/>
      </c>
      <c r="F449" t="inlineStr">
        <is>
          <t>SOLO/CYL-PUT/4,00/16-09-22</t>
        </is>
      </c>
      <c r="G449" t="n">
        <v>100</v>
      </c>
      <c r="H449">
        <f>-297.41727+0.32*OPERAC[[#This Row],[cantidad]]+0.387*OPERAC[[#This Row],[cantidad]]+0.22*OPERAC[[#This Row],[cantidad]]</f>
        <v/>
      </c>
      <c r="I449">
        <f>-H1581/G1581</f>
        <v/>
      </c>
    </row>
    <row r="450">
      <c r="A450" t="n">
        <v>2211</v>
      </c>
      <c r="B450" s="16" t="n">
        <v>44511</v>
      </c>
      <c r="C450" t="inlineStr">
        <is>
          <t>VTA</t>
        </is>
      </c>
      <c r="D450" t="n">
        <v>31</v>
      </c>
      <c r="E450">
        <f>IF(D1343&gt;0,VLOOKUP(OPERAC[[#This Row],[COD CART]],[1]!MatrizCortoLargoCyl[#All],3,0),"")</f>
        <v/>
      </c>
      <c r="F450" t="inlineStr">
        <is>
          <t>IPIX</t>
        </is>
      </c>
      <c r="G450" t="n">
        <v>1000</v>
      </c>
      <c r="H450" t="n">
        <v>-109.99</v>
      </c>
      <c r="I450">
        <f>-H1343/G1343</f>
        <v/>
      </c>
    </row>
    <row r="451">
      <c r="A451" t="n">
        <v>2211</v>
      </c>
      <c r="B451" s="16" t="n">
        <v>44523</v>
      </c>
      <c r="C451" t="inlineStr">
        <is>
          <t>VTA</t>
        </is>
      </c>
      <c r="D451" t="n">
        <v>32</v>
      </c>
      <c r="E451">
        <f>IF(D2307&gt;0,VLOOKUP(OPERAC[[#This Row],[COD CART]],[1]!MatrizCortoLargoCyl[#All],3,0),"")</f>
        <v/>
      </c>
      <c r="F451" t="inlineStr">
        <is>
          <t>GMBL</t>
        </is>
      </c>
      <c r="G451" t="n">
        <v>100</v>
      </c>
      <c r="H451">
        <f>-411.931+9.067</f>
        <v/>
      </c>
      <c r="I451">
        <f>-H2307/G2307</f>
        <v/>
      </c>
    </row>
    <row r="452">
      <c r="A452" t="n">
        <v>2211</v>
      </c>
      <c r="B452" s="16" t="n">
        <v>44582</v>
      </c>
      <c r="C452" t="inlineStr">
        <is>
          <t>VTA</t>
        </is>
      </c>
      <c r="D452" t="n">
        <v>40</v>
      </c>
      <c r="E452">
        <f>IF(D2283&gt;0,VLOOKUP(OPERAC[[#This Row],[COD CART]],[1]!MatrizCortoLargoCyl[#All],3,0),"")</f>
        <v/>
      </c>
      <c r="F452" t="inlineStr">
        <is>
          <t>NFLX</t>
        </is>
      </c>
      <c r="G452" t="n">
        <v>1</v>
      </c>
      <c r="H452" t="n">
        <v>-390.6371</v>
      </c>
      <c r="I452">
        <f>-H2283/G2283</f>
        <v/>
      </c>
      <c r="J452" s="16" t="n">
        <v>44593</v>
      </c>
      <c r="K452">
        <f>+OPERAC[[#This Row],[cantidad]]</f>
        <v/>
      </c>
      <c r="L452">
        <f>+OPERAC[[#This Row],[cantidad venta]]*448.602</f>
        <v/>
      </c>
    </row>
    <row r="453">
      <c r="A453" t="n">
        <v>2211</v>
      </c>
      <c r="B453" s="16" t="n">
        <v>44599</v>
      </c>
      <c r="C453" t="inlineStr">
        <is>
          <t>VTA</t>
        </is>
      </c>
      <c r="D453" t="n">
        <v>40</v>
      </c>
      <c r="E453">
        <f>IF(D1697&gt;0,VLOOKUP(OPERAC[[#This Row],[COD CART]],[1]!MatrizCortoLargoCyl[#All],3,0),"")</f>
        <v/>
      </c>
      <c r="F453" t="inlineStr">
        <is>
          <t>FB</t>
        </is>
      </c>
      <c r="G453" t="n">
        <v>1</v>
      </c>
      <c r="H453" t="n">
        <v>-238.46</v>
      </c>
      <c r="I453">
        <f>-H1697/G1697</f>
        <v/>
      </c>
      <c r="J453" s="16" t="n">
        <v>44616</v>
      </c>
      <c r="K453">
        <f>+OPERAC[[#This Row],[cantidad]]</f>
        <v/>
      </c>
      <c r="L453">
        <f>200.299*OPERAC[[#This Row],[cantidad venta]]</f>
        <v/>
      </c>
    </row>
    <row r="454">
      <c r="A454" t="n">
        <v>2211</v>
      </c>
      <c r="B454" s="16" t="n">
        <v>44622</v>
      </c>
      <c r="C454" t="inlineStr">
        <is>
          <t>CPR</t>
        </is>
      </c>
      <c r="D454" t="n">
        <v>32</v>
      </c>
      <c r="E454">
        <f>IF(D2568&gt;0,VLOOKUP(OPERAC[[#This Row],[COD CART]],[1]!MatrizCortoLargoCyl[#All],3,0),"")</f>
        <v/>
      </c>
      <c r="F454" t="inlineStr">
        <is>
          <t>HMY/CYL/5,00/18-03-22</t>
        </is>
      </c>
      <c r="G454" t="n">
        <v>100</v>
      </c>
      <c r="H454" t="n">
        <v>-468.532</v>
      </c>
      <c r="I454">
        <f>-H2568/G2568</f>
        <v/>
      </c>
      <c r="J454" s="16" t="n">
        <v>44637</v>
      </c>
      <c r="K454">
        <f>+OPERAC[[#This Row],[cantidad]]</f>
        <v/>
      </c>
      <c r="L454">
        <f>4.85553*OPERAC[[#This Row],[cantidad venta]]</f>
        <v/>
      </c>
    </row>
    <row r="455">
      <c r="A455" t="n">
        <v>2211</v>
      </c>
      <c r="B455" s="16" t="n">
        <v>44623</v>
      </c>
      <c r="C455" t="inlineStr">
        <is>
          <t>VTA</t>
        </is>
      </c>
      <c r="D455" t="n">
        <v>41</v>
      </c>
      <c r="E455">
        <f>IF(D1364&gt;0,VLOOKUP(OPERAC[[#This Row],[COD CART]],[1]!MatrizCortoLargoCyl[#All],3,0),"")</f>
        <v/>
      </c>
      <c r="F455" t="inlineStr">
        <is>
          <t>TSM</t>
        </is>
      </c>
      <c r="G455" t="n">
        <v>1</v>
      </c>
      <c r="H455" t="n">
        <v>-111.416</v>
      </c>
      <c r="I455">
        <f>-H1364/G1364</f>
        <v/>
      </c>
      <c r="J455" s="16" t="n">
        <v>44624</v>
      </c>
      <c r="K455" t="n">
        <v>1</v>
      </c>
      <c r="L455" t="n">
        <v>102.168</v>
      </c>
    </row>
    <row r="456">
      <c r="A456" t="n">
        <v>2211</v>
      </c>
      <c r="B456" s="16" t="n">
        <v>44641</v>
      </c>
      <c r="C456" t="inlineStr">
        <is>
          <t>CPR</t>
        </is>
      </c>
      <c r="D456" t="n">
        <v>42</v>
      </c>
      <c r="E456">
        <f>IF(D1879&gt;0,VLOOKUP(OPERAC[[#This Row],[COD CART]],[1]!MatrizCortoLargoCyl[#All],3,0),"")</f>
        <v/>
      </c>
      <c r="F456" t="inlineStr">
        <is>
          <t>JPM</t>
        </is>
      </c>
      <c r="G456" t="n">
        <v>2</v>
      </c>
      <c r="H456" t="n">
        <v>-280.9086800000001</v>
      </c>
      <c r="I456">
        <f>-H1879/G1879</f>
        <v/>
      </c>
      <c r="J456" s="16" t="n">
        <v>44664</v>
      </c>
      <c r="K456">
        <f>+OPERAC[[#This Row],[cantidad]]</f>
        <v/>
      </c>
      <c r="L456">
        <f>+OPERAC[[#This Row],[cantidad venta]]*125.943</f>
        <v/>
      </c>
    </row>
    <row r="457">
      <c r="A457" t="n">
        <v>2211</v>
      </c>
      <c r="B457" s="16" t="n">
        <v>44641</v>
      </c>
      <c r="C457" t="inlineStr">
        <is>
          <t>VTA</t>
        </is>
      </c>
      <c r="D457" t="n">
        <v>42</v>
      </c>
      <c r="E457">
        <f>IF(D1596&gt;0,VLOOKUP(OPERAC[[#This Row],[COD CART]],[1]!MatrizCortoLargoCyl[#All],3,0),"")</f>
        <v/>
      </c>
      <c r="F457" t="inlineStr">
        <is>
          <t>FB</t>
        </is>
      </c>
      <c r="G457" t="n">
        <v>1</v>
      </c>
      <c r="H457" t="n">
        <v>-212.15638</v>
      </c>
      <c r="I457">
        <f>-H1596/G1596</f>
        <v/>
      </c>
      <c r="J457" s="16" t="n">
        <v>44671</v>
      </c>
      <c r="K457">
        <f>+OPERAC[[#This Row],[cantidad]]</f>
        <v/>
      </c>
      <c r="L457">
        <f>+OPERAC[[#This Row],[cantidad venta]]*213.173</f>
        <v/>
      </c>
    </row>
    <row r="458">
      <c r="A458" t="n">
        <v>2211</v>
      </c>
      <c r="B458" s="16" t="n">
        <v>44656</v>
      </c>
      <c r="C458" t="inlineStr">
        <is>
          <t>VTA</t>
        </is>
      </c>
      <c r="D458" t="n">
        <v>41</v>
      </c>
      <c r="E458">
        <f>IF(D1714&gt;0,VLOOKUP(OPERAC[[#This Row],[COD CART]],[1]!MatrizCortoLargoCyl[#All],3,0),"")</f>
        <v/>
      </c>
      <c r="F458" t="inlineStr">
        <is>
          <t>SPXL</t>
        </is>
      </c>
      <c r="G458" t="n">
        <v>2</v>
      </c>
      <c r="H458" t="n">
        <v>-246.226</v>
      </c>
      <c r="I458">
        <f>-H1714/G1714</f>
        <v/>
      </c>
    </row>
    <row r="459">
      <c r="A459" t="n">
        <v>2211</v>
      </c>
      <c r="B459" s="16" t="n">
        <v>44669</v>
      </c>
      <c r="C459" t="inlineStr">
        <is>
          <t>VTA</t>
        </is>
      </c>
      <c r="D459" t="n">
        <v>41</v>
      </c>
      <c r="E459">
        <f>IF(D1339&gt;0,VLOOKUP(OPERAC[[#This Row],[COD CART]],[1]!MatrizCortoLargoCyl[#All],3,0),"")</f>
        <v/>
      </c>
      <c r="F459" t="inlineStr">
        <is>
          <t>SPXL</t>
        </is>
      </c>
      <c r="G459" t="n">
        <v>1</v>
      </c>
      <c r="H459" t="n">
        <v>-108.391</v>
      </c>
      <c r="I459">
        <f>-H1339/G1339</f>
        <v/>
      </c>
    </row>
    <row r="460">
      <c r="A460" t="n">
        <v>2211</v>
      </c>
      <c r="B460" s="16" t="n">
        <v>44671</v>
      </c>
      <c r="C460" t="inlineStr">
        <is>
          <t>VTA</t>
        </is>
      </c>
      <c r="D460" t="n">
        <v>42</v>
      </c>
      <c r="E460">
        <f>IF(D1748&gt;0,VLOOKUP(OPERAC[[#This Row],[COD CART]],[1]!MatrizCortoLargoCyl[#All],3,0),"")</f>
        <v/>
      </c>
      <c r="F460" t="inlineStr">
        <is>
          <t>NFLX</t>
        </is>
      </c>
      <c r="G460" t="n">
        <v>1</v>
      </c>
      <c r="H460" t="n">
        <v>-254.50506</v>
      </c>
      <c r="I460">
        <f>-H1748/G1748</f>
        <v/>
      </c>
    </row>
    <row r="461">
      <c r="A461" t="n">
        <v>2211</v>
      </c>
      <c r="B461" s="16" t="n">
        <v>44683</v>
      </c>
      <c r="C461" t="inlineStr">
        <is>
          <t>VTA</t>
        </is>
      </c>
      <c r="D461" t="n">
        <v>41</v>
      </c>
      <c r="E461">
        <f>IF(D1483&gt;0,VLOOKUP(OPERAC[[#This Row],[COD CART]],[1]!MatrizCortoLargoCyl[#All],3,0),"")</f>
        <v/>
      </c>
      <c r="F461" t="inlineStr">
        <is>
          <t>SPXL</t>
        </is>
      </c>
      <c r="G461" t="n">
        <v>2</v>
      </c>
      <c r="H461" t="n">
        <v>-180.622</v>
      </c>
      <c r="I461">
        <f>-H1483/G1483</f>
        <v/>
      </c>
    </row>
    <row r="462">
      <c r="A462" t="n">
        <v>2211</v>
      </c>
      <c r="B462" s="16" t="n">
        <v>44705</v>
      </c>
      <c r="C462" t="inlineStr">
        <is>
          <t>VTA</t>
        </is>
      </c>
      <c r="D462" t="n">
        <v>41</v>
      </c>
      <c r="E462">
        <f>IF(D669&gt;0,VLOOKUP(OPERAC[[#This Row],[COD CART]],[1]!MatrizCortoLargoCyl[#All],3,0),"")</f>
        <v/>
      </c>
      <c r="F462" t="inlineStr">
        <is>
          <t>FDX/P/192.50/17-06-22</t>
        </is>
      </c>
      <c r="G462" t="n">
        <v>-100</v>
      </c>
      <c r="H462" t="n">
        <v>447.167</v>
      </c>
      <c r="I462">
        <f>-H669/G669</f>
        <v/>
      </c>
      <c r="J462" s="16" t="n">
        <v>44726</v>
      </c>
      <c r="K462" t="n">
        <v>-100</v>
      </c>
      <c r="L462" t="n">
        <v>-19.162</v>
      </c>
    </row>
    <row r="463">
      <c r="A463" t="n">
        <v>2211</v>
      </c>
      <c r="B463" s="16" t="n">
        <v>44705</v>
      </c>
      <c r="C463" t="inlineStr">
        <is>
          <t>VTA</t>
        </is>
      </c>
      <c r="D463" t="n">
        <v>41</v>
      </c>
      <c r="E463">
        <f>IF(D884&gt;0,VLOOKUP(OPERAC[[#This Row],[COD CART]],[1]!MatrizCortoLargoCyl[#All],3,0),"")</f>
        <v/>
      </c>
      <c r="F463" t="inlineStr">
        <is>
          <t>FDX/C/222.50/17-06-22</t>
        </is>
      </c>
      <c r="G463" t="n">
        <v>-100</v>
      </c>
      <c r="H463" t="n">
        <v>184.419</v>
      </c>
      <c r="I463">
        <f>-H884/G884</f>
        <v/>
      </c>
      <c r="J463" s="16" t="n">
        <v>44726</v>
      </c>
      <c r="K463" t="n">
        <v>-100</v>
      </c>
      <c r="L463" t="n">
        <v>-806.8</v>
      </c>
    </row>
    <row r="464">
      <c r="A464" t="n">
        <v>2211</v>
      </c>
      <c r="B464" s="16" t="n">
        <v>44705</v>
      </c>
      <c r="C464" t="inlineStr">
        <is>
          <t>VTA</t>
        </is>
      </c>
      <c r="D464" t="n">
        <v>41</v>
      </c>
      <c r="E464">
        <f>IF(D983&gt;0,VLOOKUP(OPERAC[[#This Row],[COD CART]],[1]!MatrizCortoLargoCyl[#All],3,0),"")</f>
        <v/>
      </c>
      <c r="F464" t="inlineStr">
        <is>
          <t>HYG/V/76,00/17-06-22</t>
        </is>
      </c>
      <c r="G464" t="n">
        <v>-100</v>
      </c>
      <c r="H464" t="n">
        <v>75.696</v>
      </c>
      <c r="I464">
        <f>-H983/G983</f>
        <v/>
      </c>
      <c r="J464" s="16" t="n">
        <v>44707</v>
      </c>
      <c r="K464" t="n">
        <v>-100</v>
      </c>
      <c r="L464" t="n">
        <v>-29.247</v>
      </c>
    </row>
    <row r="465">
      <c r="A465" t="n">
        <v>2211</v>
      </c>
      <c r="B465" s="16" t="n">
        <v>44705</v>
      </c>
      <c r="C465" t="inlineStr">
        <is>
          <t>VTA</t>
        </is>
      </c>
      <c r="D465" t="n">
        <v>41</v>
      </c>
      <c r="E465">
        <f>IF(D1272&gt;0,VLOOKUP(OPERAC[[#This Row],[COD CART]],[1]!MatrizCortoLargoCyl[#All],3,0),"")</f>
        <v/>
      </c>
      <c r="F465" t="inlineStr">
        <is>
          <t>HYG/V/75,00/17-06-22</t>
        </is>
      </c>
      <c r="G465" t="n">
        <v>100</v>
      </c>
      <c r="H465" t="n">
        <v>-50.2</v>
      </c>
      <c r="I465">
        <f>-H1272/G1272</f>
        <v/>
      </c>
      <c r="J465" s="16" t="n">
        <v>44707</v>
      </c>
      <c r="K465" t="n">
        <v>100</v>
      </c>
      <c r="L465" t="n">
        <v>17.847</v>
      </c>
    </row>
    <row r="466">
      <c r="A466" t="n">
        <v>2211</v>
      </c>
      <c r="B466" s="16" t="n">
        <v>44705</v>
      </c>
      <c r="C466" t="inlineStr">
        <is>
          <t>VTA</t>
        </is>
      </c>
      <c r="D466" t="n">
        <v>41</v>
      </c>
      <c r="E466">
        <f>IF(D1415&gt;0,VLOOKUP(OPERAC[[#This Row],[COD CART]],[1]!MatrizCortoLargoCyl[#All],3,0),"")</f>
        <v/>
      </c>
      <c r="F466" t="inlineStr">
        <is>
          <t>FDX/C/225.00/17-06-22</t>
        </is>
      </c>
      <c r="G466" t="n">
        <v>100</v>
      </c>
      <c r="H466" t="n">
        <v>-143.207</v>
      </c>
      <c r="I466">
        <f>-H1415/G1415</f>
        <v/>
      </c>
      <c r="J466" s="16" t="n">
        <v>44726</v>
      </c>
      <c r="K466" t="n">
        <v>100</v>
      </c>
      <c r="L466" t="n">
        <v>624.645</v>
      </c>
    </row>
    <row r="467">
      <c r="A467" t="n">
        <v>2211</v>
      </c>
      <c r="B467" s="16" t="n">
        <v>44705</v>
      </c>
      <c r="C467" t="inlineStr">
        <is>
          <t>VTA</t>
        </is>
      </c>
      <c r="D467" t="n">
        <v>41</v>
      </c>
      <c r="E467">
        <f>IF(D2302&gt;0,VLOOKUP(OPERAC[[#This Row],[COD CART]],[1]!MatrizCortoLargoCyl[#All],3,0),"")</f>
        <v/>
      </c>
      <c r="F467" t="inlineStr">
        <is>
          <t>FDX/P/190.00/17-06-22</t>
        </is>
      </c>
      <c r="G467" t="n">
        <v>100</v>
      </c>
      <c r="H467" t="n">
        <v>-401.383</v>
      </c>
      <c r="I467">
        <f>-H2302/G2302</f>
        <v/>
      </c>
      <c r="J467" s="16" t="n">
        <v>44726</v>
      </c>
      <c r="K467" t="n">
        <v>100</v>
      </c>
      <c r="L467" t="n">
        <v>11.898</v>
      </c>
    </row>
    <row r="468">
      <c r="A468" t="n">
        <v>2211</v>
      </c>
      <c r="B468" s="16" t="n">
        <v>44718</v>
      </c>
      <c r="C468" t="inlineStr">
        <is>
          <t>VTA</t>
        </is>
      </c>
      <c r="D468" t="n">
        <v>41</v>
      </c>
      <c r="E468">
        <f>IF(D787&gt;0,VLOOKUP(OPERAC[[#This Row],[COD CART]],[1]!MatrizCortoLargoCyl[#All],3,0),"")</f>
        <v/>
      </c>
      <c r="F468" t="inlineStr">
        <is>
          <t>SPY/C/412,00/08-06-22</t>
        </is>
      </c>
      <c r="G468" t="n">
        <v>-100</v>
      </c>
      <c r="H468" t="n">
        <v>286.544</v>
      </c>
      <c r="I468">
        <f>-H787/G787</f>
        <v/>
      </c>
      <c r="J468" s="16" t="n">
        <v>44719</v>
      </c>
      <c r="K468" t="n">
        <v>-100</v>
      </c>
      <c r="L468" t="n">
        <v>-269.99</v>
      </c>
    </row>
    <row r="469">
      <c r="A469" t="n">
        <v>2211</v>
      </c>
      <c r="B469" s="16" t="n">
        <v>44718</v>
      </c>
      <c r="C469" t="inlineStr">
        <is>
          <t>VTA</t>
        </is>
      </c>
      <c r="D469" t="n">
        <v>41</v>
      </c>
      <c r="E469">
        <f>IF(D1715&gt;0,VLOOKUP(OPERAC[[#This Row],[COD CART]],[1]!MatrizCortoLargoCyl[#All],3,0),"")</f>
        <v/>
      </c>
      <c r="F469" t="inlineStr">
        <is>
          <t>SPY/C/413,00/08-06-22</t>
        </is>
      </c>
      <c r="G469" t="n">
        <v>100</v>
      </c>
      <c r="H469" t="n">
        <v>-247.083</v>
      </c>
      <c r="I469">
        <f>-H1715/G1715</f>
        <v/>
      </c>
      <c r="J469" s="16" t="n">
        <v>44719</v>
      </c>
      <c r="K469" t="n">
        <v>100</v>
      </c>
      <c r="L469" t="n">
        <v>210.79</v>
      </c>
    </row>
    <row r="470">
      <c r="A470" t="n">
        <v>2217</v>
      </c>
      <c r="B470" s="16" t="n">
        <v>44523</v>
      </c>
      <c r="C470" t="inlineStr">
        <is>
          <t>VTA</t>
        </is>
      </c>
      <c r="D470" t="n">
        <v>32</v>
      </c>
      <c r="E470">
        <f>IF(D2308&gt;0,VLOOKUP(OPERAC[[#This Row],[COD CART]],[1]!MatrizCortoLargoCyl[#All],3,0),"")</f>
        <v/>
      </c>
      <c r="F470" t="inlineStr">
        <is>
          <t>GMBL</t>
        </is>
      </c>
      <c r="G470" t="n">
        <v>100</v>
      </c>
      <c r="H470">
        <f>-411.931+9.067</f>
        <v/>
      </c>
      <c r="I470">
        <f>-H2308/G2308</f>
        <v/>
      </c>
      <c r="J470" s="16" t="n">
        <v>44642</v>
      </c>
      <c r="K470" t="n">
        <v>100</v>
      </c>
      <c r="L470" t="n">
        <v>79.789</v>
      </c>
    </row>
    <row r="471">
      <c r="A471" t="n">
        <v>2217</v>
      </c>
      <c r="B471" s="16" t="n">
        <v>44523</v>
      </c>
      <c r="C471" t="inlineStr">
        <is>
          <t>VTA</t>
        </is>
      </c>
      <c r="D471" t="n">
        <v>40</v>
      </c>
      <c r="E471">
        <f>IF(D3900&gt;0,VLOOKUP(OPERAC[[#This Row],[COD CART]],[1]!MatrizCortoLargoCyl[#All],3,0),"")</f>
        <v/>
      </c>
      <c r="F471" t="inlineStr">
        <is>
          <t>EDU</t>
        </is>
      </c>
      <c r="G471" t="n">
        <v>500</v>
      </c>
      <c r="H471">
        <f>-889.745+0.026*OPERAC[[#This Row],[cantidad]]</f>
        <v/>
      </c>
      <c r="I471">
        <f>-H3900/G3900</f>
        <v/>
      </c>
      <c r="J471" s="16" t="n">
        <v>44614</v>
      </c>
      <c r="K471">
        <f>+OPERAC[[#This Row],[cantidad]]</f>
        <v/>
      </c>
      <c r="L471">
        <f>1.483*OPERAC[[#This Row],[cantidad venta]]</f>
        <v/>
      </c>
    </row>
    <row r="472">
      <c r="A472" t="n">
        <v>2217</v>
      </c>
      <c r="B472" s="16" t="n">
        <v>44532</v>
      </c>
      <c r="C472" t="inlineStr">
        <is>
          <t>VTA</t>
        </is>
      </c>
      <c r="D472" t="n">
        <v>32</v>
      </c>
      <c r="E472">
        <f>IF(D3918&gt;0,VLOOKUP(OPERAC[[#This Row],[COD CART]],[1]!MatrizCortoLargoCyl[#All],3,0),"")</f>
        <v/>
      </c>
      <c r="F472" t="inlineStr">
        <is>
          <t>COTY/CYL/10,00/18-02-22</t>
        </is>
      </c>
      <c r="G472" t="n">
        <v>100</v>
      </c>
      <c r="H472">
        <f>-901.599+20.838</f>
        <v/>
      </c>
      <c r="I472">
        <f>-H3918/G3918</f>
        <v/>
      </c>
      <c r="J472" s="16" t="n">
        <v>44608</v>
      </c>
      <c r="K472">
        <f>+OPERAC[[#This Row],[cantidad]]</f>
        <v/>
      </c>
      <c r="L472" t="n">
        <v>941.701</v>
      </c>
    </row>
    <row r="473">
      <c r="A473" t="n">
        <v>2217</v>
      </c>
      <c r="B473" s="16" t="n">
        <v>44536</v>
      </c>
      <c r="C473" t="inlineStr">
        <is>
          <t>CPR</t>
        </is>
      </c>
      <c r="D473" t="n">
        <v>43</v>
      </c>
      <c r="E473">
        <f>IF(D4364&gt;0,VLOOKUP(OPERAC[[#This Row],[COD CART]],[1]!MatrizCortoLargoCyl[#All],3,0),"")</f>
        <v/>
      </c>
      <c r="F473" t="inlineStr">
        <is>
          <t>NNDM/CYL-PUT/2,50/19-01-24</t>
        </is>
      </c>
      <c r="G473" t="n">
        <v>1000</v>
      </c>
      <c r="H473">
        <f>-1.08*OPERAC[[#This Row],[cantidad]]</f>
        <v/>
      </c>
      <c r="I473">
        <f>-H4364/G4364</f>
        <v/>
      </c>
    </row>
    <row r="474">
      <c r="A474" t="n">
        <v>2217</v>
      </c>
      <c r="B474" s="16" t="n">
        <v>44539</v>
      </c>
      <c r="C474" t="inlineStr">
        <is>
          <t>CPR</t>
        </is>
      </c>
      <c r="D474" t="n">
        <v>40</v>
      </c>
      <c r="E474">
        <f>IF(D2786&gt;0,VLOOKUP(OPERAC[[#This Row],[COD CART]],[1]!MatrizCortoLargoCyl[#All],3,0),"")</f>
        <v/>
      </c>
      <c r="F474" t="inlineStr">
        <is>
          <t>ROKU</t>
        </is>
      </c>
      <c r="G474" t="n">
        <v>2</v>
      </c>
      <c r="H474" t="n">
        <v>-515.4407199999999</v>
      </c>
      <c r="I474">
        <f>-H2786/G2786</f>
        <v/>
      </c>
      <c r="J474" s="16" t="n">
        <v>44606</v>
      </c>
      <c r="K474">
        <f>+OPERAC[[#This Row],[cantidad]]</f>
        <v/>
      </c>
      <c r="L474">
        <f>+OPERAC[[#This Row],[cantidad venta]]*160.574</f>
        <v/>
      </c>
    </row>
    <row r="475">
      <c r="A475" t="n">
        <v>2217</v>
      </c>
      <c r="B475" s="16" t="n">
        <v>44553</v>
      </c>
      <c r="C475" t="inlineStr">
        <is>
          <t>VTA</t>
        </is>
      </c>
      <c r="D475" t="n">
        <v>40</v>
      </c>
      <c r="E475">
        <f>IF(D1799&gt;0,VLOOKUP(OPERAC[[#This Row],[COD CART]],[1]!MatrizCortoLargoCyl[#All],3,0),"")</f>
        <v/>
      </c>
      <c r="F475" t="inlineStr">
        <is>
          <t>ON</t>
        </is>
      </c>
      <c r="G475" t="n">
        <v>4</v>
      </c>
      <c r="H475" t="n">
        <v>-268.4544319999999</v>
      </c>
      <c r="I475">
        <f>-H1799/G1799</f>
        <v/>
      </c>
      <c r="J475" s="16" t="n">
        <v>44606</v>
      </c>
      <c r="K475">
        <f>+OPERAC[[#This Row],[cantidad]]</f>
        <v/>
      </c>
      <c r="L475">
        <f>+OPERAC[[#This Row],[cantidad venta]]*58.449</f>
        <v/>
      </c>
    </row>
    <row r="476">
      <c r="A476" t="n">
        <v>2217</v>
      </c>
      <c r="B476" s="16" t="n">
        <v>44581</v>
      </c>
      <c r="C476" t="inlineStr">
        <is>
          <t>VTA</t>
        </is>
      </c>
      <c r="D476" t="n">
        <v>32</v>
      </c>
      <c r="E476">
        <f>IF(D2268&gt;0,VLOOKUP(OPERAC[[#This Row],[COD CART]],[1]!MatrizCortoLargoCyl[#All],3,0),"")</f>
        <v/>
      </c>
      <c r="F476" t="inlineStr">
        <is>
          <t>HMY/CYL/4,00/18-02-22</t>
        </is>
      </c>
      <c r="G476" t="n">
        <v>100</v>
      </c>
      <c r="H476" t="n">
        <v>-387.467996</v>
      </c>
      <c r="I476">
        <f>-H2268/G2268</f>
        <v/>
      </c>
      <c r="J476" s="16" t="n">
        <v>44610</v>
      </c>
      <c r="K476">
        <f>+OPERAC[[#This Row],[cantidad]]</f>
        <v/>
      </c>
      <c r="L476">
        <f>+OPERAC[[#This Row],[cantidad venta]]*3.8323</f>
        <v/>
      </c>
    </row>
    <row r="477">
      <c r="A477" t="n">
        <v>2217</v>
      </c>
      <c r="B477" s="16" t="n">
        <v>44587</v>
      </c>
      <c r="C477" t="inlineStr">
        <is>
          <t>VTA</t>
        </is>
      </c>
      <c r="D477" t="n">
        <v>40</v>
      </c>
      <c r="E477">
        <f>IF(D1460&gt;0,VLOOKUP(OPERAC[[#This Row],[COD CART]],[1]!MatrizCortoLargoCyl[#All],3,0),"")</f>
        <v/>
      </c>
      <c r="F477" t="inlineStr">
        <is>
          <t>AAPL</t>
        </is>
      </c>
      <c r="G477" t="n">
        <v>1</v>
      </c>
      <c r="H477" t="n">
        <v>-164.05442</v>
      </c>
      <c r="I477">
        <f>-H1460/G1460</f>
        <v/>
      </c>
      <c r="J477" s="16" t="n">
        <v>44601</v>
      </c>
      <c r="K477" t="n">
        <v>1</v>
      </c>
      <c r="L477">
        <f>175.66*OPERAC[[#This Row],[cantidad venta]]</f>
        <v/>
      </c>
    </row>
    <row r="478">
      <c r="A478" t="n">
        <v>2217</v>
      </c>
      <c r="B478" s="16" t="n">
        <v>44608</v>
      </c>
      <c r="C478" t="inlineStr">
        <is>
          <t>VTA</t>
        </is>
      </c>
      <c r="D478" t="n">
        <v>40</v>
      </c>
      <c r="E478">
        <f>IF(D2836&gt;0,VLOOKUP(OPERAC[[#This Row],[COD CART]],[1]!MatrizCortoLargoCyl[#All],3,0),"")</f>
        <v/>
      </c>
      <c r="F478" t="inlineStr">
        <is>
          <t>NVDA</t>
        </is>
      </c>
      <c r="G478" t="n">
        <v>2</v>
      </c>
      <c r="H478" t="n">
        <v>-527.0279999999999</v>
      </c>
      <c r="I478">
        <f>-H2836/G2836</f>
        <v/>
      </c>
      <c r="J478" s="16" t="n">
        <v>44616</v>
      </c>
      <c r="K478">
        <f>+OPERAC[[#This Row],[cantidad]]</f>
        <v/>
      </c>
      <c r="L478">
        <f>+OPERAC[[#This Row],[cantidad venta]]*224.117</f>
        <v/>
      </c>
    </row>
    <row r="479">
      <c r="A479" t="n">
        <v>2217</v>
      </c>
      <c r="B479" s="16" t="n">
        <v>44609</v>
      </c>
      <c r="C479" t="inlineStr">
        <is>
          <t>VTA</t>
        </is>
      </c>
      <c r="D479" t="n">
        <v>32</v>
      </c>
      <c r="E479">
        <f>IF(D3865&gt;0,VLOOKUP(OPERAC[[#This Row],[COD CART]],[1]!MatrizCortoLargoCyl[#All],3,0),"")</f>
        <v/>
      </c>
      <c r="F479" t="inlineStr">
        <is>
          <t>HIMX/CYL/9,00/18-03-22</t>
        </is>
      </c>
      <c r="G479" t="n">
        <v>100</v>
      </c>
      <c r="H479" t="n">
        <v>-869.5839999999999</v>
      </c>
      <c r="I479">
        <f>-H3865/G3865</f>
        <v/>
      </c>
      <c r="J479" s="16" t="n">
        <v>44622</v>
      </c>
      <c r="K479">
        <f>+OPERAC[[#This Row],[cantidad]]</f>
        <v/>
      </c>
      <c r="L479" t="n">
        <v>883.576</v>
      </c>
    </row>
    <row r="480">
      <c r="A480" t="n">
        <v>2217</v>
      </c>
      <c r="B480" s="16" t="n">
        <v>44614</v>
      </c>
      <c r="C480" t="inlineStr">
        <is>
          <t>CPR</t>
        </is>
      </c>
      <c r="D480" t="n">
        <v>32</v>
      </c>
      <c r="E480">
        <f>IF(D3628&gt;0,VLOOKUP(OPERAC[[#This Row],[COD CART]],[1]!MatrizCortoLargoCyl[#All],3,0),"")</f>
        <v/>
      </c>
      <c r="F480" t="inlineStr">
        <is>
          <t>TEVA</t>
        </is>
      </c>
      <c r="G480" t="n">
        <v>100</v>
      </c>
      <c r="H480" t="n">
        <v>-801.67</v>
      </c>
      <c r="I480">
        <f>-H3628/G3628</f>
        <v/>
      </c>
      <c r="J480" s="16" t="n">
        <v>44665</v>
      </c>
      <c r="K480" t="n">
        <v>100</v>
      </c>
      <c r="L480" t="n">
        <v>892.8</v>
      </c>
    </row>
    <row r="481">
      <c r="A481" t="n">
        <v>2217</v>
      </c>
      <c r="B481" s="16" t="n">
        <v>44614</v>
      </c>
      <c r="C481" t="inlineStr">
        <is>
          <t>VTA</t>
        </is>
      </c>
      <c r="D481" t="n">
        <v>32</v>
      </c>
      <c r="E481">
        <f>IF(D3889&gt;0,VLOOKUP(OPERAC[[#This Row],[COD CART]],[1]!MatrizCortoLargoCyl[#All],3,0),"")</f>
        <v/>
      </c>
      <c r="F481" t="inlineStr">
        <is>
          <t>COTY/CYL/9,00/18-03-22</t>
        </is>
      </c>
      <c r="G481" t="n">
        <v>100</v>
      </c>
      <c r="H481" t="n">
        <v>-870.27</v>
      </c>
      <c r="I481">
        <f>-H3889/G3889</f>
        <v/>
      </c>
      <c r="J481" s="16" t="n">
        <v>44638</v>
      </c>
      <c r="K481" t="n">
        <v>100</v>
      </c>
      <c r="L481" t="n">
        <v>886.41</v>
      </c>
    </row>
    <row r="482">
      <c r="A482" t="n">
        <v>2217</v>
      </c>
      <c r="B482" s="16" t="n">
        <v>44628</v>
      </c>
      <c r="C482" t="inlineStr">
        <is>
          <t>VTA</t>
        </is>
      </c>
      <c r="D482" t="n">
        <v>40</v>
      </c>
      <c r="E482">
        <f>IF(D2389&gt;0,VLOOKUP(OPERAC[[#This Row],[COD CART]],[1]!MatrizCortoLargoCyl[#All],3,0),"")</f>
        <v/>
      </c>
      <c r="F482" t="inlineStr">
        <is>
          <t>CVV</t>
        </is>
      </c>
      <c r="G482" t="n">
        <v>100</v>
      </c>
      <c r="H482" t="n">
        <v>-422.4488</v>
      </c>
      <c r="I482">
        <f>-H2389/G2389</f>
        <v/>
      </c>
      <c r="J482" s="16" t="n">
        <v>44649</v>
      </c>
      <c r="K482" t="n">
        <v>100</v>
      </c>
      <c r="L482" t="n">
        <v>445.885</v>
      </c>
    </row>
    <row r="483">
      <c r="A483" t="n">
        <v>2217</v>
      </c>
      <c r="B483" s="16" t="n">
        <v>44634</v>
      </c>
      <c r="C483" t="inlineStr">
        <is>
          <t>VTA</t>
        </is>
      </c>
      <c r="D483" t="n">
        <v>42</v>
      </c>
      <c r="E483">
        <f>IF(D2082&gt;0,VLOOKUP(OPERAC[[#This Row],[COD CART]],[1]!MatrizCortoLargoCyl[#All],3,0),"")</f>
        <v/>
      </c>
      <c r="F483" t="inlineStr">
        <is>
          <t>INO</t>
        </is>
      </c>
      <c r="G483" t="n">
        <v>100</v>
      </c>
      <c r="H483" t="n">
        <v>-332.0816</v>
      </c>
      <c r="I483">
        <f>-H2082/G2082</f>
        <v/>
      </c>
      <c r="J483" s="16" t="n">
        <v>44634</v>
      </c>
      <c r="K483" t="n">
        <v>100</v>
      </c>
      <c r="L483" t="n">
        <v>298.8855</v>
      </c>
    </row>
    <row r="484">
      <c r="A484" t="n">
        <v>2217</v>
      </c>
      <c r="B484" s="16" t="n">
        <v>44636</v>
      </c>
      <c r="C484" t="inlineStr">
        <is>
          <t>VTA</t>
        </is>
      </c>
      <c r="D484" t="n">
        <v>43</v>
      </c>
      <c r="E484">
        <f>IF(D2899&gt;0,VLOOKUP(OPERAC[[#This Row],[COD CART]],[1]!MatrizCortoLargoCyl[#All],3,0),"")</f>
        <v/>
      </c>
      <c r="F484" t="inlineStr">
        <is>
          <t>GMBL/CYL-PUT/0,50/19-01-24</t>
        </is>
      </c>
      <c r="G484" t="n">
        <v>2000</v>
      </c>
      <c r="H484">
        <f>-1625.09608+878.77+198.4</f>
        <v/>
      </c>
      <c r="I484">
        <f>-H2899/G2899</f>
        <v/>
      </c>
    </row>
    <row r="485">
      <c r="A485" t="n">
        <v>2217</v>
      </c>
      <c r="B485" s="16" t="n">
        <v>44642</v>
      </c>
      <c r="C485" t="inlineStr">
        <is>
          <t>VTA</t>
        </is>
      </c>
      <c r="D485" t="n">
        <v>42</v>
      </c>
      <c r="E485">
        <f>IF(D1908&gt;0,VLOOKUP(OPERAC[[#This Row],[COD CART]],[1]!MatrizCortoLargoCyl[#All],3,0),"")</f>
        <v/>
      </c>
      <c r="F485" t="inlineStr">
        <is>
          <t>HYDR</t>
        </is>
      </c>
      <c r="G485" t="n">
        <v>15</v>
      </c>
      <c r="H485">
        <f>-19.39*OPERAC[[#This Row],[cantidad]]</f>
        <v/>
      </c>
      <c r="I485">
        <f>-H1908/G1908</f>
        <v/>
      </c>
      <c r="J485" s="16" t="n">
        <v>44693</v>
      </c>
      <c r="K485">
        <f>+OPERAC[[#This Row],[cantidad]]</f>
        <v/>
      </c>
      <c r="L485">
        <f>+OPERAC[[#This Row],[cantidad venta]]*11.63</f>
        <v/>
      </c>
    </row>
    <row r="486">
      <c r="A486" t="n">
        <v>2217</v>
      </c>
      <c r="B486" s="16" t="n">
        <v>44643</v>
      </c>
      <c r="C486" t="inlineStr">
        <is>
          <t>VTA</t>
        </is>
      </c>
      <c r="D486" t="n">
        <v>42</v>
      </c>
      <c r="E486">
        <f>IF(D3180&gt;0,VLOOKUP(OPERAC[[#This Row],[COD CART]],[1]!MatrizCortoLargoCyl[#All],3,0),"")</f>
        <v/>
      </c>
      <c r="F486" t="inlineStr">
        <is>
          <t>FB</t>
        </is>
      </c>
      <c r="G486" t="n">
        <v>3</v>
      </c>
      <c r="H486" t="n">
        <v>-648.36978</v>
      </c>
      <c r="I486">
        <f>-H3180/G3180</f>
        <v/>
      </c>
      <c r="J486" s="16" t="n">
        <v>44671</v>
      </c>
      <c r="K486">
        <f>+OPERAC[[#This Row],[cantidad]]</f>
        <v/>
      </c>
      <c r="L486">
        <f>+OPERAC[[#This Row],[cantidad venta]]*213.173</f>
        <v/>
      </c>
    </row>
    <row r="487">
      <c r="A487" t="n">
        <v>2217</v>
      </c>
      <c r="B487" s="16" t="n">
        <v>44649</v>
      </c>
      <c r="C487" t="inlineStr">
        <is>
          <t>VTA</t>
        </is>
      </c>
      <c r="D487" t="n">
        <v>42</v>
      </c>
      <c r="E487">
        <f>IF(D2484&gt;0,VLOOKUP(OPERAC[[#This Row],[COD CART]],[1]!MatrizCortoLargoCyl[#All],3,0),"")</f>
        <v/>
      </c>
      <c r="F487" t="inlineStr">
        <is>
          <t>CRESY</t>
        </is>
      </c>
      <c r="G487" t="n">
        <v>55</v>
      </c>
      <c r="H487" t="n">
        <v>-445.07012</v>
      </c>
      <c r="I487">
        <f>-H2484/G2484</f>
        <v/>
      </c>
      <c r="J487" s="16" t="n">
        <v>44657</v>
      </c>
      <c r="K487">
        <f>+OPERAC[[#This Row],[cantidad]]</f>
        <v/>
      </c>
      <c r="L487">
        <f>+OPERAC[[#This Row],[cantidad venta]]*7.664</f>
        <v/>
      </c>
    </row>
    <row r="488">
      <c r="A488" t="n">
        <v>2217</v>
      </c>
      <c r="B488" s="16" t="n">
        <v>44657</v>
      </c>
      <c r="C488" t="inlineStr">
        <is>
          <t>VTA</t>
        </is>
      </c>
      <c r="D488" t="n">
        <v>41</v>
      </c>
      <c r="E488">
        <f>IF(D3051&gt;0,VLOOKUP(OPERAC[[#This Row],[COD CART]],[1]!MatrizCortoLargoCyl[#All],3,0),"")</f>
        <v/>
      </c>
      <c r="F488" t="inlineStr">
        <is>
          <t>GBTC</t>
        </is>
      </c>
      <c r="G488" t="n">
        <v>20</v>
      </c>
      <c r="H488" t="n">
        <v>-607.413</v>
      </c>
      <c r="I488">
        <f>-H3051/G3051</f>
        <v/>
      </c>
      <c r="J488" s="16" t="n">
        <v>44690</v>
      </c>
      <c r="K488" t="n">
        <v>20</v>
      </c>
      <c r="L488" t="n">
        <v>446.373</v>
      </c>
    </row>
    <row r="489">
      <c r="A489" t="n">
        <v>2217</v>
      </c>
      <c r="B489" s="16" t="n">
        <v>44664</v>
      </c>
      <c r="C489" t="inlineStr">
        <is>
          <t>CPR</t>
        </is>
      </c>
      <c r="D489" t="n">
        <v>42</v>
      </c>
      <c r="E489">
        <f>IF(D2686&gt;0,VLOOKUP(OPERAC[[#This Row],[COD CART]],[1]!MatrizCortoLargoCyl[#All],3,0),"")</f>
        <v/>
      </c>
      <c r="F489" t="inlineStr">
        <is>
          <t>AMD</t>
        </is>
      </c>
      <c r="G489" t="n">
        <v>5</v>
      </c>
      <c r="H489" t="n">
        <v>-493.85327265</v>
      </c>
      <c r="I489">
        <f>-H2686/G2686</f>
        <v/>
      </c>
      <c r="J489" s="16" t="n">
        <v>44693</v>
      </c>
      <c r="K489" t="n">
        <v>5</v>
      </c>
      <c r="L489">
        <f>+OPERAC[[#This Row],[cantidad venta]]*83.148</f>
        <v/>
      </c>
    </row>
    <row r="490">
      <c r="A490" t="n">
        <v>2217</v>
      </c>
      <c r="B490" s="16" t="n">
        <v>44664</v>
      </c>
      <c r="C490" t="inlineStr">
        <is>
          <t>VTA</t>
        </is>
      </c>
      <c r="D490" t="n">
        <v>42</v>
      </c>
      <c r="E490">
        <f>IF(D1720&gt;0,VLOOKUP(OPERAC[[#This Row],[COD CART]],[1]!MatrizCortoLargoCyl[#All],3,0),"")</f>
        <v/>
      </c>
      <c r="F490" t="inlineStr">
        <is>
          <t>PSQ</t>
        </is>
      </c>
      <c r="G490" t="n">
        <v>20</v>
      </c>
      <c r="H490" t="n">
        <v>-248.65144362</v>
      </c>
      <c r="I490">
        <f>-H1720/G1720</f>
        <v/>
      </c>
      <c r="J490" s="16" t="n">
        <v>44680</v>
      </c>
      <c r="K490">
        <f>+OPERAC[[#This Row],[cantidad]]</f>
        <v/>
      </c>
      <c r="L490">
        <f>12.848*OPERAC[[#This Row],[cantidad venta]]</f>
        <v/>
      </c>
    </row>
    <row r="491">
      <c r="A491" t="n">
        <v>2217</v>
      </c>
      <c r="B491" s="16" t="n">
        <v>44664</v>
      </c>
      <c r="C491" t="inlineStr">
        <is>
          <t>VTA</t>
        </is>
      </c>
      <c r="D491" t="n">
        <v>42</v>
      </c>
      <c r="E491">
        <f>IF(D1922&gt;0,VLOOKUP(OPERAC[[#This Row],[COD CART]],[1]!MatrizCortoLargoCyl[#All],3,0),"")</f>
        <v/>
      </c>
      <c r="F491" t="inlineStr">
        <is>
          <t>AMD</t>
        </is>
      </c>
      <c r="G491" t="n">
        <v>3</v>
      </c>
      <c r="H491" t="n">
        <v>-296.31196359</v>
      </c>
      <c r="I491">
        <f>-H1922/G1922</f>
        <v/>
      </c>
      <c r="J491" s="16" t="n">
        <v>44693</v>
      </c>
      <c r="K491" t="n">
        <v>3</v>
      </c>
      <c r="L491">
        <f>+OPERAC[[#This Row],[cantidad venta]]*83.148</f>
        <v/>
      </c>
    </row>
    <row r="492">
      <c r="A492" t="n">
        <v>2217</v>
      </c>
      <c r="B492" s="16" t="n">
        <v>44664</v>
      </c>
      <c r="C492" t="inlineStr">
        <is>
          <t>VTA</t>
        </is>
      </c>
      <c r="D492" t="n">
        <v>42</v>
      </c>
      <c r="E492">
        <f>IF(D2220&gt;0,VLOOKUP(OPERAC[[#This Row],[COD CART]],[1]!MatrizCortoLargoCyl[#All],3,0),"")</f>
        <v/>
      </c>
      <c r="F492" t="inlineStr">
        <is>
          <t>PSQ</t>
        </is>
      </c>
      <c r="G492" t="n">
        <v>30</v>
      </c>
      <c r="H492" t="n">
        <v>-372.97716543</v>
      </c>
      <c r="I492">
        <f>-H2220/G2220</f>
        <v/>
      </c>
      <c r="J492" s="16" t="n">
        <v>44680</v>
      </c>
      <c r="K492">
        <f>+OPERAC[[#This Row],[cantidad]]</f>
        <v/>
      </c>
      <c r="L492">
        <f>12.848*OPERAC[[#This Row],[cantidad venta]]</f>
        <v/>
      </c>
    </row>
    <row r="493">
      <c r="A493" t="n">
        <v>2217</v>
      </c>
      <c r="B493" s="16" t="n">
        <v>44671</v>
      </c>
      <c r="C493" t="inlineStr">
        <is>
          <t>CPR</t>
        </is>
      </c>
      <c r="D493" t="n">
        <v>42</v>
      </c>
      <c r="E493">
        <f>IF(D3492&gt;0,VLOOKUP(OPERAC[[#This Row],[COD CART]],[1]!MatrizCortoLargoCyl[#All],3,0),"")</f>
        <v/>
      </c>
      <c r="F493" t="inlineStr">
        <is>
          <t>NFLX</t>
        </is>
      </c>
      <c r="G493" t="n">
        <v>3</v>
      </c>
      <c r="H493" t="n">
        <v>-763.51518</v>
      </c>
      <c r="I493">
        <f>-H3492/G3492</f>
        <v/>
      </c>
      <c r="J493" s="16" t="n">
        <v>44693</v>
      </c>
      <c r="K493">
        <f>+OPERAC[[#This Row],[cantidad]]</f>
        <v/>
      </c>
      <c r="L493">
        <f>+OPERAC[[#This Row],[cantidad venta]]*164.905</f>
        <v/>
      </c>
    </row>
    <row r="494">
      <c r="A494" t="n">
        <v>2217</v>
      </c>
      <c r="B494" s="16" t="n">
        <v>44680</v>
      </c>
      <c r="C494" t="inlineStr">
        <is>
          <t>VTA</t>
        </is>
      </c>
      <c r="D494" t="n">
        <v>42</v>
      </c>
      <c r="E494">
        <f>IF(D1682&gt;0,VLOOKUP(OPERAC[[#This Row],[COD CART]],[1]!MatrizCortoLargoCyl[#All],3,0),"")</f>
        <v/>
      </c>
      <c r="F494" t="inlineStr">
        <is>
          <t>XLP</t>
        </is>
      </c>
      <c r="G494" t="n">
        <v>3</v>
      </c>
      <c r="H494" t="n">
        <v>-238.3035075</v>
      </c>
      <c r="I494">
        <f>-H1682/G1682</f>
        <v/>
      </c>
      <c r="J494" s="16" t="n">
        <v>44693</v>
      </c>
      <c r="K494">
        <f>+OPERAC[[#This Row],[cantidad]]</f>
        <v/>
      </c>
      <c r="L494">
        <f>+OPERAC[[#This Row],[cantidad venta]]*75.624</f>
        <v/>
      </c>
    </row>
    <row r="495">
      <c r="A495" t="n">
        <v>2217</v>
      </c>
      <c r="B495" s="16" t="n">
        <v>44680</v>
      </c>
      <c r="C495" t="inlineStr">
        <is>
          <t>VTA</t>
        </is>
      </c>
      <c r="D495" t="n">
        <v>42</v>
      </c>
      <c r="E495">
        <f>IF(D2298&gt;0,VLOOKUP(OPERAC[[#This Row],[COD CART]],[1]!MatrizCortoLargoCyl[#All],3,0),"")</f>
        <v/>
      </c>
      <c r="F495" t="inlineStr">
        <is>
          <t>XLP</t>
        </is>
      </c>
      <c r="G495" t="n">
        <v>5</v>
      </c>
      <c r="H495" t="n">
        <v>-397.1725125</v>
      </c>
      <c r="I495">
        <f>-H2298/G2298</f>
        <v/>
      </c>
      <c r="J495" s="16" t="n">
        <v>44693</v>
      </c>
      <c r="K495">
        <f>+OPERAC[[#This Row],[cantidad]]</f>
        <v/>
      </c>
      <c r="L495">
        <f>+OPERAC[[#This Row],[cantidad venta]]*75.624</f>
        <v/>
      </c>
    </row>
    <row r="496">
      <c r="A496" t="n">
        <v>2217</v>
      </c>
      <c r="B496" s="16" t="n">
        <v>44707</v>
      </c>
      <c r="C496" t="inlineStr">
        <is>
          <t>CPR</t>
        </is>
      </c>
      <c r="D496" t="n">
        <v>42</v>
      </c>
      <c r="E496">
        <f>IF(D4157&gt;0,VLOOKUP(OPERAC[[#This Row],[COD CART]],[1]!MatrizCortoLargoCyl[#All],3,0),"")</f>
        <v/>
      </c>
      <c r="F496" t="inlineStr">
        <is>
          <t>PCT</t>
        </is>
      </c>
      <c r="G496" t="n">
        <v>100</v>
      </c>
      <c r="H496" t="n">
        <v>-973.063327</v>
      </c>
      <c r="I496">
        <f>-H4157/G4157</f>
        <v/>
      </c>
    </row>
    <row r="497">
      <c r="A497" t="n">
        <v>2217</v>
      </c>
      <c r="B497" s="16" t="n">
        <v>44712</v>
      </c>
      <c r="C497" t="inlineStr">
        <is>
          <t>CPR</t>
        </is>
      </c>
      <c r="D497" t="n">
        <v>32</v>
      </c>
      <c r="E497">
        <f>IF(D3321&gt;0,VLOOKUP(OPERAC[[#This Row],[COD CART]],[1]!MatrizCortoLargoCyl[#All],3,0),"")</f>
        <v/>
      </c>
      <c r="F497" t="inlineStr">
        <is>
          <t>CRESY/CYL/7,50/17-06-22</t>
        </is>
      </c>
      <c r="G497" t="n">
        <v>100</v>
      </c>
      <c r="H497" t="n">
        <v>-693.075</v>
      </c>
      <c r="I497">
        <f>-H3321/G3321</f>
        <v/>
      </c>
    </row>
    <row r="498">
      <c r="A498" t="n">
        <v>2217</v>
      </c>
      <c r="B498" s="16" t="n">
        <v>44712</v>
      </c>
      <c r="C498" t="inlineStr">
        <is>
          <t>VTA</t>
        </is>
      </c>
      <c r="D498" t="n">
        <v>39</v>
      </c>
      <c r="E498">
        <f>IF(D1553&gt;0,VLOOKUP(OPERAC[[#This Row],[COD CART]],[1]!MatrizCortoLargoCyl[#All],3,0),"")</f>
        <v/>
      </c>
      <c r="F498" t="inlineStr">
        <is>
          <t>ET/C/10,00/21-10-22</t>
        </is>
      </c>
      <c r="G498" t="n">
        <v>100</v>
      </c>
      <c r="H498" t="n">
        <v>-202.808</v>
      </c>
      <c r="I498">
        <f>-H1553/G1553</f>
        <v/>
      </c>
    </row>
    <row r="499">
      <c r="A499" t="n">
        <v>2217</v>
      </c>
      <c r="B499" s="16" t="n">
        <v>44718</v>
      </c>
      <c r="C499" t="inlineStr">
        <is>
          <t>VTA</t>
        </is>
      </c>
      <c r="D499" t="n">
        <v>42</v>
      </c>
      <c r="E499">
        <f>IF(D2007&gt;0,VLOOKUP(OPERAC[[#This Row],[COD CART]],[1]!MatrizCortoLargoCyl[#All],3,0),"")</f>
        <v/>
      </c>
      <c r="F499" t="inlineStr">
        <is>
          <t>KWEB</t>
        </is>
      </c>
      <c r="G499" t="n">
        <v>10</v>
      </c>
      <c r="H499" t="n">
        <v>-310.83388</v>
      </c>
      <c r="I499">
        <f>-H2007/G2007</f>
        <v/>
      </c>
    </row>
    <row r="500">
      <c r="A500" t="n">
        <v>2218</v>
      </c>
      <c r="B500" s="16" t="n">
        <v>44159</v>
      </c>
      <c r="C500" t="inlineStr">
        <is>
          <t>CPR</t>
        </is>
      </c>
      <c r="D500" t="n">
        <v>32</v>
      </c>
      <c r="E500">
        <f>IF(D4782&gt;0,VLOOKUP(OPERAC[[#This Row],[COD CART]],[1]!MatrizCortoLargoCyl[#All],3,0),"")</f>
        <v/>
      </c>
      <c r="F500" t="inlineStr">
        <is>
          <t>CCL/CYL/20,00/21-01-22</t>
        </is>
      </c>
      <c r="G500" t="n">
        <v>100</v>
      </c>
      <c r="H500" t="n">
        <v>-1389.67</v>
      </c>
      <c r="I500">
        <f>-H4782/G4782</f>
        <v/>
      </c>
      <c r="J500" s="16" t="n">
        <v>44571</v>
      </c>
      <c r="K500" t="n">
        <v>100</v>
      </c>
      <c r="L500" t="n">
        <v>1958.637</v>
      </c>
    </row>
    <row r="501">
      <c r="A501" t="n">
        <v>2218</v>
      </c>
      <c r="B501" s="16" t="n">
        <v>44305</v>
      </c>
      <c r="C501" t="inlineStr">
        <is>
          <t>VTA</t>
        </is>
      </c>
      <c r="D501" t="n">
        <v>39</v>
      </c>
      <c r="E501">
        <f>IF(D5&gt;0,VLOOKUP(OPERAC[[#This Row],[COD CART]],[1]!MatrizCortoLargoCyl[#All],3,0),"")</f>
        <v/>
      </c>
      <c r="F501" t="inlineStr">
        <is>
          <t>ACB/V/15,00/20-01-23</t>
        </is>
      </c>
      <c r="G501" t="n">
        <v>-2000</v>
      </c>
      <c r="H501">
        <f>-9.23*OPERAC[[#This Row],[cantidad]]</f>
        <v/>
      </c>
      <c r="I501">
        <f>-H5/G5</f>
        <v/>
      </c>
      <c r="J501" s="16" t="n">
        <v>44614</v>
      </c>
      <c r="K501" t="n">
        <v>-2000</v>
      </c>
      <c r="L501" t="n">
        <v>-18460</v>
      </c>
    </row>
    <row r="502">
      <c r="A502" t="n">
        <v>2218</v>
      </c>
      <c r="B502" s="16" t="n">
        <v>44307</v>
      </c>
      <c r="C502" t="inlineStr">
        <is>
          <t>VTA</t>
        </is>
      </c>
      <c r="D502" t="n">
        <v>39</v>
      </c>
      <c r="E502">
        <f>IF(D20&gt;0,VLOOKUP(OPERAC[[#This Row],[COD CART]],[1]!MatrizCortoLargoCyl[#All],3,0),"")</f>
        <v/>
      </c>
      <c r="F502" t="inlineStr">
        <is>
          <t>ACB/V/15,00/20-01-23</t>
        </is>
      </c>
      <c r="G502" t="n">
        <v>-900</v>
      </c>
      <c r="H502" t="n">
        <v>8447.540000000001</v>
      </c>
      <c r="I502">
        <f>-H20/G20</f>
        <v/>
      </c>
      <c r="J502" s="16" t="n">
        <v>44614</v>
      </c>
      <c r="K502" t="n">
        <v>-900</v>
      </c>
      <c r="L502" t="n">
        <v>-8447</v>
      </c>
    </row>
    <row r="503">
      <c r="A503" t="n">
        <v>2218</v>
      </c>
      <c r="B503" s="16" t="n">
        <v>44312</v>
      </c>
      <c r="C503" t="inlineStr">
        <is>
          <t>VTA</t>
        </is>
      </c>
      <c r="D503" t="n">
        <v>43</v>
      </c>
      <c r="E503">
        <f>IF(D5248&gt;0,VLOOKUP(OPERAC[[#This Row],[COD CART]],[1]!MatrizCortoLargoCyl[#All],3,0),"")</f>
        <v/>
      </c>
      <c r="F503" t="inlineStr">
        <is>
          <t>MNKD/CYL-PUT/4,50/20-01-23</t>
        </is>
      </c>
      <c r="G503" t="n">
        <v>2500</v>
      </c>
      <c r="H503">
        <f>-6419.89+4745.25</f>
        <v/>
      </c>
      <c r="I503">
        <f>-H5248/G5248</f>
        <v/>
      </c>
    </row>
    <row r="504">
      <c r="A504" t="n">
        <v>2218</v>
      </c>
      <c r="B504" s="16" t="n">
        <v>44340</v>
      </c>
      <c r="C504" t="inlineStr">
        <is>
          <t>VTA</t>
        </is>
      </c>
      <c r="D504" t="n">
        <v>39</v>
      </c>
      <c r="E504">
        <f>IF(D85&gt;0,VLOOKUP(OPERAC[[#This Row],[COD CART]],[1]!MatrizCortoLargoCyl[#All],3,0),"")</f>
        <v/>
      </c>
      <c r="F504" t="inlineStr">
        <is>
          <t>INO/V/8,00/20-01-23</t>
        </is>
      </c>
      <c r="G504" t="n">
        <v>-1000</v>
      </c>
      <c r="H504" t="n">
        <v>3842.915</v>
      </c>
      <c r="I504">
        <f>-H85/G85</f>
        <v/>
      </c>
      <c r="J504" s="16" t="n">
        <v>44614</v>
      </c>
      <c r="K504" t="n">
        <v>-1000</v>
      </c>
      <c r="L504">
        <f>+OPERAC[[#This Row],[cantidad venta]]*5.312</f>
        <v/>
      </c>
    </row>
    <row r="505">
      <c r="A505" t="n">
        <v>2218</v>
      </c>
      <c r="B505" s="16" t="n">
        <v>44358</v>
      </c>
      <c r="C505" t="inlineStr">
        <is>
          <t>CPR</t>
        </is>
      </c>
      <c r="D505" t="n">
        <v>31</v>
      </c>
      <c r="E505">
        <f>IF(D6260&gt;0,VLOOKUP(OPERAC[[#This Row],[COD CART]],[1]!MatrizCortoLargoCyl[#All],3,0),"")</f>
        <v/>
      </c>
      <c r="F505" t="inlineStr">
        <is>
          <t>SDGR</t>
        </is>
      </c>
      <c r="G505" t="n">
        <v>100</v>
      </c>
      <c r="H505">
        <f>-7701.872+218.24</f>
        <v/>
      </c>
      <c r="I505">
        <f>-H6260/G6260</f>
        <v/>
      </c>
    </row>
    <row r="506">
      <c r="A506" t="n">
        <v>2218</v>
      </c>
      <c r="B506" s="16" t="n">
        <v>44403</v>
      </c>
      <c r="C506" t="inlineStr">
        <is>
          <t>VTA</t>
        </is>
      </c>
      <c r="D506" t="n">
        <v>31</v>
      </c>
      <c r="E506">
        <f>IF(D5545&gt;0,VLOOKUP(OPERAC[[#This Row],[COD CART]],[1]!MatrizCortoLargoCyl[#All],3,0),"")</f>
        <v/>
      </c>
      <c r="F506" t="inlineStr">
        <is>
          <t>GGAL</t>
        </is>
      </c>
      <c r="G506" t="n">
        <v>250</v>
      </c>
      <c r="H506" t="n">
        <v>-2037.7845</v>
      </c>
      <c r="I506">
        <f>-H5545/G5545</f>
        <v/>
      </c>
      <c r="J506" s="16" t="n">
        <v>44692</v>
      </c>
      <c r="K506" t="n">
        <v>250</v>
      </c>
      <c r="L506">
        <f>+OPERAC[[#This Row],[cantidad venta]]*9.032</f>
        <v/>
      </c>
    </row>
    <row r="507">
      <c r="A507" t="n">
        <v>2218</v>
      </c>
      <c r="B507" s="16" t="n">
        <v>44427</v>
      </c>
      <c r="C507" t="inlineStr">
        <is>
          <t>VTA</t>
        </is>
      </c>
      <c r="D507" t="n">
        <v>39</v>
      </c>
      <c r="E507">
        <f>IF(D1073&gt;0,VLOOKUP(OPERAC[[#This Row],[COD CART]],[1]!MatrizCortoLargoCyl[#All],3,0),"")</f>
        <v/>
      </c>
      <c r="F507" t="inlineStr">
        <is>
          <t>SPWR/V/15,00/20-01-23</t>
        </is>
      </c>
      <c r="G507" t="n">
        <v>-12</v>
      </c>
      <c r="H507" t="n">
        <v>34.37</v>
      </c>
      <c r="I507">
        <f>-H1073/G1073</f>
        <v/>
      </c>
    </row>
    <row r="508">
      <c r="A508" t="n">
        <v>2218</v>
      </c>
      <c r="B508" s="16" t="n">
        <v>44431</v>
      </c>
      <c r="C508" t="inlineStr">
        <is>
          <t>VTA</t>
        </is>
      </c>
      <c r="D508" t="n">
        <v>39</v>
      </c>
      <c r="E508">
        <f>IF(D30&gt;0,VLOOKUP(OPERAC[[#This Row],[COD CART]],[1]!MatrizCortoLargoCyl[#All],3,0),"")</f>
        <v/>
      </c>
      <c r="F508" t="inlineStr">
        <is>
          <t>INO/V/8,00/20-01-23</t>
        </is>
      </c>
      <c r="G508" t="n">
        <v>-2000</v>
      </c>
      <c r="H508" t="n">
        <v>6638.27</v>
      </c>
      <c r="I508">
        <f>-H30/G30</f>
        <v/>
      </c>
      <c r="J508" s="16" t="n">
        <v>44614</v>
      </c>
      <c r="K508" t="n">
        <v>-2000</v>
      </c>
      <c r="L508">
        <f>+OPERAC[[#This Row],[cantidad venta]]*5.312</f>
        <v/>
      </c>
    </row>
    <row r="509">
      <c r="A509" t="n">
        <v>2218</v>
      </c>
      <c r="B509" s="16" t="n">
        <v>44431</v>
      </c>
      <c r="C509" t="inlineStr">
        <is>
          <t>VTA</t>
        </is>
      </c>
      <c r="D509" t="n">
        <v>39</v>
      </c>
      <c r="E509">
        <f>IF(D1099&gt;0,VLOOKUP(OPERAC[[#This Row],[COD CART]],[1]!MatrizCortoLargoCyl[#All],3,0),"")</f>
        <v/>
      </c>
      <c r="F509" t="inlineStr">
        <is>
          <t>GGAL/V/10,00/20-01-23</t>
        </is>
      </c>
      <c r="G509" t="n">
        <v>-10</v>
      </c>
      <c r="H509" t="n">
        <v>24.8</v>
      </c>
      <c r="I509">
        <f>-H1099/G1099</f>
        <v/>
      </c>
    </row>
    <row r="510">
      <c r="A510" t="n">
        <v>2218</v>
      </c>
      <c r="B510" s="16" t="n">
        <v>44431</v>
      </c>
      <c r="C510" t="inlineStr">
        <is>
          <t>VTA</t>
        </is>
      </c>
      <c r="D510" t="n">
        <v>39</v>
      </c>
      <c r="E510">
        <f>IF(D1149&gt;0,VLOOKUP(OPERAC[[#This Row],[COD CART]],[1]!MatrizCortoLargoCyl[#All],3,0),"")</f>
        <v/>
      </c>
      <c r="F510" t="inlineStr">
        <is>
          <t>EDU/V/20,00/20-01-23</t>
        </is>
      </c>
      <c r="G510" t="n">
        <v>-20</v>
      </c>
      <c r="H510" t="n">
        <v>18.11</v>
      </c>
      <c r="I510">
        <f>-H1149/G1149</f>
        <v/>
      </c>
    </row>
    <row r="511">
      <c r="A511" t="n">
        <v>2218</v>
      </c>
      <c r="B511" s="16" t="n">
        <v>44452</v>
      </c>
      <c r="C511" t="inlineStr">
        <is>
          <t>VTA</t>
        </is>
      </c>
      <c r="D511" t="n">
        <v>39</v>
      </c>
      <c r="E511">
        <f>IF(D176&gt;0,VLOOKUP(OPERAC[[#This Row],[COD CART]],[1]!MatrizCortoLargoCyl[#All],3,0),"")</f>
        <v/>
      </c>
      <c r="F511" t="inlineStr">
        <is>
          <t>TLRY/V/10,00/21-01-22</t>
        </is>
      </c>
      <c r="G511" t="n">
        <v>-2000</v>
      </c>
      <c r="H511" t="n">
        <v>2292.01</v>
      </c>
      <c r="I511">
        <f>-H176/G176</f>
        <v/>
      </c>
      <c r="J511" s="16" t="n">
        <v>44572</v>
      </c>
      <c r="K511" t="n">
        <v>-2000</v>
      </c>
      <c r="L511" t="n">
        <v>-2292.01</v>
      </c>
    </row>
    <row r="512">
      <c r="A512" t="n">
        <v>2218</v>
      </c>
      <c r="B512" s="16" t="n">
        <v>44453</v>
      </c>
      <c r="C512" t="inlineStr">
        <is>
          <t>CPR</t>
        </is>
      </c>
      <c r="D512" t="n">
        <v>40</v>
      </c>
      <c r="E512">
        <f>IF(D6248&gt;0,VLOOKUP(OPERAC[[#This Row],[COD CART]],[1]!MatrizCortoLargoCyl[#All],3,0),"")</f>
        <v/>
      </c>
      <c r="F512" t="inlineStr">
        <is>
          <t>GMBL</t>
        </is>
      </c>
      <c r="G512" t="n">
        <v>1000</v>
      </c>
      <c r="H512" t="n">
        <v>-6944.330000000001</v>
      </c>
      <c r="I512">
        <f>-H6248/G6248</f>
        <v/>
      </c>
    </row>
    <row r="513">
      <c r="A513" t="n">
        <v>2218</v>
      </c>
      <c r="B513" s="16" t="n">
        <v>44459</v>
      </c>
      <c r="C513" t="inlineStr">
        <is>
          <t>VTA</t>
        </is>
      </c>
      <c r="D513" t="n">
        <v>40</v>
      </c>
      <c r="E513">
        <f>IF(D5314&gt;0,VLOOKUP(OPERAC[[#This Row],[COD CART]],[1]!MatrizCortoLargoCyl[#All],3,0),"")</f>
        <v/>
      </c>
      <c r="F513" t="inlineStr">
        <is>
          <t>EDU</t>
        </is>
      </c>
      <c r="G513" t="n">
        <v>2000</v>
      </c>
      <c r="H513">
        <f>-1802.28+0.04*OPERAC[[#This Row],[cantidad]]</f>
        <v/>
      </c>
      <c r="I513">
        <f>-H5314/G5314</f>
        <v/>
      </c>
      <c r="J513" s="16" t="n">
        <v>44615</v>
      </c>
      <c r="K513" t="n">
        <v>2000</v>
      </c>
      <c r="L513">
        <f>+OPERAC[[#This Row],[cantidad venta]]*1.505</f>
        <v/>
      </c>
    </row>
    <row r="514">
      <c r="A514" t="n">
        <v>2218</v>
      </c>
      <c r="B514" s="16" t="n">
        <v>44459</v>
      </c>
      <c r="C514" t="inlineStr">
        <is>
          <t>VTA</t>
        </is>
      </c>
      <c r="D514" t="n">
        <v>43</v>
      </c>
      <c r="E514">
        <f>IF(D5422&gt;0,VLOOKUP(OPERAC[[#This Row],[COD CART]],[1]!MatrizCortoLargoCyl[#All],3,0),"")</f>
        <v/>
      </c>
      <c r="F514" t="inlineStr">
        <is>
          <t>SOLO/CYL-PUT/3,00/17-06-22</t>
        </is>
      </c>
      <c r="G514" t="n">
        <v>1000</v>
      </c>
      <c r="H514">
        <f>-2244.03+0.137*OPERAC[[#This Row],[cantidad]]-1035.021+145.85+1144.83</f>
        <v/>
      </c>
      <c r="I514">
        <f>-H5422/G5422</f>
        <v/>
      </c>
      <c r="J514" s="16" t="n">
        <v>44719</v>
      </c>
      <c r="K514" t="n">
        <v>1000</v>
      </c>
      <c r="L514" t="n">
        <v>58.938</v>
      </c>
    </row>
    <row r="515">
      <c r="A515" t="n">
        <v>2218</v>
      </c>
      <c r="B515" s="16" t="n">
        <v>44462</v>
      </c>
      <c r="C515" t="inlineStr">
        <is>
          <t>CPR</t>
        </is>
      </c>
      <c r="D515" t="n">
        <v>43</v>
      </c>
      <c r="E515">
        <f>IF(D3639&gt;0,VLOOKUP(OPERAC[[#This Row],[COD CART]],[1]!MatrizCortoLargoCyl[#All],3,0),"")</f>
        <v/>
      </c>
      <c r="F515" t="inlineStr">
        <is>
          <t>SOLO/CYL-PUT/4,00/16-09-22</t>
        </is>
      </c>
      <c r="G515" t="n">
        <v>500</v>
      </c>
      <c r="H515">
        <f>OPERAC[[#This Row],[cantidad]]*-2.54+0.32*OPERAC[[#This Row],[cantidad]]+0.387*OPERAC[[#This Row],[cantidad]]+0.22*OPERAC[[#This Row],[cantidad]]</f>
        <v/>
      </c>
      <c r="I515">
        <f>-H3639/G3639</f>
        <v/>
      </c>
    </row>
    <row r="516">
      <c r="A516" t="n">
        <v>2218</v>
      </c>
      <c r="B516" s="16" t="n">
        <v>44466</v>
      </c>
      <c r="C516" t="inlineStr">
        <is>
          <t>VTA</t>
        </is>
      </c>
      <c r="D516" t="n">
        <v>43</v>
      </c>
      <c r="E516">
        <f>IF(D3024&gt;0,VLOOKUP(OPERAC[[#This Row],[COD CART]],[1]!MatrizCortoLargoCyl[#All],3,0),"")</f>
        <v/>
      </c>
      <c r="F516" t="inlineStr">
        <is>
          <t>SOLO/CYL-PUT/4,00/16-09-22</t>
        </is>
      </c>
      <c r="G516" t="n">
        <v>300</v>
      </c>
      <c r="H516">
        <f>-879.41196+0.32*OPERAC[[#This Row],[cantidad]]+0.387*OPERAC[[#This Row],[cantidad]]+0.22*OPERAC[[#This Row],[cantidad]]</f>
        <v/>
      </c>
      <c r="I516">
        <f>-H3024/G3024</f>
        <v/>
      </c>
    </row>
    <row r="517">
      <c r="A517" t="n">
        <v>2218</v>
      </c>
      <c r="B517" s="16" t="n">
        <v>44469</v>
      </c>
      <c r="C517" t="inlineStr">
        <is>
          <t>VTA</t>
        </is>
      </c>
      <c r="D517" t="n">
        <v>39</v>
      </c>
      <c r="E517">
        <f>IF(D688&gt;0,VLOOKUP(OPERAC[[#This Row],[COD CART]],[1]!MatrizCortoLargoCyl[#All],3,0),"")</f>
        <v/>
      </c>
      <c r="F517" t="inlineStr">
        <is>
          <t>ACB/V/6,00/21-01-22</t>
        </is>
      </c>
      <c r="G517" t="n">
        <v>-500</v>
      </c>
      <c r="H517">
        <f>428.3725-0.5*OPERAC[[#This Row],[cantidad]]+0.51*OPERAC[[#This Row],[cantidad]]</f>
        <v/>
      </c>
      <c r="I517">
        <f>-H688/G688</f>
        <v/>
      </c>
      <c r="J517" s="16" t="n">
        <v>44581</v>
      </c>
      <c r="K517">
        <f>+OPERAC[[#This Row],[cantidad]]</f>
        <v/>
      </c>
      <c r="L517">
        <f>-OPERAC[[#This Row],[importe]]</f>
        <v/>
      </c>
    </row>
    <row r="518">
      <c r="A518" t="n">
        <v>2218</v>
      </c>
      <c r="B518" s="16" t="n">
        <v>44474</v>
      </c>
      <c r="C518" t="inlineStr">
        <is>
          <t>VTA</t>
        </is>
      </c>
      <c r="D518" t="n">
        <v>39</v>
      </c>
      <c r="E518">
        <f>IF(D839&gt;0,VLOOKUP(OPERAC[[#This Row],[COD CART]],[1]!MatrizCortoLargoCyl[#All],3,0),"")</f>
        <v/>
      </c>
      <c r="F518" t="inlineStr">
        <is>
          <t>NKE/V/115,00/21-01-22</t>
        </is>
      </c>
      <c r="G518" t="n">
        <v>-200</v>
      </c>
      <c r="H518" t="n">
        <v>208.226</v>
      </c>
      <c r="I518">
        <f>-H839/G839</f>
        <v/>
      </c>
      <c r="J518" s="16" t="n">
        <v>44582</v>
      </c>
      <c r="K518">
        <f>+OPERAC[[#This Row],[cantidad]]</f>
        <v/>
      </c>
      <c r="L518" t="n">
        <v>0</v>
      </c>
    </row>
    <row r="519">
      <c r="A519" t="n">
        <v>2218</v>
      </c>
      <c r="B519" s="16" t="n">
        <v>44480</v>
      </c>
      <c r="C519" t="inlineStr">
        <is>
          <t>CPR</t>
        </is>
      </c>
      <c r="D519" t="n">
        <v>31</v>
      </c>
      <c r="E519">
        <f>IF(D6172&gt;0,VLOOKUP(OPERAC[[#This Row],[COD CART]],[1]!MatrizCortoLargoCyl[#All],3,0),"")</f>
        <v/>
      </c>
      <c r="F519" t="inlineStr">
        <is>
          <t>TEO</t>
        </is>
      </c>
      <c r="G519" t="n">
        <v>1000</v>
      </c>
      <c r="H519" t="n">
        <v>-4979.97</v>
      </c>
      <c r="I519">
        <f>-H6172/G6172</f>
        <v/>
      </c>
    </row>
    <row r="520">
      <c r="A520" t="n">
        <v>2218</v>
      </c>
      <c r="B520" s="16" t="n">
        <v>44480</v>
      </c>
      <c r="C520" t="inlineStr">
        <is>
          <t>CPR</t>
        </is>
      </c>
      <c r="D520" t="n">
        <v>31</v>
      </c>
      <c r="E520">
        <f>IF(D6186&gt;0,VLOOKUP(OPERAC[[#This Row],[COD CART]],[1]!MatrizCortoLargoCyl[#All],3,0),"")</f>
        <v/>
      </c>
      <c r="F520" t="inlineStr">
        <is>
          <t>CRESY</t>
        </is>
      </c>
      <c r="G520" t="n">
        <v>1000</v>
      </c>
      <c r="H520" t="n">
        <v>-5218.208</v>
      </c>
      <c r="I520">
        <f>-H6186/G6186</f>
        <v/>
      </c>
    </row>
    <row r="521">
      <c r="A521" t="n">
        <v>2218</v>
      </c>
      <c r="B521" s="16" t="n">
        <v>44480</v>
      </c>
      <c r="C521" t="inlineStr">
        <is>
          <t>CPR</t>
        </is>
      </c>
      <c r="D521" t="n">
        <v>31</v>
      </c>
      <c r="E521">
        <f>IF(D6252&gt;0,VLOOKUP(OPERAC[[#This Row],[COD CART]],[1]!MatrizCortoLargoCyl[#All],3,0),"")</f>
        <v/>
      </c>
      <c r="F521" t="inlineStr">
        <is>
          <t>CEPU</t>
        </is>
      </c>
      <c r="G521" t="n">
        <v>2000</v>
      </c>
      <c r="H521" t="n">
        <v>-7012.996</v>
      </c>
      <c r="I521">
        <f>-H6252/G6252</f>
        <v/>
      </c>
      <c r="J521" s="16" t="n">
        <v>44692</v>
      </c>
      <c r="K521" t="n">
        <v>2000</v>
      </c>
      <c r="L521" t="n">
        <v>6936.497</v>
      </c>
    </row>
    <row r="522">
      <c r="A522" t="n">
        <v>2218</v>
      </c>
      <c r="B522" s="16" t="n">
        <v>44480</v>
      </c>
      <c r="C522" t="inlineStr">
        <is>
          <t>CPR</t>
        </is>
      </c>
      <c r="D522" t="n">
        <v>31</v>
      </c>
      <c r="E522">
        <f>IF(D6277&gt;0,VLOOKUP(OPERAC[[#This Row],[COD CART]],[1]!MatrizCortoLargoCyl[#All],3,0),"")</f>
        <v/>
      </c>
      <c r="F522" t="inlineStr">
        <is>
          <t>GGAL</t>
        </is>
      </c>
      <c r="G522" t="n">
        <v>750</v>
      </c>
      <c r="H522" t="n">
        <v>-7819.058</v>
      </c>
      <c r="I522">
        <f>-H6277/G6277</f>
        <v/>
      </c>
      <c r="J522" s="16" t="n">
        <v>44692</v>
      </c>
      <c r="K522" t="n">
        <v>750</v>
      </c>
      <c r="L522">
        <f>+OPERAC[[#This Row],[cantidad venta]]*9.032</f>
        <v/>
      </c>
    </row>
    <row r="523">
      <c r="A523" t="n">
        <v>2218</v>
      </c>
      <c r="B523" s="16" t="n">
        <v>44490</v>
      </c>
      <c r="C523" t="inlineStr">
        <is>
          <t>CPR</t>
        </is>
      </c>
      <c r="D523" t="n">
        <v>43</v>
      </c>
      <c r="E523">
        <f>IF(D4805&gt;0,VLOOKUP(OPERAC[[#This Row],[COD CART]],[1]!MatrizCortoLargoCyl[#All],3,0),"")</f>
        <v/>
      </c>
      <c r="F523" t="inlineStr">
        <is>
          <t>SESN/CYL-PUT/1,00/19-01-24</t>
        </is>
      </c>
      <c r="G523" t="n">
        <v>5000</v>
      </c>
      <c r="H523">
        <f>-0.28*OPERAC[[#This Row],[cantidad]]</f>
        <v/>
      </c>
      <c r="I523">
        <f>-H4805/G4805</f>
        <v/>
      </c>
    </row>
    <row r="524">
      <c r="A524" t="n">
        <v>2218</v>
      </c>
      <c r="B524" s="16" t="n">
        <v>44495</v>
      </c>
      <c r="C524" t="inlineStr">
        <is>
          <t>VTA</t>
        </is>
      </c>
      <c r="D524" t="n">
        <v>39</v>
      </c>
      <c r="E524">
        <f>IF(D375&gt;0,VLOOKUP(OPERAC[[#This Row],[COD CART]],[1]!MatrizCortoLargoCyl[#All],3,0),"")</f>
        <v/>
      </c>
      <c r="F524" t="inlineStr">
        <is>
          <t>YPF/CC10/LP7/CP3/19-01-24</t>
        </is>
      </c>
      <c r="G524" t="n">
        <v>-500</v>
      </c>
      <c r="H524">
        <f>-2.41*OPERAC[[#This Row],[cantidad]]</f>
        <v/>
      </c>
      <c r="I524">
        <f>-H375/G375</f>
        <v/>
      </c>
    </row>
    <row r="525">
      <c r="A525" t="n">
        <v>2218</v>
      </c>
      <c r="B525" s="16" t="n">
        <v>44495</v>
      </c>
      <c r="C525" t="inlineStr">
        <is>
          <t>VTA</t>
        </is>
      </c>
      <c r="D525" t="n">
        <v>39</v>
      </c>
      <c r="E525">
        <f>IF(D511&gt;0,VLOOKUP(OPERAC[[#This Row],[COD CART]],[1]!MatrizCortoLargoCyl[#All],3,0),"")</f>
        <v/>
      </c>
      <c r="F525" t="inlineStr">
        <is>
          <t>TLRY/V/11,00/21-01-22</t>
        </is>
      </c>
      <c r="G525" t="n">
        <v>-500</v>
      </c>
      <c r="H525" t="n">
        <v>869.225</v>
      </c>
      <c r="I525">
        <f>-H511/G511</f>
        <v/>
      </c>
      <c r="J525" s="16" t="n">
        <v>44571</v>
      </c>
      <c r="K525">
        <f>+OPERAC[[#This Row],[cantidad]]</f>
        <v/>
      </c>
      <c r="L525">
        <f>-OPERAC[[#This Row],[importe]]</f>
        <v/>
      </c>
    </row>
    <row r="526">
      <c r="A526" t="n">
        <v>2218</v>
      </c>
      <c r="B526" s="16" t="n">
        <v>44511</v>
      </c>
      <c r="C526" t="inlineStr">
        <is>
          <t>CPR</t>
        </is>
      </c>
      <c r="D526" t="n">
        <v>31</v>
      </c>
      <c r="E526">
        <f>IF(D4534&gt;0,VLOOKUP(OPERAC[[#This Row],[COD CART]],[1]!MatrizCortoLargoCyl[#All],3,0),"")</f>
        <v/>
      </c>
      <c r="F526" t="inlineStr">
        <is>
          <t>IPIX</t>
        </is>
      </c>
      <c r="G526" t="n">
        <v>12000</v>
      </c>
      <c r="H526" t="n">
        <v>-1200.9708</v>
      </c>
      <c r="I526">
        <f>-H4534/G4534</f>
        <v/>
      </c>
    </row>
    <row r="527">
      <c r="A527" t="n">
        <v>2218</v>
      </c>
      <c r="B527" s="16" t="n">
        <v>44523</v>
      </c>
      <c r="C527" t="inlineStr">
        <is>
          <t>VTA</t>
        </is>
      </c>
      <c r="D527" t="n">
        <v>32</v>
      </c>
      <c r="E527">
        <f>IF(D2299&gt;0,VLOOKUP(OPERAC[[#This Row],[COD CART]],[1]!MatrizCortoLargoCyl[#All],3,0),"")</f>
        <v/>
      </c>
      <c r="F527" t="inlineStr">
        <is>
          <t>GMBL</t>
        </is>
      </c>
      <c r="G527" t="n">
        <v>100</v>
      </c>
      <c r="H527">
        <f>-407.469+9.067</f>
        <v/>
      </c>
      <c r="I527">
        <f>-H2299/G2299</f>
        <v/>
      </c>
    </row>
    <row r="528">
      <c r="A528" t="n">
        <v>2218</v>
      </c>
      <c r="B528" s="16" t="n">
        <v>44523</v>
      </c>
      <c r="C528" t="inlineStr">
        <is>
          <t>VTA</t>
        </is>
      </c>
      <c r="D528" t="n">
        <v>40</v>
      </c>
      <c r="E528">
        <f>IF(D3860&gt;0,VLOOKUP(OPERAC[[#This Row],[COD CART]],[1]!MatrizCortoLargoCyl[#All],3,0),"")</f>
        <v/>
      </c>
      <c r="F528" t="inlineStr">
        <is>
          <t>EDU</t>
        </is>
      </c>
      <c r="G528" t="n">
        <v>500</v>
      </c>
      <c r="H528">
        <f>-879.7875+0.026*OPERAC[[#This Row],[cantidad]]</f>
        <v/>
      </c>
      <c r="I528">
        <f>-H3860/G3860</f>
        <v/>
      </c>
      <c r="J528" s="16" t="n">
        <v>44615</v>
      </c>
      <c r="K528" t="n">
        <v>500</v>
      </c>
      <c r="L528">
        <f>+OPERAC[[#This Row],[cantidad venta]]*1.505</f>
        <v/>
      </c>
    </row>
    <row r="529">
      <c r="A529" t="n">
        <v>2218</v>
      </c>
      <c r="B529" s="16" t="n">
        <v>44523</v>
      </c>
      <c r="C529" t="inlineStr">
        <is>
          <t>VTA</t>
        </is>
      </c>
      <c r="D529" t="n">
        <v>32</v>
      </c>
      <c r="E529">
        <f>IF(D5246&gt;0,VLOOKUP(OPERAC[[#This Row],[COD CART]],[1]!MatrizCortoLargoCyl[#All],3,0),"")</f>
        <v/>
      </c>
      <c r="F529" t="inlineStr">
        <is>
          <t>TEVA/CYL/9,00/21-01-22</t>
        </is>
      </c>
      <c r="G529" t="n">
        <v>200</v>
      </c>
      <c r="H529">
        <f>-1710.6258+37.748</f>
        <v/>
      </c>
      <c r="I529">
        <f>-H5246/G5246</f>
        <v/>
      </c>
      <c r="J529" s="16" t="n">
        <v>44575</v>
      </c>
      <c r="K529" t="n">
        <v>200</v>
      </c>
      <c r="L529" t="n">
        <v>1765.831</v>
      </c>
    </row>
    <row r="530">
      <c r="A530" t="n">
        <v>2218</v>
      </c>
      <c r="B530" s="16" t="n">
        <v>44536</v>
      </c>
      <c r="C530" t="inlineStr">
        <is>
          <t>CPR</t>
        </is>
      </c>
      <c r="D530" t="n">
        <v>43</v>
      </c>
      <c r="E530">
        <f>IF(D2643&gt;0,VLOOKUP(OPERAC[[#This Row],[COD CART]],[1]!MatrizCortoLargoCyl[#All],3,0),"")</f>
        <v/>
      </c>
      <c r="F530" t="inlineStr">
        <is>
          <t>HEXO/CYL-PUT/1,00/20-01-23</t>
        </is>
      </c>
      <c r="G530" t="n">
        <v>2900</v>
      </c>
      <c r="H530">
        <f>-0.1671*OPERAC[[#This Row],[cantidad]]</f>
        <v/>
      </c>
      <c r="I530">
        <f>-H2643/G2643</f>
        <v/>
      </c>
      <c r="J530" s="16" t="n">
        <v>44687</v>
      </c>
      <c r="K530" t="n">
        <v>1000</v>
      </c>
      <c r="L530" t="n">
        <v>-536.75</v>
      </c>
    </row>
    <row r="531">
      <c r="A531" t="n">
        <v>2218</v>
      </c>
      <c r="B531" s="16" t="n">
        <v>44536</v>
      </c>
      <c r="C531" t="inlineStr">
        <is>
          <t>CPR</t>
        </is>
      </c>
      <c r="D531" t="n">
        <v>43</v>
      </c>
      <c r="E531">
        <f>IF(D3697&gt;0,VLOOKUP(OPERAC[[#This Row],[COD CART]],[1]!MatrizCortoLargoCyl[#All],3,0),"")</f>
        <v/>
      </c>
      <c r="F531" t="inlineStr">
        <is>
          <t>HEXO/CYL-PUT/1,00/20-01-23</t>
        </is>
      </c>
      <c r="G531" t="n">
        <v>5000</v>
      </c>
      <c r="H531">
        <f>-0.1671*OPERAC[[#This Row],[cantidad]]</f>
        <v/>
      </c>
      <c r="I531">
        <f>-H3697/G3697</f>
        <v/>
      </c>
    </row>
    <row r="532">
      <c r="A532" t="n">
        <v>2218</v>
      </c>
      <c r="B532" s="16" t="n">
        <v>44536</v>
      </c>
      <c r="C532" t="inlineStr">
        <is>
          <t>CPR</t>
        </is>
      </c>
      <c r="D532" t="n">
        <v>43</v>
      </c>
      <c r="E532">
        <f>IF(D4986&gt;0,VLOOKUP(OPERAC[[#This Row],[COD CART]],[1]!MatrizCortoLargoCyl[#All],3,0),"")</f>
        <v/>
      </c>
      <c r="F532" t="inlineStr">
        <is>
          <t>XSPA/CYL-PUT/1,50/20-01-23</t>
        </is>
      </c>
      <c r="G532" t="n">
        <v>3400</v>
      </c>
      <c r="H532">
        <f>-0.4462*OPERAC[[#This Row],[cantidad]]</f>
        <v/>
      </c>
      <c r="I532">
        <f>-H4986/G4986</f>
        <v/>
      </c>
    </row>
    <row r="533">
      <c r="A533" t="n">
        <v>2218</v>
      </c>
      <c r="B533" s="16" t="n">
        <v>44536</v>
      </c>
      <c r="C533" t="inlineStr">
        <is>
          <t>CPR</t>
        </is>
      </c>
      <c r="D533" t="n">
        <v>43</v>
      </c>
      <c r="E533">
        <f>IF(D5909&gt;0,VLOOKUP(OPERAC[[#This Row],[COD CART]],[1]!MatrizCortoLargoCyl[#All],3,0),"")</f>
        <v/>
      </c>
      <c r="F533" t="inlineStr">
        <is>
          <t>NNDM/CYL-PUT/2,50/19-01-24</t>
        </is>
      </c>
      <c r="G533" t="n">
        <v>2800</v>
      </c>
      <c r="H533">
        <f>-1.08*OPERAC[[#This Row],[cantidad]]</f>
        <v/>
      </c>
      <c r="I533">
        <f>-H5909/G5909</f>
        <v/>
      </c>
    </row>
    <row r="534">
      <c r="A534" t="n">
        <v>2218</v>
      </c>
      <c r="B534" s="16" t="n">
        <v>44536</v>
      </c>
      <c r="C534" t="inlineStr">
        <is>
          <t>VTA</t>
        </is>
      </c>
      <c r="D534" t="n">
        <v>43</v>
      </c>
      <c r="E534">
        <f>IF(D3960&gt;0,VLOOKUP(OPERAC[[#This Row],[COD CART]],[1]!MatrizCortoLargoCyl[#All],3,0),"")</f>
        <v/>
      </c>
      <c r="F534" t="inlineStr">
        <is>
          <t>XSPA/CYL-PUT/1,50/20-01-23</t>
        </is>
      </c>
      <c r="G534" t="n">
        <v>2000</v>
      </c>
      <c r="H534">
        <f>-0.4462*OPERAC[[#This Row],[cantidad]]</f>
        <v/>
      </c>
      <c r="I534">
        <f>-H3960/G3960</f>
        <v/>
      </c>
    </row>
    <row r="535">
      <c r="A535" t="n">
        <v>2218</v>
      </c>
      <c r="B535" s="16" t="n">
        <v>44536</v>
      </c>
      <c r="C535" t="inlineStr">
        <is>
          <t>VTA</t>
        </is>
      </c>
      <c r="D535" t="n">
        <v>43</v>
      </c>
      <c r="E535">
        <f>IF(D5595&gt;0,VLOOKUP(OPERAC[[#This Row],[COD CART]],[1]!MatrizCortoLargoCyl[#All],3,0),"")</f>
        <v/>
      </c>
      <c r="F535" t="inlineStr">
        <is>
          <t>NNDM/CYL-PUT/2,50/19-01-24</t>
        </is>
      </c>
      <c r="G535" t="n">
        <v>2000</v>
      </c>
      <c r="H535">
        <f>-1.08*OPERAC[[#This Row],[cantidad]]</f>
        <v/>
      </c>
      <c r="I535">
        <f>-H5595/G5595</f>
        <v/>
      </c>
    </row>
    <row r="536">
      <c r="A536" t="n">
        <v>2218</v>
      </c>
      <c r="B536" s="16" t="n">
        <v>44538</v>
      </c>
      <c r="C536" t="inlineStr">
        <is>
          <t>CPR</t>
        </is>
      </c>
      <c r="D536" t="n">
        <v>40</v>
      </c>
      <c r="E536">
        <f>IF(D6225&gt;0,VLOOKUP(OPERAC[[#This Row],[COD CART]],[1]!MatrizCortoLargoCyl[#All],3,0),"")</f>
        <v/>
      </c>
      <c r="F536" t="inlineStr">
        <is>
          <t>MELI</t>
        </is>
      </c>
      <c r="G536" t="n">
        <v>5</v>
      </c>
      <c r="H536" t="n">
        <v>-6048.5</v>
      </c>
      <c r="I536">
        <f>-H6225/G6225</f>
        <v/>
      </c>
      <c r="J536" s="16" t="n">
        <v>44606</v>
      </c>
      <c r="K536" t="n">
        <v>5</v>
      </c>
      <c r="L536" t="n">
        <v>5416.85</v>
      </c>
    </row>
    <row r="537">
      <c r="A537" t="n">
        <v>2218</v>
      </c>
      <c r="B537" s="16" t="n">
        <v>44539</v>
      </c>
      <c r="C537" t="inlineStr">
        <is>
          <t>CPR</t>
        </is>
      </c>
      <c r="D537" t="n">
        <v>40</v>
      </c>
      <c r="E537">
        <f>IF(D6242&gt;0,VLOOKUP(OPERAC[[#This Row],[COD CART]],[1]!MatrizCortoLargoCyl[#All],3,0),"")</f>
        <v/>
      </c>
      <c r="F537" t="inlineStr">
        <is>
          <t>ROKU</t>
        </is>
      </c>
      <c r="G537" t="n">
        <v>25</v>
      </c>
      <c r="H537" t="n">
        <v>-6443.009</v>
      </c>
      <c r="I537">
        <f>-H6242/G6242</f>
        <v/>
      </c>
      <c r="J537" s="16" t="n">
        <v>44606</v>
      </c>
      <c r="K537" t="n">
        <v>25</v>
      </c>
      <c r="L537" t="n">
        <v>4050.846</v>
      </c>
    </row>
    <row r="538">
      <c r="A538" t="n">
        <v>2218</v>
      </c>
      <c r="B538" s="16" t="n">
        <v>44547</v>
      </c>
      <c r="C538" t="inlineStr">
        <is>
          <t>CPR</t>
        </is>
      </c>
      <c r="D538" t="n">
        <v>32</v>
      </c>
      <c r="E538">
        <f>IF(D4394&gt;0,VLOOKUP(OPERAC[[#This Row],[COD CART]],[1]!MatrizCortoLargoCyl[#All],3,0),"")</f>
        <v/>
      </c>
      <c r="F538" t="inlineStr">
        <is>
          <t>HIMX/CYL/12,00/21-01-22</t>
        </is>
      </c>
      <c r="G538" t="n">
        <v>100</v>
      </c>
      <c r="H538" t="n">
        <v>-1100.5788</v>
      </c>
      <c r="I538">
        <f>-H4394/G4394</f>
        <v/>
      </c>
      <c r="J538" s="16" t="n">
        <v>44575</v>
      </c>
      <c r="K538" t="n">
        <v>100</v>
      </c>
      <c r="L538" t="n">
        <v>1170.618</v>
      </c>
    </row>
    <row r="539">
      <c r="A539" t="n">
        <v>2218</v>
      </c>
      <c r="B539" s="16" t="n">
        <v>44547</v>
      </c>
      <c r="C539" t="inlineStr">
        <is>
          <t>VTA</t>
        </is>
      </c>
      <c r="D539" t="n">
        <v>32</v>
      </c>
      <c r="E539">
        <f>IF(D5259&gt;0,VLOOKUP(OPERAC[[#This Row],[COD CART]],[1]!MatrizCortoLargoCyl[#All],3,0),"")</f>
        <v/>
      </c>
      <c r="F539" t="inlineStr">
        <is>
          <t>ARLO/CYL/9,00/18-02-22</t>
        </is>
      </c>
      <c r="G539" t="n">
        <v>200</v>
      </c>
      <c r="H539">
        <f>-1723.08+29.97</f>
        <v/>
      </c>
      <c r="I539">
        <f>-H5259/G5259</f>
        <v/>
      </c>
      <c r="J539" s="16" t="n">
        <v>44607</v>
      </c>
      <c r="K539" t="n">
        <v>200</v>
      </c>
      <c r="L539" t="n">
        <v>1751.065</v>
      </c>
    </row>
    <row r="540">
      <c r="A540" t="n">
        <v>2218</v>
      </c>
      <c r="B540" s="16" t="n">
        <v>44550</v>
      </c>
      <c r="C540" t="inlineStr">
        <is>
          <t>CPR</t>
        </is>
      </c>
      <c r="D540" t="n">
        <v>40</v>
      </c>
      <c r="E540">
        <f>IF(D5860&gt;0,VLOOKUP(OPERAC[[#This Row],[COD CART]],[1]!MatrizCortoLargoCyl[#All],3,0),"")</f>
        <v/>
      </c>
      <c r="F540" t="inlineStr">
        <is>
          <t>SMH</t>
        </is>
      </c>
      <c r="G540" t="n">
        <v>10</v>
      </c>
      <c r="H540" t="n">
        <v>-2928.0652</v>
      </c>
      <c r="I540">
        <f>-H5860/G5860</f>
        <v/>
      </c>
      <c r="J540" s="16" t="n">
        <v>44574</v>
      </c>
      <c r="K540">
        <f>+OPERAC[[#This Row],[cantidad]]</f>
        <v/>
      </c>
      <c r="L540">
        <f>+OPERAC[[#This Row],[cantidad venta]]*306.843</f>
        <v/>
      </c>
    </row>
    <row r="541">
      <c r="A541" t="n">
        <v>2218</v>
      </c>
      <c r="B541" s="16" t="n">
        <v>44551</v>
      </c>
      <c r="C541" t="inlineStr">
        <is>
          <t>CPR</t>
        </is>
      </c>
      <c r="D541" t="n">
        <v>40</v>
      </c>
      <c r="E541">
        <f>IF(D4974&gt;0,VLOOKUP(OPERAC[[#This Row],[COD CART]],[1]!MatrizCortoLargoCyl[#All],3,0),"")</f>
        <v/>
      </c>
      <c r="F541" t="inlineStr">
        <is>
          <t>EDIT</t>
        </is>
      </c>
      <c r="G541" t="n">
        <v>50</v>
      </c>
      <c r="H541" t="n">
        <v>-1516.765</v>
      </c>
      <c r="I541">
        <f>-H4974/G4974</f>
        <v/>
      </c>
      <c r="J541" s="16" t="n">
        <v>44606</v>
      </c>
      <c r="K541" t="n">
        <v>50</v>
      </c>
      <c r="L541" t="n">
        <v>808.929</v>
      </c>
    </row>
    <row r="542">
      <c r="A542" t="n">
        <v>2218</v>
      </c>
      <c r="B542" s="16" t="n">
        <v>44553</v>
      </c>
      <c r="C542" t="inlineStr">
        <is>
          <t>VTA</t>
        </is>
      </c>
      <c r="D542" t="n">
        <v>40</v>
      </c>
      <c r="E542">
        <f>IF(D2563&gt;0,VLOOKUP(OPERAC[[#This Row],[COD CART]],[1]!MatrizCortoLargoCyl[#All],3,0),"")</f>
        <v/>
      </c>
      <c r="F542" t="inlineStr">
        <is>
          <t>ON</t>
        </is>
      </c>
      <c r="G542" t="n">
        <v>7</v>
      </c>
      <c r="H542" t="n">
        <v>-466.5330319999999</v>
      </c>
      <c r="I542">
        <f>-H2563/G2563</f>
        <v/>
      </c>
      <c r="J542" s="16" t="n">
        <v>44606</v>
      </c>
      <c r="K542">
        <f>+OPERAC[[#This Row],[cantidad]]</f>
        <v/>
      </c>
      <c r="L542">
        <f>+OPERAC[[#This Row],[cantidad venta]]*58.449</f>
        <v/>
      </c>
    </row>
    <row r="543">
      <c r="A543" t="n">
        <v>2218</v>
      </c>
      <c r="B543" s="16" t="n">
        <v>44557</v>
      </c>
      <c r="C543" t="inlineStr">
        <is>
          <t>CPR</t>
        </is>
      </c>
      <c r="D543" t="n">
        <v>40</v>
      </c>
      <c r="E543">
        <f>IF(D3525&gt;0,VLOOKUP(OPERAC[[#This Row],[COD CART]],[1]!MatrizCortoLargoCyl[#All],3,0),"")</f>
        <v/>
      </c>
      <c r="F543" t="inlineStr">
        <is>
          <t>TLRY</t>
        </is>
      </c>
      <c r="G543" t="n">
        <v>100</v>
      </c>
      <c r="H543" t="n">
        <v>-766.265</v>
      </c>
      <c r="I543">
        <f>-H3525/G3525</f>
        <v/>
      </c>
      <c r="J543" s="16" t="n">
        <v>44585</v>
      </c>
      <c r="K543">
        <f>+OPERAC[[#This Row],[cantidad]]</f>
        <v/>
      </c>
      <c r="L543">
        <f>+OPERAC[[#This Row],[cantidad venta]]*5.263</f>
        <v/>
      </c>
    </row>
    <row r="544">
      <c r="A544" t="n">
        <v>2218</v>
      </c>
      <c r="B544" s="16" t="n">
        <v>44558</v>
      </c>
      <c r="C544" t="inlineStr">
        <is>
          <t>CPR</t>
        </is>
      </c>
      <c r="D544" t="n">
        <v>40</v>
      </c>
      <c r="E544">
        <f>IF(D5898&gt;0,VLOOKUP(OPERAC[[#This Row],[COD CART]],[1]!MatrizCortoLargoCyl[#All],3,0),"")</f>
        <v/>
      </c>
      <c r="F544" t="inlineStr">
        <is>
          <t>UPST</t>
        </is>
      </c>
      <c r="G544" t="n">
        <v>20</v>
      </c>
      <c r="H544" t="n">
        <v>-2991.088</v>
      </c>
      <c r="I544">
        <f>-H5898/G5898</f>
        <v/>
      </c>
      <c r="J544" s="16" t="n">
        <v>44606</v>
      </c>
      <c r="K544">
        <f>+OPERAC[[#This Row],[cantidad]]</f>
        <v/>
      </c>
      <c r="L544">
        <f>+OPERAC[[#This Row],[cantidad venta]]*98.994</f>
        <v/>
      </c>
    </row>
    <row r="545">
      <c r="A545" t="n">
        <v>2218</v>
      </c>
      <c r="B545" s="16" t="n">
        <v>44571</v>
      </c>
      <c r="C545" t="inlineStr">
        <is>
          <t>VTA</t>
        </is>
      </c>
      <c r="D545" t="n">
        <v>39</v>
      </c>
      <c r="E545">
        <f>IF(D180&gt;0,VLOOKUP(OPERAC[[#This Row],[COD CART]],[1]!MatrizCortoLargoCyl[#All],3,0),"")</f>
        <v/>
      </c>
      <c r="F545" t="inlineStr">
        <is>
          <t>MELI/V/850,00/14-01-22</t>
        </is>
      </c>
      <c r="G545" t="n">
        <v>-500</v>
      </c>
      <c r="H545" t="n">
        <v>2247.75</v>
      </c>
      <c r="I545">
        <f>-H180/G180</f>
        <v/>
      </c>
      <c r="J545" s="16" t="n">
        <v>44575</v>
      </c>
      <c r="K545" t="n">
        <v>-500</v>
      </c>
      <c r="L545" t="n">
        <v>0</v>
      </c>
    </row>
    <row r="546">
      <c r="A546" t="n">
        <v>2218</v>
      </c>
      <c r="B546" s="16" t="n">
        <v>44572</v>
      </c>
      <c r="C546" t="inlineStr">
        <is>
          <t>VTA</t>
        </is>
      </c>
      <c r="D546" t="n">
        <v>39</v>
      </c>
      <c r="E546">
        <f>IF(D42&gt;0,VLOOKUP(OPERAC[[#This Row],[COD CART]],[1]!MatrizCortoLargoCyl[#All],3,0),"")</f>
        <v/>
      </c>
      <c r="F546" t="inlineStr">
        <is>
          <t>TLRY/V/9,00/17-06-22</t>
        </is>
      </c>
      <c r="G546" t="n">
        <v>-2000</v>
      </c>
      <c r="H546" t="n">
        <v>5540.44</v>
      </c>
      <c r="I546">
        <f>-H42/G42</f>
        <v/>
      </c>
      <c r="J546" s="16" t="n">
        <v>44627</v>
      </c>
      <c r="K546" t="n">
        <v>-2000</v>
      </c>
      <c r="L546" t="n">
        <v>-8408.360000000001</v>
      </c>
    </row>
    <row r="547">
      <c r="A547" t="n">
        <v>2218</v>
      </c>
      <c r="B547" s="16" t="n">
        <v>44574</v>
      </c>
      <c r="C547" t="inlineStr">
        <is>
          <t>VTA</t>
        </is>
      </c>
      <c r="D547" t="n">
        <v>39</v>
      </c>
      <c r="E547">
        <f>IF(D5408&gt;0,VLOOKUP(OPERAC[[#This Row],[COD CART]],[1]!MatrizCortoLargoCyl[#All],3,0),"")</f>
        <v/>
      </c>
      <c r="F547" t="inlineStr">
        <is>
          <t>BABA/BULL/120,0-135,0/20-05-22</t>
        </is>
      </c>
      <c r="G547" t="n">
        <v>200</v>
      </c>
      <c r="H547" t="n">
        <v>-1836.53</v>
      </c>
      <c r="I547">
        <f>-H5408/G5408</f>
        <v/>
      </c>
      <c r="J547" s="16" t="n">
        <v>44701</v>
      </c>
      <c r="K547">
        <f>+OPERAC[[#This Row],[cantidad]]</f>
        <v/>
      </c>
      <c r="L547" t="n">
        <v>0</v>
      </c>
    </row>
    <row r="548">
      <c r="A548" t="n">
        <v>2218</v>
      </c>
      <c r="B548" s="16" t="n">
        <v>44575</v>
      </c>
      <c r="C548" t="inlineStr">
        <is>
          <t>CPR</t>
        </is>
      </c>
      <c r="D548" t="n">
        <v>40</v>
      </c>
      <c r="E548">
        <f>IF(D4007&gt;0,VLOOKUP(OPERAC[[#This Row],[COD CART]],[1]!MatrizCortoLargoCyl[#All],3,0),"")</f>
        <v/>
      </c>
      <c r="F548" t="inlineStr">
        <is>
          <t>GBTC</t>
        </is>
      </c>
      <c r="G548" t="n">
        <v>30</v>
      </c>
      <c r="H548" t="n">
        <v>-917.8667999999999</v>
      </c>
      <c r="I548">
        <f>-H4007/G4007</f>
        <v/>
      </c>
      <c r="J548" s="16" t="n">
        <v>44651</v>
      </c>
      <c r="K548">
        <f>+OPERAC[[#This Row],[cantidad]]</f>
        <v/>
      </c>
      <c r="L548">
        <f>+OPERAC[[#This Row],[cantidad venta]]*31.332</f>
        <v/>
      </c>
    </row>
    <row r="549">
      <c r="A549" t="n">
        <v>2218</v>
      </c>
      <c r="B549" s="16" t="n">
        <v>44579</v>
      </c>
      <c r="C549" t="inlineStr">
        <is>
          <t>VTA</t>
        </is>
      </c>
      <c r="D549" t="n">
        <v>39</v>
      </c>
      <c r="E549">
        <f>IF(D1096&gt;0,VLOOKUP(OPERAC[[#This Row],[COD CART]],[1]!MatrizCortoLargoCyl[#All],3,0),"")</f>
        <v/>
      </c>
      <c r="F549" t="inlineStr">
        <is>
          <t>YPF/V/5,00/15-07-22</t>
        </is>
      </c>
      <c r="G549" t="n">
        <v>-23</v>
      </c>
      <c r="H549" t="n">
        <v>25.1298</v>
      </c>
      <c r="I549">
        <f>-H1096/G1096</f>
        <v/>
      </c>
    </row>
    <row r="550">
      <c r="A550" t="n">
        <v>2218</v>
      </c>
      <c r="B550" s="16" t="n">
        <v>44581</v>
      </c>
      <c r="C550" t="inlineStr">
        <is>
          <t>CPR</t>
        </is>
      </c>
      <c r="D550" t="n">
        <v>32</v>
      </c>
      <c r="E550">
        <f>IF(D6068&gt;0,VLOOKUP(OPERAC[[#This Row],[COD CART]],[1]!MatrizCortoLargoCyl[#All],3,0),"")</f>
        <v/>
      </c>
      <c r="F550" t="inlineStr">
        <is>
          <t>HMY/CYL/4,00/18-02-22</t>
        </is>
      </c>
      <c r="G550" t="n">
        <v>1000</v>
      </c>
      <c r="H550" t="n">
        <v>-3842.995370000001</v>
      </c>
      <c r="I550">
        <f>-H6068/G6068</f>
        <v/>
      </c>
      <c r="J550" s="16" t="n">
        <v>44610</v>
      </c>
      <c r="K550">
        <f>+OPERAC[[#This Row],[cantidad]]</f>
        <v/>
      </c>
      <c r="L550">
        <f>+OPERAC[[#This Row],[cantidad venta]]*3.8323</f>
        <v/>
      </c>
    </row>
    <row r="551">
      <c r="A551" t="n">
        <v>2218</v>
      </c>
      <c r="B551" s="16" t="n">
        <v>44581</v>
      </c>
      <c r="C551" t="inlineStr">
        <is>
          <t>VTA</t>
        </is>
      </c>
      <c r="D551" t="n">
        <v>39</v>
      </c>
      <c r="E551">
        <f>IF(D600&gt;0,VLOOKUP(OPERAC[[#This Row],[COD CART]],[1]!MatrizCortoLargoCyl[#All],3,0),"")</f>
        <v/>
      </c>
      <c r="F551" t="inlineStr">
        <is>
          <t>ACB/V/6,00/18-02-22</t>
        </is>
      </c>
      <c r="G551" t="n">
        <v>-500</v>
      </c>
      <c r="H551" t="n">
        <v>609.0625</v>
      </c>
      <c r="I551">
        <f>-H600/G600</f>
        <v/>
      </c>
      <c r="J551" s="16" t="n">
        <v>44601</v>
      </c>
      <c r="K551" t="n">
        <v>-500</v>
      </c>
      <c r="L551">
        <f>1.21*OPERAC[[#This Row],[cantidad venta]]</f>
        <v/>
      </c>
    </row>
    <row r="552">
      <c r="A552" t="n">
        <v>2218</v>
      </c>
      <c r="B552" s="16" t="n">
        <v>44582</v>
      </c>
      <c r="C552" t="inlineStr">
        <is>
          <t>CPR</t>
        </is>
      </c>
      <c r="D552" t="n">
        <v>40</v>
      </c>
      <c r="E552">
        <f>IF(D6063&gt;0,VLOOKUP(OPERAC[[#This Row],[COD CART]],[1]!MatrizCortoLargoCyl[#All],3,0),"")</f>
        <v/>
      </c>
      <c r="F552" t="inlineStr">
        <is>
          <t>NFLX</t>
        </is>
      </c>
      <c r="G552" t="n">
        <v>10</v>
      </c>
      <c r="H552" t="n">
        <v>-3833.6067</v>
      </c>
      <c r="I552">
        <f>-H6063/G6063</f>
        <v/>
      </c>
      <c r="J552" s="16" t="n">
        <v>44593</v>
      </c>
      <c r="K552">
        <f>+OPERAC[[#This Row],[cantidad]]</f>
        <v/>
      </c>
      <c r="L552">
        <f>+OPERAC[[#This Row],[cantidad venta]]*448.602</f>
        <v/>
      </c>
    </row>
    <row r="553">
      <c r="A553" t="n">
        <v>2218</v>
      </c>
      <c r="B553" s="16" t="n">
        <v>44585</v>
      </c>
      <c r="C553" t="inlineStr">
        <is>
          <t>VTA</t>
        </is>
      </c>
      <c r="D553" t="n">
        <v>39</v>
      </c>
      <c r="E553">
        <f>IF(D841&gt;0,VLOOKUP(OPERAC[[#This Row],[COD CART]],[1]!MatrizCortoLargoCyl[#All],3,0),"")</f>
        <v/>
      </c>
      <c r="F553" t="inlineStr">
        <is>
          <t>TSLA/C/1200,00/28-01-22</t>
        </is>
      </c>
      <c r="G553" t="n">
        <v>-200</v>
      </c>
      <c r="H553" t="n">
        <v>203.268</v>
      </c>
      <c r="I553">
        <f>-H841/G841</f>
        <v/>
      </c>
      <c r="J553" s="16" t="n">
        <v>44589</v>
      </c>
      <c r="K553" t="n">
        <v>-200</v>
      </c>
      <c r="L553" t="n">
        <v>0</v>
      </c>
    </row>
    <row r="554">
      <c r="A554" t="n">
        <v>2218</v>
      </c>
      <c r="B554" s="16" t="n">
        <v>44587</v>
      </c>
      <c r="C554" t="inlineStr">
        <is>
          <t>VTA</t>
        </is>
      </c>
      <c r="D554" t="n">
        <v>40</v>
      </c>
      <c r="E554">
        <f>IF(D1955&gt;0,VLOOKUP(OPERAC[[#This Row],[COD CART]],[1]!MatrizCortoLargoCyl[#All],3,0),"")</f>
        <v/>
      </c>
      <c r="F554" t="inlineStr">
        <is>
          <t>MSFT</t>
        </is>
      </c>
      <c r="G554" t="n">
        <v>1</v>
      </c>
      <c r="H554" t="n">
        <v>-301.30433</v>
      </c>
      <c r="I554">
        <f>-H1955/G1955</f>
        <v/>
      </c>
      <c r="J554" s="16" t="n">
        <v>44606</v>
      </c>
      <c r="K554">
        <f>+OPERAC[[#This Row],[cantidad]]</f>
        <v/>
      </c>
      <c r="L554">
        <f>+OPERAC[[#This Row],[cantidad venta]]*290.091</f>
        <v/>
      </c>
    </row>
    <row r="555">
      <c r="A555" t="n">
        <v>2218</v>
      </c>
      <c r="B555" s="16" t="n">
        <v>44594</v>
      </c>
      <c r="C555" t="inlineStr">
        <is>
          <t>CPR</t>
        </is>
      </c>
      <c r="D555" t="n">
        <v>40</v>
      </c>
      <c r="E555">
        <f>IF(D6090&gt;0,VLOOKUP(OPERAC[[#This Row],[COD CART]],[1]!MatrizCortoLargoCyl[#All],3,0),"")</f>
        <v/>
      </c>
      <c r="F555" t="inlineStr">
        <is>
          <t>EDU</t>
        </is>
      </c>
      <c r="G555" t="n">
        <v>2000</v>
      </c>
      <c r="H555" t="n">
        <v>-4004</v>
      </c>
      <c r="I555">
        <f>-H6090/G6090</f>
        <v/>
      </c>
      <c r="J555" s="16" t="n">
        <v>44606</v>
      </c>
      <c r="K555" t="n">
        <v>2000</v>
      </c>
      <c r="L555" t="n">
        <v>2966.747</v>
      </c>
    </row>
    <row r="556">
      <c r="A556" t="n">
        <v>2218</v>
      </c>
      <c r="B556" s="16" t="n">
        <v>44599</v>
      </c>
      <c r="C556" t="inlineStr">
        <is>
          <t>CPR</t>
        </is>
      </c>
      <c r="D556" t="n">
        <v>40</v>
      </c>
      <c r="E556">
        <f>IF(D3391&gt;0,VLOOKUP(OPERAC[[#This Row],[COD CART]],[1]!MatrizCortoLargoCyl[#All],3,0),"")</f>
        <v/>
      </c>
      <c r="F556" t="inlineStr">
        <is>
          <t>FB</t>
        </is>
      </c>
      <c r="G556" t="n">
        <v>3</v>
      </c>
      <c r="H556" t="n">
        <v>-715.38</v>
      </c>
      <c r="I556">
        <f>-H3391/G3391</f>
        <v/>
      </c>
      <c r="J556" s="16" t="n">
        <v>44616</v>
      </c>
      <c r="K556">
        <f>+OPERAC[[#This Row],[cantidad]]</f>
        <v/>
      </c>
      <c r="L556">
        <f>200.299*OPERAC[[#This Row],[cantidad venta]]</f>
        <v/>
      </c>
    </row>
    <row r="557">
      <c r="A557" t="n">
        <v>2218</v>
      </c>
      <c r="B557" s="16" t="n">
        <v>44601</v>
      </c>
      <c r="C557" t="inlineStr">
        <is>
          <t>VTA</t>
        </is>
      </c>
      <c r="D557" t="n">
        <v>39</v>
      </c>
      <c r="E557">
        <f>IF(D1195&gt;0,VLOOKUP(OPERAC[[#This Row],[COD CART]],[1]!MatrizCortoLargoCyl[#All],3,0),"")</f>
        <v/>
      </c>
      <c r="F557" t="inlineStr">
        <is>
          <t>ACB/V/5,00/16-09-22</t>
        </is>
      </c>
      <c r="G557" t="n">
        <v>-6</v>
      </c>
      <c r="H557">
        <f>-1.56*OPERAC[[#This Row],[cantidad]]</f>
        <v/>
      </c>
      <c r="I557">
        <f>-H1195/G1195</f>
        <v/>
      </c>
      <c r="J557" s="16" t="n">
        <v>44627</v>
      </c>
      <c r="K557" t="n">
        <v>-6</v>
      </c>
      <c r="L557" t="n">
        <v>-13.35</v>
      </c>
    </row>
    <row r="558">
      <c r="A558" t="n">
        <v>2218</v>
      </c>
      <c r="B558" s="16" t="n">
        <v>44607</v>
      </c>
      <c r="C558" t="inlineStr">
        <is>
          <t>CPR</t>
        </is>
      </c>
      <c r="D558" t="n">
        <v>32</v>
      </c>
      <c r="E558">
        <f>IF(D6258&gt;0,VLOOKUP(OPERAC[[#This Row],[COD CART]],[1]!MatrizCortoLargoCyl[#All],3,0),"")</f>
        <v/>
      </c>
      <c r="F558" t="inlineStr">
        <is>
          <t>UPST/CYL/80,00/18-03-22</t>
        </is>
      </c>
      <c r="G558" t="n">
        <v>100</v>
      </c>
      <c r="H558" t="n">
        <v>-7469.822770000001</v>
      </c>
      <c r="I558">
        <f>-H6258/G6258</f>
        <v/>
      </c>
      <c r="J558" s="16" t="n">
        <v>44608</v>
      </c>
      <c r="K558" t="n">
        <v>100</v>
      </c>
      <c r="L558" t="n">
        <v>7956.448</v>
      </c>
    </row>
    <row r="559">
      <c r="A559" t="n">
        <v>2218</v>
      </c>
      <c r="B559" s="16" t="n">
        <v>44607</v>
      </c>
      <c r="C559" t="inlineStr">
        <is>
          <t>VTA</t>
        </is>
      </c>
      <c r="D559" t="n">
        <v>32</v>
      </c>
      <c r="E559">
        <f>IF(D5211&gt;0,VLOOKUP(OPERAC[[#This Row],[COD CART]],[1]!MatrizCortoLargoCyl[#All],3,0),"")</f>
        <v/>
      </c>
      <c r="F559" t="inlineStr">
        <is>
          <t>F/CYL/17,00/18-03-22</t>
        </is>
      </c>
      <c r="G559" t="n">
        <v>100</v>
      </c>
      <c r="H559" t="n">
        <v>-1658.76</v>
      </c>
      <c r="I559">
        <f>-H5211/G5211</f>
        <v/>
      </c>
      <c r="J559" s="16" t="n">
        <v>44638</v>
      </c>
      <c r="K559">
        <f>+OPERAC[[#This Row],[cantidad]]</f>
        <v/>
      </c>
      <c r="L559">
        <f>+OPERAC[[#This Row],[cantidad venta]]*16.75</f>
        <v/>
      </c>
    </row>
    <row r="560">
      <c r="A560" t="n">
        <v>2218</v>
      </c>
      <c r="B560" s="16" t="n">
        <v>44607</v>
      </c>
      <c r="C560" t="inlineStr">
        <is>
          <t>VTA</t>
        </is>
      </c>
      <c r="D560" t="n">
        <v>32</v>
      </c>
      <c r="E560">
        <f>IF(D5306&gt;0,VLOOKUP(OPERAC[[#This Row],[COD CART]],[1]!MatrizCortoLargoCyl[#All],3,0),"")</f>
        <v/>
      </c>
      <c r="F560" t="inlineStr">
        <is>
          <t>F</t>
        </is>
      </c>
      <c r="G560" t="n">
        <v>100</v>
      </c>
      <c r="H560" t="n">
        <v>-1719.296</v>
      </c>
      <c r="I560">
        <f>-H5306/G5306</f>
        <v/>
      </c>
      <c r="J560" s="16" t="n">
        <v>44649</v>
      </c>
      <c r="K560" t="n">
        <v>100</v>
      </c>
      <c r="L560">
        <f>17.636*OPERAC[[#This Row],[cantidad venta]]</f>
        <v/>
      </c>
    </row>
    <row r="561">
      <c r="A561" t="n">
        <v>2218</v>
      </c>
      <c r="B561" s="16" t="n">
        <v>44608</v>
      </c>
      <c r="C561" t="inlineStr">
        <is>
          <t>CPR</t>
        </is>
      </c>
      <c r="D561" t="n">
        <v>40</v>
      </c>
      <c r="E561">
        <f>IF(D4673&gt;0,VLOOKUP(OPERAC[[#This Row],[COD CART]],[1]!MatrizCortoLargoCyl[#All],3,0),"")</f>
        <v/>
      </c>
      <c r="F561" t="inlineStr">
        <is>
          <t>NVDA</t>
        </is>
      </c>
      <c r="G561" t="n">
        <v>5</v>
      </c>
      <c r="H561" t="n">
        <v>-1305.8295</v>
      </c>
      <c r="I561">
        <f>-H4673/G4673</f>
        <v/>
      </c>
      <c r="J561" s="16" t="n">
        <v>44616</v>
      </c>
      <c r="K561">
        <f>+OPERAC[[#This Row],[cantidad]]</f>
        <v/>
      </c>
      <c r="L561">
        <f>+OPERAC[[#This Row],[cantidad venta]]*224.117</f>
        <v/>
      </c>
    </row>
    <row r="562">
      <c r="A562" t="n">
        <v>2218</v>
      </c>
      <c r="B562" s="16" t="n">
        <v>44608</v>
      </c>
      <c r="C562" t="inlineStr">
        <is>
          <t>CPR</t>
        </is>
      </c>
      <c r="D562" t="n">
        <v>32</v>
      </c>
      <c r="E562">
        <f>IF(D5843&gt;0,VLOOKUP(OPERAC[[#This Row],[COD CART]],[1]!MatrizCortoLargoCyl[#All],3,0),"")</f>
        <v/>
      </c>
      <c r="F562" t="inlineStr">
        <is>
          <t>SPWR/CYL/15,00/18-03-22</t>
        </is>
      </c>
      <c r="G562" t="n">
        <v>200</v>
      </c>
      <c r="H562" t="n">
        <v>-2856.653</v>
      </c>
      <c r="I562">
        <f>-H5843/G5843</f>
        <v/>
      </c>
      <c r="J562" s="16" t="n">
        <v>44628</v>
      </c>
      <c r="K562" t="n">
        <v>200</v>
      </c>
      <c r="L562" t="n">
        <v>3008.55</v>
      </c>
    </row>
    <row r="563">
      <c r="A563" t="n">
        <v>2218</v>
      </c>
      <c r="B563" s="16" t="n">
        <v>44608</v>
      </c>
      <c r="C563" t="inlineStr">
        <is>
          <t>CPR</t>
        </is>
      </c>
      <c r="D563" t="n">
        <v>32</v>
      </c>
      <c r="E563">
        <f>IF(D5956&gt;0,VLOOKUP(OPERAC[[#This Row],[COD CART]],[1]!MatrizCortoLargoCyl[#All],3,0),"")</f>
        <v/>
      </c>
      <c r="F563" t="inlineStr">
        <is>
          <t>DDD/CYL/17,00/01-04-22</t>
        </is>
      </c>
      <c r="G563" t="n">
        <v>200</v>
      </c>
      <c r="H563">
        <f>-3228.0126+39.75+32.9</f>
        <v/>
      </c>
      <c r="I563">
        <f>-H5956/G5956</f>
        <v/>
      </c>
      <c r="J563" s="16" t="n">
        <v>44649</v>
      </c>
      <c r="K563" t="n">
        <v>200</v>
      </c>
      <c r="L563" t="n">
        <v>3323.96</v>
      </c>
    </row>
    <row r="564">
      <c r="A564" t="n">
        <v>2218</v>
      </c>
      <c r="B564" s="16" t="n">
        <v>44609</v>
      </c>
      <c r="C564" t="inlineStr">
        <is>
          <t>CPR</t>
        </is>
      </c>
      <c r="D564" t="n">
        <v>32</v>
      </c>
      <c r="E564">
        <f>IF(D6247&gt;0,VLOOKUP(OPERAC[[#This Row],[COD CART]],[1]!MatrizCortoLargoCyl[#All],3,0),"")</f>
        <v/>
      </c>
      <c r="F564" t="inlineStr">
        <is>
          <t>F</t>
        </is>
      </c>
      <c r="G564" t="n">
        <v>400</v>
      </c>
      <c r="H564" t="n">
        <v>-6809.1788</v>
      </c>
      <c r="I564">
        <f>-H6247/G6247</f>
        <v/>
      </c>
      <c r="J564" s="16" t="n">
        <v>44642</v>
      </c>
      <c r="K564">
        <f>200+200</f>
        <v/>
      </c>
      <c r="L564">
        <f>3375.576+3541.41</f>
        <v/>
      </c>
    </row>
    <row r="565">
      <c r="A565" t="n">
        <v>2218</v>
      </c>
      <c r="B565" s="16" t="n">
        <v>44614</v>
      </c>
      <c r="C565" t="inlineStr">
        <is>
          <t>VTA</t>
        </is>
      </c>
      <c r="D565" t="n">
        <v>39</v>
      </c>
      <c r="E565">
        <f>IF(D896&gt;0,VLOOKUP(OPERAC[[#This Row],[COD CART]],[1]!MatrizCortoLargoCyl[#All],3,0),"")</f>
        <v/>
      </c>
      <c r="F565" t="inlineStr">
        <is>
          <t>ROKU/V/75,00/19-01-24</t>
        </is>
      </c>
      <c r="G565" t="n">
        <v>-10</v>
      </c>
      <c r="H565" t="n">
        <v>164.79</v>
      </c>
      <c r="I565">
        <f>-H896/G896</f>
        <v/>
      </c>
      <c r="J565" s="16" t="n">
        <v>44678</v>
      </c>
      <c r="K565" t="n">
        <v>-10</v>
      </c>
      <c r="L565" t="n">
        <v>-230.23</v>
      </c>
    </row>
    <row r="566">
      <c r="A566" t="n">
        <v>2218</v>
      </c>
      <c r="B566" s="16" t="n">
        <v>44614</v>
      </c>
      <c r="C566" t="inlineStr">
        <is>
          <t>VTA</t>
        </is>
      </c>
      <c r="D566" t="n">
        <v>39</v>
      </c>
      <c r="E566">
        <f>IF(D915&gt;0,VLOOKUP(OPERAC[[#This Row],[COD CART]],[1]!MatrizCortoLargoCyl[#All],3,0),"")</f>
        <v/>
      </c>
      <c r="F566" t="inlineStr">
        <is>
          <t>MELI/V/540,00/20-01-23</t>
        </is>
      </c>
      <c r="G566" t="n">
        <v>-3</v>
      </c>
      <c r="H566" t="n">
        <v>131.84</v>
      </c>
      <c r="I566">
        <f>-H915/G915</f>
        <v/>
      </c>
    </row>
    <row r="567">
      <c r="A567" t="n">
        <v>2218</v>
      </c>
      <c r="B567" s="16" t="n">
        <v>44614</v>
      </c>
      <c r="C567" t="inlineStr">
        <is>
          <t>VTA</t>
        </is>
      </c>
      <c r="D567" t="n">
        <v>39</v>
      </c>
      <c r="E567">
        <f>IF(D922&gt;0,VLOOKUP(OPERAC[[#This Row],[COD CART]],[1]!MatrizCortoLargoCyl[#All],3,0),"")</f>
        <v/>
      </c>
      <c r="F567" t="inlineStr">
        <is>
          <t>NFLX/V/250,00/20-01-23</t>
        </is>
      </c>
      <c r="G567" t="n">
        <v>-10</v>
      </c>
      <c r="H567" t="n">
        <v>127.83</v>
      </c>
      <c r="I567">
        <f>-H922/G922</f>
        <v/>
      </c>
      <c r="J567" s="16" t="n">
        <v>44677</v>
      </c>
      <c r="K567">
        <f>-5-3-2</f>
        <v/>
      </c>
      <c r="L567">
        <f>-129.129-195.94-264.26-180.18</f>
        <v/>
      </c>
    </row>
    <row r="568">
      <c r="A568" t="n">
        <v>2218</v>
      </c>
      <c r="B568" s="16" t="n">
        <v>44614</v>
      </c>
      <c r="C568" t="inlineStr">
        <is>
          <t>VTA</t>
        </is>
      </c>
      <c r="D568" t="n">
        <v>39</v>
      </c>
      <c r="E568">
        <f>IF(D961&gt;0,VLOOKUP(OPERAC[[#This Row],[COD CART]],[1]!MatrizCortoLargoCyl[#All],3,0),"")</f>
        <v/>
      </c>
      <c r="F568" t="inlineStr">
        <is>
          <t>MELI/V/540,00/20-01-23</t>
        </is>
      </c>
      <c r="G568" t="n">
        <v>-2</v>
      </c>
      <c r="H568" t="n">
        <v>87.89</v>
      </c>
      <c r="I568">
        <f>-H961/G961</f>
        <v/>
      </c>
    </row>
    <row r="569">
      <c r="A569" t="n">
        <v>2218</v>
      </c>
      <c r="B569" s="16" t="n">
        <v>44615</v>
      </c>
      <c r="C569" t="inlineStr">
        <is>
          <t>CPR</t>
        </is>
      </c>
      <c r="D569" t="n">
        <v>40</v>
      </c>
      <c r="E569">
        <f>IF(D5984&gt;0,VLOOKUP(OPERAC[[#This Row],[COD CART]],[1]!MatrizCortoLargoCyl[#All],3,0),"")</f>
        <v/>
      </c>
      <c r="F569" t="inlineStr">
        <is>
          <t>GMBL</t>
        </is>
      </c>
      <c r="G569" t="n">
        <v>2000</v>
      </c>
      <c r="H569" t="n">
        <v>-3243.23</v>
      </c>
      <c r="I569">
        <f>-H5984/G5984</f>
        <v/>
      </c>
    </row>
    <row r="570">
      <c r="A570" t="n">
        <v>2218</v>
      </c>
      <c r="B570" s="16" t="n">
        <v>44615</v>
      </c>
      <c r="C570" t="inlineStr">
        <is>
          <t>CPR</t>
        </is>
      </c>
      <c r="D570" t="n">
        <v>31</v>
      </c>
      <c r="E570">
        <f>IF(D6044&gt;0,VLOOKUP(OPERAC[[#This Row],[COD CART]],[1]!MatrizCortoLargoCyl[#All],3,0),"")</f>
        <v/>
      </c>
      <c r="F570" t="inlineStr">
        <is>
          <t>GGAL</t>
        </is>
      </c>
      <c r="G570" t="n">
        <v>350</v>
      </c>
      <c r="H570" t="n">
        <v>-3539.234</v>
      </c>
      <c r="I570">
        <f>-H6044/G6044</f>
        <v/>
      </c>
      <c r="J570" s="16" t="n">
        <v>44692</v>
      </c>
      <c r="K570" t="n">
        <v>350</v>
      </c>
      <c r="L570">
        <f>+OPERAC[[#This Row],[cantidad venta]]*9.032</f>
        <v/>
      </c>
    </row>
    <row r="571">
      <c r="A571" t="n">
        <v>2218</v>
      </c>
      <c r="B571" s="16" t="n">
        <v>44615</v>
      </c>
      <c r="C571" t="inlineStr">
        <is>
          <t>CPR</t>
        </is>
      </c>
      <c r="D571" t="n">
        <v>40</v>
      </c>
      <c r="E571">
        <f>IF(D6050&gt;0,VLOOKUP(OPERAC[[#This Row],[COD CART]],[1]!MatrizCortoLargoCyl[#All],3,0),"")</f>
        <v/>
      </c>
      <c r="F571" t="inlineStr">
        <is>
          <t>ROKU</t>
        </is>
      </c>
      <c r="G571" t="n">
        <v>30</v>
      </c>
      <c r="H571" t="n">
        <v>-3585.981</v>
      </c>
      <c r="I571">
        <f>-H6050/G6050</f>
        <v/>
      </c>
      <c r="J571" s="16" t="n">
        <v>44669</v>
      </c>
      <c r="K571" t="n">
        <v>30</v>
      </c>
      <c r="L571" t="n">
        <v>3236.76</v>
      </c>
    </row>
    <row r="572">
      <c r="A572" t="n">
        <v>2218</v>
      </c>
      <c r="B572" s="16" t="n">
        <v>44616</v>
      </c>
      <c r="C572" t="inlineStr">
        <is>
          <t>VTA</t>
        </is>
      </c>
      <c r="D572" t="n">
        <v>32</v>
      </c>
      <c r="E572">
        <f>IF(D2251&gt;0,VLOOKUP(OPERAC[[#This Row],[COD CART]],[1]!MatrizCortoLargoCyl[#All],3,0),"")</f>
        <v/>
      </c>
      <c r="F572" t="inlineStr">
        <is>
          <t>HMY/CYL/4,00/18-03-22</t>
        </is>
      </c>
      <c r="G572" t="n">
        <v>100</v>
      </c>
      <c r="H572" t="n">
        <v>-381.941</v>
      </c>
      <c r="I572">
        <f>-H2251/G2251</f>
        <v/>
      </c>
      <c r="J572" s="16" t="n">
        <v>44622</v>
      </c>
      <c r="K572" t="n">
        <v>100</v>
      </c>
      <c r="L572" t="n">
        <v>393.95</v>
      </c>
    </row>
    <row r="573">
      <c r="A573" t="n">
        <v>2218</v>
      </c>
      <c r="B573" s="16" t="n">
        <v>44616</v>
      </c>
      <c r="C573" t="inlineStr">
        <is>
          <t>VTA</t>
        </is>
      </c>
      <c r="D573" t="n">
        <v>32</v>
      </c>
      <c r="E573">
        <f>IF(D5557&gt;0,VLOOKUP(OPERAC[[#This Row],[COD CART]],[1]!MatrizCortoLargoCyl[#All],3,0),"")</f>
        <v/>
      </c>
      <c r="F573" t="inlineStr">
        <is>
          <t>PLTR/CYL/12,00/14-04-22</t>
        </is>
      </c>
      <c r="G573" t="n">
        <v>200</v>
      </c>
      <c r="H573" t="n">
        <v>-2095.3786</v>
      </c>
      <c r="I573">
        <f>-H5557/G5557</f>
        <v/>
      </c>
      <c r="J573" s="16" t="n">
        <v>44643</v>
      </c>
      <c r="K573" t="n">
        <v>200</v>
      </c>
      <c r="L573" t="n">
        <v>2293.448</v>
      </c>
    </row>
    <row r="574">
      <c r="A574" t="n">
        <v>2218</v>
      </c>
      <c r="B574" s="16" t="n">
        <v>44622</v>
      </c>
      <c r="C574" t="inlineStr">
        <is>
          <t>CPR</t>
        </is>
      </c>
      <c r="D574" t="n">
        <v>32</v>
      </c>
      <c r="E574">
        <f>IF(D4863&gt;0,VLOOKUP(OPERAC[[#This Row],[COD CART]],[1]!MatrizCortoLargoCyl[#All],3,0),"")</f>
        <v/>
      </c>
      <c r="F574" t="inlineStr">
        <is>
          <t>AMC/CYL/16,00/14-04-22</t>
        </is>
      </c>
      <c r="G574" t="n">
        <v>100</v>
      </c>
      <c r="H574" t="n">
        <v>-1445.3153</v>
      </c>
      <c r="I574">
        <f>-H4863/G4863</f>
        <v/>
      </c>
      <c r="J574" s="16" t="n">
        <v>44648</v>
      </c>
      <c r="K574">
        <f>+OPERAC[[#This Row],[cantidad]]</f>
        <v/>
      </c>
      <c r="L574" t="n">
        <v>1581.776</v>
      </c>
    </row>
    <row r="575">
      <c r="A575" t="n">
        <v>2218</v>
      </c>
      <c r="B575" s="16" t="n">
        <v>44627</v>
      </c>
      <c r="C575" t="inlineStr">
        <is>
          <t>VTA</t>
        </is>
      </c>
      <c r="D575" t="n">
        <v>39</v>
      </c>
      <c r="E575">
        <f>IF(D939&gt;0,VLOOKUP(OPERAC[[#This Row],[COD CART]],[1]!MatrizCortoLargoCyl[#All],3,0),"")</f>
        <v/>
      </c>
      <c r="F575" t="inlineStr">
        <is>
          <t>TSLA/V/590,00/14-04-22</t>
        </is>
      </c>
      <c r="G575" t="n">
        <v>-10</v>
      </c>
      <c r="H575" t="n">
        <v>99.87</v>
      </c>
      <c r="I575">
        <f>-H939/G939</f>
        <v/>
      </c>
      <c r="J575" s="16" t="n">
        <v>44637</v>
      </c>
      <c r="K575" t="n">
        <v>-10</v>
      </c>
      <c r="L575" t="n">
        <v>-25.55</v>
      </c>
    </row>
    <row r="576">
      <c r="A576" t="n">
        <v>2218</v>
      </c>
      <c r="B576" s="16" t="n">
        <v>44628</v>
      </c>
      <c r="C576" t="inlineStr">
        <is>
          <t>CPR</t>
        </is>
      </c>
      <c r="D576" t="n">
        <v>40</v>
      </c>
      <c r="E576">
        <f>IF(D6101&gt;0,VLOOKUP(OPERAC[[#This Row],[COD CART]],[1]!MatrizCortoLargoCyl[#All],3,0),"")</f>
        <v/>
      </c>
      <c r="F576" t="inlineStr">
        <is>
          <t>CVV</t>
        </is>
      </c>
      <c r="G576" t="n">
        <v>1000</v>
      </c>
      <c r="H576" t="n">
        <v>-4195.186</v>
      </c>
      <c r="I576">
        <f>-H6101/G6101</f>
        <v/>
      </c>
      <c r="J576" s="16" t="n">
        <v>44649</v>
      </c>
      <c r="K576" t="n">
        <v>1000</v>
      </c>
      <c r="L576" t="n">
        <v>4490.347</v>
      </c>
    </row>
    <row r="577">
      <c r="A577" t="n">
        <v>2218</v>
      </c>
      <c r="B577" s="16" t="n">
        <v>44637</v>
      </c>
      <c r="C577" t="inlineStr">
        <is>
          <t>VTA</t>
        </is>
      </c>
      <c r="D577" t="n">
        <v>39</v>
      </c>
      <c r="E577">
        <f>IF(D1033&gt;0,VLOOKUP(OPERAC[[#This Row],[COD CART]],[1]!MatrizCortoLargoCyl[#All],3,0),"")</f>
        <v/>
      </c>
      <c r="F577" t="inlineStr">
        <is>
          <t>TSLA/V/510,00/20-05-22</t>
        </is>
      </c>
      <c r="G577" t="n">
        <v>-10</v>
      </c>
      <c r="H577" t="n">
        <v>49.9226</v>
      </c>
      <c r="I577">
        <f>-H1033/G1033</f>
        <v/>
      </c>
      <c r="J577" s="16" t="n">
        <v>44642</v>
      </c>
      <c r="K577" t="n">
        <v>-10</v>
      </c>
      <c r="L577" t="n">
        <v>-22.64</v>
      </c>
    </row>
    <row r="578">
      <c r="A578" t="n">
        <v>2218</v>
      </c>
      <c r="B578" s="16" t="n">
        <v>44638</v>
      </c>
      <c r="C578" t="inlineStr">
        <is>
          <t>VTA</t>
        </is>
      </c>
      <c r="D578" t="n">
        <v>32</v>
      </c>
      <c r="E578">
        <f>IF(D5063&gt;0,VLOOKUP(OPERAC[[#This Row],[COD CART]],[1]!MatrizCortoLargoCyl[#All],3,0),"")</f>
        <v/>
      </c>
      <c r="F578" t="inlineStr">
        <is>
          <t>DDD/CYL/17,00/01-04-22</t>
        </is>
      </c>
      <c r="G578" t="n">
        <v>100</v>
      </c>
      <c r="H578">
        <f>-1595.24+16.45</f>
        <v/>
      </c>
      <c r="I578">
        <f>-H5063/G5063</f>
        <v/>
      </c>
      <c r="J578" s="16" t="n">
        <v>44649</v>
      </c>
      <c r="K578" t="n">
        <v>100</v>
      </c>
      <c r="L578" t="n">
        <v>1661.98</v>
      </c>
    </row>
    <row r="579">
      <c r="A579" t="n">
        <v>2218</v>
      </c>
      <c r="B579" s="16" t="n">
        <v>44641</v>
      </c>
      <c r="C579" t="inlineStr">
        <is>
          <t>CPR</t>
        </is>
      </c>
      <c r="D579" t="n">
        <v>42</v>
      </c>
      <c r="E579">
        <f>IF(D3705&gt;0,VLOOKUP(OPERAC[[#This Row],[COD CART]],[1]!MatrizCortoLargoCyl[#All],3,0),"")</f>
        <v/>
      </c>
      <c r="F579" t="inlineStr">
        <is>
          <t>JPM</t>
        </is>
      </c>
      <c r="G579" t="n">
        <v>6</v>
      </c>
      <c r="H579" t="n">
        <v>-836.87418</v>
      </c>
      <c r="I579">
        <f>-H3705/G3705</f>
        <v/>
      </c>
      <c r="J579" s="16" t="n">
        <v>44664</v>
      </c>
      <c r="K579">
        <f>+OPERAC[[#This Row],[cantidad]]</f>
        <v/>
      </c>
      <c r="L579">
        <f>+OPERAC[[#This Row],[cantidad venta]]*125.943</f>
        <v/>
      </c>
    </row>
    <row r="580">
      <c r="A580" t="n">
        <v>2218</v>
      </c>
      <c r="B580" s="16" t="n">
        <v>44641</v>
      </c>
      <c r="C580" t="inlineStr">
        <is>
          <t>VTA</t>
        </is>
      </c>
      <c r="D580" t="n">
        <v>42</v>
      </c>
      <c r="E580">
        <f>IF(D3730&gt;0,VLOOKUP(OPERAC[[#This Row],[COD CART]],[1]!MatrizCortoLargoCyl[#All],3,0),"")</f>
        <v/>
      </c>
      <c r="F580" t="inlineStr">
        <is>
          <t>FB</t>
        </is>
      </c>
      <c r="G580" t="n">
        <v>4</v>
      </c>
      <c r="H580" t="n">
        <v>-842.7326400000001</v>
      </c>
      <c r="I580">
        <f>-H3730/G3730</f>
        <v/>
      </c>
      <c r="J580" s="16" t="n">
        <v>44671</v>
      </c>
      <c r="K580">
        <f>+OPERAC[[#This Row],[cantidad]]</f>
        <v/>
      </c>
      <c r="L580">
        <f>+OPERAC[[#This Row],[cantidad venta]]*213.173</f>
        <v/>
      </c>
    </row>
    <row r="581">
      <c r="A581" t="n">
        <v>2218</v>
      </c>
      <c r="B581" s="16" t="n">
        <v>44642</v>
      </c>
      <c r="C581" t="inlineStr">
        <is>
          <t>CPR</t>
        </is>
      </c>
      <c r="D581" t="n">
        <v>42</v>
      </c>
      <c r="E581">
        <f>IF(D6075&gt;0,VLOOKUP(OPERAC[[#This Row],[COD CART]],[1]!MatrizCortoLargoCyl[#All],3,0),"")</f>
        <v/>
      </c>
      <c r="F581" t="inlineStr">
        <is>
          <t>HYDR</t>
        </is>
      </c>
      <c r="G581" t="n">
        <v>200</v>
      </c>
      <c r="H581">
        <f>-19.39*OPERAC[[#This Row],[cantidad]]</f>
        <v/>
      </c>
      <c r="I581">
        <f>-H6075/G6075</f>
        <v/>
      </c>
      <c r="J581" s="16" t="n">
        <v>44722</v>
      </c>
      <c r="K581" t="n">
        <v>100</v>
      </c>
      <c r="L581">
        <f>+OPERAC[[#This Row],[cantidad venta]]*12.837</f>
        <v/>
      </c>
    </row>
    <row r="582">
      <c r="A582" t="n">
        <v>2218</v>
      </c>
      <c r="B582" s="16" t="n">
        <v>44648</v>
      </c>
      <c r="C582" t="inlineStr">
        <is>
          <t>CPR</t>
        </is>
      </c>
      <c r="D582" t="n">
        <v>42</v>
      </c>
      <c r="E582">
        <f>IF(D4687&gt;0,VLOOKUP(OPERAC[[#This Row],[COD CART]],[1]!MatrizCortoLargoCyl[#All],3,0),"")</f>
        <v/>
      </c>
      <c r="F582" t="inlineStr">
        <is>
          <t>ADBE</t>
        </is>
      </c>
      <c r="G582" t="n">
        <v>3</v>
      </c>
      <c r="H582" t="n">
        <v>-1315.04187</v>
      </c>
      <c r="I582">
        <f>-H4687/G4687</f>
        <v/>
      </c>
      <c r="J582" s="16" t="n">
        <v>44687</v>
      </c>
      <c r="K582">
        <f>+OPERAC[[#This Row],[cantidad]]</f>
        <v/>
      </c>
      <c r="L582" t="n">
        <v>1250.12</v>
      </c>
    </row>
    <row r="583">
      <c r="A583" t="n">
        <v>2218</v>
      </c>
      <c r="B583" s="16" t="n">
        <v>44648</v>
      </c>
      <c r="C583" t="inlineStr">
        <is>
          <t>VTA</t>
        </is>
      </c>
      <c r="D583" t="n">
        <v>42</v>
      </c>
      <c r="E583">
        <f>IF(D1638&gt;0,VLOOKUP(OPERAC[[#This Row],[COD CART]],[1]!MatrizCortoLargoCyl[#All],3,0),"")</f>
        <v/>
      </c>
      <c r="F583" t="inlineStr">
        <is>
          <t>FB</t>
        </is>
      </c>
      <c r="G583" t="n">
        <v>1</v>
      </c>
      <c r="H583" t="n">
        <v>-220.62298</v>
      </c>
      <c r="I583">
        <f>-H1638/G1638</f>
        <v/>
      </c>
      <c r="J583" s="16" t="n">
        <v>44671</v>
      </c>
      <c r="K583">
        <f>+OPERAC[[#This Row],[cantidad]]</f>
        <v/>
      </c>
      <c r="L583">
        <f>+OPERAC[[#This Row],[cantidad venta]]*213.173</f>
        <v/>
      </c>
    </row>
    <row r="584">
      <c r="A584" t="n">
        <v>2218</v>
      </c>
      <c r="B584" s="16" t="n">
        <v>44649</v>
      </c>
      <c r="C584" t="inlineStr">
        <is>
          <t>CPR</t>
        </is>
      </c>
      <c r="D584" t="n">
        <v>32</v>
      </c>
      <c r="E584">
        <f>IF(D5889&gt;0,VLOOKUP(OPERAC[[#This Row],[COD CART]],[1]!MatrizCortoLargoCyl[#All],3,0),"")</f>
        <v/>
      </c>
      <c r="F584" t="inlineStr">
        <is>
          <t>DDD</t>
        </is>
      </c>
      <c r="G584" t="n">
        <v>200</v>
      </c>
      <c r="H584" t="n">
        <v>-2969.58</v>
      </c>
      <c r="I584">
        <f>-H5889/G5889</f>
        <v/>
      </c>
    </row>
    <row r="585">
      <c r="A585" t="n">
        <v>2218</v>
      </c>
      <c r="B585" s="16" t="n">
        <v>44649</v>
      </c>
      <c r="C585" t="inlineStr">
        <is>
          <t>CPR</t>
        </is>
      </c>
      <c r="D585" t="n">
        <v>42</v>
      </c>
      <c r="E585">
        <f>IF(D6117&gt;0,VLOOKUP(OPERAC[[#This Row],[COD CART]],[1]!MatrizCortoLargoCyl[#All],3,0),"")</f>
        <v/>
      </c>
      <c r="F585" t="inlineStr">
        <is>
          <t>CRESY</t>
        </is>
      </c>
      <c r="G585" t="n">
        <v>550</v>
      </c>
      <c r="H585" t="n">
        <v>-4419.81265</v>
      </c>
      <c r="I585">
        <f>-H6117/G6117</f>
        <v/>
      </c>
      <c r="J585" s="16" t="n">
        <v>44657</v>
      </c>
      <c r="K585">
        <f>+OPERAC[[#This Row],[cantidad]]</f>
        <v/>
      </c>
      <c r="L585">
        <f>+OPERAC[[#This Row],[cantidad venta]]*7.664</f>
        <v/>
      </c>
    </row>
    <row r="586">
      <c r="A586" t="n">
        <v>2218</v>
      </c>
      <c r="B586" s="16" t="n">
        <v>44649</v>
      </c>
      <c r="C586" t="inlineStr">
        <is>
          <t>VTA</t>
        </is>
      </c>
      <c r="D586" t="n">
        <v>32</v>
      </c>
      <c r="E586">
        <f>IF(D5413&gt;0,VLOOKUP(OPERAC[[#This Row],[COD CART]],[1]!MatrizCortoLargoCyl[#All],3,0),"")</f>
        <v/>
      </c>
      <c r="F586" t="inlineStr">
        <is>
          <t>SPWR</t>
        </is>
      </c>
      <c r="G586" t="n">
        <v>100</v>
      </c>
      <c r="H586">
        <f>-1865.225+17.982</f>
        <v/>
      </c>
      <c r="I586">
        <f>-H5413/G5413</f>
        <v/>
      </c>
    </row>
    <row r="587">
      <c r="A587" t="n">
        <v>2218</v>
      </c>
      <c r="B587" s="16" t="n">
        <v>44650</v>
      </c>
      <c r="C587" t="inlineStr">
        <is>
          <t>CPR</t>
        </is>
      </c>
      <c r="D587" t="n">
        <v>42</v>
      </c>
      <c r="E587">
        <f>IF(D4780&gt;0,VLOOKUP(OPERAC[[#This Row],[COD CART]],[1]!MatrizCortoLargoCyl[#All],3,0),"")</f>
        <v/>
      </c>
      <c r="F587" t="inlineStr">
        <is>
          <t>ADBE</t>
        </is>
      </c>
      <c r="G587" t="n">
        <v>3</v>
      </c>
      <c r="H587" t="n">
        <v>-1389.22515</v>
      </c>
      <c r="I587">
        <f>-H4780/G4780</f>
        <v/>
      </c>
      <c r="J587" s="16" t="n">
        <v>44687</v>
      </c>
      <c r="K587">
        <f>+OPERAC[[#This Row],[cantidad]]</f>
        <v/>
      </c>
      <c r="L587" t="n">
        <v>1250.12</v>
      </c>
    </row>
    <row r="588">
      <c r="A588" t="n">
        <v>2218</v>
      </c>
      <c r="B588" s="16" t="n">
        <v>44650</v>
      </c>
      <c r="C588" t="inlineStr">
        <is>
          <t>CPR</t>
        </is>
      </c>
      <c r="D588" t="n">
        <v>42</v>
      </c>
      <c r="E588">
        <f>IF(D4802&gt;0,VLOOKUP(OPERAC[[#This Row],[COD CART]],[1]!MatrizCortoLargoCyl[#All],3,0),"")</f>
        <v/>
      </c>
      <c r="F588" t="inlineStr">
        <is>
          <t>SMH</t>
        </is>
      </c>
      <c r="G588" t="n">
        <v>5</v>
      </c>
      <c r="H588" t="n">
        <v>-1396.77755</v>
      </c>
      <c r="I588">
        <f>-H4802/G4802</f>
        <v/>
      </c>
      <c r="J588" s="16" t="n">
        <v>44663</v>
      </c>
      <c r="K588">
        <f>+OPERAC[[#This Row],[cantidad]]</f>
        <v/>
      </c>
      <c r="L588">
        <f>+OPERAC[[#This Row],[cantidad venta]]*238.066</f>
        <v/>
      </c>
    </row>
    <row r="589">
      <c r="A589" t="n">
        <v>2218</v>
      </c>
      <c r="B589" s="16" t="n">
        <v>44650</v>
      </c>
      <c r="C589" t="inlineStr">
        <is>
          <t>VTA</t>
        </is>
      </c>
      <c r="D589" t="n">
        <v>42</v>
      </c>
      <c r="E589">
        <f>IF(D5622&gt;0,VLOOKUP(OPERAC[[#This Row],[COD CART]],[1]!MatrizCortoLargoCyl[#All],3,0),"")</f>
        <v/>
      </c>
      <c r="F589" t="inlineStr">
        <is>
          <t>FB</t>
        </is>
      </c>
      <c r="G589" t="n">
        <v>10</v>
      </c>
      <c r="H589" t="n">
        <v>-2308.4817</v>
      </c>
      <c r="I589">
        <f>-H5622/G5622</f>
        <v/>
      </c>
      <c r="J589" s="16" t="n">
        <v>44671</v>
      </c>
      <c r="K589">
        <f>+OPERAC[[#This Row],[cantidad]]</f>
        <v/>
      </c>
      <c r="L589">
        <f>+OPERAC[[#This Row],[cantidad venta]]*213.173</f>
        <v/>
      </c>
    </row>
    <row r="590">
      <c r="A590" t="n">
        <v>2218</v>
      </c>
      <c r="B590" s="16" t="n">
        <v>44651</v>
      </c>
      <c r="C590" t="inlineStr">
        <is>
          <t>CPR</t>
        </is>
      </c>
      <c r="D590" t="n">
        <v>42</v>
      </c>
      <c r="E590">
        <f>IF(D3968&gt;0,VLOOKUP(OPERAC[[#This Row],[COD CART]],[1]!MatrizCortoLargoCyl[#All],3,0),"")</f>
        <v/>
      </c>
      <c r="F590" t="inlineStr">
        <is>
          <t>AMD</t>
        </is>
      </c>
      <c r="G590" t="n">
        <v>8</v>
      </c>
      <c r="H590" t="n">
        <v>-904.8639199999999</v>
      </c>
      <c r="I590">
        <f>-H3968/G3968</f>
        <v/>
      </c>
    </row>
    <row r="591">
      <c r="A591" t="n">
        <v>2218</v>
      </c>
      <c r="B591" s="16" t="n">
        <v>44658</v>
      </c>
      <c r="C591" t="inlineStr">
        <is>
          <t>CPR</t>
        </is>
      </c>
      <c r="D591" t="n">
        <v>32</v>
      </c>
      <c r="E591">
        <f>IF(D5730&gt;0,VLOOKUP(OPERAC[[#This Row],[COD CART]],[1]!MatrizCortoLargoCyl[#All],3,0),"")</f>
        <v/>
      </c>
      <c r="F591" t="inlineStr">
        <is>
          <t>KWEB/CYL/28,00/20-05-22</t>
        </is>
      </c>
      <c r="G591" t="n">
        <v>100</v>
      </c>
      <c r="H591" t="n">
        <v>-2599</v>
      </c>
      <c r="I591">
        <f>-H5730/G5730</f>
        <v/>
      </c>
      <c r="J591" s="16" t="n">
        <v>44701</v>
      </c>
      <c r="K591" t="n">
        <v>100</v>
      </c>
      <c r="L591" t="n">
        <v>2735.35</v>
      </c>
    </row>
    <row r="592">
      <c r="A592" t="n">
        <v>2218</v>
      </c>
      <c r="B592" s="16" t="n">
        <v>44662</v>
      </c>
      <c r="C592" t="inlineStr">
        <is>
          <t>CPR</t>
        </is>
      </c>
      <c r="D592" t="n">
        <v>42</v>
      </c>
      <c r="E592">
        <f>IF(D4664&gt;0,VLOOKUP(OPERAC[[#This Row],[COD CART]],[1]!MatrizCortoLargoCyl[#All],3,0),"")</f>
        <v/>
      </c>
      <c r="F592" t="inlineStr">
        <is>
          <t>HYDR</t>
        </is>
      </c>
      <c r="G592" t="n">
        <v>70</v>
      </c>
      <c r="H592" t="n">
        <v>-1290.89926</v>
      </c>
      <c r="I592">
        <f>-H4664/G4664</f>
        <v/>
      </c>
      <c r="J592" s="16" t="n">
        <v>44722</v>
      </c>
      <c r="K592" t="n">
        <v>70</v>
      </c>
      <c r="L592">
        <f>+OPERAC[[#This Row],[cantidad venta]]*12.837</f>
        <v/>
      </c>
    </row>
    <row r="593">
      <c r="A593" t="n">
        <v>2218</v>
      </c>
      <c r="B593" s="16" t="n">
        <v>44663</v>
      </c>
      <c r="C593" t="inlineStr">
        <is>
          <t>CPR</t>
        </is>
      </c>
      <c r="D593" t="n">
        <v>32</v>
      </c>
      <c r="E593">
        <f>IF(D3317&gt;0,VLOOKUP(OPERAC[[#This Row],[COD CART]],[1]!MatrizCortoLargoCyl[#All],3,0),"")</f>
        <v/>
      </c>
      <c r="F593" t="inlineStr">
        <is>
          <t>PCT/CYL/7,50/20-05-22</t>
        </is>
      </c>
      <c r="G593" t="n">
        <v>100</v>
      </c>
      <c r="H593" t="n">
        <v>-691.124</v>
      </c>
      <c r="I593">
        <f>-H3317/G3317</f>
        <v/>
      </c>
      <c r="J593" s="16" t="n">
        <v>44698</v>
      </c>
      <c r="K593">
        <f>+OPERAC[[#This Row],[cantidad]]</f>
        <v/>
      </c>
      <c r="L593">
        <f>7.3616*OPERAC[[#This Row],[cantidad venta]]</f>
        <v/>
      </c>
    </row>
    <row r="594">
      <c r="A594" t="n">
        <v>2218</v>
      </c>
      <c r="B594" s="16" t="n">
        <v>44664</v>
      </c>
      <c r="C594" t="inlineStr">
        <is>
          <t>CPR</t>
        </is>
      </c>
      <c r="D594" t="n">
        <v>42</v>
      </c>
      <c r="E594">
        <f>IF(D6231&gt;0,VLOOKUP(OPERAC[[#This Row],[COD CART]],[1]!MatrizCortoLargoCyl[#All],3,0),"")</f>
        <v/>
      </c>
      <c r="F594" t="inlineStr">
        <is>
          <t>PSQ</t>
        </is>
      </c>
      <c r="G594" t="n">
        <v>500</v>
      </c>
      <c r="H594" t="n">
        <v>-6170.056893</v>
      </c>
      <c r="I594">
        <f>-H6231/G6231</f>
        <v/>
      </c>
      <c r="J594" s="16" t="n">
        <v>44680</v>
      </c>
      <c r="K594">
        <f>+OPERAC[[#This Row],[cantidad]]</f>
        <v/>
      </c>
      <c r="L594">
        <f>12.848*OPERAC[[#This Row],[cantidad venta]]</f>
        <v/>
      </c>
    </row>
    <row r="595">
      <c r="A595" t="n">
        <v>2218</v>
      </c>
      <c r="B595" s="16" t="n">
        <v>44671</v>
      </c>
      <c r="C595" t="inlineStr">
        <is>
          <t>VTA</t>
        </is>
      </c>
      <c r="D595" t="n">
        <v>42</v>
      </c>
      <c r="E595">
        <f>IF(D5354&gt;0,VLOOKUP(OPERAC[[#This Row],[COD CART]],[1]!MatrizCortoLargoCyl[#All],3,0),"")</f>
        <v/>
      </c>
      <c r="F595" t="inlineStr">
        <is>
          <t>NFLX</t>
        </is>
      </c>
      <c r="G595" t="n">
        <v>7</v>
      </c>
      <c r="H595" t="n">
        <v>-1768.28652</v>
      </c>
      <c r="I595">
        <f>-H5354/G5354</f>
        <v/>
      </c>
    </row>
    <row r="596">
      <c r="A596" t="n">
        <v>2218</v>
      </c>
      <c r="B596" s="16" t="n">
        <v>44676</v>
      </c>
      <c r="C596" t="inlineStr">
        <is>
          <t>CPR</t>
        </is>
      </c>
      <c r="D596" t="n">
        <v>40</v>
      </c>
      <c r="E596">
        <f>IF(D4440&gt;0,VLOOKUP(OPERAC[[#This Row],[COD CART]],[1]!MatrizCortoLargoCyl[#All],3,0),"")</f>
        <v/>
      </c>
      <c r="F596" t="inlineStr">
        <is>
          <t>YORKF</t>
        </is>
      </c>
      <c r="G596" t="n">
        <v>1000</v>
      </c>
      <c r="H596" t="n">
        <v>-1134.97</v>
      </c>
      <c r="I596">
        <f>-H4440/G4440</f>
        <v/>
      </c>
    </row>
    <row r="597">
      <c r="A597" t="n">
        <v>2218</v>
      </c>
      <c r="B597" s="16" t="n">
        <v>44676</v>
      </c>
      <c r="C597" t="inlineStr">
        <is>
          <t>VTA</t>
        </is>
      </c>
      <c r="D597" t="n">
        <v>39</v>
      </c>
      <c r="E597">
        <f>IF(D233&gt;0,VLOOKUP(OPERAC[[#This Row],[COD CART]],[1]!MatrizCortoLargoCyl[#All],3,0),"")</f>
        <v/>
      </c>
      <c r="F597" t="inlineStr">
        <is>
          <t>TSLA/V/850,00/29-04-22</t>
        </is>
      </c>
      <c r="G597" t="n">
        <v>-1000</v>
      </c>
      <c r="H597">
        <f>-1.93*OPERAC[[#This Row],[cantidad]]</f>
        <v/>
      </c>
      <c r="I597">
        <f>-H233/G233</f>
        <v/>
      </c>
      <c r="J597" s="16" t="n">
        <v>44677</v>
      </c>
      <c r="K597">
        <f>-500-500</f>
        <v/>
      </c>
      <c r="L597">
        <f>-8743.735-5530.525</f>
        <v/>
      </c>
    </row>
    <row r="598">
      <c r="A598" t="n">
        <v>2218</v>
      </c>
      <c r="B598" s="16" t="n">
        <v>44676</v>
      </c>
      <c r="C598" t="inlineStr">
        <is>
          <t>VTA</t>
        </is>
      </c>
      <c r="D598" t="n">
        <v>39</v>
      </c>
      <c r="E598">
        <f>IF(D1105&gt;0,VLOOKUP(OPERAC[[#This Row],[COD CART]],[1]!MatrizCortoLargoCyl[#All],3,0),"")</f>
        <v/>
      </c>
      <c r="F598" t="inlineStr">
        <is>
          <t>NFLX/V/150,00/20-01-23</t>
        </is>
      </c>
      <c r="G598" t="n">
        <v>-2</v>
      </c>
      <c r="H598" t="n">
        <v>24.77</v>
      </c>
      <c r="I598">
        <f>-H1105/G1105</f>
        <v/>
      </c>
      <c r="J598" s="16" t="n">
        <v>44718</v>
      </c>
      <c r="K598" t="n">
        <v>-2</v>
      </c>
      <c r="L598" t="n">
        <v>-26.026</v>
      </c>
    </row>
    <row r="599">
      <c r="A599" t="n">
        <v>2218</v>
      </c>
      <c r="B599" s="16" t="n">
        <v>44677</v>
      </c>
      <c r="C599" t="inlineStr">
        <is>
          <t>CPR</t>
        </is>
      </c>
      <c r="D599" t="n">
        <v>32</v>
      </c>
      <c r="E599">
        <f>IF(D3536&gt;0,VLOOKUP(OPERAC[[#This Row],[COD CART]],[1]!MatrizCortoLargoCyl[#All],3,0),"")</f>
        <v/>
      </c>
      <c r="F599" t="inlineStr">
        <is>
          <t>HMY</t>
        </is>
      </c>
      <c r="G599" t="n">
        <v>200</v>
      </c>
      <c r="H599">
        <f>-3.849*OPERAC[[#This Row],[cantidad]]</f>
        <v/>
      </c>
      <c r="I599">
        <f>-H3536/G3536</f>
        <v/>
      </c>
    </row>
    <row r="600">
      <c r="A600" t="n">
        <v>2218</v>
      </c>
      <c r="B600" s="16" t="n">
        <v>44677</v>
      </c>
      <c r="C600" t="inlineStr">
        <is>
          <t>VTA</t>
        </is>
      </c>
      <c r="D600" t="n">
        <v>39</v>
      </c>
      <c r="E600">
        <f>IF(D8&gt;0,VLOOKUP(OPERAC[[#This Row],[COD CART]],[1]!MatrizCortoLargoCyl[#All],3,0),"")</f>
        <v/>
      </c>
      <c r="F600" t="inlineStr">
        <is>
          <t>TSLA/V/790,00/06-05-22</t>
        </is>
      </c>
      <c r="G600" t="n">
        <v>-1000</v>
      </c>
      <c r="H600" t="n">
        <v>12587.4</v>
      </c>
      <c r="I600">
        <f>-H8/G8</f>
        <v/>
      </c>
      <c r="J600" s="16" t="n">
        <v>44687</v>
      </c>
      <c r="K600" t="n">
        <v>-1000</v>
      </c>
      <c r="L600" t="n">
        <v>0</v>
      </c>
    </row>
    <row r="601">
      <c r="A601" t="n">
        <v>2218</v>
      </c>
      <c r="B601" s="16" t="n">
        <v>44677</v>
      </c>
      <c r="C601" t="inlineStr">
        <is>
          <t>VTA</t>
        </is>
      </c>
      <c r="D601" t="n">
        <v>39</v>
      </c>
      <c r="E601">
        <f>IF(D840&gt;0,VLOOKUP(OPERAC[[#This Row],[COD CART]],[1]!MatrizCortoLargoCyl[#All],3,0),"")</f>
        <v/>
      </c>
      <c r="F601" t="inlineStr">
        <is>
          <t>TSLA/V/750,00/20-05-2022</t>
        </is>
      </c>
      <c r="G601" t="n">
        <v>-10</v>
      </c>
      <c r="H601" t="n">
        <v>205.2965</v>
      </c>
      <c r="I601">
        <f>-H840/G840</f>
        <v/>
      </c>
      <c r="J601" s="16" t="n">
        <v>44692</v>
      </c>
      <c r="K601" t="n">
        <v>-10</v>
      </c>
      <c r="L601" t="n">
        <v>-455.45</v>
      </c>
    </row>
    <row r="602">
      <c r="A602" t="n">
        <v>2218</v>
      </c>
      <c r="B602" s="16" t="n">
        <v>44677</v>
      </c>
      <c r="C602" t="inlineStr">
        <is>
          <t>VTA</t>
        </is>
      </c>
      <c r="D602" t="n">
        <v>39</v>
      </c>
      <c r="E602">
        <f>IF(D957&gt;0,VLOOKUP(OPERAC[[#This Row],[COD CART]],[1]!MatrizCortoLargoCyl[#All],3,0),"")</f>
        <v/>
      </c>
      <c r="F602" t="inlineStr">
        <is>
          <t>TSLA/V/400,00/20-01-23</t>
        </is>
      </c>
      <c r="G602" t="n">
        <v>-5</v>
      </c>
      <c r="H602" t="n">
        <v>92.4075</v>
      </c>
      <c r="I602">
        <f>-H957/G957</f>
        <v/>
      </c>
    </row>
    <row r="603">
      <c r="A603" t="n">
        <v>2218</v>
      </c>
      <c r="B603" s="16" t="n">
        <v>44678</v>
      </c>
      <c r="C603" t="inlineStr">
        <is>
          <t>VTA</t>
        </is>
      </c>
      <c r="D603" t="n">
        <v>39</v>
      </c>
      <c r="E603">
        <f>IF(D159&gt;0,VLOOKUP(OPERAC[[#This Row],[COD CART]],[1]!MatrizCortoLargoCyl[#All],3,0),"")</f>
        <v/>
      </c>
      <c r="F603" t="inlineStr">
        <is>
          <t>TSLA/V/800,00/29-04-22</t>
        </is>
      </c>
      <c r="G603" t="n">
        <v>-1000</v>
      </c>
      <c r="H603" t="n">
        <v>2500.497</v>
      </c>
      <c r="I603">
        <f>-H159/G159</f>
        <v/>
      </c>
      <c r="J603" s="16" t="n">
        <v>44680</v>
      </c>
      <c r="K603">
        <f>+OPERAC[[#This Row],[cantidad]]</f>
        <v/>
      </c>
      <c r="L603" t="n">
        <v>0</v>
      </c>
    </row>
    <row r="604">
      <c r="A604" t="n">
        <v>2218</v>
      </c>
      <c r="B604" s="16" t="n">
        <v>44678</v>
      </c>
      <c r="C604" t="inlineStr">
        <is>
          <t>VTA</t>
        </is>
      </c>
      <c r="D604" t="n">
        <v>39</v>
      </c>
      <c r="E604">
        <f>IF(D245&gt;0,VLOOKUP(OPERAC[[#This Row],[COD CART]],[1]!MatrizCortoLargoCyl[#All],3,0),"")</f>
        <v/>
      </c>
      <c r="F604" t="inlineStr">
        <is>
          <t>TSLA/V/700,00/06-05-22</t>
        </is>
      </c>
      <c r="G604" t="n">
        <v>-500</v>
      </c>
      <c r="H604" t="n">
        <v>1828.17</v>
      </c>
      <c r="I604">
        <f>-H245/G245</f>
        <v/>
      </c>
      <c r="J604" s="16" t="n">
        <v>44680</v>
      </c>
      <c r="K604" t="n">
        <v>-500</v>
      </c>
      <c r="L604" t="n">
        <v>-450.45</v>
      </c>
    </row>
    <row r="605">
      <c r="A605" t="n">
        <v>2218</v>
      </c>
      <c r="B605" s="16" t="n">
        <v>44678</v>
      </c>
      <c r="C605" t="inlineStr">
        <is>
          <t>VTA</t>
        </is>
      </c>
      <c r="D605" t="n">
        <v>39</v>
      </c>
      <c r="E605">
        <f>IF(D283&gt;0,VLOOKUP(OPERAC[[#This Row],[COD CART]],[1]!MatrizCortoLargoCyl[#All],3,0),"")</f>
        <v/>
      </c>
      <c r="F605" t="inlineStr">
        <is>
          <t>TSLA/C/1000,00/29-04-22</t>
        </is>
      </c>
      <c r="G605" t="n">
        <v>-1000</v>
      </c>
      <c r="H605" t="n">
        <v>1628.37</v>
      </c>
      <c r="I605">
        <f>-H283/G283</f>
        <v/>
      </c>
      <c r="J605" s="16" t="n">
        <v>44680</v>
      </c>
      <c r="K605">
        <f>+OPERAC[[#This Row],[cantidad]]</f>
        <v/>
      </c>
      <c r="L605" t="n">
        <v>0</v>
      </c>
    </row>
    <row r="606">
      <c r="A606" t="n">
        <v>2218</v>
      </c>
      <c r="B606" s="16" t="n">
        <v>44678</v>
      </c>
      <c r="C606" t="inlineStr">
        <is>
          <t>VTA</t>
        </is>
      </c>
      <c r="D606" t="n">
        <v>39</v>
      </c>
      <c r="E606">
        <f>IF(D556&gt;0,VLOOKUP(OPERAC[[#This Row],[COD CART]],[1]!MatrizCortoLargoCyl[#All],3,0),"")</f>
        <v/>
      </c>
      <c r="F606" t="inlineStr">
        <is>
          <t>TSLA/C/980,00/29-04-22</t>
        </is>
      </c>
      <c r="G606" t="n">
        <v>-500</v>
      </c>
      <c r="H606" t="n">
        <v>749.25</v>
      </c>
      <c r="I606">
        <f>-H556/G556</f>
        <v/>
      </c>
      <c r="J606" s="16" t="n">
        <v>44680</v>
      </c>
      <c r="K606">
        <f>+OPERAC[[#This Row],[cantidad]]</f>
        <v/>
      </c>
      <c r="L606" t="n">
        <v>0</v>
      </c>
    </row>
    <row r="607">
      <c r="A607" t="n">
        <v>2218</v>
      </c>
      <c r="B607" s="16" t="n">
        <v>44678</v>
      </c>
      <c r="C607" t="inlineStr">
        <is>
          <t>VTA</t>
        </is>
      </c>
      <c r="D607" t="n">
        <v>39</v>
      </c>
      <c r="E607">
        <f>IF(D815&gt;0,VLOOKUP(OPERAC[[#This Row],[COD CART]],[1]!MatrizCortoLargoCyl[#All],3,0),"")</f>
        <v/>
      </c>
      <c r="F607" t="inlineStr">
        <is>
          <t>MELI/V/480,00/19-01-24</t>
        </is>
      </c>
      <c r="G607" t="n">
        <v>-5</v>
      </c>
      <c r="H607" t="n">
        <v>229.77</v>
      </c>
      <c r="I607">
        <f>-H815/G815</f>
        <v/>
      </c>
    </row>
    <row r="608">
      <c r="A608" t="n">
        <v>2218</v>
      </c>
      <c r="B608" s="16" t="n">
        <v>44680</v>
      </c>
      <c r="C608" t="inlineStr">
        <is>
          <t>CPR</t>
        </is>
      </c>
      <c r="D608" t="n">
        <v>32</v>
      </c>
      <c r="E608">
        <f>IF(D4917&gt;0,VLOOKUP(OPERAC[[#This Row],[COD CART]],[1]!MatrizCortoLargoCyl[#All],3,0),"")</f>
        <v/>
      </c>
      <c r="F608" t="inlineStr">
        <is>
          <t>COTY/CYL/8,00/17-06-22</t>
        </is>
      </c>
      <c r="G608" t="n">
        <v>200</v>
      </c>
      <c r="H608">
        <f>-1512.41+13.986</f>
        <v/>
      </c>
      <c r="I608">
        <f>-H4917/G4917</f>
        <v/>
      </c>
    </row>
    <row r="609">
      <c r="A609" t="n">
        <v>2218</v>
      </c>
      <c r="B609" s="16" t="n">
        <v>44680</v>
      </c>
      <c r="C609" t="inlineStr">
        <is>
          <t>CPR</t>
        </is>
      </c>
      <c r="D609" t="n">
        <v>31</v>
      </c>
      <c r="E609">
        <f>IF(D5716&gt;0,VLOOKUP(OPERAC[[#This Row],[COD CART]],[1]!MatrizCortoLargoCyl[#All],3,0),"")</f>
        <v/>
      </c>
      <c r="F609" t="inlineStr">
        <is>
          <t>DHR</t>
        </is>
      </c>
      <c r="G609" t="n">
        <v>10</v>
      </c>
      <c r="H609" t="n">
        <v>-2553.951</v>
      </c>
      <c r="I609">
        <f>-H5716/G5716</f>
        <v/>
      </c>
      <c r="J609" s="16" t="n">
        <v>44690</v>
      </c>
      <c r="K609" t="n">
        <v>10</v>
      </c>
      <c r="L609" t="n">
        <v>2378.619</v>
      </c>
    </row>
    <row r="610">
      <c r="A610" t="n">
        <v>2218</v>
      </c>
      <c r="B610" s="16" t="n">
        <v>44680</v>
      </c>
      <c r="C610" t="inlineStr">
        <is>
          <t>CPR</t>
        </is>
      </c>
      <c r="D610" t="n">
        <v>32</v>
      </c>
      <c r="E610">
        <f>IF(D5864&gt;0,VLOOKUP(OPERAC[[#This Row],[COD CART]],[1]!MatrizCortoLargoCyl[#All],3,0),"")</f>
        <v/>
      </c>
      <c r="F610" t="inlineStr">
        <is>
          <t>TDOC/CYL/31,00/20-05-22</t>
        </is>
      </c>
      <c r="G610" t="n">
        <v>100</v>
      </c>
      <c r="H610" t="n">
        <v>-2944.75</v>
      </c>
      <c r="I610">
        <f>-H5864/G5864</f>
        <v/>
      </c>
      <c r="J610" s="16" t="n">
        <v>44701</v>
      </c>
      <c r="K610" t="n">
        <v>100</v>
      </c>
      <c r="L610" t="n">
        <v>3096.07</v>
      </c>
    </row>
    <row r="611">
      <c r="A611" t="n">
        <v>2218</v>
      </c>
      <c r="B611" s="16" t="n">
        <v>44680</v>
      </c>
      <c r="C611" t="inlineStr">
        <is>
          <t>CPR</t>
        </is>
      </c>
      <c r="D611" t="n">
        <v>42</v>
      </c>
      <c r="E611">
        <f>IF(D6244&gt;0,VLOOKUP(OPERAC[[#This Row],[COD CART]],[1]!MatrizCortoLargoCyl[#All],3,0),"")</f>
        <v/>
      </c>
      <c r="F611" t="inlineStr">
        <is>
          <t>XLP</t>
        </is>
      </c>
      <c r="G611" t="n">
        <v>83</v>
      </c>
      <c r="H611" t="n">
        <v>-6544.032494999999</v>
      </c>
      <c r="I611">
        <f>-H6244/G6244</f>
        <v/>
      </c>
      <c r="J611" s="16" t="n">
        <v>44690</v>
      </c>
      <c r="K611" t="n">
        <v>83</v>
      </c>
      <c r="L611" t="n">
        <v>6347.71</v>
      </c>
    </row>
    <row r="612">
      <c r="A612" t="n">
        <v>2218</v>
      </c>
      <c r="B612" s="16" t="n">
        <v>44680</v>
      </c>
      <c r="C612" t="inlineStr">
        <is>
          <t>VTA</t>
        </is>
      </c>
      <c r="D612" t="n">
        <v>39</v>
      </c>
      <c r="E612">
        <f>IF(D551&gt;0,VLOOKUP(OPERAC[[#This Row],[COD CART]],[1]!MatrizCortoLargoCyl[#All],3,0),"")</f>
        <v/>
      </c>
      <c r="F612" t="inlineStr">
        <is>
          <t>TSLA/V/650,00/13-05-22</t>
        </is>
      </c>
      <c r="G612" t="n">
        <v>-500</v>
      </c>
      <c r="H612" t="n">
        <v>774.225</v>
      </c>
      <c r="I612">
        <f>-H551/G551</f>
        <v/>
      </c>
      <c r="J612" s="16" t="n">
        <v>44694</v>
      </c>
      <c r="K612" t="n">
        <v>-500</v>
      </c>
      <c r="L612" t="n">
        <v>0</v>
      </c>
    </row>
    <row r="613">
      <c r="A613" t="n">
        <v>2218</v>
      </c>
      <c r="B613" s="16" t="n">
        <v>44684</v>
      </c>
      <c r="C613" t="inlineStr">
        <is>
          <t>VTA</t>
        </is>
      </c>
      <c r="D613" t="n">
        <v>39</v>
      </c>
      <c r="E613">
        <f>IF(D434&gt;0,VLOOKUP(OPERAC[[#This Row],[COD CART]],[1]!MatrizCortoLargoCyl[#All],3,0),"")</f>
        <v/>
      </c>
      <c r="F613" t="inlineStr">
        <is>
          <t>TSLA/V/700,00/06-05-22</t>
        </is>
      </c>
      <c r="G613" t="n">
        <v>-1500</v>
      </c>
      <c r="H613" t="n">
        <v>1048.95</v>
      </c>
      <c r="I613">
        <f>-H434/G434</f>
        <v/>
      </c>
      <c r="J613" s="16" t="n">
        <v>44687</v>
      </c>
      <c r="K613" t="n">
        <v>-1500</v>
      </c>
      <c r="L613" t="n">
        <v>0</v>
      </c>
    </row>
    <row r="614">
      <c r="A614" t="n">
        <v>2218</v>
      </c>
      <c r="B614" s="16" t="n">
        <v>44685</v>
      </c>
      <c r="C614" t="inlineStr">
        <is>
          <t>VTA</t>
        </is>
      </c>
      <c r="D614" t="n">
        <v>39</v>
      </c>
      <c r="E614">
        <f>IF(D336&gt;0,VLOOKUP(OPERAC[[#This Row],[COD CART]],[1]!MatrizCortoLargoCyl[#All],3,0),"")</f>
        <v/>
      </c>
      <c r="F614" t="inlineStr">
        <is>
          <t>TSLA/V/800,00/06-05-22</t>
        </is>
      </c>
      <c r="G614" t="n">
        <v>-1000</v>
      </c>
      <c r="H614" t="n">
        <v>1348.65</v>
      </c>
      <c r="I614">
        <f>-H336/G336</f>
        <v/>
      </c>
      <c r="J614" s="16" t="n">
        <v>44687</v>
      </c>
      <c r="K614" t="n">
        <v>-1000</v>
      </c>
      <c r="L614" t="n">
        <v>0</v>
      </c>
    </row>
    <row r="615">
      <c r="A615" t="n">
        <v>2218</v>
      </c>
      <c r="B615" s="16" t="n">
        <v>44686</v>
      </c>
      <c r="C615" t="inlineStr">
        <is>
          <t>VTA</t>
        </is>
      </c>
      <c r="D615" t="n">
        <v>39</v>
      </c>
      <c r="E615">
        <f>IF(D9&gt;0,VLOOKUP(OPERAC[[#This Row],[COD CART]],[1]!MatrizCortoLargoCyl[#All],3,0),"")</f>
        <v/>
      </c>
      <c r="F615" t="inlineStr">
        <is>
          <t>TSLA/V/725,00/20-05-22</t>
        </is>
      </c>
      <c r="G615" t="n">
        <v>-1000</v>
      </c>
      <c r="H615" t="n">
        <v>12487.5</v>
      </c>
      <c r="I615">
        <f>-H9/G9</f>
        <v/>
      </c>
      <c r="J615" s="16" t="n">
        <v>44693</v>
      </c>
      <c r="K615" t="n">
        <v>-1000</v>
      </c>
      <c r="L615" t="n">
        <v>-53053</v>
      </c>
    </row>
    <row r="616">
      <c r="A616" t="n">
        <v>2218</v>
      </c>
      <c r="B616" s="16" t="n">
        <v>44686</v>
      </c>
      <c r="C616" t="inlineStr">
        <is>
          <t>VTA</t>
        </is>
      </c>
      <c r="D616" t="n">
        <v>32</v>
      </c>
      <c r="E616">
        <f>IF(D1274&gt;0,VLOOKUP(OPERAC[[#This Row],[COD CART]],[1]!MatrizCortoLargoCyl[#All],3,0),"")</f>
        <v/>
      </c>
      <c r="F616" t="inlineStr">
        <is>
          <t>HEXO/CYL/1,00/20-01-23</t>
        </is>
      </c>
      <c r="G616" t="n">
        <v>100</v>
      </c>
      <c r="H616">
        <f>-0.55*OPERAC[[#This Row],[cantidad]]</f>
        <v/>
      </c>
      <c r="I616">
        <f>-H1274/G1274</f>
        <v/>
      </c>
    </row>
    <row r="617">
      <c r="A617" t="n">
        <v>2218</v>
      </c>
      <c r="B617" s="16" t="n">
        <v>44687</v>
      </c>
      <c r="C617" t="inlineStr">
        <is>
          <t>CPR</t>
        </is>
      </c>
      <c r="D617" t="n">
        <v>43</v>
      </c>
      <c r="E617">
        <f>IF(D6145&gt;0,VLOOKUP(OPERAC[[#This Row],[COD CART]],[1]!MatrizCortoLargoCyl[#All],3,0),"")</f>
        <v/>
      </c>
      <c r="F617" t="inlineStr">
        <is>
          <t>SPWR/CYP/16,50-15,50/20-05-22</t>
        </is>
      </c>
      <c r="G617" t="n">
        <v>300</v>
      </c>
      <c r="H617" t="n">
        <v>-4799.898</v>
      </c>
      <c r="I617">
        <f>-H6145/G6145</f>
        <v/>
      </c>
      <c r="J617" s="16" t="n">
        <v>44701</v>
      </c>
      <c r="K617" t="n">
        <v>300</v>
      </c>
      <c r="L617" t="n">
        <v>4930.035</v>
      </c>
    </row>
    <row r="618">
      <c r="A618" t="n">
        <v>2218</v>
      </c>
      <c r="B618" s="16" t="n">
        <v>44691</v>
      </c>
      <c r="C618" t="inlineStr">
        <is>
          <t>CPR</t>
        </is>
      </c>
      <c r="D618" t="n">
        <v>32</v>
      </c>
      <c r="E618">
        <f>IF(D6001&gt;0,VLOOKUP(OPERAC[[#This Row],[COD CART]],[1]!MatrizCortoLargoCyl[#All],3,0),"")</f>
        <v/>
      </c>
      <c r="F618" t="inlineStr">
        <is>
          <t>UPST/CYL/45,00/20-05-22</t>
        </is>
      </c>
      <c r="G618" t="n">
        <v>100</v>
      </c>
      <c r="H618" t="n">
        <v>-3321.11</v>
      </c>
      <c r="I618">
        <f>-H6001/G6001</f>
        <v/>
      </c>
      <c r="J618" s="16" t="n">
        <v>44698</v>
      </c>
      <c r="K618" t="n">
        <v>100</v>
      </c>
      <c r="L618" t="n">
        <v>3924.86</v>
      </c>
    </row>
    <row r="619">
      <c r="A619" t="n">
        <v>2218</v>
      </c>
      <c r="B619" s="16" t="n">
        <v>44691</v>
      </c>
      <c r="C619" t="inlineStr">
        <is>
          <t>CPR</t>
        </is>
      </c>
      <c r="D619" t="n">
        <v>32</v>
      </c>
      <c r="E619">
        <f>IF(D6011&gt;0,VLOOKUP(OPERAC[[#This Row],[COD CART]],[1]!MatrizCortoLargoCyl[#All],3,0),"")</f>
        <v/>
      </c>
      <c r="F619" t="inlineStr">
        <is>
          <t>UPST</t>
        </is>
      </c>
      <c r="G619" t="n">
        <v>100</v>
      </c>
      <c r="H619">
        <f>-3517.956+137.862</f>
        <v/>
      </c>
      <c r="I619">
        <f>-H6011/G6011</f>
        <v/>
      </c>
      <c r="J619" s="16" t="n">
        <v>44701</v>
      </c>
      <c r="K619" t="n">
        <v>100</v>
      </c>
      <c r="L619" t="n">
        <v>4420.425</v>
      </c>
    </row>
    <row r="620">
      <c r="A620" t="n">
        <v>2218</v>
      </c>
      <c r="B620" s="16" t="n">
        <v>44693</v>
      </c>
      <c r="C620" t="inlineStr">
        <is>
          <t>VTA</t>
        </is>
      </c>
      <c r="D620" t="n">
        <v>39</v>
      </c>
      <c r="E620">
        <f>IF(D330&gt;0,VLOOKUP(OPERAC[[#This Row],[COD CART]],[1]!MatrizCortoLargoCyl[#All],3,0),"")</f>
        <v/>
      </c>
      <c r="F620" t="inlineStr">
        <is>
          <t>TSLA/V/550,00/20-05-22</t>
        </is>
      </c>
      <c r="G620" t="n">
        <v>-300</v>
      </c>
      <c r="H620" t="n">
        <v>1378.62</v>
      </c>
      <c r="I620">
        <f>-H330/G330</f>
        <v/>
      </c>
      <c r="J620" s="16" t="n">
        <v>44700</v>
      </c>
      <c r="K620" t="n">
        <v>-300</v>
      </c>
      <c r="L620" t="n">
        <v>-57.057</v>
      </c>
    </row>
    <row r="621">
      <c r="A621" t="n">
        <v>2218</v>
      </c>
      <c r="B621" s="16" t="n">
        <v>44693</v>
      </c>
      <c r="C621" t="inlineStr">
        <is>
          <t>VTA</t>
        </is>
      </c>
      <c r="D621" t="n">
        <v>39</v>
      </c>
      <c r="E621">
        <f>IF(D569&gt;0,VLOOKUP(OPERAC[[#This Row],[COD CART]],[1]!MatrizCortoLargoCyl[#All],3,0),"")</f>
        <v/>
      </c>
      <c r="F621" t="inlineStr">
        <is>
          <t>TSLA/V/400,00/19-01-24</t>
        </is>
      </c>
      <c r="G621" t="n">
        <v>-10</v>
      </c>
      <c r="H621" t="n">
        <v>684.3099999999999</v>
      </c>
      <c r="I621">
        <f>-H569/G569</f>
        <v/>
      </c>
    </row>
    <row r="622">
      <c r="A622" t="n">
        <v>2218</v>
      </c>
      <c r="B622" s="16" t="n">
        <v>44694</v>
      </c>
      <c r="C622" t="inlineStr">
        <is>
          <t>CPR</t>
        </is>
      </c>
      <c r="D622" t="n">
        <v>39</v>
      </c>
      <c r="E622">
        <f>IF(D5659&gt;0,VLOOKUP(OPERAC[[#This Row],[COD CART]],[1]!MatrizCortoLargoCyl[#All],3,0),"")</f>
        <v/>
      </c>
      <c r="F622" t="inlineStr">
        <is>
          <t>NTLA/C/65,00/15-07-22</t>
        </is>
      </c>
      <c r="G622" t="n">
        <v>1000</v>
      </c>
      <c r="H622" t="n">
        <v>-2402.4</v>
      </c>
      <c r="I622">
        <f>-H5659/G5659</f>
        <v/>
      </c>
    </row>
    <row r="623">
      <c r="A623" t="n">
        <v>2218</v>
      </c>
      <c r="B623" s="16" t="n">
        <v>44698</v>
      </c>
      <c r="C623" t="inlineStr">
        <is>
          <t>CPR</t>
        </is>
      </c>
      <c r="D623" t="n">
        <v>32</v>
      </c>
      <c r="E623">
        <f>IF(D6105&gt;0,VLOOKUP(OPERAC[[#This Row],[COD CART]],[1]!MatrizCortoLargoCyl[#All],3,0),"")</f>
        <v/>
      </c>
      <c r="F623" t="inlineStr">
        <is>
          <t>UPST</t>
        </is>
      </c>
      <c r="G623" t="n">
        <v>100</v>
      </c>
      <c r="H623" t="n">
        <v>-4205.73</v>
      </c>
      <c r="I623">
        <f>-H6105/G6105</f>
        <v/>
      </c>
      <c r="J623" s="16" t="n">
        <v>44701</v>
      </c>
      <c r="K623" t="n">
        <v>100</v>
      </c>
      <c r="L623" t="n">
        <v>4420.425</v>
      </c>
    </row>
    <row r="624">
      <c r="A624" t="n">
        <v>2218</v>
      </c>
      <c r="B624" s="16" t="n">
        <v>44705</v>
      </c>
      <c r="C624" t="inlineStr">
        <is>
          <t>CPR</t>
        </is>
      </c>
      <c r="D624" t="n">
        <v>42</v>
      </c>
      <c r="E624">
        <f>IF(D6031&gt;0,VLOOKUP(OPERAC[[#This Row],[COD CART]],[1]!MatrizCortoLargoCyl[#All],3,0),"")</f>
        <v/>
      </c>
      <c r="F624" t="inlineStr">
        <is>
          <t>MELI</t>
        </is>
      </c>
      <c r="G624" t="n">
        <v>5</v>
      </c>
      <c r="H624" t="n">
        <v>-3513.51</v>
      </c>
      <c r="I624">
        <f>-H6031/G6031</f>
        <v/>
      </c>
      <c r="J624" s="16" t="n">
        <v>44706</v>
      </c>
      <c r="K624" t="n">
        <v>5</v>
      </c>
      <c r="L624" t="n">
        <v>3629.367</v>
      </c>
    </row>
    <row r="625">
      <c r="A625" t="n">
        <v>2218</v>
      </c>
      <c r="B625" s="16" t="n">
        <v>44705</v>
      </c>
      <c r="C625" t="inlineStr">
        <is>
          <t>VTA</t>
        </is>
      </c>
      <c r="D625" t="n">
        <v>42</v>
      </c>
      <c r="E625">
        <f>IF(D5411&gt;0,VLOOKUP(OPERAC[[#This Row],[COD CART]],[1]!MatrizCortoLargoCyl[#All],3,0),"")</f>
        <v/>
      </c>
      <c r="F625" t="inlineStr">
        <is>
          <t>AMD</t>
        </is>
      </c>
      <c r="G625" t="n">
        <v>20</v>
      </c>
      <c r="H625" t="n">
        <v>-1844.5427</v>
      </c>
      <c r="I625">
        <f>-H5411/G5411</f>
        <v/>
      </c>
      <c r="J625" s="16" t="n">
        <v>44707</v>
      </c>
      <c r="K625">
        <f>+OPERAC[[#This Row],[cantidad]]</f>
        <v/>
      </c>
      <c r="L625">
        <f>+OPERAC[[#This Row],[cantidad venta]]*94.8</f>
        <v/>
      </c>
    </row>
    <row r="626">
      <c r="A626" t="n">
        <v>2218</v>
      </c>
      <c r="B626" s="16" t="n">
        <v>44707</v>
      </c>
      <c r="C626" t="inlineStr">
        <is>
          <t>CPR</t>
        </is>
      </c>
      <c r="D626" t="n">
        <v>42</v>
      </c>
      <c r="E626">
        <f>IF(D4146&gt;0,VLOOKUP(OPERAC[[#This Row],[COD CART]],[1]!MatrizCortoLargoCyl[#All],3,0),"")</f>
        <v/>
      </c>
      <c r="F626" t="inlineStr">
        <is>
          <t>PCT</t>
        </is>
      </c>
      <c r="G626" t="n">
        <v>100</v>
      </c>
      <c r="H626" t="n">
        <v>-965.826862</v>
      </c>
      <c r="I626">
        <f>-H4146/G4146</f>
        <v/>
      </c>
    </row>
    <row r="627">
      <c r="A627" t="n">
        <v>2218</v>
      </c>
      <c r="B627" s="16" t="n">
        <v>44707</v>
      </c>
      <c r="C627" t="inlineStr">
        <is>
          <t>CPR</t>
        </is>
      </c>
      <c r="D627" t="n">
        <v>32</v>
      </c>
      <c r="E627">
        <f>IF(D5758&gt;0,VLOOKUP(OPERAC[[#This Row],[COD CART]],[1]!MatrizCortoLargoCyl[#All],3,0),"")</f>
        <v/>
      </c>
      <c r="F627" t="inlineStr">
        <is>
          <t>BIG/CYL/27,50/17-06-22</t>
        </is>
      </c>
      <c r="G627" t="n">
        <v>100</v>
      </c>
      <c r="H627" t="n">
        <v>-2636.628</v>
      </c>
      <c r="I627">
        <f>-H5758/G5758</f>
        <v/>
      </c>
    </row>
    <row r="628">
      <c r="A628" t="n">
        <v>2218</v>
      </c>
      <c r="B628" s="16" t="n">
        <v>44708</v>
      </c>
      <c r="C628" t="inlineStr">
        <is>
          <t>VTA</t>
        </is>
      </c>
      <c r="D628" t="n">
        <v>42</v>
      </c>
      <c r="E628">
        <f>IF(D5391&gt;0,VLOOKUP(OPERAC[[#This Row],[COD CART]],[1]!MatrizCortoLargoCyl[#All],3,0),"")</f>
        <v/>
      </c>
      <c r="F628" t="inlineStr">
        <is>
          <t>ACB</t>
        </is>
      </c>
      <c r="G628" t="n">
        <v>1000</v>
      </c>
      <c r="H628" t="n">
        <v>-1811.74626633</v>
      </c>
      <c r="I628">
        <f>-H5391/G5391</f>
        <v/>
      </c>
    </row>
    <row r="629">
      <c r="A629" t="n">
        <v>2218</v>
      </c>
      <c r="B629" s="16" t="n">
        <v>44712</v>
      </c>
      <c r="C629" t="inlineStr">
        <is>
          <t>CPR</t>
        </is>
      </c>
      <c r="D629" t="n">
        <v>32</v>
      </c>
      <c r="E629">
        <f>IF(D4570&gt;0,VLOOKUP(OPERAC[[#This Row],[COD CART]],[1]!MatrizCortoLargoCyl[#All],3,0),"")</f>
        <v/>
      </c>
      <c r="F629" t="inlineStr">
        <is>
          <t>AMC/CYL/13,00/10-06-22</t>
        </is>
      </c>
      <c r="G629" t="n">
        <v>100</v>
      </c>
      <c r="H629" t="n">
        <v>-1232.75</v>
      </c>
      <c r="I629">
        <f>-H4570/G4570</f>
        <v/>
      </c>
      <c r="J629" s="16" t="n">
        <v>44722</v>
      </c>
      <c r="K629" t="n">
        <v>100</v>
      </c>
      <c r="L629" t="n">
        <v>1234.29</v>
      </c>
    </row>
    <row r="630">
      <c r="A630" t="n">
        <v>2218</v>
      </c>
      <c r="B630" s="16" t="n">
        <v>44712</v>
      </c>
      <c r="C630" t="inlineStr">
        <is>
          <t>CPR</t>
        </is>
      </c>
      <c r="D630" t="n">
        <v>32</v>
      </c>
      <c r="E630">
        <f>IF(D4772&gt;0,VLOOKUP(OPERAC[[#This Row],[COD CART]],[1]!MatrizCortoLargoCyl[#All],3,0),"")</f>
        <v/>
      </c>
      <c r="F630" t="inlineStr">
        <is>
          <t>CRESY/CYL/7,50/17-06-22</t>
        </is>
      </c>
      <c r="G630" t="n">
        <v>200</v>
      </c>
      <c r="H630" t="n">
        <v>-1386.15</v>
      </c>
      <c r="I630">
        <f>-H4772/G4772</f>
        <v/>
      </c>
    </row>
    <row r="631">
      <c r="A631" t="n">
        <v>2218</v>
      </c>
      <c r="B631" s="16" t="n">
        <v>44712</v>
      </c>
      <c r="C631" t="inlineStr">
        <is>
          <t>CPR</t>
        </is>
      </c>
      <c r="D631" t="n">
        <v>42</v>
      </c>
      <c r="E631">
        <f>IF(D5866&gt;0,VLOOKUP(OPERAC[[#This Row],[COD CART]],[1]!MatrizCortoLargoCyl[#All],3,0),"")</f>
        <v/>
      </c>
      <c r="F631" t="inlineStr">
        <is>
          <t>KWEB</t>
        </is>
      </c>
      <c r="G631" t="n">
        <v>100</v>
      </c>
      <c r="H631" t="n">
        <v>-2947.945</v>
      </c>
      <c r="I631">
        <f>-H5866/G5866</f>
        <v/>
      </c>
    </row>
    <row r="632">
      <c r="A632" t="n">
        <v>2218</v>
      </c>
      <c r="B632" s="16" t="n">
        <v>44712</v>
      </c>
      <c r="C632" t="inlineStr">
        <is>
          <t>CPR</t>
        </is>
      </c>
      <c r="D632" t="n">
        <v>40</v>
      </c>
      <c r="E632">
        <f>IF(D6143&gt;0,VLOOKUP(OPERAC[[#This Row],[COD CART]],[1]!MatrizCortoLargoCyl[#All],3,0),"")</f>
        <v/>
      </c>
      <c r="F632" t="inlineStr">
        <is>
          <t>AMZN</t>
        </is>
      </c>
      <c r="G632" t="n">
        <v>40</v>
      </c>
      <c r="H632" t="n">
        <v>-4788.744</v>
      </c>
      <c r="I632">
        <f>-H6143/G6143</f>
        <v/>
      </c>
    </row>
    <row r="633">
      <c r="A633" t="n">
        <v>2218</v>
      </c>
      <c r="B633" s="16" t="n">
        <v>44712</v>
      </c>
      <c r="C633" t="inlineStr">
        <is>
          <t>CPR</t>
        </is>
      </c>
      <c r="D633" t="n">
        <v>32</v>
      </c>
      <c r="E633">
        <f>IF(D6299&gt;0,VLOOKUP(OPERAC[[#This Row],[COD CART]],[1]!MatrizCortoLargoCyl[#All],3,0),"")</f>
        <v/>
      </c>
      <c r="F633" t="inlineStr">
        <is>
          <t>BABA</t>
        </is>
      </c>
      <c r="G633" t="n">
        <v>100</v>
      </c>
      <c r="H633">
        <f>-9743.97-1273.272+199.8</f>
        <v/>
      </c>
      <c r="I633">
        <f>-H6299/G6299</f>
        <v/>
      </c>
    </row>
    <row r="634">
      <c r="A634" t="n">
        <v>2218</v>
      </c>
      <c r="B634" s="16" t="n">
        <v>44712</v>
      </c>
      <c r="C634" t="inlineStr">
        <is>
          <t>VTA</t>
        </is>
      </c>
      <c r="D634" t="n">
        <v>39</v>
      </c>
      <c r="E634">
        <f>IF(D1549&gt;0,VLOOKUP(OPERAC[[#This Row],[COD CART]],[1]!MatrizCortoLargoCyl[#All],3,0),"")</f>
        <v/>
      </c>
      <c r="F634" t="inlineStr">
        <is>
          <t>ET/C/10,00/21-10-22</t>
        </is>
      </c>
      <c r="G634" t="n">
        <v>100</v>
      </c>
      <c r="H634" t="n">
        <v>-202.202</v>
      </c>
      <c r="I634">
        <f>-H1549/G1549</f>
        <v/>
      </c>
    </row>
    <row r="635">
      <c r="A635" t="n">
        <v>2218</v>
      </c>
      <c r="B635" s="16" t="n">
        <v>44718</v>
      </c>
      <c r="C635" t="inlineStr">
        <is>
          <t>VTA</t>
        </is>
      </c>
      <c r="D635" t="n">
        <v>39</v>
      </c>
      <c r="E635">
        <f>IF(D1079&gt;0,VLOOKUP(OPERAC[[#This Row],[COD CART]],[1]!MatrizCortoLargoCyl[#All],3,0),"")</f>
        <v/>
      </c>
      <c r="F635" t="inlineStr">
        <is>
          <t>MELI/V/490,00/16-09-22</t>
        </is>
      </c>
      <c r="G635" t="n">
        <v>-2</v>
      </c>
      <c r="H635" t="n">
        <v>30.969</v>
      </c>
      <c r="I635">
        <f>-H1079/G1079</f>
        <v/>
      </c>
    </row>
    <row r="636">
      <c r="A636" t="n">
        <v>2218</v>
      </c>
      <c r="B636" s="16" t="n">
        <v>44719</v>
      </c>
      <c r="C636" t="inlineStr">
        <is>
          <t>VTA</t>
        </is>
      </c>
      <c r="D636" t="n">
        <v>39</v>
      </c>
      <c r="E636">
        <f>IF(D265&gt;0,VLOOKUP(OPERAC[[#This Row],[COD CART]],[1]!MatrizCortoLargoCyl[#All],3,0),"")</f>
        <v/>
      </c>
      <c r="F636" t="inlineStr">
        <is>
          <t>TSLA/P/600,00/10-06-22</t>
        </is>
      </c>
      <c r="G636" t="n">
        <v>-800</v>
      </c>
      <c r="H636" t="n">
        <v>1686.312</v>
      </c>
      <c r="I636">
        <f>-H265/G265</f>
        <v/>
      </c>
      <c r="J636" s="16" t="n">
        <v>44719</v>
      </c>
      <c r="K636" t="n">
        <v>-800</v>
      </c>
      <c r="L636" t="n">
        <v>-568.568</v>
      </c>
    </row>
    <row r="637">
      <c r="A637" t="n">
        <v>2218</v>
      </c>
      <c r="B637" s="16" t="n">
        <v>44719</v>
      </c>
      <c r="C637" t="inlineStr">
        <is>
          <t>VTA</t>
        </is>
      </c>
      <c r="D637" t="n">
        <v>39</v>
      </c>
      <c r="E637">
        <f>IF(D304&gt;0,VLOOKUP(OPERAC[[#This Row],[COD CART]],[1]!MatrizCortoLargoCyl[#All],3,0),"")</f>
        <v/>
      </c>
      <c r="F637" t="inlineStr">
        <is>
          <t>TSLA/C/790,00/10-06-22</t>
        </is>
      </c>
      <c r="G637" t="n">
        <v>-700</v>
      </c>
      <c r="H637" t="n">
        <v>1503.495</v>
      </c>
      <c r="I637">
        <f>-H304/G304</f>
        <v/>
      </c>
      <c r="J637" s="16" t="n">
        <v>44722</v>
      </c>
      <c r="K637">
        <f>+OPERAC[[#This Row],[cantidad]]</f>
        <v/>
      </c>
      <c r="L637" t="n">
        <v>0</v>
      </c>
    </row>
    <row r="638">
      <c r="A638" t="n">
        <v>2218</v>
      </c>
      <c r="B638" s="16" t="n">
        <v>44719</v>
      </c>
      <c r="C638" t="inlineStr">
        <is>
          <t>VTA</t>
        </is>
      </c>
      <c r="D638" t="n">
        <v>39</v>
      </c>
      <c r="E638">
        <f>IF(D622&gt;0,VLOOKUP(OPERAC[[#This Row],[COD CART]],[1]!MatrizCortoLargoCyl[#All],3,0),"")</f>
        <v/>
      </c>
      <c r="F638" t="inlineStr">
        <is>
          <t>TSLA/V/625,00/10-06-22</t>
        </is>
      </c>
      <c r="G638" t="n">
        <v>-400</v>
      </c>
      <c r="H638" t="n">
        <v>579.42</v>
      </c>
      <c r="I638">
        <f>-H622/G622</f>
        <v/>
      </c>
      <c r="J638" s="16" t="n">
        <v>44721</v>
      </c>
      <c r="K638" t="n">
        <v>-400</v>
      </c>
      <c r="L638" t="n">
        <v>-92.092</v>
      </c>
    </row>
    <row r="639">
      <c r="A639" t="n">
        <v>2218</v>
      </c>
      <c r="B639" s="16" t="n">
        <v>44720</v>
      </c>
      <c r="C639" t="inlineStr">
        <is>
          <t>CPR</t>
        </is>
      </c>
      <c r="D639" t="n">
        <v>39</v>
      </c>
      <c r="E639">
        <f>IF(D6209&gt;0,VLOOKUP(OPERAC[[#This Row],[COD CART]],[1]!MatrizCortoLargoCyl[#All],3,0),"")</f>
        <v/>
      </c>
      <c r="F639" t="inlineStr">
        <is>
          <t>BABA/C/100,00/20-01-23</t>
        </is>
      </c>
      <c r="G639" t="n">
        <v>200</v>
      </c>
      <c r="H639" t="n">
        <v>-5705.7</v>
      </c>
      <c r="I639">
        <f>-H6209/G6209</f>
        <v/>
      </c>
    </row>
    <row r="640">
      <c r="A640" t="n">
        <v>2218</v>
      </c>
      <c r="B640" s="16" t="n">
        <v>44720</v>
      </c>
      <c r="C640" t="inlineStr">
        <is>
          <t>CPR</t>
        </is>
      </c>
      <c r="D640" t="n">
        <v>42</v>
      </c>
      <c r="E640">
        <f>IF(D6266&gt;0,VLOOKUP(OPERAC[[#This Row],[COD CART]],[1]!MatrizCortoLargoCyl[#All],3,0),"")</f>
        <v/>
      </c>
      <c r="F640" t="inlineStr">
        <is>
          <t>HYDR</t>
        </is>
      </c>
      <c r="G640" t="n">
        <v>500</v>
      </c>
      <c r="H640" t="n">
        <v>-7507.5</v>
      </c>
      <c r="I640">
        <f>-H6266/G6266</f>
        <v/>
      </c>
      <c r="J640" s="16" t="n">
        <v>44722</v>
      </c>
      <c r="K640" t="n">
        <v>500</v>
      </c>
      <c r="L640">
        <f>+OPERAC[[#This Row],[cantidad venta]]*12.837</f>
        <v/>
      </c>
    </row>
    <row r="641">
      <c r="A641" t="n">
        <v>2218</v>
      </c>
      <c r="B641" s="16" t="n">
        <v>44720</v>
      </c>
      <c r="C641" t="inlineStr">
        <is>
          <t>VTA</t>
        </is>
      </c>
      <c r="D641" t="n">
        <v>39</v>
      </c>
      <c r="E641">
        <f>IF(D863&gt;0,VLOOKUP(OPERAC[[#This Row],[COD CART]],[1]!MatrizCortoLargoCyl[#All],3,0),"")</f>
        <v/>
      </c>
      <c r="F641" t="inlineStr">
        <is>
          <t>BABA/C/132,00/17-06-22</t>
        </is>
      </c>
      <c r="G641" t="n">
        <v>-200</v>
      </c>
      <c r="H641" t="n">
        <v>199.8</v>
      </c>
      <c r="I641">
        <f>-H863/G863</f>
        <v/>
      </c>
    </row>
    <row r="642">
      <c r="A642" t="n">
        <v>2218</v>
      </c>
      <c r="B642" s="16" t="n">
        <v>44722</v>
      </c>
      <c r="C642" t="inlineStr">
        <is>
          <t>VTA</t>
        </is>
      </c>
      <c r="D642" t="n">
        <v>32</v>
      </c>
      <c r="E642">
        <f>IF(D3754&gt;0,VLOOKUP(OPERAC[[#This Row],[COD CART]],[1]!MatrizCortoLargoCyl[#All],3,0),"")</f>
        <v/>
      </c>
      <c r="F642" t="inlineStr">
        <is>
          <t>NNOX/CYL/9,00/17-06-22</t>
        </is>
      </c>
      <c r="G642" t="n">
        <v>100</v>
      </c>
      <c r="H642" t="n">
        <v>-844.8390000000001</v>
      </c>
      <c r="I642">
        <f>-H3754/G3754</f>
        <v/>
      </c>
    </row>
    <row r="643">
      <c r="A643" t="n">
        <v>2218</v>
      </c>
      <c r="B643" s="16" t="n">
        <v>44725</v>
      </c>
      <c r="C643" t="inlineStr">
        <is>
          <t>VTA</t>
        </is>
      </c>
      <c r="D643" t="n">
        <v>39</v>
      </c>
      <c r="E643">
        <f>IF(D809&gt;0,VLOOKUP(OPERAC[[#This Row],[COD CART]],[1]!MatrizCortoLargoCyl[#All],3,0),"")</f>
        <v/>
      </c>
      <c r="F643" t="inlineStr">
        <is>
          <t>MELI/P/360,00/19-01-24</t>
        </is>
      </c>
      <c r="G643" t="n">
        <v>-4</v>
      </c>
      <c r="H643" t="n">
        <v>247.752</v>
      </c>
      <c r="I643">
        <f>-H809/G809</f>
        <v/>
      </c>
    </row>
    <row r="644">
      <c r="A644" t="n">
        <v>2218</v>
      </c>
      <c r="B644" s="16" t="n">
        <v>44725</v>
      </c>
      <c r="C644" t="inlineStr">
        <is>
          <t>VTA</t>
        </is>
      </c>
      <c r="D644" t="n">
        <v>39</v>
      </c>
      <c r="E644">
        <f>IF(D945&gt;0,VLOOKUP(OPERAC[[#This Row],[COD CART]],[1]!MatrizCortoLargoCyl[#All],3,0),"")</f>
        <v/>
      </c>
      <c r="F644" t="inlineStr">
        <is>
          <t>SPWR/P/25,00/20-01-23</t>
        </is>
      </c>
      <c r="G644" t="n">
        <v>-10</v>
      </c>
      <c r="H644" t="n">
        <v>96.8031</v>
      </c>
      <c r="I644">
        <f>-H945/G945</f>
        <v/>
      </c>
    </row>
    <row r="645">
      <c r="A645" t="n">
        <v>2244</v>
      </c>
      <c r="B645" s="16" t="n">
        <v>44277</v>
      </c>
      <c r="C645" t="inlineStr">
        <is>
          <t>CPR</t>
        </is>
      </c>
      <c r="D645" t="n">
        <v>41</v>
      </c>
      <c r="E645">
        <f>IF(D5933&gt;0,VLOOKUP(OPERAC[[#This Row],[COD CART]],[1]!MatrizCortoLargoCyl[#All],3,0),"")</f>
        <v/>
      </c>
      <c r="F645" t="inlineStr">
        <is>
          <t>GBTC</t>
        </is>
      </c>
      <c r="G645" t="n">
        <v>60</v>
      </c>
      <c r="H645" t="n">
        <v>-3083.665</v>
      </c>
      <c r="I645">
        <f>-H5933/G5933</f>
        <v/>
      </c>
    </row>
    <row r="646">
      <c r="A646" t="n">
        <v>2244</v>
      </c>
      <c r="B646" s="16" t="n">
        <v>44662</v>
      </c>
      <c r="C646" t="inlineStr">
        <is>
          <t>VTA</t>
        </is>
      </c>
      <c r="D646" t="n">
        <v>42</v>
      </c>
      <c r="E646">
        <f>IF(D1298&gt;0,VLOOKUP(OPERAC[[#This Row],[COD CART]],[1]!MatrizCortoLargoCyl[#All],3,0),"")</f>
        <v/>
      </c>
      <c r="F646" t="inlineStr">
        <is>
          <t>HYDR</t>
        </is>
      </c>
      <c r="G646" t="n">
        <v>5</v>
      </c>
      <c r="H646" t="n">
        <v>-92.85172000000001</v>
      </c>
      <c r="I646">
        <f>-H1298/G1298</f>
        <v/>
      </c>
      <c r="J646" s="16" t="n">
        <v>44693</v>
      </c>
      <c r="K646">
        <f>+OPERAC[[#This Row],[cantidad]]</f>
        <v/>
      </c>
      <c r="L646">
        <f>+OPERAC[[#This Row],[cantidad venta]]*11.63</f>
        <v/>
      </c>
    </row>
    <row r="647">
      <c r="A647" t="n">
        <v>2253</v>
      </c>
      <c r="B647" s="16" t="n">
        <v>44253</v>
      </c>
      <c r="C647" t="inlineStr">
        <is>
          <t>VTA</t>
        </is>
      </c>
      <c r="D647" t="n">
        <v>39</v>
      </c>
      <c r="E647">
        <f>IF(D1237&gt;0,VLOOKUP(OPERAC[[#This Row],[COD CART]],[1]!MatrizCortoLargoCyl[#All],3,0),"")</f>
        <v/>
      </c>
      <c r="F647" t="inlineStr">
        <is>
          <t>TLRY1/V/10,00/20-01-23</t>
        </is>
      </c>
      <c r="G647" t="n">
        <v>-4</v>
      </c>
      <c r="H647" t="n">
        <v>4</v>
      </c>
      <c r="I647">
        <f>-H1237/G1237</f>
        <v/>
      </c>
      <c r="J647" s="16" t="n">
        <v>44617</v>
      </c>
      <c r="K647" t="n">
        <v>-2</v>
      </c>
      <c r="L647" t="n">
        <v>-10.29</v>
      </c>
    </row>
    <row r="648">
      <c r="A648" t="n">
        <v>2253</v>
      </c>
      <c r="B648" s="16" t="n">
        <v>44439</v>
      </c>
      <c r="C648" t="inlineStr">
        <is>
          <t>VTA</t>
        </is>
      </c>
      <c r="D648" t="n">
        <v>39</v>
      </c>
      <c r="E648">
        <f>IF(D1182&gt;0,VLOOKUP(OPERAC[[#This Row],[COD CART]],[1]!MatrizCortoLargoCyl[#All],3,0),"")</f>
        <v/>
      </c>
      <c r="F648" t="inlineStr">
        <is>
          <t>INO/V/5,00/20-01-23</t>
        </is>
      </c>
      <c r="G648" t="n">
        <v>-10</v>
      </c>
      <c r="H648" t="n">
        <v>10.43</v>
      </c>
      <c r="I648">
        <f>-H1182/G1182</f>
        <v/>
      </c>
    </row>
    <row r="649">
      <c r="A649" t="n">
        <v>2253</v>
      </c>
      <c r="B649" s="16" t="n">
        <v>44459</v>
      </c>
      <c r="C649" t="inlineStr">
        <is>
          <t>VTA</t>
        </is>
      </c>
      <c r="D649" t="n">
        <v>43</v>
      </c>
      <c r="E649">
        <f>IF(D2804&gt;0,VLOOKUP(OPERAC[[#This Row],[COD CART]],[1]!MatrizCortoLargoCyl[#All],3,0),"")</f>
        <v/>
      </c>
      <c r="F649" t="inlineStr">
        <is>
          <t>INO/CYL-PUT/7,00/21-01-22</t>
        </is>
      </c>
      <c r="G649" t="n">
        <v>100</v>
      </c>
      <c r="H649" t="n">
        <v>-515.45</v>
      </c>
      <c r="I649">
        <f>-H2804/G2804</f>
        <v/>
      </c>
      <c r="J649" s="16" t="n">
        <v>44581</v>
      </c>
      <c r="K649" t="n">
        <v>100</v>
      </c>
      <c r="L649" t="n">
        <v>125.796</v>
      </c>
    </row>
    <row r="650">
      <c r="A650" t="n">
        <v>2253</v>
      </c>
      <c r="B650" s="16" t="n">
        <v>44459</v>
      </c>
      <c r="C650" t="inlineStr">
        <is>
          <t>VTA</t>
        </is>
      </c>
      <c r="D650" t="n">
        <v>43</v>
      </c>
      <c r="E650">
        <f>IF(D3004&gt;0,VLOOKUP(OPERAC[[#This Row],[COD CART]],[1]!MatrizCortoLargoCyl[#All],3,0),"")</f>
        <v/>
      </c>
      <c r="F650" t="inlineStr">
        <is>
          <t>SOLO/CYL-PUT/3,00/17-06-22</t>
        </is>
      </c>
      <c r="G650" t="n">
        <v>300</v>
      </c>
      <c r="H650">
        <f>-691.97+0.137*OPERAC[[#This Row],[cantidad]]-312.669+43.44+341.034</f>
        <v/>
      </c>
      <c r="I650">
        <f>-H3004/G3004</f>
        <v/>
      </c>
      <c r="J650" s="16" t="n">
        <v>44712</v>
      </c>
      <c r="K650" t="n">
        <v>300</v>
      </c>
      <c r="L650">
        <f>26.3-454.5</f>
        <v/>
      </c>
    </row>
    <row r="651">
      <c r="A651" t="n">
        <v>2253</v>
      </c>
      <c r="B651" s="16" t="n">
        <v>44489</v>
      </c>
      <c r="C651" t="inlineStr">
        <is>
          <t>VTA</t>
        </is>
      </c>
      <c r="D651" t="n">
        <v>43</v>
      </c>
      <c r="E651">
        <f>IF(D1512&gt;0,VLOOKUP(OPERAC[[#This Row],[COD CART]],[1]!MatrizCortoLargoCyl[#All],3,0),"")</f>
        <v/>
      </c>
      <c r="F651" t="inlineStr">
        <is>
          <t>SESN/CYL-PUT/1,00/19-01-24</t>
        </is>
      </c>
      <c r="G651" t="n">
        <v>1000</v>
      </c>
      <c r="H651">
        <f>-0.1885*OPERAC[[#This Row],[cantidad]]</f>
        <v/>
      </c>
      <c r="I651">
        <f>-H1512/G1512</f>
        <v/>
      </c>
    </row>
    <row r="652">
      <c r="A652" t="n">
        <v>2253</v>
      </c>
      <c r="B652" s="16" t="n">
        <v>44495</v>
      </c>
      <c r="C652" t="inlineStr">
        <is>
          <t>VTA</t>
        </is>
      </c>
      <c r="D652" t="n">
        <v>39</v>
      </c>
      <c r="E652">
        <f>IF(D376&gt;0,VLOOKUP(OPERAC[[#This Row],[COD CART]],[1]!MatrizCortoLargoCyl[#All],3,0),"")</f>
        <v/>
      </c>
      <c r="F652" t="inlineStr">
        <is>
          <t>YPF/CC10/LP7/CP3/19-01-24</t>
        </is>
      </c>
      <c r="G652" t="n">
        <v>-500</v>
      </c>
      <c r="H652">
        <f>-2.41*OPERAC[[#This Row],[cantidad]]</f>
        <v/>
      </c>
      <c r="I652">
        <f>-H376/G376</f>
        <v/>
      </c>
    </row>
    <row r="653">
      <c r="A653" t="n">
        <v>2253</v>
      </c>
      <c r="B653" s="16" t="n">
        <v>44511</v>
      </c>
      <c r="C653" t="inlineStr">
        <is>
          <t>VTA</t>
        </is>
      </c>
      <c r="D653" t="n">
        <v>31</v>
      </c>
      <c r="E653">
        <f>IF(D2905&gt;0,VLOOKUP(OPERAC[[#This Row],[COD CART]],[1]!MatrizCortoLargoCyl[#All],3,0),"")</f>
        <v/>
      </c>
      <c r="F653" t="inlineStr">
        <is>
          <t>IPIX</t>
        </is>
      </c>
      <c r="G653" t="n">
        <v>5000</v>
      </c>
      <c r="H653" t="n">
        <v>-549.95</v>
      </c>
      <c r="I653">
        <f>-H2905/G2905</f>
        <v/>
      </c>
    </row>
    <row r="654">
      <c r="A654" t="n">
        <v>2253</v>
      </c>
      <c r="B654" s="16" t="n">
        <v>44532</v>
      </c>
      <c r="C654" t="inlineStr">
        <is>
          <t>VTA</t>
        </is>
      </c>
      <c r="D654" t="n">
        <v>32</v>
      </c>
      <c r="E654">
        <f>IF(D3919&gt;0,VLOOKUP(OPERAC[[#This Row],[COD CART]],[1]!MatrizCortoLargoCyl[#All],3,0),"")</f>
        <v/>
      </c>
      <c r="F654" t="inlineStr">
        <is>
          <t>COTY/CYL/10,00/18-02-22</t>
        </is>
      </c>
      <c r="G654" t="n">
        <v>100</v>
      </c>
      <c r="H654">
        <f>-901.599+20.838</f>
        <v/>
      </c>
      <c r="I654">
        <f>-H3919/G3919</f>
        <v/>
      </c>
      <c r="J654" s="16" t="n">
        <v>44608</v>
      </c>
      <c r="K654">
        <f>+OPERAC[[#This Row],[cantidad]]</f>
        <v/>
      </c>
      <c r="L654" t="n">
        <v>941.701</v>
      </c>
    </row>
    <row r="655">
      <c r="A655" t="n">
        <v>2253</v>
      </c>
      <c r="B655" s="16" t="n">
        <v>44533</v>
      </c>
      <c r="C655" t="inlineStr">
        <is>
          <t>CPR</t>
        </is>
      </c>
      <c r="D655" t="n">
        <v>32</v>
      </c>
      <c r="E655">
        <f>IF(D4533&gt;0,VLOOKUP(OPERAC[[#This Row],[COD CART]],[1]!MatrizCortoLargoCyl[#All],3,0),"")</f>
        <v/>
      </c>
      <c r="F655" t="inlineStr">
        <is>
          <t>HIMX/BULL/11,00-12,00/21-01-22</t>
        </is>
      </c>
      <c r="G655" t="n">
        <v>100</v>
      </c>
      <c r="H655">
        <f>-0.975*OPERAC[[#This Row],[cantidad]]-1103.3</f>
        <v/>
      </c>
      <c r="I655">
        <f>-H4533/G4533</f>
        <v/>
      </c>
      <c r="J655" s="16" t="n">
        <v>44575</v>
      </c>
      <c r="K655" t="n">
        <v>100</v>
      </c>
      <c r="L655" t="n">
        <v>1171.965</v>
      </c>
    </row>
    <row r="656">
      <c r="A656" t="n">
        <v>2253</v>
      </c>
      <c r="B656" s="16" t="n">
        <v>44533</v>
      </c>
      <c r="C656" t="inlineStr">
        <is>
          <t>CPR</t>
        </is>
      </c>
      <c r="D656" t="n">
        <v>40</v>
      </c>
      <c r="E656">
        <f>IF(D5639&gt;0,VLOOKUP(OPERAC[[#This Row],[COD CART]],[1]!MatrizCortoLargoCyl[#All],3,0),"")</f>
        <v/>
      </c>
      <c r="F656" t="inlineStr">
        <is>
          <t>SSYS</t>
        </is>
      </c>
      <c r="G656" t="n">
        <v>100</v>
      </c>
      <c r="H656" t="n">
        <v>-2339.12</v>
      </c>
      <c r="I656">
        <f>-H5639/G5639</f>
        <v/>
      </c>
      <c r="J656" s="16" t="n">
        <v>44600</v>
      </c>
      <c r="K656" t="n">
        <v>100</v>
      </c>
      <c r="L656" t="n">
        <v>2405</v>
      </c>
    </row>
    <row r="657">
      <c r="A657" t="n">
        <v>2253</v>
      </c>
      <c r="B657" s="16" t="n">
        <v>44533</v>
      </c>
      <c r="C657" t="inlineStr">
        <is>
          <t>VTA</t>
        </is>
      </c>
      <c r="D657" t="n">
        <v>32</v>
      </c>
      <c r="E657">
        <f>IF(D5000&gt;0,VLOOKUP(OPERAC[[#This Row],[COD CART]],[1]!MatrizCortoLargoCyl[#All],3,0),"")</f>
        <v/>
      </c>
      <c r="F657" t="inlineStr">
        <is>
          <t>AAL/CYL/20,00/14-04-22</t>
        </is>
      </c>
      <c r="G657" t="n">
        <v>100</v>
      </c>
      <c r="H657">
        <f>-1601.578+10.412+37.074+21.543</f>
        <v/>
      </c>
      <c r="I657">
        <f>-H5000/G5000</f>
        <v/>
      </c>
      <c r="J657" s="16" t="n">
        <v>44665</v>
      </c>
      <c r="K657" t="n">
        <v>100</v>
      </c>
      <c r="L657" t="n">
        <v>1935</v>
      </c>
    </row>
    <row r="658">
      <c r="A658" t="n">
        <v>2253</v>
      </c>
      <c r="B658" s="16" t="n">
        <v>44536</v>
      </c>
      <c r="C658" t="inlineStr">
        <is>
          <t>CPR</t>
        </is>
      </c>
      <c r="D658" t="n">
        <v>43</v>
      </c>
      <c r="E658">
        <f>IF(D4365&gt;0,VLOOKUP(OPERAC[[#This Row],[COD CART]],[1]!MatrizCortoLargoCyl[#All],3,0),"")</f>
        <v/>
      </c>
      <c r="F658" t="inlineStr">
        <is>
          <t>NNDM/CYL-PUT/2,50/19-01-24</t>
        </is>
      </c>
      <c r="G658" t="n">
        <v>1000</v>
      </c>
      <c r="H658">
        <f>-1.08*OPERAC[[#This Row],[cantidad]]</f>
        <v/>
      </c>
      <c r="I658">
        <f>-H4365/G4365</f>
        <v/>
      </c>
    </row>
    <row r="659">
      <c r="A659" t="n">
        <v>2253</v>
      </c>
      <c r="B659" s="16" t="n">
        <v>44536</v>
      </c>
      <c r="C659" t="inlineStr">
        <is>
          <t>VTA</t>
        </is>
      </c>
      <c r="D659" t="n">
        <v>43</v>
      </c>
      <c r="E659">
        <f>IF(D2095&gt;0,VLOOKUP(OPERAC[[#This Row],[COD CART]],[1]!MatrizCortoLargoCyl[#All],3,0),"")</f>
        <v/>
      </c>
      <c r="F659" t="inlineStr">
        <is>
          <t>HEXO/CYL-PUT/1,00/20-01-23</t>
        </is>
      </c>
      <c r="G659" t="n">
        <v>2000</v>
      </c>
      <c r="H659">
        <f>-0.1671*OPERAC[[#This Row],[cantidad]]</f>
        <v/>
      </c>
      <c r="I659">
        <f>-H2095/G2095</f>
        <v/>
      </c>
      <c r="J659" s="16" t="n">
        <v>44712</v>
      </c>
      <c r="K659" t="n">
        <v>2000</v>
      </c>
      <c r="L659" t="n">
        <v>289.29</v>
      </c>
    </row>
    <row r="660">
      <c r="A660" t="n">
        <v>2253</v>
      </c>
      <c r="B660" s="16" t="n">
        <v>44557</v>
      </c>
      <c r="C660" t="inlineStr">
        <is>
          <t>CPR</t>
        </is>
      </c>
      <c r="D660" t="n">
        <v>32</v>
      </c>
      <c r="E660">
        <f>IF(D4203&gt;0,VLOOKUP(OPERAC[[#This Row],[COD CART]],[1]!MatrizCortoLargoCyl[#All],3,0),"")</f>
        <v/>
      </c>
      <c r="F660" t="inlineStr">
        <is>
          <t>HIMX/CYL/12,00/21-01-22</t>
        </is>
      </c>
      <c r="G660" t="n">
        <v>100</v>
      </c>
      <c r="H660">
        <f>-9.9*OPERAC[[#This Row],[cantidad]]</f>
        <v/>
      </c>
      <c r="I660">
        <f>-H4203/G4203</f>
        <v/>
      </c>
      <c r="J660" s="16" t="n">
        <v>44575</v>
      </c>
      <c r="K660" t="n">
        <v>100</v>
      </c>
      <c r="L660" t="n">
        <v>1171.965</v>
      </c>
    </row>
    <row r="661">
      <c r="A661" t="n">
        <v>2253</v>
      </c>
      <c r="B661" s="16" t="n">
        <v>44558</v>
      </c>
      <c r="C661" t="inlineStr">
        <is>
          <t>VTA</t>
        </is>
      </c>
      <c r="D661" t="n">
        <v>40</v>
      </c>
      <c r="E661">
        <f>IF(D1938&gt;0,VLOOKUP(OPERAC[[#This Row],[COD CART]],[1]!MatrizCortoLargoCyl[#All],3,0),"")</f>
        <v/>
      </c>
      <c r="F661" t="inlineStr">
        <is>
          <t>UPST</t>
        </is>
      </c>
      <c r="G661" t="n">
        <v>2</v>
      </c>
      <c r="H661" t="n">
        <v>-301.2004</v>
      </c>
      <c r="I661">
        <f>-H1938/G1938</f>
        <v/>
      </c>
      <c r="J661" s="16" t="n">
        <v>44606</v>
      </c>
      <c r="K661">
        <f>+OPERAC[[#This Row],[cantidad]]</f>
        <v/>
      </c>
      <c r="L661">
        <f>+OPERAC[[#This Row],[cantidad venta]]*98.994</f>
        <v/>
      </c>
    </row>
    <row r="662">
      <c r="A662" t="n">
        <v>2253</v>
      </c>
      <c r="B662" s="16" t="n">
        <v>44575</v>
      </c>
      <c r="C662" t="inlineStr">
        <is>
          <t>VTA</t>
        </is>
      </c>
      <c r="D662" t="n">
        <v>40</v>
      </c>
      <c r="E662">
        <f>IF(D1991&gt;0,VLOOKUP(OPERAC[[#This Row],[COD CART]],[1]!MatrizCortoLargoCyl[#All],3,0),"")</f>
        <v/>
      </c>
      <c r="F662" t="inlineStr">
        <is>
          <t>GBTC</t>
        </is>
      </c>
      <c r="G662" t="n">
        <v>10</v>
      </c>
      <c r="H662" t="n">
        <v>-308.0948</v>
      </c>
      <c r="I662">
        <f>-H1991/G1991</f>
        <v/>
      </c>
      <c r="J662" s="16" t="n">
        <v>44651</v>
      </c>
      <c r="K662">
        <f>+OPERAC[[#This Row],[cantidad]]</f>
        <v/>
      </c>
      <c r="L662">
        <f>+OPERAC[[#This Row],[cantidad venta]]*31.332</f>
        <v/>
      </c>
    </row>
    <row r="663">
      <c r="A663" t="n">
        <v>2253</v>
      </c>
      <c r="B663" s="16" t="n">
        <v>44581</v>
      </c>
      <c r="C663" t="inlineStr">
        <is>
          <t>CPR</t>
        </is>
      </c>
      <c r="D663" t="n">
        <v>32</v>
      </c>
      <c r="E663">
        <f>IF(D4460&gt;0,VLOOKUP(OPERAC[[#This Row],[COD CART]],[1]!MatrizCortoLargoCyl[#All],3,0),"")</f>
        <v/>
      </c>
      <c r="F663" t="inlineStr">
        <is>
          <t>HMY/CYL/4,00/18-02-22</t>
        </is>
      </c>
      <c r="G663" t="n">
        <v>300</v>
      </c>
      <c r="H663" t="n">
        <v>-1162.403988</v>
      </c>
      <c r="I663">
        <f>-H4460/G4460</f>
        <v/>
      </c>
      <c r="J663" s="16" t="n">
        <v>44610</v>
      </c>
      <c r="K663">
        <f>+OPERAC[[#This Row],[cantidad]]</f>
        <v/>
      </c>
      <c r="L663">
        <f>+OPERAC[[#This Row],[cantidad venta]]*3.8323</f>
        <v/>
      </c>
    </row>
    <row r="664">
      <c r="A664" t="n">
        <v>2253</v>
      </c>
      <c r="B664" s="16" t="n">
        <v>44581</v>
      </c>
      <c r="C664" t="inlineStr">
        <is>
          <t>VTA</t>
        </is>
      </c>
      <c r="D664" t="n">
        <v>39</v>
      </c>
      <c r="E664">
        <f>IF(D648&gt;0,VLOOKUP(OPERAC[[#This Row],[COD CART]],[1]!MatrizCortoLargoCyl[#All],3,0),"")</f>
        <v/>
      </c>
      <c r="F664" t="inlineStr">
        <is>
          <t>ROKU/V/170,00/28-01-22</t>
        </is>
      </c>
      <c r="G664" t="n">
        <v>-100</v>
      </c>
      <c r="H664" t="n">
        <v>525.364</v>
      </c>
      <c r="I664">
        <f>-H648/G648</f>
        <v/>
      </c>
      <c r="J664" s="16" t="n">
        <v>44587</v>
      </c>
      <c r="K664">
        <f>+OPERAC[[#This Row],[cantidad]]</f>
        <v/>
      </c>
      <c r="L664">
        <f>-OPERAC[[#This Row],[importe]]</f>
        <v/>
      </c>
    </row>
    <row r="665">
      <c r="A665" t="n">
        <v>2253</v>
      </c>
      <c r="B665" s="16" t="n">
        <v>44582</v>
      </c>
      <c r="C665" t="inlineStr">
        <is>
          <t>CPR</t>
        </is>
      </c>
      <c r="D665" t="n">
        <v>40</v>
      </c>
      <c r="E665">
        <f>IF(D3605&gt;0,VLOOKUP(OPERAC[[#This Row],[COD CART]],[1]!MatrizCortoLargoCyl[#All],3,0),"")</f>
        <v/>
      </c>
      <c r="F665" t="inlineStr">
        <is>
          <t>NFLX</t>
        </is>
      </c>
      <c r="G665" t="n">
        <v>2</v>
      </c>
      <c r="H665" t="n">
        <v>-781.2742000000001</v>
      </c>
      <c r="I665">
        <f>-H3605/G3605</f>
        <v/>
      </c>
      <c r="J665" s="16" t="n">
        <v>44586</v>
      </c>
      <c r="K665" t="n">
        <v>2</v>
      </c>
      <c r="L665" t="n">
        <v>740.044</v>
      </c>
    </row>
    <row r="666">
      <c r="A666" t="n">
        <v>2253</v>
      </c>
      <c r="B666" s="16" t="n">
        <v>44586</v>
      </c>
      <c r="C666" t="inlineStr">
        <is>
          <t>CPR</t>
        </is>
      </c>
      <c r="D666" t="n">
        <v>43</v>
      </c>
      <c r="E666">
        <f>IF(D2733&gt;0,VLOOKUP(OPERAC[[#This Row],[COD CART]],[1]!MatrizCortoLargoCyl[#All],3,0),"")</f>
        <v/>
      </c>
      <c r="F666" t="inlineStr">
        <is>
          <t>GMBL/CYL-PUT/2,50/20-01-23</t>
        </is>
      </c>
      <c r="G666" t="n">
        <v>500</v>
      </c>
      <c r="H666" t="n">
        <v>-508.0223</v>
      </c>
      <c r="I666">
        <f>-H2733/G2733</f>
        <v/>
      </c>
      <c r="J666" s="16" t="n">
        <v>44636</v>
      </c>
      <c r="K666" t="n">
        <v>500</v>
      </c>
      <c r="L666">
        <f>-1.36*OPERAC[[#This Row],[cantidad venta]]</f>
        <v/>
      </c>
    </row>
    <row r="667">
      <c r="A667" t="n">
        <v>2253</v>
      </c>
      <c r="B667" s="16" t="n">
        <v>44587</v>
      </c>
      <c r="C667" t="inlineStr">
        <is>
          <t>VTA</t>
        </is>
      </c>
      <c r="D667" t="n">
        <v>39</v>
      </c>
      <c r="E667">
        <f>IF(D288&gt;0,VLOOKUP(OPERAC[[#This Row],[COD CART]],[1]!MatrizCortoLargoCyl[#All],3,0),"")</f>
        <v/>
      </c>
      <c r="F667" t="inlineStr">
        <is>
          <t>ROKU/V/155,00/04-02-22</t>
        </is>
      </c>
      <c r="G667" t="n">
        <v>-200</v>
      </c>
      <c r="H667" t="n">
        <v>1587.992</v>
      </c>
      <c r="I667">
        <f>-H288/G288</f>
        <v/>
      </c>
      <c r="J667" s="16" t="n">
        <v>44592</v>
      </c>
      <c r="K667">
        <f>+OPERAC[[#This Row],[cantidad]]</f>
        <v/>
      </c>
      <c r="L667" t="n">
        <v>-716.4627999999999</v>
      </c>
    </row>
    <row r="668">
      <c r="A668" t="n">
        <v>2253</v>
      </c>
      <c r="B668" s="16" t="n">
        <v>44587</v>
      </c>
      <c r="C668" t="inlineStr">
        <is>
          <t>VTA</t>
        </is>
      </c>
      <c r="D668" t="n">
        <v>40</v>
      </c>
      <c r="E668">
        <f>IF(D1461&gt;0,VLOOKUP(OPERAC[[#This Row],[COD CART]],[1]!MatrizCortoLargoCyl[#All],3,0),"")</f>
        <v/>
      </c>
      <c r="F668" t="inlineStr">
        <is>
          <t>AAPL</t>
        </is>
      </c>
      <c r="G668" t="n">
        <v>1</v>
      </c>
      <c r="H668" t="n">
        <v>-164.05442</v>
      </c>
      <c r="I668">
        <f>-H1461/G1461</f>
        <v/>
      </c>
      <c r="J668" s="16" t="n">
        <v>44601</v>
      </c>
      <c r="K668" t="n">
        <v>1</v>
      </c>
      <c r="L668">
        <f>175.66*OPERAC[[#This Row],[cantidad venta]]</f>
        <v/>
      </c>
    </row>
    <row r="669">
      <c r="A669" t="n">
        <v>2253</v>
      </c>
      <c r="B669" s="16" t="n">
        <v>44592</v>
      </c>
      <c r="C669" t="inlineStr">
        <is>
          <t>VTA</t>
        </is>
      </c>
      <c r="D669" t="n">
        <v>39</v>
      </c>
      <c r="E669">
        <f>IF(D484&gt;0,VLOOKUP(OPERAC[[#This Row],[COD CART]],[1]!MatrizCortoLargoCyl[#All],3,0),"")</f>
        <v/>
      </c>
      <c r="F669" t="inlineStr">
        <is>
          <t>ROKU/V/150,00/11-02-22</t>
        </is>
      </c>
      <c r="G669" t="n">
        <v>-200</v>
      </c>
      <c r="H669" t="n">
        <v>951.528</v>
      </c>
      <c r="I669">
        <f>-H484/G484</f>
        <v/>
      </c>
      <c r="J669" s="16" t="n">
        <v>44601</v>
      </c>
      <c r="K669">
        <f>+OPERAC[[#This Row],[cantidad]]</f>
        <v/>
      </c>
      <c r="L669">
        <f>0.67*OPERAC[[#This Row],[cantidad venta]]</f>
        <v/>
      </c>
    </row>
    <row r="670">
      <c r="A670" t="n">
        <v>2253</v>
      </c>
      <c r="B670" s="16" t="n">
        <v>44599</v>
      </c>
      <c r="C670" t="inlineStr">
        <is>
          <t>VTA</t>
        </is>
      </c>
      <c r="D670" t="n">
        <v>40</v>
      </c>
      <c r="E670">
        <f>IF(D1698&gt;0,VLOOKUP(OPERAC[[#This Row],[COD CART]],[1]!MatrizCortoLargoCyl[#All],3,0),"")</f>
        <v/>
      </c>
      <c r="F670" t="inlineStr">
        <is>
          <t>FB</t>
        </is>
      </c>
      <c r="G670" t="n">
        <v>1</v>
      </c>
      <c r="H670" t="n">
        <v>-238.46</v>
      </c>
      <c r="I670">
        <f>-H1698/G1698</f>
        <v/>
      </c>
      <c r="J670" s="16" t="n">
        <v>44616</v>
      </c>
      <c r="K670">
        <f>+OPERAC[[#This Row],[cantidad]]</f>
        <v/>
      </c>
      <c r="L670">
        <f>200.299*OPERAC[[#This Row],[cantidad venta]]</f>
        <v/>
      </c>
    </row>
    <row r="671">
      <c r="A671" t="n">
        <v>2253</v>
      </c>
      <c r="B671" s="16" t="n">
        <v>44602</v>
      </c>
      <c r="C671" t="inlineStr">
        <is>
          <t>CPR</t>
        </is>
      </c>
      <c r="D671" t="n">
        <v>32</v>
      </c>
      <c r="E671">
        <f>IF(D5768&gt;0,VLOOKUP(OPERAC[[#This Row],[COD CART]],[1]!MatrizCortoLargoCyl[#All],3,0),"")</f>
        <v/>
      </c>
      <c r="F671" t="inlineStr">
        <is>
          <t>BIOX</t>
        </is>
      </c>
      <c r="G671" t="n">
        <v>200</v>
      </c>
      <c r="H671">
        <f>-2672+29.76</f>
        <v/>
      </c>
      <c r="I671">
        <f>-H5768/G5768</f>
        <v/>
      </c>
      <c r="J671" s="16" t="n">
        <v>44671</v>
      </c>
      <c r="K671">
        <f>100+100</f>
        <v/>
      </c>
      <c r="L671">
        <f>1213.596+1368.847</f>
        <v/>
      </c>
    </row>
    <row r="672">
      <c r="A672" t="n">
        <v>2253</v>
      </c>
      <c r="B672" s="16" t="n">
        <v>44609</v>
      </c>
      <c r="C672" t="inlineStr">
        <is>
          <t>VTA</t>
        </is>
      </c>
      <c r="D672" t="n">
        <v>32</v>
      </c>
      <c r="E672">
        <f>IF(D3866&gt;0,VLOOKUP(OPERAC[[#This Row],[COD CART]],[1]!MatrizCortoLargoCyl[#All],3,0),"")</f>
        <v/>
      </c>
      <c r="F672" t="inlineStr">
        <is>
          <t>HIMX/CYL/9,00/18-03-22</t>
        </is>
      </c>
      <c r="G672" t="n">
        <v>100</v>
      </c>
      <c r="H672" t="n">
        <v>-869.5839999999999</v>
      </c>
      <c r="I672">
        <f>-H3866/G3866</f>
        <v/>
      </c>
      <c r="J672" s="16" t="n">
        <v>44622</v>
      </c>
      <c r="K672">
        <f>+OPERAC[[#This Row],[cantidad]]</f>
        <v/>
      </c>
      <c r="L672" t="n">
        <v>883.576</v>
      </c>
    </row>
    <row r="673">
      <c r="A673" t="n">
        <v>2253</v>
      </c>
      <c r="B673" s="16" t="n">
        <v>44616</v>
      </c>
      <c r="C673" t="inlineStr">
        <is>
          <t>CPR</t>
        </is>
      </c>
      <c r="D673" t="n">
        <v>32</v>
      </c>
      <c r="E673">
        <f>IF(D4308&gt;0,VLOOKUP(OPERAC[[#This Row],[COD CART]],[1]!MatrizCortoLargoCyl[#All],3,0),"")</f>
        <v/>
      </c>
      <c r="F673" t="inlineStr">
        <is>
          <t>PLTR/CYL/12,00/14-04-22</t>
        </is>
      </c>
      <c r="G673" t="n">
        <v>100</v>
      </c>
      <c r="H673" t="n">
        <v>-1052.7265</v>
      </c>
      <c r="I673">
        <f>-H4308/G4308</f>
        <v/>
      </c>
      <c r="J673" s="16" t="n">
        <v>44643</v>
      </c>
      <c r="K673" t="n">
        <v>100</v>
      </c>
      <c r="L673" t="n">
        <v>1146.72</v>
      </c>
    </row>
    <row r="674">
      <c r="A674" t="n">
        <v>2253</v>
      </c>
      <c r="B674" s="16" t="n">
        <v>44636</v>
      </c>
      <c r="C674" t="inlineStr">
        <is>
          <t>VTA</t>
        </is>
      </c>
      <c r="D674" t="n">
        <v>43</v>
      </c>
      <c r="E674">
        <f>IF(D2066&gt;0,VLOOKUP(OPERAC[[#This Row],[COD CART]],[1]!MatrizCortoLargoCyl[#All],3,0),"")</f>
        <v/>
      </c>
      <c r="F674" t="inlineStr">
        <is>
          <t>GMBL/CYL-PUT/1,00/20-01-23</t>
        </is>
      </c>
      <c r="G674" t="n">
        <v>2000</v>
      </c>
      <c r="H674" t="n">
        <v>-326.7773000000002</v>
      </c>
      <c r="I674">
        <f>-H2066/G2066</f>
        <v/>
      </c>
    </row>
    <row r="675">
      <c r="A675" t="n">
        <v>2253</v>
      </c>
      <c r="B675" s="16" t="n">
        <v>44637</v>
      </c>
      <c r="C675" t="inlineStr">
        <is>
          <t>VTA</t>
        </is>
      </c>
      <c r="D675" t="n">
        <v>43</v>
      </c>
      <c r="E675">
        <f>IF(D1590&gt;0,VLOOKUP(OPERAC[[#This Row],[COD CART]],[1]!MatrizCortoLargoCyl[#All],3,0),"")</f>
        <v/>
      </c>
      <c r="F675" t="inlineStr">
        <is>
          <t>GMBL/CYL-PUT/1,00/20-01-23</t>
        </is>
      </c>
      <c r="G675" t="n">
        <v>1000</v>
      </c>
      <c r="H675" t="n">
        <v>-207.8317599999999</v>
      </c>
      <c r="I675">
        <f>-H1590/G1590</f>
        <v/>
      </c>
    </row>
    <row r="676">
      <c r="A676" t="n">
        <v>2253</v>
      </c>
      <c r="B676" s="16" t="n">
        <v>44645</v>
      </c>
      <c r="C676" t="inlineStr">
        <is>
          <t>CPR</t>
        </is>
      </c>
      <c r="D676" t="n">
        <v>42</v>
      </c>
      <c r="E676">
        <f>IF(D1859&gt;0,VLOOKUP(OPERAC[[#This Row],[COD CART]],[1]!MatrizCortoLargoCyl[#All],3,0),"")</f>
        <v/>
      </c>
      <c r="F676" t="inlineStr">
        <is>
          <t>PLUG</t>
        </is>
      </c>
      <c r="G676" t="n">
        <v>10</v>
      </c>
      <c r="H676" t="n">
        <v>-279.3164</v>
      </c>
      <c r="I676">
        <f>-H1859/G1859</f>
        <v/>
      </c>
      <c r="J676" s="16" t="n">
        <v>44652</v>
      </c>
      <c r="K676">
        <f>+OPERAC[[#This Row],[cantidad]]</f>
        <v/>
      </c>
      <c r="L676">
        <f>+OPERAC[[#This Row],[cantidad venta]]*27.754</f>
        <v/>
      </c>
    </row>
    <row r="677">
      <c r="A677" t="n">
        <v>2253</v>
      </c>
      <c r="B677" s="16" t="n">
        <v>44651</v>
      </c>
      <c r="C677" t="inlineStr">
        <is>
          <t>VTA</t>
        </is>
      </c>
      <c r="D677" t="n">
        <v>42</v>
      </c>
      <c r="E677">
        <f>IF(D2122&gt;0,VLOOKUP(OPERAC[[#This Row],[COD CART]],[1]!MatrizCortoLargoCyl[#All],3,0),"")</f>
        <v/>
      </c>
      <c r="F677" t="inlineStr">
        <is>
          <t>AMD</t>
        </is>
      </c>
      <c r="G677" t="n">
        <v>3</v>
      </c>
      <c r="H677" t="n">
        <v>-341.69676</v>
      </c>
      <c r="I677">
        <f>-H2122/G2122</f>
        <v/>
      </c>
      <c r="J677" s="16" t="n">
        <v>44693</v>
      </c>
      <c r="K677" t="n">
        <v>3</v>
      </c>
      <c r="L677" t="n">
        <v>249.44</v>
      </c>
    </row>
    <row r="678">
      <c r="A678" t="n">
        <v>2253</v>
      </c>
      <c r="B678" s="16" t="n">
        <v>44652</v>
      </c>
      <c r="C678" t="inlineStr">
        <is>
          <t>VTA</t>
        </is>
      </c>
      <c r="D678" t="n">
        <v>42</v>
      </c>
      <c r="E678">
        <f>IF(D2040&gt;0,VLOOKUP(OPERAC[[#This Row],[COD CART]],[1]!MatrizCortoLargoCyl[#All],3,0),"")</f>
        <v/>
      </c>
      <c r="F678" t="inlineStr">
        <is>
          <t>GBTC</t>
        </is>
      </c>
      <c r="G678" t="n">
        <v>10</v>
      </c>
      <c r="H678" t="n">
        <v>-321.098</v>
      </c>
      <c r="I678">
        <f>-H2040/G2040</f>
        <v/>
      </c>
      <c r="J678" s="16" t="n">
        <v>44662</v>
      </c>
      <c r="K678">
        <f>+OPERAC[[#This Row],[cantidad]]</f>
        <v/>
      </c>
      <c r="L678">
        <f>27.99*OPERAC[[#This Row],[cantidad venta]]</f>
        <v/>
      </c>
    </row>
    <row r="679">
      <c r="A679" t="n">
        <v>2253</v>
      </c>
      <c r="B679" s="16" t="n">
        <v>44662</v>
      </c>
      <c r="C679" t="inlineStr">
        <is>
          <t>VTA</t>
        </is>
      </c>
      <c r="D679" t="n">
        <v>42</v>
      </c>
      <c r="E679">
        <f>IF(D2206&gt;0,VLOOKUP(OPERAC[[#This Row],[COD CART]],[1]!MatrizCortoLargoCyl[#All],3,0),"")</f>
        <v/>
      </c>
      <c r="F679" t="inlineStr">
        <is>
          <t>HYDR</t>
        </is>
      </c>
      <c r="G679" t="n">
        <v>20</v>
      </c>
      <c r="H679" t="n">
        <v>-371.4068800000001</v>
      </c>
      <c r="I679">
        <f>-H2206/G2206</f>
        <v/>
      </c>
      <c r="J679" s="16" t="n">
        <v>44693</v>
      </c>
      <c r="K679">
        <f>+OPERAC[[#This Row],[cantidad]]</f>
        <v/>
      </c>
      <c r="L679">
        <f>+OPERAC[[#This Row],[cantidad venta]]*11.63</f>
        <v/>
      </c>
    </row>
    <row r="680">
      <c r="A680" t="n">
        <v>2253</v>
      </c>
      <c r="B680" s="16" t="n">
        <v>44669</v>
      </c>
      <c r="C680" t="inlineStr">
        <is>
          <t>VTA</t>
        </is>
      </c>
      <c r="D680" t="n">
        <v>32</v>
      </c>
      <c r="E680">
        <f>IF(D5629&gt;0,VLOOKUP(OPERAC[[#This Row],[COD CART]],[1]!MatrizCortoLargoCyl[#All],3,0),"")</f>
        <v/>
      </c>
      <c r="F680" t="inlineStr">
        <is>
          <t>HMY</t>
        </is>
      </c>
      <c r="G680" t="n">
        <v>500</v>
      </c>
      <c r="H680">
        <f>-4.64*OPERAC[[#This Row],[cantidad]]</f>
        <v/>
      </c>
      <c r="I680">
        <f>-H5629/G5629</f>
        <v/>
      </c>
      <c r="J680" s="16" t="n">
        <v>44704</v>
      </c>
      <c r="K680" t="n">
        <v>500</v>
      </c>
      <c r="L680">
        <f>+OPERAC[[#This Row],[cantidad venta]]*3.669</f>
        <v/>
      </c>
    </row>
    <row r="681">
      <c r="A681" t="n">
        <v>2253</v>
      </c>
      <c r="B681" s="16" t="n">
        <v>44677</v>
      </c>
      <c r="C681" t="inlineStr">
        <is>
          <t>VTA</t>
        </is>
      </c>
      <c r="D681" t="n">
        <v>32</v>
      </c>
      <c r="E681">
        <f>IF(D2262&gt;0,VLOOKUP(OPERAC[[#This Row],[COD CART]],[1]!MatrizCortoLargoCyl[#All],3,0),"")</f>
        <v/>
      </c>
      <c r="F681" t="inlineStr">
        <is>
          <t>HMY</t>
        </is>
      </c>
      <c r="G681" t="n">
        <v>100</v>
      </c>
      <c r="H681">
        <f>-3.849*OPERAC[[#This Row],[cantidad]]</f>
        <v/>
      </c>
      <c r="I681">
        <f>-H2262/G2262</f>
        <v/>
      </c>
      <c r="J681" s="16" t="n">
        <v>44704</v>
      </c>
      <c r="K681" t="n">
        <v>100</v>
      </c>
      <c r="L681">
        <f>+OPERAC[[#This Row],[cantidad venta]]*3.669</f>
        <v/>
      </c>
    </row>
    <row r="682">
      <c r="A682" t="n">
        <v>2253</v>
      </c>
      <c r="B682" s="16" t="n">
        <v>44680</v>
      </c>
      <c r="C682" t="inlineStr">
        <is>
          <t>CPR</t>
        </is>
      </c>
      <c r="D682" t="n">
        <v>32</v>
      </c>
      <c r="E682">
        <f>IF(D4945&gt;0,VLOOKUP(OPERAC[[#This Row],[COD CART]],[1]!MatrizCortoLargoCyl[#All],3,0),"")</f>
        <v/>
      </c>
      <c r="F682" t="inlineStr">
        <is>
          <t>COTY/CYL/8,00/24-06-22</t>
        </is>
      </c>
      <c r="G682" t="n">
        <v>200</v>
      </c>
      <c r="H682">
        <f>-1512.41+3.966+1.98</f>
        <v/>
      </c>
      <c r="I682">
        <f>-H4945/G4945</f>
        <v/>
      </c>
    </row>
    <row r="683">
      <c r="A683" t="n">
        <v>2253</v>
      </c>
      <c r="B683" s="16" t="n">
        <v>44707</v>
      </c>
      <c r="C683" t="inlineStr">
        <is>
          <t>CPR</t>
        </is>
      </c>
      <c r="D683" t="n">
        <v>42</v>
      </c>
      <c r="E683">
        <f>IF(D4158&gt;0,VLOOKUP(OPERAC[[#This Row],[COD CART]],[1]!MatrizCortoLargoCyl[#All],3,0),"")</f>
        <v/>
      </c>
      <c r="F683" t="inlineStr">
        <is>
          <t>PCT</t>
        </is>
      </c>
      <c r="G683" t="n">
        <v>100</v>
      </c>
      <c r="H683" t="n">
        <v>-973.063327</v>
      </c>
      <c r="I683">
        <f>-H4158/G4158</f>
        <v/>
      </c>
    </row>
    <row r="684">
      <c r="A684" t="n">
        <v>2253</v>
      </c>
      <c r="B684" s="16" t="n">
        <v>44712</v>
      </c>
      <c r="C684" t="inlineStr">
        <is>
          <t>CPR</t>
        </is>
      </c>
      <c r="D684" t="n">
        <v>42</v>
      </c>
      <c r="E684">
        <f>IF(D5872&gt;0,VLOOKUP(OPERAC[[#This Row],[COD CART]],[1]!MatrizCortoLargoCyl[#All],3,0),"")</f>
        <v/>
      </c>
      <c r="F684" t="inlineStr">
        <is>
          <t>KWEB</t>
        </is>
      </c>
      <c r="G684" t="n">
        <v>100</v>
      </c>
      <c r="H684" t="n">
        <v>-2959.725</v>
      </c>
      <c r="I684">
        <f>-H5872/G5872</f>
        <v/>
      </c>
    </row>
    <row r="685">
      <c r="A685" t="n">
        <v>2253</v>
      </c>
      <c r="B685" s="16" t="n">
        <v>44712</v>
      </c>
      <c r="C685" t="inlineStr">
        <is>
          <t>VTA</t>
        </is>
      </c>
      <c r="D685" t="n">
        <v>39</v>
      </c>
      <c r="E685">
        <f>IF(D1157&gt;0,VLOOKUP(OPERAC[[#This Row],[COD CART]],[1]!MatrizCortoLargoCyl[#All],3,0),"")</f>
        <v/>
      </c>
      <c r="F685" t="inlineStr">
        <is>
          <t>MELI/V/350,00/20-01-23</t>
        </is>
      </c>
      <c r="G685" t="n">
        <v>-1</v>
      </c>
      <c r="H685" t="n">
        <v>15.36</v>
      </c>
      <c r="I685">
        <f>-H1157/G1157</f>
        <v/>
      </c>
    </row>
    <row r="686">
      <c r="A686" t="n">
        <v>2253</v>
      </c>
      <c r="B686" s="16" t="n">
        <v>44713</v>
      </c>
      <c r="C686" t="inlineStr">
        <is>
          <t>CPR</t>
        </is>
      </c>
      <c r="D686" t="n">
        <v>42</v>
      </c>
      <c r="E686">
        <f>IF(D4130&gt;0,VLOOKUP(OPERAC[[#This Row],[COD CART]],[1]!MatrizCortoLargoCyl[#All],3,0),"")</f>
        <v/>
      </c>
      <c r="F686" t="inlineStr">
        <is>
          <t>UPST</t>
        </is>
      </c>
      <c r="G686" t="n">
        <v>20</v>
      </c>
      <c r="H686" t="n">
        <v>-962.9363999999999</v>
      </c>
      <c r="I686">
        <f>-H4130/G4130</f>
        <v/>
      </c>
      <c r="J686" s="16" t="n">
        <v>44714</v>
      </c>
      <c r="K686">
        <f>+OPERAC[[#This Row],[cantidad]]</f>
        <v/>
      </c>
      <c r="L686">
        <f>+OPERAC[[#This Row],[cantidad venta]]*49.312</f>
        <v/>
      </c>
    </row>
    <row r="687">
      <c r="A687" t="n">
        <v>2253</v>
      </c>
      <c r="B687" s="16" t="n">
        <v>44719</v>
      </c>
      <c r="C687" t="inlineStr">
        <is>
          <t>VTA</t>
        </is>
      </c>
      <c r="D687" t="n">
        <v>39</v>
      </c>
      <c r="E687">
        <f>IF(D687&gt;0,VLOOKUP(OPERAC[[#This Row],[COD CART]],[1]!MatrizCortoLargoCyl[#All],3,0),"")</f>
        <v/>
      </c>
      <c r="F687" t="inlineStr">
        <is>
          <t>TSLA/C/790,00/10-06-22</t>
        </is>
      </c>
      <c r="G687" t="n">
        <v>-200</v>
      </c>
      <c r="H687" t="n">
        <v>425.7</v>
      </c>
      <c r="I687">
        <f>-H687/G687</f>
        <v/>
      </c>
      <c r="J687" s="16" t="n">
        <v>44722</v>
      </c>
      <c r="K687">
        <f>+OPERAC[[#This Row],[cantidad]]</f>
        <v/>
      </c>
      <c r="L687" t="n">
        <v>0</v>
      </c>
    </row>
    <row r="688">
      <c r="A688" t="n">
        <v>2253</v>
      </c>
      <c r="B688" s="16" t="n">
        <v>44719</v>
      </c>
      <c r="C688" t="inlineStr">
        <is>
          <t>VTA</t>
        </is>
      </c>
      <c r="D688" t="n">
        <v>39</v>
      </c>
      <c r="E688">
        <f>IF(D837&gt;0,VLOOKUP(OPERAC[[#This Row],[COD CART]],[1]!MatrizCortoLargoCyl[#All],3,0),"")</f>
        <v/>
      </c>
      <c r="F688" t="inlineStr">
        <is>
          <t>TSLA/P/600,00/10-06-22</t>
        </is>
      </c>
      <c r="G688" t="n">
        <v>-100</v>
      </c>
      <c r="H688" t="n">
        <v>208.89</v>
      </c>
      <c r="I688">
        <f>-H837/G837</f>
        <v/>
      </c>
      <c r="J688" s="16" t="n">
        <v>44719</v>
      </c>
      <c r="K688" t="n">
        <v>-100</v>
      </c>
      <c r="L688" t="n">
        <v>-71.6035</v>
      </c>
    </row>
    <row r="689">
      <c r="A689" t="n">
        <v>2253</v>
      </c>
      <c r="B689" s="16" t="n">
        <v>44720</v>
      </c>
      <c r="C689" t="inlineStr">
        <is>
          <t>CPR</t>
        </is>
      </c>
      <c r="D689" t="n">
        <v>42</v>
      </c>
      <c r="E689">
        <f>IF(D4963&gt;0,VLOOKUP(OPERAC[[#This Row],[COD CART]],[1]!MatrizCortoLargoCyl[#All],3,0),"")</f>
        <v/>
      </c>
      <c r="F689" t="inlineStr">
        <is>
          <t>HYDR</t>
        </is>
      </c>
      <c r="G689" t="n">
        <v>100</v>
      </c>
      <c r="H689" t="n">
        <v>-1512.75</v>
      </c>
      <c r="I689">
        <f>-H4963/G4963</f>
        <v/>
      </c>
    </row>
    <row r="690">
      <c r="A690" t="n">
        <v>2255</v>
      </c>
      <c r="B690" s="16" t="n">
        <v>43985</v>
      </c>
      <c r="C690" t="inlineStr">
        <is>
          <t>VTA</t>
        </is>
      </c>
      <c r="D690" t="n">
        <v>41</v>
      </c>
      <c r="E690">
        <f>IF(D2921&gt;0,VLOOKUP(OPERAC[[#This Row],[COD CART]],[1]!MatrizCortoLargoCyl[#All],3,0),"")</f>
        <v/>
      </c>
      <c r="F690" t="inlineStr">
        <is>
          <t>YPF</t>
        </is>
      </c>
      <c r="G690" t="n">
        <v>100</v>
      </c>
      <c r="H690" t="n">
        <v>-553.704</v>
      </c>
      <c r="I690" t="n">
        <v>5.537039999999999</v>
      </c>
    </row>
    <row r="691">
      <c r="A691" t="n">
        <v>2255</v>
      </c>
      <c r="B691" s="16" t="n">
        <v>43987</v>
      </c>
      <c r="C691" t="inlineStr">
        <is>
          <t>CPR</t>
        </is>
      </c>
      <c r="D691" t="n">
        <v>41</v>
      </c>
      <c r="E691">
        <f>IF(D3436&gt;0,VLOOKUP(OPERAC[[#This Row],[COD CART]],[1]!MatrizCortoLargoCyl[#All],3,0),"")</f>
        <v/>
      </c>
      <c r="F691" t="inlineStr">
        <is>
          <t>MSFT</t>
        </is>
      </c>
      <c r="G691" t="n">
        <v>4</v>
      </c>
      <c r="H691" t="n">
        <v>-748.08032</v>
      </c>
      <c r="I691" t="n">
        <v>187.02008</v>
      </c>
    </row>
    <row r="692">
      <c r="A692" t="n">
        <v>2255</v>
      </c>
      <c r="B692" s="16" t="n">
        <v>43987</v>
      </c>
      <c r="C692" t="inlineStr">
        <is>
          <t>VTA</t>
        </is>
      </c>
      <c r="D692" t="n">
        <v>41</v>
      </c>
      <c r="E692">
        <f>IF(D1340&gt;0,VLOOKUP(OPERAC[[#This Row],[COD CART]],[1]!MatrizCortoLargoCyl[#All],3,0),"")</f>
        <v/>
      </c>
      <c r="F692" t="inlineStr">
        <is>
          <t>SLB</t>
        </is>
      </c>
      <c r="G692" t="n">
        <v>5</v>
      </c>
      <c r="H692" t="n">
        <v>-109.21</v>
      </c>
      <c r="I692" t="n">
        <v>21.842</v>
      </c>
    </row>
    <row r="693">
      <c r="A693" t="n">
        <v>2255</v>
      </c>
      <c r="B693" s="16" t="n">
        <v>43987</v>
      </c>
      <c r="C693" t="inlineStr">
        <is>
          <t>VTA</t>
        </is>
      </c>
      <c r="D693" t="n">
        <v>41</v>
      </c>
      <c r="E693">
        <f>IF(D1673&gt;0,VLOOKUP(OPERAC[[#This Row],[COD CART]],[1]!MatrizCortoLargoCyl[#All],3,0),"")</f>
        <v/>
      </c>
      <c r="F693" t="inlineStr">
        <is>
          <t>NCLH</t>
        </is>
      </c>
      <c r="G693" t="n">
        <v>10</v>
      </c>
      <c r="H693" t="n">
        <v>-234.75508</v>
      </c>
      <c r="I693" t="n">
        <v>23.475508</v>
      </c>
    </row>
    <row r="694">
      <c r="A694" t="n">
        <v>2255</v>
      </c>
      <c r="B694" s="16" t="n">
        <v>43987</v>
      </c>
      <c r="C694" t="inlineStr">
        <is>
          <t>VTA</t>
        </is>
      </c>
      <c r="D694" t="n">
        <v>41</v>
      </c>
      <c r="E694">
        <f>IF(D2439&gt;0,VLOOKUP(OPERAC[[#This Row],[COD CART]],[1]!MatrizCortoLargoCyl[#All],3,0),"")</f>
        <v/>
      </c>
      <c r="F694" t="inlineStr">
        <is>
          <t>BA</t>
        </is>
      </c>
      <c r="G694" t="n">
        <v>2</v>
      </c>
      <c r="H694" t="n">
        <v>-426.75016</v>
      </c>
      <c r="I694" t="n">
        <v>213.37508</v>
      </c>
    </row>
    <row r="695">
      <c r="A695" t="n">
        <v>2255</v>
      </c>
      <c r="B695" s="16" t="n">
        <v>44116</v>
      </c>
      <c r="C695" t="inlineStr">
        <is>
          <t>VTA</t>
        </is>
      </c>
      <c r="D695" t="n">
        <v>31</v>
      </c>
      <c r="E695">
        <f>IF(D1433&gt;0,VLOOKUP(OPERAC[[#This Row],[COD CART]],[1]!MatrizCortoLargoCyl[#All],3,0),"")</f>
        <v/>
      </c>
      <c r="F695" t="inlineStr">
        <is>
          <t>HEOFF</t>
        </is>
      </c>
      <c r="G695" t="n">
        <v>100</v>
      </c>
      <c r="H695" t="n">
        <v>-152.4455</v>
      </c>
      <c r="I695">
        <f>-H1433/G1433</f>
        <v/>
      </c>
    </row>
    <row r="696">
      <c r="A696" t="n">
        <v>2255</v>
      </c>
      <c r="B696" s="16" t="n">
        <v>44259</v>
      </c>
      <c r="C696" t="inlineStr">
        <is>
          <t>CPR</t>
        </is>
      </c>
      <c r="D696" t="n">
        <v>41</v>
      </c>
      <c r="E696">
        <f>IF(D4942&gt;0,VLOOKUP(OPERAC[[#This Row],[COD CART]],[1]!MatrizCortoLargoCyl[#All],3,0),"")</f>
        <v/>
      </c>
      <c r="F696" t="inlineStr">
        <is>
          <t>MELI</t>
        </is>
      </c>
      <c r="G696" t="n">
        <v>1</v>
      </c>
      <c r="H696" t="n">
        <v>-1505.025</v>
      </c>
      <c r="I696">
        <f>-H4942/G4942</f>
        <v/>
      </c>
    </row>
    <row r="697">
      <c r="A697" t="n">
        <v>2255</v>
      </c>
      <c r="B697" s="16" t="n">
        <v>44340</v>
      </c>
      <c r="C697" t="inlineStr">
        <is>
          <t>VTA</t>
        </is>
      </c>
      <c r="D697" t="n">
        <v>39</v>
      </c>
      <c r="E697">
        <f>IF(D1128&gt;0,VLOOKUP(OPERAC[[#This Row],[COD CART]],[1]!MatrizCortoLargoCyl[#All],3,0),"")</f>
        <v/>
      </c>
      <c r="F697" t="inlineStr">
        <is>
          <t>SOLO/V/2,50/20-01-23</t>
        </is>
      </c>
      <c r="G697" t="n">
        <v>-20</v>
      </c>
      <c r="H697" t="n">
        <v>20.43</v>
      </c>
      <c r="I697">
        <f>-H1128/G1128</f>
        <v/>
      </c>
    </row>
    <row r="698">
      <c r="A698" t="n">
        <v>2255</v>
      </c>
      <c r="B698" s="16" t="n">
        <v>44431</v>
      </c>
      <c r="C698" t="inlineStr">
        <is>
          <t>VTA</t>
        </is>
      </c>
      <c r="D698" t="n">
        <v>39</v>
      </c>
      <c r="E698">
        <f>IF(D97&gt;0,VLOOKUP(OPERAC[[#This Row],[COD CART]],[1]!MatrizCortoLargoCyl[#All],3,0),"")</f>
        <v/>
      </c>
      <c r="F698" t="inlineStr">
        <is>
          <t>ACB/V/10,00/20-01-23</t>
        </is>
      </c>
      <c r="G698" t="n">
        <v>-700</v>
      </c>
      <c r="H698" t="n">
        <v>3480.938</v>
      </c>
      <c r="I698">
        <f>-H97/G97</f>
        <v/>
      </c>
      <c r="J698" s="16" t="n">
        <v>44614</v>
      </c>
      <c r="K698" t="n">
        <v>-700</v>
      </c>
      <c r="L698" t="n">
        <v>-3480</v>
      </c>
    </row>
    <row r="699">
      <c r="A699" t="n">
        <v>2255</v>
      </c>
      <c r="B699" s="16" t="n">
        <v>44466</v>
      </c>
      <c r="C699" t="inlineStr">
        <is>
          <t>VTA</t>
        </is>
      </c>
      <c r="D699" t="n">
        <v>39</v>
      </c>
      <c r="E699">
        <f>IF(D1156&gt;0,VLOOKUP(OPERAC[[#This Row],[COD CART]],[1]!MatrizCortoLargoCyl[#All],3,0),"")</f>
        <v/>
      </c>
      <c r="F699" t="inlineStr">
        <is>
          <t>SOLO/V/2,50/20-01-23</t>
        </is>
      </c>
      <c r="G699" t="n">
        <v>-25</v>
      </c>
      <c r="H699" t="n">
        <v>15.41</v>
      </c>
      <c r="I699">
        <f>-H1156/G1156</f>
        <v/>
      </c>
      <c r="J699" s="16" t="n">
        <v>44617</v>
      </c>
      <c r="K699" t="n">
        <v>-5</v>
      </c>
      <c r="L699" t="n">
        <v>-6.23</v>
      </c>
    </row>
    <row r="700">
      <c r="A700" t="n">
        <v>2255</v>
      </c>
      <c r="B700" s="16" t="n">
        <v>44474</v>
      </c>
      <c r="C700" t="inlineStr">
        <is>
          <t>VTA</t>
        </is>
      </c>
      <c r="D700" t="n">
        <v>39</v>
      </c>
      <c r="E700">
        <f>IF(D951&gt;0,VLOOKUP(OPERAC[[#This Row],[COD CART]],[1]!MatrizCortoLargoCyl[#All],3,0),"")</f>
        <v/>
      </c>
      <c r="F700" t="inlineStr">
        <is>
          <t>NKE/V/115,00/21-01-22</t>
        </is>
      </c>
      <c r="G700" t="n">
        <v>-100</v>
      </c>
      <c r="H700" t="n">
        <v>94.95699999999999</v>
      </c>
      <c r="I700">
        <f>-H951/G951</f>
        <v/>
      </c>
      <c r="J700" s="16" t="n">
        <v>44582</v>
      </c>
      <c r="K700">
        <f>+OPERAC[[#This Row],[cantidad]]</f>
        <v/>
      </c>
      <c r="L700" t="n">
        <v>0</v>
      </c>
    </row>
    <row r="701">
      <c r="A701" t="n">
        <v>2255</v>
      </c>
      <c r="B701" s="16" t="n">
        <v>44489</v>
      </c>
      <c r="C701" t="inlineStr">
        <is>
          <t>VTA</t>
        </is>
      </c>
      <c r="D701" t="n">
        <v>43</v>
      </c>
      <c r="E701">
        <f>IF(D2228&gt;0,VLOOKUP(OPERAC[[#This Row],[COD CART]],[1]!MatrizCortoLargoCyl[#All],3,0),"")</f>
        <v/>
      </c>
      <c r="F701" t="inlineStr">
        <is>
          <t>SESN/CYL-PUT/1,00/19-01-24</t>
        </is>
      </c>
      <c r="G701" t="n">
        <v>2000</v>
      </c>
      <c r="H701">
        <f>-0.1885*OPERAC[[#This Row],[cantidad]]</f>
        <v/>
      </c>
      <c r="I701">
        <f>-H2228/G2228</f>
        <v/>
      </c>
      <c r="J701" s="16" t="n">
        <v>44616</v>
      </c>
      <c r="K701" t="n">
        <v>2000</v>
      </c>
      <c r="L701" t="n">
        <v>650.2380000000001</v>
      </c>
    </row>
    <row r="702">
      <c r="A702" t="n">
        <v>2255</v>
      </c>
      <c r="B702" s="16" t="n">
        <v>44495</v>
      </c>
      <c r="C702" t="inlineStr">
        <is>
          <t>VTA</t>
        </is>
      </c>
      <c r="D702" t="n">
        <v>39</v>
      </c>
      <c r="E702">
        <f>IF(D377&gt;0,VLOOKUP(OPERAC[[#This Row],[COD CART]],[1]!MatrizCortoLargoCyl[#All],3,0),"")</f>
        <v/>
      </c>
      <c r="F702" t="inlineStr">
        <is>
          <t>YPF/CC10/LP7/CP3/19-01-24</t>
        </is>
      </c>
      <c r="G702" t="n">
        <v>-500</v>
      </c>
      <c r="H702">
        <f>-2.41*OPERAC[[#This Row],[cantidad]]</f>
        <v/>
      </c>
      <c r="I702">
        <f>-H377/G377</f>
        <v/>
      </c>
      <c r="J702" s="16" t="n">
        <v>44713</v>
      </c>
      <c r="K702" t="n">
        <v>-500</v>
      </c>
      <c r="L702" t="n">
        <v>-1205</v>
      </c>
    </row>
    <row r="703">
      <c r="A703" t="n">
        <v>2255</v>
      </c>
      <c r="B703" s="16" t="n">
        <v>44511</v>
      </c>
      <c r="C703" t="inlineStr">
        <is>
          <t>CPR</t>
        </is>
      </c>
      <c r="D703" t="n">
        <v>31</v>
      </c>
      <c r="E703">
        <f>IF(D2714&gt;0,VLOOKUP(OPERAC[[#This Row],[COD CART]],[1]!MatrizCortoLargoCyl[#All],3,0),"")</f>
        <v/>
      </c>
      <c r="F703" t="inlineStr">
        <is>
          <t>IPIX</t>
        </is>
      </c>
      <c r="G703" t="n">
        <v>5000</v>
      </c>
      <c r="H703" t="n">
        <v>-501.768</v>
      </c>
      <c r="I703">
        <f>-H2714/G2714</f>
        <v/>
      </c>
    </row>
    <row r="704">
      <c r="A704" t="n">
        <v>2255</v>
      </c>
      <c r="B704" s="16" t="n">
        <v>44532</v>
      </c>
      <c r="C704" t="inlineStr">
        <is>
          <t>CPR</t>
        </is>
      </c>
      <c r="D704" t="n">
        <v>32</v>
      </c>
      <c r="E704">
        <f>IF(D5766&gt;0,VLOOKUP(OPERAC[[#This Row],[COD CART]],[1]!MatrizCortoLargoCyl[#All],3,0),"")</f>
        <v/>
      </c>
      <c r="F704" t="inlineStr">
        <is>
          <t>COTY/CYL/10,00/18-02-22</t>
        </is>
      </c>
      <c r="G704" t="n">
        <v>300</v>
      </c>
      <c r="H704">
        <f>-2704.797+62.779</f>
        <v/>
      </c>
      <c r="I704">
        <f>-H5766/G5766</f>
        <v/>
      </c>
      <c r="J704" s="16" t="n">
        <v>44608</v>
      </c>
      <c r="K704">
        <f>+OPERAC[[#This Row],[cantidad]]</f>
        <v/>
      </c>
      <c r="L704" t="n">
        <v>2825.1</v>
      </c>
    </row>
    <row r="705">
      <c r="A705" t="n">
        <v>2255</v>
      </c>
      <c r="B705" s="16" t="n">
        <v>44532</v>
      </c>
      <c r="C705" t="inlineStr">
        <is>
          <t>VTA</t>
        </is>
      </c>
      <c r="D705" t="n">
        <v>39</v>
      </c>
      <c r="E705">
        <f>IF(D995&gt;0,VLOOKUP(OPERAC[[#This Row],[COD CART]],[1]!MatrizCortoLargoCyl[#All],3,0),"")</f>
        <v/>
      </c>
      <c r="F705" t="inlineStr">
        <is>
          <t>MELI/V/820,00/16-09-22</t>
        </is>
      </c>
      <c r="G705" t="n">
        <v>-700</v>
      </c>
      <c r="H705">
        <f>-0.1*OPERAC[[#This Row],[cantidad]]</f>
        <v/>
      </c>
      <c r="I705">
        <f>-H995/G995</f>
        <v/>
      </c>
      <c r="J705" s="16" t="n">
        <v>44614</v>
      </c>
      <c r="K705" t="n">
        <v>-700</v>
      </c>
      <c r="L705" t="n">
        <v>-70</v>
      </c>
    </row>
    <row r="706">
      <c r="A706" t="n">
        <v>2255</v>
      </c>
      <c r="B706" s="16" t="n">
        <v>44536</v>
      </c>
      <c r="C706" t="inlineStr">
        <is>
          <t>CPR</t>
        </is>
      </c>
      <c r="D706" t="n">
        <v>43</v>
      </c>
      <c r="E706">
        <f>IF(D3630&gt;0,VLOOKUP(OPERAC[[#This Row],[COD CART]],[1]!MatrizCortoLargoCyl[#All],3,0),"")</f>
        <v/>
      </c>
      <c r="F706" t="inlineStr">
        <is>
          <t>XSPA1/CYL-PUT/1,50/20-01-23</t>
        </is>
      </c>
      <c r="G706" t="n">
        <v>1800</v>
      </c>
      <c r="H706">
        <f>-0.4462*OPERAC[[#This Row],[cantidad]]</f>
        <v/>
      </c>
      <c r="I706">
        <f>-H3630/G3630</f>
        <v/>
      </c>
    </row>
    <row r="707">
      <c r="A707" t="n">
        <v>2255</v>
      </c>
      <c r="B707" s="16" t="n">
        <v>44536</v>
      </c>
      <c r="C707" t="inlineStr">
        <is>
          <t>CPR</t>
        </is>
      </c>
      <c r="D707" t="n">
        <v>43</v>
      </c>
      <c r="E707">
        <f>IF(D4956&gt;0,VLOOKUP(OPERAC[[#This Row],[COD CART]],[1]!MatrizCortoLargoCyl[#All],3,0),"")</f>
        <v/>
      </c>
      <c r="F707" t="inlineStr">
        <is>
          <t>NNDM/CYL-PUT/2,50/19-01-24</t>
        </is>
      </c>
      <c r="G707" t="n">
        <v>1400</v>
      </c>
      <c r="H707">
        <f>-1.08*OPERAC[[#This Row],[cantidad]]</f>
        <v/>
      </c>
      <c r="I707">
        <f>-H4956/G4956</f>
        <v/>
      </c>
    </row>
    <row r="708">
      <c r="A708" t="n">
        <v>2255</v>
      </c>
      <c r="B708" s="16" t="n">
        <v>44536</v>
      </c>
      <c r="C708" t="inlineStr">
        <is>
          <t>CPR</t>
        </is>
      </c>
      <c r="D708" t="n">
        <v>40</v>
      </c>
      <c r="E708">
        <f>IF(D5817&gt;0,VLOOKUP(OPERAC[[#This Row],[COD CART]],[1]!MatrizCortoLargoCyl[#All],3,0),"")</f>
        <v/>
      </c>
      <c r="F708" t="inlineStr">
        <is>
          <t>UVXY</t>
        </is>
      </c>
      <c r="G708" t="n">
        <v>120</v>
      </c>
      <c r="H708" t="n">
        <v>-2781.4704</v>
      </c>
      <c r="I708">
        <f>-H5817/G5817</f>
        <v/>
      </c>
      <c r="J708" s="16" t="n">
        <v>44538</v>
      </c>
      <c r="K708">
        <f>20+100</f>
        <v/>
      </c>
      <c r="L708">
        <f>20*16.153+1419.179</f>
        <v/>
      </c>
    </row>
    <row r="709">
      <c r="A709" t="n">
        <v>2255</v>
      </c>
      <c r="B709" s="16" t="n">
        <v>44536</v>
      </c>
      <c r="C709" t="inlineStr">
        <is>
          <t>VTA</t>
        </is>
      </c>
      <c r="D709" t="n">
        <v>43</v>
      </c>
      <c r="E709">
        <f>IF(D2463&gt;0,VLOOKUP(OPERAC[[#This Row],[COD CART]],[1]!MatrizCortoLargoCyl[#All],3,0),"")</f>
        <v/>
      </c>
      <c r="F709" t="inlineStr">
        <is>
          <t>HEXO/CYL-PUT/1,00/20-01-23</t>
        </is>
      </c>
      <c r="G709" t="n">
        <v>2600</v>
      </c>
      <c r="H709">
        <f>-0.1671*OPERAC[[#This Row],[cantidad]]</f>
        <v/>
      </c>
      <c r="I709">
        <f>-H2463/G2463</f>
        <v/>
      </c>
      <c r="J709" s="16" t="n">
        <v>44615</v>
      </c>
      <c r="K709" t="n">
        <v>2600</v>
      </c>
      <c r="L709" t="n">
        <v>860.35</v>
      </c>
    </row>
    <row r="710">
      <c r="A710" t="n">
        <v>2255</v>
      </c>
      <c r="B710" s="16" t="n">
        <v>44538</v>
      </c>
      <c r="C710" t="inlineStr">
        <is>
          <t>CPR</t>
        </is>
      </c>
      <c r="D710" t="n">
        <v>41</v>
      </c>
      <c r="E710">
        <f>IF(D4543&gt;0,VLOOKUP(OPERAC[[#This Row],[COD CART]],[1]!MatrizCortoLargoCyl[#All],3,0),"")</f>
        <v/>
      </c>
      <c r="F710" t="inlineStr">
        <is>
          <t>MELI</t>
        </is>
      </c>
      <c r="G710" t="n">
        <v>1</v>
      </c>
      <c r="H710" t="n">
        <v>-1210.1</v>
      </c>
      <c r="I710">
        <f>-H4543/G4543</f>
        <v/>
      </c>
    </row>
    <row r="711">
      <c r="A711" t="n">
        <v>2255</v>
      </c>
      <c r="B711" s="16" t="n">
        <v>44538</v>
      </c>
      <c r="C711" t="inlineStr">
        <is>
          <t>VTA</t>
        </is>
      </c>
      <c r="D711" t="n">
        <v>41</v>
      </c>
      <c r="E711">
        <f>IF(D5327&gt;0,VLOOKUP(OPERAC[[#This Row],[COD CART]],[1]!MatrizCortoLargoCyl[#All],3,0),"")</f>
        <v/>
      </c>
      <c r="F711" t="inlineStr">
        <is>
          <t>CEPU</t>
        </is>
      </c>
      <c r="G711" t="n">
        <v>500</v>
      </c>
      <c r="H711" t="n">
        <v>-1743.316</v>
      </c>
      <c r="I711">
        <f>-H5327/G5327</f>
        <v/>
      </c>
    </row>
    <row r="712">
      <c r="A712" t="n">
        <v>2255</v>
      </c>
      <c r="B712" s="16" t="n">
        <v>44539</v>
      </c>
      <c r="C712" t="inlineStr">
        <is>
          <t>CPR</t>
        </is>
      </c>
      <c r="D712" t="n">
        <v>40</v>
      </c>
      <c r="E712">
        <f>IF(D5717&gt;0,VLOOKUP(OPERAC[[#This Row],[COD CART]],[1]!MatrizCortoLargoCyl[#All],3,0),"")</f>
        <v/>
      </c>
      <c r="F712" t="inlineStr">
        <is>
          <t>ROKU</t>
        </is>
      </c>
      <c r="G712" t="n">
        <v>10</v>
      </c>
      <c r="H712" t="n">
        <v>-2577.2036</v>
      </c>
      <c r="I712">
        <f>-H5717/G5717</f>
        <v/>
      </c>
      <c r="J712" s="16" t="n">
        <v>44606</v>
      </c>
      <c r="K712">
        <f>+OPERAC[[#This Row],[cantidad]]</f>
        <v/>
      </c>
      <c r="L712">
        <f>+OPERAC[[#This Row],[cantidad venta]]*160.574</f>
        <v/>
      </c>
    </row>
    <row r="713">
      <c r="A713" t="n">
        <v>2255</v>
      </c>
      <c r="B713" s="16" t="n">
        <v>44543</v>
      </c>
      <c r="C713" t="inlineStr">
        <is>
          <t>VTA</t>
        </is>
      </c>
      <c r="D713" t="n">
        <v>40</v>
      </c>
      <c r="E713">
        <f>IF(D1365&gt;0,VLOOKUP(OPERAC[[#This Row],[COD CART]],[1]!MatrizCortoLargoCyl[#All],3,0),"")</f>
        <v/>
      </c>
      <c r="F713" t="inlineStr">
        <is>
          <t>VIST</t>
        </is>
      </c>
      <c r="G713" t="n">
        <v>20</v>
      </c>
      <c r="H713" t="n">
        <v>-111.544</v>
      </c>
      <c r="I713">
        <f>-H1365/G1365</f>
        <v/>
      </c>
      <c r="J713" s="16" t="n">
        <v>44574</v>
      </c>
      <c r="K713">
        <f>+OPERAC[[#This Row],[cantidad]]</f>
        <v/>
      </c>
      <c r="L713">
        <f>+OPERAC[[#This Row],[cantidad venta]]*6.125</f>
        <v/>
      </c>
    </row>
    <row r="714">
      <c r="A714" t="n">
        <v>2255</v>
      </c>
      <c r="B714" s="16" t="n">
        <v>44547</v>
      </c>
      <c r="C714" t="inlineStr">
        <is>
          <t>VTA</t>
        </is>
      </c>
      <c r="D714" t="n">
        <v>39</v>
      </c>
      <c r="E714">
        <f>IF(D662&gt;0,VLOOKUP(OPERAC[[#This Row],[COD CART]],[1]!MatrizCortoLargoCyl[#All],3,0),"")</f>
        <v/>
      </c>
      <c r="F714" t="inlineStr">
        <is>
          <t>INO/V/7,00/21-01-22</t>
        </is>
      </c>
      <c r="G714" t="n">
        <v>-500</v>
      </c>
      <c r="H714" t="n">
        <v>457.06</v>
      </c>
      <c r="I714">
        <f>-H662/G662</f>
        <v/>
      </c>
      <c r="J714" s="16" t="n">
        <v>44580</v>
      </c>
      <c r="K714">
        <f>+OPERAC[[#This Row],[cantidad]]</f>
        <v/>
      </c>
      <c r="L714">
        <f>-OPERAC[[#This Row],[importe]]</f>
        <v/>
      </c>
    </row>
    <row r="715">
      <c r="A715" t="n">
        <v>2255</v>
      </c>
      <c r="B715" s="16" t="n">
        <v>44550</v>
      </c>
      <c r="C715" t="inlineStr">
        <is>
          <t>VTA</t>
        </is>
      </c>
      <c r="D715" t="n">
        <v>40</v>
      </c>
      <c r="E715">
        <f>IF(D1914&gt;0,VLOOKUP(OPERAC[[#This Row],[COD CART]],[1]!MatrizCortoLargoCyl[#All],3,0),"")</f>
        <v/>
      </c>
      <c r="F715" t="inlineStr">
        <is>
          <t>SMH</t>
        </is>
      </c>
      <c r="G715" t="n">
        <v>1</v>
      </c>
      <c r="H715" t="n">
        <v>-293.97304</v>
      </c>
      <c r="I715">
        <f>-H1914/G1914</f>
        <v/>
      </c>
      <c r="J715" s="16" t="n">
        <v>44574</v>
      </c>
      <c r="K715">
        <f>+OPERAC[[#This Row],[cantidad]]</f>
        <v/>
      </c>
      <c r="L715">
        <f>+OPERAC[[#This Row],[cantidad venta]]*306.843</f>
        <v/>
      </c>
    </row>
    <row r="716">
      <c r="A716" t="n">
        <v>2255</v>
      </c>
      <c r="B716" s="16" t="n">
        <v>44552</v>
      </c>
      <c r="C716" t="inlineStr">
        <is>
          <t>VTA</t>
        </is>
      </c>
      <c r="D716" t="n">
        <v>32</v>
      </c>
      <c r="E716">
        <f>IF(D2240&gt;0,VLOOKUP(OPERAC[[#This Row],[COD CART]],[1]!MatrizCortoLargoCyl[#All],3,0),"")</f>
        <v/>
      </c>
      <c r="F716" t="inlineStr">
        <is>
          <t>HMY/CYL/4,00/21-01-22</t>
        </is>
      </c>
      <c r="G716" t="n">
        <v>100</v>
      </c>
      <c r="H716">
        <f>-3.8*OPERAC[[#This Row],[cantidad]]</f>
        <v/>
      </c>
      <c r="I716">
        <f>-H2240/G2240</f>
        <v/>
      </c>
      <c r="J716" s="16" t="n">
        <v>44580</v>
      </c>
      <c r="K716" t="n">
        <v>100</v>
      </c>
      <c r="L716" t="n">
        <v>393.93</v>
      </c>
    </row>
    <row r="717">
      <c r="A717" t="n">
        <v>2255</v>
      </c>
      <c r="B717" s="16" t="n">
        <v>44553</v>
      </c>
      <c r="C717" t="inlineStr">
        <is>
          <t>VTA</t>
        </is>
      </c>
      <c r="D717" t="n">
        <v>40</v>
      </c>
      <c r="E717">
        <f>IF(D2098&gt;0,VLOOKUP(OPERAC[[#This Row],[COD CART]],[1]!MatrizCortoLargoCyl[#All],3,0),"")</f>
        <v/>
      </c>
      <c r="F717" t="inlineStr">
        <is>
          <t>ON</t>
        </is>
      </c>
      <c r="G717" t="n">
        <v>5</v>
      </c>
      <c r="H717" t="n">
        <v>-334.23652</v>
      </c>
      <c r="I717">
        <f>-H2098/G2098</f>
        <v/>
      </c>
      <c r="J717" s="16" t="n">
        <v>44606</v>
      </c>
      <c r="K717">
        <f>+OPERAC[[#This Row],[cantidad]]</f>
        <v/>
      </c>
      <c r="L717">
        <f>+OPERAC[[#This Row],[cantidad venta]]*58.449</f>
        <v/>
      </c>
    </row>
    <row r="718">
      <c r="A718" t="n">
        <v>2255</v>
      </c>
      <c r="B718" s="16" t="n">
        <v>44557</v>
      </c>
      <c r="C718" t="inlineStr">
        <is>
          <t>CPR</t>
        </is>
      </c>
      <c r="D718" t="n">
        <v>40</v>
      </c>
      <c r="E718">
        <f>IF(D3532&gt;0,VLOOKUP(OPERAC[[#This Row],[COD CART]],[1]!MatrizCortoLargoCyl[#All],3,0),"")</f>
        <v/>
      </c>
      <c r="F718" t="inlineStr">
        <is>
          <t>TLRY</t>
        </is>
      </c>
      <c r="G718" t="n">
        <v>100</v>
      </c>
      <c r="H718" t="n">
        <v>-768.5599999999999</v>
      </c>
      <c r="I718">
        <f>-H3532/G3532</f>
        <v/>
      </c>
      <c r="J718" s="16" t="n">
        <v>44585</v>
      </c>
      <c r="K718">
        <f>+OPERAC[[#This Row],[cantidad]]</f>
        <v/>
      </c>
      <c r="L718">
        <f>+OPERAC[[#This Row],[cantidad venta]]*5.263</f>
        <v/>
      </c>
    </row>
    <row r="719">
      <c r="A719" t="n">
        <v>2255</v>
      </c>
      <c r="B719" s="16" t="n">
        <v>44558</v>
      </c>
      <c r="C719" t="inlineStr">
        <is>
          <t>CPR</t>
        </is>
      </c>
      <c r="D719" t="n">
        <v>40</v>
      </c>
      <c r="E719">
        <f>IF(D3440&gt;0,VLOOKUP(OPERAC[[#This Row],[COD CART]],[1]!MatrizCortoLargoCyl[#All],3,0),"")</f>
        <v/>
      </c>
      <c r="F719" t="inlineStr">
        <is>
          <t>UPST</t>
        </is>
      </c>
      <c r="G719" t="n">
        <v>5</v>
      </c>
      <c r="H719" t="n">
        <v>-750.013</v>
      </c>
      <c r="I719">
        <f>-H3440/G3440</f>
        <v/>
      </c>
      <c r="J719" s="16" t="n">
        <v>44606</v>
      </c>
      <c r="K719">
        <f>+OPERAC[[#This Row],[cantidad]]</f>
        <v/>
      </c>
      <c r="L719">
        <f>+OPERAC[[#This Row],[cantidad venta]]*98.994</f>
        <v/>
      </c>
    </row>
    <row r="720">
      <c r="A720" t="n">
        <v>2255</v>
      </c>
      <c r="B720" s="16" t="n">
        <v>44574</v>
      </c>
      <c r="C720" t="inlineStr">
        <is>
          <t>CPR</t>
        </is>
      </c>
      <c r="D720" t="n">
        <v>39</v>
      </c>
      <c r="E720">
        <f>IF(D4028&gt;0,VLOOKUP(OPERAC[[#This Row],[COD CART]],[1]!MatrizCortoLargoCyl[#All],3,0),"")</f>
        <v/>
      </c>
      <c r="F720" t="inlineStr">
        <is>
          <t>BABA/BULL/120,0-135,0/20-05-22</t>
        </is>
      </c>
      <c r="G720" t="n">
        <v>100</v>
      </c>
      <c r="H720" t="n">
        <v>-925.66</v>
      </c>
      <c r="I720">
        <f>-H4028/G4028</f>
        <v/>
      </c>
      <c r="J720" s="16" t="n">
        <v>44701</v>
      </c>
      <c r="K720">
        <f>+OPERAC[[#This Row],[cantidad]]</f>
        <v/>
      </c>
      <c r="L720" t="n">
        <v>0</v>
      </c>
    </row>
    <row r="721">
      <c r="A721" t="n">
        <v>2255</v>
      </c>
      <c r="B721" s="16" t="n">
        <v>44580</v>
      </c>
      <c r="C721" t="inlineStr">
        <is>
          <t>VTA</t>
        </is>
      </c>
      <c r="D721" t="n">
        <v>39</v>
      </c>
      <c r="E721">
        <f>IF(D324&gt;0,VLOOKUP(OPERAC[[#This Row],[COD CART]],[1]!MatrizCortoLargoCyl[#All],3,0),"")</f>
        <v/>
      </c>
      <c r="F721" t="inlineStr">
        <is>
          <t>INO/V/7,00/18-02-22</t>
        </is>
      </c>
      <c r="G721" t="n">
        <v>-500</v>
      </c>
      <c r="H721" t="n">
        <v>1390.925</v>
      </c>
      <c r="I721">
        <f>-H324/G324</f>
        <v/>
      </c>
      <c r="J721" s="16" t="n">
        <v>44600</v>
      </c>
      <c r="K721" t="n">
        <v>-500</v>
      </c>
      <c r="L721" t="n">
        <v>-1390</v>
      </c>
    </row>
    <row r="722">
      <c r="A722" t="n">
        <v>2255</v>
      </c>
      <c r="B722" s="16" t="n">
        <v>44581</v>
      </c>
      <c r="C722" t="inlineStr">
        <is>
          <t>CPR</t>
        </is>
      </c>
      <c r="D722" t="n">
        <v>32</v>
      </c>
      <c r="E722">
        <f>IF(D3543&gt;0,VLOOKUP(OPERAC[[#This Row],[COD CART]],[1]!MatrizCortoLargoCyl[#All],3,0),"")</f>
        <v/>
      </c>
      <c r="F722" t="inlineStr">
        <is>
          <t>HMY/CYL/4,00/18-02-22</t>
        </is>
      </c>
      <c r="G722" t="n">
        <v>200</v>
      </c>
      <c r="H722" t="n">
        <v>-771.5948960000001</v>
      </c>
      <c r="I722">
        <f>-H3543/G3543</f>
        <v/>
      </c>
      <c r="J722" s="16" t="n">
        <v>44610</v>
      </c>
      <c r="K722">
        <f>+OPERAC[[#This Row],[cantidad]]</f>
        <v/>
      </c>
      <c r="L722">
        <f>+OPERAC[[#This Row],[cantidad venta]]*3.8323</f>
        <v/>
      </c>
    </row>
    <row r="723">
      <c r="A723" t="n">
        <v>2255</v>
      </c>
      <c r="B723" s="16" t="n">
        <v>44582</v>
      </c>
      <c r="C723" t="inlineStr">
        <is>
          <t>CPR</t>
        </is>
      </c>
      <c r="D723" t="n">
        <v>40</v>
      </c>
      <c r="E723">
        <f>IF(D3534&gt;0,VLOOKUP(OPERAC[[#This Row],[COD CART]],[1]!MatrizCortoLargoCyl[#All],3,0),"")</f>
        <v/>
      </c>
      <c r="F723" t="inlineStr">
        <is>
          <t>NFLX</t>
        </is>
      </c>
      <c r="G723" t="n">
        <v>2</v>
      </c>
      <c r="H723" t="n">
        <v>-769.0191600000001</v>
      </c>
      <c r="I723">
        <f>-H3534/G3534</f>
        <v/>
      </c>
      <c r="J723" s="16" t="n">
        <v>44593</v>
      </c>
      <c r="K723">
        <f>+OPERAC[[#This Row],[cantidad]]</f>
        <v/>
      </c>
      <c r="L723">
        <f>+OPERAC[[#This Row],[cantidad venta]]*448.602</f>
        <v/>
      </c>
    </row>
    <row r="724">
      <c r="A724" t="n">
        <v>2255</v>
      </c>
      <c r="B724" s="16" t="n">
        <v>44585</v>
      </c>
      <c r="C724" t="inlineStr">
        <is>
          <t>VTA</t>
        </is>
      </c>
      <c r="D724" t="n">
        <v>39</v>
      </c>
      <c r="E724">
        <f>IF(D844&gt;0,VLOOKUP(OPERAC[[#This Row],[COD CART]],[1]!MatrizCortoLargoCyl[#All],3,0),"")</f>
        <v/>
      </c>
      <c r="F724" t="inlineStr">
        <is>
          <t>TSLA/C/1200,00/28-01-22</t>
        </is>
      </c>
      <c r="G724" t="n">
        <v>-200</v>
      </c>
      <c r="H724" t="n">
        <v>202.656</v>
      </c>
      <c r="I724">
        <f>-H844/G844</f>
        <v/>
      </c>
      <c r="J724" s="16" t="n">
        <v>44589</v>
      </c>
      <c r="K724" t="n">
        <v>-200</v>
      </c>
      <c r="L724" t="n">
        <v>0</v>
      </c>
    </row>
    <row r="725">
      <c r="A725" t="n">
        <v>2255</v>
      </c>
      <c r="B725" s="16" t="n">
        <v>44586</v>
      </c>
      <c r="C725" t="inlineStr">
        <is>
          <t>CPR</t>
        </is>
      </c>
      <c r="D725" t="n">
        <v>43</v>
      </c>
      <c r="E725">
        <f>IF(D2634&gt;0,VLOOKUP(OPERAC[[#This Row],[COD CART]],[1]!MatrizCortoLargoCyl[#All],3,0),"")</f>
        <v/>
      </c>
      <c r="F725" t="inlineStr">
        <is>
          <t>GMBL/CYL-PUT/2,50/20-01-23</t>
        </is>
      </c>
      <c r="G725" t="n">
        <v>500</v>
      </c>
      <c r="H725" t="n">
        <v>-481.4242999999999</v>
      </c>
      <c r="I725">
        <f>-H2634/G2634</f>
        <v/>
      </c>
      <c r="J725" s="16" t="n">
        <v>44636</v>
      </c>
      <c r="K725" t="n">
        <v>500</v>
      </c>
      <c r="L725">
        <f>-1.36*OPERAC[[#This Row],[cantidad venta]]</f>
        <v/>
      </c>
    </row>
    <row r="726">
      <c r="A726" t="n">
        <v>2255</v>
      </c>
      <c r="B726" s="16" t="n">
        <v>44587</v>
      </c>
      <c r="C726" t="inlineStr">
        <is>
          <t>VTA</t>
        </is>
      </c>
      <c r="D726" t="n">
        <v>40</v>
      </c>
      <c r="E726">
        <f>IF(D1961&gt;0,VLOOKUP(OPERAC[[#This Row],[COD CART]],[1]!MatrizCortoLargoCyl[#All],3,0),"")</f>
        <v/>
      </c>
      <c r="F726" t="inlineStr">
        <is>
          <t>MSFT</t>
        </is>
      </c>
      <c r="G726" t="n">
        <v>1</v>
      </c>
      <c r="H726" t="n">
        <v>-302.2073</v>
      </c>
      <c r="I726">
        <f>-H1961/G1961</f>
        <v/>
      </c>
      <c r="J726" s="16" t="n">
        <v>44606</v>
      </c>
      <c r="K726">
        <f>+OPERAC[[#This Row],[cantidad]]</f>
        <v/>
      </c>
      <c r="L726">
        <f>+OPERAC[[#This Row],[cantidad venta]]*290.091</f>
        <v/>
      </c>
    </row>
    <row r="727">
      <c r="A727" t="n">
        <v>2255</v>
      </c>
      <c r="B727" s="16" t="n">
        <v>44599</v>
      </c>
      <c r="C727" t="inlineStr">
        <is>
          <t>CPR</t>
        </is>
      </c>
      <c r="D727" t="n">
        <v>40</v>
      </c>
      <c r="E727">
        <f>IF(D2624&gt;0,VLOOKUP(OPERAC[[#This Row],[COD CART]],[1]!MatrizCortoLargoCyl[#All],3,0),"")</f>
        <v/>
      </c>
      <c r="F727" t="inlineStr">
        <is>
          <t>FB</t>
        </is>
      </c>
      <c r="G727" t="n">
        <v>2</v>
      </c>
      <c r="H727" t="n">
        <v>-476.92</v>
      </c>
      <c r="I727">
        <f>-H2624/G2624</f>
        <v/>
      </c>
      <c r="J727" s="16" t="n">
        <v>44616</v>
      </c>
      <c r="K727">
        <f>+OPERAC[[#This Row],[cantidad]]</f>
        <v/>
      </c>
      <c r="L727">
        <f>200.299*OPERAC[[#This Row],[cantidad venta]]</f>
        <v/>
      </c>
    </row>
    <row r="728">
      <c r="A728" t="n">
        <v>2255</v>
      </c>
      <c r="B728" s="16" t="n">
        <v>44600</v>
      </c>
      <c r="C728" t="inlineStr">
        <is>
          <t>VTA</t>
        </is>
      </c>
      <c r="D728" t="n">
        <v>39</v>
      </c>
      <c r="E728">
        <f>IF(D1140&gt;0,VLOOKUP(OPERAC[[#This Row],[COD CART]],[1]!MatrizCortoLargoCyl[#All],3,0),"")</f>
        <v/>
      </c>
      <c r="F728" t="inlineStr">
        <is>
          <t>DDD/V/17,00/20-01-23</t>
        </is>
      </c>
      <c r="G728" t="n">
        <v>-5</v>
      </c>
      <c r="H728">
        <f>-3.8*OPERAC[[#This Row],[cantidad]]</f>
        <v/>
      </c>
      <c r="I728">
        <f>-H1140/G1140</f>
        <v/>
      </c>
    </row>
    <row r="729">
      <c r="A729" t="n">
        <v>2255</v>
      </c>
      <c r="B729" s="16" t="n">
        <v>44607</v>
      </c>
      <c r="C729" t="inlineStr">
        <is>
          <t>VTA</t>
        </is>
      </c>
      <c r="D729" t="n">
        <v>32</v>
      </c>
      <c r="E729">
        <f>IF(D5022&gt;0,VLOOKUP(OPERAC[[#This Row],[COD CART]],[1]!MatrizCortoLargoCyl[#All],3,0),"")</f>
        <v/>
      </c>
      <c r="F729" t="inlineStr">
        <is>
          <t>DDD/CYL/16,00/18-03-22</t>
        </is>
      </c>
      <c r="G729" t="n">
        <v>100</v>
      </c>
      <c r="H729" t="n">
        <v>-1552.775</v>
      </c>
      <c r="I729">
        <f>-H5022/G5022</f>
        <v/>
      </c>
      <c r="J729" s="16" t="n">
        <v>44638</v>
      </c>
      <c r="K729" t="n">
        <v>100</v>
      </c>
      <c r="L729">
        <f>15.866*OPERAC[[#This Row],[cantidad venta]]</f>
        <v/>
      </c>
    </row>
    <row r="730">
      <c r="A730" t="n">
        <v>2255</v>
      </c>
      <c r="B730" s="16" t="n">
        <v>44607</v>
      </c>
      <c r="C730" t="inlineStr">
        <is>
          <t>VTA</t>
        </is>
      </c>
      <c r="D730" t="n">
        <v>32</v>
      </c>
      <c r="E730">
        <f>IF(D5081&gt;0,VLOOKUP(OPERAC[[#This Row],[COD CART]],[1]!MatrizCortoLargoCyl[#All],3,0),"")</f>
        <v/>
      </c>
      <c r="F730" t="inlineStr">
        <is>
          <t>DDD/CYL/17,00/01-04-22</t>
        </is>
      </c>
      <c r="G730" t="n">
        <v>100</v>
      </c>
      <c r="H730">
        <f>-1620.23+19.7+16.45</f>
        <v/>
      </c>
      <c r="I730">
        <f>-H5081/G5081</f>
        <v/>
      </c>
      <c r="J730" s="16" t="n">
        <v>44649</v>
      </c>
      <c r="K730" t="n">
        <v>100</v>
      </c>
      <c r="L730" t="n">
        <v>1661.98</v>
      </c>
    </row>
    <row r="731">
      <c r="A731" t="n">
        <v>2255</v>
      </c>
      <c r="B731" s="16" t="n">
        <v>44609</v>
      </c>
      <c r="C731" t="inlineStr">
        <is>
          <t>VTA</t>
        </is>
      </c>
      <c r="D731" t="n">
        <v>32</v>
      </c>
      <c r="E731">
        <f>IF(D3849&gt;0,VLOOKUP(OPERAC[[#This Row],[COD CART]],[1]!MatrizCortoLargoCyl[#All],3,0),"")</f>
        <v/>
      </c>
      <c r="F731" t="inlineStr">
        <is>
          <t>HIMX/CYL/9,00/18-03-22</t>
        </is>
      </c>
      <c r="G731" t="n">
        <v>100</v>
      </c>
      <c r="H731" t="n">
        <v>-864.3919999999998</v>
      </c>
      <c r="I731">
        <f>-H3849/G3849</f>
        <v/>
      </c>
      <c r="J731" s="16" t="n">
        <v>44622</v>
      </c>
      <c r="K731">
        <f>+OPERAC[[#This Row],[cantidad]]</f>
        <v/>
      </c>
      <c r="L731" t="n">
        <v>883.576</v>
      </c>
    </row>
    <row r="732">
      <c r="A732" t="n">
        <v>2255</v>
      </c>
      <c r="B732" s="16" t="n">
        <v>44609</v>
      </c>
      <c r="C732" t="inlineStr">
        <is>
          <t>VTA</t>
        </is>
      </c>
      <c r="D732" t="n">
        <v>32</v>
      </c>
      <c r="E732">
        <f>IF(D5271&gt;0,VLOOKUP(OPERAC[[#This Row],[COD CART]],[1]!MatrizCortoLargoCyl[#All],3,0),"")</f>
        <v/>
      </c>
      <c r="F732" t="inlineStr">
        <is>
          <t>F</t>
        </is>
      </c>
      <c r="G732" t="n">
        <v>100</v>
      </c>
      <c r="H732" t="n">
        <v>-1707.8588</v>
      </c>
      <c r="I732">
        <f>-H5271/G5271</f>
        <v/>
      </c>
      <c r="J732" s="16" t="n">
        <v>44642</v>
      </c>
      <c r="K732" t="n">
        <v>100</v>
      </c>
      <c r="L732" t="n">
        <v>1682.718</v>
      </c>
    </row>
    <row r="733">
      <c r="A733" t="n">
        <v>2255</v>
      </c>
      <c r="B733" s="16" t="n">
        <v>44614</v>
      </c>
      <c r="C733" t="inlineStr">
        <is>
          <t>VTA</t>
        </is>
      </c>
      <c r="D733" t="n">
        <v>39</v>
      </c>
      <c r="E733">
        <f>IF(D766&gt;0,VLOOKUP(OPERAC[[#This Row],[COD CART]],[1]!MatrizCortoLargoCyl[#All],3,0),"")</f>
        <v/>
      </c>
      <c r="F733" t="inlineStr">
        <is>
          <t>MELI/V/500,00/19-01-24</t>
        </is>
      </c>
      <c r="G733" t="n">
        <v>-5</v>
      </c>
      <c r="H733" t="n">
        <v>323.7</v>
      </c>
      <c r="I733">
        <f>-H766/G766</f>
        <v/>
      </c>
    </row>
    <row r="734">
      <c r="A734" t="n">
        <v>2255</v>
      </c>
      <c r="B734" s="16" t="n">
        <v>44614</v>
      </c>
      <c r="C734" t="inlineStr">
        <is>
          <t>VTA</t>
        </is>
      </c>
      <c r="D734" t="n">
        <v>39</v>
      </c>
      <c r="E734">
        <f>IF(D897&gt;0,VLOOKUP(OPERAC[[#This Row],[COD CART]],[1]!MatrizCortoLargoCyl[#All],3,0),"")</f>
        <v/>
      </c>
      <c r="F734" t="inlineStr">
        <is>
          <t>MELI/V/540,00/19-01-24</t>
        </is>
      </c>
      <c r="G734" t="n">
        <v>-2</v>
      </c>
      <c r="H734" t="n">
        <v>159.63</v>
      </c>
      <c r="I734">
        <f>-H897/G897</f>
        <v/>
      </c>
      <c r="J734" s="16" t="n">
        <v>44616</v>
      </c>
      <c r="K734" t="n">
        <v>-1</v>
      </c>
      <c r="L734" t="n">
        <v>-78.81699999999999</v>
      </c>
    </row>
    <row r="735">
      <c r="A735" t="n">
        <v>2255</v>
      </c>
      <c r="B735" s="16" t="n">
        <v>44614</v>
      </c>
      <c r="C735" t="inlineStr">
        <is>
          <t>VTA</t>
        </is>
      </c>
      <c r="D735" t="n">
        <v>39</v>
      </c>
      <c r="E735">
        <f>IF(D914&gt;0,VLOOKUP(OPERAC[[#This Row],[COD CART]],[1]!MatrizCortoLargoCyl[#All],3,0),"")</f>
        <v/>
      </c>
      <c r="F735" t="inlineStr">
        <is>
          <t>DDD/V/15,00/19-01-24</t>
        </is>
      </c>
      <c r="G735" t="n">
        <v>-30</v>
      </c>
      <c r="H735" t="n">
        <v>134.33</v>
      </c>
      <c r="I735">
        <f>-H914/G914</f>
        <v/>
      </c>
    </row>
    <row r="736">
      <c r="A736" t="n">
        <v>2255</v>
      </c>
      <c r="B736" s="16" t="n">
        <v>44614</v>
      </c>
      <c r="C736" t="inlineStr">
        <is>
          <t>VTA</t>
        </is>
      </c>
      <c r="D736" t="n">
        <v>39</v>
      </c>
      <c r="E736">
        <f>IF(D918&gt;0,VLOOKUP(OPERAC[[#This Row],[COD CART]],[1]!MatrizCortoLargoCyl[#All],3,0),"")</f>
        <v/>
      </c>
      <c r="F736" t="inlineStr">
        <is>
          <t>ACB/V/4,00/20-01-23</t>
        </is>
      </c>
      <c r="G736" t="n">
        <v>-100</v>
      </c>
      <c r="H736" t="n">
        <v>129.19</v>
      </c>
      <c r="I736">
        <f>-H918/G918</f>
        <v/>
      </c>
    </row>
    <row r="737">
      <c r="A737" t="n">
        <v>2255</v>
      </c>
      <c r="B737" s="16" t="n">
        <v>44614</v>
      </c>
      <c r="C737" t="inlineStr">
        <is>
          <t>VTA</t>
        </is>
      </c>
      <c r="D737" t="n">
        <v>39</v>
      </c>
      <c r="E737">
        <f>IF(D940&gt;0,VLOOKUP(OPERAC[[#This Row],[COD CART]],[1]!MatrizCortoLargoCyl[#All],3,0),"")</f>
        <v/>
      </c>
      <c r="F737" t="inlineStr">
        <is>
          <t>TSLA/V/300,00/20-01-23</t>
        </is>
      </c>
      <c r="G737" t="n">
        <v>-10</v>
      </c>
      <c r="H737" t="n">
        <v>99.56999999999999</v>
      </c>
      <c r="I737">
        <f>-H940/G940</f>
        <v/>
      </c>
    </row>
    <row r="738">
      <c r="A738" t="n">
        <v>2255</v>
      </c>
      <c r="B738" s="16" t="n">
        <v>44614</v>
      </c>
      <c r="C738" t="inlineStr">
        <is>
          <t>VTA</t>
        </is>
      </c>
      <c r="D738" t="n">
        <v>39</v>
      </c>
      <c r="E738">
        <f>IF(D994&gt;0,VLOOKUP(OPERAC[[#This Row],[COD CART]],[1]!MatrizCortoLargoCyl[#All],3,0),"")</f>
        <v/>
      </c>
      <c r="F738" t="inlineStr">
        <is>
          <t>SPWR/V/13,00/19-01-24</t>
        </is>
      </c>
      <c r="G738" t="n">
        <v>-20</v>
      </c>
      <c r="H738" t="n">
        <v>70.63</v>
      </c>
      <c r="I738">
        <f>-H994/G994</f>
        <v/>
      </c>
    </row>
    <row r="739">
      <c r="A739" t="n">
        <v>2255</v>
      </c>
      <c r="B739" s="16" t="n">
        <v>44615</v>
      </c>
      <c r="C739" t="inlineStr">
        <is>
          <t>CPR</t>
        </is>
      </c>
      <c r="D739" t="n">
        <v>40</v>
      </c>
      <c r="E739">
        <f>IF(D5987&gt;0,VLOOKUP(OPERAC[[#This Row],[COD CART]],[1]!MatrizCortoLargoCyl[#All],3,0),"")</f>
        <v/>
      </c>
      <c r="F739" t="inlineStr">
        <is>
          <t>GMBL</t>
        </is>
      </c>
      <c r="G739" t="n">
        <v>2000</v>
      </c>
      <c r="H739" t="n">
        <v>-3252.92</v>
      </c>
      <c r="I739">
        <f>-H5987/G5987</f>
        <v/>
      </c>
      <c r="J739" s="16" t="n">
        <v>44636</v>
      </c>
      <c r="K739" t="n">
        <v>2000</v>
      </c>
      <c r="L739" t="n">
        <v>1469.865</v>
      </c>
    </row>
    <row r="740">
      <c r="A740" t="n">
        <v>2255</v>
      </c>
      <c r="B740" s="16" t="n">
        <v>44616</v>
      </c>
      <c r="C740" t="inlineStr">
        <is>
          <t>VTA</t>
        </is>
      </c>
      <c r="D740" t="n">
        <v>32</v>
      </c>
      <c r="E740">
        <f>IF(D5560&gt;0,VLOOKUP(OPERAC[[#This Row],[COD CART]],[1]!MatrizCortoLargoCyl[#All],3,0),"")</f>
        <v/>
      </c>
      <c r="F740" t="inlineStr">
        <is>
          <t>PLTR/CYL/12,00/14-04-22</t>
        </is>
      </c>
      <c r="G740" t="n">
        <v>200</v>
      </c>
      <c r="H740" t="n">
        <v>-2102.9344</v>
      </c>
      <c r="I740">
        <f>-H5560/G5560</f>
        <v/>
      </c>
      <c r="J740" s="16" t="n">
        <v>44643</v>
      </c>
      <c r="K740" t="n">
        <v>200</v>
      </c>
      <c r="L740" t="n">
        <v>2293.448</v>
      </c>
    </row>
    <row r="741">
      <c r="A741" t="n">
        <v>2255</v>
      </c>
      <c r="B741" s="16" t="n">
        <v>44628</v>
      </c>
      <c r="C741" t="inlineStr">
        <is>
          <t>VTA</t>
        </is>
      </c>
      <c r="D741" t="n">
        <v>40</v>
      </c>
      <c r="E741">
        <f>IF(D2367&gt;0,VLOOKUP(OPERAC[[#This Row],[COD CART]],[1]!MatrizCortoLargoCyl[#All],3,0),"")</f>
        <v/>
      </c>
      <c r="F741" t="inlineStr">
        <is>
          <t>CVV</t>
        </is>
      </c>
      <c r="G741" t="n">
        <v>100</v>
      </c>
      <c r="H741" t="n">
        <v>-420.7744</v>
      </c>
      <c r="I741">
        <f>-H2367/G2367</f>
        <v/>
      </c>
      <c r="J741" s="16" t="n">
        <v>44649</v>
      </c>
      <c r="K741" t="n">
        <v>100</v>
      </c>
      <c r="L741" t="n">
        <v>447.685</v>
      </c>
    </row>
    <row r="742">
      <c r="A742" t="n">
        <v>2255</v>
      </c>
      <c r="B742" s="16" t="n">
        <v>44636</v>
      </c>
      <c r="C742" t="inlineStr">
        <is>
          <t>VTA</t>
        </is>
      </c>
      <c r="D742" t="n">
        <v>43</v>
      </c>
      <c r="E742">
        <f>IF(D2335&gt;0,VLOOKUP(OPERAC[[#This Row],[COD CART]],[1]!MatrizCortoLargoCyl[#All],3,0),"")</f>
        <v/>
      </c>
      <c r="F742" t="inlineStr">
        <is>
          <t>GMBL/CYL-PUT/1,00/20-01-23</t>
        </is>
      </c>
      <c r="G742" t="n">
        <v>2500</v>
      </c>
      <c r="H742" t="n">
        <v>-407.3466250000001</v>
      </c>
      <c r="I742">
        <f>-H2335/G2335</f>
        <v/>
      </c>
    </row>
    <row r="743">
      <c r="A743" t="n">
        <v>2255</v>
      </c>
      <c r="B743" s="16" t="n">
        <v>44641</v>
      </c>
      <c r="C743" t="inlineStr">
        <is>
          <t>CPR</t>
        </is>
      </c>
      <c r="D743" t="n">
        <v>42</v>
      </c>
      <c r="E743">
        <f>IF(D3710&gt;0,VLOOKUP(OPERAC[[#This Row],[COD CART]],[1]!MatrizCortoLargoCyl[#All],3,0),"")</f>
        <v/>
      </c>
      <c r="F743" t="inlineStr">
        <is>
          <t>JPM</t>
        </is>
      </c>
      <c r="G743" t="n">
        <v>6</v>
      </c>
      <c r="H743" t="n">
        <v>-839.3821200000001</v>
      </c>
      <c r="I743">
        <f>-H3710/G3710</f>
        <v/>
      </c>
      <c r="J743" s="16" t="n">
        <v>44664</v>
      </c>
      <c r="K743">
        <f>+OPERAC[[#This Row],[cantidad]]</f>
        <v/>
      </c>
      <c r="L743">
        <f>+OPERAC[[#This Row],[cantidad venta]]*125.943</f>
        <v/>
      </c>
    </row>
    <row r="744">
      <c r="A744" t="n">
        <v>2255</v>
      </c>
      <c r="B744" s="16" t="n">
        <v>44641</v>
      </c>
      <c r="C744" t="inlineStr">
        <is>
          <t>VTA</t>
        </is>
      </c>
      <c r="D744" t="n">
        <v>42</v>
      </c>
      <c r="E744">
        <f>IF(D2861&gt;0,VLOOKUP(OPERAC[[#This Row],[COD CART]],[1]!MatrizCortoLargoCyl[#All],3,0),"")</f>
        <v/>
      </c>
      <c r="F744" t="inlineStr">
        <is>
          <t>SMH</t>
        </is>
      </c>
      <c r="G744" t="n">
        <v>2</v>
      </c>
      <c r="H744" t="n">
        <v>-535.7809000000001</v>
      </c>
      <c r="I744">
        <f>-H2861/G2861</f>
        <v/>
      </c>
      <c r="J744" s="16" t="n">
        <v>44663</v>
      </c>
      <c r="K744">
        <f>+OPERAC[[#This Row],[cantidad]]</f>
        <v/>
      </c>
      <c r="L744">
        <f>+OPERAC[[#This Row],[cantidad venta]]*238.066</f>
        <v/>
      </c>
    </row>
    <row r="745">
      <c r="A745" t="n">
        <v>2255</v>
      </c>
      <c r="B745" s="16" t="n">
        <v>44641</v>
      </c>
      <c r="C745" t="inlineStr">
        <is>
          <t>VTA</t>
        </is>
      </c>
      <c r="D745" t="n">
        <v>42</v>
      </c>
      <c r="E745">
        <f>IF(D3760&gt;0,VLOOKUP(OPERAC[[#This Row],[COD CART]],[1]!MatrizCortoLargoCyl[#All],3,0),"")</f>
        <v/>
      </c>
      <c r="F745" t="inlineStr">
        <is>
          <t>FB</t>
        </is>
      </c>
      <c r="G745" t="n">
        <v>4</v>
      </c>
      <c r="H745" t="n">
        <v>-845.25816</v>
      </c>
      <c r="I745">
        <f>-H3760/G3760</f>
        <v/>
      </c>
      <c r="J745" s="16" t="n">
        <v>44671</v>
      </c>
      <c r="K745">
        <f>+OPERAC[[#This Row],[cantidad]]</f>
        <v/>
      </c>
      <c r="L745">
        <f>+OPERAC[[#This Row],[cantidad venta]]*213.173</f>
        <v/>
      </c>
    </row>
    <row r="746">
      <c r="A746" t="n">
        <v>2255</v>
      </c>
      <c r="B746" s="16" t="n">
        <v>44642</v>
      </c>
      <c r="C746" t="inlineStr">
        <is>
          <t>CPR</t>
        </is>
      </c>
      <c r="D746" t="n">
        <v>42</v>
      </c>
      <c r="E746">
        <f>IF(D4151&gt;0,VLOOKUP(OPERAC[[#This Row],[COD CART]],[1]!MatrizCortoLargoCyl[#All],3,0),"")</f>
        <v/>
      </c>
      <c r="F746" t="inlineStr">
        <is>
          <t>HYDR</t>
        </is>
      </c>
      <c r="G746" t="n">
        <v>50</v>
      </c>
      <c r="H746">
        <f>-19.39*OPERAC[[#This Row],[cantidad]]</f>
        <v/>
      </c>
      <c r="I746">
        <f>-H4151/G4151</f>
        <v/>
      </c>
    </row>
    <row r="747">
      <c r="A747" t="n">
        <v>2255</v>
      </c>
      <c r="B747" s="16" t="n">
        <v>44643</v>
      </c>
      <c r="C747" t="inlineStr">
        <is>
          <t>CPR</t>
        </is>
      </c>
      <c r="D747" t="n">
        <v>42</v>
      </c>
      <c r="E747">
        <f>IF(D3709&gt;0,VLOOKUP(OPERAC[[#This Row],[COD CART]],[1]!MatrizCortoLargoCyl[#All],3,0),"")</f>
        <v/>
      </c>
      <c r="F747" t="inlineStr">
        <is>
          <t>ADBE</t>
        </is>
      </c>
      <c r="G747" t="n">
        <v>2</v>
      </c>
      <c r="H747" t="n">
        <v>-838.76803</v>
      </c>
      <c r="I747">
        <f>-H3709/G3709</f>
        <v/>
      </c>
      <c r="J747" s="16" t="n">
        <v>44687</v>
      </c>
      <c r="K747">
        <f>+OPERAC[[#This Row],[cantidad]]</f>
        <v/>
      </c>
      <c r="L747" t="n">
        <v>775.96</v>
      </c>
    </row>
    <row r="748">
      <c r="A748" t="n">
        <v>2255</v>
      </c>
      <c r="B748" s="16" t="n">
        <v>44643</v>
      </c>
      <c r="C748" t="inlineStr">
        <is>
          <t>CPR</t>
        </is>
      </c>
      <c r="D748" t="n">
        <v>42</v>
      </c>
      <c r="E748">
        <f>IF(D4419&gt;0,VLOOKUP(OPERAC[[#This Row],[COD CART]],[1]!MatrizCortoLargoCyl[#All],3,0),"")</f>
        <v/>
      </c>
      <c r="F748" t="inlineStr">
        <is>
          <t>DIS</t>
        </is>
      </c>
      <c r="G748" t="n">
        <v>8</v>
      </c>
      <c r="H748" t="n">
        <v>-1113.18264</v>
      </c>
      <c r="I748">
        <f>-H4419/G4419</f>
        <v/>
      </c>
      <c r="J748" s="16" t="n">
        <v>44671</v>
      </c>
      <c r="K748">
        <f>+OPERAC[[#This Row],[cantidad]]</f>
        <v/>
      </c>
      <c r="L748">
        <f>+OPERAC[[#This Row],[cantidad venta]]*123.621</f>
        <v/>
      </c>
    </row>
    <row r="749">
      <c r="A749" t="n">
        <v>2255</v>
      </c>
      <c r="B749" s="16" t="n">
        <v>44643</v>
      </c>
      <c r="C749" t="inlineStr">
        <is>
          <t>VTA</t>
        </is>
      </c>
      <c r="D749" t="n">
        <v>42</v>
      </c>
      <c r="E749">
        <f>IF(D2388&gt;0,VLOOKUP(OPERAC[[#This Row],[COD CART]],[1]!MatrizCortoLargoCyl[#All],3,0),"")</f>
        <v/>
      </c>
      <c r="F749" t="inlineStr">
        <is>
          <t>JPM</t>
        </is>
      </c>
      <c r="G749" t="n">
        <v>3</v>
      </c>
      <c r="H749" t="n">
        <v>-422.05848</v>
      </c>
      <c r="I749">
        <f>-H2388/G2388</f>
        <v/>
      </c>
      <c r="J749" s="16" t="n">
        <v>44664</v>
      </c>
      <c r="K749">
        <f>+OPERAC[[#This Row],[cantidad]]</f>
        <v/>
      </c>
      <c r="L749">
        <f>+OPERAC[[#This Row],[cantidad venta]]*125.943</f>
        <v/>
      </c>
    </row>
    <row r="750">
      <c r="A750" t="n">
        <v>2255</v>
      </c>
      <c r="B750" s="16" t="n">
        <v>44643</v>
      </c>
      <c r="C750" t="inlineStr">
        <is>
          <t>VTA</t>
        </is>
      </c>
      <c r="D750" t="n">
        <v>42</v>
      </c>
      <c r="E750">
        <f>IF(D2852&gt;0,VLOOKUP(OPERAC[[#This Row],[COD CART]],[1]!MatrizCortoLargoCyl[#All],3,0),"")</f>
        <v/>
      </c>
      <c r="F750" t="inlineStr">
        <is>
          <t>SMH</t>
        </is>
      </c>
      <c r="G750" t="n">
        <v>2</v>
      </c>
      <c r="H750" t="n">
        <v>-532.2055559999999</v>
      </c>
      <c r="I750">
        <f>-H2852/G2852</f>
        <v/>
      </c>
      <c r="J750" s="16" t="n">
        <v>44663</v>
      </c>
      <c r="K750">
        <f>+OPERAC[[#This Row],[cantidad]]</f>
        <v/>
      </c>
      <c r="L750">
        <f>+OPERAC[[#This Row],[cantidad venta]]*238.066</f>
        <v/>
      </c>
    </row>
    <row r="751">
      <c r="A751" t="n">
        <v>2255</v>
      </c>
      <c r="B751" s="16" t="n">
        <v>44649</v>
      </c>
      <c r="C751" t="inlineStr">
        <is>
          <t>VTA</t>
        </is>
      </c>
      <c r="D751" t="n">
        <v>42</v>
      </c>
      <c r="E751">
        <f>IF(D2476&gt;0,VLOOKUP(OPERAC[[#This Row],[COD CART]],[1]!MatrizCortoLargoCyl[#All],3,0),"")</f>
        <v/>
      </c>
      <c r="F751" t="inlineStr">
        <is>
          <t>CRESY</t>
        </is>
      </c>
      <c r="G751" t="n">
        <v>55</v>
      </c>
      <c r="H751" t="n">
        <v>-443.30506</v>
      </c>
      <c r="I751">
        <f>-H2476/G2476</f>
        <v/>
      </c>
      <c r="J751" s="16" t="n">
        <v>44657</v>
      </c>
      <c r="K751">
        <f>+OPERAC[[#This Row],[cantidad]]</f>
        <v/>
      </c>
      <c r="L751">
        <f>+OPERAC[[#This Row],[cantidad venta]]*7.664</f>
        <v/>
      </c>
    </row>
    <row r="752">
      <c r="A752" t="n">
        <v>2255</v>
      </c>
      <c r="B752" s="16" t="n">
        <v>44649</v>
      </c>
      <c r="C752" t="inlineStr">
        <is>
          <t>VTA</t>
        </is>
      </c>
      <c r="D752" t="n">
        <v>32</v>
      </c>
      <c r="E752">
        <f>IF(D5435&gt;0,VLOOKUP(OPERAC[[#This Row],[COD CART]],[1]!MatrizCortoLargoCyl[#All],3,0),"")</f>
        <v/>
      </c>
      <c r="F752" t="inlineStr">
        <is>
          <t>SPWR</t>
        </is>
      </c>
      <c r="G752" t="n">
        <v>100</v>
      </c>
      <c r="H752" t="n">
        <v>-1865.225</v>
      </c>
      <c r="I752">
        <f>-H5435/G5435</f>
        <v/>
      </c>
      <c r="J752" s="16" t="n">
        <v>44704</v>
      </c>
      <c r="K752" t="n">
        <v>100</v>
      </c>
      <c r="L752" t="n">
        <v>1590.809</v>
      </c>
    </row>
    <row r="753">
      <c r="A753" t="n">
        <v>2255</v>
      </c>
      <c r="B753" s="16" t="n">
        <v>44664</v>
      </c>
      <c r="C753" t="inlineStr">
        <is>
          <t>CPR</t>
        </is>
      </c>
      <c r="D753" t="n">
        <v>42</v>
      </c>
      <c r="E753">
        <f>IF(D4185&gt;0,VLOOKUP(OPERAC[[#This Row],[COD CART]],[1]!MatrizCortoLargoCyl[#All],3,0),"")</f>
        <v/>
      </c>
      <c r="F753" t="inlineStr">
        <is>
          <t>AMD</t>
        </is>
      </c>
      <c r="G753" t="n">
        <v>10</v>
      </c>
      <c r="H753" t="n">
        <v>-983.7890181</v>
      </c>
      <c r="I753">
        <f>-H4185/G4185</f>
        <v/>
      </c>
      <c r="J753" s="16" t="n">
        <v>44693</v>
      </c>
      <c r="K753" t="n">
        <v>10</v>
      </c>
      <c r="L753" t="n">
        <v>832.736</v>
      </c>
    </row>
    <row r="754">
      <c r="A754" t="n">
        <v>2255</v>
      </c>
      <c r="B754" s="16" t="n">
        <v>44664</v>
      </c>
      <c r="C754" t="inlineStr">
        <is>
          <t>CPR</t>
        </is>
      </c>
      <c r="D754" t="n">
        <v>42</v>
      </c>
      <c r="E754">
        <f>IF(D4573&gt;0,VLOOKUP(OPERAC[[#This Row],[COD CART]],[1]!MatrizCortoLargoCyl[#All],3,0),"")</f>
        <v/>
      </c>
      <c r="F754" t="inlineStr">
        <is>
          <t>PSQ</t>
        </is>
      </c>
      <c r="G754" t="n">
        <v>100</v>
      </c>
      <c r="H754" t="n">
        <v>-1238.3261037</v>
      </c>
      <c r="I754">
        <f>-H4573/G4573</f>
        <v/>
      </c>
      <c r="J754" s="16" t="n">
        <v>44680</v>
      </c>
      <c r="K754">
        <f>+OPERAC[[#This Row],[cantidad]]</f>
        <v/>
      </c>
      <c r="L754">
        <f>12.848*OPERAC[[#This Row],[cantidad venta]]</f>
        <v/>
      </c>
    </row>
    <row r="755">
      <c r="A755" t="n">
        <v>2255</v>
      </c>
      <c r="B755" s="16" t="n">
        <v>44671</v>
      </c>
      <c r="C755" t="inlineStr">
        <is>
          <t>CPR</t>
        </is>
      </c>
      <c r="D755" t="n">
        <v>42</v>
      </c>
      <c r="E755">
        <f>IF(D3481&gt;0,VLOOKUP(OPERAC[[#This Row],[COD CART]],[1]!MatrizCortoLargoCyl[#All],3,0),"")</f>
        <v/>
      </c>
      <c r="F755" t="inlineStr">
        <is>
          <t>NFLX</t>
        </is>
      </c>
      <c r="G755" t="n">
        <v>3</v>
      </c>
      <c r="H755" t="n">
        <v>-760.4868600000001</v>
      </c>
      <c r="I755">
        <f>-H3481/G3481</f>
        <v/>
      </c>
      <c r="J755" s="16" t="n">
        <v>44693</v>
      </c>
      <c r="K755">
        <f>+OPERAC[[#This Row],[cantidad]]</f>
        <v/>
      </c>
      <c r="L755">
        <f>+OPERAC[[#This Row],[cantidad venta]]*164.905</f>
        <v/>
      </c>
    </row>
    <row r="756">
      <c r="A756" t="n">
        <v>2255</v>
      </c>
      <c r="B756" s="16" t="n">
        <v>44671</v>
      </c>
      <c r="C756" t="inlineStr">
        <is>
          <t>CPR</t>
        </is>
      </c>
      <c r="D756" t="n">
        <v>42</v>
      </c>
      <c r="E756">
        <f>IF(D4166&gt;0,VLOOKUP(OPERAC[[#This Row],[COD CART]],[1]!MatrizCortoLargoCyl[#All],3,0),"")</f>
        <v/>
      </c>
      <c r="F756" t="inlineStr">
        <is>
          <t>TLT</t>
        </is>
      </c>
      <c r="G756" t="n">
        <v>8</v>
      </c>
      <c r="H756" t="n">
        <v>-976.61508</v>
      </c>
      <c r="I756">
        <f>-H4166/G4166</f>
        <v/>
      </c>
    </row>
    <row r="757">
      <c r="A757" t="n">
        <v>2255</v>
      </c>
      <c r="B757" s="16" t="n">
        <v>44680</v>
      </c>
      <c r="C757" t="inlineStr">
        <is>
          <t>CPR</t>
        </is>
      </c>
      <c r="D757" t="n">
        <v>42</v>
      </c>
      <c r="E757">
        <f>IF(D4730&gt;0,VLOOKUP(OPERAC[[#This Row],[COD CART]],[1]!MatrizCortoLargoCyl[#All],3,0),"")</f>
        <v/>
      </c>
      <c r="F757" t="inlineStr">
        <is>
          <t>XLP</t>
        </is>
      </c>
      <c r="G757" t="n">
        <v>17</v>
      </c>
      <c r="H757" t="n">
        <v>-1345.0305225</v>
      </c>
      <c r="I757">
        <f>-H4730/G4730</f>
        <v/>
      </c>
      <c r="J757" s="16" t="n">
        <v>44693</v>
      </c>
      <c r="K757" t="n">
        <v>17</v>
      </c>
      <c r="L757" t="n">
        <v>1287.54</v>
      </c>
    </row>
    <row r="758">
      <c r="A758" t="n">
        <v>2255</v>
      </c>
      <c r="B758" s="16" t="n">
        <v>44697</v>
      </c>
      <c r="C758" t="inlineStr">
        <is>
          <t>CPR</t>
        </is>
      </c>
      <c r="D758" t="n">
        <v>32</v>
      </c>
      <c r="E758">
        <f>IF(D2616&gt;0,VLOOKUP(OPERAC[[#This Row],[COD CART]],[1]!MatrizCortoLargoCyl[#All],3,0),"")</f>
        <v/>
      </c>
      <c r="F758" t="inlineStr">
        <is>
          <t>TLRY/CYL/5,50/17-06-22</t>
        </is>
      </c>
      <c r="G758" t="n">
        <v>100</v>
      </c>
      <c r="H758">
        <f>-484.256+11.898</f>
        <v/>
      </c>
      <c r="I758">
        <f>-H2616/G2616</f>
        <v/>
      </c>
    </row>
    <row r="759">
      <c r="A759" t="n">
        <v>2255</v>
      </c>
      <c r="B759" s="16" t="n">
        <v>44704</v>
      </c>
      <c r="C759" t="inlineStr">
        <is>
          <t>CPR</t>
        </is>
      </c>
      <c r="D759" t="n">
        <v>43</v>
      </c>
      <c r="E759">
        <f>IF(D4177&gt;0,VLOOKUP(OPERAC[[#This Row],[COD CART]],[1]!MatrizCortoLargoCyl[#All],3,0),"")</f>
        <v/>
      </c>
      <c r="F759" t="inlineStr">
        <is>
          <t>PCT/CYP/7,50-6,00/20-01-23</t>
        </is>
      </c>
      <c r="G759" t="n">
        <v>200</v>
      </c>
      <c r="H759" t="n">
        <v>-982.46</v>
      </c>
      <c r="I759">
        <f>-H4177/G4177</f>
        <v/>
      </c>
    </row>
    <row r="760">
      <c r="A760" t="n">
        <v>2255</v>
      </c>
      <c r="B760" s="16" t="n">
        <v>44704</v>
      </c>
      <c r="C760" t="inlineStr">
        <is>
          <t>VTA</t>
        </is>
      </c>
      <c r="D760" t="n">
        <v>32</v>
      </c>
      <c r="E760">
        <f>IF(D3855&gt;0,VLOOKUP(OPERAC[[#This Row],[COD CART]],[1]!MatrizCortoLargoCyl[#All],3,0),"")</f>
        <v/>
      </c>
      <c r="F760" t="inlineStr">
        <is>
          <t>HIMX/CYL/9,00/10-06-22</t>
        </is>
      </c>
      <c r="G760" t="n">
        <v>100</v>
      </c>
      <c r="H760" t="n">
        <v>-866.7</v>
      </c>
      <c r="I760">
        <f>-H3855/G3855</f>
        <v/>
      </c>
      <c r="J760" s="16" t="n">
        <v>44721</v>
      </c>
      <c r="K760" t="n">
        <v>100</v>
      </c>
      <c r="L760" t="n">
        <v>898.25</v>
      </c>
    </row>
    <row r="761">
      <c r="A761" t="n">
        <v>2255</v>
      </c>
      <c r="B761" s="16" t="n">
        <v>44707</v>
      </c>
      <c r="C761" t="inlineStr">
        <is>
          <t>CPR</t>
        </is>
      </c>
      <c r="D761" t="n">
        <v>42</v>
      </c>
      <c r="E761">
        <f>IF(D4150&gt;0,VLOOKUP(OPERAC[[#This Row],[COD CART]],[1]!MatrizCortoLargoCyl[#All],3,0),"")</f>
        <v/>
      </c>
      <c r="F761" t="inlineStr">
        <is>
          <t>PCT</t>
        </is>
      </c>
      <c r="G761" t="n">
        <v>100</v>
      </c>
      <c r="H761" t="n">
        <v>-969.2038789999999</v>
      </c>
      <c r="I761">
        <f>-H4150/G4150</f>
        <v/>
      </c>
    </row>
    <row r="762">
      <c r="A762" t="n">
        <v>2255</v>
      </c>
      <c r="B762" s="16" t="n">
        <v>44712</v>
      </c>
      <c r="C762" t="inlineStr">
        <is>
          <t>CPR</t>
        </is>
      </c>
      <c r="D762" t="n">
        <v>42</v>
      </c>
      <c r="E762">
        <f>IF(D5871&gt;0,VLOOKUP(OPERAC[[#This Row],[COD CART]],[1]!MatrizCortoLargoCyl[#All],3,0),"")</f>
        <v/>
      </c>
      <c r="F762" t="inlineStr">
        <is>
          <t>KWEB</t>
        </is>
      </c>
      <c r="G762" t="n">
        <v>100</v>
      </c>
      <c r="H762" t="n">
        <v>-2958.2525</v>
      </c>
      <c r="I762">
        <f>-H5871/G5871</f>
        <v/>
      </c>
    </row>
    <row r="763">
      <c r="A763" t="n">
        <v>2255</v>
      </c>
      <c r="B763" s="16" t="n">
        <v>44712</v>
      </c>
      <c r="C763" t="inlineStr">
        <is>
          <t>VTA</t>
        </is>
      </c>
      <c r="D763" t="n">
        <v>39</v>
      </c>
      <c r="E763">
        <f>IF(D1158&gt;0,VLOOKUP(OPERAC[[#This Row],[COD CART]],[1]!MatrizCortoLargoCyl[#All],3,0),"")</f>
        <v/>
      </c>
      <c r="F763" t="inlineStr">
        <is>
          <t>MELI/V/350,00/20-01-23</t>
        </is>
      </c>
      <c r="G763" t="n">
        <v>-1</v>
      </c>
      <c r="H763" t="n">
        <v>15.36</v>
      </c>
      <c r="I763">
        <f>-H1158/G1158</f>
        <v/>
      </c>
    </row>
    <row r="764">
      <c r="A764" t="n">
        <v>2255</v>
      </c>
      <c r="B764" s="16" t="n">
        <v>44713</v>
      </c>
      <c r="C764" t="inlineStr">
        <is>
          <t>CPR</t>
        </is>
      </c>
      <c r="D764" t="n">
        <v>42</v>
      </c>
      <c r="E764">
        <f>IF(D4861&gt;0,VLOOKUP(OPERAC[[#This Row],[COD CART]],[1]!MatrizCortoLargoCyl[#All],3,0),"")</f>
        <v/>
      </c>
      <c r="F764" t="inlineStr">
        <is>
          <t>UPST</t>
        </is>
      </c>
      <c r="G764" t="n">
        <v>30</v>
      </c>
      <c r="H764" t="n">
        <v>-1444.4046</v>
      </c>
      <c r="I764">
        <f>-H4861/G4861</f>
        <v/>
      </c>
      <c r="J764" s="16" t="n">
        <v>44714</v>
      </c>
      <c r="K764">
        <f>+OPERAC[[#This Row],[cantidad]]</f>
        <v/>
      </c>
      <c r="L764">
        <f>+OPERAC[[#This Row],[cantidad venta]]*49.312</f>
        <v/>
      </c>
    </row>
    <row r="765">
      <c r="A765" t="n">
        <v>2255</v>
      </c>
      <c r="B765" s="16" t="n">
        <v>44713</v>
      </c>
      <c r="C765" t="inlineStr">
        <is>
          <t>VTA</t>
        </is>
      </c>
      <c r="D765" t="n">
        <v>39</v>
      </c>
      <c r="E765">
        <f>IF(D55&gt;0,VLOOKUP(OPERAC[[#This Row],[COD CART]],[1]!MatrizCortoLargoCyl[#All],3,0),"")</f>
        <v/>
      </c>
      <c r="F765" t="inlineStr">
        <is>
          <t>TSLA/V/680,00/03-06-22</t>
        </is>
      </c>
      <c r="G765" t="n">
        <v>-2000</v>
      </c>
      <c r="H765" t="n">
        <v>4977.5</v>
      </c>
      <c r="I765">
        <f>-H55/G55</f>
        <v/>
      </c>
      <c r="J765" s="16" t="n">
        <v>44713</v>
      </c>
      <c r="K765" t="n">
        <v>-2000</v>
      </c>
      <c r="L765" t="n">
        <v>-167.75</v>
      </c>
    </row>
    <row r="766">
      <c r="A766" t="n">
        <v>2255</v>
      </c>
      <c r="B766" s="16" t="n">
        <v>44713</v>
      </c>
      <c r="C766" t="inlineStr">
        <is>
          <t>VTA</t>
        </is>
      </c>
      <c r="D766" t="n">
        <v>39</v>
      </c>
      <c r="E766">
        <f>IF(D199&gt;0,VLOOKUP(OPERAC[[#This Row],[COD CART]],[1]!MatrizCortoLargoCyl[#All],3,0),"")</f>
        <v/>
      </c>
      <c r="F766" t="inlineStr">
        <is>
          <t>TSLA/V/655,00/03-06-22</t>
        </is>
      </c>
      <c r="G766" t="n">
        <v>-2000</v>
      </c>
      <c r="H766" t="n">
        <v>2190.1</v>
      </c>
      <c r="I766">
        <f>-H199/G199</f>
        <v/>
      </c>
      <c r="J766" s="16" t="n">
        <v>44715</v>
      </c>
      <c r="K766" t="n">
        <v>-2000</v>
      </c>
      <c r="L766" t="n">
        <v>-180.81</v>
      </c>
    </row>
    <row r="767">
      <c r="A767" t="n">
        <v>2255</v>
      </c>
      <c r="B767" s="16" t="n">
        <v>44713</v>
      </c>
      <c r="C767" t="inlineStr">
        <is>
          <t>VTA</t>
        </is>
      </c>
      <c r="D767" t="n">
        <v>39</v>
      </c>
      <c r="E767">
        <f>IF(D1289&gt;0,VLOOKUP(OPERAC[[#This Row],[COD CART]],[1]!MatrizCortoLargoCyl[#All],3,0),"")</f>
        <v/>
      </c>
      <c r="F767" t="inlineStr">
        <is>
          <t>ACB/V/3,00/20-01-23</t>
        </is>
      </c>
      <c r="G767" t="n">
        <v>50</v>
      </c>
      <c r="H767" t="n">
        <v>-81.81</v>
      </c>
      <c r="I767">
        <f>-H1289/G1289</f>
        <v/>
      </c>
    </row>
    <row r="768">
      <c r="A768" t="n">
        <v>2255</v>
      </c>
      <c r="B768" s="16" t="n">
        <v>44718</v>
      </c>
      <c r="C768" t="inlineStr">
        <is>
          <t>VTA</t>
        </is>
      </c>
      <c r="D768" t="n">
        <v>39</v>
      </c>
      <c r="E768">
        <f>IF(D75&gt;0,VLOOKUP(OPERAC[[#This Row],[COD CART]],[1]!MatrizCortoLargoCyl[#All],3,0),"")</f>
        <v/>
      </c>
      <c r="F768" t="inlineStr">
        <is>
          <t>TSLA/V/600,00/10-06-22</t>
        </is>
      </c>
      <c r="G768" t="n">
        <v>-1600</v>
      </c>
      <c r="H768" t="n">
        <v>4050.49</v>
      </c>
      <c r="I768">
        <f>-H75/G75</f>
        <v/>
      </c>
      <c r="J768" s="16" t="n">
        <v>44718</v>
      </c>
      <c r="K768" t="n">
        <v>-1600</v>
      </c>
      <c r="L768" t="n">
        <v>-2803.22</v>
      </c>
    </row>
    <row r="769">
      <c r="A769" t="n">
        <v>2255</v>
      </c>
      <c r="B769" s="16" t="n">
        <v>44718</v>
      </c>
      <c r="C769" t="inlineStr">
        <is>
          <t>VTA</t>
        </is>
      </c>
      <c r="D769" t="n">
        <v>39</v>
      </c>
      <c r="E769">
        <f>IF(D257&gt;0,VLOOKUP(OPERAC[[#This Row],[COD CART]],[1]!MatrizCortoLargoCyl[#All],3,0),"")</f>
        <v/>
      </c>
      <c r="F769" t="inlineStr">
        <is>
          <t>TSLA/V/580,00/10-06-22</t>
        </is>
      </c>
      <c r="G769" t="n">
        <v>-1600</v>
      </c>
      <c r="H769" t="n">
        <v>1742.4</v>
      </c>
      <c r="I769">
        <f>-H257/G257</f>
        <v/>
      </c>
      <c r="J769" s="16" t="n">
        <v>44720</v>
      </c>
      <c r="K769" t="n">
        <v>-1600</v>
      </c>
      <c r="L769" t="n">
        <v>-288.224</v>
      </c>
    </row>
    <row r="770">
      <c r="A770" t="n">
        <v>2255</v>
      </c>
      <c r="B770" s="16" t="n">
        <v>44720</v>
      </c>
      <c r="C770" t="inlineStr">
        <is>
          <t>CPR</t>
        </is>
      </c>
      <c r="D770" t="n">
        <v>42</v>
      </c>
      <c r="E770">
        <f>IF(D4946&gt;0,VLOOKUP(OPERAC[[#This Row],[COD CART]],[1]!MatrizCortoLargoCyl[#All],3,0),"")</f>
        <v/>
      </c>
      <c r="F770" t="inlineStr">
        <is>
          <t>HYDR</t>
        </is>
      </c>
      <c r="G770" t="n">
        <v>100</v>
      </c>
      <c r="H770" t="n">
        <v>-1506.75</v>
      </c>
      <c r="I770">
        <f>-H4946/G4946</f>
        <v/>
      </c>
    </row>
    <row r="771">
      <c r="A771" t="n">
        <v>2255</v>
      </c>
      <c r="B771" s="16" t="n">
        <v>44720</v>
      </c>
      <c r="C771" t="inlineStr">
        <is>
          <t>VTA</t>
        </is>
      </c>
      <c r="D771" t="n">
        <v>39</v>
      </c>
      <c r="E771">
        <f>IF(D817&gt;0,VLOOKUP(OPERAC[[#This Row],[COD CART]],[1]!MatrizCortoLargoCyl[#All],3,0),"")</f>
        <v/>
      </c>
      <c r="F771" t="inlineStr">
        <is>
          <t>TSLA/P/660,00/10-06-22</t>
        </is>
      </c>
      <c r="G771" t="n">
        <v>-200</v>
      </c>
      <c r="H771" t="n">
        <v>228.965</v>
      </c>
      <c r="I771">
        <f>-H817/G817</f>
        <v/>
      </c>
      <c r="J771" s="16" t="n">
        <v>44722</v>
      </c>
      <c r="K771">
        <f>+OPERAC[[#This Row],[cantidad]]</f>
        <v/>
      </c>
      <c r="L771" t="n">
        <v>0</v>
      </c>
    </row>
    <row r="772">
      <c r="A772" t="n">
        <v>2255</v>
      </c>
      <c r="B772" s="16" t="n">
        <v>44721</v>
      </c>
      <c r="C772" t="inlineStr">
        <is>
          <t>CPR</t>
        </is>
      </c>
      <c r="D772" t="n">
        <v>32</v>
      </c>
      <c r="E772">
        <f>IF(D4407&gt;0,VLOOKUP(OPERAC[[#This Row],[COD CART]],[1]!MatrizCortoLargoCyl[#All],3,0),"")</f>
        <v/>
      </c>
      <c r="F772" t="inlineStr">
        <is>
          <t>CCL/CYL/11,5/17-06-22</t>
        </is>
      </c>
      <c r="G772" t="n">
        <v>100</v>
      </c>
      <c r="H772">
        <f>-11.066*100</f>
        <v/>
      </c>
      <c r="I772">
        <f>-H4407/G4407</f>
        <v/>
      </c>
    </row>
    <row r="773">
      <c r="A773" t="n">
        <v>2255</v>
      </c>
      <c r="B773" s="16" t="n">
        <v>44725</v>
      </c>
      <c r="C773" t="inlineStr">
        <is>
          <t>VTA</t>
        </is>
      </c>
      <c r="D773" t="n">
        <v>40</v>
      </c>
      <c r="E773">
        <f>IF(D2464&gt;0,VLOOKUP(OPERAC[[#This Row],[COD CART]],[1]!MatrizCortoLargoCyl[#All],3,0),"")</f>
        <v/>
      </c>
      <c r="F773" t="inlineStr">
        <is>
          <t>AMD</t>
        </is>
      </c>
      <c r="G773" t="n">
        <v>5</v>
      </c>
      <c r="H773" t="n">
        <v>-436.7314875</v>
      </c>
      <c r="I773">
        <f>-H2464/G2464</f>
        <v/>
      </c>
    </row>
    <row r="774">
      <c r="A774" t="n">
        <v>2255</v>
      </c>
      <c r="B774" s="16" t="n">
        <v>44725</v>
      </c>
      <c r="C774" t="inlineStr">
        <is>
          <t>VTA</t>
        </is>
      </c>
      <c r="D774" t="n">
        <v>40</v>
      </c>
      <c r="E774">
        <f>IF(D3108&gt;0,VLOOKUP(OPERAC[[#This Row],[COD CART]],[1]!MatrizCortoLargoCyl[#All],3,0),"")</f>
        <v/>
      </c>
      <c r="F774" t="inlineStr">
        <is>
          <t>MELI</t>
        </is>
      </c>
      <c r="G774" t="n">
        <v>1</v>
      </c>
      <c r="H774" t="n">
        <v>-625.90395</v>
      </c>
      <c r="I774">
        <f>-H3108/G3108</f>
        <v/>
      </c>
    </row>
    <row r="775">
      <c r="A775" t="n">
        <v>2257</v>
      </c>
      <c r="B775" s="16" t="n">
        <v>44277</v>
      </c>
      <c r="C775" t="inlineStr">
        <is>
          <t>VTA</t>
        </is>
      </c>
      <c r="D775" t="n">
        <v>39</v>
      </c>
      <c r="E775">
        <f>IF(D714&gt;0,VLOOKUP(OPERAC[[#This Row],[COD CART]],[1]!MatrizCortoLargoCyl[#All],3,0),"")</f>
        <v/>
      </c>
      <c r="F775" t="inlineStr">
        <is>
          <t>TLRY1/V/10,00/20-01-23</t>
        </is>
      </c>
      <c r="G775" t="n">
        <v>-400</v>
      </c>
      <c r="H775" t="n">
        <v>400</v>
      </c>
      <c r="I775">
        <f>-H714/G714</f>
        <v/>
      </c>
      <c r="J775" s="16" t="n">
        <v>44614</v>
      </c>
      <c r="K775" t="n">
        <v>-400</v>
      </c>
      <c r="L775" t="n">
        <v>-2341.358</v>
      </c>
    </row>
    <row r="776">
      <c r="A776" t="n">
        <v>2257</v>
      </c>
      <c r="B776" s="16" t="n">
        <v>44439</v>
      </c>
      <c r="C776" t="inlineStr">
        <is>
          <t>VTA</t>
        </is>
      </c>
      <c r="D776" t="n">
        <v>39</v>
      </c>
      <c r="E776">
        <f>IF(D437&gt;0,VLOOKUP(OPERAC[[#This Row],[COD CART]],[1]!MatrizCortoLargoCyl[#All],3,0),"")</f>
        <v/>
      </c>
      <c r="F776" t="inlineStr">
        <is>
          <t>INO/V/5,00/20-01-23</t>
        </is>
      </c>
      <c r="G776" t="n">
        <v>-1000</v>
      </c>
      <c r="H776" t="n">
        <v>1043</v>
      </c>
      <c r="I776">
        <f>-H437/G437</f>
        <v/>
      </c>
      <c r="J776" s="16" t="n">
        <v>44616</v>
      </c>
      <c r="K776" t="n">
        <v>-1000</v>
      </c>
      <c r="L776" t="n">
        <v>-2673.99</v>
      </c>
    </row>
    <row r="777">
      <c r="A777" t="n">
        <v>2257</v>
      </c>
      <c r="B777" s="16" t="n">
        <v>44441</v>
      </c>
      <c r="C777" t="inlineStr">
        <is>
          <t>VTA</t>
        </is>
      </c>
      <c r="D777" t="n">
        <v>39</v>
      </c>
      <c r="E777">
        <f>IF(D1145&gt;0,VLOOKUP(OPERAC[[#This Row],[COD CART]],[1]!MatrizCortoLargoCyl[#All],3,0),"")</f>
        <v/>
      </c>
      <c r="F777" t="inlineStr">
        <is>
          <t>DDD/V/15,00/20-01-23</t>
        </is>
      </c>
      <c r="G777" t="n">
        <v>-10</v>
      </c>
      <c r="H777" t="n">
        <v>18.39</v>
      </c>
      <c r="I777">
        <f>-H1145/G1145</f>
        <v/>
      </c>
    </row>
    <row r="778">
      <c r="A778" t="n">
        <v>2257</v>
      </c>
      <c r="B778" s="16" t="n">
        <v>44462</v>
      </c>
      <c r="C778" t="inlineStr">
        <is>
          <t>CPR</t>
        </is>
      </c>
      <c r="D778" t="n">
        <v>43</v>
      </c>
      <c r="E778">
        <f>IF(D2640&gt;0,VLOOKUP(OPERAC[[#This Row],[COD CART]],[1]!MatrizCortoLargoCyl[#All],3,0),"")</f>
        <v/>
      </c>
      <c r="F778" t="inlineStr">
        <is>
          <t>SOLO/CYL-PUT/4,00/16-09-22</t>
        </is>
      </c>
      <c r="G778" t="n">
        <v>300</v>
      </c>
      <c r="H778">
        <f>OPERAC[[#This Row],[cantidad]]*-2.54+0.32*OPERAC[[#This Row],[cantidad]]+0.387*OPERAC[[#This Row],[cantidad]]+0.22*OPERAC[[#This Row],[cantidad]]</f>
        <v/>
      </c>
      <c r="I778">
        <f>-H2640/G2640</f>
        <v/>
      </c>
    </row>
    <row r="779">
      <c r="A779" t="n">
        <v>2257</v>
      </c>
      <c r="B779" s="16" t="n">
        <v>44466</v>
      </c>
      <c r="C779" t="inlineStr">
        <is>
          <t>VTA</t>
        </is>
      </c>
      <c r="D779" t="n">
        <v>43</v>
      </c>
      <c r="E779">
        <f>IF(D3071&gt;0,VLOOKUP(OPERAC[[#This Row],[COD CART]],[1]!MatrizCortoLargoCyl[#All],3,0),"")</f>
        <v/>
      </c>
      <c r="F779" t="inlineStr">
        <is>
          <t>SOLO/CYL-PUT/4,00/16-09-22</t>
        </is>
      </c>
      <c r="G779" t="n">
        <v>300</v>
      </c>
      <c r="H779">
        <f>-892.25181+0.32*OPERAC[[#This Row],[cantidad]]+0.387*OPERAC[[#This Row],[cantidad]]+0.22*OPERAC[[#This Row],[cantidad]]</f>
        <v/>
      </c>
      <c r="I779">
        <f>-H3071/G3071</f>
        <v/>
      </c>
    </row>
    <row r="780">
      <c r="A780" t="n">
        <v>2257</v>
      </c>
      <c r="B780" s="16" t="n">
        <v>44474</v>
      </c>
      <c r="C780" t="inlineStr">
        <is>
          <t>VTA</t>
        </is>
      </c>
      <c r="D780" t="n">
        <v>39</v>
      </c>
      <c r="E780">
        <f>IF(D952&gt;0,VLOOKUP(OPERAC[[#This Row],[COD CART]],[1]!MatrizCortoLargoCyl[#All],3,0),"")</f>
        <v/>
      </c>
      <c r="F780" t="inlineStr">
        <is>
          <t>NKE/V/115,00/21-01-22</t>
        </is>
      </c>
      <c r="G780" t="n">
        <v>-100</v>
      </c>
      <c r="H780" t="n">
        <v>94.95699999999999</v>
      </c>
      <c r="I780">
        <f>-H952/G952</f>
        <v/>
      </c>
      <c r="J780" s="16" t="n">
        <v>44582</v>
      </c>
      <c r="K780">
        <f>+OPERAC[[#This Row],[cantidad]]</f>
        <v/>
      </c>
      <c r="L780" t="n">
        <v>0</v>
      </c>
    </row>
    <row r="781">
      <c r="A781" t="n">
        <v>2257</v>
      </c>
      <c r="B781" s="16" t="n">
        <v>44487</v>
      </c>
      <c r="C781" t="inlineStr">
        <is>
          <t>VTA</t>
        </is>
      </c>
      <c r="D781" t="n">
        <v>40</v>
      </c>
      <c r="E781">
        <f>IF(D5139&gt;0,VLOOKUP(OPERAC[[#This Row],[COD CART]],[1]!MatrizCortoLargoCyl[#All],3,0),"")</f>
        <v/>
      </c>
      <c r="F781" t="inlineStr">
        <is>
          <t>MELI</t>
        </is>
      </c>
      <c r="G781" t="n">
        <v>1</v>
      </c>
      <c r="H781" t="n">
        <v>-1603.127</v>
      </c>
      <c r="I781">
        <f>-H5139/G5139</f>
        <v/>
      </c>
      <c r="J781" s="16" t="n">
        <v>44606</v>
      </c>
      <c r="K781" t="n">
        <v>1</v>
      </c>
      <c r="L781" t="n">
        <v>1073.609</v>
      </c>
    </row>
    <row r="782">
      <c r="A782" t="n">
        <v>2257</v>
      </c>
      <c r="B782" s="16" t="n">
        <v>44489</v>
      </c>
      <c r="C782" t="inlineStr">
        <is>
          <t>VTA</t>
        </is>
      </c>
      <c r="D782" t="n">
        <v>43</v>
      </c>
      <c r="E782">
        <f>IF(D2981&gt;0,VLOOKUP(OPERAC[[#This Row],[COD CART]],[1]!MatrizCortoLargoCyl[#All],3,0),"")</f>
        <v/>
      </c>
      <c r="F782" t="inlineStr">
        <is>
          <t>SESN/CYL-PUT/1,00/19-01-24</t>
        </is>
      </c>
      <c r="G782" t="n">
        <v>3000</v>
      </c>
      <c r="H782">
        <f>-0.1885*OPERAC[[#This Row],[cantidad]]</f>
        <v/>
      </c>
      <c r="I782">
        <f>-H2981/G2981</f>
        <v/>
      </c>
    </row>
    <row r="783">
      <c r="A783" t="n">
        <v>2257</v>
      </c>
      <c r="B783" s="16" t="n">
        <v>44494</v>
      </c>
      <c r="C783" t="inlineStr">
        <is>
          <t>CPR</t>
        </is>
      </c>
      <c r="D783" t="n">
        <v>40</v>
      </c>
      <c r="E783">
        <f>IF(D4949&gt;0,VLOOKUP(OPERAC[[#This Row],[COD CART]],[1]!MatrizCortoLargoCyl[#All],3,0),"")</f>
        <v/>
      </c>
      <c r="F783" t="inlineStr">
        <is>
          <t>YPF</t>
        </is>
      </c>
      <c r="G783" t="n">
        <v>324</v>
      </c>
      <c r="H783" t="n">
        <v>-1507.48128</v>
      </c>
      <c r="I783">
        <f>-H4949/G4949</f>
        <v/>
      </c>
      <c r="J783" s="16" t="n">
        <v>44606</v>
      </c>
      <c r="K783">
        <f>+OPERAC[[#This Row],[cantidad]]</f>
        <v/>
      </c>
      <c r="L783">
        <f>+OPERAC[[#This Row],[cantidad venta]]*4.161</f>
        <v/>
      </c>
    </row>
    <row r="784">
      <c r="A784" t="n">
        <v>2257</v>
      </c>
      <c r="B784" s="16" t="n">
        <v>44495</v>
      </c>
      <c r="C784" t="inlineStr">
        <is>
          <t>VTA</t>
        </is>
      </c>
      <c r="D784" t="n">
        <v>39</v>
      </c>
      <c r="E784">
        <f>IF(D378&gt;0,VLOOKUP(OPERAC[[#This Row],[COD CART]],[1]!MatrizCortoLargoCyl[#All],3,0),"")</f>
        <v/>
      </c>
      <c r="F784" t="inlineStr">
        <is>
          <t>YPF/CC10/LP7/CP3/19-01-24</t>
        </is>
      </c>
      <c r="G784" t="n">
        <v>-500</v>
      </c>
      <c r="H784">
        <f>-2.41*OPERAC[[#This Row],[cantidad]]</f>
        <v/>
      </c>
      <c r="I784">
        <f>-H378/G378</f>
        <v/>
      </c>
      <c r="J784" s="16" t="n">
        <v>44713</v>
      </c>
      <c r="K784" t="n">
        <v>-500</v>
      </c>
      <c r="L784" t="n">
        <v>-1205</v>
      </c>
    </row>
    <row r="785">
      <c r="A785" t="n">
        <v>2257</v>
      </c>
      <c r="B785" s="16" t="n">
        <v>44511</v>
      </c>
      <c r="C785" t="inlineStr">
        <is>
          <t>VTA</t>
        </is>
      </c>
      <c r="D785" t="n">
        <v>31</v>
      </c>
      <c r="E785">
        <f>IF(D2906&gt;0,VLOOKUP(OPERAC[[#This Row],[COD CART]],[1]!MatrizCortoLargoCyl[#All],3,0),"")</f>
        <v/>
      </c>
      <c r="F785" t="inlineStr">
        <is>
          <t>IPIX</t>
        </is>
      </c>
      <c r="G785" t="n">
        <v>5000</v>
      </c>
      <c r="H785" t="n">
        <v>-549.95</v>
      </c>
      <c r="I785">
        <f>-H2906/G2906</f>
        <v/>
      </c>
    </row>
    <row r="786">
      <c r="A786" t="n">
        <v>2257</v>
      </c>
      <c r="B786" s="16" t="n">
        <v>44523</v>
      </c>
      <c r="C786" t="inlineStr">
        <is>
          <t>VTA</t>
        </is>
      </c>
      <c r="D786" t="n">
        <v>40</v>
      </c>
      <c r="E786">
        <f>IF(D2309&gt;0,VLOOKUP(OPERAC[[#This Row],[COD CART]],[1]!MatrizCortoLargoCyl[#All],3,0),"")</f>
        <v/>
      </c>
      <c r="F786" t="inlineStr">
        <is>
          <t>GMBL</t>
        </is>
      </c>
      <c r="G786" t="n">
        <v>100</v>
      </c>
      <c r="H786">
        <f>-411.931+9.067</f>
        <v/>
      </c>
      <c r="I786">
        <f>-H2309/G2309</f>
        <v/>
      </c>
      <c r="J786" s="16" t="n">
        <v>44636</v>
      </c>
      <c r="K786" t="n">
        <v>100</v>
      </c>
      <c r="L786" t="n">
        <v>73.2</v>
      </c>
    </row>
    <row r="787">
      <c r="A787" t="n">
        <v>2257</v>
      </c>
      <c r="B787" s="16" t="n">
        <v>44523</v>
      </c>
      <c r="C787" t="inlineStr">
        <is>
          <t>VTA</t>
        </is>
      </c>
      <c r="D787" t="n">
        <v>32</v>
      </c>
      <c r="E787">
        <f>IF(D3733&gt;0,VLOOKUP(OPERAC[[#This Row],[COD CART]],[1]!MatrizCortoLargoCyl[#All],3,0),"")</f>
        <v/>
      </c>
      <c r="F787" t="inlineStr">
        <is>
          <t>TEVA/CYL/9,00/21-01-22</t>
        </is>
      </c>
      <c r="G787" t="n">
        <v>100</v>
      </c>
      <c r="H787">
        <f>-861.6332+18.874</f>
        <v/>
      </c>
      <c r="I787">
        <f>-H3733/G3733</f>
        <v/>
      </c>
      <c r="J787" s="16" t="n">
        <v>44575</v>
      </c>
      <c r="K787" t="n">
        <v>100</v>
      </c>
      <c r="L787" t="n">
        <v>878.913</v>
      </c>
    </row>
    <row r="788">
      <c r="A788" t="n">
        <v>2257</v>
      </c>
      <c r="B788" s="16" t="n">
        <v>44523</v>
      </c>
      <c r="C788" t="inlineStr">
        <is>
          <t>VTA</t>
        </is>
      </c>
      <c r="D788" t="n">
        <v>40</v>
      </c>
      <c r="E788">
        <f>IF(D3901&gt;0,VLOOKUP(OPERAC[[#This Row],[COD CART]],[1]!MatrizCortoLargoCyl[#All],3,0),"")</f>
        <v/>
      </c>
      <c r="F788" t="inlineStr">
        <is>
          <t>EDU</t>
        </is>
      </c>
      <c r="G788" t="n">
        <v>500</v>
      </c>
      <c r="H788">
        <f>-889.745+0.026*OPERAC[[#This Row],[cantidad]]</f>
        <v/>
      </c>
      <c r="I788">
        <f>-H3901/G3901</f>
        <v/>
      </c>
      <c r="J788" s="16" t="n">
        <v>44616</v>
      </c>
      <c r="K788" t="n">
        <v>500</v>
      </c>
      <c r="L788" t="n">
        <v>691.83</v>
      </c>
    </row>
    <row r="789">
      <c r="A789" t="n">
        <v>2257</v>
      </c>
      <c r="B789" s="16" t="n">
        <v>44532</v>
      </c>
      <c r="C789" t="inlineStr">
        <is>
          <t>CPR</t>
        </is>
      </c>
      <c r="D789" t="n">
        <v>32</v>
      </c>
      <c r="E789">
        <f>IF(D5783&gt;0,VLOOKUP(OPERAC[[#This Row],[COD CART]],[1]!MatrizCortoLargoCyl[#All],3,0),"")</f>
        <v/>
      </c>
      <c r="F789" t="inlineStr">
        <is>
          <t>COTY/CYL/10,00/18-02-22</t>
        </is>
      </c>
      <c r="G789" t="n">
        <v>300</v>
      </c>
      <c r="H789">
        <f>-2704.797+62.513</f>
        <v/>
      </c>
      <c r="I789">
        <f>-H5783/G5783</f>
        <v/>
      </c>
      <c r="J789" s="16" t="n">
        <v>44608</v>
      </c>
      <c r="K789">
        <f>+OPERAC[[#This Row],[cantidad]]</f>
        <v/>
      </c>
      <c r="L789" t="n">
        <v>2825.1</v>
      </c>
    </row>
    <row r="790">
      <c r="A790" t="n">
        <v>2257</v>
      </c>
      <c r="B790" s="16" t="n">
        <v>44533</v>
      </c>
      <c r="C790" t="inlineStr">
        <is>
          <t>CPR</t>
        </is>
      </c>
      <c r="D790" t="n">
        <v>40</v>
      </c>
      <c r="E790">
        <f>IF(D5640&gt;0,VLOOKUP(OPERAC[[#This Row],[COD CART]],[1]!MatrizCortoLargoCyl[#All],3,0),"")</f>
        <v/>
      </c>
      <c r="F790" t="inlineStr">
        <is>
          <t>SSYS</t>
        </is>
      </c>
      <c r="G790" t="n">
        <v>100</v>
      </c>
      <c r="H790" t="n">
        <v>-2339.12</v>
      </c>
      <c r="I790">
        <f>-H5640/G5640</f>
        <v/>
      </c>
      <c r="J790" s="16" t="n">
        <v>44600</v>
      </c>
      <c r="K790" t="n">
        <v>100</v>
      </c>
      <c r="L790" t="n">
        <v>2405</v>
      </c>
    </row>
    <row r="791">
      <c r="A791" t="n">
        <v>2257</v>
      </c>
      <c r="B791" s="16" t="n">
        <v>44533</v>
      </c>
      <c r="C791" t="inlineStr">
        <is>
          <t>VTA</t>
        </is>
      </c>
      <c r="D791" t="n">
        <v>32</v>
      </c>
      <c r="E791">
        <f>IF(D5001&gt;0,VLOOKUP(OPERAC[[#This Row],[COD CART]],[1]!MatrizCortoLargoCyl[#All],3,0),"")</f>
        <v/>
      </c>
      <c r="F791" t="inlineStr">
        <is>
          <t>AAL/CYL/20,00/14-04-22</t>
        </is>
      </c>
      <c r="G791" t="n">
        <v>100</v>
      </c>
      <c r="H791">
        <f>-16.02*OPERAC[[#This Row],[cantidad]]+10.412+37.074+21.543</f>
        <v/>
      </c>
      <c r="I791">
        <f>-H5001/G5001</f>
        <v/>
      </c>
      <c r="J791" s="16" t="n">
        <v>44665</v>
      </c>
      <c r="K791" t="n">
        <v>100</v>
      </c>
      <c r="L791" t="n">
        <v>1935</v>
      </c>
    </row>
    <row r="792">
      <c r="A792" t="n">
        <v>2257</v>
      </c>
      <c r="B792" s="16" t="n">
        <v>44533</v>
      </c>
      <c r="C792" t="inlineStr">
        <is>
          <t>VTA</t>
        </is>
      </c>
      <c r="D792" t="n">
        <v>32</v>
      </c>
      <c r="E792">
        <f>IF(D5504&gt;0,VLOOKUP(OPERAC[[#This Row],[COD CART]],[1]!MatrizCortoLargoCyl[#All],3,0),"")</f>
        <v/>
      </c>
      <c r="F792" t="inlineStr">
        <is>
          <t>HIMX/CYL/12,00/21-01-22</t>
        </is>
      </c>
      <c r="G792" t="n">
        <v>200</v>
      </c>
      <c r="H792">
        <f>-9.9*OPERAC[[#This Row],[cantidad]]</f>
        <v/>
      </c>
      <c r="I792">
        <f>-H5504/G5504</f>
        <v/>
      </c>
      <c r="J792" s="16" t="n">
        <v>44575</v>
      </c>
      <c r="K792" t="n">
        <v>200</v>
      </c>
      <c r="L792" t="n">
        <v>2341.236</v>
      </c>
    </row>
    <row r="793">
      <c r="A793" t="n">
        <v>2257</v>
      </c>
      <c r="B793" s="16" t="n">
        <v>44536</v>
      </c>
      <c r="C793" t="inlineStr">
        <is>
          <t>CPR</t>
        </is>
      </c>
      <c r="D793" t="n">
        <v>43</v>
      </c>
      <c r="E793">
        <f>IF(D3242&gt;0,VLOOKUP(OPERAC[[#This Row],[COD CART]],[1]!MatrizCortoLargoCyl[#All],3,0),"")</f>
        <v/>
      </c>
      <c r="F793" t="inlineStr">
        <is>
          <t>HEXO1/CYL-PUT/1,00/20-01-23</t>
        </is>
      </c>
      <c r="G793" t="n">
        <v>4000</v>
      </c>
      <c r="H793">
        <f>-0.1671*OPERAC[[#This Row],[cantidad]]</f>
        <v/>
      </c>
      <c r="I793">
        <f>-H3242/G3242</f>
        <v/>
      </c>
    </row>
    <row r="794">
      <c r="A794" t="n">
        <v>2257</v>
      </c>
      <c r="B794" s="16" t="n">
        <v>44536</v>
      </c>
      <c r="C794" t="inlineStr">
        <is>
          <t>VTA</t>
        </is>
      </c>
      <c r="D794" t="n">
        <v>40</v>
      </c>
      <c r="E794">
        <f>IF(D5424&gt;0,VLOOKUP(OPERAC[[#This Row],[COD CART]],[1]!MatrizCortoLargoCyl[#All],3,0),"")</f>
        <v/>
      </c>
      <c r="F794" t="inlineStr">
        <is>
          <t>UVXY</t>
        </is>
      </c>
      <c r="G794" t="n">
        <v>80</v>
      </c>
      <c r="H794" t="n">
        <v>-1854.3136</v>
      </c>
      <c r="I794">
        <f>-H5424/G5424</f>
        <v/>
      </c>
      <c r="J794" s="16" t="n">
        <v>44551</v>
      </c>
      <c r="K794">
        <f>25+55</f>
        <v/>
      </c>
      <c r="L794">
        <f>386.254+777.413</f>
        <v/>
      </c>
    </row>
    <row r="795">
      <c r="A795" t="n">
        <v>2257</v>
      </c>
      <c r="B795" s="16" t="n">
        <v>44539</v>
      </c>
      <c r="C795" t="inlineStr">
        <is>
          <t>CPR</t>
        </is>
      </c>
      <c r="D795" t="n">
        <v>40</v>
      </c>
      <c r="E795">
        <f>IF(D4641&gt;0,VLOOKUP(OPERAC[[#This Row],[COD CART]],[1]!MatrizCortoLargoCyl[#All],3,0),"")</f>
        <v/>
      </c>
      <c r="F795" t="inlineStr">
        <is>
          <t>ROKU</t>
        </is>
      </c>
      <c r="G795" t="n">
        <v>5</v>
      </c>
      <c r="H795" t="n">
        <v>-1288.6018</v>
      </c>
      <c r="I795">
        <f>-H4641/G4641</f>
        <v/>
      </c>
      <c r="J795" s="16" t="n">
        <v>44606</v>
      </c>
      <c r="K795">
        <f>+OPERAC[[#This Row],[cantidad]]</f>
        <v/>
      </c>
      <c r="L795">
        <f>+OPERAC[[#This Row],[cantidad venta]]*160.574</f>
        <v/>
      </c>
    </row>
    <row r="796">
      <c r="A796" t="n">
        <v>2257</v>
      </c>
      <c r="B796" s="16" t="n">
        <v>44550</v>
      </c>
      <c r="C796" t="inlineStr">
        <is>
          <t>VTA</t>
        </is>
      </c>
      <c r="D796" t="n">
        <v>40</v>
      </c>
      <c r="E796">
        <f>IF(D3011&gt;0,VLOOKUP(OPERAC[[#This Row],[COD CART]],[1]!MatrizCortoLargoCyl[#All],3,0),"")</f>
        <v/>
      </c>
      <c r="F796" t="inlineStr">
        <is>
          <t>SMH</t>
        </is>
      </c>
      <c r="G796" t="n">
        <v>2</v>
      </c>
      <c r="H796" t="n">
        <v>-583.86326</v>
      </c>
      <c r="I796">
        <f>-H3011/G3011</f>
        <v/>
      </c>
      <c r="J796" s="16" t="n">
        <v>44574</v>
      </c>
      <c r="K796">
        <f>+OPERAC[[#This Row],[cantidad]]</f>
        <v/>
      </c>
      <c r="L796">
        <f>+OPERAC[[#This Row],[cantidad venta]]*306.843</f>
        <v/>
      </c>
    </row>
    <row r="797">
      <c r="A797" t="n">
        <v>2257</v>
      </c>
      <c r="B797" s="16" t="n">
        <v>44553</v>
      </c>
      <c r="C797" t="inlineStr">
        <is>
          <t>VTA</t>
        </is>
      </c>
      <c r="D797" t="n">
        <v>40</v>
      </c>
      <c r="E797">
        <f>IF(D2102&gt;0,VLOOKUP(OPERAC[[#This Row],[COD CART]],[1]!MatrizCortoLargoCyl[#All],3,0),"")</f>
        <v/>
      </c>
      <c r="F797" t="inlineStr">
        <is>
          <t>ON</t>
        </is>
      </c>
      <c r="G797" t="n">
        <v>5</v>
      </c>
      <c r="H797" t="n">
        <v>-335.56804</v>
      </c>
      <c r="I797">
        <f>-H2102/G2102</f>
        <v/>
      </c>
      <c r="J797" s="16" t="n">
        <v>44606</v>
      </c>
      <c r="K797">
        <f>+OPERAC[[#This Row],[cantidad]]</f>
        <v/>
      </c>
      <c r="L797">
        <f>+OPERAC[[#This Row],[cantidad venta]]*58.449</f>
        <v/>
      </c>
    </row>
    <row r="798">
      <c r="A798" t="n">
        <v>2257</v>
      </c>
      <c r="B798" s="16" t="n">
        <v>44558</v>
      </c>
      <c r="C798" t="inlineStr">
        <is>
          <t>CPR</t>
        </is>
      </c>
      <c r="D798" t="n">
        <v>40</v>
      </c>
      <c r="E798">
        <f>IF(D3447&gt;0,VLOOKUP(OPERAC[[#This Row],[COD CART]],[1]!MatrizCortoLargoCyl[#All],3,0),"")</f>
        <v/>
      </c>
      <c r="F798" t="inlineStr">
        <is>
          <t>UPST</t>
        </is>
      </c>
      <c r="G798" t="n">
        <v>5</v>
      </c>
      <c r="H798" t="n">
        <v>-753.001</v>
      </c>
      <c r="I798">
        <f>-H3447/G3447</f>
        <v/>
      </c>
      <c r="J798" s="16" t="n">
        <v>44606</v>
      </c>
      <c r="K798">
        <f>+OPERAC[[#This Row],[cantidad]]</f>
        <v/>
      </c>
      <c r="L798">
        <f>+OPERAC[[#This Row],[cantidad venta]]*98.994</f>
        <v/>
      </c>
    </row>
    <row r="799">
      <c r="A799" t="n">
        <v>2257</v>
      </c>
      <c r="B799" s="16" t="n">
        <v>44575</v>
      </c>
      <c r="C799" t="inlineStr">
        <is>
          <t>CPR</t>
        </is>
      </c>
      <c r="D799" t="n">
        <v>40</v>
      </c>
      <c r="E799">
        <f>IF(D4014&gt;0,VLOOKUP(OPERAC[[#This Row],[COD CART]],[1]!MatrizCortoLargoCyl[#All],3,0),"")</f>
        <v/>
      </c>
      <c r="F799" t="inlineStr">
        <is>
          <t>GBTC</t>
        </is>
      </c>
      <c r="G799" t="n">
        <v>30</v>
      </c>
      <c r="H799" t="n">
        <v>-924.2843999999999</v>
      </c>
      <c r="I799">
        <f>-H4014/G4014</f>
        <v/>
      </c>
      <c r="J799" s="16" t="n">
        <v>44636</v>
      </c>
      <c r="K799" t="n">
        <v>30</v>
      </c>
      <c r="L799" t="n">
        <v>799.832</v>
      </c>
    </row>
    <row r="800">
      <c r="A800" t="n">
        <v>2257</v>
      </c>
      <c r="B800" s="16" t="n">
        <v>44581</v>
      </c>
      <c r="C800" t="inlineStr">
        <is>
          <t>CPR</t>
        </is>
      </c>
      <c r="D800" t="n">
        <v>32</v>
      </c>
      <c r="E800">
        <f>IF(D4461&gt;0,VLOOKUP(OPERAC[[#This Row],[COD CART]],[1]!MatrizCortoLargoCyl[#All],3,0),"")</f>
        <v/>
      </c>
      <c r="F800" t="inlineStr">
        <is>
          <t>HMY/CYL/4,00/18-02-22</t>
        </is>
      </c>
      <c r="G800" t="n">
        <v>300</v>
      </c>
      <c r="H800" t="n">
        <v>-1162.403988</v>
      </c>
      <c r="I800">
        <f>-H4461/G4461</f>
        <v/>
      </c>
      <c r="J800" s="16" t="n">
        <v>44610</v>
      </c>
      <c r="K800">
        <f>+OPERAC[[#This Row],[cantidad]]</f>
        <v/>
      </c>
      <c r="L800">
        <f>+OPERAC[[#This Row],[cantidad venta]]*3.8323</f>
        <v/>
      </c>
    </row>
    <row r="801">
      <c r="A801" t="n">
        <v>2257</v>
      </c>
      <c r="B801" s="16" t="n">
        <v>44582</v>
      </c>
      <c r="C801" t="inlineStr">
        <is>
          <t>VTA</t>
        </is>
      </c>
      <c r="D801" t="n">
        <v>40</v>
      </c>
      <c r="E801">
        <f>IF(D5037&gt;0,VLOOKUP(OPERAC[[#This Row],[COD CART]],[1]!MatrizCortoLargoCyl[#All],3,0),"")</f>
        <v/>
      </c>
      <c r="F801" t="inlineStr">
        <is>
          <t>NFLX</t>
        </is>
      </c>
      <c r="G801" t="n">
        <v>4</v>
      </c>
      <c r="H801" t="n">
        <v>-1562.5484</v>
      </c>
      <c r="I801">
        <f>-H5037/G5037</f>
        <v/>
      </c>
      <c r="J801" s="16" t="n">
        <v>44593</v>
      </c>
      <c r="K801">
        <f>+OPERAC[[#This Row],[cantidad]]</f>
        <v/>
      </c>
      <c r="L801">
        <f>+OPERAC[[#This Row],[cantidad venta]]*448.602</f>
        <v/>
      </c>
    </row>
    <row r="802">
      <c r="A802" t="n">
        <v>2257</v>
      </c>
      <c r="B802" s="16" t="n">
        <v>44586</v>
      </c>
      <c r="C802" t="inlineStr">
        <is>
          <t>CPR</t>
        </is>
      </c>
      <c r="D802" t="n">
        <v>43</v>
      </c>
      <c r="E802">
        <f>IF(D4250&gt;0,VLOOKUP(OPERAC[[#This Row],[COD CART]],[1]!MatrizCortoLargoCyl[#All],3,0),"")</f>
        <v/>
      </c>
      <c r="F802" t="inlineStr">
        <is>
          <t>GMBL/CYL-PUT/2,50/20-01-23</t>
        </is>
      </c>
      <c r="G802" t="n">
        <v>1000</v>
      </c>
      <c r="H802" t="n">
        <v>-1016.0423</v>
      </c>
      <c r="I802">
        <f>-H4250/G4250</f>
        <v/>
      </c>
      <c r="J802" s="16" t="n">
        <v>44636</v>
      </c>
      <c r="K802" t="n">
        <v>1000</v>
      </c>
      <c r="L802">
        <f>-1.36*OPERAC[[#This Row],[cantidad venta]]</f>
        <v/>
      </c>
    </row>
    <row r="803">
      <c r="A803" t="n">
        <v>2257</v>
      </c>
      <c r="B803" s="16" t="n">
        <v>44599</v>
      </c>
      <c r="C803" t="inlineStr">
        <is>
          <t>CPR</t>
        </is>
      </c>
      <c r="D803" t="n">
        <v>40</v>
      </c>
      <c r="E803">
        <f>IF(D2625&gt;0,VLOOKUP(OPERAC[[#This Row],[COD CART]],[1]!MatrizCortoLargoCyl[#All],3,0),"")</f>
        <v/>
      </c>
      <c r="F803" t="inlineStr">
        <is>
          <t>FB</t>
        </is>
      </c>
      <c r="G803" t="n">
        <v>2</v>
      </c>
      <c r="H803" t="n">
        <v>-476.92</v>
      </c>
      <c r="I803">
        <f>-H2625/G2625</f>
        <v/>
      </c>
      <c r="J803" s="16" t="n">
        <v>44616</v>
      </c>
      <c r="K803">
        <f>+OPERAC[[#This Row],[cantidad]]</f>
        <v/>
      </c>
      <c r="L803">
        <f>200.299*OPERAC[[#This Row],[cantidad venta]]</f>
        <v/>
      </c>
    </row>
    <row r="804">
      <c r="A804" t="n">
        <v>2257</v>
      </c>
      <c r="B804" s="16" t="n">
        <v>44602</v>
      </c>
      <c r="C804" t="inlineStr">
        <is>
          <t>CPR</t>
        </is>
      </c>
      <c r="D804" t="n">
        <v>32</v>
      </c>
      <c r="E804">
        <f>IF(D5769&gt;0,VLOOKUP(OPERAC[[#This Row],[COD CART]],[1]!MatrizCortoLargoCyl[#All],3,0),"")</f>
        <v/>
      </c>
      <c r="F804" t="inlineStr">
        <is>
          <t>BIOX</t>
        </is>
      </c>
      <c r="G804" t="n">
        <v>200</v>
      </c>
      <c r="H804">
        <f>-2672+29.76</f>
        <v/>
      </c>
      <c r="I804">
        <f>-H5769/G5769</f>
        <v/>
      </c>
      <c r="J804" s="16" t="n">
        <v>44680</v>
      </c>
      <c r="K804">
        <f>+OPERAC[[#This Row],[cantidad]]</f>
        <v/>
      </c>
      <c r="L804">
        <f>13.688*OPERAC[[#This Row],[cantidad venta]]</f>
        <v/>
      </c>
    </row>
    <row r="805">
      <c r="A805" t="n">
        <v>2257</v>
      </c>
      <c r="B805" s="16" t="n">
        <v>44602</v>
      </c>
      <c r="C805" t="inlineStr">
        <is>
          <t>VTA</t>
        </is>
      </c>
      <c r="D805" t="n">
        <v>32</v>
      </c>
      <c r="E805">
        <f>IF(D3826&gt;0,VLOOKUP(OPERAC[[#This Row],[COD CART]],[1]!MatrizCortoLargoCyl[#All],3,0),"")</f>
        <v/>
      </c>
      <c r="F805" t="inlineStr">
        <is>
          <t>TEVA</t>
        </is>
      </c>
      <c r="G805" t="n">
        <v>100</v>
      </c>
      <c r="H805">
        <f>-8.59*OPERAC[[#This Row],[cantidad]]</f>
        <v/>
      </c>
      <c r="I805">
        <f>-H3826/G3826</f>
        <v/>
      </c>
      <c r="J805" s="16" t="n">
        <v>44643</v>
      </c>
      <c r="K805">
        <f>+OPERAC[[#This Row],[cantidad]]</f>
        <v/>
      </c>
      <c r="L805">
        <f>+OPERAC[[#This Row],[cantidad venta]]*8.051</f>
        <v/>
      </c>
    </row>
    <row r="806">
      <c r="A806" t="n">
        <v>2257</v>
      </c>
      <c r="B806" s="16" t="n">
        <v>44607</v>
      </c>
      <c r="C806" t="inlineStr">
        <is>
          <t>VTA</t>
        </is>
      </c>
      <c r="D806" t="n">
        <v>32</v>
      </c>
      <c r="E806">
        <f>IF(D5023&gt;0,VLOOKUP(OPERAC[[#This Row],[COD CART]],[1]!MatrizCortoLargoCyl[#All],3,0),"")</f>
        <v/>
      </c>
      <c r="F806" t="inlineStr">
        <is>
          <t>DDD/CYL/16,00/18-03-22</t>
        </is>
      </c>
      <c r="G806" t="n">
        <v>100</v>
      </c>
      <c r="H806" t="n">
        <v>-1552.775</v>
      </c>
      <c r="I806">
        <f>-H5023/G5023</f>
        <v/>
      </c>
      <c r="J806" s="16" t="n">
        <v>44638</v>
      </c>
      <c r="K806" t="n">
        <v>100</v>
      </c>
      <c r="L806">
        <f>15.866*OPERAC[[#This Row],[cantidad venta]]</f>
        <v/>
      </c>
    </row>
    <row r="807">
      <c r="A807" t="n">
        <v>2257</v>
      </c>
      <c r="B807" s="16" t="n">
        <v>44607</v>
      </c>
      <c r="C807" t="inlineStr">
        <is>
          <t>VTA</t>
        </is>
      </c>
      <c r="D807" t="n">
        <v>32</v>
      </c>
      <c r="E807">
        <f>IF(D5307&gt;0,VLOOKUP(OPERAC[[#This Row],[COD CART]],[1]!MatrizCortoLargoCyl[#All],3,0),"")</f>
        <v/>
      </c>
      <c r="F807" t="inlineStr">
        <is>
          <t>F</t>
        </is>
      </c>
      <c r="G807" t="n">
        <v>100</v>
      </c>
      <c r="H807" t="n">
        <v>-1719.296</v>
      </c>
      <c r="I807">
        <f>-H5307/G5307</f>
        <v/>
      </c>
      <c r="J807" s="16" t="n">
        <v>44649</v>
      </c>
      <c r="K807" t="n">
        <v>100</v>
      </c>
      <c r="L807">
        <f>17.636*OPERAC[[#This Row],[cantidad venta]]</f>
        <v/>
      </c>
    </row>
    <row r="808">
      <c r="A808" t="n">
        <v>2257</v>
      </c>
      <c r="B808" s="16" t="n">
        <v>44608</v>
      </c>
      <c r="C808" t="inlineStr">
        <is>
          <t>CPR</t>
        </is>
      </c>
      <c r="D808" t="n">
        <v>40</v>
      </c>
      <c r="E808">
        <f>IF(D4333&gt;0,VLOOKUP(OPERAC[[#This Row],[COD CART]],[1]!MatrizCortoLargoCyl[#All],3,0),"")</f>
        <v/>
      </c>
      <c r="F808" t="inlineStr">
        <is>
          <t>NVDA</t>
        </is>
      </c>
      <c r="G808" t="n">
        <v>4</v>
      </c>
      <c r="H808" t="n">
        <v>-1054.056</v>
      </c>
      <c r="I808">
        <f>-H4333/G4333</f>
        <v/>
      </c>
      <c r="J808" s="16" t="n">
        <v>44616</v>
      </c>
      <c r="K808">
        <f>+OPERAC[[#This Row],[cantidad]]</f>
        <v/>
      </c>
      <c r="L808">
        <f>+OPERAC[[#This Row],[cantidad venta]]*224.117</f>
        <v/>
      </c>
    </row>
    <row r="809">
      <c r="A809" t="n">
        <v>2257</v>
      </c>
      <c r="B809" s="16" t="n">
        <v>44609</v>
      </c>
      <c r="C809" t="inlineStr">
        <is>
          <t>VTA</t>
        </is>
      </c>
      <c r="D809" t="n">
        <v>32</v>
      </c>
      <c r="E809">
        <f>IF(D3867&gt;0,VLOOKUP(OPERAC[[#This Row],[COD CART]],[1]!MatrizCortoLargoCyl[#All],3,0),"")</f>
        <v/>
      </c>
      <c r="F809" t="inlineStr">
        <is>
          <t>HIMX/CYL/9,00/18-03-22</t>
        </is>
      </c>
      <c r="G809" t="n">
        <v>100</v>
      </c>
      <c r="H809" t="n">
        <v>-869.5839999999999</v>
      </c>
      <c r="I809">
        <f>-H3867/G3867</f>
        <v/>
      </c>
      <c r="J809" s="16" t="n">
        <v>44622</v>
      </c>
      <c r="K809">
        <f>+OPERAC[[#This Row],[cantidad]]</f>
        <v/>
      </c>
      <c r="L809" t="n">
        <v>883.576</v>
      </c>
    </row>
    <row r="810">
      <c r="A810" t="n">
        <v>2257</v>
      </c>
      <c r="B810" s="16" t="n">
        <v>44614</v>
      </c>
      <c r="C810" t="inlineStr">
        <is>
          <t>VTA</t>
        </is>
      </c>
      <c r="D810" t="n">
        <v>39</v>
      </c>
      <c r="E810">
        <f>IF(D1173&gt;0,VLOOKUP(OPERAC[[#This Row],[COD CART]],[1]!MatrizCortoLargoCyl[#All],3,0),"")</f>
        <v/>
      </c>
      <c r="F810" t="inlineStr">
        <is>
          <t>ACB/V/4,00/20-01-23</t>
        </is>
      </c>
      <c r="G810" t="n">
        <v>-10</v>
      </c>
      <c r="H810" t="n">
        <v>12.86</v>
      </c>
      <c r="I810">
        <f>-H1173/G1173</f>
        <v/>
      </c>
    </row>
    <row r="811">
      <c r="A811" t="n">
        <v>2257</v>
      </c>
      <c r="B811" s="16" t="n">
        <v>44614</v>
      </c>
      <c r="C811" t="inlineStr">
        <is>
          <t>VTA</t>
        </is>
      </c>
      <c r="D811" t="n">
        <v>39</v>
      </c>
      <c r="E811">
        <f>IF(D1184&gt;0,VLOOKUP(OPERAC[[#This Row],[COD CART]],[1]!MatrizCortoLargoCyl[#All],3,0),"")</f>
        <v/>
      </c>
      <c r="F811" t="inlineStr">
        <is>
          <t>DDD/V/10,00/20-01-23</t>
        </is>
      </c>
      <c r="G811" t="n">
        <v>-10</v>
      </c>
      <c r="H811" t="n">
        <v>10.37</v>
      </c>
      <c r="I811">
        <f>-H1184/G1184</f>
        <v/>
      </c>
    </row>
    <row r="812">
      <c r="A812" t="n">
        <v>2257</v>
      </c>
      <c r="B812" s="16" t="n">
        <v>44616</v>
      </c>
      <c r="C812" t="inlineStr">
        <is>
          <t>VTA</t>
        </is>
      </c>
      <c r="D812" t="n">
        <v>32</v>
      </c>
      <c r="E812">
        <f>IF(D5564&gt;0,VLOOKUP(OPERAC[[#This Row],[COD CART]],[1]!MatrizCortoLargoCyl[#All],3,0),"")</f>
        <v/>
      </c>
      <c r="F812" t="inlineStr">
        <is>
          <t>PLTR/CYL/12,00/14-04-22</t>
        </is>
      </c>
      <c r="G812" t="n">
        <v>200</v>
      </c>
      <c r="H812" t="n">
        <v>-2105.453</v>
      </c>
      <c r="I812">
        <f>-H5564/G5564</f>
        <v/>
      </c>
      <c r="J812" s="16" t="n">
        <v>44643</v>
      </c>
      <c r="K812" t="n">
        <v>200</v>
      </c>
      <c r="L812" t="n">
        <v>2293.448</v>
      </c>
    </row>
    <row r="813">
      <c r="A813" t="n">
        <v>2257</v>
      </c>
      <c r="B813" s="16" t="n">
        <v>44622</v>
      </c>
      <c r="C813" t="inlineStr">
        <is>
          <t>CPR</t>
        </is>
      </c>
      <c r="D813" t="n">
        <v>32</v>
      </c>
      <c r="E813">
        <f>IF(D4876&gt;0,VLOOKUP(OPERAC[[#This Row],[COD CART]],[1]!MatrizCortoLargoCyl[#All],3,0),"")</f>
        <v/>
      </c>
      <c r="F813" t="inlineStr">
        <is>
          <t>AMC/CYL/16,00/14-04-22</t>
        </is>
      </c>
      <c r="G813" t="n">
        <v>100</v>
      </c>
      <c r="H813" t="n">
        <v>-1460.8686</v>
      </c>
      <c r="I813">
        <f>-H4876/G4876</f>
        <v/>
      </c>
      <c r="J813" s="16" t="n">
        <v>44648</v>
      </c>
      <c r="K813">
        <f>+OPERAC[[#This Row],[cantidad]]</f>
        <v/>
      </c>
      <c r="L813" t="n">
        <v>1581.776</v>
      </c>
    </row>
    <row r="814">
      <c r="A814" t="n">
        <v>2257</v>
      </c>
      <c r="B814" s="16" t="n">
        <v>44636</v>
      </c>
      <c r="C814" t="inlineStr">
        <is>
          <t>CPR</t>
        </is>
      </c>
      <c r="D814" t="n">
        <v>43</v>
      </c>
      <c r="E814">
        <f>IF(D3966&gt;0,VLOOKUP(OPERAC[[#This Row],[COD CART]],[1]!MatrizCortoLargoCyl[#All],3,0),"")</f>
        <v/>
      </c>
      <c r="F814" t="inlineStr">
        <is>
          <t>GMBL/CYL-PUT/1,00/20-01-23</t>
        </is>
      </c>
      <c r="G814">
        <f>3500+1500</f>
        <v/>
      </c>
      <c r="H814">
        <f>-571.860275-324.146</f>
        <v/>
      </c>
      <c r="I814">
        <f>-H3966/G3966</f>
        <v/>
      </c>
    </row>
    <row r="815">
      <c r="A815" t="n">
        <v>2257</v>
      </c>
      <c r="B815" s="16" t="n">
        <v>44641</v>
      </c>
      <c r="C815" t="inlineStr">
        <is>
          <t>VTA</t>
        </is>
      </c>
      <c r="D815" t="n">
        <v>42</v>
      </c>
      <c r="E815">
        <f>IF(D2407&gt;0,VLOOKUP(OPERAC[[#This Row],[COD CART]],[1]!MatrizCortoLargoCyl[#All],3,0),"")</f>
        <v/>
      </c>
      <c r="F815" t="inlineStr">
        <is>
          <t>FB</t>
        </is>
      </c>
      <c r="G815" t="n">
        <v>2</v>
      </c>
      <c r="H815" t="n">
        <v>-424.31276</v>
      </c>
      <c r="I815">
        <f>-H2407/G2407</f>
        <v/>
      </c>
      <c r="J815" s="16" t="n">
        <v>44671</v>
      </c>
      <c r="K815">
        <f>+OPERAC[[#This Row],[cantidad]]</f>
        <v/>
      </c>
      <c r="L815">
        <f>+OPERAC[[#This Row],[cantidad venta]]*213.173</f>
        <v/>
      </c>
    </row>
    <row r="816">
      <c r="A816" t="n">
        <v>2257</v>
      </c>
      <c r="B816" s="16" t="n">
        <v>44643</v>
      </c>
      <c r="C816" t="inlineStr">
        <is>
          <t>CPR</t>
        </is>
      </c>
      <c r="D816" t="n">
        <v>32</v>
      </c>
      <c r="E816">
        <f>IF(D3265&gt;0,VLOOKUP(OPERAC[[#This Row],[COD CART]],[1]!MatrizCortoLargoCyl[#All],3,0),"")</f>
        <v/>
      </c>
      <c r="F816" t="inlineStr">
        <is>
          <t>CRESY</t>
        </is>
      </c>
      <c r="G816" t="n">
        <v>100</v>
      </c>
      <c r="H816" t="n">
        <v>-680.303</v>
      </c>
      <c r="I816">
        <f>-H3265/G3265</f>
        <v/>
      </c>
      <c r="J816" s="16" t="n">
        <v>44704</v>
      </c>
      <c r="K816" t="n">
        <v>100</v>
      </c>
      <c r="L816" t="n">
        <v>643.721</v>
      </c>
    </row>
    <row r="817">
      <c r="A817" t="n">
        <v>2257</v>
      </c>
      <c r="B817" s="16" t="n">
        <v>44643</v>
      </c>
      <c r="C817" t="inlineStr">
        <is>
          <t>CPR</t>
        </is>
      </c>
      <c r="D817" t="n">
        <v>42</v>
      </c>
      <c r="E817">
        <f>IF(D3380&gt;0,VLOOKUP(OPERAC[[#This Row],[COD CART]],[1]!MatrizCortoLargoCyl[#All],3,0),"")</f>
        <v/>
      </c>
      <c r="F817" t="inlineStr">
        <is>
          <t>JPM</t>
        </is>
      </c>
      <c r="G817" t="n">
        <v>5</v>
      </c>
      <c r="H817" t="n">
        <v>-706.2332</v>
      </c>
      <c r="I817">
        <f>-H3380/G3380</f>
        <v/>
      </c>
      <c r="J817" s="16" t="n">
        <v>44664</v>
      </c>
      <c r="K817">
        <f>+OPERAC[[#This Row],[cantidad]]</f>
        <v/>
      </c>
      <c r="L817">
        <f>+OPERAC[[#This Row],[cantidad venta]]*125.943</f>
        <v/>
      </c>
    </row>
    <row r="818">
      <c r="A818" t="n">
        <v>2257</v>
      </c>
      <c r="B818" s="16" t="n">
        <v>44643</v>
      </c>
      <c r="C818" t="inlineStr">
        <is>
          <t>VTA</t>
        </is>
      </c>
      <c r="D818" t="n">
        <v>42</v>
      </c>
      <c r="E818">
        <f>IF(D2855&gt;0,VLOOKUP(OPERAC[[#This Row],[COD CART]],[1]!MatrizCortoLargoCyl[#All],3,0),"")</f>
        <v/>
      </c>
      <c r="F818" t="inlineStr">
        <is>
          <t>SMH</t>
        </is>
      </c>
      <c r="G818" t="n">
        <v>2</v>
      </c>
      <c r="H818" t="n">
        <v>-534.325796</v>
      </c>
      <c r="I818">
        <f>-H2855/G2855</f>
        <v/>
      </c>
      <c r="J818" s="16" t="n">
        <v>44663</v>
      </c>
      <c r="K818">
        <f>+OPERAC[[#This Row],[cantidad]]</f>
        <v/>
      </c>
      <c r="L818">
        <f>+OPERAC[[#This Row],[cantidad venta]]*238.066</f>
        <v/>
      </c>
    </row>
    <row r="819">
      <c r="A819" t="n">
        <v>2257</v>
      </c>
      <c r="B819" s="16" t="n">
        <v>44643</v>
      </c>
      <c r="C819" t="inlineStr">
        <is>
          <t>VTA</t>
        </is>
      </c>
      <c r="D819" t="n">
        <v>42</v>
      </c>
      <c r="E819">
        <f>IF(D3181&gt;0,VLOOKUP(OPERAC[[#This Row],[COD CART]],[1]!MatrizCortoLargoCyl[#All],3,0),"")</f>
        <v/>
      </c>
      <c r="F819" t="inlineStr">
        <is>
          <t>FB</t>
        </is>
      </c>
      <c r="G819" t="n">
        <v>3</v>
      </c>
      <c r="H819" t="n">
        <v>-648.36978</v>
      </c>
      <c r="I819">
        <f>-H3181/G3181</f>
        <v/>
      </c>
      <c r="J819" s="16" t="n">
        <v>44671</v>
      </c>
      <c r="K819">
        <f>+OPERAC[[#This Row],[cantidad]]</f>
        <v/>
      </c>
      <c r="L819">
        <f>+OPERAC[[#This Row],[cantidad venta]]*213.173</f>
        <v/>
      </c>
    </row>
    <row r="820">
      <c r="A820" t="n">
        <v>2257</v>
      </c>
      <c r="B820" s="16" t="n">
        <v>44645</v>
      </c>
      <c r="C820" t="inlineStr">
        <is>
          <t>VTA</t>
        </is>
      </c>
      <c r="D820" t="n">
        <v>42</v>
      </c>
      <c r="E820">
        <f>IF(D2941&gt;0,VLOOKUP(OPERAC[[#This Row],[COD CART]],[1]!MatrizCortoLargoCyl[#All],3,0),"")</f>
        <v/>
      </c>
      <c r="F820" t="inlineStr">
        <is>
          <t>PLUG</t>
        </is>
      </c>
      <c r="G820" t="n">
        <v>20</v>
      </c>
      <c r="H820" t="n">
        <v>-558.6328</v>
      </c>
      <c r="I820">
        <f>-H2941/G2941</f>
        <v/>
      </c>
      <c r="J820" s="16" t="n">
        <v>44652</v>
      </c>
      <c r="K820">
        <f>+OPERAC[[#This Row],[cantidad]]</f>
        <v/>
      </c>
      <c r="L820">
        <f>+OPERAC[[#This Row],[cantidad venta]]*27.754</f>
        <v/>
      </c>
    </row>
    <row r="821">
      <c r="A821" t="n">
        <v>2257</v>
      </c>
      <c r="B821" s="16" t="n">
        <v>44648</v>
      </c>
      <c r="C821" t="inlineStr">
        <is>
          <t>VTA</t>
        </is>
      </c>
      <c r="D821" t="n">
        <v>42</v>
      </c>
      <c r="E821">
        <f>IF(D2895&gt;0,VLOOKUP(OPERAC[[#This Row],[COD CART]],[1]!MatrizCortoLargoCyl[#All],3,0),"")</f>
        <v/>
      </c>
      <c r="F821" t="inlineStr">
        <is>
          <t>SMH</t>
        </is>
      </c>
      <c r="G821" t="n">
        <v>2</v>
      </c>
      <c r="H821" t="n">
        <v>-546.77392</v>
      </c>
      <c r="I821">
        <f>-H2895/G2895</f>
        <v/>
      </c>
      <c r="J821" s="16" t="n">
        <v>44663</v>
      </c>
      <c r="K821">
        <f>+OPERAC[[#This Row],[cantidad]]</f>
        <v/>
      </c>
      <c r="L821">
        <f>+OPERAC[[#This Row],[cantidad venta]]*238.066</f>
        <v/>
      </c>
    </row>
    <row r="822">
      <c r="A822" t="n">
        <v>2257</v>
      </c>
      <c r="B822" s="16" t="n">
        <v>44648</v>
      </c>
      <c r="C822" t="inlineStr">
        <is>
          <t>VTA</t>
        </is>
      </c>
      <c r="D822" t="n">
        <v>42</v>
      </c>
      <c r="E822">
        <f>IF(D3949&gt;0,VLOOKUP(OPERAC[[#This Row],[COD CART]],[1]!MatrizCortoLargoCyl[#All],3,0),"")</f>
        <v/>
      </c>
      <c r="F822" t="inlineStr">
        <is>
          <t>ADBE</t>
        </is>
      </c>
      <c r="G822" t="n">
        <v>2</v>
      </c>
      <c r="H822" t="n">
        <v>-882.8249</v>
      </c>
      <c r="I822">
        <f>-H3949/G3949</f>
        <v/>
      </c>
      <c r="J822" s="16" t="n">
        <v>44687</v>
      </c>
      <c r="K822">
        <f>+OPERAC[[#This Row],[cantidad]]</f>
        <v/>
      </c>
      <c r="L822" t="n">
        <v>772.84</v>
      </c>
    </row>
    <row r="823">
      <c r="A823" t="n">
        <v>2257</v>
      </c>
      <c r="B823" s="16" t="n">
        <v>44650</v>
      </c>
      <c r="C823" t="inlineStr">
        <is>
          <t>VTA</t>
        </is>
      </c>
      <c r="D823" t="n">
        <v>42</v>
      </c>
      <c r="E823">
        <f>IF(D3148&gt;0,VLOOKUP(OPERAC[[#This Row],[COD CART]],[1]!MatrizCortoLargoCyl[#All],3,0),"")</f>
        <v/>
      </c>
      <c r="F823" t="inlineStr">
        <is>
          <t>MSFT</t>
        </is>
      </c>
      <c r="G823" t="n">
        <v>2</v>
      </c>
      <c r="H823" t="n">
        <v>-636.1656</v>
      </c>
      <c r="I823">
        <f>-H3148/G3148</f>
        <v/>
      </c>
      <c r="J823" s="16" t="n">
        <v>44662</v>
      </c>
      <c r="K823">
        <f>+OPERAC[[#This Row],[cantidad]]</f>
        <v/>
      </c>
      <c r="L823">
        <f>287.546*OPERAC[[#This Row],[cantidad venta]]</f>
        <v/>
      </c>
    </row>
    <row r="824">
      <c r="A824" t="n">
        <v>2257</v>
      </c>
      <c r="B824" s="16" t="n">
        <v>44650</v>
      </c>
      <c r="C824" t="inlineStr">
        <is>
          <t>VTA</t>
        </is>
      </c>
      <c r="D824" t="n">
        <v>42</v>
      </c>
      <c r="E824">
        <f>IF(D3846&gt;0,VLOOKUP(OPERAC[[#This Row],[COD CART]],[1]!MatrizCortoLargoCyl[#All],3,0),"")</f>
        <v/>
      </c>
      <c r="F824" t="inlineStr">
        <is>
          <t>DIS</t>
        </is>
      </c>
      <c r="G824" t="n">
        <v>6</v>
      </c>
      <c r="H824" t="n">
        <v>-861.2970000000001</v>
      </c>
      <c r="I824">
        <f>-H3846/G3846</f>
        <v/>
      </c>
      <c r="J824" s="16" t="n">
        <v>44671</v>
      </c>
      <c r="K824">
        <f>+OPERAC[[#This Row],[cantidad]]</f>
        <v/>
      </c>
      <c r="L824">
        <f>+OPERAC[[#This Row],[cantidad venta]]*123.621</f>
        <v/>
      </c>
    </row>
    <row r="825">
      <c r="A825" t="n">
        <v>2257</v>
      </c>
      <c r="B825" s="16" t="n">
        <v>44652</v>
      </c>
      <c r="C825" t="inlineStr">
        <is>
          <t>VTA</t>
        </is>
      </c>
      <c r="D825" t="n">
        <v>42</v>
      </c>
      <c r="E825">
        <f>IF(D3171&gt;0,VLOOKUP(OPERAC[[#This Row],[COD CART]],[1]!MatrizCortoLargoCyl[#All],3,0),"")</f>
        <v/>
      </c>
      <c r="F825" t="inlineStr">
        <is>
          <t>GBTC</t>
        </is>
      </c>
      <c r="G825" t="n">
        <v>20</v>
      </c>
      <c r="H825" t="n">
        <v>-642.196</v>
      </c>
      <c r="I825">
        <f>-H3171/G3171</f>
        <v/>
      </c>
      <c r="J825" s="16" t="n">
        <v>44662</v>
      </c>
      <c r="K825">
        <f>+OPERAC[[#This Row],[cantidad]]</f>
        <v/>
      </c>
      <c r="L825">
        <f>27.99*OPERAC[[#This Row],[cantidad venta]]</f>
        <v/>
      </c>
    </row>
    <row r="826">
      <c r="A826" t="n">
        <v>2257</v>
      </c>
      <c r="B826" s="16" t="n">
        <v>44662</v>
      </c>
      <c r="C826" t="inlineStr">
        <is>
          <t>CPR</t>
        </is>
      </c>
      <c r="D826" t="n">
        <v>42</v>
      </c>
      <c r="E826">
        <f>IF(D4668&gt;0,VLOOKUP(OPERAC[[#This Row],[COD CART]],[1]!MatrizCortoLargoCyl[#All],3,0),"")</f>
        <v/>
      </c>
      <c r="F826" t="inlineStr">
        <is>
          <t>HYDR</t>
        </is>
      </c>
      <c r="G826" t="n">
        <v>70</v>
      </c>
      <c r="H826" t="n">
        <v>-1299.92408</v>
      </c>
      <c r="I826">
        <f>-H4668/G4668</f>
        <v/>
      </c>
      <c r="J826" s="16" t="n">
        <v>44677</v>
      </c>
      <c r="K826">
        <f>35+35</f>
        <v/>
      </c>
      <c r="L826">
        <f>555.934+407.043</f>
        <v/>
      </c>
    </row>
    <row r="827">
      <c r="A827" t="n">
        <v>2257</v>
      </c>
      <c r="B827" s="16" t="n">
        <v>44664</v>
      </c>
      <c r="C827" t="inlineStr">
        <is>
          <t>CPR</t>
        </is>
      </c>
      <c r="D827" t="n">
        <v>42</v>
      </c>
      <c r="E827">
        <f>IF(D2687&gt;0,VLOOKUP(OPERAC[[#This Row],[COD CART]],[1]!MatrizCortoLargoCyl[#All],3,0),"")</f>
        <v/>
      </c>
      <c r="F827" t="inlineStr">
        <is>
          <t>AMD</t>
        </is>
      </c>
      <c r="G827" t="n">
        <v>5</v>
      </c>
      <c r="H827" t="n">
        <v>-493.85327265</v>
      </c>
      <c r="I827">
        <f>-H2687/G2687</f>
        <v/>
      </c>
      <c r="J827" s="16" t="n">
        <v>44693</v>
      </c>
      <c r="K827" t="n">
        <v>5</v>
      </c>
      <c r="L827" t="n">
        <v>415.74</v>
      </c>
    </row>
    <row r="828">
      <c r="A828" t="n">
        <v>2257</v>
      </c>
      <c r="B828" s="16" t="n">
        <v>44664</v>
      </c>
      <c r="C828" t="inlineStr">
        <is>
          <t>VTA</t>
        </is>
      </c>
      <c r="D828" t="n">
        <v>42</v>
      </c>
      <c r="E828">
        <f>IF(D3891&gt;0,VLOOKUP(OPERAC[[#This Row],[COD CART]],[1]!MatrizCortoLargoCyl[#All],3,0),"")</f>
        <v/>
      </c>
      <c r="F828" t="inlineStr">
        <is>
          <t>PSQ</t>
        </is>
      </c>
      <c r="G828" t="n">
        <v>70</v>
      </c>
      <c r="H828" t="n">
        <v>-870.28005267</v>
      </c>
      <c r="I828">
        <f>-H3891/G3891</f>
        <v/>
      </c>
      <c r="J828" s="16" t="n">
        <v>44680</v>
      </c>
      <c r="K828">
        <f>+OPERAC[[#This Row],[cantidad]]</f>
        <v/>
      </c>
      <c r="L828">
        <f>12.848*OPERAC[[#This Row],[cantidad venta]]</f>
        <v/>
      </c>
    </row>
    <row r="829">
      <c r="A829" t="n">
        <v>2257</v>
      </c>
      <c r="B829" s="16" t="n">
        <v>44669</v>
      </c>
      <c r="C829" t="inlineStr">
        <is>
          <t>VTA</t>
        </is>
      </c>
      <c r="D829" t="n">
        <v>32</v>
      </c>
      <c r="E829">
        <f>IF(D5628&gt;0,VLOOKUP(OPERAC[[#This Row],[COD CART]],[1]!MatrizCortoLargoCyl[#All],3,0),"")</f>
        <v/>
      </c>
      <c r="F829" t="inlineStr">
        <is>
          <t>HMY</t>
        </is>
      </c>
      <c r="G829" t="n">
        <v>500</v>
      </c>
      <c r="H829">
        <f>-4.64*OPERAC[[#This Row],[cantidad]]</f>
        <v/>
      </c>
      <c r="I829">
        <f>-H5628/G5628</f>
        <v/>
      </c>
      <c r="J829" s="16" t="n">
        <v>44704</v>
      </c>
      <c r="K829" t="n">
        <v>500</v>
      </c>
      <c r="L829" t="n">
        <v>1834.511</v>
      </c>
    </row>
    <row r="830">
      <c r="A830" t="n">
        <v>2257</v>
      </c>
      <c r="B830" s="16" t="n">
        <v>44671</v>
      </c>
      <c r="C830" t="inlineStr">
        <is>
          <t>CPR</t>
        </is>
      </c>
      <c r="D830" t="n">
        <v>42</v>
      </c>
      <c r="E830">
        <f>IF(D3422&gt;0,VLOOKUP(OPERAC[[#This Row],[COD CART]],[1]!MatrizCortoLargoCyl[#All],3,0),"")</f>
        <v/>
      </c>
      <c r="F830" t="inlineStr">
        <is>
          <t>TLT</t>
        </is>
      </c>
      <c r="G830" t="n">
        <v>6</v>
      </c>
      <c r="H830" t="n">
        <v>-735.3780300000001</v>
      </c>
      <c r="I830">
        <f>-H3422/G3422</f>
        <v/>
      </c>
    </row>
    <row r="831">
      <c r="A831" t="n">
        <v>2257</v>
      </c>
      <c r="B831" s="16" t="n">
        <v>44671</v>
      </c>
      <c r="C831" t="inlineStr">
        <is>
          <t>CPR</t>
        </is>
      </c>
      <c r="D831" t="n">
        <v>42</v>
      </c>
      <c r="E831">
        <f>IF(D4616&gt;0,VLOOKUP(OPERAC[[#This Row],[COD CART]],[1]!MatrizCortoLargoCyl[#All],3,0),"")</f>
        <v/>
      </c>
      <c r="F831" t="inlineStr">
        <is>
          <t>NFLX</t>
        </is>
      </c>
      <c r="G831" t="n">
        <v>5</v>
      </c>
      <c r="H831" t="n">
        <v>-1272.5253</v>
      </c>
      <c r="I831">
        <f>-H4616/G4616</f>
        <v/>
      </c>
      <c r="J831" s="16" t="n">
        <v>44693</v>
      </c>
      <c r="K831">
        <f>+OPERAC[[#This Row],[cantidad]]</f>
        <v/>
      </c>
      <c r="L831">
        <f>+OPERAC[[#This Row],[cantidad venta]]*164.905</f>
        <v/>
      </c>
    </row>
    <row r="832">
      <c r="A832" t="n">
        <v>2257</v>
      </c>
      <c r="B832" s="16" t="n">
        <v>44680</v>
      </c>
      <c r="C832" t="inlineStr">
        <is>
          <t>CPR</t>
        </is>
      </c>
      <c r="D832" t="n">
        <v>42</v>
      </c>
      <c r="E832">
        <f>IF(D3619&gt;0,VLOOKUP(OPERAC[[#This Row],[COD CART]],[1]!MatrizCortoLargoCyl[#All],3,0),"")</f>
        <v/>
      </c>
      <c r="F832" t="inlineStr">
        <is>
          <t>XLP</t>
        </is>
      </c>
      <c r="G832" t="n">
        <v>10</v>
      </c>
      <c r="H832" t="n">
        <v>-794.345025</v>
      </c>
      <c r="I832">
        <f>-H3619/G3619</f>
        <v/>
      </c>
      <c r="J832" s="16" t="n">
        <v>44693</v>
      </c>
      <c r="K832">
        <f>+OPERAC[[#This Row],[cantidad]]</f>
        <v/>
      </c>
      <c r="L832">
        <f>+OPERAC[[#This Row],[cantidad venta]]*75.648</f>
        <v/>
      </c>
    </row>
    <row r="833">
      <c r="A833" t="n">
        <v>2257</v>
      </c>
      <c r="B833" s="16" t="n">
        <v>44680</v>
      </c>
      <c r="C833" t="inlineStr">
        <is>
          <t>CPR</t>
        </is>
      </c>
      <c r="D833" t="n">
        <v>42</v>
      </c>
      <c r="E833">
        <f>IF(D4087&gt;0,VLOOKUP(OPERAC[[#This Row],[COD CART]],[1]!MatrizCortoLargoCyl[#All],3,0),"")</f>
        <v/>
      </c>
      <c r="F833" t="inlineStr">
        <is>
          <t>TS</t>
        </is>
      </c>
      <c r="G833" t="n">
        <v>30</v>
      </c>
      <c r="H833" t="n">
        <v>-938.9639249999999</v>
      </c>
      <c r="I833">
        <f>-H4087/G4087</f>
        <v/>
      </c>
      <c r="J833" s="16" t="n">
        <v>44704</v>
      </c>
      <c r="K833" t="n">
        <v>30</v>
      </c>
      <c r="L833" t="n">
        <v>969.836</v>
      </c>
    </row>
    <row r="834">
      <c r="A834" t="n">
        <v>2257</v>
      </c>
      <c r="B834" s="16" t="n">
        <v>44680</v>
      </c>
      <c r="C834" t="inlineStr">
        <is>
          <t>CPR</t>
        </is>
      </c>
      <c r="D834" t="n">
        <v>32</v>
      </c>
      <c r="E834">
        <f>IF(D4939&gt;0,VLOOKUP(OPERAC[[#This Row],[COD CART]],[1]!MatrizCortoLargoCyl[#All],3,0),"")</f>
        <v/>
      </c>
      <c r="F834" t="inlineStr">
        <is>
          <t>COTY/CYL/8,00/24-06-22</t>
        </is>
      </c>
      <c r="G834" t="n">
        <v>200</v>
      </c>
      <c r="H834">
        <f>-1512.41+7.932</f>
        <v/>
      </c>
      <c r="I834">
        <f>-H4939/G4939</f>
        <v/>
      </c>
    </row>
    <row r="835">
      <c r="A835" t="n">
        <v>2257</v>
      </c>
      <c r="B835" s="16" t="n">
        <v>44704</v>
      </c>
      <c r="C835" t="inlineStr">
        <is>
          <t>VTA</t>
        </is>
      </c>
      <c r="D835" t="n">
        <v>32</v>
      </c>
      <c r="E835">
        <f>IF(D3856&gt;0,VLOOKUP(OPERAC[[#This Row],[COD CART]],[1]!MatrizCortoLargoCyl[#All],3,0),"")</f>
        <v/>
      </c>
      <c r="F835" t="inlineStr">
        <is>
          <t>HIMX/CYL/9,00/10-06-22</t>
        </is>
      </c>
      <c r="G835" t="n">
        <v>100</v>
      </c>
      <c r="H835" t="n">
        <v>-866.7</v>
      </c>
      <c r="I835">
        <f>-H3856/G3856</f>
        <v/>
      </c>
      <c r="J835" s="16" t="n">
        <v>44721</v>
      </c>
      <c r="K835" t="n">
        <v>100</v>
      </c>
      <c r="L835" t="n">
        <v>898.25</v>
      </c>
    </row>
    <row r="836">
      <c r="A836" t="n">
        <v>2257</v>
      </c>
      <c r="B836" s="16" t="n">
        <v>44704</v>
      </c>
      <c r="C836" t="inlineStr">
        <is>
          <t>VTA</t>
        </is>
      </c>
      <c r="D836" t="n">
        <v>32</v>
      </c>
      <c r="E836">
        <f>IF(D5184&gt;0,VLOOKUP(OPERAC[[#This Row],[COD CART]],[1]!MatrizCortoLargoCyl[#All],3,0),"")</f>
        <v/>
      </c>
      <c r="F836" t="inlineStr">
        <is>
          <t>SPWR/CYL/20,00/24-06-22</t>
        </is>
      </c>
      <c r="G836" t="n">
        <v>100</v>
      </c>
      <c r="H836" t="n">
        <v>-1630.078</v>
      </c>
      <c r="I836">
        <f>-H5184/G5184</f>
        <v/>
      </c>
    </row>
    <row r="837">
      <c r="A837" t="n">
        <v>2257</v>
      </c>
      <c r="B837" s="16" t="n">
        <v>44707</v>
      </c>
      <c r="C837" t="inlineStr">
        <is>
          <t>CPR</t>
        </is>
      </c>
      <c r="D837" t="n">
        <v>42</v>
      </c>
      <c r="E837">
        <f>IF(D4159&gt;0,VLOOKUP(OPERAC[[#This Row],[COD CART]],[1]!MatrizCortoLargoCyl[#All],3,0),"")</f>
        <v/>
      </c>
      <c r="F837" t="inlineStr">
        <is>
          <t>PCT</t>
        </is>
      </c>
      <c r="G837" t="n">
        <v>100</v>
      </c>
      <c r="H837" t="n">
        <v>-973.063327</v>
      </c>
      <c r="I837">
        <f>-H4159/G4159</f>
        <v/>
      </c>
    </row>
    <row r="838">
      <c r="A838" t="n">
        <v>2257</v>
      </c>
      <c r="B838" s="16" t="n">
        <v>44712</v>
      </c>
      <c r="C838" t="inlineStr">
        <is>
          <t>CPR</t>
        </is>
      </c>
      <c r="D838" t="n">
        <v>32</v>
      </c>
      <c r="E838">
        <f>IF(D4773&gt;0,VLOOKUP(OPERAC[[#This Row],[COD CART]],[1]!MatrizCortoLargoCyl[#All],3,0),"")</f>
        <v/>
      </c>
      <c r="F838" t="inlineStr">
        <is>
          <t>CRESY/CYL/7,50/17-06-22</t>
        </is>
      </c>
      <c r="G838" t="n">
        <v>200</v>
      </c>
      <c r="H838" t="n">
        <v>-1386.15</v>
      </c>
      <c r="I838">
        <f>-H4773/G4773</f>
        <v/>
      </c>
    </row>
    <row r="839">
      <c r="A839" t="n">
        <v>2257</v>
      </c>
      <c r="B839" s="16" t="n">
        <v>44712</v>
      </c>
      <c r="C839" t="inlineStr">
        <is>
          <t>CPR</t>
        </is>
      </c>
      <c r="D839" t="n">
        <v>42</v>
      </c>
      <c r="E839">
        <f>IF(D5873&gt;0,VLOOKUP(OPERAC[[#This Row],[COD CART]],[1]!MatrizCortoLargoCyl[#All],3,0),"")</f>
        <v/>
      </c>
      <c r="F839" t="inlineStr">
        <is>
          <t>KWEB</t>
        </is>
      </c>
      <c r="G839" t="n">
        <v>100</v>
      </c>
      <c r="H839" t="n">
        <v>-2959.725</v>
      </c>
      <c r="I839">
        <f>-H5873/G5873</f>
        <v/>
      </c>
    </row>
    <row r="840">
      <c r="A840" t="n">
        <v>2257</v>
      </c>
      <c r="B840" s="16" t="n">
        <v>44712</v>
      </c>
      <c r="C840" t="inlineStr">
        <is>
          <t>VTA</t>
        </is>
      </c>
      <c r="D840" t="n">
        <v>39</v>
      </c>
      <c r="E840">
        <f>IF(D1554&gt;0,VLOOKUP(OPERAC[[#This Row],[COD CART]],[1]!MatrizCortoLargoCyl[#All],3,0),"")</f>
        <v/>
      </c>
      <c r="F840" t="inlineStr">
        <is>
          <t>ET/C/10,00/21-10-22</t>
        </is>
      </c>
      <c r="G840" t="n">
        <v>100</v>
      </c>
      <c r="H840" t="n">
        <v>-202.808</v>
      </c>
      <c r="I840">
        <f>-H1554/G1554</f>
        <v/>
      </c>
    </row>
    <row r="841">
      <c r="A841" t="n">
        <v>2257</v>
      </c>
      <c r="B841" s="16" t="n">
        <v>44718</v>
      </c>
      <c r="C841" t="inlineStr">
        <is>
          <t>VTA</t>
        </is>
      </c>
      <c r="D841" t="n">
        <v>39</v>
      </c>
      <c r="E841">
        <f>IF(D48&gt;0,VLOOKUP(OPERAC[[#This Row],[COD CART]],[1]!MatrizCortoLargoCyl[#All],3,0),"")</f>
        <v/>
      </c>
      <c r="F841" t="inlineStr">
        <is>
          <t>TSLA/C/800,00/10-06-22</t>
        </is>
      </c>
      <c r="G841" t="n">
        <v>-2000</v>
      </c>
      <c r="H841" t="n">
        <v>5175.63</v>
      </c>
      <c r="I841">
        <f>-H48/G48</f>
        <v/>
      </c>
      <c r="J841" s="16" t="n">
        <v>44718</v>
      </c>
      <c r="K841" t="n">
        <v>-2000</v>
      </c>
      <c r="L841" t="n">
        <v>-4699.61</v>
      </c>
    </row>
    <row r="842">
      <c r="A842" t="n">
        <v>2257</v>
      </c>
      <c r="B842" s="16" t="n">
        <v>44720</v>
      </c>
      <c r="C842" t="inlineStr">
        <is>
          <t>VTA</t>
        </is>
      </c>
      <c r="D842" t="n">
        <v>42</v>
      </c>
      <c r="E842">
        <f>IF(D1962&gt;0,VLOOKUP(OPERAC[[#This Row],[COD CART]],[1]!MatrizCortoLargoCyl[#All],3,0),"")</f>
        <v/>
      </c>
      <c r="F842" t="inlineStr">
        <is>
          <t>HYDR</t>
        </is>
      </c>
      <c r="G842" t="n">
        <v>20</v>
      </c>
      <c r="H842" t="n">
        <v>-302.55</v>
      </c>
      <c r="I842">
        <f>-H1962/G1962</f>
        <v/>
      </c>
    </row>
    <row r="843">
      <c r="A843" t="n">
        <v>2257</v>
      </c>
      <c r="B843" s="16" t="n">
        <v>44721</v>
      </c>
      <c r="C843" t="inlineStr">
        <is>
          <t>CPR</t>
        </is>
      </c>
      <c r="D843" t="n">
        <v>32</v>
      </c>
      <c r="E843">
        <f>IF(D4406&gt;0,VLOOKUP(OPERAC[[#This Row],[COD CART]],[1]!MatrizCortoLargoCyl[#All],3,0),"")</f>
        <v/>
      </c>
      <c r="F843" t="inlineStr">
        <is>
          <t>CCL/CYL/11,5/17-06-22</t>
        </is>
      </c>
      <c r="G843" t="n">
        <v>100</v>
      </c>
      <c r="H843">
        <f>-11.066*100</f>
        <v/>
      </c>
      <c r="I843">
        <f>-H4406/G4406</f>
        <v/>
      </c>
    </row>
    <row r="844">
      <c r="A844" t="n">
        <v>2276</v>
      </c>
      <c r="B844" s="16" t="n">
        <v>44330</v>
      </c>
      <c r="C844" t="inlineStr">
        <is>
          <t>VTA</t>
        </is>
      </c>
      <c r="D844" t="n">
        <v>41</v>
      </c>
      <c r="E844">
        <f>IF(D1768&gt;0,VLOOKUP(OPERAC[[#This Row],[COD CART]],[1]!MatrizCortoLargoCyl[#All],3,0),"")</f>
        <v/>
      </c>
      <c r="F844" t="inlineStr">
        <is>
          <t>JMIA</t>
        </is>
      </c>
      <c r="G844" t="n">
        <v>10</v>
      </c>
      <c r="H844" t="n">
        <v>-258.897</v>
      </c>
      <c r="I844">
        <f>-H1768/G1768</f>
        <v/>
      </c>
    </row>
    <row r="845">
      <c r="A845" t="n">
        <v>2276</v>
      </c>
      <c r="B845" s="16" t="n">
        <v>44337</v>
      </c>
      <c r="C845" t="inlineStr">
        <is>
          <t>VTA</t>
        </is>
      </c>
      <c r="D845" t="n">
        <v>41</v>
      </c>
      <c r="E845">
        <f>IF(D1288&gt;0,VLOOKUP(OPERAC[[#This Row],[COD CART]],[1]!MatrizCortoLargoCyl[#All],3,0),"")</f>
        <v/>
      </c>
      <c r="F845" t="inlineStr">
        <is>
          <t>EFA</t>
        </is>
      </c>
      <c r="G845" t="n">
        <v>1</v>
      </c>
      <c r="H845" t="n">
        <v>-81.42488</v>
      </c>
      <c r="I845">
        <f>-H1288/G1288</f>
        <v/>
      </c>
    </row>
    <row r="846">
      <c r="A846" t="n">
        <v>2276</v>
      </c>
      <c r="B846" s="16" t="n">
        <v>44337</v>
      </c>
      <c r="C846" t="inlineStr">
        <is>
          <t>VTA</t>
        </is>
      </c>
      <c r="D846" t="n">
        <v>41</v>
      </c>
      <c r="E846">
        <f>IF(D2058&gt;0,VLOOKUP(OPERAC[[#This Row],[COD CART]],[1]!MatrizCortoLargoCyl[#All],3,0),"")</f>
        <v/>
      </c>
      <c r="F846" t="inlineStr">
        <is>
          <t>EEM</t>
        </is>
      </c>
      <c r="G846" t="n">
        <v>6</v>
      </c>
      <c r="H846" t="n">
        <v>-323.60032</v>
      </c>
      <c r="I846">
        <f>-H2058/G2058</f>
        <v/>
      </c>
    </row>
    <row r="847">
      <c r="A847" t="n">
        <v>2276</v>
      </c>
      <c r="B847" s="16" t="n">
        <v>44337</v>
      </c>
      <c r="C847" t="inlineStr">
        <is>
          <t>VTA</t>
        </is>
      </c>
      <c r="D847" t="n">
        <v>41</v>
      </c>
      <c r="E847">
        <f>IF(D2368&gt;0,VLOOKUP(OPERAC[[#This Row],[COD CART]],[1]!MatrizCortoLargoCyl[#All],3,0),"")</f>
        <v/>
      </c>
      <c r="F847" t="inlineStr">
        <is>
          <t>SPY</t>
        </is>
      </c>
      <c r="G847" t="n">
        <v>1</v>
      </c>
      <c r="H847" t="n">
        <v>-420.98824</v>
      </c>
      <c r="I847">
        <f>-H2368/G2368</f>
        <v/>
      </c>
    </row>
    <row r="848">
      <c r="A848" t="n">
        <v>2276</v>
      </c>
      <c r="B848" s="16" t="n">
        <v>44342</v>
      </c>
      <c r="C848" t="inlineStr">
        <is>
          <t>VTA</t>
        </is>
      </c>
      <c r="D848" t="n">
        <v>41</v>
      </c>
      <c r="E848">
        <f>IF(D1454&gt;0,VLOOKUP(OPERAC[[#This Row],[COD CART]],[1]!MatrizCortoLargoCyl[#All],3,0),"")</f>
        <v/>
      </c>
      <c r="F848" t="inlineStr">
        <is>
          <t>EFA</t>
        </is>
      </c>
      <c r="G848" t="n">
        <v>2</v>
      </c>
      <c r="H848" t="n">
        <v>-163.25776</v>
      </c>
      <c r="I848">
        <f>-H1454/G1454</f>
        <v/>
      </c>
    </row>
    <row r="849">
      <c r="A849" t="n">
        <v>2276</v>
      </c>
      <c r="B849" s="16" t="n">
        <v>44342</v>
      </c>
      <c r="C849" t="inlineStr">
        <is>
          <t>VTA</t>
        </is>
      </c>
      <c r="D849" t="n">
        <v>41</v>
      </c>
      <c r="E849">
        <f>IF(D1640&gt;0,VLOOKUP(OPERAC[[#This Row],[COD CART]],[1]!MatrizCortoLargoCyl[#All],3,0),"")</f>
        <v/>
      </c>
      <c r="F849" t="inlineStr">
        <is>
          <t>EEM</t>
        </is>
      </c>
      <c r="G849" t="n">
        <v>4</v>
      </c>
      <c r="H849" t="n">
        <v>-220.8448</v>
      </c>
      <c r="I849">
        <f>-H1640/G1640</f>
        <v/>
      </c>
    </row>
    <row r="850">
      <c r="A850" t="n">
        <v>2276</v>
      </c>
      <c r="B850" s="16" t="n">
        <v>44342</v>
      </c>
      <c r="C850" t="inlineStr">
        <is>
          <t>VTA</t>
        </is>
      </c>
      <c r="D850" t="n">
        <v>41</v>
      </c>
      <c r="E850">
        <f>IF(D1886&gt;0,VLOOKUP(OPERAC[[#This Row],[COD CART]],[1]!MatrizCortoLargoCyl[#All],3,0),"")</f>
        <v/>
      </c>
      <c r="F850" t="inlineStr">
        <is>
          <t>SDGR</t>
        </is>
      </c>
      <c r="G850" t="n">
        <v>4</v>
      </c>
      <c r="H850" t="n">
        <v>-281.26432</v>
      </c>
      <c r="I850">
        <f>-H1886/G1886</f>
        <v/>
      </c>
    </row>
    <row r="851">
      <c r="A851" t="n">
        <v>2276</v>
      </c>
      <c r="B851" s="16" t="n">
        <v>44355</v>
      </c>
      <c r="C851" t="inlineStr">
        <is>
          <t>VTA</t>
        </is>
      </c>
      <c r="D851" t="n">
        <v>41</v>
      </c>
      <c r="E851">
        <f>IF(D1264&gt;0,VLOOKUP(OPERAC[[#This Row],[COD CART]],[1]!MatrizCortoLargoCyl[#All],3,0),"")</f>
        <v/>
      </c>
      <c r="F851" t="inlineStr">
        <is>
          <t>JMIA</t>
        </is>
      </c>
      <c r="G851" t="n">
        <v>1</v>
      </c>
      <c r="H851" t="n">
        <v>-31.86288</v>
      </c>
      <c r="I851">
        <f>-H1264/G1264</f>
        <v/>
      </c>
    </row>
    <row r="852">
      <c r="A852" t="n">
        <v>2276</v>
      </c>
      <c r="B852" s="16" t="n">
        <v>44355</v>
      </c>
      <c r="C852" t="inlineStr">
        <is>
          <t>VTA</t>
        </is>
      </c>
      <c r="D852" t="n">
        <v>41</v>
      </c>
      <c r="E852">
        <f>IF(D1831&gt;0,VLOOKUP(OPERAC[[#This Row],[COD CART]],[1]!MatrizCortoLargoCyl[#All],3,0),"")</f>
        <v/>
      </c>
      <c r="F852" t="inlineStr">
        <is>
          <t>RBLX</t>
        </is>
      </c>
      <c r="G852" t="n">
        <v>3</v>
      </c>
      <c r="H852" t="n">
        <v>-272.56824</v>
      </c>
      <c r="I852">
        <f>-H1831/G1831</f>
        <v/>
      </c>
    </row>
    <row r="853">
      <c r="A853" t="n">
        <v>2276</v>
      </c>
      <c r="B853" s="16" t="n">
        <v>44378</v>
      </c>
      <c r="C853" t="inlineStr">
        <is>
          <t>VTA</t>
        </is>
      </c>
      <c r="D853" t="n">
        <v>41</v>
      </c>
      <c r="E853">
        <f>IF(D2330&gt;0,VLOOKUP(OPERAC[[#This Row],[COD CART]],[1]!MatrizCortoLargoCyl[#All],3,0),"")</f>
        <v/>
      </c>
      <c r="F853" t="inlineStr">
        <is>
          <t>QFIN</t>
        </is>
      </c>
      <c r="G853" t="n">
        <v>10</v>
      </c>
      <c r="H853" t="n">
        <v>-406.3168</v>
      </c>
      <c r="I853">
        <f>-H2330/G2330</f>
        <v/>
      </c>
    </row>
    <row r="854">
      <c r="A854" t="n">
        <v>2276</v>
      </c>
      <c r="B854" s="16" t="n">
        <v>44418</v>
      </c>
      <c r="C854" t="inlineStr">
        <is>
          <t>VTA</t>
        </is>
      </c>
      <c r="D854" t="n">
        <v>41</v>
      </c>
      <c r="E854">
        <f>IF(D2405&gt;0,VLOOKUP(OPERAC[[#This Row],[COD CART]],[1]!MatrizCortoLargoCyl[#All],3,0),"")</f>
        <v/>
      </c>
      <c r="F854" t="inlineStr">
        <is>
          <t>JMIA</t>
        </is>
      </c>
      <c r="G854" t="n">
        <v>20</v>
      </c>
      <c r="H854" t="n">
        <v>-423.755</v>
      </c>
      <c r="I854">
        <f>-H2405/G2405</f>
        <v/>
      </c>
    </row>
    <row r="855">
      <c r="A855" t="n">
        <v>2276</v>
      </c>
      <c r="B855" s="16" t="n">
        <v>44438</v>
      </c>
      <c r="C855" t="inlineStr">
        <is>
          <t>CPR</t>
        </is>
      </c>
      <c r="D855" t="n">
        <v>41</v>
      </c>
      <c r="E855">
        <f>IF(D2730&gt;0,VLOOKUP(OPERAC[[#This Row],[COD CART]],[1]!MatrizCortoLargoCyl[#All],3,0),"")</f>
        <v/>
      </c>
      <c r="F855" t="inlineStr">
        <is>
          <t>XERS</t>
        </is>
      </c>
      <c r="G855" t="n">
        <v>180</v>
      </c>
      <c r="H855" t="n">
        <v>-507.118</v>
      </c>
      <c r="I855">
        <f>-H2730/G2730</f>
        <v/>
      </c>
    </row>
    <row r="856">
      <c r="A856" t="n">
        <v>2276</v>
      </c>
      <c r="B856" s="16" t="n">
        <v>44691</v>
      </c>
      <c r="C856" t="inlineStr">
        <is>
          <t>CPR</t>
        </is>
      </c>
      <c r="D856" t="n">
        <v>41</v>
      </c>
      <c r="E856">
        <f>IF(D2708&gt;0,VLOOKUP(OPERAC[[#This Row],[COD CART]],[1]!MatrizCortoLargoCyl[#All],3,0),"")</f>
        <v/>
      </c>
      <c r="F856" t="inlineStr">
        <is>
          <t>ZUMZ</t>
        </is>
      </c>
      <c r="G856" t="n">
        <v>15</v>
      </c>
      <c r="H856" t="n">
        <v>-499.19</v>
      </c>
      <c r="I856">
        <f>-H2708/G2708</f>
        <v/>
      </c>
    </row>
    <row r="857">
      <c r="A857" t="n">
        <v>2276</v>
      </c>
      <c r="B857" s="16" t="n">
        <v>44691</v>
      </c>
      <c r="C857" t="inlineStr">
        <is>
          <t>VTA</t>
        </is>
      </c>
      <c r="D857" t="n">
        <v>41</v>
      </c>
      <c r="E857">
        <f>IF(D2475&gt;0,VLOOKUP(OPERAC[[#This Row],[COD CART]],[1]!MatrizCortoLargoCyl[#All],3,0),"")</f>
        <v/>
      </c>
      <c r="F857" t="inlineStr">
        <is>
          <t>FRA</t>
        </is>
      </c>
      <c r="G857" t="n">
        <v>9</v>
      </c>
      <c r="H857" t="n">
        <v>-442.17</v>
      </c>
      <c r="I857">
        <f>-H2475/G2475</f>
        <v/>
      </c>
    </row>
    <row r="858">
      <c r="A858" t="n">
        <v>2276</v>
      </c>
      <c r="B858" s="16" t="n">
        <v>44698</v>
      </c>
      <c r="C858" t="inlineStr">
        <is>
          <t>VTA</t>
        </is>
      </c>
      <c r="D858" t="n">
        <v>41</v>
      </c>
      <c r="E858">
        <f>IF(D3895&gt;0,VLOOKUP(OPERAC[[#This Row],[COD CART]],[1]!MatrizCortoLargoCyl[#All],3,0),"")</f>
        <v/>
      </c>
      <c r="F858" t="inlineStr">
        <is>
          <t>QFIN</t>
        </is>
      </c>
      <c r="G858" t="n">
        <v>62</v>
      </c>
      <c r="H858" t="n">
        <v>-871.626</v>
      </c>
      <c r="I858">
        <f>-H3895/G3895</f>
        <v/>
      </c>
    </row>
    <row r="859">
      <c r="A859" t="n">
        <v>2279</v>
      </c>
      <c r="B859" s="16" t="n">
        <v>44459</v>
      </c>
      <c r="C859" t="inlineStr">
        <is>
          <t>VTA</t>
        </is>
      </c>
      <c r="D859" t="n">
        <v>43</v>
      </c>
      <c r="E859">
        <f>IF(D2265&gt;0,VLOOKUP(OPERAC[[#This Row],[COD CART]],[1]!MatrizCortoLargoCyl[#All],3,0),"")</f>
        <v/>
      </c>
      <c r="F859" t="inlineStr">
        <is>
          <t>SOLO/CYL-PUT/3,00/17-06-22</t>
        </is>
      </c>
      <c r="G859" t="n">
        <v>200</v>
      </c>
      <c r="H859">
        <f>-461.31+0.137*OPERAC[[#This Row],[cantidad]]-208.446+28.96+227.356</f>
        <v/>
      </c>
      <c r="I859">
        <f>-H2265/G2265</f>
        <v/>
      </c>
      <c r="J859" s="16" t="n">
        <v>44719</v>
      </c>
      <c r="K859" t="n">
        <v>200</v>
      </c>
      <c r="L859" t="n">
        <v>6.276</v>
      </c>
    </row>
    <row r="860">
      <c r="A860" t="n">
        <v>2279</v>
      </c>
      <c r="B860" s="16" t="n">
        <v>44459</v>
      </c>
      <c r="C860" t="inlineStr">
        <is>
          <t>VTA</t>
        </is>
      </c>
      <c r="D860" t="n">
        <v>43</v>
      </c>
      <c r="E860">
        <f>IF(D2805&gt;0,VLOOKUP(OPERAC[[#This Row],[COD CART]],[1]!MatrizCortoLargoCyl[#All],3,0),"")</f>
        <v/>
      </c>
      <c r="F860" t="inlineStr">
        <is>
          <t>INO/CYL-PUT/7,00/21-01-22</t>
        </is>
      </c>
      <c r="G860" t="n">
        <v>100</v>
      </c>
      <c r="H860" t="n">
        <v>-515.45</v>
      </c>
      <c r="I860">
        <f>-H2805/G2805</f>
        <v/>
      </c>
      <c r="J860" s="16" t="n">
        <v>44581</v>
      </c>
      <c r="K860" t="n">
        <v>100</v>
      </c>
      <c r="L860" t="n">
        <v>125.796</v>
      </c>
    </row>
    <row r="861">
      <c r="A861" t="n">
        <v>2279</v>
      </c>
      <c r="B861" s="16" t="n">
        <v>44463</v>
      </c>
      <c r="C861" t="inlineStr">
        <is>
          <t>VTA</t>
        </is>
      </c>
      <c r="D861" t="n">
        <v>41</v>
      </c>
      <c r="E861">
        <f>IF(D2442&gt;0,VLOOKUP(OPERAC[[#This Row],[COD CART]],[1]!MatrizCortoLargoCyl[#All],3,0),"")</f>
        <v/>
      </c>
      <c r="F861" t="inlineStr">
        <is>
          <t>TCNNF</t>
        </is>
      </c>
      <c r="G861" t="n">
        <v>15</v>
      </c>
      <c r="H861" t="n">
        <v>-427.7447999999999</v>
      </c>
      <c r="I861">
        <f>-H2442/G2442</f>
        <v/>
      </c>
    </row>
    <row r="862">
      <c r="A862" t="n">
        <v>2279</v>
      </c>
      <c r="B862" s="16" t="n">
        <v>44489</v>
      </c>
      <c r="C862" t="inlineStr">
        <is>
          <t>VTA</t>
        </is>
      </c>
      <c r="D862" t="n">
        <v>43</v>
      </c>
      <c r="E862">
        <f>IF(D2229&gt;0,VLOOKUP(OPERAC[[#This Row],[COD CART]],[1]!MatrizCortoLargoCyl[#All],3,0),"")</f>
        <v/>
      </c>
      <c r="F862" t="inlineStr">
        <is>
          <t>SESN/CYL-PUT/1,00/19-01-24</t>
        </is>
      </c>
      <c r="G862" t="n">
        <v>2000</v>
      </c>
      <c r="H862">
        <f>-0.1885*OPERAC[[#This Row],[cantidad]]</f>
        <v/>
      </c>
      <c r="I862">
        <f>-H2229/G2229</f>
        <v/>
      </c>
    </row>
    <row r="863">
      <c r="A863" t="n">
        <v>2279</v>
      </c>
      <c r="B863" s="16" t="n">
        <v>44523</v>
      </c>
      <c r="C863" t="inlineStr">
        <is>
          <t>VTA</t>
        </is>
      </c>
      <c r="D863" t="n">
        <v>41</v>
      </c>
      <c r="E863">
        <f>IF(D1327&gt;0,VLOOKUP(OPERAC[[#This Row],[COD CART]],[1]!MatrizCortoLargoCyl[#All],3,0),"")</f>
        <v/>
      </c>
      <c r="F863" t="inlineStr">
        <is>
          <t>PLTR</t>
        </is>
      </c>
      <c r="G863" t="n">
        <v>5</v>
      </c>
      <c r="H863" t="n">
        <v>-102.934</v>
      </c>
      <c r="I863">
        <f>-H1327/G1327</f>
        <v/>
      </c>
    </row>
    <row r="864">
      <c r="A864" t="n">
        <v>2279</v>
      </c>
      <c r="B864" s="16" t="n">
        <v>44523</v>
      </c>
      <c r="C864" t="inlineStr">
        <is>
          <t>VTA</t>
        </is>
      </c>
      <c r="D864" t="n">
        <v>40</v>
      </c>
      <c r="E864">
        <f>IF(D2144&gt;0,VLOOKUP(OPERAC[[#This Row],[COD CART]],[1]!MatrizCortoLargoCyl[#All],3,0),"")</f>
        <v/>
      </c>
      <c r="F864" t="inlineStr">
        <is>
          <t>EDU</t>
        </is>
      </c>
      <c r="G864" t="n">
        <v>200</v>
      </c>
      <c r="H864">
        <f>-355.898+0.026*OPERAC[[#This Row],[cantidad]]</f>
        <v/>
      </c>
      <c r="I864">
        <f>-H2144/G2144</f>
        <v/>
      </c>
      <c r="J864" s="16" t="n">
        <v>44615</v>
      </c>
      <c r="K864" t="n">
        <v>200</v>
      </c>
      <c r="L864" t="n">
        <v>298.953</v>
      </c>
    </row>
    <row r="865">
      <c r="A865" t="n">
        <v>2279</v>
      </c>
      <c r="B865" s="16" t="n">
        <v>44532</v>
      </c>
      <c r="C865" t="inlineStr">
        <is>
          <t>VTA</t>
        </is>
      </c>
      <c r="D865" t="n">
        <v>32</v>
      </c>
      <c r="E865">
        <f>IF(D3920&gt;0,VLOOKUP(OPERAC[[#This Row],[COD CART]],[1]!MatrizCortoLargoCyl[#All],3,0),"")</f>
        <v/>
      </c>
      <c r="F865" t="inlineStr">
        <is>
          <t>COTY/CYL/10,00/18-02-22</t>
        </is>
      </c>
      <c r="G865" t="n">
        <v>100</v>
      </c>
      <c r="H865">
        <f>-901.599+20.838</f>
        <v/>
      </c>
      <c r="I865">
        <f>-H3920/G3920</f>
        <v/>
      </c>
      <c r="J865" s="16" t="n">
        <v>44608</v>
      </c>
      <c r="K865">
        <f>+OPERAC[[#This Row],[cantidad]]</f>
        <v/>
      </c>
      <c r="L865" t="n">
        <v>941.701</v>
      </c>
    </row>
    <row r="866">
      <c r="A866" t="n">
        <v>2279</v>
      </c>
      <c r="B866" s="16" t="n">
        <v>44539</v>
      </c>
      <c r="C866" t="inlineStr">
        <is>
          <t>CPR</t>
        </is>
      </c>
      <c r="D866" t="n">
        <v>40</v>
      </c>
      <c r="E866">
        <f>IF(D2787&gt;0,VLOOKUP(OPERAC[[#This Row],[COD CART]],[1]!MatrizCortoLargoCyl[#All],3,0),"")</f>
        <v/>
      </c>
      <c r="F866" t="inlineStr">
        <is>
          <t>ROKU</t>
        </is>
      </c>
      <c r="G866" t="n">
        <v>2</v>
      </c>
      <c r="H866" t="n">
        <v>-515.4407199999999</v>
      </c>
      <c r="I866">
        <f>-H2787/G2787</f>
        <v/>
      </c>
      <c r="J866" s="16" t="n">
        <v>44606</v>
      </c>
      <c r="K866">
        <f>+OPERAC[[#This Row],[cantidad]]</f>
        <v/>
      </c>
      <c r="L866">
        <f>+OPERAC[[#This Row],[cantidad venta]]*160.574</f>
        <v/>
      </c>
    </row>
    <row r="867">
      <c r="A867" t="n">
        <v>2279</v>
      </c>
      <c r="B867" s="16" t="n">
        <v>44539</v>
      </c>
      <c r="C867" t="inlineStr">
        <is>
          <t>VTA</t>
        </is>
      </c>
      <c r="D867" t="n">
        <v>41</v>
      </c>
      <c r="E867">
        <f>IF(D2444&gt;0,VLOOKUP(OPERAC[[#This Row],[COD CART]],[1]!MatrizCortoLargoCyl[#All],3,0),"")</f>
        <v/>
      </c>
      <c r="F867" t="inlineStr">
        <is>
          <t>CLF</t>
        </is>
      </c>
      <c r="G867" t="n">
        <v>20</v>
      </c>
      <c r="H867" t="n">
        <v>-428.7952</v>
      </c>
      <c r="I867">
        <f>-H2444/G2444</f>
        <v/>
      </c>
    </row>
    <row r="868">
      <c r="A868" t="n">
        <v>2279</v>
      </c>
      <c r="B868" s="16" t="n">
        <v>44581</v>
      </c>
      <c r="C868" t="inlineStr">
        <is>
          <t>CPR</t>
        </is>
      </c>
      <c r="D868" t="n">
        <v>32</v>
      </c>
      <c r="E868">
        <f>IF(D3563&gt;0,VLOOKUP(OPERAC[[#This Row],[COD CART]],[1]!MatrizCortoLargoCyl[#All],3,0),"")</f>
        <v/>
      </c>
      <c r="F868" t="inlineStr">
        <is>
          <t>HMY/CYL/4,00/18-02-22</t>
        </is>
      </c>
      <c r="G868" t="n">
        <v>200</v>
      </c>
      <c r="H868" t="n">
        <v>-774.9359920000001</v>
      </c>
      <c r="I868">
        <f>-H3563/G3563</f>
        <v/>
      </c>
      <c r="J868" s="16" t="n">
        <v>44610</v>
      </c>
      <c r="K868">
        <f>+OPERAC[[#This Row],[cantidad]]</f>
        <v/>
      </c>
      <c r="L868">
        <f>+OPERAC[[#This Row],[cantidad venta]]*3.8323</f>
        <v/>
      </c>
    </row>
    <row r="869">
      <c r="A869" t="n">
        <v>2279</v>
      </c>
      <c r="B869" s="16" t="n">
        <v>44581</v>
      </c>
      <c r="C869" t="inlineStr">
        <is>
          <t>VTA</t>
        </is>
      </c>
      <c r="D869" t="n">
        <v>39</v>
      </c>
      <c r="E869">
        <f>IF(D649&gt;0,VLOOKUP(OPERAC[[#This Row],[COD CART]],[1]!MatrizCortoLargoCyl[#All],3,0),"")</f>
        <v/>
      </c>
      <c r="F869" t="inlineStr">
        <is>
          <t>ROKU/V/170,00/28-01-22</t>
        </is>
      </c>
      <c r="G869" t="n">
        <v>-100</v>
      </c>
      <c r="H869" t="n">
        <v>525.364</v>
      </c>
      <c r="I869">
        <f>-H649/G649</f>
        <v/>
      </c>
      <c r="J869" s="16" t="n">
        <v>44587</v>
      </c>
      <c r="K869">
        <f>+OPERAC[[#This Row],[cantidad]]</f>
        <v/>
      </c>
      <c r="L869">
        <f>-OPERAC[[#This Row],[importe]]</f>
        <v/>
      </c>
    </row>
    <row r="870">
      <c r="A870" t="n">
        <v>2279</v>
      </c>
      <c r="B870" s="16" t="n">
        <v>44582</v>
      </c>
      <c r="C870" t="inlineStr">
        <is>
          <t>VTA</t>
        </is>
      </c>
      <c r="D870" t="n">
        <v>40</v>
      </c>
      <c r="E870">
        <f>IF(D2284&gt;0,VLOOKUP(OPERAC[[#This Row],[COD CART]],[1]!MatrizCortoLargoCyl[#All],3,0),"")</f>
        <v/>
      </c>
      <c r="F870" t="inlineStr">
        <is>
          <t>NFLX</t>
        </is>
      </c>
      <c r="G870" t="n">
        <v>1</v>
      </c>
      <c r="H870" t="n">
        <v>-390.6371</v>
      </c>
      <c r="I870">
        <f>-H2284/G2284</f>
        <v/>
      </c>
      <c r="J870" s="16" t="n">
        <v>44593</v>
      </c>
      <c r="K870">
        <f>+OPERAC[[#This Row],[cantidad]]</f>
        <v/>
      </c>
      <c r="L870">
        <f>+OPERAC[[#This Row],[cantidad venta]]*448.602</f>
        <v/>
      </c>
    </row>
    <row r="871">
      <c r="A871" t="n">
        <v>2279</v>
      </c>
      <c r="B871" s="16" t="n">
        <v>44587</v>
      </c>
      <c r="C871" t="inlineStr">
        <is>
          <t>VTA</t>
        </is>
      </c>
      <c r="D871" t="n">
        <v>39</v>
      </c>
      <c r="E871">
        <f>IF(D289&gt;0,VLOOKUP(OPERAC[[#This Row],[COD CART]],[1]!MatrizCortoLargoCyl[#All],3,0),"")</f>
        <v/>
      </c>
      <c r="F871" t="inlineStr">
        <is>
          <t>ROKU/V/155,00/04-02-22</t>
        </is>
      </c>
      <c r="G871" t="n">
        <v>-200</v>
      </c>
      <c r="H871" t="n">
        <v>1587.992</v>
      </c>
      <c r="I871">
        <f>-H289/G289</f>
        <v/>
      </c>
      <c r="J871" s="16" t="n">
        <v>44592</v>
      </c>
      <c r="K871">
        <f>+OPERAC[[#This Row],[cantidad]]</f>
        <v/>
      </c>
      <c r="L871" t="n">
        <v>-716.4627999999999</v>
      </c>
    </row>
    <row r="872">
      <c r="A872" t="n">
        <v>2279</v>
      </c>
      <c r="B872" s="16" t="n">
        <v>44587</v>
      </c>
      <c r="C872" t="inlineStr">
        <is>
          <t>VTA</t>
        </is>
      </c>
      <c r="D872" t="n">
        <v>40</v>
      </c>
      <c r="E872">
        <f>IF(D1462&gt;0,VLOOKUP(OPERAC[[#This Row],[COD CART]],[1]!MatrizCortoLargoCyl[#All],3,0),"")</f>
        <v/>
      </c>
      <c r="F872" t="inlineStr">
        <is>
          <t>AAPL</t>
        </is>
      </c>
      <c r="G872" t="n">
        <v>1</v>
      </c>
      <c r="H872" t="n">
        <v>-164.05442</v>
      </c>
      <c r="I872">
        <f>-H1462/G1462</f>
        <v/>
      </c>
      <c r="J872" s="16" t="n">
        <v>44601</v>
      </c>
      <c r="K872" t="n">
        <v>1</v>
      </c>
      <c r="L872">
        <f>175.66*OPERAC[[#This Row],[cantidad venta]]</f>
        <v/>
      </c>
    </row>
    <row r="873">
      <c r="A873" t="n">
        <v>2279</v>
      </c>
      <c r="B873" s="16" t="n">
        <v>44592</v>
      </c>
      <c r="C873" t="inlineStr">
        <is>
          <t>VTA</t>
        </is>
      </c>
      <c r="D873" t="n">
        <v>39</v>
      </c>
      <c r="E873">
        <f>IF(D485&gt;0,VLOOKUP(OPERAC[[#This Row],[COD CART]],[1]!MatrizCortoLargoCyl[#All],3,0),"")</f>
        <v/>
      </c>
      <c r="F873" t="inlineStr">
        <is>
          <t>ROKU/V/150,00/11-02-22</t>
        </is>
      </c>
      <c r="G873" t="n">
        <v>-200</v>
      </c>
      <c r="H873" t="n">
        <v>951.528</v>
      </c>
      <c r="I873">
        <f>-H485/G485</f>
        <v/>
      </c>
      <c r="J873" s="16" t="n">
        <v>44601</v>
      </c>
      <c r="K873">
        <f>+OPERAC[[#This Row],[cantidad]]</f>
        <v/>
      </c>
      <c r="L873">
        <f>0.67*OPERAC[[#This Row],[cantidad venta]]</f>
        <v/>
      </c>
    </row>
    <row r="874">
      <c r="A874" t="n">
        <v>2279</v>
      </c>
      <c r="B874" s="16" t="n">
        <v>44599</v>
      </c>
      <c r="C874" t="inlineStr">
        <is>
          <t>CPR</t>
        </is>
      </c>
      <c r="D874" t="n">
        <v>40</v>
      </c>
      <c r="E874">
        <f>IF(D4520&gt;0,VLOOKUP(OPERAC[[#This Row],[COD CART]],[1]!MatrizCortoLargoCyl[#All],3,0),"")</f>
        <v/>
      </c>
      <c r="F874" t="inlineStr">
        <is>
          <t>FB</t>
        </is>
      </c>
      <c r="G874" t="n">
        <v>5</v>
      </c>
      <c r="H874" t="n">
        <v>-1192.3</v>
      </c>
      <c r="I874">
        <f>-H4520/G4520</f>
        <v/>
      </c>
      <c r="J874" s="16" t="n">
        <v>44616</v>
      </c>
      <c r="K874">
        <f>+OPERAC[[#This Row],[cantidad]]</f>
        <v/>
      </c>
      <c r="L874">
        <f>200.299*OPERAC[[#This Row],[cantidad venta]]</f>
        <v/>
      </c>
    </row>
    <row r="875">
      <c r="A875" t="n">
        <v>2279</v>
      </c>
      <c r="B875" s="16" t="n">
        <v>44616</v>
      </c>
      <c r="C875" t="inlineStr">
        <is>
          <t>CPR</t>
        </is>
      </c>
      <c r="D875" t="n">
        <v>32</v>
      </c>
      <c r="E875">
        <f>IF(D4309&gt;0,VLOOKUP(OPERAC[[#This Row],[COD CART]],[1]!MatrizCortoLargoCyl[#All],3,0),"")</f>
        <v/>
      </c>
      <c r="F875" t="inlineStr">
        <is>
          <t>PLTR/CYL/12,00/14-04-22</t>
        </is>
      </c>
      <c r="G875" t="n">
        <v>100</v>
      </c>
      <c r="H875" t="n">
        <v>-1052.7265</v>
      </c>
      <c r="I875">
        <f>-H4309/G4309</f>
        <v/>
      </c>
      <c r="J875" s="16" t="n">
        <v>44643</v>
      </c>
      <c r="K875" t="n">
        <v>100</v>
      </c>
      <c r="L875" t="n">
        <v>1146.72</v>
      </c>
    </row>
    <row r="876">
      <c r="A876" t="n">
        <v>2279</v>
      </c>
      <c r="B876" s="16" t="n">
        <v>44622</v>
      </c>
      <c r="C876" t="inlineStr">
        <is>
          <t>CPR</t>
        </is>
      </c>
      <c r="D876" t="n">
        <v>32</v>
      </c>
      <c r="E876">
        <f>IF(D2569&gt;0,VLOOKUP(OPERAC[[#This Row],[COD CART]],[1]!MatrizCortoLargoCyl[#All],3,0),"")</f>
        <v/>
      </c>
      <c r="F876" t="inlineStr">
        <is>
          <t>HMY/CYL/5,00/18-03-22</t>
        </is>
      </c>
      <c r="G876" t="n">
        <v>100</v>
      </c>
      <c r="H876" t="n">
        <v>-468.532</v>
      </c>
      <c r="I876">
        <f>-H2569/G2569</f>
        <v/>
      </c>
      <c r="J876" s="16" t="n">
        <v>44637</v>
      </c>
      <c r="K876">
        <f>+OPERAC[[#This Row],[cantidad]]</f>
        <v/>
      </c>
      <c r="L876">
        <f>4.85553*OPERAC[[#This Row],[cantidad venta]]</f>
        <v/>
      </c>
    </row>
    <row r="877">
      <c r="A877" t="n">
        <v>2279</v>
      </c>
      <c r="B877" s="16" t="n">
        <v>44634</v>
      </c>
      <c r="C877" t="inlineStr">
        <is>
          <t>VTA</t>
        </is>
      </c>
      <c r="D877" t="n">
        <v>42</v>
      </c>
      <c r="E877">
        <f>IF(D2083&gt;0,VLOOKUP(OPERAC[[#This Row],[COD CART]],[1]!MatrizCortoLargoCyl[#All],3,0),"")</f>
        <v/>
      </c>
      <c r="F877" t="inlineStr">
        <is>
          <t>INO</t>
        </is>
      </c>
      <c r="G877" t="n">
        <v>100</v>
      </c>
      <c r="H877" t="n">
        <v>-332.0816</v>
      </c>
      <c r="I877">
        <f>-H2083/G2083</f>
        <v/>
      </c>
      <c r="J877" s="16" t="n">
        <v>44634</v>
      </c>
      <c r="K877" t="n">
        <v>100</v>
      </c>
      <c r="L877" t="n">
        <v>298.8855</v>
      </c>
    </row>
    <row r="878">
      <c r="A878" t="n">
        <v>2279</v>
      </c>
      <c r="B878" s="16" t="n">
        <v>44641</v>
      </c>
      <c r="C878" t="inlineStr">
        <is>
          <t>VTA</t>
        </is>
      </c>
      <c r="D878" t="n">
        <v>42</v>
      </c>
      <c r="E878">
        <f>IF(D2408&gt;0,VLOOKUP(OPERAC[[#This Row],[COD CART]],[1]!MatrizCortoLargoCyl[#All],3,0),"")</f>
        <v/>
      </c>
      <c r="F878" t="inlineStr">
        <is>
          <t>FB</t>
        </is>
      </c>
      <c r="G878" t="n">
        <v>2</v>
      </c>
      <c r="H878" t="n">
        <v>-424.31276</v>
      </c>
      <c r="I878">
        <f>-H2408/G2408</f>
        <v/>
      </c>
      <c r="J878" s="16" t="n">
        <v>44671</v>
      </c>
      <c r="K878">
        <f>+OPERAC[[#This Row],[cantidad]]</f>
        <v/>
      </c>
      <c r="L878">
        <f>+OPERAC[[#This Row],[cantidad venta]]*213.173</f>
        <v/>
      </c>
    </row>
    <row r="879">
      <c r="A879" t="n">
        <v>2279</v>
      </c>
      <c r="B879" s="16" t="n">
        <v>44641</v>
      </c>
      <c r="C879" t="inlineStr">
        <is>
          <t>VTA</t>
        </is>
      </c>
      <c r="D879" t="n">
        <v>42</v>
      </c>
      <c r="E879">
        <f>IF(D2866&gt;0,VLOOKUP(OPERAC[[#This Row],[COD CART]],[1]!MatrizCortoLargoCyl[#All],3,0),"")</f>
        <v/>
      </c>
      <c r="F879" t="inlineStr">
        <is>
          <t>SMH</t>
        </is>
      </c>
      <c r="G879" t="n">
        <v>2</v>
      </c>
      <c r="H879" t="n">
        <v>-537.9153000000001</v>
      </c>
      <c r="I879">
        <f>-H2866/G2866</f>
        <v/>
      </c>
      <c r="J879" s="16" t="n">
        <v>44663</v>
      </c>
      <c r="K879">
        <f>+OPERAC[[#This Row],[cantidad]]</f>
        <v/>
      </c>
      <c r="L879">
        <f>+OPERAC[[#This Row],[cantidad venta]]*238.066</f>
        <v/>
      </c>
    </row>
    <row r="880">
      <c r="A880" t="n">
        <v>2279</v>
      </c>
      <c r="B880" s="16" t="n">
        <v>44641</v>
      </c>
      <c r="C880" t="inlineStr">
        <is>
          <t>VTA</t>
        </is>
      </c>
      <c r="D880" t="n">
        <v>42</v>
      </c>
      <c r="E880">
        <f>IF(D2928&gt;0,VLOOKUP(OPERAC[[#This Row],[COD CART]],[1]!MatrizCortoLargoCyl[#All],3,0),"")</f>
        <v/>
      </c>
      <c r="F880" t="inlineStr">
        <is>
          <t>DIS</t>
        </is>
      </c>
      <c r="G880" t="n">
        <v>4</v>
      </c>
      <c r="H880" t="n">
        <v>-557.0848</v>
      </c>
      <c r="I880">
        <f>-H2928/G2928</f>
        <v/>
      </c>
      <c r="J880" s="16" t="n">
        <v>44671</v>
      </c>
      <c r="K880">
        <f>+OPERAC[[#This Row],[cantidad]]</f>
        <v/>
      </c>
      <c r="L880">
        <f>+OPERAC[[#This Row],[cantidad venta]]*123.621</f>
        <v/>
      </c>
    </row>
    <row r="881">
      <c r="A881" t="n">
        <v>2279</v>
      </c>
      <c r="B881" s="16" t="n">
        <v>44641</v>
      </c>
      <c r="C881" t="inlineStr">
        <is>
          <t>VTA</t>
        </is>
      </c>
      <c r="D881" t="n">
        <v>42</v>
      </c>
      <c r="E881">
        <f>IF(D2958&gt;0,VLOOKUP(OPERAC[[#This Row],[COD CART]],[1]!MatrizCortoLargoCyl[#All],3,0),"")</f>
        <v/>
      </c>
      <c r="F881" t="inlineStr">
        <is>
          <t>JPM</t>
        </is>
      </c>
      <c r="G881" t="n">
        <v>4</v>
      </c>
      <c r="H881" t="n">
        <v>-561.8173600000001</v>
      </c>
      <c r="I881">
        <f>-H2958/G2958</f>
        <v/>
      </c>
      <c r="J881" s="16" t="n">
        <v>44664</v>
      </c>
      <c r="K881">
        <f>+OPERAC[[#This Row],[cantidad]]</f>
        <v/>
      </c>
      <c r="L881">
        <f>+OPERAC[[#This Row],[cantidad venta]]*125.943</f>
        <v/>
      </c>
    </row>
    <row r="882">
      <c r="A882" t="n">
        <v>2279</v>
      </c>
      <c r="B882" s="16" t="n">
        <v>44656</v>
      </c>
      <c r="C882" t="inlineStr">
        <is>
          <t>VTA</t>
        </is>
      </c>
      <c r="D882" t="n">
        <v>42</v>
      </c>
      <c r="E882">
        <f>IF(D2346&gt;0,VLOOKUP(OPERAC[[#This Row],[COD CART]],[1]!MatrizCortoLargoCyl[#All],3,0),"")</f>
        <v/>
      </c>
      <c r="F882" t="inlineStr">
        <is>
          <t>HYDR</t>
        </is>
      </c>
      <c r="G882" t="n">
        <v>20</v>
      </c>
      <c r="H882" t="n">
        <v>-410.7908</v>
      </c>
      <c r="I882">
        <f>-H2346/G2346</f>
        <v/>
      </c>
      <c r="J882" s="16" t="n">
        <v>44693</v>
      </c>
      <c r="K882">
        <f>+OPERAC[[#This Row],[cantidad]]</f>
        <v/>
      </c>
      <c r="L882">
        <f>+OPERAC[[#This Row],[cantidad venta]]*11.63</f>
        <v/>
      </c>
    </row>
    <row r="883">
      <c r="A883" t="n">
        <v>2279</v>
      </c>
      <c r="B883" s="16" t="n">
        <v>44664</v>
      </c>
      <c r="C883" t="inlineStr">
        <is>
          <t>VTA</t>
        </is>
      </c>
      <c r="D883" t="n">
        <v>42</v>
      </c>
      <c r="E883">
        <f>IF(D1923&gt;0,VLOOKUP(OPERAC[[#This Row],[COD CART]],[1]!MatrizCortoLargoCyl[#All],3,0),"")</f>
        <v/>
      </c>
      <c r="F883" t="inlineStr">
        <is>
          <t>AMD</t>
        </is>
      </c>
      <c r="G883" t="n">
        <v>3</v>
      </c>
      <c r="H883" t="n">
        <v>-296.31196359</v>
      </c>
      <c r="I883">
        <f>-H1923/G1923</f>
        <v/>
      </c>
      <c r="J883" s="16" t="n">
        <v>44693</v>
      </c>
      <c r="K883" t="n">
        <v>3</v>
      </c>
      <c r="L883" t="n">
        <v>249.44</v>
      </c>
    </row>
    <row r="884">
      <c r="A884" t="n">
        <v>2279</v>
      </c>
      <c r="B884" s="16" t="n">
        <v>44669</v>
      </c>
      <c r="C884" t="inlineStr">
        <is>
          <t>VTA</t>
        </is>
      </c>
      <c r="D884" t="n">
        <v>32</v>
      </c>
      <c r="E884">
        <f>IF(D2511&gt;0,VLOOKUP(OPERAC[[#This Row],[COD CART]],[1]!MatrizCortoLargoCyl[#All],3,0),"")</f>
        <v/>
      </c>
      <c r="F884" t="inlineStr">
        <is>
          <t>HMY/CYL/5,00/15-07-22</t>
        </is>
      </c>
      <c r="G884" t="n">
        <v>100</v>
      </c>
      <c r="H884">
        <f>-4.64*OPERAC[[#This Row],[cantidad]]+4.958</f>
        <v/>
      </c>
      <c r="I884">
        <f>-H2511/G2511</f>
        <v/>
      </c>
    </row>
    <row r="885">
      <c r="A885" t="n">
        <v>2279</v>
      </c>
      <c r="B885" s="16" t="n">
        <v>44671</v>
      </c>
      <c r="C885" t="inlineStr">
        <is>
          <t>CPR</t>
        </is>
      </c>
      <c r="D885" t="n">
        <v>42</v>
      </c>
      <c r="E885">
        <f>IF(D2672&gt;0,VLOOKUP(OPERAC[[#This Row],[COD CART]],[1]!MatrizCortoLargoCyl[#All],3,0),"")</f>
        <v/>
      </c>
      <c r="F885" t="inlineStr">
        <is>
          <t>TLT</t>
        </is>
      </c>
      <c r="G885" t="n">
        <v>4</v>
      </c>
      <c r="H885" t="n">
        <v>-490.252</v>
      </c>
      <c r="I885">
        <f>-H2672/G2672</f>
        <v/>
      </c>
    </row>
    <row r="886">
      <c r="A886" t="n">
        <v>2279</v>
      </c>
      <c r="B886" s="16" t="n">
        <v>44671</v>
      </c>
      <c r="C886" t="inlineStr">
        <is>
          <t>CPR</t>
        </is>
      </c>
      <c r="D886" t="n">
        <v>42</v>
      </c>
      <c r="E886">
        <f>IF(D2751&gt;0,VLOOKUP(OPERAC[[#This Row],[COD CART]],[1]!MatrizCortoLargoCyl[#All],3,0),"")</f>
        <v/>
      </c>
      <c r="F886" t="inlineStr">
        <is>
          <t>NFLX</t>
        </is>
      </c>
      <c r="G886" t="n">
        <v>2</v>
      </c>
      <c r="H886" t="n">
        <v>-509.01012</v>
      </c>
      <c r="I886">
        <f>-H2751/G2751</f>
        <v/>
      </c>
      <c r="J886" s="16" t="n">
        <v>44693</v>
      </c>
      <c r="K886">
        <f>+OPERAC[[#This Row],[cantidad]]</f>
        <v/>
      </c>
      <c r="L886">
        <f>+OPERAC[[#This Row],[cantidad venta]]*164.905</f>
        <v/>
      </c>
    </row>
    <row r="887">
      <c r="A887" t="n">
        <v>2279</v>
      </c>
      <c r="B887" s="16" t="n">
        <v>44708</v>
      </c>
      <c r="C887" t="inlineStr">
        <is>
          <t>VTA</t>
        </is>
      </c>
      <c r="D887" t="n">
        <v>32</v>
      </c>
      <c r="E887">
        <f>IF(D2138&gt;0,VLOOKUP(OPERAC[[#This Row],[COD CART]],[1]!MatrizCortoLargoCyl[#All],3,0),"")</f>
        <v/>
      </c>
      <c r="F887" t="inlineStr">
        <is>
          <t>ACB/CYL/2,00/15-07-22</t>
        </is>
      </c>
      <c r="G887" t="n">
        <v>200</v>
      </c>
      <c r="H887">
        <f>-365.064157761+15.864</f>
        <v/>
      </c>
      <c r="I887">
        <f>-H2138/G2138</f>
        <v/>
      </c>
    </row>
    <row r="888">
      <c r="A888" t="n">
        <v>2279</v>
      </c>
      <c r="B888" s="16" t="n">
        <v>44712</v>
      </c>
      <c r="C888" t="inlineStr">
        <is>
          <t>CPR</t>
        </is>
      </c>
      <c r="D888" t="n">
        <v>32</v>
      </c>
      <c r="E888">
        <f>IF(D3322&gt;0,VLOOKUP(OPERAC[[#This Row],[COD CART]],[1]!MatrizCortoLargoCyl[#All],3,0),"")</f>
        <v/>
      </c>
      <c r="F888" t="inlineStr">
        <is>
          <t>CRESY/CYL/7,50/17-06-22</t>
        </is>
      </c>
      <c r="G888" t="n">
        <v>100</v>
      </c>
      <c r="H888" t="n">
        <v>-693.075</v>
      </c>
      <c r="I888">
        <f>-H3322/G3322</f>
        <v/>
      </c>
    </row>
    <row r="889">
      <c r="A889" t="n">
        <v>2289</v>
      </c>
      <c r="B889" s="16" t="n">
        <v>44446</v>
      </c>
      <c r="C889" t="inlineStr">
        <is>
          <t>CPR</t>
        </is>
      </c>
      <c r="D889" t="n">
        <v>32</v>
      </c>
      <c r="E889">
        <f>IF(D3281&gt;0,VLOOKUP(OPERAC[[#This Row],[COD CART]],[1]!MatrizCortoLargoCyl[#All],3,0),"")</f>
        <v/>
      </c>
      <c r="F889" t="inlineStr">
        <is>
          <t>INO/CYL/8,00/18-02-22</t>
        </is>
      </c>
      <c r="G889" t="n">
        <v>100</v>
      </c>
      <c r="H889">
        <f>-758.932+27.502+30.172+14.579+4.707</f>
        <v/>
      </c>
      <c r="I889">
        <f>-H3281/G3281</f>
        <v/>
      </c>
      <c r="J889" s="16" t="n">
        <v>44596</v>
      </c>
      <c r="K889" t="n">
        <v>100</v>
      </c>
      <c r="L889">
        <f>3.665*OPERAC[[#This Row],[cantidad venta]]</f>
        <v/>
      </c>
    </row>
    <row r="890">
      <c r="A890" t="n">
        <v>2289</v>
      </c>
      <c r="B890" s="16" t="n">
        <v>44466</v>
      </c>
      <c r="C890" t="inlineStr">
        <is>
          <t>VTA</t>
        </is>
      </c>
      <c r="D890" t="n">
        <v>43</v>
      </c>
      <c r="E890">
        <f>IF(D1582&gt;0,VLOOKUP(OPERAC[[#This Row],[COD CART]],[1]!MatrizCortoLargoCyl[#All],3,0),"")</f>
        <v/>
      </c>
      <c r="F890" t="inlineStr">
        <is>
          <t>SOLO/CYL-PUT/4,00/16-09-22</t>
        </is>
      </c>
      <c r="G890" t="n">
        <v>100</v>
      </c>
      <c r="H890">
        <f>-297.41727+0.32*OPERAC[[#This Row],[cantidad]]+0.387*OPERAC[[#This Row],[cantidad]]+0.22*OPERAC[[#This Row],[cantidad]]</f>
        <v/>
      </c>
      <c r="I890">
        <f>-H1582/G1582</f>
        <v/>
      </c>
      <c r="J890" s="16" t="n">
        <v>44712</v>
      </c>
      <c r="K890" t="n">
        <v>100</v>
      </c>
      <c r="L890" t="n">
        <v>-89.02</v>
      </c>
    </row>
    <row r="891">
      <c r="A891" t="n">
        <v>2289</v>
      </c>
      <c r="B891" s="16" t="n">
        <v>44494</v>
      </c>
      <c r="C891" t="inlineStr">
        <is>
          <t>VTA</t>
        </is>
      </c>
      <c r="D891" t="n">
        <v>40</v>
      </c>
      <c r="E891">
        <f>IF(D3195&gt;0,VLOOKUP(OPERAC[[#This Row],[COD CART]],[1]!MatrizCortoLargoCyl[#All],3,0),"")</f>
        <v/>
      </c>
      <c r="F891" t="inlineStr">
        <is>
          <t>YPF</t>
        </is>
      </c>
      <c r="G891" t="n">
        <v>140</v>
      </c>
      <c r="H891" t="n">
        <v>-651.3808000000001</v>
      </c>
      <c r="I891">
        <f>-H3195/G3195</f>
        <v/>
      </c>
      <c r="J891" s="16" t="n">
        <v>44538</v>
      </c>
      <c r="K891">
        <f>40+100</f>
        <v/>
      </c>
      <c r="L891">
        <f>165.329+416.077</f>
        <v/>
      </c>
    </row>
    <row r="892">
      <c r="A892" t="n">
        <v>2289</v>
      </c>
      <c r="B892" s="16" t="n">
        <v>44501</v>
      </c>
      <c r="C892" t="inlineStr">
        <is>
          <t>CPR</t>
        </is>
      </c>
      <c r="D892" t="n">
        <v>32</v>
      </c>
      <c r="E892">
        <f>IF(D4148&gt;0,VLOOKUP(OPERAC[[#This Row],[COD CART]],[1]!MatrizCortoLargoCyl[#All],3,0),"")</f>
        <v/>
      </c>
      <c r="F892" t="inlineStr">
        <is>
          <t>SKLZ/CYL/10,00/21-01-22</t>
        </is>
      </c>
      <c r="G892" t="n">
        <v>100</v>
      </c>
      <c r="H892">
        <f>-1014.807+26.756+21.329</f>
        <v/>
      </c>
      <c r="I892">
        <f>-H4148/G4148</f>
        <v/>
      </c>
      <c r="J892" s="16" t="n">
        <v>44579</v>
      </c>
      <c r="K892">
        <f>+OPERAC[[#This Row],[cantidad]]</f>
        <v/>
      </c>
      <c r="L892">
        <f>+OPERAC[[#This Row],[cantidad venta]]*5.679</f>
        <v/>
      </c>
    </row>
    <row r="893">
      <c r="A893" t="n">
        <v>2289</v>
      </c>
      <c r="B893" s="16" t="n">
        <v>44511</v>
      </c>
      <c r="C893" t="inlineStr">
        <is>
          <t>VTA</t>
        </is>
      </c>
      <c r="D893" t="n">
        <v>31</v>
      </c>
      <c r="E893">
        <f>IF(D1344&gt;0,VLOOKUP(OPERAC[[#This Row],[COD CART]],[1]!MatrizCortoLargoCyl[#All],3,0),"")</f>
        <v/>
      </c>
      <c r="F893" t="inlineStr">
        <is>
          <t>IPIX</t>
        </is>
      </c>
      <c r="G893" t="n">
        <v>1000</v>
      </c>
      <c r="H893" t="n">
        <v>-109.99</v>
      </c>
      <c r="I893">
        <f>-H1344/G1344</f>
        <v/>
      </c>
    </row>
    <row r="894">
      <c r="A894" t="n">
        <v>2289</v>
      </c>
      <c r="B894" s="16" t="n">
        <v>44532</v>
      </c>
      <c r="C894" t="inlineStr">
        <is>
          <t>VTA</t>
        </is>
      </c>
      <c r="D894" t="n">
        <v>32</v>
      </c>
      <c r="E894">
        <f>IF(D3921&gt;0,VLOOKUP(OPERAC[[#This Row],[COD CART]],[1]!MatrizCortoLargoCyl[#All],3,0),"")</f>
        <v/>
      </c>
      <c r="F894" t="inlineStr">
        <is>
          <t>COTY/CYL/10,00/18-02-22</t>
        </is>
      </c>
      <c r="G894" t="n">
        <v>100</v>
      </c>
      <c r="H894">
        <f>-901.599+20.838</f>
        <v/>
      </c>
      <c r="I894">
        <f>-H3921/G3921</f>
        <v/>
      </c>
      <c r="J894" s="16" t="n">
        <v>44608</v>
      </c>
      <c r="K894">
        <f>+OPERAC[[#This Row],[cantidad]]</f>
        <v/>
      </c>
      <c r="L894" t="n">
        <v>941.701</v>
      </c>
    </row>
    <row r="895">
      <c r="A895" t="n">
        <v>2289</v>
      </c>
      <c r="B895" s="16" t="n">
        <v>44539</v>
      </c>
      <c r="C895" t="inlineStr">
        <is>
          <t>VTA</t>
        </is>
      </c>
      <c r="D895" t="n">
        <v>40</v>
      </c>
      <c r="E895">
        <f>IF(D1758&gt;0,VLOOKUP(OPERAC[[#This Row],[COD CART]],[1]!MatrizCortoLargoCyl[#All],3,0),"")</f>
        <v/>
      </c>
      <c r="F895" t="inlineStr">
        <is>
          <t>ROKU</t>
        </is>
      </c>
      <c r="G895" t="n">
        <v>1</v>
      </c>
      <c r="H895" t="n">
        <v>-257.72036</v>
      </c>
      <c r="I895">
        <f>-H1758/G1758</f>
        <v/>
      </c>
      <c r="J895" s="16" t="n">
        <v>44606</v>
      </c>
      <c r="K895">
        <f>+OPERAC[[#This Row],[cantidad]]</f>
        <v/>
      </c>
      <c r="L895">
        <f>+OPERAC[[#This Row],[cantidad venta]]*160.574</f>
        <v/>
      </c>
    </row>
    <row r="896">
      <c r="A896" t="n">
        <v>2289</v>
      </c>
      <c r="B896" s="16" t="n">
        <v>44550</v>
      </c>
      <c r="C896" t="inlineStr">
        <is>
          <t>VTA</t>
        </is>
      </c>
      <c r="D896" t="n">
        <v>40</v>
      </c>
      <c r="E896">
        <f>IF(D1915&gt;0,VLOOKUP(OPERAC[[#This Row],[COD CART]],[1]!MatrizCortoLargoCyl[#All],3,0),"")</f>
        <v/>
      </c>
      <c r="F896" t="inlineStr">
        <is>
          <t>SMH</t>
        </is>
      </c>
      <c r="G896" t="n">
        <v>1</v>
      </c>
      <c r="H896" t="n">
        <v>-293.97304</v>
      </c>
      <c r="I896">
        <f>-H1915/G1915</f>
        <v/>
      </c>
      <c r="J896" s="16" t="n">
        <v>44574</v>
      </c>
      <c r="K896">
        <f>+OPERAC[[#This Row],[cantidad]]</f>
        <v/>
      </c>
      <c r="L896">
        <f>+OPERAC[[#This Row],[cantidad venta]]*306.843</f>
        <v/>
      </c>
    </row>
    <row r="897">
      <c r="A897" t="n">
        <v>2289</v>
      </c>
      <c r="B897" s="16" t="n">
        <v>44579</v>
      </c>
      <c r="C897" t="inlineStr">
        <is>
          <t>VTA</t>
        </is>
      </c>
      <c r="D897" t="n">
        <v>39</v>
      </c>
      <c r="E897">
        <f>IF(D703&gt;0,VLOOKUP(OPERAC[[#This Row],[COD CART]],[1]!MatrizCortoLargoCyl[#All],3,0),"")</f>
        <v/>
      </c>
      <c r="F897" t="inlineStr">
        <is>
          <t>ACB/V/5,50/21-01-22</t>
        </is>
      </c>
      <c r="G897" t="n">
        <v>-1300</v>
      </c>
      <c r="H897" t="n">
        <v>415.168</v>
      </c>
      <c r="I897">
        <f>-H703/G703</f>
        <v/>
      </c>
      <c r="J897" s="16" t="n">
        <v>44581</v>
      </c>
      <c r="K897">
        <f>+OPERAC[[#This Row],[cantidad]]</f>
        <v/>
      </c>
      <c r="L897">
        <f>-OPERAC[[#This Row],[importe]]</f>
        <v/>
      </c>
    </row>
    <row r="898">
      <c r="A898" t="n">
        <v>2289</v>
      </c>
      <c r="B898" s="16" t="n">
        <v>44581</v>
      </c>
      <c r="C898" t="inlineStr">
        <is>
          <t>CPR</t>
        </is>
      </c>
      <c r="D898" t="n">
        <v>32</v>
      </c>
      <c r="E898">
        <f>IF(D3564&gt;0,VLOOKUP(OPERAC[[#This Row],[COD CART]],[1]!MatrizCortoLargoCyl[#All],3,0),"")</f>
        <v/>
      </c>
      <c r="F898" t="inlineStr">
        <is>
          <t>HMY/CYL/4,00/18-02-22</t>
        </is>
      </c>
      <c r="G898" t="n">
        <v>200</v>
      </c>
      <c r="H898" t="n">
        <v>-774.9359920000001</v>
      </c>
      <c r="I898">
        <f>-H3564/G3564</f>
        <v/>
      </c>
      <c r="J898" s="16" t="n">
        <v>44610</v>
      </c>
      <c r="K898">
        <f>+OPERAC[[#This Row],[cantidad]]</f>
        <v/>
      </c>
      <c r="L898">
        <f>+OPERAC[[#This Row],[cantidad venta]]*3.8323</f>
        <v/>
      </c>
    </row>
    <row r="899">
      <c r="A899" t="n">
        <v>2289</v>
      </c>
      <c r="B899" s="16" t="n">
        <v>44581</v>
      </c>
      <c r="C899" t="inlineStr">
        <is>
          <t>VTA</t>
        </is>
      </c>
      <c r="D899" t="n">
        <v>39</v>
      </c>
      <c r="E899">
        <f>IF(D580&gt;0,VLOOKUP(OPERAC[[#This Row],[COD CART]],[1]!MatrizCortoLargoCyl[#All],3,0),"")</f>
        <v/>
      </c>
      <c r="F899" t="inlineStr">
        <is>
          <t>ACB/V/5,50/25-02-22</t>
        </is>
      </c>
      <c r="G899" t="n">
        <v>-800</v>
      </c>
      <c r="H899" t="n">
        <v>656.4964</v>
      </c>
      <c r="I899">
        <f>-H580/G580</f>
        <v/>
      </c>
      <c r="J899" s="16" t="n">
        <v>44614</v>
      </c>
      <c r="K899" t="n">
        <v>-800</v>
      </c>
      <c r="L899" t="n">
        <v>-656</v>
      </c>
    </row>
    <row r="900">
      <c r="A900" t="n">
        <v>2289</v>
      </c>
      <c r="B900" s="16" t="n">
        <v>44582</v>
      </c>
      <c r="C900" t="inlineStr">
        <is>
          <t>VTA</t>
        </is>
      </c>
      <c r="D900" t="n">
        <v>40</v>
      </c>
      <c r="E900">
        <f>IF(D2285&gt;0,VLOOKUP(OPERAC[[#This Row],[COD CART]],[1]!MatrizCortoLargoCyl[#All],3,0),"")</f>
        <v/>
      </c>
      <c r="F900" t="inlineStr">
        <is>
          <t>NFLX</t>
        </is>
      </c>
      <c r="G900" t="n">
        <v>1</v>
      </c>
      <c r="H900" t="n">
        <v>-390.6371</v>
      </c>
      <c r="I900">
        <f>-H2285/G2285</f>
        <v/>
      </c>
      <c r="J900" s="16" t="n">
        <v>44593</v>
      </c>
      <c r="K900">
        <f>+OPERAC[[#This Row],[cantidad]]</f>
        <v/>
      </c>
      <c r="L900">
        <f>+OPERAC[[#This Row],[cantidad venta]]*448.602</f>
        <v/>
      </c>
    </row>
    <row r="901">
      <c r="A901" t="n">
        <v>2289</v>
      </c>
      <c r="B901" s="16" t="n">
        <v>44586</v>
      </c>
      <c r="C901" t="inlineStr">
        <is>
          <t>VTA</t>
        </is>
      </c>
      <c r="D901" t="n">
        <v>43</v>
      </c>
      <c r="E901">
        <f>IF(D1575&gt;0,VLOOKUP(OPERAC[[#This Row],[COD CART]],[1]!MatrizCortoLargoCyl[#All],3,0),"")</f>
        <v/>
      </c>
      <c r="F901" t="inlineStr">
        <is>
          <t>GMBL/CYL-PUT/2,50/20-01-23</t>
        </is>
      </c>
      <c r="G901" t="n">
        <v>200</v>
      </c>
      <c r="H901" t="n">
        <v>-203.2103000000001</v>
      </c>
      <c r="I901">
        <f>-H1575/G1575</f>
        <v/>
      </c>
      <c r="J901" s="16" t="n">
        <v>44636</v>
      </c>
      <c r="K901" t="n">
        <v>200</v>
      </c>
      <c r="L901">
        <f>-1.36*OPERAC[[#This Row],[cantidad venta]]</f>
        <v/>
      </c>
    </row>
    <row r="902">
      <c r="A902" t="n">
        <v>2289</v>
      </c>
      <c r="B902" s="16" t="n">
        <v>44596</v>
      </c>
      <c r="C902" t="inlineStr">
        <is>
          <t>VTA</t>
        </is>
      </c>
      <c r="D902" t="n">
        <v>39</v>
      </c>
      <c r="E902">
        <f>IF(D607&gt;0,VLOOKUP(OPERAC[[#This Row],[COD CART]],[1]!MatrizCortoLargoCyl[#All],3,0),"")</f>
        <v/>
      </c>
      <c r="F902" t="inlineStr">
        <is>
          <t>SMH/V/260,00/11-02-22</t>
        </is>
      </c>
      <c r="G902" t="n">
        <v>-200</v>
      </c>
      <c r="H902" t="n">
        <v>601.726</v>
      </c>
      <c r="I902">
        <f>-H607/G607</f>
        <v/>
      </c>
      <c r="J902" s="16" t="n">
        <v>44603</v>
      </c>
      <c r="K902" t="n">
        <v>-200</v>
      </c>
      <c r="L902" t="n">
        <v>-20</v>
      </c>
    </row>
    <row r="903">
      <c r="A903" t="n">
        <v>2289</v>
      </c>
      <c r="B903" s="16" t="n">
        <v>44602</v>
      </c>
      <c r="C903" t="inlineStr">
        <is>
          <t>CPR</t>
        </is>
      </c>
      <c r="D903" t="n">
        <v>32</v>
      </c>
      <c r="E903">
        <f>IF(D4490&gt;0,VLOOKUP(OPERAC[[#This Row],[COD CART]],[1]!MatrizCortoLargoCyl[#All],3,0),"")</f>
        <v/>
      </c>
      <c r="F903" t="inlineStr">
        <is>
          <t>BIOX/CYL/12,50/18-03-22</t>
        </is>
      </c>
      <c r="G903" t="n">
        <v>100</v>
      </c>
      <c r="H903" t="n">
        <v>-1176</v>
      </c>
      <c r="I903">
        <f>-H4490/G4490</f>
        <v/>
      </c>
      <c r="J903" s="16" t="n">
        <v>44634</v>
      </c>
      <c r="K903" t="n">
        <v>100</v>
      </c>
      <c r="L903" t="n">
        <v>1235.48</v>
      </c>
    </row>
    <row r="904">
      <c r="A904" t="n">
        <v>2289</v>
      </c>
      <c r="B904" s="16" t="n">
        <v>44608</v>
      </c>
      <c r="C904" t="inlineStr">
        <is>
          <t>VTA</t>
        </is>
      </c>
      <c r="D904" t="n">
        <v>40</v>
      </c>
      <c r="E904">
        <f>IF(D1778&gt;0,VLOOKUP(OPERAC[[#This Row],[COD CART]],[1]!MatrizCortoLargoCyl[#All],3,0),"")</f>
        <v/>
      </c>
      <c r="F904" t="inlineStr">
        <is>
          <t>NVDA</t>
        </is>
      </c>
      <c r="G904" t="n">
        <v>1</v>
      </c>
      <c r="H904" t="n">
        <v>-263.514</v>
      </c>
      <c r="I904">
        <f>-H1778/G1778</f>
        <v/>
      </c>
      <c r="J904" s="16" t="n">
        <v>44616</v>
      </c>
      <c r="K904">
        <f>+OPERAC[[#This Row],[cantidad]]</f>
        <v/>
      </c>
      <c r="L904">
        <f>+OPERAC[[#This Row],[cantidad venta]]*224.117</f>
        <v/>
      </c>
    </row>
    <row r="905">
      <c r="A905" t="n">
        <v>2289</v>
      </c>
      <c r="B905" s="16" t="n">
        <v>44616</v>
      </c>
      <c r="C905" t="inlineStr">
        <is>
          <t>CPR</t>
        </is>
      </c>
      <c r="D905" t="n">
        <v>32</v>
      </c>
      <c r="E905">
        <f>IF(D4310&gt;0,VLOOKUP(OPERAC[[#This Row],[COD CART]],[1]!MatrizCortoLargoCyl[#All],3,0),"")</f>
        <v/>
      </c>
      <c r="F905" t="inlineStr">
        <is>
          <t>PLTR/CYL/12,00/14-04-22</t>
        </is>
      </c>
      <c r="G905" t="n">
        <v>100</v>
      </c>
      <c r="H905" t="n">
        <v>-1052.7265</v>
      </c>
      <c r="I905">
        <f>-H4310/G4310</f>
        <v/>
      </c>
      <c r="J905" s="16" t="n">
        <v>44643</v>
      </c>
      <c r="K905" t="n">
        <v>100</v>
      </c>
      <c r="L905" t="n">
        <v>1146.72</v>
      </c>
    </row>
    <row r="906">
      <c r="A906" t="n">
        <v>2289</v>
      </c>
      <c r="B906" s="16" t="n">
        <v>44622</v>
      </c>
      <c r="C906" t="inlineStr">
        <is>
          <t>CPR</t>
        </is>
      </c>
      <c r="D906" t="n">
        <v>32</v>
      </c>
      <c r="E906">
        <f>IF(D4051&gt;0,VLOOKUP(OPERAC[[#This Row],[COD CART]],[1]!MatrizCortoLargoCyl[#All],3,0),"")</f>
        <v/>
      </c>
      <c r="F906" t="inlineStr">
        <is>
          <t>SABR/CYL/10,00/14-04-22</t>
        </is>
      </c>
      <c r="G906" t="n">
        <v>100</v>
      </c>
      <c r="H906" t="n">
        <v>-928.9848000000001</v>
      </c>
      <c r="I906">
        <f>-H4051/G4051</f>
        <v/>
      </c>
      <c r="J906" s="16" t="n">
        <v>44649</v>
      </c>
      <c r="K906" t="n">
        <v>100</v>
      </c>
      <c r="L906" t="n">
        <v>982.1799999999999</v>
      </c>
    </row>
    <row r="907">
      <c r="A907" t="n">
        <v>2289</v>
      </c>
      <c r="B907" s="16" t="n">
        <v>44636</v>
      </c>
      <c r="C907" t="inlineStr">
        <is>
          <t>VTA</t>
        </is>
      </c>
      <c r="D907" t="n">
        <v>43</v>
      </c>
      <c r="E907">
        <f>IF(D2900&gt;0,VLOOKUP(OPERAC[[#This Row],[COD CART]],[1]!MatrizCortoLargoCyl[#All],3,0),"")</f>
        <v/>
      </c>
      <c r="F907" t="inlineStr">
        <is>
          <t>GMBL/CYL-PUT/0,50/19-01-24</t>
        </is>
      </c>
      <c r="G907" t="n">
        <v>2000</v>
      </c>
      <c r="H907">
        <f>-1625.09608+878.77+198.4</f>
        <v/>
      </c>
      <c r="I907">
        <f>-H2900/G2900</f>
        <v/>
      </c>
      <c r="J907" s="16" t="n">
        <v>44712</v>
      </c>
      <c r="K907" t="n">
        <v>2000</v>
      </c>
      <c r="L907" t="n">
        <v>-187.94</v>
      </c>
    </row>
    <row r="908">
      <c r="A908" t="n">
        <v>2289</v>
      </c>
      <c r="B908" s="16" t="n">
        <v>44642</v>
      </c>
      <c r="C908" t="inlineStr">
        <is>
          <t>VTA</t>
        </is>
      </c>
      <c r="D908" t="n">
        <v>42</v>
      </c>
      <c r="E908">
        <f>IF(D1909&gt;0,VLOOKUP(OPERAC[[#This Row],[COD CART]],[1]!MatrizCortoLargoCyl[#All],3,0),"")</f>
        <v/>
      </c>
      <c r="F908" t="inlineStr">
        <is>
          <t>HYDR</t>
        </is>
      </c>
      <c r="G908" t="n">
        <v>15</v>
      </c>
      <c r="H908">
        <f>-19.39*OPERAC[[#This Row],[cantidad]]</f>
        <v/>
      </c>
      <c r="I908">
        <f>-H1909/G1909</f>
        <v/>
      </c>
      <c r="J908" s="16" t="n">
        <v>44693</v>
      </c>
      <c r="K908">
        <f>+OPERAC[[#This Row],[cantidad]]</f>
        <v/>
      </c>
      <c r="L908">
        <f>+OPERAC[[#This Row],[cantidad venta]]*11.63</f>
        <v/>
      </c>
    </row>
    <row r="909">
      <c r="A909" t="n">
        <v>2289</v>
      </c>
      <c r="B909" s="16" t="n">
        <v>44643</v>
      </c>
      <c r="C909" t="inlineStr">
        <is>
          <t>VTA</t>
        </is>
      </c>
      <c r="D909" t="n">
        <v>32</v>
      </c>
      <c r="E909">
        <f>IF(D3809&gt;0,VLOOKUP(OPERAC[[#This Row],[COD CART]],[1]!MatrizCortoLargoCyl[#All],3,0),"")</f>
        <v/>
      </c>
      <c r="F909" t="inlineStr">
        <is>
          <t>COTY/CYL/9,00/14-04-22</t>
        </is>
      </c>
      <c r="G909" t="n">
        <v>100</v>
      </c>
      <c r="H909" t="n">
        <v>-855.451</v>
      </c>
      <c r="I909">
        <f>-H3809/G3809</f>
        <v/>
      </c>
      <c r="J909" s="16" t="n">
        <v>44649</v>
      </c>
      <c r="K909" t="n">
        <v>100</v>
      </c>
      <c r="L909" t="n">
        <v>875.28</v>
      </c>
    </row>
    <row r="910">
      <c r="A910" t="n">
        <v>2289</v>
      </c>
      <c r="B910" s="16" t="n">
        <v>44645</v>
      </c>
      <c r="C910" t="inlineStr">
        <is>
          <t>VTA</t>
        </is>
      </c>
      <c r="D910" t="n">
        <v>42</v>
      </c>
      <c r="E910">
        <f>IF(D1394&gt;0,VLOOKUP(OPERAC[[#This Row],[COD CART]],[1]!MatrizCortoLargoCyl[#All],3,0),"")</f>
        <v/>
      </c>
      <c r="F910" t="inlineStr">
        <is>
          <t>PLUG</t>
        </is>
      </c>
      <c r="G910" t="n">
        <v>5</v>
      </c>
      <c r="H910" t="n">
        <v>-139.6582</v>
      </c>
      <c r="I910">
        <f>-H1394/G1394</f>
        <v/>
      </c>
      <c r="J910" s="16" t="n">
        <v>44652</v>
      </c>
      <c r="K910">
        <f>+OPERAC[[#This Row],[cantidad]]</f>
        <v/>
      </c>
      <c r="L910">
        <f>+OPERAC[[#This Row],[cantidad venta]]*27.754</f>
        <v/>
      </c>
    </row>
    <row r="911">
      <c r="A911" t="n">
        <v>2289</v>
      </c>
      <c r="B911" s="16" t="n">
        <v>44649</v>
      </c>
      <c r="C911" t="inlineStr">
        <is>
          <t>VTA</t>
        </is>
      </c>
      <c r="D911" t="n">
        <v>42</v>
      </c>
      <c r="E911">
        <f>IF(D2557&gt;0,VLOOKUP(OPERAC[[#This Row],[COD CART]],[1]!MatrizCortoLargoCyl[#All],3,0),"")</f>
        <v/>
      </c>
      <c r="F911" t="inlineStr">
        <is>
          <t>FB</t>
        </is>
      </c>
      <c r="G911" t="n">
        <v>2</v>
      </c>
      <c r="H911" t="n">
        <v>-465.27288</v>
      </c>
      <c r="I911">
        <f>-H2557/G2557</f>
        <v/>
      </c>
      <c r="J911" s="16" t="n">
        <v>44671</v>
      </c>
      <c r="K911">
        <f>+OPERAC[[#This Row],[cantidad]]</f>
        <v/>
      </c>
      <c r="L911">
        <f>+OPERAC[[#This Row],[cantidad venta]]*213.173</f>
        <v/>
      </c>
    </row>
    <row r="912">
      <c r="A912" t="n">
        <v>2289</v>
      </c>
      <c r="B912" s="16" t="n">
        <v>44649</v>
      </c>
      <c r="C912" t="inlineStr">
        <is>
          <t>VTA</t>
        </is>
      </c>
      <c r="D912" t="n">
        <v>42</v>
      </c>
      <c r="E912">
        <f>IF(D3000&gt;0,VLOOKUP(OPERAC[[#This Row],[COD CART]],[1]!MatrizCortoLargoCyl[#All],3,0),"")</f>
        <v/>
      </c>
      <c r="F912" t="inlineStr">
        <is>
          <t>DIS</t>
        </is>
      </c>
      <c r="G912" t="n">
        <v>4</v>
      </c>
      <c r="H912" t="n">
        <v>-575.400092</v>
      </c>
      <c r="I912">
        <f>-H3000/G3000</f>
        <v/>
      </c>
      <c r="J912" s="16" t="n">
        <v>44671</v>
      </c>
      <c r="K912">
        <f>+OPERAC[[#This Row],[cantidad]]</f>
        <v/>
      </c>
      <c r="L912">
        <f>+OPERAC[[#This Row],[cantidad venta]]*123.621</f>
        <v/>
      </c>
    </row>
    <row r="913">
      <c r="A913" t="n">
        <v>2289</v>
      </c>
      <c r="B913" s="16" t="n">
        <v>44649</v>
      </c>
      <c r="C913" t="inlineStr">
        <is>
          <t>VTA</t>
        </is>
      </c>
      <c r="D913" t="n">
        <v>32</v>
      </c>
      <c r="E913">
        <f>IF(D3169&gt;0,VLOOKUP(OPERAC[[#This Row],[COD CART]],[1]!MatrizCortoLargoCyl[#All],3,0),"")</f>
        <v/>
      </c>
      <c r="F913" t="inlineStr">
        <is>
          <t>TLRY/CYL/7,00/15-07-22</t>
        </is>
      </c>
      <c r="G913" t="n">
        <v>100</v>
      </c>
      <c r="H913">
        <f>-672.216+18.839+13.881</f>
        <v/>
      </c>
      <c r="I913">
        <f>-H3169/G3169</f>
        <v/>
      </c>
    </row>
    <row r="914">
      <c r="A914" t="n">
        <v>2289</v>
      </c>
      <c r="B914" s="16" t="n">
        <v>44652</v>
      </c>
      <c r="C914" t="inlineStr">
        <is>
          <t>VTA</t>
        </is>
      </c>
      <c r="D914" t="n">
        <v>42</v>
      </c>
      <c r="E914">
        <f>IF(D1453&gt;0,VLOOKUP(OPERAC[[#This Row],[COD CART]],[1]!MatrizCortoLargoCyl[#All],3,0),"")</f>
        <v/>
      </c>
      <c r="F914" t="inlineStr">
        <is>
          <t>GBTC</t>
        </is>
      </c>
      <c r="G914" t="n">
        <v>5</v>
      </c>
      <c r="H914" t="n">
        <v>-160.549</v>
      </c>
      <c r="I914">
        <f>-H1453/G1453</f>
        <v/>
      </c>
      <c r="J914" s="16" t="n">
        <v>44662</v>
      </c>
      <c r="K914">
        <f>+OPERAC[[#This Row],[cantidad]]</f>
        <v/>
      </c>
      <c r="L914">
        <f>27.99*OPERAC[[#This Row],[cantidad venta]]</f>
        <v/>
      </c>
    </row>
    <row r="915">
      <c r="A915" t="n">
        <v>2289</v>
      </c>
      <c r="B915" s="16" t="n">
        <v>44655</v>
      </c>
      <c r="C915" t="inlineStr">
        <is>
          <t>CPR</t>
        </is>
      </c>
      <c r="D915" t="n">
        <v>32</v>
      </c>
      <c r="E915">
        <f>IF(D3694&gt;0,VLOOKUP(OPERAC[[#This Row],[COD CART]],[1]!MatrizCortoLargoCyl[#All],3,0),"")</f>
        <v/>
      </c>
      <c r="F915" t="inlineStr">
        <is>
          <t>COTY/CYL/9,00/15-07-22</t>
        </is>
      </c>
      <c r="G915" t="n">
        <v>100</v>
      </c>
      <c r="H915">
        <f>-835.518+3.966</f>
        <v/>
      </c>
      <c r="I915">
        <f>-H3694/G3694</f>
        <v/>
      </c>
    </row>
    <row r="916">
      <c r="A916" t="n">
        <v>2289</v>
      </c>
      <c r="B916" s="16" t="n">
        <v>44664</v>
      </c>
      <c r="C916" t="inlineStr">
        <is>
          <t>VTA</t>
        </is>
      </c>
      <c r="D916" t="n">
        <v>42</v>
      </c>
      <c r="E916">
        <f>IF(D1373&gt;0,VLOOKUP(OPERAC[[#This Row],[COD CART]],[1]!MatrizCortoLargoCyl[#All],3,0),"")</f>
        <v/>
      </c>
      <c r="F916" t="inlineStr">
        <is>
          <t>PSQ</t>
        </is>
      </c>
      <c r="G916" t="n">
        <v>10</v>
      </c>
      <c r="H916" t="n">
        <v>-124.32572181</v>
      </c>
      <c r="I916">
        <f>-H1373/G1373</f>
        <v/>
      </c>
      <c r="J916" s="16" t="n">
        <v>44680</v>
      </c>
      <c r="K916">
        <f>+OPERAC[[#This Row],[cantidad]]</f>
        <v/>
      </c>
      <c r="L916">
        <f>12.848*OPERAC[[#This Row],[cantidad venta]]</f>
        <v/>
      </c>
    </row>
    <row r="917">
      <c r="A917" t="n">
        <v>2289</v>
      </c>
      <c r="B917" s="16" t="n">
        <v>44664</v>
      </c>
      <c r="C917" t="inlineStr">
        <is>
          <t>VTA</t>
        </is>
      </c>
      <c r="D917" t="n">
        <v>42</v>
      </c>
      <c r="E917">
        <f>IF(D1541&gt;0,VLOOKUP(OPERAC[[#This Row],[COD CART]],[1]!MatrizCortoLargoCyl[#All],3,0),"")</f>
        <v/>
      </c>
      <c r="F917" t="inlineStr">
        <is>
          <t>AMD</t>
        </is>
      </c>
      <c r="G917" t="n">
        <v>2</v>
      </c>
      <c r="H917" t="n">
        <v>-197.54130906</v>
      </c>
      <c r="I917">
        <f>-H1541/G1541</f>
        <v/>
      </c>
    </row>
    <row r="918">
      <c r="A918" t="n">
        <v>2289</v>
      </c>
      <c r="B918" s="16" t="n">
        <v>44671</v>
      </c>
      <c r="C918" t="inlineStr">
        <is>
          <t>CPR</t>
        </is>
      </c>
      <c r="D918" t="n">
        <v>42</v>
      </c>
      <c r="E918">
        <f>IF(D2677&gt;0,VLOOKUP(OPERAC[[#This Row],[COD CART]],[1]!MatrizCortoLargoCyl[#All],3,0),"")</f>
        <v/>
      </c>
      <c r="F918" t="inlineStr">
        <is>
          <t>TLT</t>
        </is>
      </c>
      <c r="G918" t="n">
        <v>4</v>
      </c>
      <c r="H918" t="n">
        <v>-490.25202</v>
      </c>
      <c r="I918">
        <f>-H2677/G2677</f>
        <v/>
      </c>
    </row>
    <row r="919">
      <c r="A919" t="n">
        <v>2289</v>
      </c>
      <c r="B919" s="16" t="n">
        <v>44671</v>
      </c>
      <c r="C919" t="inlineStr">
        <is>
          <t>CPR</t>
        </is>
      </c>
      <c r="D919" t="n">
        <v>42</v>
      </c>
      <c r="E919">
        <f>IF(D2752&gt;0,VLOOKUP(OPERAC[[#This Row],[COD CART]],[1]!MatrizCortoLargoCyl[#All],3,0),"")</f>
        <v/>
      </c>
      <c r="F919" t="inlineStr">
        <is>
          <t>NFLX</t>
        </is>
      </c>
      <c r="G919" t="n">
        <v>2</v>
      </c>
      <c r="H919" t="n">
        <v>-509.01012</v>
      </c>
      <c r="I919">
        <f>-H2752/G2752</f>
        <v/>
      </c>
      <c r="J919" s="16" t="n">
        <v>44693</v>
      </c>
      <c r="K919">
        <f>+OPERAC[[#This Row],[cantidad]]</f>
        <v/>
      </c>
      <c r="L919">
        <f>+OPERAC[[#This Row],[cantidad venta]]*164.905</f>
        <v/>
      </c>
    </row>
    <row r="920">
      <c r="A920" t="n">
        <v>2289</v>
      </c>
      <c r="B920" s="16" t="n">
        <v>44680</v>
      </c>
      <c r="C920" t="inlineStr">
        <is>
          <t>VTA</t>
        </is>
      </c>
      <c r="D920" t="n">
        <v>42</v>
      </c>
      <c r="E920">
        <f>IF(D1443&gt;0,VLOOKUP(OPERAC[[#This Row],[COD CART]],[1]!MatrizCortoLargoCyl[#All],3,0),"")</f>
        <v/>
      </c>
      <c r="F920" t="inlineStr">
        <is>
          <t>XLP</t>
        </is>
      </c>
      <c r="G920" t="n">
        <v>2</v>
      </c>
      <c r="H920" t="n">
        <v>-158.869005</v>
      </c>
      <c r="I920">
        <f>-H1443/G1443</f>
        <v/>
      </c>
      <c r="J920" s="16" t="n">
        <v>44693</v>
      </c>
      <c r="K920">
        <f>+OPERAC[[#This Row],[cantidad]]</f>
        <v/>
      </c>
      <c r="L920">
        <f>+OPERAC[[#This Row],[cantidad venta]]*75.648</f>
        <v/>
      </c>
    </row>
    <row r="921">
      <c r="A921" t="n">
        <v>2289</v>
      </c>
      <c r="B921" s="16" t="n">
        <v>44708</v>
      </c>
      <c r="C921" t="inlineStr">
        <is>
          <t>VTA</t>
        </is>
      </c>
      <c r="D921" t="n">
        <v>42</v>
      </c>
      <c r="E921">
        <f>IF(D2177&gt;0,VLOOKUP(OPERAC[[#This Row],[COD CART]],[1]!MatrizCortoLargoCyl[#All],3,0),"")</f>
        <v/>
      </c>
      <c r="F921" t="inlineStr">
        <is>
          <t>ACB</t>
        </is>
      </c>
      <c r="G921" t="n">
        <v>200</v>
      </c>
      <c r="H921" t="n">
        <v>-365.064157761</v>
      </c>
      <c r="I921">
        <f>-H2177/G2177</f>
        <v/>
      </c>
    </row>
    <row r="922">
      <c r="A922" t="n">
        <v>2289</v>
      </c>
      <c r="B922" s="16" t="n">
        <v>44712</v>
      </c>
      <c r="C922" t="inlineStr">
        <is>
          <t>CPR</t>
        </is>
      </c>
      <c r="D922" t="n">
        <v>32</v>
      </c>
      <c r="E922">
        <f>IF(D3323&gt;0,VLOOKUP(OPERAC[[#This Row],[COD CART]],[1]!MatrizCortoLargoCyl[#All],3,0),"")</f>
        <v/>
      </c>
      <c r="F922" t="inlineStr">
        <is>
          <t>CRESY/CYL/7,50/17-06-22</t>
        </is>
      </c>
      <c r="G922" t="n">
        <v>100</v>
      </c>
      <c r="H922" t="n">
        <v>-693.075</v>
      </c>
      <c r="I922">
        <f>-H3323/G3323</f>
        <v/>
      </c>
    </row>
    <row r="923">
      <c r="A923" t="n">
        <v>2289</v>
      </c>
      <c r="B923" s="16" t="n">
        <v>44712</v>
      </c>
      <c r="C923" t="inlineStr">
        <is>
          <t>VTA</t>
        </is>
      </c>
      <c r="D923" t="n">
        <v>39</v>
      </c>
      <c r="E923">
        <f>IF(D1160&gt;0,VLOOKUP(OPERAC[[#This Row],[COD CART]],[1]!MatrizCortoLargoCyl[#All],3,0),"")</f>
        <v/>
      </c>
      <c r="F923" t="inlineStr">
        <is>
          <t>MELI/V/350,00/20-01-23</t>
        </is>
      </c>
      <c r="G923" t="n">
        <v>-1</v>
      </c>
      <c r="H923" t="n">
        <v>15.36</v>
      </c>
      <c r="I923">
        <f>-H1160/G1160</f>
        <v/>
      </c>
    </row>
    <row r="924">
      <c r="A924" t="n">
        <v>2289</v>
      </c>
      <c r="B924" s="16" t="n">
        <v>44718</v>
      </c>
      <c r="C924" t="inlineStr">
        <is>
          <t>VTA</t>
        </is>
      </c>
      <c r="D924" t="n">
        <v>39</v>
      </c>
      <c r="E924">
        <f>IF(D770&gt;0,VLOOKUP(OPERAC[[#This Row],[COD CART]],[1]!MatrizCortoLargoCyl[#All],3,0),"")</f>
        <v/>
      </c>
      <c r="F924" t="inlineStr">
        <is>
          <t>TSLA/C/820,00/10-06-22</t>
        </is>
      </c>
      <c r="G924" t="n">
        <v>-200</v>
      </c>
      <c r="H924" t="n">
        <v>317.28</v>
      </c>
      <c r="I924">
        <f>-H770/G770</f>
        <v/>
      </c>
      <c r="J924" s="16" t="n">
        <v>44720</v>
      </c>
      <c r="K924" t="n">
        <v>-200</v>
      </c>
      <c r="L924" t="n">
        <v>-352.975</v>
      </c>
    </row>
    <row r="925">
      <c r="A925" t="n">
        <v>2289</v>
      </c>
      <c r="B925" s="16" t="n">
        <v>44718</v>
      </c>
      <c r="C925" t="inlineStr">
        <is>
          <t>VTA</t>
        </is>
      </c>
      <c r="D925" t="n">
        <v>42</v>
      </c>
      <c r="E925">
        <f>IF(D2008&gt;0,VLOOKUP(OPERAC[[#This Row],[COD CART]],[1]!MatrizCortoLargoCyl[#All],3,0),"")</f>
        <v/>
      </c>
      <c r="F925" t="inlineStr">
        <is>
          <t>KWEB</t>
        </is>
      </c>
      <c r="G925" t="n">
        <v>10</v>
      </c>
      <c r="H925" t="n">
        <v>-310.83388</v>
      </c>
      <c r="I925">
        <f>-H2008/G2008</f>
        <v/>
      </c>
    </row>
    <row r="926">
      <c r="A926" t="n">
        <v>2289</v>
      </c>
      <c r="B926" s="16" t="n">
        <v>44720</v>
      </c>
      <c r="C926" t="inlineStr">
        <is>
          <t>CPR</t>
        </is>
      </c>
      <c r="D926" t="n">
        <v>42</v>
      </c>
      <c r="E926">
        <f>IF(D3464&gt;0,VLOOKUP(OPERAC[[#This Row],[COD CART]],[1]!MatrizCortoLargoCyl[#All],3,0),"")</f>
        <v/>
      </c>
      <c r="F926" t="inlineStr">
        <is>
          <t>HYDR</t>
        </is>
      </c>
      <c r="G926" t="n">
        <v>50</v>
      </c>
      <c r="H926" t="n">
        <v>-756.375</v>
      </c>
      <c r="I926">
        <f>-H3464/G3464</f>
        <v/>
      </c>
    </row>
    <row r="927">
      <c r="A927" t="n">
        <v>2289</v>
      </c>
      <c r="B927" s="16" t="n">
        <v>44720</v>
      </c>
      <c r="C927" t="inlineStr">
        <is>
          <t>VTA</t>
        </is>
      </c>
      <c r="D927" t="n">
        <v>39</v>
      </c>
      <c r="E927">
        <f>IF(D619&gt;0,VLOOKUP(OPERAC[[#This Row],[COD CART]],[1]!MatrizCortoLargoCyl[#All],3,0),"")</f>
        <v/>
      </c>
      <c r="F927" t="inlineStr">
        <is>
          <t>TSLA/C/800,00/10-06-22</t>
        </is>
      </c>
      <c r="G927" t="n">
        <v>-200</v>
      </c>
      <c r="H927" t="n">
        <v>594.9</v>
      </c>
      <c r="I927">
        <f>-H619/G619</f>
        <v/>
      </c>
      <c r="J927" s="16" t="n">
        <v>44722</v>
      </c>
      <c r="K927">
        <f>+OPERAC[[#This Row],[cantidad]]</f>
        <v/>
      </c>
      <c r="L927" t="n">
        <v>0</v>
      </c>
    </row>
    <row r="928">
      <c r="A928" t="n">
        <v>2305</v>
      </c>
      <c r="B928" s="16" t="n">
        <v>44614</v>
      </c>
      <c r="C928" t="inlineStr">
        <is>
          <t>CPR</t>
        </is>
      </c>
      <c r="D928" t="n">
        <v>32</v>
      </c>
      <c r="E928">
        <f>IF(D3442&gt;0,VLOOKUP(OPERAC[[#This Row],[COD CART]],[1]!MatrizCortoLargoCyl[#All],3,0),"")</f>
        <v/>
      </c>
      <c r="F928" t="inlineStr">
        <is>
          <t>HMY/CYL/4,00/18-03-22</t>
        </is>
      </c>
      <c r="G928" t="n">
        <v>200</v>
      </c>
      <c r="H928" t="n">
        <v>-751.157</v>
      </c>
      <c r="I928">
        <f>-H3442/G3442</f>
        <v/>
      </c>
      <c r="J928" s="16" t="n">
        <v>44622</v>
      </c>
      <c r="K928">
        <f>+OPERAC[[#This Row],[cantidad]]</f>
        <v/>
      </c>
      <c r="L928" t="n">
        <v>787.9</v>
      </c>
    </row>
    <row r="929">
      <c r="A929" t="n">
        <v>2305</v>
      </c>
      <c r="B929" s="16" t="n">
        <v>44614</v>
      </c>
      <c r="C929" t="inlineStr">
        <is>
          <t>VTA</t>
        </is>
      </c>
      <c r="D929" t="n">
        <v>32</v>
      </c>
      <c r="E929">
        <f>IF(D3890&gt;0,VLOOKUP(OPERAC[[#This Row],[COD CART]],[1]!MatrizCortoLargoCyl[#All],3,0),"")</f>
        <v/>
      </c>
      <c r="F929" t="inlineStr">
        <is>
          <t>COTY/CYL/9,00/18-03-22</t>
        </is>
      </c>
      <c r="G929" t="n">
        <v>100</v>
      </c>
      <c r="H929" t="n">
        <v>-870.27</v>
      </c>
      <c r="I929">
        <f>-H3890/G3890</f>
        <v/>
      </c>
      <c r="J929" s="16" t="n">
        <v>44638</v>
      </c>
      <c r="K929" t="n">
        <v>100</v>
      </c>
      <c r="L929" t="n">
        <v>886.41</v>
      </c>
    </row>
    <row r="930">
      <c r="A930" t="n">
        <v>2305</v>
      </c>
      <c r="B930" s="16" t="n">
        <v>44622</v>
      </c>
      <c r="C930" t="inlineStr">
        <is>
          <t>CPR</t>
        </is>
      </c>
      <c r="D930" t="n">
        <v>32</v>
      </c>
      <c r="E930">
        <f>IF(D2570&gt;0,VLOOKUP(OPERAC[[#This Row],[COD CART]],[1]!MatrizCortoLargoCyl[#All],3,0),"")</f>
        <v/>
      </c>
      <c r="F930" t="inlineStr">
        <is>
          <t>HMY/CYL/5,00/18-03-22</t>
        </is>
      </c>
      <c r="G930" t="n">
        <v>100</v>
      </c>
      <c r="H930" t="n">
        <v>-468.532</v>
      </c>
      <c r="I930">
        <f>-H2570/G2570</f>
        <v/>
      </c>
      <c r="J930" s="16" t="n">
        <v>44637</v>
      </c>
      <c r="K930">
        <f>+OPERAC[[#This Row],[cantidad]]</f>
        <v/>
      </c>
      <c r="L930">
        <f>4.85553*OPERAC[[#This Row],[cantidad venta]]</f>
        <v/>
      </c>
    </row>
    <row r="931">
      <c r="A931" t="n">
        <v>2305</v>
      </c>
      <c r="B931" s="16" t="n">
        <v>44641</v>
      </c>
      <c r="C931" t="inlineStr">
        <is>
          <t>CPR</t>
        </is>
      </c>
      <c r="D931" t="n">
        <v>42</v>
      </c>
      <c r="E931">
        <f>IF(D3362&gt;0,VLOOKUP(OPERAC[[#This Row],[COD CART]],[1]!MatrizCortoLargoCyl[#All],3,0),"")</f>
        <v/>
      </c>
      <c r="F931" t="inlineStr">
        <is>
          <t>JPM</t>
        </is>
      </c>
      <c r="G931" t="n">
        <v>5</v>
      </c>
      <c r="H931" t="n">
        <v>-702.2717000000001</v>
      </c>
      <c r="I931">
        <f>-H3362/G3362</f>
        <v/>
      </c>
      <c r="J931" s="16" t="n">
        <v>44664</v>
      </c>
      <c r="K931">
        <f>+OPERAC[[#This Row],[cantidad]]</f>
        <v/>
      </c>
      <c r="L931">
        <f>+OPERAC[[#This Row],[cantidad venta]]*125.943</f>
        <v/>
      </c>
    </row>
    <row r="932">
      <c r="A932" t="n">
        <v>2305</v>
      </c>
      <c r="B932" s="16" t="n">
        <v>44641</v>
      </c>
      <c r="C932" t="inlineStr">
        <is>
          <t>VTA</t>
        </is>
      </c>
      <c r="D932" t="n">
        <v>42</v>
      </c>
      <c r="E932">
        <f>IF(D2409&gt;0,VLOOKUP(OPERAC[[#This Row],[COD CART]],[1]!MatrizCortoLargoCyl[#All],3,0),"")</f>
        <v/>
      </c>
      <c r="F932" t="inlineStr">
        <is>
          <t>FB</t>
        </is>
      </c>
      <c r="G932" t="n">
        <v>2</v>
      </c>
      <c r="H932" t="n">
        <v>-424.31276</v>
      </c>
      <c r="I932">
        <f>-H2409/G2409</f>
        <v/>
      </c>
      <c r="J932" s="16" t="n">
        <v>44671</v>
      </c>
      <c r="K932">
        <f>+OPERAC[[#This Row],[cantidad]]</f>
        <v/>
      </c>
      <c r="L932">
        <f>+OPERAC[[#This Row],[cantidad venta]]*213.173</f>
        <v/>
      </c>
    </row>
    <row r="933">
      <c r="A933" t="n">
        <v>2305</v>
      </c>
      <c r="B933" s="16" t="n">
        <v>44641</v>
      </c>
      <c r="C933" t="inlineStr">
        <is>
          <t>VTA</t>
        </is>
      </c>
      <c r="D933" t="n">
        <v>42</v>
      </c>
      <c r="E933">
        <f>IF(D2867&gt;0,VLOOKUP(OPERAC[[#This Row],[COD CART]],[1]!MatrizCortoLargoCyl[#All],3,0),"")</f>
        <v/>
      </c>
      <c r="F933" t="inlineStr">
        <is>
          <t>SMH</t>
        </is>
      </c>
      <c r="G933" t="n">
        <v>2</v>
      </c>
      <c r="H933" t="n">
        <v>-537.9153000000001</v>
      </c>
      <c r="I933">
        <f>-H2867/G2867</f>
        <v/>
      </c>
      <c r="J933" s="16" t="n">
        <v>44663</v>
      </c>
      <c r="K933">
        <f>+OPERAC[[#This Row],[cantidad]]</f>
        <v/>
      </c>
      <c r="L933">
        <f>+OPERAC[[#This Row],[cantidad venta]]*238.066</f>
        <v/>
      </c>
    </row>
    <row r="934">
      <c r="A934" t="n">
        <v>2305</v>
      </c>
      <c r="B934" s="16" t="n">
        <v>44657</v>
      </c>
      <c r="C934" t="inlineStr">
        <is>
          <t>CPR</t>
        </is>
      </c>
      <c r="D934" t="n">
        <v>41</v>
      </c>
      <c r="E934">
        <f>IF(D2628&gt;0,VLOOKUP(OPERAC[[#This Row],[COD CART]],[1]!MatrizCortoLargoCyl[#All],3,0),"")</f>
        <v/>
      </c>
      <c r="F934" t="inlineStr">
        <is>
          <t>HYDR</t>
        </is>
      </c>
      <c r="G934" t="n">
        <v>25</v>
      </c>
      <c r="H934" t="n">
        <v>-477.9725</v>
      </c>
      <c r="I934">
        <f>-H2628/G2628</f>
        <v/>
      </c>
      <c r="J934" s="16" t="n">
        <v>44693</v>
      </c>
      <c r="K934">
        <f>+OPERAC[[#This Row],[cantidad]]</f>
        <v/>
      </c>
      <c r="L934">
        <f>+OPERAC[[#This Row],[cantidad venta]]*12.027</f>
        <v/>
      </c>
    </row>
    <row r="935">
      <c r="A935" t="n">
        <v>2305</v>
      </c>
      <c r="B935" s="16" t="n">
        <v>44657</v>
      </c>
      <c r="C935" t="inlineStr">
        <is>
          <t>CPR</t>
        </is>
      </c>
      <c r="D935" t="n">
        <v>32</v>
      </c>
      <c r="E935">
        <f>IF(D2629&gt;0,VLOOKUP(OPERAC[[#This Row],[COD CART]],[1]!MatrizCortoLargoCyl[#All],3,0),"")</f>
        <v/>
      </c>
      <c r="F935" t="inlineStr">
        <is>
          <t>HMY</t>
        </is>
      </c>
      <c r="G935" t="n">
        <v>100</v>
      </c>
      <c r="H935" t="n">
        <v>-478.385</v>
      </c>
      <c r="I935">
        <f>-H2629/G2629</f>
        <v/>
      </c>
      <c r="J935" s="16" t="n">
        <v>44669</v>
      </c>
      <c r="K935">
        <f>+OPERAC[[#This Row],[cantidad]]</f>
        <v/>
      </c>
      <c r="L935">
        <f>4.925*OPERAC[[#This Row],[cantidad venta]]</f>
        <v/>
      </c>
    </row>
    <row r="936">
      <c r="A936" t="n">
        <v>2305</v>
      </c>
      <c r="B936" s="16" t="n">
        <v>44657</v>
      </c>
      <c r="C936" t="inlineStr">
        <is>
          <t>VTA</t>
        </is>
      </c>
      <c r="D936" t="n">
        <v>41</v>
      </c>
      <c r="E936">
        <f>IF(D1316&gt;0,VLOOKUP(OPERAC[[#This Row],[COD CART]],[1]!MatrizCortoLargoCyl[#All],3,0),"")</f>
        <v/>
      </c>
      <c r="F936" t="inlineStr">
        <is>
          <t>PAM</t>
        </is>
      </c>
      <c r="G936" t="n">
        <v>4</v>
      </c>
      <c r="H936" t="n">
        <v>-96.0012</v>
      </c>
      <c r="I936">
        <f>-H1316/G1316</f>
        <v/>
      </c>
    </row>
    <row r="937">
      <c r="A937" t="n">
        <v>2305</v>
      </c>
      <c r="B937" s="16" t="n">
        <v>44657</v>
      </c>
      <c r="C937" t="inlineStr">
        <is>
          <t>VTA</t>
        </is>
      </c>
      <c r="D937" t="n">
        <v>41</v>
      </c>
      <c r="E937">
        <f>IF(D1776&gt;0,VLOOKUP(OPERAC[[#This Row],[COD CART]],[1]!MatrizCortoLargoCyl[#All],3,0),"")</f>
        <v/>
      </c>
      <c r="F937" t="inlineStr">
        <is>
          <t>YPF</t>
        </is>
      </c>
      <c r="G937" t="n">
        <v>50</v>
      </c>
      <c r="H937" t="n">
        <v>-262.8425</v>
      </c>
      <c r="I937">
        <f>-H1776/G1776</f>
        <v/>
      </c>
    </row>
    <row r="938">
      <c r="A938" t="n">
        <v>2305</v>
      </c>
      <c r="B938" s="16" t="n">
        <v>44657</v>
      </c>
      <c r="C938" t="inlineStr">
        <is>
          <t>VTA</t>
        </is>
      </c>
      <c r="D938" t="n">
        <v>41</v>
      </c>
      <c r="E938">
        <f>IF(D2166&gt;0,VLOOKUP(OPERAC[[#This Row],[COD CART]],[1]!MatrizCortoLargoCyl[#All],3,0),"")</f>
        <v/>
      </c>
      <c r="F938" t="inlineStr">
        <is>
          <t>BBAR</t>
        </is>
      </c>
      <c r="G938" t="n">
        <v>100</v>
      </c>
      <c r="H938" t="n">
        <v>-359.348</v>
      </c>
      <c r="I938">
        <f>-H2166/G2166</f>
        <v/>
      </c>
    </row>
    <row r="939">
      <c r="A939" t="n">
        <v>2305</v>
      </c>
      <c r="B939" s="16" t="n">
        <v>44657</v>
      </c>
      <c r="C939" t="inlineStr">
        <is>
          <t>VTA</t>
        </is>
      </c>
      <c r="D939" t="n">
        <v>41</v>
      </c>
      <c r="E939">
        <f>IF(D2490&gt;0,VLOOKUP(OPERAC[[#This Row],[COD CART]],[1]!MatrizCortoLargoCyl[#All],3,0),"")</f>
        <v/>
      </c>
      <c r="F939" t="inlineStr">
        <is>
          <t>ADBE</t>
        </is>
      </c>
      <c r="G939" t="n">
        <v>1</v>
      </c>
      <c r="H939" t="n">
        <v>-449.1875</v>
      </c>
      <c r="I939">
        <f>-H2490/G2490</f>
        <v/>
      </c>
      <c r="J939" s="16" t="n">
        <v>44687</v>
      </c>
      <c r="K939">
        <f>+OPERAC[[#This Row],[cantidad]]</f>
        <v/>
      </c>
      <c r="L939" t="n">
        <v>386.42</v>
      </c>
    </row>
    <row r="940">
      <c r="A940" t="n">
        <v>2305</v>
      </c>
      <c r="B940" s="16" t="n">
        <v>44664</v>
      </c>
      <c r="C940" t="inlineStr">
        <is>
          <t>VTA</t>
        </is>
      </c>
      <c r="D940" t="n">
        <v>42</v>
      </c>
      <c r="E940">
        <f>IF(D1374&gt;0,VLOOKUP(OPERAC[[#This Row],[COD CART]],[1]!MatrizCortoLargoCyl[#All],3,0),"")</f>
        <v/>
      </c>
      <c r="F940" t="inlineStr">
        <is>
          <t>PSQ</t>
        </is>
      </c>
      <c r="G940" t="n">
        <v>10</v>
      </c>
      <c r="H940" t="n">
        <v>-124.32572181</v>
      </c>
      <c r="I940">
        <f>-H1374/G1374</f>
        <v/>
      </c>
      <c r="J940" s="16" t="n">
        <v>44680</v>
      </c>
      <c r="K940">
        <f>+OPERAC[[#This Row],[cantidad]]</f>
        <v/>
      </c>
      <c r="L940">
        <f>12.848*OPERAC[[#This Row],[cantidad venta]]</f>
        <v/>
      </c>
    </row>
    <row r="941">
      <c r="A941" t="n">
        <v>2305</v>
      </c>
      <c r="B941" s="16" t="n">
        <v>44664</v>
      </c>
      <c r="C941" t="inlineStr">
        <is>
          <t>VTA</t>
        </is>
      </c>
      <c r="D941" t="n">
        <v>42</v>
      </c>
      <c r="E941">
        <f>IF(D1542&gt;0,VLOOKUP(OPERAC[[#This Row],[COD CART]],[1]!MatrizCortoLargoCyl[#All],3,0),"")</f>
        <v/>
      </c>
      <c r="F941" t="inlineStr">
        <is>
          <t>AMD</t>
        </is>
      </c>
      <c r="G941" t="n">
        <v>2</v>
      </c>
      <c r="H941" t="n">
        <v>-197.54130906</v>
      </c>
      <c r="I941">
        <f>-H1542/G1542</f>
        <v/>
      </c>
      <c r="J941" s="16" t="n">
        <v>44693</v>
      </c>
      <c r="K941" t="n">
        <v>2</v>
      </c>
      <c r="L941" t="n">
        <v>169.835</v>
      </c>
    </row>
    <row r="942">
      <c r="A942" t="n">
        <v>2305</v>
      </c>
      <c r="B942" s="16" t="n">
        <v>44669</v>
      </c>
      <c r="C942" t="inlineStr">
        <is>
          <t>CPR</t>
        </is>
      </c>
      <c r="D942" t="n">
        <v>32</v>
      </c>
      <c r="E942">
        <f>IF(D4035&gt;0,VLOOKUP(OPERAC[[#This Row],[COD CART]],[1]!MatrizCortoLargoCyl[#All],3,0),"")</f>
        <v/>
      </c>
      <c r="F942" t="inlineStr">
        <is>
          <t>HMY</t>
        </is>
      </c>
      <c r="G942" t="n">
        <v>200</v>
      </c>
      <c r="H942">
        <f>-4.64*OPERAC[[#This Row],[cantidad]]</f>
        <v/>
      </c>
      <c r="I942">
        <f>-H4035/G4035</f>
        <v/>
      </c>
      <c r="J942" s="16" t="n">
        <v>44704</v>
      </c>
      <c r="K942" t="n">
        <v>100</v>
      </c>
      <c r="L942" t="n">
        <v>366.902</v>
      </c>
    </row>
    <row r="943">
      <c r="A943" t="n">
        <v>2305</v>
      </c>
      <c r="B943" s="16" t="n">
        <v>44671</v>
      </c>
      <c r="C943" t="inlineStr">
        <is>
          <t>CPR</t>
        </is>
      </c>
      <c r="D943" t="n">
        <v>42</v>
      </c>
      <c r="E943">
        <f>IF(D2753&gt;0,VLOOKUP(OPERAC[[#This Row],[COD CART]],[1]!MatrizCortoLargoCyl[#All],3,0),"")</f>
        <v/>
      </c>
      <c r="F943" t="inlineStr">
        <is>
          <t>NFLX</t>
        </is>
      </c>
      <c r="G943" t="n">
        <v>2</v>
      </c>
      <c r="H943" t="n">
        <v>-509.01012</v>
      </c>
      <c r="I943">
        <f>-H2753/G2753</f>
        <v/>
      </c>
      <c r="J943" s="16" t="n">
        <v>44693</v>
      </c>
      <c r="K943">
        <f>+OPERAC[[#This Row],[cantidad]]</f>
        <v/>
      </c>
      <c r="L943">
        <f>+OPERAC[[#This Row],[cantidad venta]]*169.079</f>
        <v/>
      </c>
    </row>
    <row r="944">
      <c r="A944" t="n">
        <v>2305</v>
      </c>
      <c r="B944" s="16" t="n">
        <v>44680</v>
      </c>
      <c r="C944" t="inlineStr">
        <is>
          <t>VTA</t>
        </is>
      </c>
      <c r="D944" t="n">
        <v>42</v>
      </c>
      <c r="E944">
        <f>IF(D1444&gt;0,VLOOKUP(OPERAC[[#This Row],[COD CART]],[1]!MatrizCortoLargoCyl[#All],3,0),"")</f>
        <v/>
      </c>
      <c r="F944" t="inlineStr">
        <is>
          <t>XLP</t>
        </is>
      </c>
      <c r="G944" t="n">
        <v>2</v>
      </c>
      <c r="H944" t="n">
        <v>-158.869005</v>
      </c>
      <c r="I944">
        <f>-H1444/G1444</f>
        <v/>
      </c>
      <c r="J944" s="16" t="n">
        <v>44693</v>
      </c>
      <c r="K944">
        <f>+OPERAC[[#This Row],[cantidad]]</f>
        <v/>
      </c>
      <c r="L944">
        <f>+OPERAC[[#This Row],[cantidad venta]]*75.648</f>
        <v/>
      </c>
    </row>
    <row r="945">
      <c r="A945" t="n">
        <v>2305</v>
      </c>
      <c r="B945" s="16" t="n">
        <v>44704</v>
      </c>
      <c r="C945" t="inlineStr">
        <is>
          <t>VTA</t>
        </is>
      </c>
      <c r="D945" t="n">
        <v>32</v>
      </c>
      <c r="E945">
        <f>IF(D3079&gt;0,VLOOKUP(OPERAC[[#This Row],[COD CART]],[1]!MatrizCortoLargoCyl[#All],3,0),"")</f>
        <v/>
      </c>
      <c r="F945" t="inlineStr">
        <is>
          <t>UUUU/CYL/8,00/17-06-22</t>
        </is>
      </c>
      <c r="G945" t="n">
        <v>100</v>
      </c>
      <c r="H945" t="n">
        <v>-620.987</v>
      </c>
      <c r="I945">
        <f>-H3079/G3079</f>
        <v/>
      </c>
    </row>
    <row r="946">
      <c r="A946" t="n">
        <v>2305</v>
      </c>
      <c r="B946" s="16" t="n">
        <v>44704</v>
      </c>
      <c r="C946" t="inlineStr">
        <is>
          <t>VTA</t>
        </is>
      </c>
      <c r="D946" t="n">
        <v>32</v>
      </c>
      <c r="E946">
        <f>IF(D3123&gt;0,VLOOKUP(OPERAC[[#This Row],[COD CART]],[1]!MatrizCortoLargoCyl[#All],3,0),"")</f>
        <v/>
      </c>
      <c r="F946" t="inlineStr">
        <is>
          <t>COTY/CYL/8,00/24-06-22</t>
        </is>
      </c>
      <c r="G946" t="n">
        <v>100</v>
      </c>
      <c r="H946" t="n">
        <v>-630.885</v>
      </c>
      <c r="I946">
        <f>-H3123/G3123</f>
        <v/>
      </c>
    </row>
    <row r="947">
      <c r="A947" t="n">
        <v>2305</v>
      </c>
      <c r="B947" s="16" t="n">
        <v>44707</v>
      </c>
      <c r="C947" t="inlineStr">
        <is>
          <t>CPR</t>
        </is>
      </c>
      <c r="D947" t="n">
        <v>42</v>
      </c>
      <c r="E947">
        <f>IF(D2655&gt;0,VLOOKUP(OPERAC[[#This Row],[COD CART]],[1]!MatrizCortoLargoCyl[#All],3,0),"")</f>
        <v/>
      </c>
      <c r="F947" t="inlineStr">
        <is>
          <t>PCT</t>
        </is>
      </c>
      <c r="G947" t="n">
        <v>50</v>
      </c>
      <c r="H947" t="n">
        <v>-486.5316635</v>
      </c>
      <c r="I947">
        <f>-H2655/G2655</f>
        <v/>
      </c>
    </row>
    <row r="948">
      <c r="A948" t="n">
        <v>2306</v>
      </c>
      <c r="B948" s="16" t="n">
        <v>44649</v>
      </c>
      <c r="C948" t="inlineStr">
        <is>
          <t>CPR</t>
        </is>
      </c>
      <c r="D948" t="n">
        <v>32</v>
      </c>
      <c r="E948">
        <f>IF(D2632&gt;0,VLOOKUP(OPERAC[[#This Row],[COD CART]],[1]!MatrizCortoLargoCyl[#All],3,0),"")</f>
        <v/>
      </c>
      <c r="F948" t="inlineStr">
        <is>
          <t>HMY</t>
        </is>
      </c>
      <c r="G948" t="n">
        <v>100</v>
      </c>
      <c r="H948" t="n">
        <v>-480.605</v>
      </c>
      <c r="I948">
        <f>-H2632/G2632</f>
        <v/>
      </c>
      <c r="J948" s="16" t="n">
        <v>44669</v>
      </c>
      <c r="K948">
        <f>+OPERAC[[#This Row],[cantidad]]</f>
        <v/>
      </c>
      <c r="L948">
        <f>4.925*OPERAC[[#This Row],[cantidad venta]]</f>
        <v/>
      </c>
    </row>
    <row r="949">
      <c r="A949" t="n">
        <v>2306</v>
      </c>
      <c r="B949" s="16" t="n">
        <v>44649</v>
      </c>
      <c r="C949" t="inlineStr">
        <is>
          <t>VTA</t>
        </is>
      </c>
      <c r="D949" t="n">
        <v>42</v>
      </c>
      <c r="E949">
        <f>IF(D2446&gt;0,VLOOKUP(OPERAC[[#This Row],[COD CART]],[1]!MatrizCortoLargoCyl[#All],3,0),"")</f>
        <v/>
      </c>
      <c r="F949" t="inlineStr">
        <is>
          <t>DIS</t>
        </is>
      </c>
      <c r="G949" t="n">
        <v>3</v>
      </c>
      <c r="H949" t="n">
        <v>-429.7866799999999</v>
      </c>
      <c r="I949">
        <f>-H2446/G2446</f>
        <v/>
      </c>
      <c r="J949" s="16" t="n">
        <v>44671</v>
      </c>
      <c r="K949">
        <f>+OPERAC[[#This Row],[cantidad]]</f>
        <v/>
      </c>
      <c r="L949">
        <f>+OPERAC[[#This Row],[cantidad venta]]*123.621</f>
        <v/>
      </c>
    </row>
    <row r="950">
      <c r="A950" t="n">
        <v>2306</v>
      </c>
      <c r="B950" s="16" t="n">
        <v>44649</v>
      </c>
      <c r="C950" t="inlineStr">
        <is>
          <t>VTA</t>
        </is>
      </c>
      <c r="D950" t="n">
        <v>42</v>
      </c>
      <c r="E950">
        <f>IF(D2512&gt;0,VLOOKUP(OPERAC[[#This Row],[COD CART]],[1]!MatrizCortoLargoCyl[#All],3,0),"")</f>
        <v/>
      </c>
      <c r="F950" t="inlineStr">
        <is>
          <t>FB</t>
        </is>
      </c>
      <c r="G950" t="n">
        <v>2</v>
      </c>
      <c r="H950" t="n">
        <v>-459.8738</v>
      </c>
      <c r="I950">
        <f>-H2512/G2512</f>
        <v/>
      </c>
      <c r="J950" s="16" t="n">
        <v>44671</v>
      </c>
      <c r="K950">
        <f>+OPERAC[[#This Row],[cantidad]]</f>
        <v/>
      </c>
      <c r="L950">
        <f>+OPERAC[[#This Row],[cantidad venta]]*213.173</f>
        <v/>
      </c>
    </row>
    <row r="951">
      <c r="A951" t="n">
        <v>2306</v>
      </c>
      <c r="B951" s="16" t="n">
        <v>44649</v>
      </c>
      <c r="C951" t="inlineStr">
        <is>
          <t>VTA</t>
        </is>
      </c>
      <c r="D951" t="n">
        <v>42</v>
      </c>
      <c r="E951">
        <f>IF(D2543&gt;0,VLOOKUP(OPERAC[[#This Row],[COD CART]],[1]!MatrizCortoLargoCyl[#All],3,0),"")</f>
        <v/>
      </c>
      <c r="F951" t="inlineStr">
        <is>
          <t>ADBE</t>
        </is>
      </c>
      <c r="G951" t="n">
        <v>1</v>
      </c>
      <c r="H951" t="n">
        <v>-464.10176</v>
      </c>
      <c r="I951">
        <f>-H2543/G2543</f>
        <v/>
      </c>
      <c r="J951" s="16" t="n">
        <v>44687</v>
      </c>
      <c r="K951">
        <f>+OPERAC[[#This Row],[cantidad]]</f>
        <v/>
      </c>
      <c r="L951" t="n">
        <v>386.42</v>
      </c>
    </row>
    <row r="952">
      <c r="A952" t="n">
        <v>2306</v>
      </c>
      <c r="B952" s="16" t="n">
        <v>44649</v>
      </c>
      <c r="C952" t="inlineStr">
        <is>
          <t>VTA</t>
        </is>
      </c>
      <c r="D952" t="n">
        <v>42</v>
      </c>
      <c r="E952">
        <f>IF(D2970&gt;0,VLOOKUP(OPERAC[[#This Row],[COD CART]],[1]!MatrizCortoLargoCyl[#All],3,0),"")</f>
        <v/>
      </c>
      <c r="F952" t="inlineStr">
        <is>
          <t>SMH</t>
        </is>
      </c>
      <c r="G952" t="n">
        <v>2</v>
      </c>
      <c r="H952" t="n">
        <v>-563.8843999999999</v>
      </c>
      <c r="I952">
        <f>-H2970/G2970</f>
        <v/>
      </c>
      <c r="J952" s="16" t="n">
        <v>44663</v>
      </c>
      <c r="K952">
        <f>+OPERAC[[#This Row],[cantidad]]</f>
        <v/>
      </c>
      <c r="L952">
        <f>+OPERAC[[#This Row],[cantidad venta]]*238.066</f>
        <v/>
      </c>
    </row>
    <row r="953">
      <c r="A953" t="n">
        <v>2306</v>
      </c>
      <c r="B953" s="16" t="n">
        <v>44649</v>
      </c>
      <c r="C953" t="inlineStr">
        <is>
          <t>VTA</t>
        </is>
      </c>
      <c r="D953" t="n">
        <v>42</v>
      </c>
      <c r="E953">
        <f>IF(D2990&gt;0,VLOOKUP(OPERAC[[#This Row],[COD CART]],[1]!MatrizCortoLargoCyl[#All],3,0),"")</f>
        <v/>
      </c>
      <c r="F953" t="inlineStr">
        <is>
          <t>JPM</t>
        </is>
      </c>
      <c r="G953" t="n">
        <v>4</v>
      </c>
      <c r="H953" t="n">
        <v>-567.5523999999999</v>
      </c>
      <c r="I953">
        <f>-H2990/G2990</f>
        <v/>
      </c>
      <c r="J953" s="16" t="n">
        <v>44664</v>
      </c>
      <c r="K953">
        <f>+OPERAC[[#This Row],[cantidad]]</f>
        <v/>
      </c>
      <c r="L953">
        <f>+OPERAC[[#This Row],[cantidad venta]]*125.943</f>
        <v/>
      </c>
    </row>
    <row r="954">
      <c r="A954" t="n">
        <v>2306</v>
      </c>
      <c r="B954" s="16" t="n">
        <v>44662</v>
      </c>
      <c r="C954" t="inlineStr">
        <is>
          <t>VTA</t>
        </is>
      </c>
      <c r="D954" t="n">
        <v>42</v>
      </c>
      <c r="E954">
        <f>IF(D1493&gt;0,VLOOKUP(OPERAC[[#This Row],[COD CART]],[1]!MatrizCortoLargoCyl[#All],3,0),"")</f>
        <v/>
      </c>
      <c r="F954" t="inlineStr">
        <is>
          <t>HYDR</t>
        </is>
      </c>
      <c r="G954" t="n">
        <v>10</v>
      </c>
      <c r="H954" t="n">
        <v>-185.70344</v>
      </c>
      <c r="I954">
        <f>-H1493/G1493</f>
        <v/>
      </c>
      <c r="J954" s="16" t="n">
        <v>44693</v>
      </c>
      <c r="K954">
        <f>+OPERAC[[#This Row],[cantidad]]</f>
        <v/>
      </c>
      <c r="L954">
        <f>+OPERAC[[#This Row],[cantidad venta]]*12.027</f>
        <v/>
      </c>
    </row>
    <row r="955">
      <c r="A955" t="n">
        <v>2306</v>
      </c>
      <c r="B955" s="16" t="n">
        <v>44663</v>
      </c>
      <c r="C955" t="inlineStr">
        <is>
          <t>CPR</t>
        </is>
      </c>
      <c r="D955" t="n">
        <v>32</v>
      </c>
      <c r="E955">
        <f>IF(D4760&gt;0,VLOOKUP(OPERAC[[#This Row],[COD CART]],[1]!MatrizCortoLargoCyl[#All],3,0),"")</f>
        <v/>
      </c>
      <c r="F955" t="inlineStr">
        <is>
          <t>DDD</t>
        </is>
      </c>
      <c r="G955" t="n">
        <v>100</v>
      </c>
      <c r="H955" t="n">
        <v>-1368.02</v>
      </c>
      <c r="I955">
        <f>-H4760/G4760</f>
        <v/>
      </c>
      <c r="J955" s="16" t="n">
        <v>44704</v>
      </c>
      <c r="K955" t="n">
        <v>100</v>
      </c>
      <c r="L955" t="n">
        <v>1001.601</v>
      </c>
    </row>
    <row r="956">
      <c r="A956" t="n">
        <v>2306</v>
      </c>
      <c r="B956" s="16" t="n">
        <v>44664</v>
      </c>
      <c r="C956" t="inlineStr">
        <is>
          <t>VTA</t>
        </is>
      </c>
      <c r="D956" t="n">
        <v>42</v>
      </c>
      <c r="E956">
        <f>IF(D1543&gt;0,VLOOKUP(OPERAC[[#This Row],[COD CART]],[1]!MatrizCortoLargoCyl[#All],3,0),"")</f>
        <v/>
      </c>
      <c r="F956" t="inlineStr">
        <is>
          <t>AMD</t>
        </is>
      </c>
      <c r="G956" t="n">
        <v>2</v>
      </c>
      <c r="H956" t="n">
        <v>-197.54130906</v>
      </c>
      <c r="I956">
        <f>-H1543/G1543</f>
        <v/>
      </c>
      <c r="J956" s="16" t="n">
        <v>44693</v>
      </c>
      <c r="K956" t="n">
        <v>2</v>
      </c>
      <c r="L956" t="n">
        <v>169.835</v>
      </c>
    </row>
    <row r="957">
      <c r="A957" t="n">
        <v>2306</v>
      </c>
      <c r="B957" s="16" t="n">
        <v>44664</v>
      </c>
      <c r="C957" t="inlineStr">
        <is>
          <t>VTA</t>
        </is>
      </c>
      <c r="D957" t="n">
        <v>42</v>
      </c>
      <c r="E957">
        <f>IF(D1721&gt;0,VLOOKUP(OPERAC[[#This Row],[COD CART]],[1]!MatrizCortoLargoCyl[#All],3,0),"")</f>
        <v/>
      </c>
      <c r="F957" t="inlineStr">
        <is>
          <t>PSQ</t>
        </is>
      </c>
      <c r="G957" t="n">
        <v>20</v>
      </c>
      <c r="H957" t="n">
        <v>-248.65144362</v>
      </c>
      <c r="I957">
        <f>-H1721/G1721</f>
        <v/>
      </c>
      <c r="J957" s="16" t="n">
        <v>44680</v>
      </c>
      <c r="K957">
        <f>+OPERAC[[#This Row],[cantidad]]</f>
        <v/>
      </c>
      <c r="L957">
        <f>12.848*OPERAC[[#This Row],[cantidad venta]]</f>
        <v/>
      </c>
    </row>
    <row r="958">
      <c r="A958" t="n">
        <v>2306</v>
      </c>
      <c r="B958" s="16" t="n">
        <v>44669</v>
      </c>
      <c r="C958" t="inlineStr">
        <is>
          <t>VTA</t>
        </is>
      </c>
      <c r="D958" t="n">
        <v>32</v>
      </c>
      <c r="E958">
        <f>IF(D2524&gt;0,VLOOKUP(OPERAC[[#This Row],[COD CART]],[1]!MatrizCortoLargoCyl[#All],3,0),"")</f>
        <v/>
      </c>
      <c r="F958" t="inlineStr">
        <is>
          <t>HMY</t>
        </is>
      </c>
      <c r="G958" t="n">
        <v>100</v>
      </c>
      <c r="H958">
        <f>-4.64*OPERAC[[#This Row],[cantidad]]</f>
        <v/>
      </c>
      <c r="I958">
        <f>-H2524/G2524</f>
        <v/>
      </c>
      <c r="J958" s="16" t="n">
        <v>44704</v>
      </c>
      <c r="K958" t="n">
        <v>100</v>
      </c>
      <c r="L958">
        <f>+OPERAC[[#This Row],[cantidad venta]]*3.669</f>
        <v/>
      </c>
    </row>
    <row r="959">
      <c r="A959" t="n">
        <v>2306</v>
      </c>
      <c r="B959" s="16" t="n">
        <v>44670</v>
      </c>
      <c r="C959" t="inlineStr">
        <is>
          <t>CPR</t>
        </is>
      </c>
      <c r="D959" t="n">
        <v>32</v>
      </c>
      <c r="E959">
        <f>IF(D3382&gt;0,VLOOKUP(OPERAC[[#This Row],[COD CART]],[1]!MatrizCortoLargoCyl[#All],3,0),"")</f>
        <v/>
      </c>
      <c r="F959" t="inlineStr">
        <is>
          <t>PCT/CYL/7,50/20-05-22</t>
        </is>
      </c>
      <c r="G959" t="n">
        <v>100</v>
      </c>
      <c r="H959" t="n">
        <v>-710.274</v>
      </c>
      <c r="I959">
        <f>-H3382/G3382</f>
        <v/>
      </c>
      <c r="J959" s="16" t="n">
        <v>44698</v>
      </c>
      <c r="K959">
        <f>+OPERAC[[#This Row],[cantidad]]</f>
        <v/>
      </c>
      <c r="L959">
        <f>7.3616*OPERAC[[#This Row],[cantidad venta]]</f>
        <v/>
      </c>
    </row>
    <row r="960">
      <c r="A960" t="n">
        <v>2306</v>
      </c>
      <c r="B960" s="16" t="n">
        <v>44671</v>
      </c>
      <c r="C960" t="inlineStr">
        <is>
          <t>CPR</t>
        </is>
      </c>
      <c r="D960" t="n">
        <v>42</v>
      </c>
      <c r="E960">
        <f>IF(D2754&gt;0,VLOOKUP(OPERAC[[#This Row],[COD CART]],[1]!MatrizCortoLargoCyl[#All],3,0),"")</f>
        <v/>
      </c>
      <c r="F960" t="inlineStr">
        <is>
          <t>NFLX</t>
        </is>
      </c>
      <c r="G960" t="n">
        <v>2</v>
      </c>
      <c r="H960" t="n">
        <v>-509.01012</v>
      </c>
      <c r="I960">
        <f>-H2754/G2754</f>
        <v/>
      </c>
      <c r="J960" s="16" t="n">
        <v>44693</v>
      </c>
      <c r="K960">
        <f>+OPERAC[[#This Row],[cantidad]]</f>
        <v/>
      </c>
      <c r="L960">
        <f>+OPERAC[[#This Row],[cantidad venta]]*169.079</f>
        <v/>
      </c>
    </row>
    <row r="961">
      <c r="A961" t="n">
        <v>2306</v>
      </c>
      <c r="B961" s="16" t="n">
        <v>44671</v>
      </c>
      <c r="C961" t="inlineStr">
        <is>
          <t>CPR</t>
        </is>
      </c>
      <c r="D961" t="n">
        <v>32</v>
      </c>
      <c r="E961">
        <f>IF(D3657&gt;0,VLOOKUP(OPERAC[[#This Row],[COD CART]],[1]!MatrizCortoLargoCyl[#All],3,0),"")</f>
        <v/>
      </c>
      <c r="F961" t="inlineStr">
        <is>
          <t>COTY</t>
        </is>
      </c>
      <c r="G961" t="n">
        <v>100</v>
      </c>
      <c r="H961" t="n">
        <v>-811.72</v>
      </c>
      <c r="I961">
        <f>-H3657/G3657</f>
        <v/>
      </c>
      <c r="J961" s="16" t="n">
        <v>44704</v>
      </c>
      <c r="K961" t="n">
        <v>100</v>
      </c>
      <c r="L961" t="n">
        <v>620.183</v>
      </c>
    </row>
    <row r="962">
      <c r="A962" t="n">
        <v>2306</v>
      </c>
      <c r="B962" s="16" t="n">
        <v>44671</v>
      </c>
      <c r="C962" t="inlineStr">
        <is>
          <t>VTA</t>
        </is>
      </c>
      <c r="D962" t="n">
        <v>42</v>
      </c>
      <c r="E962">
        <f>IF(D2193&gt;0,VLOOKUP(OPERAC[[#This Row],[COD CART]],[1]!MatrizCortoLargoCyl[#All],3,0),"")</f>
        <v/>
      </c>
      <c r="F962" t="inlineStr">
        <is>
          <t>TLT</t>
        </is>
      </c>
      <c r="G962" t="n">
        <v>3</v>
      </c>
      <c r="H962" t="n">
        <v>-367.689015</v>
      </c>
      <c r="I962">
        <f>-H2193/G2193</f>
        <v/>
      </c>
    </row>
    <row r="963">
      <c r="A963" t="n">
        <v>2306</v>
      </c>
      <c r="B963" s="16" t="n">
        <v>44677</v>
      </c>
      <c r="C963" t="inlineStr">
        <is>
          <t>CPR</t>
        </is>
      </c>
      <c r="D963" t="n">
        <v>32</v>
      </c>
      <c r="E963">
        <f>IF(D3538&gt;0,VLOOKUP(OPERAC[[#This Row],[COD CART]],[1]!MatrizCortoLargoCyl[#All],3,0),"")</f>
        <v/>
      </c>
      <c r="F963" t="inlineStr">
        <is>
          <t>HMY</t>
        </is>
      </c>
      <c r="G963" t="n">
        <v>200</v>
      </c>
      <c r="H963">
        <f>-3.849*OPERAC[[#This Row],[cantidad]]</f>
        <v/>
      </c>
      <c r="I963">
        <f>-H3538/G3538</f>
        <v/>
      </c>
      <c r="J963" s="16" t="n">
        <v>44704</v>
      </c>
      <c r="K963" t="n">
        <v>200</v>
      </c>
      <c r="L963">
        <f>+OPERAC[[#This Row],[cantidad venta]]*3.669</f>
        <v/>
      </c>
    </row>
    <row r="964">
      <c r="A964" t="n">
        <v>2306</v>
      </c>
      <c r="B964" s="16" t="n">
        <v>44680</v>
      </c>
      <c r="C964" t="inlineStr">
        <is>
          <t>VTA</t>
        </is>
      </c>
      <c r="D964" t="n">
        <v>42</v>
      </c>
      <c r="E964">
        <f>IF(D1683&gt;0,VLOOKUP(OPERAC[[#This Row],[COD CART]],[1]!MatrizCortoLargoCyl[#All],3,0),"")</f>
        <v/>
      </c>
      <c r="F964" t="inlineStr">
        <is>
          <t>XLP</t>
        </is>
      </c>
      <c r="G964" t="n">
        <v>3</v>
      </c>
      <c r="H964" t="n">
        <v>-238.3035075</v>
      </c>
      <c r="I964">
        <f>-H1683/G1683</f>
        <v/>
      </c>
      <c r="J964" s="16" t="n">
        <v>44693</v>
      </c>
      <c r="K964">
        <f>+OPERAC[[#This Row],[cantidad]]</f>
        <v/>
      </c>
      <c r="L964">
        <f>+OPERAC[[#This Row],[cantidad venta]]*75.648</f>
        <v/>
      </c>
    </row>
    <row r="965">
      <c r="A965" t="n">
        <v>2306</v>
      </c>
      <c r="B965" s="16" t="n">
        <v>44683</v>
      </c>
      <c r="C965" t="inlineStr">
        <is>
          <t>CPR</t>
        </is>
      </c>
      <c r="D965" t="n">
        <v>32</v>
      </c>
      <c r="E965">
        <f>IF(D3372&gt;0,VLOOKUP(OPERAC[[#This Row],[COD CART]],[1]!MatrizCortoLargoCyl[#All],3,0),"")</f>
        <v/>
      </c>
      <c r="F965" t="inlineStr">
        <is>
          <t>CRESY/CYL/7,50/17-06-22</t>
        </is>
      </c>
      <c r="G965" t="n">
        <v>100</v>
      </c>
      <c r="H965" t="n">
        <v>-704.698</v>
      </c>
      <c r="I965">
        <f>-H3372/G3372</f>
        <v/>
      </c>
    </row>
    <row r="966">
      <c r="A966" t="n">
        <v>2306</v>
      </c>
      <c r="B966" s="16" t="n">
        <v>44697</v>
      </c>
      <c r="C966" t="inlineStr">
        <is>
          <t>CPR</t>
        </is>
      </c>
      <c r="D966" t="n">
        <v>32</v>
      </c>
      <c r="E966">
        <f>IF(D2608&gt;0,VLOOKUP(OPERAC[[#This Row],[COD CART]],[1]!MatrizCortoLargoCyl[#All],3,0),"")</f>
        <v/>
      </c>
      <c r="F966" t="inlineStr">
        <is>
          <t>TLRY/CYL/5,50/17-06-22</t>
        </is>
      </c>
      <c r="G966" t="n">
        <v>100</v>
      </c>
      <c r="H966">
        <f>-484.256+11.898</f>
        <v/>
      </c>
      <c r="I966">
        <f>-H2608/G2608</f>
        <v/>
      </c>
    </row>
    <row r="967">
      <c r="A967" t="n">
        <v>2306</v>
      </c>
      <c r="B967" s="16" t="n">
        <v>44704</v>
      </c>
      <c r="C967" t="inlineStr">
        <is>
          <t>CPR</t>
        </is>
      </c>
      <c r="D967" t="n">
        <v>43</v>
      </c>
      <c r="E967">
        <f>IF(D4178&gt;0,VLOOKUP(OPERAC[[#This Row],[COD CART]],[1]!MatrizCortoLargoCyl[#All],3,0),"")</f>
        <v/>
      </c>
      <c r="F967" t="inlineStr">
        <is>
          <t>PCT/CYP/7,50-6,00/20-01-23</t>
        </is>
      </c>
      <c r="G967" t="n">
        <v>200</v>
      </c>
      <c r="H967" t="n">
        <v>-982.46</v>
      </c>
      <c r="I967">
        <f>-H4178/G4178</f>
        <v/>
      </c>
    </row>
    <row r="968">
      <c r="A968" t="n">
        <v>2306</v>
      </c>
      <c r="B968" s="16" t="n">
        <v>44704</v>
      </c>
      <c r="C968" t="inlineStr">
        <is>
          <t>CPR</t>
        </is>
      </c>
      <c r="D968" t="n">
        <v>32</v>
      </c>
      <c r="E968">
        <f>IF(D4574&gt;0,VLOOKUP(OPERAC[[#This Row],[COD CART]],[1]!MatrizCortoLargoCyl[#All],3,0),"")</f>
        <v/>
      </c>
      <c r="F968" t="inlineStr">
        <is>
          <t>F</t>
        </is>
      </c>
      <c r="G968" t="n">
        <v>100</v>
      </c>
      <c r="H968" t="n">
        <v>-1239.92</v>
      </c>
      <c r="I968">
        <f>-H4574/G4574</f>
        <v/>
      </c>
    </row>
    <row r="969">
      <c r="A969" t="n">
        <v>2306</v>
      </c>
      <c r="B969" s="16" t="n">
        <v>44704</v>
      </c>
      <c r="C969" t="inlineStr">
        <is>
          <t>CPR</t>
        </is>
      </c>
      <c r="D969" t="n">
        <v>32</v>
      </c>
      <c r="E969">
        <f>IF(D4821&gt;0,VLOOKUP(OPERAC[[#This Row],[COD CART]],[1]!MatrizCortoLargoCyl[#All],3,0),"")</f>
        <v/>
      </c>
      <c r="F969" t="inlineStr">
        <is>
          <t>BIOX/CYL/15,00/17-06-22</t>
        </is>
      </c>
      <c r="G969" t="n">
        <v>100</v>
      </c>
      <c r="H969" t="n">
        <v>-1415.06</v>
      </c>
      <c r="I969">
        <f>-H4821/G4821</f>
        <v/>
      </c>
    </row>
    <row r="970">
      <c r="A970" t="n">
        <v>2306</v>
      </c>
      <c r="B970" s="16" t="n">
        <v>44704</v>
      </c>
      <c r="C970" t="inlineStr">
        <is>
          <t>VTA</t>
        </is>
      </c>
      <c r="D970" t="n">
        <v>32</v>
      </c>
      <c r="E970">
        <f>IF(D3857&gt;0,VLOOKUP(OPERAC[[#This Row],[COD CART]],[1]!MatrizCortoLargoCyl[#All],3,0),"")</f>
        <v/>
      </c>
      <c r="F970" t="inlineStr">
        <is>
          <t>HIMX/CYL/9,00/10-06-22</t>
        </is>
      </c>
      <c r="G970" t="n">
        <v>100</v>
      </c>
      <c r="H970" t="n">
        <v>-866.7</v>
      </c>
      <c r="I970">
        <f>-H3857/G3857</f>
        <v/>
      </c>
      <c r="J970" s="16" t="n">
        <v>44721</v>
      </c>
      <c r="K970" t="n">
        <v>100</v>
      </c>
      <c r="L970" t="n">
        <v>898.25</v>
      </c>
    </row>
    <row r="971">
      <c r="A971" t="n">
        <v>2306</v>
      </c>
      <c r="B971" s="16" t="n">
        <v>44721</v>
      </c>
      <c r="C971" t="inlineStr">
        <is>
          <t>CPR</t>
        </is>
      </c>
      <c r="D971" t="n">
        <v>32</v>
      </c>
      <c r="E971">
        <f>IF(D4404&gt;0,VLOOKUP(OPERAC[[#This Row],[COD CART]],[1]!MatrizCortoLargoCyl[#All],3,0),"")</f>
        <v/>
      </c>
      <c r="F971" t="inlineStr">
        <is>
          <t>CCL/CYL/11,5/17-06-22</t>
        </is>
      </c>
      <c r="G971" t="n">
        <v>100</v>
      </c>
      <c r="H971">
        <f>-11.066*100</f>
        <v/>
      </c>
      <c r="I971">
        <f>-H4404/G4404</f>
        <v/>
      </c>
    </row>
    <row r="972">
      <c r="A972" t="n">
        <v>3021</v>
      </c>
      <c r="B972" s="16" t="n">
        <v>44481</v>
      </c>
      <c r="C972" t="inlineStr">
        <is>
          <t>CPR</t>
        </is>
      </c>
      <c r="D972" t="n">
        <v>40</v>
      </c>
      <c r="E972">
        <f>IF(D4904&gt;0,VLOOKUP(OPERAC[[#This Row],[COD CART]],[1]!MatrizCortoLargoCyl[#All],3,0),"")</f>
        <v/>
      </c>
      <c r="F972" t="inlineStr">
        <is>
          <t>MELI</t>
        </is>
      </c>
      <c r="G972" t="n">
        <v>1</v>
      </c>
      <c r="H972" t="n">
        <v>-1478.70623</v>
      </c>
      <c r="I972">
        <f>-H4904/G4904</f>
        <v/>
      </c>
      <c r="J972" s="16" t="n">
        <v>44606</v>
      </c>
      <c r="K972" t="n">
        <v>1</v>
      </c>
      <c r="L972" t="n">
        <v>1083.37</v>
      </c>
    </row>
    <row r="973">
      <c r="A973" t="n">
        <v>3021</v>
      </c>
      <c r="B973" s="16" t="n">
        <v>44481</v>
      </c>
      <c r="C973" t="inlineStr">
        <is>
          <t>VTA</t>
        </is>
      </c>
      <c r="D973" t="n">
        <v>40</v>
      </c>
      <c r="E973">
        <f>IF(D5613&gt;0,VLOOKUP(OPERAC[[#This Row],[COD CART]],[1]!MatrizCortoLargoCyl[#All],3,0),"")</f>
        <v/>
      </c>
      <c r="F973" t="inlineStr">
        <is>
          <t>SPCE</t>
        </is>
      </c>
      <c r="G973" t="n">
        <v>100</v>
      </c>
      <c r="H973">
        <f>-2393.39+99.28+19.802</f>
        <v/>
      </c>
      <c r="I973">
        <f>-H5613/G5613</f>
        <v/>
      </c>
      <c r="J973" s="16" t="n">
        <v>44691</v>
      </c>
      <c r="K973" t="n">
        <v>100</v>
      </c>
      <c r="L973" t="n">
        <v>571.428</v>
      </c>
    </row>
    <row r="974">
      <c r="A974" t="n">
        <v>3021</v>
      </c>
      <c r="B974" s="16" t="n">
        <v>44537</v>
      </c>
      <c r="C974" t="inlineStr">
        <is>
          <t>CPR</t>
        </is>
      </c>
      <c r="D974" t="n">
        <v>40</v>
      </c>
      <c r="E974">
        <f>IF(D4593&gt;0,VLOOKUP(OPERAC[[#This Row],[COD CART]],[1]!MatrizCortoLargoCyl[#All],3,0),"")</f>
        <v/>
      </c>
      <c r="F974" t="inlineStr">
        <is>
          <t>NNDM</t>
        </is>
      </c>
      <c r="G974" t="n">
        <v>300</v>
      </c>
      <c r="H974" t="n">
        <v>-1243.294</v>
      </c>
      <c r="I974">
        <f>-H4593/G4593</f>
        <v/>
      </c>
      <c r="J974" s="16" t="n">
        <v>44606</v>
      </c>
      <c r="K974" t="n">
        <v>300</v>
      </c>
      <c r="L974" t="n">
        <v>1135.822</v>
      </c>
    </row>
    <row r="975">
      <c r="A975" t="n">
        <v>3021</v>
      </c>
      <c r="B975" s="16" t="n">
        <v>44537</v>
      </c>
      <c r="C975" t="inlineStr">
        <is>
          <t>CPR</t>
        </is>
      </c>
      <c r="D975" t="n">
        <v>40</v>
      </c>
      <c r="E975">
        <f>IF(D5869&gt;0,VLOOKUP(OPERAC[[#This Row],[COD CART]],[1]!MatrizCortoLargoCyl[#All],3,0),"")</f>
        <v/>
      </c>
      <c r="F975" t="inlineStr">
        <is>
          <t>EDIT</t>
        </is>
      </c>
      <c r="G975" t="n">
        <v>100</v>
      </c>
      <c r="H975" t="n">
        <v>-2950.036</v>
      </c>
      <c r="I975">
        <f>-H5869/G5869</f>
        <v/>
      </c>
      <c r="J975" s="16" t="n">
        <v>44606</v>
      </c>
      <c r="K975" t="n">
        <v>100</v>
      </c>
      <c r="L975" t="n">
        <v>1617.858</v>
      </c>
    </row>
    <row r="976">
      <c r="A976" t="n">
        <v>3021</v>
      </c>
      <c r="B976" s="16" t="n">
        <v>44537</v>
      </c>
      <c r="C976" t="inlineStr">
        <is>
          <t>CPR</t>
        </is>
      </c>
      <c r="D976" t="n">
        <v>40</v>
      </c>
      <c r="E976">
        <f>IF(D6061&gt;0,VLOOKUP(OPERAC[[#This Row],[COD CART]],[1]!MatrizCortoLargoCyl[#All],3,0),"")</f>
        <v/>
      </c>
      <c r="F976" t="inlineStr">
        <is>
          <t>SDGR</t>
        </is>
      </c>
      <c r="G976" t="n">
        <v>100</v>
      </c>
      <c r="H976" t="n">
        <v>-3793.178</v>
      </c>
      <c r="I976">
        <f>-H6061/G6061</f>
        <v/>
      </c>
      <c r="J976" s="16" t="n">
        <v>44691</v>
      </c>
      <c r="K976" t="n">
        <v>100</v>
      </c>
      <c r="L976" t="n">
        <v>2265.735</v>
      </c>
    </row>
    <row r="977">
      <c r="A977" t="n">
        <v>3021</v>
      </c>
      <c r="B977" s="16" t="n">
        <v>44537</v>
      </c>
      <c r="C977" t="inlineStr">
        <is>
          <t>CPR</t>
        </is>
      </c>
      <c r="D977" t="n">
        <v>40</v>
      </c>
      <c r="E977">
        <f>IF(D6110&gt;0,VLOOKUP(OPERAC[[#This Row],[COD CART]],[1]!MatrizCortoLargoCyl[#All],3,0),"")</f>
        <v/>
      </c>
      <c r="F977" t="inlineStr">
        <is>
          <t>DDD</t>
        </is>
      </c>
      <c r="G977" t="n">
        <v>200</v>
      </c>
      <c r="H977" t="n">
        <v>-4290.898</v>
      </c>
      <c r="I977">
        <f>-H6110/G6110</f>
        <v/>
      </c>
      <c r="J977" s="16" t="n">
        <v>44622</v>
      </c>
      <c r="K977" t="n">
        <v>200</v>
      </c>
      <c r="L977" t="n">
        <v>3404.351</v>
      </c>
    </row>
    <row r="978">
      <c r="A978" t="n">
        <v>3021</v>
      </c>
      <c r="B978" s="16" t="n">
        <v>44539</v>
      </c>
      <c r="C978" t="inlineStr">
        <is>
          <t>CPR</t>
        </is>
      </c>
      <c r="D978" t="n">
        <v>40</v>
      </c>
      <c r="E978">
        <f>IF(D2788&gt;0,VLOOKUP(OPERAC[[#This Row],[COD CART]],[1]!MatrizCortoLargoCyl[#All],3,0),"")</f>
        <v/>
      </c>
      <c r="F978" t="inlineStr">
        <is>
          <t>ROKU</t>
        </is>
      </c>
      <c r="G978" t="n">
        <v>2</v>
      </c>
      <c r="H978" t="n">
        <v>-515.4407199999999</v>
      </c>
      <c r="I978">
        <f>-H2788/G2788</f>
        <v/>
      </c>
      <c r="J978" s="16" t="n">
        <v>44606</v>
      </c>
      <c r="K978">
        <f>+OPERAC[[#This Row],[cantidad]]</f>
        <v/>
      </c>
      <c r="L978">
        <f>+OPERAC[[#This Row],[cantidad venta]]*160.574</f>
        <v/>
      </c>
    </row>
    <row r="979">
      <c r="A979" t="n">
        <v>3021</v>
      </c>
      <c r="B979" s="16" t="n">
        <v>44557</v>
      </c>
      <c r="C979" t="inlineStr">
        <is>
          <t>CPR</t>
        </is>
      </c>
      <c r="D979" t="n">
        <v>40</v>
      </c>
      <c r="E979">
        <f>IF(D3526&gt;0,VLOOKUP(OPERAC[[#This Row],[COD CART]],[1]!MatrizCortoLargoCyl[#All],3,0),"")</f>
        <v/>
      </c>
      <c r="F979" t="inlineStr">
        <is>
          <t>TLRY</t>
        </is>
      </c>
      <c r="G979" t="n">
        <v>100</v>
      </c>
      <c r="H979" t="n">
        <v>-766.265</v>
      </c>
      <c r="I979">
        <f>-H3526/G3526</f>
        <v/>
      </c>
      <c r="J979" s="16" t="n">
        <v>44585</v>
      </c>
      <c r="K979">
        <f>+OPERAC[[#This Row],[cantidad]]</f>
        <v/>
      </c>
      <c r="L979">
        <f>+OPERAC[[#This Row],[cantidad venta]]*5.263</f>
        <v/>
      </c>
    </row>
    <row r="980">
      <c r="A980" t="n">
        <v>3021</v>
      </c>
      <c r="B980" s="16" t="n">
        <v>44558</v>
      </c>
      <c r="C980" t="inlineStr">
        <is>
          <t>CPR</t>
        </is>
      </c>
      <c r="D980" t="n">
        <v>40</v>
      </c>
      <c r="E980">
        <f>IF(D4913&gt;0,VLOOKUP(OPERAC[[#This Row],[COD CART]],[1]!MatrizCortoLargoCyl[#All],3,0),"")</f>
        <v/>
      </c>
      <c r="F980" t="inlineStr">
        <is>
          <t>UPST</t>
        </is>
      </c>
      <c r="G980" t="n">
        <v>10</v>
      </c>
      <c r="H980" t="n">
        <v>-1495.544</v>
      </c>
      <c r="I980">
        <f>-H4913/G4913</f>
        <v/>
      </c>
      <c r="J980" s="16" t="n">
        <v>44606</v>
      </c>
      <c r="K980">
        <f>+OPERAC[[#This Row],[cantidad]]</f>
        <v/>
      </c>
      <c r="L980">
        <f>+OPERAC[[#This Row],[cantidad venta]]*98.994</f>
        <v/>
      </c>
    </row>
    <row r="981">
      <c r="A981" t="n">
        <v>3021</v>
      </c>
      <c r="B981" s="16" t="n">
        <v>44581</v>
      </c>
      <c r="C981" t="inlineStr">
        <is>
          <t>CPR</t>
        </is>
      </c>
      <c r="D981" t="n">
        <v>32</v>
      </c>
      <c r="E981">
        <f>IF(D3533&gt;0,VLOOKUP(OPERAC[[#This Row],[COD CART]],[1]!MatrizCortoLargoCyl[#All],3,0),"")</f>
        <v/>
      </c>
      <c r="F981" t="inlineStr">
        <is>
          <t>HMY/CYL/4,00/18-02-22</t>
        </is>
      </c>
      <c r="G981" t="n">
        <v>200</v>
      </c>
      <c r="H981" t="n">
        <v>-768.5990740000001</v>
      </c>
      <c r="I981">
        <f>-H3533/G3533</f>
        <v/>
      </c>
      <c r="J981" s="16" t="n">
        <v>44610</v>
      </c>
      <c r="K981">
        <f>+OPERAC[[#This Row],[cantidad]]</f>
        <v/>
      </c>
      <c r="L981">
        <f>+OPERAC[[#This Row],[cantidad venta]]*3.8323</f>
        <v/>
      </c>
    </row>
    <row r="982">
      <c r="A982" t="n">
        <v>3021</v>
      </c>
      <c r="B982" s="16" t="n">
        <v>44585</v>
      </c>
      <c r="C982" t="inlineStr">
        <is>
          <t>VTA</t>
        </is>
      </c>
      <c r="D982" t="n">
        <v>39</v>
      </c>
      <c r="E982">
        <f>IF(D842&gt;0,VLOOKUP(OPERAC[[#This Row],[COD CART]],[1]!MatrizCortoLargoCyl[#All],3,0),"")</f>
        <v/>
      </c>
      <c r="F982" t="inlineStr">
        <is>
          <t>TSLA/C/1200,00/28-01-22</t>
        </is>
      </c>
      <c r="G982" t="n">
        <v>-200</v>
      </c>
      <c r="H982" t="n">
        <v>203.268</v>
      </c>
      <c r="I982">
        <f>-H842/G842</f>
        <v/>
      </c>
      <c r="J982" s="16" t="n">
        <v>44589</v>
      </c>
      <c r="K982" t="n">
        <v>-200</v>
      </c>
      <c r="L982" t="n">
        <v>0</v>
      </c>
    </row>
    <row r="983">
      <c r="A983" t="n">
        <v>3021</v>
      </c>
      <c r="B983" s="16" t="n">
        <v>44587</v>
      </c>
      <c r="C983" t="inlineStr">
        <is>
          <t>VTA</t>
        </is>
      </c>
      <c r="D983" t="n">
        <v>40</v>
      </c>
      <c r="E983">
        <f>IF(D2064&gt;0,VLOOKUP(OPERAC[[#This Row],[COD CART]],[1]!MatrizCortoLargoCyl[#All],3,0),"")</f>
        <v/>
      </c>
      <c r="F983" t="inlineStr">
        <is>
          <t>AAPL</t>
        </is>
      </c>
      <c r="G983" t="n">
        <v>2</v>
      </c>
      <c r="H983" t="n">
        <v>-325.83048</v>
      </c>
      <c r="I983">
        <f>-H2064/G2064</f>
        <v/>
      </c>
      <c r="J983" s="16" t="n">
        <v>44601</v>
      </c>
      <c r="K983" t="n">
        <v>2</v>
      </c>
      <c r="L983">
        <f>175.66*OPERAC[[#This Row],[cantidad venta]]</f>
        <v/>
      </c>
    </row>
    <row r="984">
      <c r="A984" t="n">
        <v>3021</v>
      </c>
      <c r="B984" s="16" t="n">
        <v>44587</v>
      </c>
      <c r="C984" t="inlineStr">
        <is>
          <t>VTA</t>
        </is>
      </c>
      <c r="D984" t="n">
        <v>40</v>
      </c>
      <c r="E984">
        <f>IF(D3029&gt;0,VLOOKUP(OPERAC[[#This Row],[COD CART]],[1]!MatrizCortoLargoCyl[#All],3,0),"")</f>
        <v/>
      </c>
      <c r="F984" t="inlineStr">
        <is>
          <t>MSFT</t>
        </is>
      </c>
      <c r="G984" t="n">
        <v>2</v>
      </c>
      <c r="H984" t="n">
        <v>-602.6086600000001</v>
      </c>
      <c r="I984">
        <f>-H3029/G3029</f>
        <v/>
      </c>
      <c r="J984" s="16" t="n">
        <v>44606</v>
      </c>
      <c r="K984">
        <f>+OPERAC[[#This Row],[cantidad]]</f>
        <v/>
      </c>
      <c r="L984">
        <f>+OPERAC[[#This Row],[cantidad venta]]*290.091</f>
        <v/>
      </c>
    </row>
    <row r="985">
      <c r="A985" t="n">
        <v>3021</v>
      </c>
      <c r="B985" s="16" t="n">
        <v>44607</v>
      </c>
      <c r="C985" t="inlineStr">
        <is>
          <t>VTA</t>
        </is>
      </c>
      <c r="D985" t="n">
        <v>32</v>
      </c>
      <c r="E985">
        <f>IF(D5308&gt;0,VLOOKUP(OPERAC[[#This Row],[COD CART]],[1]!MatrizCortoLargoCyl[#All],3,0),"")</f>
        <v/>
      </c>
      <c r="F985" t="inlineStr">
        <is>
          <t>F</t>
        </is>
      </c>
      <c r="G985" t="n">
        <v>100</v>
      </c>
      <c r="H985" t="n">
        <v>-1719.296</v>
      </c>
      <c r="I985">
        <f>-H5308/G5308</f>
        <v/>
      </c>
      <c r="J985" s="16" t="n">
        <v>44649</v>
      </c>
      <c r="K985" t="n">
        <v>100</v>
      </c>
      <c r="L985">
        <f>17.636*OPERAC[[#This Row],[cantidad venta]]</f>
        <v/>
      </c>
    </row>
    <row r="986">
      <c r="A986" t="n">
        <v>3021</v>
      </c>
      <c r="B986" s="16" t="n">
        <v>44608</v>
      </c>
      <c r="C986" t="inlineStr">
        <is>
          <t>CPR</t>
        </is>
      </c>
      <c r="D986" t="n">
        <v>40</v>
      </c>
      <c r="E986">
        <f>IF(D4674&gt;0,VLOOKUP(OPERAC[[#This Row],[COD CART]],[1]!MatrizCortoLargoCyl[#All],3,0),"")</f>
        <v/>
      </c>
      <c r="F986" t="inlineStr">
        <is>
          <t>NVDA</t>
        </is>
      </c>
      <c r="G986" t="n">
        <v>5</v>
      </c>
      <c r="H986" t="n">
        <v>-1305.8295</v>
      </c>
      <c r="I986">
        <f>-H4674/G4674</f>
        <v/>
      </c>
      <c r="J986" s="16" t="n">
        <v>44616</v>
      </c>
      <c r="K986">
        <f>+OPERAC[[#This Row],[cantidad]]</f>
        <v/>
      </c>
      <c r="L986">
        <f>+OPERAC[[#This Row],[cantidad venta]]*224.117</f>
        <v/>
      </c>
    </row>
    <row r="987">
      <c r="A987" t="n">
        <v>3021</v>
      </c>
      <c r="B987" s="16" t="n">
        <v>44615</v>
      </c>
      <c r="C987" t="inlineStr">
        <is>
          <t>CPR</t>
        </is>
      </c>
      <c r="D987" t="n">
        <v>40</v>
      </c>
      <c r="E987">
        <f>IF(D5985&gt;0,VLOOKUP(OPERAC[[#This Row],[COD CART]],[1]!MatrizCortoLargoCyl[#All],3,0),"")</f>
        <v/>
      </c>
      <c r="F987" t="inlineStr">
        <is>
          <t>GMBL</t>
        </is>
      </c>
      <c r="G987" t="n">
        <v>2000</v>
      </c>
      <c r="H987" t="n">
        <v>-3243.23</v>
      </c>
      <c r="I987">
        <f>-H5985/G5985</f>
        <v/>
      </c>
      <c r="J987" s="16" t="n">
        <v>44691</v>
      </c>
      <c r="K987" t="n">
        <v>2000</v>
      </c>
      <c r="L987" t="n">
        <v>764.405</v>
      </c>
    </row>
    <row r="988">
      <c r="A988" t="n">
        <v>3021</v>
      </c>
      <c r="B988" s="16" t="n">
        <v>44616</v>
      </c>
      <c r="C988" t="inlineStr">
        <is>
          <t>VTA</t>
        </is>
      </c>
      <c r="D988" t="n">
        <v>32</v>
      </c>
      <c r="E988">
        <f>IF(D5558&gt;0,VLOOKUP(OPERAC[[#This Row],[COD CART]],[1]!MatrizCortoLargoCyl[#All],3,0),"")</f>
        <v/>
      </c>
      <c r="F988" t="inlineStr">
        <is>
          <t>PLTR/CYL/12,00/14-04-22</t>
        </is>
      </c>
      <c r="G988" t="n">
        <v>200</v>
      </c>
      <c r="H988" t="n">
        <v>-2095.3786</v>
      </c>
      <c r="I988">
        <f>-H5558/G5558</f>
        <v/>
      </c>
      <c r="J988" s="16" t="n">
        <v>44643</v>
      </c>
      <c r="K988" t="n">
        <v>200</v>
      </c>
      <c r="L988" t="n">
        <v>2293.448</v>
      </c>
    </row>
    <row r="989">
      <c r="A989" t="n">
        <v>3021</v>
      </c>
      <c r="B989" s="16" t="n">
        <v>44622</v>
      </c>
      <c r="C989" t="inlineStr">
        <is>
          <t>CPR</t>
        </is>
      </c>
      <c r="D989" t="n">
        <v>32</v>
      </c>
      <c r="E989">
        <f>IF(D5854&gt;0,VLOOKUP(OPERAC[[#This Row],[COD CART]],[1]!MatrizCortoLargoCyl[#All],3,0),"")</f>
        <v/>
      </c>
      <c r="F989" t="inlineStr">
        <is>
          <t>AMC/CYL/16,00/14-04-22</t>
        </is>
      </c>
      <c r="G989" t="n">
        <v>200</v>
      </c>
      <c r="H989" t="n">
        <v>-2890.6306</v>
      </c>
      <c r="I989">
        <f>-H5854/G5854</f>
        <v/>
      </c>
      <c r="J989" s="16" t="n">
        <v>44648</v>
      </c>
      <c r="K989" t="n">
        <v>200</v>
      </c>
      <c r="L989" t="n">
        <v>3163.55</v>
      </c>
    </row>
    <row r="990">
      <c r="A990" t="n">
        <v>3021</v>
      </c>
      <c r="B990" s="16" t="n">
        <v>44634</v>
      </c>
      <c r="C990" t="inlineStr">
        <is>
          <t>VTA</t>
        </is>
      </c>
      <c r="D990" t="n">
        <v>42</v>
      </c>
      <c r="E990">
        <f>IF(D2072&gt;0,VLOOKUP(OPERAC[[#This Row],[COD CART]],[1]!MatrizCortoLargoCyl[#All],3,0),"")</f>
        <v/>
      </c>
      <c r="F990" t="inlineStr">
        <is>
          <t>INO</t>
        </is>
      </c>
      <c r="G990" t="n">
        <v>100</v>
      </c>
      <c r="H990" t="n">
        <v>-329.77895</v>
      </c>
      <c r="I990">
        <f>-H2072/G2072</f>
        <v/>
      </c>
      <c r="J990" s="16" t="n">
        <v>44634</v>
      </c>
      <c r="K990" t="n">
        <v>100</v>
      </c>
      <c r="L990" t="n">
        <v>299.1855</v>
      </c>
    </row>
    <row r="991">
      <c r="A991" t="n">
        <v>3021</v>
      </c>
      <c r="B991" s="16" t="n">
        <v>44641</v>
      </c>
      <c r="C991" t="inlineStr">
        <is>
          <t>CPR</t>
        </is>
      </c>
      <c r="D991" t="n">
        <v>32</v>
      </c>
      <c r="E991">
        <f>IF(D2605&gt;0,VLOOKUP(OPERAC[[#This Row],[COD CART]],[1]!MatrizCortoLargoCyl[#All],3,0),"")</f>
        <v/>
      </c>
      <c r="F991" t="inlineStr">
        <is>
          <t>HMY</t>
        </is>
      </c>
      <c r="G991" t="n">
        <v>100</v>
      </c>
      <c r="H991" t="n">
        <v>-472.0518</v>
      </c>
      <c r="I991">
        <f>-H2605/G2605</f>
        <v/>
      </c>
      <c r="J991" s="16" t="n">
        <v>44669</v>
      </c>
      <c r="K991">
        <f>+OPERAC[[#This Row],[cantidad]]</f>
        <v/>
      </c>
      <c r="L991">
        <f>4.925*OPERAC[[#This Row],[cantidad venta]]</f>
        <v/>
      </c>
    </row>
    <row r="992">
      <c r="A992" t="n">
        <v>3021</v>
      </c>
      <c r="B992" s="16" t="n">
        <v>44642</v>
      </c>
      <c r="C992" t="inlineStr">
        <is>
          <t>VTA</t>
        </is>
      </c>
      <c r="D992" t="n">
        <v>42</v>
      </c>
      <c r="E992">
        <f>IF(D1910&gt;0,VLOOKUP(OPERAC[[#This Row],[COD CART]],[1]!MatrizCortoLargoCyl[#All],3,0),"")</f>
        <v/>
      </c>
      <c r="F992" t="inlineStr">
        <is>
          <t>HYDR</t>
        </is>
      </c>
      <c r="G992" t="n">
        <v>15</v>
      </c>
      <c r="H992">
        <f>-19.39*OPERAC[[#This Row],[cantidad]]</f>
        <v/>
      </c>
      <c r="I992">
        <f>-H1910/G1910</f>
        <v/>
      </c>
      <c r="J992" s="16" t="n">
        <v>44691</v>
      </c>
      <c r="K992" t="n">
        <v>15</v>
      </c>
      <c r="L992" t="n">
        <v>193.606</v>
      </c>
    </row>
    <row r="993">
      <c r="A993" t="n">
        <v>3021</v>
      </c>
      <c r="B993" s="16" t="n">
        <v>44643</v>
      </c>
      <c r="C993" t="inlineStr">
        <is>
          <t>CPR</t>
        </is>
      </c>
      <c r="D993" t="n">
        <v>42</v>
      </c>
      <c r="E993">
        <f>IF(D4176&gt;0,VLOOKUP(OPERAC[[#This Row],[COD CART]],[1]!MatrizCortoLargoCyl[#All],3,0),"")</f>
        <v/>
      </c>
      <c r="F993" t="inlineStr">
        <is>
          <t>JPM</t>
        </is>
      </c>
      <c r="G993" t="n">
        <v>7</v>
      </c>
      <c r="H993" t="n">
        <v>-981.8606</v>
      </c>
      <c r="I993">
        <f>-H4176/G4176</f>
        <v/>
      </c>
      <c r="J993" s="16" t="n">
        <v>44664</v>
      </c>
      <c r="K993">
        <f>+OPERAC[[#This Row],[cantidad]]</f>
        <v/>
      </c>
      <c r="L993">
        <f>+OPERAC[[#This Row],[cantidad venta]]*125.943</f>
        <v/>
      </c>
    </row>
    <row r="994">
      <c r="A994" t="n">
        <v>3021</v>
      </c>
      <c r="B994" s="16" t="n">
        <v>44643</v>
      </c>
      <c r="C994" t="inlineStr">
        <is>
          <t>CPR</t>
        </is>
      </c>
      <c r="D994" t="n">
        <v>42</v>
      </c>
      <c r="E994">
        <f>IF(D4639&gt;0,VLOOKUP(OPERAC[[#This Row],[COD CART]],[1]!MatrizCortoLargoCyl[#All],3,0),"")</f>
        <v/>
      </c>
      <c r="F994" t="inlineStr">
        <is>
          <t>FB</t>
        </is>
      </c>
      <c r="G994" t="n">
        <v>6</v>
      </c>
      <c r="H994" t="n">
        <v>-1287.73476</v>
      </c>
      <c r="I994">
        <f>-H4639/G4639</f>
        <v/>
      </c>
      <c r="J994" s="16" t="n">
        <v>44671</v>
      </c>
      <c r="K994">
        <f>+OPERAC[[#This Row],[cantidad]]</f>
        <v/>
      </c>
      <c r="L994">
        <f>+OPERAC[[#This Row],[cantidad venta]]*213.173</f>
        <v/>
      </c>
    </row>
    <row r="995">
      <c r="A995" t="n">
        <v>3021</v>
      </c>
      <c r="B995" s="16" t="n">
        <v>44648</v>
      </c>
      <c r="C995" t="inlineStr">
        <is>
          <t>CPR</t>
        </is>
      </c>
      <c r="D995" t="n">
        <v>32</v>
      </c>
      <c r="E995">
        <f>IF(D5978&gt;0,VLOOKUP(OPERAC[[#This Row],[COD CART]],[1]!MatrizCortoLargoCyl[#All],3,0),"")</f>
        <v/>
      </c>
      <c r="F995" t="inlineStr">
        <is>
          <t>F</t>
        </is>
      </c>
      <c r="G995" t="n">
        <v>200</v>
      </c>
      <c r="H995" t="n">
        <v>-3209.611</v>
      </c>
      <c r="I995">
        <f>-H5978/G5978</f>
        <v/>
      </c>
      <c r="J995" s="16" t="n">
        <v>44691</v>
      </c>
      <c r="K995" t="n">
        <v>200</v>
      </c>
      <c r="L995" t="n">
        <v>2666.33</v>
      </c>
    </row>
    <row r="996">
      <c r="A996" t="n">
        <v>3021</v>
      </c>
      <c r="B996" s="16" t="n">
        <v>44650</v>
      </c>
      <c r="C996" t="inlineStr">
        <is>
          <t>CPR</t>
        </is>
      </c>
      <c r="D996" t="n">
        <v>32</v>
      </c>
      <c r="E996">
        <f>IF(D4905&gt;0,VLOOKUP(OPERAC[[#This Row],[COD CART]],[1]!MatrizCortoLargoCyl[#All],3,0),"")</f>
        <v/>
      </c>
      <c r="F996" t="inlineStr">
        <is>
          <t>UUUU/CYL/8,00/20-05-22</t>
        </is>
      </c>
      <c r="G996" t="n">
        <v>200</v>
      </c>
      <c r="H996" t="n">
        <v>-1480.5176</v>
      </c>
      <c r="I996">
        <f>-H4905/G4905</f>
        <v/>
      </c>
      <c r="J996" s="16" t="n">
        <v>44665</v>
      </c>
      <c r="K996" t="n">
        <v>200</v>
      </c>
      <c r="L996">
        <f>7.76*200</f>
        <v/>
      </c>
    </row>
    <row r="997">
      <c r="A997" t="n">
        <v>3021</v>
      </c>
      <c r="B997" s="16" t="n">
        <v>44664</v>
      </c>
      <c r="C997" t="inlineStr">
        <is>
          <t>CPR</t>
        </is>
      </c>
      <c r="D997" t="n">
        <v>42</v>
      </c>
      <c r="E997">
        <f>IF(D2671&gt;0,VLOOKUP(OPERAC[[#This Row],[COD CART]],[1]!MatrizCortoLargoCyl[#All],3,0),"")</f>
        <v/>
      </c>
      <c r="F997" t="inlineStr">
        <is>
          <t>AMD</t>
        </is>
      </c>
      <c r="G997" t="n">
        <v>5</v>
      </c>
      <c r="H997" t="n">
        <v>-490.1805909</v>
      </c>
      <c r="I997">
        <f>-H2671/G2671</f>
        <v/>
      </c>
      <c r="J997" s="16" t="n">
        <v>44691</v>
      </c>
      <c r="K997" t="n">
        <v>5</v>
      </c>
      <c r="L997" t="n">
        <v>437.412</v>
      </c>
    </row>
    <row r="998">
      <c r="A998" t="n">
        <v>3021</v>
      </c>
      <c r="B998" s="16" t="n">
        <v>44669</v>
      </c>
      <c r="C998" t="inlineStr">
        <is>
          <t>VTA</t>
        </is>
      </c>
      <c r="D998" t="n">
        <v>32</v>
      </c>
      <c r="E998">
        <f>IF(D5630&gt;0,VLOOKUP(OPERAC[[#This Row],[COD CART]],[1]!MatrizCortoLargoCyl[#All],3,0),"")</f>
        <v/>
      </c>
      <c r="F998" t="inlineStr">
        <is>
          <t>HMY</t>
        </is>
      </c>
      <c r="G998" t="n">
        <v>500</v>
      </c>
      <c r="H998">
        <f>-4.64*OPERAC[[#This Row],[cantidad]]</f>
        <v/>
      </c>
      <c r="I998">
        <f>-H5630/G5630</f>
        <v/>
      </c>
      <c r="J998" s="16" t="n">
        <v>44713</v>
      </c>
      <c r="K998" t="n">
        <v>500</v>
      </c>
      <c r="L998" t="n">
        <v>1664.834</v>
      </c>
    </row>
    <row r="999">
      <c r="A999" t="n">
        <v>3021</v>
      </c>
      <c r="B999" s="16" t="n">
        <v>44671</v>
      </c>
      <c r="C999" t="inlineStr">
        <is>
          <t>CPR</t>
        </is>
      </c>
      <c r="D999" t="n">
        <v>42</v>
      </c>
      <c r="E999">
        <f>IF(D4607&gt;0,VLOOKUP(OPERAC[[#This Row],[COD CART]],[1]!MatrizCortoLargoCyl[#All],3,0),"")</f>
        <v/>
      </c>
      <c r="F999" t="inlineStr">
        <is>
          <t>NFLX</t>
        </is>
      </c>
      <c r="G999" t="n">
        <v>5</v>
      </c>
      <c r="H999" t="n">
        <v>-1263.0618</v>
      </c>
      <c r="I999">
        <f>-H4607/G4607</f>
        <v/>
      </c>
      <c r="J999" s="16" t="n">
        <v>44691</v>
      </c>
      <c r="K999" t="n">
        <v>5</v>
      </c>
      <c r="L999" t="n">
        <v>865.683</v>
      </c>
    </row>
    <row r="1000">
      <c r="A1000" t="n">
        <v>3021</v>
      </c>
      <c r="B1000" s="16" t="n">
        <v>44692</v>
      </c>
      <c r="C1000" t="inlineStr">
        <is>
          <t>CPR</t>
        </is>
      </c>
      <c r="D1000" t="n">
        <v>32</v>
      </c>
      <c r="E1000">
        <f>IF(D6280&gt;0,VLOOKUP(OPERAC[[#This Row],[COD CART]],[1]!MatrizCortoLargoCyl[#All],3,0),"")</f>
        <v/>
      </c>
      <c r="F1000" t="inlineStr">
        <is>
          <t>BABA/CYL/90,00/27-05-22</t>
        </is>
      </c>
      <c r="G1000" t="n">
        <v>100</v>
      </c>
      <c r="H1000">
        <f>-79.86*OPERAC[[#This Row],[cantidad]]</f>
        <v/>
      </c>
      <c r="I1000">
        <f>-H6280/G6280</f>
        <v/>
      </c>
      <c r="J1000" s="16" t="n">
        <v>44708</v>
      </c>
      <c r="K1000" t="n">
        <v>100</v>
      </c>
      <c r="L1000" t="n">
        <v>8991</v>
      </c>
    </row>
    <row r="1001">
      <c r="A1001" t="n">
        <v>3021</v>
      </c>
      <c r="B1001" s="16" t="n">
        <v>44712</v>
      </c>
      <c r="C1001" t="inlineStr">
        <is>
          <t>CPR</t>
        </is>
      </c>
      <c r="D1001" t="n">
        <v>32</v>
      </c>
      <c r="E1001">
        <f>IF(D6300&gt;0,VLOOKUP(OPERAC[[#This Row],[COD CART]],[1]!MatrizCortoLargoCyl[#All],3,0),"")</f>
        <v/>
      </c>
      <c r="F1001" t="inlineStr">
        <is>
          <t>BABA</t>
        </is>
      </c>
      <c r="G1001" t="n">
        <v>100</v>
      </c>
      <c r="H1001">
        <f>-9743.97-1273.272+199.8</f>
        <v/>
      </c>
      <c r="I1001">
        <f>-H6300/G6300</f>
        <v/>
      </c>
    </row>
    <row r="1002">
      <c r="A1002" t="n">
        <v>3021</v>
      </c>
      <c r="B1002" s="16" t="n">
        <v>44720</v>
      </c>
      <c r="C1002" t="inlineStr">
        <is>
          <t>CPR</t>
        </is>
      </c>
      <c r="D1002" t="n">
        <v>42</v>
      </c>
      <c r="E1002">
        <f>IF(D4683&gt;0,VLOOKUP(OPERAC[[#This Row],[COD CART]],[1]!MatrizCortoLargoCyl[#All],3,0),"")</f>
        <v/>
      </c>
      <c r="F1002" t="inlineStr">
        <is>
          <t>EDIT</t>
        </is>
      </c>
      <c r="G1002" t="n">
        <v>100</v>
      </c>
      <c r="H1002" t="n">
        <v>-1306.305</v>
      </c>
      <c r="I1002">
        <f>-H4683/G4683</f>
        <v/>
      </c>
      <c r="J1002" s="16" t="n">
        <v>44721</v>
      </c>
      <c r="K1002" t="n">
        <v>100</v>
      </c>
      <c r="L1002" t="n">
        <v>1233.2</v>
      </c>
    </row>
    <row r="1003">
      <c r="A1003" t="n">
        <v>3728</v>
      </c>
      <c r="B1003" s="16" t="n">
        <v>43903</v>
      </c>
      <c r="C1003" t="inlineStr">
        <is>
          <t>CPR</t>
        </is>
      </c>
      <c r="D1003" t="n">
        <v>31</v>
      </c>
      <c r="E1003">
        <f>IF(D4868&gt;0,VLOOKUP(OPERAC[[#This Row],[COD CART]],[1]!MatrizCortoLargoCyl[#All],3,0),"")</f>
        <v/>
      </c>
      <c r="F1003" t="inlineStr">
        <is>
          <t>IPIX</t>
        </is>
      </c>
      <c r="G1003" t="n">
        <v>13200</v>
      </c>
      <c r="H1003" t="n">
        <v>-1452</v>
      </c>
      <c r="I1003" t="n">
        <v>0.11</v>
      </c>
      <c r="J1003" s="16" t="n">
        <v>44455</v>
      </c>
      <c r="K1003" t="n">
        <v>3200</v>
      </c>
      <c r="L1003" t="n">
        <v>869.9299999999999</v>
      </c>
    </row>
    <row r="1004">
      <c r="A1004" t="n">
        <v>3728</v>
      </c>
      <c r="B1004" s="16" t="n">
        <v>44116</v>
      </c>
      <c r="C1004" t="inlineStr">
        <is>
          <t>CPR</t>
        </is>
      </c>
      <c r="D1004" t="n">
        <v>31</v>
      </c>
      <c r="E1004">
        <f>IF(D4935&gt;0,VLOOKUP(OPERAC[[#This Row],[COD CART]],[1]!MatrizCortoLargoCyl[#All],3,0),"")</f>
        <v/>
      </c>
      <c r="F1004" t="inlineStr">
        <is>
          <t>HEOFF</t>
        </is>
      </c>
      <c r="G1004" t="n">
        <v>1000</v>
      </c>
      <c r="H1004" t="n">
        <v>-1502</v>
      </c>
      <c r="I1004">
        <f>-H4935/G4935</f>
        <v/>
      </c>
    </row>
    <row r="1005">
      <c r="A1005" t="n">
        <v>3728</v>
      </c>
      <c r="B1005" s="16" t="n">
        <v>44159</v>
      </c>
      <c r="C1005" t="inlineStr">
        <is>
          <t>CPR</t>
        </is>
      </c>
      <c r="D1005" t="n">
        <v>32</v>
      </c>
      <c r="E1005">
        <f>IF(D5994&gt;0,VLOOKUP(OPERAC[[#This Row],[COD CART]],[1]!MatrizCortoLargoCyl[#All],3,0),"")</f>
        <v/>
      </c>
      <c r="F1005" t="inlineStr">
        <is>
          <t>MNKD/CYL/2,00/20-01-23</t>
        </is>
      </c>
      <c r="G1005" t="n">
        <v>3000</v>
      </c>
      <c r="H1005" t="n">
        <v>-3303</v>
      </c>
      <c r="I1005">
        <f>-H5994/G5994</f>
        <v/>
      </c>
    </row>
    <row r="1006">
      <c r="A1006" t="n">
        <v>3728</v>
      </c>
      <c r="B1006" s="16" t="n">
        <v>44167</v>
      </c>
      <c r="C1006" t="inlineStr">
        <is>
          <t>VTA</t>
        </is>
      </c>
      <c r="D1006" t="n">
        <v>39</v>
      </c>
      <c r="E1006">
        <f>IF(D221&gt;0,VLOOKUP(OPERAC[[#This Row],[COD CART]],[1]!MatrizCortoLargoCyl[#All],3,0),"")</f>
        <v/>
      </c>
      <c r="F1006" t="inlineStr">
        <is>
          <t>PBR/V/8,00/21-01-22</t>
        </is>
      </c>
      <c r="G1006" t="n">
        <v>-2000</v>
      </c>
      <c r="H1006" t="n">
        <v>1991.24</v>
      </c>
      <c r="I1006">
        <f>-H221/G221</f>
        <v/>
      </c>
      <c r="J1006" s="16" t="n">
        <v>44582</v>
      </c>
      <c r="K1006" t="n">
        <v>-2000</v>
      </c>
      <c r="L1006" t="n">
        <v>0</v>
      </c>
    </row>
    <row r="1007">
      <c r="A1007" t="n">
        <v>3728</v>
      </c>
      <c r="B1007" s="16" t="n">
        <v>44167</v>
      </c>
      <c r="C1007" t="inlineStr">
        <is>
          <t>VTA</t>
        </is>
      </c>
      <c r="D1007" t="n">
        <v>39</v>
      </c>
      <c r="E1007">
        <f>IF(D231&gt;0,VLOOKUP(OPERAC[[#This Row],[COD CART]],[1]!MatrizCortoLargoCyl[#All],3,0),"")</f>
        <v/>
      </c>
      <c r="F1007" t="inlineStr">
        <is>
          <t>PBR/V/10,00/21-01-22</t>
        </is>
      </c>
      <c r="G1007" t="n">
        <v>-1000</v>
      </c>
      <c r="H1007" t="n">
        <v>1942.6</v>
      </c>
      <c r="I1007">
        <f>-H231/G231</f>
        <v/>
      </c>
      <c r="J1007" s="16" t="n">
        <v>44582</v>
      </c>
      <c r="K1007" t="n">
        <v>-1000</v>
      </c>
      <c r="L1007" t="n">
        <v>0</v>
      </c>
    </row>
    <row r="1008">
      <c r="A1008" t="n">
        <v>3728</v>
      </c>
      <c r="B1008" s="16" t="n">
        <v>44265</v>
      </c>
      <c r="C1008" t="inlineStr">
        <is>
          <t>CPR</t>
        </is>
      </c>
      <c r="D1008" t="n">
        <v>32</v>
      </c>
      <c r="E1008">
        <f>IF(D4432&gt;0,VLOOKUP(OPERAC[[#This Row],[COD CART]],[1]!MatrizCortoLargoCyl[#All],3,0),"")</f>
        <v/>
      </c>
      <c r="F1008" t="inlineStr">
        <is>
          <t>F/CYL/15,00/21-01-22</t>
        </is>
      </c>
      <c r="G1008" t="n">
        <v>100</v>
      </c>
      <c r="H1008" t="n">
        <v>-1120.948</v>
      </c>
      <c r="I1008">
        <f>-H4432/G4432</f>
        <v/>
      </c>
      <c r="J1008" s="16" t="n">
        <v>44571</v>
      </c>
      <c r="K1008" t="n">
        <v>100</v>
      </c>
      <c r="L1008" t="n">
        <v>1494.708</v>
      </c>
    </row>
    <row r="1009">
      <c r="A1009" t="n">
        <v>3728</v>
      </c>
      <c r="B1009" s="16" t="n">
        <v>44265</v>
      </c>
      <c r="C1009" t="inlineStr">
        <is>
          <t>VTA</t>
        </is>
      </c>
      <c r="D1009" t="n">
        <v>39</v>
      </c>
      <c r="E1009">
        <f>IF(D1116&gt;0,VLOOKUP(OPERAC[[#This Row],[COD CART]],[1]!MatrizCortoLargoCyl[#All],3,0),"")</f>
        <v/>
      </c>
      <c r="F1009" t="inlineStr">
        <is>
          <t>ACB/V/4,00/20-01-23</t>
        </is>
      </c>
      <c r="G1009" t="n">
        <v>-20</v>
      </c>
      <c r="H1009" t="n">
        <v>22</v>
      </c>
      <c r="I1009">
        <f>-H1116/G1116</f>
        <v/>
      </c>
    </row>
    <row r="1010">
      <c r="A1010" t="n">
        <v>3728</v>
      </c>
      <c r="B1010" s="16" t="n">
        <v>44301</v>
      </c>
      <c r="C1010" t="inlineStr">
        <is>
          <t>VTA</t>
        </is>
      </c>
      <c r="D1010" t="n">
        <v>39</v>
      </c>
      <c r="E1010">
        <f>IF(D37&gt;0,VLOOKUP(OPERAC[[#This Row],[COD CART]],[1]!MatrizCortoLargoCyl[#All],3,0),"")</f>
        <v/>
      </c>
      <c r="F1010" t="inlineStr">
        <is>
          <t>INO/V/8,00/21-01-22</t>
        </is>
      </c>
      <c r="G1010" t="n">
        <v>-2000</v>
      </c>
      <c r="H1010" t="n">
        <v>5985</v>
      </c>
      <c r="I1010">
        <f>-H37/G37</f>
        <v/>
      </c>
      <c r="J1010" s="16" t="n">
        <v>44572</v>
      </c>
      <c r="K1010" t="n">
        <v>-2000</v>
      </c>
      <c r="L1010" t="n">
        <v>-6311.73</v>
      </c>
    </row>
    <row r="1011">
      <c r="A1011" t="n">
        <v>3728</v>
      </c>
      <c r="B1011" s="16" t="n">
        <v>44340</v>
      </c>
      <c r="C1011" t="inlineStr">
        <is>
          <t>VTA</t>
        </is>
      </c>
      <c r="D1011" t="n">
        <v>39</v>
      </c>
      <c r="E1011">
        <f>IF(D86&gt;0,VLOOKUP(OPERAC[[#This Row],[COD CART]],[1]!MatrizCortoLargoCyl[#All],3,0),"")</f>
        <v/>
      </c>
      <c r="F1011" t="inlineStr">
        <is>
          <t>INO/V/8,00/20-01-23</t>
        </is>
      </c>
      <c r="G1011" t="n">
        <v>-1000</v>
      </c>
      <c r="H1011" t="n">
        <v>3842.915</v>
      </c>
      <c r="I1011">
        <f>-H86/G86</f>
        <v/>
      </c>
      <c r="J1011" s="16" t="n">
        <v>44614</v>
      </c>
      <c r="K1011" t="n">
        <v>-1000</v>
      </c>
      <c r="L1011" t="n">
        <v>-5312.292</v>
      </c>
    </row>
    <row r="1012">
      <c r="A1012" t="n">
        <v>3728</v>
      </c>
      <c r="B1012" s="16" t="n">
        <v>44357</v>
      </c>
      <c r="C1012" t="inlineStr">
        <is>
          <t>CPR</t>
        </is>
      </c>
      <c r="D1012" t="n">
        <v>31</v>
      </c>
      <c r="E1012">
        <f>IF(D6212&gt;0,VLOOKUP(OPERAC[[#This Row],[COD CART]],[1]!MatrizCortoLargoCyl[#All],3,0),"")</f>
        <v/>
      </c>
      <c r="F1012" t="inlineStr">
        <is>
          <t>SFM</t>
        </is>
      </c>
      <c r="G1012" t="n">
        <v>200</v>
      </c>
      <c r="H1012" t="n">
        <v>-5832.4256</v>
      </c>
      <c r="I1012">
        <f>-H6212/G6212</f>
        <v/>
      </c>
      <c r="J1012" s="16" t="n">
        <v>44574</v>
      </c>
      <c r="K1012" t="n">
        <v>200</v>
      </c>
      <c r="L1012" t="n">
        <v>5863.08</v>
      </c>
    </row>
    <row r="1013">
      <c r="A1013" t="n">
        <v>3728</v>
      </c>
      <c r="B1013" s="16" t="n">
        <v>44358</v>
      </c>
      <c r="C1013" t="inlineStr">
        <is>
          <t>CPR</t>
        </is>
      </c>
      <c r="D1013" t="n">
        <v>31</v>
      </c>
      <c r="E1013">
        <f>IF(D6259&gt;0,VLOOKUP(OPERAC[[#This Row],[COD CART]],[1]!MatrizCortoLargoCyl[#All],3,0),"")</f>
        <v/>
      </c>
      <c r="F1013" t="inlineStr">
        <is>
          <t>SDGR</t>
        </is>
      </c>
      <c r="G1013" t="n">
        <v>100</v>
      </c>
      <c r="H1013">
        <f>-7701.872+218.24</f>
        <v/>
      </c>
      <c r="I1013">
        <f>-H6259/G6259</f>
        <v/>
      </c>
      <c r="J1013" s="16" t="n">
        <v>44637</v>
      </c>
      <c r="K1013" t="n">
        <v>100</v>
      </c>
      <c r="L1013" t="n">
        <v>3276.689</v>
      </c>
    </row>
    <row r="1014">
      <c r="A1014" t="n">
        <v>3728</v>
      </c>
      <c r="B1014" s="16" t="n">
        <v>44404</v>
      </c>
      <c r="C1014" t="inlineStr">
        <is>
          <t>VTA</t>
        </is>
      </c>
      <c r="D1014" t="n">
        <v>39</v>
      </c>
      <c r="E1014">
        <f>IF(D996&gt;0,VLOOKUP(OPERAC[[#This Row],[COD CART]],[1]!MatrizCortoLargoCyl[#All],3,0),"")</f>
        <v/>
      </c>
      <c r="F1014" t="inlineStr">
        <is>
          <t>EDU/V/25,00/20-01-23</t>
        </is>
      </c>
      <c r="G1014" t="n">
        <v>-50</v>
      </c>
      <c r="H1014" t="n">
        <v>69.93000000000001</v>
      </c>
      <c r="I1014">
        <f>-H996/G996</f>
        <v/>
      </c>
      <c r="J1014" s="16" t="n">
        <v>44637</v>
      </c>
      <c r="K1014" t="n">
        <v>-50</v>
      </c>
      <c r="L1014">
        <f>+OPERAC[[#This Row],[cantidad venta]]*1.559</f>
        <v/>
      </c>
    </row>
    <row r="1015">
      <c r="A1015" t="n">
        <v>3728</v>
      </c>
      <c r="B1015" s="16" t="n">
        <v>44411</v>
      </c>
      <c r="C1015" t="inlineStr">
        <is>
          <t>VTA</t>
        </is>
      </c>
      <c r="D1015" t="n">
        <v>39</v>
      </c>
      <c r="E1015">
        <f>IF(D1207&gt;0,VLOOKUP(OPERAC[[#This Row],[COD CART]],[1]!MatrizCortoLargoCyl[#All],3,0),"")</f>
        <v/>
      </c>
      <c r="F1015" t="inlineStr">
        <is>
          <t>EDU/V/25,00/20-01-23</t>
        </is>
      </c>
      <c r="G1015" t="n">
        <v>-7</v>
      </c>
      <c r="H1015" t="n">
        <v>8.33</v>
      </c>
      <c r="I1015">
        <f>-H1207/G1207</f>
        <v/>
      </c>
      <c r="J1015" s="16" t="n">
        <v>44637</v>
      </c>
      <c r="K1015" t="n">
        <v>-7</v>
      </c>
      <c r="L1015">
        <f>+OPERAC[[#This Row],[cantidad venta]]*1.559</f>
        <v/>
      </c>
    </row>
    <row r="1016">
      <c r="A1016" t="n">
        <v>3728</v>
      </c>
      <c r="B1016" s="16" t="n">
        <v>44426</v>
      </c>
      <c r="C1016" t="inlineStr">
        <is>
          <t>CPR</t>
        </is>
      </c>
      <c r="D1016" t="n">
        <v>40</v>
      </c>
      <c r="E1016">
        <f>IF(D6287&gt;0,VLOOKUP(OPERAC[[#This Row],[COD CART]],[1]!MatrizCortoLargoCyl[#All],3,0),"")</f>
        <v/>
      </c>
      <c r="F1016" t="inlineStr">
        <is>
          <t>BWAY</t>
        </is>
      </c>
      <c r="G1016" t="n">
        <v>1000</v>
      </c>
      <c r="H1016" t="n">
        <v>-8703.690000000001</v>
      </c>
      <c r="I1016">
        <f>-H6287/G6287</f>
        <v/>
      </c>
      <c r="J1016" s="16" t="n">
        <v>44518</v>
      </c>
      <c r="K1016">
        <f>108+92+300+500</f>
        <v/>
      </c>
      <c r="L1016">
        <f>873.465+689.219+2336.11+3993.41</f>
        <v/>
      </c>
    </row>
    <row r="1017">
      <c r="A1017" t="n">
        <v>3728</v>
      </c>
      <c r="B1017" s="16" t="n">
        <v>44427</v>
      </c>
      <c r="C1017" t="inlineStr">
        <is>
          <t>VTA</t>
        </is>
      </c>
      <c r="D1017" t="n">
        <v>39</v>
      </c>
      <c r="E1017">
        <f>IF(D92&gt;0,VLOOKUP(OPERAC[[#This Row],[COD CART]],[1]!MatrizCortoLargoCyl[#All],3,0),"")</f>
        <v/>
      </c>
      <c r="F1017" t="inlineStr">
        <is>
          <t>INO/V/5,00/20-01-23</t>
        </is>
      </c>
      <c r="G1017" t="n">
        <v>-2500</v>
      </c>
      <c r="H1017" t="n">
        <v>3739.11</v>
      </c>
      <c r="I1017">
        <f>-H92/G92</f>
        <v/>
      </c>
      <c r="J1017" s="16" t="n">
        <v>44614</v>
      </c>
      <c r="K1017" t="n">
        <v>-2500</v>
      </c>
      <c r="L1017" t="n">
        <v>-6528.48</v>
      </c>
    </row>
    <row r="1018">
      <c r="A1018" t="n">
        <v>3728</v>
      </c>
      <c r="B1018" s="16" t="n">
        <v>44431</v>
      </c>
      <c r="C1018" t="inlineStr">
        <is>
          <t>VTA</t>
        </is>
      </c>
      <c r="D1018" t="n">
        <v>39</v>
      </c>
      <c r="E1018">
        <f>IF(D1100&gt;0,VLOOKUP(OPERAC[[#This Row],[COD CART]],[1]!MatrizCortoLargoCyl[#All],3,0),"")</f>
        <v/>
      </c>
      <c r="F1018" t="inlineStr">
        <is>
          <t>GGAL/V/10,00/20-01-23</t>
        </is>
      </c>
      <c r="G1018" t="n">
        <v>-10</v>
      </c>
      <c r="H1018" t="n">
        <v>24.8</v>
      </c>
      <c r="I1018">
        <f>-H1100/G1100</f>
        <v/>
      </c>
    </row>
    <row r="1019">
      <c r="A1019" t="n">
        <v>3728</v>
      </c>
      <c r="B1019" s="16" t="n">
        <v>44441</v>
      </c>
      <c r="C1019" t="inlineStr">
        <is>
          <t>CPR</t>
        </is>
      </c>
      <c r="D1019" t="n">
        <v>40</v>
      </c>
      <c r="E1019">
        <f>IF(D6256&gt;0,VLOOKUP(OPERAC[[#This Row],[COD CART]],[1]!MatrizCortoLargoCyl[#All],3,0),"")</f>
        <v/>
      </c>
      <c r="F1019" t="inlineStr">
        <is>
          <t>EDIT</t>
        </is>
      </c>
      <c r="G1019" t="n">
        <v>100</v>
      </c>
      <c r="H1019" t="n">
        <v>-7150.643000000001</v>
      </c>
      <c r="I1019">
        <f>-H6256/G6256</f>
        <v/>
      </c>
      <c r="J1019" s="16" t="n">
        <v>44637</v>
      </c>
      <c r="K1019" t="n">
        <v>100</v>
      </c>
      <c r="L1019">
        <f>+OPERAC[[#This Row],[cantidad venta]]*16.796</f>
        <v/>
      </c>
    </row>
    <row r="1020">
      <c r="A1020" t="n">
        <v>3728</v>
      </c>
      <c r="B1020" s="16" t="n">
        <v>44442</v>
      </c>
      <c r="C1020" t="inlineStr">
        <is>
          <t>CPR</t>
        </is>
      </c>
      <c r="D1020" t="n">
        <v>40</v>
      </c>
      <c r="E1020">
        <f>IF(D6304&gt;0,VLOOKUP(OPERAC[[#This Row],[COD CART]],[1]!MatrizCortoLargoCyl[#All],3,0),"")</f>
        <v/>
      </c>
      <c r="F1020" t="inlineStr">
        <is>
          <t>EDIT</t>
        </is>
      </c>
      <c r="G1020" t="n">
        <v>160</v>
      </c>
      <c r="H1020" t="n">
        <v>-11261.6496</v>
      </c>
      <c r="I1020">
        <f>-H6304/G6304</f>
        <v/>
      </c>
      <c r="J1020" s="16" t="n">
        <v>44455</v>
      </c>
      <c r="K1020">
        <f>60+100</f>
        <v/>
      </c>
      <c r="L1020">
        <f>3644.771+1679.6</f>
        <v/>
      </c>
    </row>
    <row r="1021">
      <c r="A1021" t="n">
        <v>3728</v>
      </c>
      <c r="B1021" s="16" t="n">
        <v>44453</v>
      </c>
      <c r="C1021" t="inlineStr">
        <is>
          <t>CPR</t>
        </is>
      </c>
      <c r="D1021" t="n">
        <v>40</v>
      </c>
      <c r="E1021">
        <f>IF(D6232&gt;0,VLOOKUP(OPERAC[[#This Row],[COD CART]],[1]!MatrizCortoLargoCyl[#All],3,0),"")</f>
        <v/>
      </c>
      <c r="F1021" t="inlineStr">
        <is>
          <t>EDIT</t>
        </is>
      </c>
      <c r="G1021" t="n">
        <v>100</v>
      </c>
      <c r="H1021" t="n">
        <v>-6214.708</v>
      </c>
      <c r="I1021">
        <f>-H6232/G6232</f>
        <v/>
      </c>
      <c r="J1021" s="16" t="n">
        <v>44606</v>
      </c>
      <c r="K1021" t="n">
        <v>100</v>
      </c>
      <c r="L1021">
        <f>+OPERAC[[#This Row],[cantidad venta]]*16.179</f>
        <v/>
      </c>
    </row>
    <row r="1022">
      <c r="A1022" t="n">
        <v>3728</v>
      </c>
      <c r="B1022" s="16" t="n">
        <v>44459</v>
      </c>
      <c r="C1022" t="inlineStr">
        <is>
          <t>CPR</t>
        </is>
      </c>
      <c r="D1022" t="n">
        <v>43</v>
      </c>
      <c r="E1022">
        <f>IF(D4029&gt;0,VLOOKUP(OPERAC[[#This Row],[COD CART]],[1]!MatrizCortoLargoCyl[#All],3,0),"")</f>
        <v/>
      </c>
      <c r="F1022" t="inlineStr">
        <is>
          <t>SOLO/CYL-PUT/3,00/17-06-22</t>
        </is>
      </c>
      <c r="G1022" t="n">
        <v>500</v>
      </c>
      <c r="H1022">
        <f>-1122.01+0.137*OPERAC[[#This Row],[cantidad]]-517.511+72.925+572.415</f>
        <v/>
      </c>
      <c r="I1022">
        <f>-H4029/G4029</f>
        <v/>
      </c>
      <c r="J1022" s="16" t="n">
        <v>44719</v>
      </c>
      <c r="K1022" t="n">
        <v>500</v>
      </c>
      <c r="L1022" t="n">
        <v>29.469</v>
      </c>
    </row>
    <row r="1023">
      <c r="A1023" t="n">
        <v>3728</v>
      </c>
      <c r="B1023" s="16" t="n">
        <v>44459</v>
      </c>
      <c r="C1023" t="inlineStr">
        <is>
          <t>CPR</t>
        </is>
      </c>
      <c r="D1023" t="n">
        <v>43</v>
      </c>
      <c r="E1023">
        <f>IF(D4285&gt;0,VLOOKUP(OPERAC[[#This Row],[COD CART]],[1]!MatrizCortoLargoCyl[#All],3,0),"")</f>
        <v/>
      </c>
      <c r="F1023" t="inlineStr">
        <is>
          <t>INO/CYL-PUT/7,00/21-01-22</t>
        </is>
      </c>
      <c r="G1023" t="n">
        <v>200</v>
      </c>
      <c r="H1023" t="n">
        <v>-1030.91</v>
      </c>
      <c r="I1023">
        <f>-H4285/G4285</f>
        <v/>
      </c>
      <c r="J1023" s="16" t="n">
        <v>44581</v>
      </c>
      <c r="K1023" t="n">
        <v>200</v>
      </c>
      <c r="L1023" t="n">
        <v>251.59</v>
      </c>
    </row>
    <row r="1024">
      <c r="A1024" t="n">
        <v>3728</v>
      </c>
      <c r="B1024" s="16" t="n">
        <v>44459</v>
      </c>
      <c r="C1024" t="inlineStr">
        <is>
          <t>VTA</t>
        </is>
      </c>
      <c r="D1024" t="n">
        <v>40</v>
      </c>
      <c r="E1024">
        <f>IF(D3845&gt;0,VLOOKUP(OPERAC[[#This Row],[COD CART]],[1]!MatrizCortoLargoCyl[#All],3,0),"")</f>
        <v/>
      </c>
      <c r="F1024" t="inlineStr">
        <is>
          <t>EDU</t>
        </is>
      </c>
      <c r="G1024" t="n">
        <v>1000</v>
      </c>
      <c r="H1024">
        <f>-901.14+0.04*OPERAC[[#This Row],[cantidad]]</f>
        <v/>
      </c>
      <c r="I1024">
        <f>-H3845/G3845</f>
        <v/>
      </c>
      <c r="J1024" s="16" t="n">
        <v>44622</v>
      </c>
      <c r="K1024" t="n">
        <v>1000</v>
      </c>
      <c r="L1024">
        <f>+OPERAC[[#This Row],[cantidad venta]]*1.383</f>
        <v/>
      </c>
    </row>
    <row r="1025">
      <c r="A1025" t="n">
        <v>3728</v>
      </c>
      <c r="B1025" s="16" t="n">
        <v>44462</v>
      </c>
      <c r="C1025" t="inlineStr">
        <is>
          <t>CPR</t>
        </is>
      </c>
      <c r="D1025" t="n">
        <v>43</v>
      </c>
      <c r="E1025">
        <f>IF(D3640&gt;0,VLOOKUP(OPERAC[[#This Row],[COD CART]],[1]!MatrizCortoLargoCyl[#All],3,0),"")</f>
        <v/>
      </c>
      <c r="F1025" t="inlineStr">
        <is>
          <t>SOLO/CYL-PUT/4,00/16-09-22</t>
        </is>
      </c>
      <c r="G1025" t="n">
        <v>500</v>
      </c>
      <c r="H1025">
        <f>OPERAC[[#This Row],[cantidad]]*-2.54+0.32*OPERAC[[#This Row],[cantidad]]+0.387*OPERAC[[#This Row],[cantidad]]+0.22*OPERAC[[#This Row],[cantidad]]</f>
        <v/>
      </c>
      <c r="I1025">
        <f>-H3640/G3640</f>
        <v/>
      </c>
    </row>
    <row r="1026">
      <c r="A1026" t="n">
        <v>3728</v>
      </c>
      <c r="B1026" s="16" t="n">
        <v>44463</v>
      </c>
      <c r="C1026" t="inlineStr">
        <is>
          <t>CPR</t>
        </is>
      </c>
      <c r="D1026" t="n">
        <v>40</v>
      </c>
      <c r="E1026">
        <f>IF(D6228&gt;0,VLOOKUP(OPERAC[[#This Row],[COD CART]],[1]!MatrizCortoLargoCyl[#All],3,0),"")</f>
        <v/>
      </c>
      <c r="F1026" t="inlineStr">
        <is>
          <t>EDIT</t>
        </is>
      </c>
      <c r="G1026" t="n">
        <v>100</v>
      </c>
      <c r="H1026" t="n">
        <v>-6114.608</v>
      </c>
      <c r="I1026">
        <f>-H6228/G6228</f>
        <v/>
      </c>
      <c r="J1026" s="16" t="n">
        <v>44606</v>
      </c>
      <c r="K1026" t="n">
        <v>100</v>
      </c>
      <c r="L1026">
        <f>+OPERAC[[#This Row],[cantidad venta]]*16.179</f>
        <v/>
      </c>
    </row>
    <row r="1027">
      <c r="A1027" t="n">
        <v>3728</v>
      </c>
      <c r="B1027" s="16" t="n">
        <v>44466</v>
      </c>
      <c r="C1027" t="inlineStr">
        <is>
          <t>VTA</t>
        </is>
      </c>
      <c r="D1027" t="n">
        <v>43</v>
      </c>
      <c r="E1027">
        <f>IF(D3025&gt;0,VLOOKUP(OPERAC[[#This Row],[COD CART]],[1]!MatrizCortoLargoCyl[#All],3,0),"")</f>
        <v/>
      </c>
      <c r="F1027" t="inlineStr">
        <is>
          <t>SOLO/CYL-PUT/4,00/16-09-22</t>
        </is>
      </c>
      <c r="G1027" t="n">
        <v>300</v>
      </c>
      <c r="H1027">
        <f>-879.41196+0.32*OPERAC[[#This Row],[cantidad]]+0.387*OPERAC[[#This Row],[cantidad]]+0.22*OPERAC[[#This Row],[cantidad]]</f>
        <v/>
      </c>
      <c r="I1027">
        <f>-H3025/G3025</f>
        <v/>
      </c>
    </row>
    <row r="1028">
      <c r="A1028" t="n">
        <v>3728</v>
      </c>
      <c r="B1028" s="16" t="n">
        <v>44468</v>
      </c>
      <c r="C1028" t="inlineStr">
        <is>
          <t>CPR</t>
        </is>
      </c>
      <c r="D1028" t="n">
        <v>40</v>
      </c>
      <c r="E1028">
        <f>IF(D6326&gt;0,VLOOKUP(OPERAC[[#This Row],[COD CART]],[1]!MatrizCortoLargoCyl[#All],3,0),"")</f>
        <v/>
      </c>
      <c r="F1028" t="inlineStr">
        <is>
          <t>EDIT</t>
        </is>
      </c>
      <c r="G1028" t="n">
        <v>1500</v>
      </c>
      <c r="H1028" t="n">
        <v>-69146.575</v>
      </c>
      <c r="I1028">
        <f>-H6326/G6326</f>
        <v/>
      </c>
      <c r="J1028" s="16" t="n">
        <v>44468</v>
      </c>
      <c r="K1028">
        <f>1000+400+100</f>
        <v/>
      </c>
      <c r="L1028">
        <f>42442.18+11286.84+1617.9</f>
        <v/>
      </c>
    </row>
    <row r="1029">
      <c r="A1029" t="n">
        <v>3728</v>
      </c>
      <c r="B1029" s="16" t="n">
        <v>44468</v>
      </c>
      <c r="C1029" t="inlineStr">
        <is>
          <t>VTA</t>
        </is>
      </c>
      <c r="D1029" t="n">
        <v>39</v>
      </c>
      <c r="E1029">
        <f>IF(D944&gt;0,VLOOKUP(OPERAC[[#This Row],[COD CART]],[1]!MatrizCortoLargoCyl[#All],3,0),"")</f>
        <v/>
      </c>
      <c r="F1029" t="inlineStr">
        <is>
          <t>EDIT/V/35,00/20-01-23</t>
        </is>
      </c>
      <c r="G1029" t="n">
        <v>-10</v>
      </c>
      <c r="H1029" t="n">
        <v>98.23</v>
      </c>
      <c r="I1029">
        <f>-H944/G944</f>
        <v/>
      </c>
    </row>
    <row r="1030">
      <c r="A1030" t="n">
        <v>3728</v>
      </c>
      <c r="B1030" s="16" t="n">
        <v>44469</v>
      </c>
      <c r="C1030" t="inlineStr">
        <is>
          <t>VTA</t>
        </is>
      </c>
      <c r="D1030" t="n">
        <v>39</v>
      </c>
      <c r="E1030">
        <f>IF(D527&gt;0,VLOOKUP(OPERAC[[#This Row],[COD CART]],[1]!MatrizCortoLargoCyl[#All],3,0),"")</f>
        <v/>
      </c>
      <c r="F1030" t="inlineStr">
        <is>
          <t>ACB/V/6,00/21-01-22</t>
        </is>
      </c>
      <c r="G1030" t="n">
        <v>-1000</v>
      </c>
      <c r="H1030">
        <f>856.745-0.5*OPERAC[[#This Row],[cantidad]]+0.51*OPERAC[[#This Row],[cantidad]]</f>
        <v/>
      </c>
      <c r="I1030">
        <f>-H527/G527</f>
        <v/>
      </c>
      <c r="J1030" s="16" t="n">
        <v>44581</v>
      </c>
      <c r="K1030">
        <f>+OPERAC[[#This Row],[cantidad]]</f>
        <v/>
      </c>
      <c r="L1030">
        <f>-OPERAC[[#This Row],[importe]]</f>
        <v/>
      </c>
    </row>
    <row r="1031">
      <c r="A1031" t="n">
        <v>3728</v>
      </c>
      <c r="B1031" s="16" t="n">
        <v>44474</v>
      </c>
      <c r="C1031" t="inlineStr">
        <is>
          <t>VTA</t>
        </is>
      </c>
      <c r="D1031" t="n">
        <v>39</v>
      </c>
      <c r="E1031">
        <f>IF(D774&gt;0,VLOOKUP(OPERAC[[#This Row],[COD CART]],[1]!MatrizCortoLargoCyl[#All],3,0),"")</f>
        <v/>
      </c>
      <c r="F1031" t="inlineStr">
        <is>
          <t>NKE/V/115,00/21-01-22</t>
        </is>
      </c>
      <c r="G1031" t="n">
        <v>-300</v>
      </c>
      <c r="H1031" t="n">
        <v>312.339</v>
      </c>
      <c r="I1031">
        <f>-H774/G774</f>
        <v/>
      </c>
      <c r="J1031" s="16" t="n">
        <v>44582</v>
      </c>
      <c r="K1031">
        <f>+OPERAC[[#This Row],[cantidad]]</f>
        <v/>
      </c>
      <c r="L1031" t="n">
        <v>0</v>
      </c>
    </row>
    <row r="1032">
      <c r="A1032" t="n">
        <v>3728</v>
      </c>
      <c r="B1032" s="16" t="n">
        <v>44475</v>
      </c>
      <c r="C1032" t="inlineStr">
        <is>
          <t>VTA</t>
        </is>
      </c>
      <c r="D1032" t="n">
        <v>39</v>
      </c>
      <c r="E1032">
        <f>IF(D1111&gt;0,VLOOKUP(OPERAC[[#This Row],[COD CART]],[1]!MatrizCortoLargoCyl[#All],3,0),"")</f>
        <v/>
      </c>
      <c r="F1032" t="inlineStr">
        <is>
          <t>TLRY/V/8,00/19-01-24</t>
        </is>
      </c>
      <c r="G1032" t="n">
        <v>-8</v>
      </c>
      <c r="H1032" t="n">
        <v>23.14</v>
      </c>
      <c r="I1032">
        <f>-H1111/G1111</f>
        <v/>
      </c>
      <c r="J1032" s="16" t="n">
        <v>44637</v>
      </c>
      <c r="K1032" t="n">
        <v>-8</v>
      </c>
      <c r="L1032" t="n">
        <v>-35</v>
      </c>
    </row>
    <row r="1033">
      <c r="A1033" t="n">
        <v>3728</v>
      </c>
      <c r="B1033" s="16" t="n">
        <v>44480</v>
      </c>
      <c r="C1033" t="inlineStr">
        <is>
          <t>VTA</t>
        </is>
      </c>
      <c r="D1033" t="n">
        <v>39</v>
      </c>
      <c r="E1033">
        <f>IF(D6&gt;0,VLOOKUP(OPERAC[[#This Row],[COD CART]],[1]!MatrizCortoLargoCyl[#All],3,0),"")</f>
        <v/>
      </c>
      <c r="F1033" t="inlineStr">
        <is>
          <t>EDU/V/3,00/20-01-23</t>
        </is>
      </c>
      <c r="G1033" t="n">
        <v>-10000</v>
      </c>
      <c r="H1033" t="n">
        <v>14470.5</v>
      </c>
      <c r="I1033">
        <f>-H6/G6</f>
        <v/>
      </c>
      <c r="J1033" s="16" t="n">
        <v>44614</v>
      </c>
      <c r="K1033" t="n">
        <v>-10000</v>
      </c>
      <c r="L1033" t="n">
        <v>-18045.91</v>
      </c>
    </row>
    <row r="1034">
      <c r="A1034" t="n">
        <v>3728</v>
      </c>
      <c r="B1034" s="16" t="n">
        <v>44482</v>
      </c>
      <c r="C1034" t="inlineStr">
        <is>
          <t>VTA</t>
        </is>
      </c>
      <c r="D1034" t="n">
        <v>39</v>
      </c>
      <c r="E1034">
        <f>IF(D46&gt;0,VLOOKUP(OPERAC[[#This Row],[COD CART]],[1]!MatrizCortoLargoCyl[#All],3,0),"")</f>
        <v/>
      </c>
      <c r="F1034" t="inlineStr">
        <is>
          <t>SESN/V/2,00/18-02-22</t>
        </is>
      </c>
      <c r="G1034" t="n">
        <v>-5000</v>
      </c>
      <c r="H1034" t="n">
        <v>5244.75</v>
      </c>
      <c r="I1034">
        <f>-H46/G46</f>
        <v/>
      </c>
      <c r="J1034" s="16" t="n">
        <v>44600</v>
      </c>
      <c r="K1034" t="n">
        <v>-5000</v>
      </c>
      <c r="L1034">
        <f>-1.35*5000</f>
        <v/>
      </c>
    </row>
    <row r="1035">
      <c r="A1035" t="n">
        <v>3728</v>
      </c>
      <c r="B1035" s="16" t="n">
        <v>44487</v>
      </c>
      <c r="C1035" t="inlineStr">
        <is>
          <t>CPR</t>
        </is>
      </c>
      <c r="D1035" t="n">
        <v>40</v>
      </c>
      <c r="E1035">
        <f>IF(D6142&gt;0,VLOOKUP(OPERAC[[#This Row],[COD CART]],[1]!MatrizCortoLargoCyl[#All],3,0),"")</f>
        <v/>
      </c>
      <c r="F1035" t="inlineStr">
        <is>
          <t>MELI</t>
        </is>
      </c>
      <c r="G1035" t="n">
        <v>3</v>
      </c>
      <c r="H1035" t="n">
        <v>-4785.4785</v>
      </c>
      <c r="I1035">
        <f>-H6142/G6142</f>
        <v/>
      </c>
      <c r="J1035" s="16" t="n">
        <v>44606</v>
      </c>
      <c r="K1035" t="n">
        <v>3</v>
      </c>
      <c r="L1035" t="n">
        <v>3250.11</v>
      </c>
    </row>
    <row r="1036">
      <c r="A1036" t="n">
        <v>3728</v>
      </c>
      <c r="B1036" s="16" t="n">
        <v>44489</v>
      </c>
      <c r="C1036" t="inlineStr">
        <is>
          <t>CPR</t>
        </is>
      </c>
      <c r="D1036" t="n">
        <v>43</v>
      </c>
      <c r="E1036">
        <f>IF(D6296&gt;0,VLOOKUP(OPERAC[[#This Row],[COD CART]],[1]!MatrizCortoLargoCyl[#All],3,0),"")</f>
        <v/>
      </c>
      <c r="F1036" t="inlineStr">
        <is>
          <t>SESN/CYL-PUT/1,00/19-01-24</t>
        </is>
      </c>
      <c r="G1036" t="n">
        <v>55000</v>
      </c>
      <c r="H1036">
        <f>-0.1885*OPERAC[[#This Row],[cantidad]]</f>
        <v/>
      </c>
      <c r="I1036">
        <f>-H6296/G6296</f>
        <v/>
      </c>
    </row>
    <row r="1037">
      <c r="A1037" t="n">
        <v>3728</v>
      </c>
      <c r="B1037" s="16" t="n">
        <v>44494</v>
      </c>
      <c r="C1037" t="inlineStr">
        <is>
          <t>VTA</t>
        </is>
      </c>
      <c r="D1037" t="n">
        <v>40</v>
      </c>
      <c r="E1037">
        <f>IF(D5555&gt;0,VLOOKUP(OPERAC[[#This Row],[COD CART]],[1]!MatrizCortoLargoCyl[#All],3,0),"")</f>
        <v/>
      </c>
      <c r="F1037" t="inlineStr">
        <is>
          <t>YPF</t>
        </is>
      </c>
      <c r="G1037" t="n">
        <v>450</v>
      </c>
      <c r="H1037" t="n">
        <v>-2093.724</v>
      </c>
      <c r="I1037">
        <f>-H5555/G5555</f>
        <v/>
      </c>
      <c r="J1037" s="16" t="n">
        <v>44606</v>
      </c>
      <c r="K1037">
        <f>+OPERAC[[#This Row],[cantidad]]</f>
        <v/>
      </c>
      <c r="L1037">
        <f>+OPERAC[[#This Row],[cantidad venta]]*4.161</f>
        <v/>
      </c>
    </row>
    <row r="1038">
      <c r="A1038" t="n">
        <v>3728</v>
      </c>
      <c r="B1038" s="16" t="n">
        <v>44495</v>
      </c>
      <c r="C1038" t="inlineStr">
        <is>
          <t>VTA</t>
        </is>
      </c>
      <c r="D1038" t="n">
        <v>39</v>
      </c>
      <c r="E1038">
        <f>IF(D258&gt;0,VLOOKUP(OPERAC[[#This Row],[COD CART]],[1]!MatrizCortoLargoCyl[#All],3,0),"")</f>
        <v/>
      </c>
      <c r="F1038" t="inlineStr">
        <is>
          <t>TLRY/V/11,00/21-01-22</t>
        </is>
      </c>
      <c r="G1038" t="n">
        <v>-1000</v>
      </c>
      <c r="H1038" t="n">
        <v>1738.45</v>
      </c>
      <c r="I1038">
        <f>-H258/G258</f>
        <v/>
      </c>
      <c r="J1038" s="16" t="n">
        <v>44571</v>
      </c>
      <c r="K1038">
        <f>+OPERAC[[#This Row],[cantidad]]</f>
        <v/>
      </c>
      <c r="L1038">
        <f>-OPERAC[[#This Row],[importe]]</f>
        <v/>
      </c>
    </row>
    <row r="1039">
      <c r="A1039" t="n">
        <v>3728</v>
      </c>
      <c r="B1039" s="16" t="n">
        <v>44495</v>
      </c>
      <c r="C1039" t="inlineStr">
        <is>
          <t>VTA</t>
        </is>
      </c>
      <c r="D1039" t="n">
        <v>39</v>
      </c>
      <c r="E1039">
        <f>IF(D379&gt;0,VLOOKUP(OPERAC[[#This Row],[COD CART]],[1]!MatrizCortoLargoCyl[#All],3,0),"")</f>
        <v/>
      </c>
      <c r="F1039" t="inlineStr">
        <is>
          <t>YPF/CC10/LP7/CP3/19-01-24</t>
        </is>
      </c>
      <c r="G1039" t="n">
        <v>-500</v>
      </c>
      <c r="H1039">
        <f>-2.41*OPERAC[[#This Row],[cantidad]]</f>
        <v/>
      </c>
      <c r="I1039">
        <f>-H379/G379</f>
        <v/>
      </c>
    </row>
    <row r="1040">
      <c r="A1040" t="n">
        <v>3728</v>
      </c>
      <c r="B1040" s="16" t="n">
        <v>44495</v>
      </c>
      <c r="C1040" t="inlineStr">
        <is>
          <t>VTA</t>
        </is>
      </c>
      <c r="D1040" t="n">
        <v>39</v>
      </c>
      <c r="E1040">
        <f>IF(D385&gt;0,VLOOKUP(OPERAC[[#This Row],[COD CART]],[1]!MatrizCortoLargoCyl[#All],3,0),"")</f>
        <v/>
      </c>
      <c r="F1040" t="inlineStr">
        <is>
          <t>YPF/CC10/LP7/CP3/19-01-24</t>
        </is>
      </c>
      <c r="G1040" t="n">
        <v>-500</v>
      </c>
      <c r="H1040">
        <f>-2.41*OPERAC[[#This Row],[cantidad]]</f>
        <v/>
      </c>
      <c r="I1040">
        <f>-H385/G385</f>
        <v/>
      </c>
    </row>
    <row r="1041">
      <c r="A1041" t="n">
        <v>3728</v>
      </c>
      <c r="B1041" s="16" t="n">
        <v>44505</v>
      </c>
      <c r="C1041" t="inlineStr">
        <is>
          <t>CPR</t>
        </is>
      </c>
      <c r="D1041" t="n">
        <v>40</v>
      </c>
      <c r="E1041">
        <f>IF(D6291&gt;0,VLOOKUP(OPERAC[[#This Row],[COD CART]],[1]!MatrizCortoLargoCyl[#All],3,0),"")</f>
        <v/>
      </c>
      <c r="F1041" t="inlineStr">
        <is>
          <t>BYND</t>
        </is>
      </c>
      <c r="G1041" t="n">
        <v>100</v>
      </c>
      <c r="H1041" t="n">
        <v>-9486.85</v>
      </c>
      <c r="I1041">
        <f>-H6291/G6291</f>
        <v/>
      </c>
      <c r="J1041" s="16" t="n">
        <v>44606</v>
      </c>
      <c r="K1041" t="n">
        <v>100</v>
      </c>
      <c r="L1041" t="n">
        <v>5908.045</v>
      </c>
    </row>
    <row r="1042">
      <c r="A1042" t="n">
        <v>3728</v>
      </c>
      <c r="B1042" s="16" t="n">
        <v>44508</v>
      </c>
      <c r="C1042" t="inlineStr">
        <is>
          <t>VTA</t>
        </is>
      </c>
      <c r="D1042" t="n">
        <v>39</v>
      </c>
      <c r="E1042">
        <f>IF(D435&gt;0,VLOOKUP(OPERAC[[#This Row],[COD CART]],[1]!MatrizCortoLargoCyl[#All],3,0),"")</f>
        <v/>
      </c>
      <c r="F1042" t="inlineStr">
        <is>
          <t>ACB/V/6,00/21-01-22</t>
        </is>
      </c>
      <c r="G1042" t="n">
        <v>-2500</v>
      </c>
      <c r="H1042">
        <f>1073.3-0.5*OPERAC[[#This Row],[cantidad]]+0.51*OPERAC[[#This Row],[cantidad]]</f>
        <v/>
      </c>
      <c r="I1042">
        <f>-H435/G435</f>
        <v/>
      </c>
      <c r="J1042" s="16" t="n">
        <v>44581</v>
      </c>
      <c r="K1042">
        <f>+OPERAC[[#This Row],[cantidad]]</f>
        <v/>
      </c>
      <c r="L1042">
        <f>-OPERAC[[#This Row],[importe]]</f>
        <v/>
      </c>
    </row>
    <row r="1043">
      <c r="A1043" t="n">
        <v>3728</v>
      </c>
      <c r="B1043" s="16" t="n">
        <v>44509</v>
      </c>
      <c r="C1043" t="inlineStr">
        <is>
          <t>VTA</t>
        </is>
      </c>
      <c r="D1043" t="n">
        <v>39</v>
      </c>
      <c r="E1043">
        <f>IF(D971&gt;0,VLOOKUP(OPERAC[[#This Row],[COD CART]],[1]!MatrizCortoLargoCyl[#All],3,0),"")</f>
        <v/>
      </c>
      <c r="F1043" t="inlineStr">
        <is>
          <t>TLRY/V/10,00/19-01-24</t>
        </is>
      </c>
      <c r="G1043" t="n">
        <v>-20</v>
      </c>
      <c r="H1043" t="n">
        <v>81.86</v>
      </c>
      <c r="I1043">
        <f>-H971/G971</f>
        <v/>
      </c>
      <c r="J1043" s="16" t="n">
        <v>44637</v>
      </c>
      <c r="K1043" t="n">
        <v>-20</v>
      </c>
      <c r="L1043" t="n">
        <v>-121.84</v>
      </c>
    </row>
    <row r="1044">
      <c r="A1044" t="n">
        <v>3728</v>
      </c>
      <c r="B1044" s="16" t="n">
        <v>44511</v>
      </c>
      <c r="C1044" t="inlineStr">
        <is>
          <t>CPR</t>
        </is>
      </c>
      <c r="D1044" t="n">
        <v>31</v>
      </c>
      <c r="E1044">
        <f>IF(D6029&gt;0,VLOOKUP(OPERAC[[#This Row],[COD CART]],[1]!MatrizCortoLargoCyl[#All],3,0),"")</f>
        <v/>
      </c>
      <c r="F1044" t="inlineStr">
        <is>
          <t>IPIX</t>
        </is>
      </c>
      <c r="G1044" t="n">
        <v>50000</v>
      </c>
      <c r="H1044" t="n">
        <v>-3500.753</v>
      </c>
      <c r="I1044">
        <f>-H6029/G6029</f>
        <v/>
      </c>
    </row>
    <row r="1045">
      <c r="A1045" t="n">
        <v>3728</v>
      </c>
      <c r="B1045" s="16" t="n">
        <v>44516</v>
      </c>
      <c r="C1045" t="inlineStr">
        <is>
          <t>VTA</t>
        </is>
      </c>
      <c r="D1045" t="n">
        <v>39</v>
      </c>
      <c r="E1045">
        <f>IF(D5500&gt;0,VLOOKUP(OPERAC[[#This Row],[COD CART]],[1]!MatrizCortoLargoCyl[#All],3,0),"")</f>
        <v/>
      </c>
      <c r="F1045" t="inlineStr">
        <is>
          <t>ACB/V/6,00/21-01-22</t>
        </is>
      </c>
      <c r="G1045" t="n">
        <v>-10000</v>
      </c>
      <c r="H1045">
        <f>3131.8+0.51*OPERAC[[#This Row],[cantidad]]</f>
        <v/>
      </c>
      <c r="I1045">
        <f>-H5500/G5500</f>
        <v/>
      </c>
      <c r="J1045" s="16" t="n">
        <v>44581</v>
      </c>
      <c r="K1045">
        <f>+OPERAC[[#This Row],[cantidad]]</f>
        <v/>
      </c>
      <c r="L1045">
        <f>-OPERAC[[#This Row],[importe]]</f>
        <v/>
      </c>
    </row>
    <row r="1046">
      <c r="A1046" t="n">
        <v>3728</v>
      </c>
      <c r="B1046" s="16" t="n">
        <v>44517</v>
      </c>
      <c r="C1046" t="inlineStr">
        <is>
          <t>CPR</t>
        </is>
      </c>
      <c r="D1046" t="n">
        <v>40</v>
      </c>
      <c r="E1046">
        <f>IF(D6175&gt;0,VLOOKUP(OPERAC[[#This Row],[COD CART]],[1]!MatrizCortoLargoCyl[#All],3,0),"")</f>
        <v/>
      </c>
      <c r="F1046" t="inlineStr">
        <is>
          <t>SUPV</t>
        </is>
      </c>
      <c r="G1046" t="n">
        <v>2500</v>
      </c>
      <c r="H1046" t="n">
        <v>-5062.545</v>
      </c>
      <c r="I1046">
        <f>-H6175/G6175</f>
        <v/>
      </c>
      <c r="J1046" s="16" t="n">
        <v>44637</v>
      </c>
      <c r="K1046" t="n">
        <v>2500</v>
      </c>
      <c r="L1046" t="n">
        <v>4757.375</v>
      </c>
    </row>
    <row r="1047">
      <c r="A1047" t="n">
        <v>3728</v>
      </c>
      <c r="B1047" s="16" t="n">
        <v>44517</v>
      </c>
      <c r="C1047" t="inlineStr">
        <is>
          <t>VTA</t>
        </is>
      </c>
      <c r="D1047" t="n">
        <v>39</v>
      </c>
      <c r="E1047">
        <f>IF(D658&gt;0,VLOOKUP(OPERAC[[#This Row],[COD CART]],[1]!MatrizCortoLargoCyl[#All],3,0),"")</f>
        <v/>
      </c>
      <c r="F1047" t="inlineStr">
        <is>
          <t>CL/V/60,00/58 DÍAS</t>
        </is>
      </c>
      <c r="G1047" t="n">
        <v>-1000</v>
      </c>
      <c r="H1047" t="n">
        <v>473.79</v>
      </c>
      <c r="I1047">
        <f>-H658/G658</f>
        <v/>
      </c>
      <c r="J1047" s="16" t="n">
        <v>44621</v>
      </c>
      <c r="K1047" t="n">
        <v>-1000</v>
      </c>
      <c r="L1047" t="n">
        <v>0</v>
      </c>
    </row>
    <row r="1048">
      <c r="A1048" t="n">
        <v>3728</v>
      </c>
      <c r="B1048" s="16" t="n">
        <v>44523</v>
      </c>
      <c r="C1048" t="inlineStr">
        <is>
          <t>CPR</t>
        </is>
      </c>
      <c r="D1048" t="n">
        <v>32</v>
      </c>
      <c r="E1048">
        <f>IF(D3622&gt;0,VLOOKUP(OPERAC[[#This Row],[COD CART]],[1]!MatrizCortoLargoCyl[#All],3,0),"")</f>
        <v/>
      </c>
      <c r="F1048" t="inlineStr">
        <is>
          <t>GMBL</t>
        </is>
      </c>
      <c r="G1048" t="n">
        <v>200</v>
      </c>
      <c r="H1048">
        <f>-815.154+18.274</f>
        <v/>
      </c>
      <c r="I1048">
        <f>-H3622/G3622</f>
        <v/>
      </c>
      <c r="J1048" s="16" t="n">
        <v>44686</v>
      </c>
      <c r="K1048" t="n">
        <v>200</v>
      </c>
      <c r="L1048" t="n">
        <v>111.009</v>
      </c>
    </row>
    <row r="1049">
      <c r="A1049" t="n">
        <v>3728</v>
      </c>
      <c r="B1049" s="16" t="n">
        <v>44523</v>
      </c>
      <c r="C1049" t="inlineStr">
        <is>
          <t>VTA</t>
        </is>
      </c>
      <c r="D1049" t="n">
        <v>32</v>
      </c>
      <c r="E1049">
        <f>IF(D5247&gt;0,VLOOKUP(OPERAC[[#This Row],[COD CART]],[1]!MatrizCortoLargoCyl[#All],3,0),"")</f>
        <v/>
      </c>
      <c r="F1049" t="inlineStr">
        <is>
          <t>TEVA/CYL/9,00/21-01-22</t>
        </is>
      </c>
      <c r="G1049" t="n">
        <v>200</v>
      </c>
      <c r="H1049">
        <f>-1710.6258+37.748</f>
        <v/>
      </c>
      <c r="I1049">
        <f>-H5247/G5247</f>
        <v/>
      </c>
      <c r="J1049" s="16" t="n">
        <v>44575</v>
      </c>
      <c r="K1049" t="n">
        <v>200</v>
      </c>
      <c r="L1049" t="n">
        <v>1765.831</v>
      </c>
    </row>
    <row r="1050">
      <c r="A1050" t="n">
        <v>3728</v>
      </c>
      <c r="B1050" s="16" t="n">
        <v>44523</v>
      </c>
      <c r="C1050" t="inlineStr">
        <is>
          <t>VTA</t>
        </is>
      </c>
      <c r="D1050" t="n">
        <v>40</v>
      </c>
      <c r="E1050">
        <f>IF(D5320&gt;0,VLOOKUP(OPERAC[[#This Row],[COD CART]],[1]!MatrizCortoLargoCyl[#All],3,0),"")</f>
        <v/>
      </c>
      <c r="F1050" t="inlineStr">
        <is>
          <t>EDU</t>
        </is>
      </c>
      <c r="G1050" t="n">
        <v>1000</v>
      </c>
      <c r="H1050">
        <f>-1759.575+0.026*OPERAC[[#This Row],[cantidad]]</f>
        <v/>
      </c>
      <c r="I1050">
        <f>-H5320/G5320</f>
        <v/>
      </c>
      <c r="J1050" s="16" t="n">
        <v>44622</v>
      </c>
      <c r="K1050" t="n">
        <v>1000</v>
      </c>
      <c r="L1050">
        <f>+OPERAC[[#This Row],[cantidad venta]]*1.383</f>
        <v/>
      </c>
    </row>
    <row r="1051">
      <c r="A1051" t="n">
        <v>3728</v>
      </c>
      <c r="B1051" s="16" t="n">
        <v>44531</v>
      </c>
      <c r="C1051" t="inlineStr">
        <is>
          <t>VTA</t>
        </is>
      </c>
      <c r="D1051" t="n">
        <v>39</v>
      </c>
      <c r="E1051">
        <f>IF(D773&gt;0,VLOOKUP(OPERAC[[#This Row],[COD CART]],[1]!MatrizCortoLargoCyl[#All],3,0),"")</f>
        <v/>
      </c>
      <c r="F1051" t="inlineStr">
        <is>
          <t>MELI/V/740,00/20-01-23</t>
        </is>
      </c>
      <c r="G1051" t="n">
        <v>-5</v>
      </c>
      <c r="H1051" t="n">
        <v>314.68</v>
      </c>
      <c r="I1051">
        <f>-H773/G773</f>
        <v/>
      </c>
    </row>
    <row r="1052">
      <c r="A1052" t="n">
        <v>3728</v>
      </c>
      <c r="B1052" s="16" t="n">
        <v>44532</v>
      </c>
      <c r="C1052" t="inlineStr">
        <is>
          <t>VTA</t>
        </is>
      </c>
      <c r="D1052" t="n">
        <v>32</v>
      </c>
      <c r="E1052">
        <f>IF(D5330&gt;0,VLOOKUP(OPERAC[[#This Row],[COD CART]],[1]!MatrizCortoLargoCyl[#All],3,0),"")</f>
        <v/>
      </c>
      <c r="F1052" t="inlineStr">
        <is>
          <t>COTY/CYL/10,00/18-02-22</t>
        </is>
      </c>
      <c r="G1052" t="n">
        <v>200</v>
      </c>
      <c r="H1052">
        <f>-1795.1644+41.985</f>
        <v/>
      </c>
      <c r="I1052">
        <f>-H5330/G5330</f>
        <v/>
      </c>
      <c r="J1052" s="16" t="n">
        <v>44608</v>
      </c>
      <c r="K1052">
        <f>+OPERAC[[#This Row],[cantidad]]</f>
        <v/>
      </c>
      <c r="L1052" t="n">
        <v>1889.088</v>
      </c>
    </row>
    <row r="1053">
      <c r="A1053" t="n">
        <v>3728</v>
      </c>
      <c r="B1053" s="16" t="n">
        <v>44536</v>
      </c>
      <c r="C1053" t="inlineStr">
        <is>
          <t>CPR</t>
        </is>
      </c>
      <c r="D1053" t="n">
        <v>43</v>
      </c>
      <c r="E1053">
        <f>IF(D3961&gt;0,VLOOKUP(OPERAC[[#This Row],[COD CART]],[1]!MatrizCortoLargoCyl[#All],3,0),"")</f>
        <v/>
      </c>
      <c r="F1053" t="inlineStr">
        <is>
          <t>XSPA/CYL-PUT/1,50/20-01-23</t>
        </is>
      </c>
      <c r="G1053" t="n">
        <v>2000</v>
      </c>
      <c r="H1053">
        <f>-0.4462*OPERAC[[#This Row],[cantidad]]</f>
        <v/>
      </c>
      <c r="I1053">
        <f>-H3961/G3961</f>
        <v/>
      </c>
    </row>
    <row r="1054">
      <c r="A1054" t="n">
        <v>3728</v>
      </c>
      <c r="B1054" s="16" t="n">
        <v>44536</v>
      </c>
      <c r="C1054" t="inlineStr">
        <is>
          <t>CPR</t>
        </is>
      </c>
      <c r="D1054" t="n">
        <v>40</v>
      </c>
      <c r="E1054">
        <f>IF(D6126&gt;0,VLOOKUP(OPERAC[[#This Row],[COD CART]],[1]!MatrizCortoLargoCyl[#All],3,0),"")</f>
        <v/>
      </c>
      <c r="F1054" t="inlineStr">
        <is>
          <t>UVXY</t>
        </is>
      </c>
      <c r="G1054" t="n">
        <v>200</v>
      </c>
      <c r="H1054" t="n">
        <v>-4635.784</v>
      </c>
      <c r="I1054">
        <f>-H6126/G6126</f>
        <v/>
      </c>
      <c r="J1054" s="16" t="n">
        <v>44571</v>
      </c>
      <c r="K1054">
        <f>+OPERAC[[#This Row],[cantidad]]</f>
        <v/>
      </c>
      <c r="L1054">
        <f>+OPERAC[[#This Row],[cantidad venta]]*14.135</f>
        <v/>
      </c>
    </row>
    <row r="1055">
      <c r="A1055" t="n">
        <v>3728</v>
      </c>
      <c r="B1055" s="16" t="n">
        <v>44536</v>
      </c>
      <c r="C1055" t="inlineStr">
        <is>
          <t>CPR</t>
        </is>
      </c>
      <c r="D1055" t="n">
        <v>43</v>
      </c>
      <c r="E1055">
        <f>IF(D6201&gt;0,VLOOKUP(OPERAC[[#This Row],[COD CART]],[1]!MatrizCortoLargoCyl[#All],3,0),"")</f>
        <v/>
      </c>
      <c r="F1055" t="inlineStr">
        <is>
          <t>NNDM/CYL-PUT/2,50/19-01-24</t>
        </is>
      </c>
      <c r="G1055" t="n">
        <v>5000</v>
      </c>
      <c r="H1055">
        <f>-1.08*OPERAC[[#This Row],[cantidad]]</f>
        <v/>
      </c>
      <c r="I1055">
        <f>-H6201/G6201</f>
        <v/>
      </c>
    </row>
    <row r="1056">
      <c r="A1056" t="n">
        <v>3728</v>
      </c>
      <c r="B1056" s="16" t="n">
        <v>44536</v>
      </c>
      <c r="C1056" t="inlineStr">
        <is>
          <t>CPR</t>
        </is>
      </c>
      <c r="D1056" t="n">
        <v>40</v>
      </c>
      <c r="E1056">
        <f>IF(D6325&gt;0,VLOOKUP(OPERAC[[#This Row],[COD CART]],[1]!MatrizCortoLargoCyl[#All],3,0),"")</f>
        <v/>
      </c>
      <c r="F1056" t="inlineStr">
        <is>
          <t>BABA</t>
        </is>
      </c>
      <c r="G1056" t="n">
        <v>400</v>
      </c>
      <c r="H1056" t="n">
        <v>-48269.072</v>
      </c>
      <c r="I1056">
        <f>-H6325/G6325</f>
        <v/>
      </c>
      <c r="J1056" s="16" t="n">
        <v>44537</v>
      </c>
      <c r="K1056">
        <f>300+100</f>
        <v/>
      </c>
      <c r="L1056">
        <f>36882.349+11061.7</f>
        <v/>
      </c>
    </row>
    <row r="1057">
      <c r="A1057" t="n">
        <v>3728</v>
      </c>
      <c r="B1057" s="16" t="n">
        <v>44536</v>
      </c>
      <c r="C1057" t="inlineStr">
        <is>
          <t>VTA</t>
        </is>
      </c>
      <c r="D1057" t="n">
        <v>43</v>
      </c>
      <c r="E1057">
        <f>IF(D2096&gt;0,VLOOKUP(OPERAC[[#This Row],[COD CART]],[1]!MatrizCortoLargoCyl[#All],3,0),"")</f>
        <v/>
      </c>
      <c r="F1057" t="inlineStr">
        <is>
          <t>HEXO/CYL-PUT/1,00/20-01-23</t>
        </is>
      </c>
      <c r="G1057" t="n">
        <v>2000</v>
      </c>
      <c r="H1057">
        <f>-0.1671*OPERAC[[#This Row],[cantidad]]</f>
        <v/>
      </c>
      <c r="I1057">
        <f>-H2096/G2096</f>
        <v/>
      </c>
    </row>
    <row r="1058">
      <c r="A1058" t="n">
        <v>3728</v>
      </c>
      <c r="B1058" s="16" t="n">
        <v>44536</v>
      </c>
      <c r="C1058" t="inlineStr">
        <is>
          <t>VTA</t>
        </is>
      </c>
      <c r="D1058" t="n">
        <v>40</v>
      </c>
      <c r="E1058">
        <f>IF(D5626&gt;0,VLOOKUP(OPERAC[[#This Row],[COD CART]],[1]!MatrizCortoLargoCyl[#All],3,0),"")</f>
        <v/>
      </c>
      <c r="F1058" t="inlineStr">
        <is>
          <t>UVXY</t>
        </is>
      </c>
      <c r="G1058" t="n">
        <v>100</v>
      </c>
      <c r="H1058" t="n">
        <v>-2317.892</v>
      </c>
      <c r="I1058">
        <f>-H5626/G5626</f>
        <v/>
      </c>
      <c r="J1058" s="16" t="n">
        <v>44571</v>
      </c>
      <c r="K1058">
        <f>+OPERAC[[#This Row],[cantidad]]</f>
        <v/>
      </c>
      <c r="L1058">
        <f>+OPERAC[[#This Row],[cantidad venta]]*14.135</f>
        <v/>
      </c>
    </row>
    <row r="1059">
      <c r="A1059" t="n">
        <v>3728</v>
      </c>
      <c r="B1059" s="16" t="n">
        <v>44538</v>
      </c>
      <c r="C1059" t="inlineStr">
        <is>
          <t>CPR</t>
        </is>
      </c>
      <c r="D1059" t="n">
        <v>40</v>
      </c>
      <c r="E1059">
        <f>IF(D6324&gt;0,VLOOKUP(OPERAC[[#This Row],[COD CART]],[1]!MatrizCortoLargoCyl[#All],3,0),"")</f>
        <v/>
      </c>
      <c r="F1059" t="inlineStr">
        <is>
          <t>HIMX</t>
        </is>
      </c>
      <c r="G1059" t="n">
        <v>3000</v>
      </c>
      <c r="H1059" t="n">
        <v>-35330.28</v>
      </c>
      <c r="I1059">
        <f>-H6324/G6324</f>
        <v/>
      </c>
      <c r="J1059" s="16" t="n">
        <v>44547</v>
      </c>
      <c r="K1059">
        <f>1000+500+1500</f>
        <v/>
      </c>
      <c r="L1059">
        <f>11445.358+6545.855+19373.809</f>
        <v/>
      </c>
    </row>
    <row r="1060">
      <c r="A1060" t="n">
        <v>3728</v>
      </c>
      <c r="B1060" s="16" t="n">
        <v>44539</v>
      </c>
      <c r="C1060" t="inlineStr">
        <is>
          <t>CPR</t>
        </is>
      </c>
      <c r="D1060" t="n">
        <v>40</v>
      </c>
      <c r="E1060">
        <f>IF(D6241&gt;0,VLOOKUP(OPERAC[[#This Row],[COD CART]],[1]!MatrizCortoLargoCyl[#All],3,0),"")</f>
        <v/>
      </c>
      <c r="F1060" t="inlineStr">
        <is>
          <t>ROKU</t>
        </is>
      </c>
      <c r="G1060" t="n">
        <v>25</v>
      </c>
      <c r="H1060" t="n">
        <v>-6443.009</v>
      </c>
      <c r="I1060">
        <f>-H6241/G6241</f>
        <v/>
      </c>
      <c r="J1060" s="16" t="n">
        <v>44606</v>
      </c>
      <c r="K1060" t="n">
        <v>25</v>
      </c>
      <c r="L1060" t="n">
        <v>4050.846</v>
      </c>
    </row>
    <row r="1061">
      <c r="A1061" t="n">
        <v>3728</v>
      </c>
      <c r="B1061" s="16" t="n">
        <v>44543</v>
      </c>
      <c r="C1061" t="inlineStr">
        <is>
          <t>VTA</t>
        </is>
      </c>
      <c r="D1061" t="n">
        <v>40</v>
      </c>
      <c r="E1061">
        <f>IF(D5174&gt;0,VLOOKUP(OPERAC[[#This Row],[COD CART]],[1]!MatrizCortoLargoCyl[#All],3,0),"")</f>
        <v/>
      </c>
      <c r="F1061" t="inlineStr">
        <is>
          <t>SITS</t>
        </is>
      </c>
      <c r="G1061" t="n">
        <v>20000</v>
      </c>
      <c r="H1061" t="n">
        <v>-1617.6</v>
      </c>
      <c r="I1061">
        <f>-H5174/G5174</f>
        <v/>
      </c>
    </row>
    <row r="1062">
      <c r="A1062" t="n">
        <v>3728</v>
      </c>
      <c r="B1062" s="16" t="n">
        <v>44547</v>
      </c>
      <c r="C1062" t="inlineStr">
        <is>
          <t>CPR</t>
        </is>
      </c>
      <c r="D1062" t="n">
        <v>32</v>
      </c>
      <c r="E1062">
        <f>IF(D4395&gt;0,VLOOKUP(OPERAC[[#This Row],[COD CART]],[1]!MatrizCortoLargoCyl[#All],3,0),"")</f>
        <v/>
      </c>
      <c r="F1062" t="inlineStr">
        <is>
          <t>HIMX/CYL/12,00/21-01-22</t>
        </is>
      </c>
      <c r="G1062" t="n">
        <v>100</v>
      </c>
      <c r="H1062" t="n">
        <v>-1100.5788</v>
      </c>
      <c r="I1062">
        <f>-H4395/G4395</f>
        <v/>
      </c>
      <c r="J1062" s="16" t="n">
        <v>44575</v>
      </c>
      <c r="K1062" t="n">
        <v>100</v>
      </c>
      <c r="L1062" t="n">
        <v>1170.618</v>
      </c>
    </row>
    <row r="1063">
      <c r="A1063" t="n">
        <v>3728</v>
      </c>
      <c r="B1063" s="16" t="n">
        <v>44550</v>
      </c>
      <c r="C1063" t="inlineStr">
        <is>
          <t>CPR</t>
        </is>
      </c>
      <c r="D1063" t="n">
        <v>40</v>
      </c>
      <c r="E1063">
        <f>IF(D5862&gt;0,VLOOKUP(OPERAC[[#This Row],[COD CART]],[1]!MatrizCortoLargoCyl[#All],3,0),"")</f>
        <v/>
      </c>
      <c r="F1063" t="inlineStr">
        <is>
          <t>SMH</t>
        </is>
      </c>
      <c r="G1063" t="n">
        <v>10</v>
      </c>
      <c r="H1063" t="n">
        <v>-2939.7304</v>
      </c>
      <c r="I1063">
        <f>-H5862/G5862</f>
        <v/>
      </c>
      <c r="J1063" s="16" t="n">
        <v>44574</v>
      </c>
      <c r="K1063">
        <f>+OPERAC[[#This Row],[cantidad]]</f>
        <v/>
      </c>
      <c r="L1063">
        <f>+OPERAC[[#This Row],[cantidad venta]]*306.843</f>
        <v/>
      </c>
    </row>
    <row r="1064">
      <c r="A1064" t="n">
        <v>3728</v>
      </c>
      <c r="B1064" s="16" t="n">
        <v>44553</v>
      </c>
      <c r="C1064" t="inlineStr">
        <is>
          <t>CPR</t>
        </is>
      </c>
      <c r="D1064" t="n">
        <v>32</v>
      </c>
      <c r="E1064">
        <f>IF(D4118&gt;0,VLOOKUP(OPERAC[[#This Row],[COD CART]],[1]!MatrizCortoLargoCyl[#All],3,0),"")</f>
        <v/>
      </c>
      <c r="F1064" t="inlineStr">
        <is>
          <t>TNK/CYL/10,00/18-02-22</t>
        </is>
      </c>
      <c r="G1064" t="n">
        <v>100</v>
      </c>
      <c r="H1064" t="n">
        <v>-954.342</v>
      </c>
      <c r="I1064">
        <f>-H4118/G4118</f>
        <v/>
      </c>
      <c r="J1064" s="16" t="n">
        <v>44610</v>
      </c>
      <c r="K1064" t="n">
        <v>100</v>
      </c>
      <c r="L1064" t="n">
        <v>999</v>
      </c>
    </row>
    <row r="1065">
      <c r="A1065" t="n">
        <v>3728</v>
      </c>
      <c r="B1065" s="16" t="n">
        <v>44553</v>
      </c>
      <c r="C1065" t="inlineStr">
        <is>
          <t>CPR</t>
        </is>
      </c>
      <c r="D1065" t="n">
        <v>40</v>
      </c>
      <c r="E1065">
        <f>IF(D6317&gt;0,VLOOKUP(OPERAC[[#This Row],[COD CART]],[1]!MatrizCortoLargoCyl[#All],3,0),"")</f>
        <v/>
      </c>
      <c r="F1065" t="inlineStr">
        <is>
          <t>DIS</t>
        </is>
      </c>
      <c r="G1065" t="n">
        <v>100</v>
      </c>
      <c r="H1065" t="n">
        <v>-15112.14</v>
      </c>
      <c r="I1065">
        <f>-H6317/G6317</f>
        <v/>
      </c>
      <c r="J1065" s="16" t="n">
        <v>44602</v>
      </c>
      <c r="K1065" t="n">
        <v>100</v>
      </c>
      <c r="L1065" t="n">
        <v>15706.64</v>
      </c>
    </row>
    <row r="1066">
      <c r="A1066" t="n">
        <v>3728</v>
      </c>
      <c r="B1066" s="16" t="n">
        <v>44553</v>
      </c>
      <c r="C1066" t="inlineStr">
        <is>
          <t>VTA</t>
        </is>
      </c>
      <c r="D1066" t="n">
        <v>39</v>
      </c>
      <c r="E1066">
        <f>IF(D63&gt;0,VLOOKUP(OPERAC[[#This Row],[COD CART]],[1]!MatrizCortoLargoCyl[#All],3,0),"")</f>
        <v/>
      </c>
      <c r="F1066" t="inlineStr">
        <is>
          <t>ACB/V/6,00/21-01-22</t>
        </is>
      </c>
      <c r="G1066" t="n">
        <v>-10000</v>
      </c>
      <c r="H1066" t="n">
        <v>4742.8</v>
      </c>
      <c r="I1066">
        <f>-H63/G63</f>
        <v/>
      </c>
      <c r="J1066" s="16" t="n">
        <v>44581</v>
      </c>
      <c r="K1066">
        <f>+OPERAC[[#This Row],[cantidad]]</f>
        <v/>
      </c>
      <c r="L1066">
        <f>-OPERAC[[#This Row],[importe]]</f>
        <v/>
      </c>
    </row>
    <row r="1067">
      <c r="A1067" t="n">
        <v>3728</v>
      </c>
      <c r="B1067" s="16" t="n">
        <v>44553</v>
      </c>
      <c r="C1067" t="inlineStr">
        <is>
          <t>VTA</t>
        </is>
      </c>
      <c r="D1067" t="n">
        <v>32</v>
      </c>
      <c r="E1067">
        <f>IF(D5358&gt;0,VLOOKUP(OPERAC[[#This Row],[COD CART]],[1]!MatrizCortoLargoCyl[#All],3,0),"")</f>
        <v/>
      </c>
      <c r="F1067" t="inlineStr">
        <is>
          <t>MX</t>
        </is>
      </c>
      <c r="G1067" t="n">
        <v>100</v>
      </c>
      <c r="H1067">
        <f>-1867.374+39.266+49.6</f>
        <v/>
      </c>
      <c r="I1067">
        <f>-H5358/G5358</f>
        <v/>
      </c>
      <c r="J1067" s="16" t="n">
        <v>44643</v>
      </c>
      <c r="K1067" t="n">
        <v>100</v>
      </c>
      <c r="L1067" t="n">
        <v>1705.916</v>
      </c>
    </row>
    <row r="1068">
      <c r="A1068" t="n">
        <v>3728</v>
      </c>
      <c r="B1068" s="16" t="n">
        <v>44553</v>
      </c>
      <c r="C1068" t="inlineStr">
        <is>
          <t>VTA</t>
        </is>
      </c>
      <c r="D1068" t="n">
        <v>40</v>
      </c>
      <c r="E1068">
        <f>IF(D5559&gt;0,VLOOKUP(OPERAC[[#This Row],[COD CART]],[1]!MatrizCortoLargoCyl[#All],3,0),"")</f>
        <v/>
      </c>
      <c r="F1068" t="inlineStr">
        <is>
          <t>DDD</t>
        </is>
      </c>
      <c r="G1068" t="n">
        <v>100</v>
      </c>
      <c r="H1068" t="n">
        <v>-2102.499</v>
      </c>
      <c r="I1068">
        <f>-H5559/G5559</f>
        <v/>
      </c>
      <c r="J1068" s="16" t="n">
        <v>44637</v>
      </c>
      <c r="K1068" t="n">
        <v>100</v>
      </c>
      <c r="L1068">
        <f>+OPERAC[[#This Row],[cantidad venta]]*15.23</f>
        <v/>
      </c>
    </row>
    <row r="1069">
      <c r="A1069" t="n">
        <v>3728</v>
      </c>
      <c r="B1069" s="16" t="n">
        <v>44557</v>
      </c>
      <c r="C1069" t="inlineStr">
        <is>
          <t>CPR</t>
        </is>
      </c>
      <c r="D1069" t="n">
        <v>40</v>
      </c>
      <c r="E1069">
        <f>IF(D3527&gt;0,VLOOKUP(OPERAC[[#This Row],[COD CART]],[1]!MatrizCortoLargoCyl[#All],3,0),"")</f>
        <v/>
      </c>
      <c r="F1069" t="inlineStr">
        <is>
          <t>TLRY</t>
        </is>
      </c>
      <c r="G1069" t="n">
        <v>100</v>
      </c>
      <c r="H1069" t="n">
        <v>-766.265</v>
      </c>
      <c r="I1069">
        <f>-H3527/G3527</f>
        <v/>
      </c>
      <c r="J1069" s="16" t="n">
        <v>44585</v>
      </c>
      <c r="K1069">
        <f>+OPERAC[[#This Row],[cantidad]]</f>
        <v/>
      </c>
      <c r="L1069">
        <f>+OPERAC[[#This Row],[cantidad venta]]*5.263</f>
        <v/>
      </c>
    </row>
    <row r="1070">
      <c r="A1070" t="n">
        <v>3728</v>
      </c>
      <c r="B1070" s="16" t="n">
        <v>44558</v>
      </c>
      <c r="C1070" t="inlineStr">
        <is>
          <t>CPR</t>
        </is>
      </c>
      <c r="D1070" t="n">
        <v>40</v>
      </c>
      <c r="E1070">
        <f>IF(D5899&gt;0,VLOOKUP(OPERAC[[#This Row],[COD CART]],[1]!MatrizCortoLargoCyl[#All],3,0),"")</f>
        <v/>
      </c>
      <c r="F1070" t="inlineStr">
        <is>
          <t>UPST</t>
        </is>
      </c>
      <c r="G1070" t="n">
        <v>20</v>
      </c>
      <c r="H1070" t="n">
        <v>-2991.088</v>
      </c>
      <c r="I1070">
        <f>-H5899/G5899</f>
        <v/>
      </c>
      <c r="J1070" s="16" t="n">
        <v>44606</v>
      </c>
      <c r="K1070">
        <f>+OPERAC[[#This Row],[cantidad]]</f>
        <v/>
      </c>
      <c r="L1070">
        <f>+OPERAC[[#This Row],[cantidad venta]]*98.994</f>
        <v/>
      </c>
    </row>
    <row r="1071">
      <c r="A1071" t="n">
        <v>3728</v>
      </c>
      <c r="B1071" s="16" t="n">
        <v>44558</v>
      </c>
      <c r="C1071" t="inlineStr">
        <is>
          <t>VTA</t>
        </is>
      </c>
      <c r="D1071" t="n">
        <v>39</v>
      </c>
      <c r="E1071">
        <f>IF(D220&gt;0,VLOOKUP(OPERAC[[#This Row],[COD CART]],[1]!MatrizCortoLargoCyl[#All],3,0),"")</f>
        <v/>
      </c>
      <c r="F1071" t="inlineStr">
        <is>
          <t>YPF/V/5,00/20-01-23</t>
        </is>
      </c>
      <c r="G1071" t="n">
        <v>-2000</v>
      </c>
      <c r="H1071" t="n">
        <v>2000</v>
      </c>
      <c r="I1071">
        <f>-H220/G220</f>
        <v/>
      </c>
    </row>
    <row r="1072">
      <c r="A1072" t="n">
        <v>3728</v>
      </c>
      <c r="B1072" s="16" t="n">
        <v>44565</v>
      </c>
      <c r="C1072" t="inlineStr">
        <is>
          <t>CPR</t>
        </is>
      </c>
      <c r="D1072" t="n">
        <v>40</v>
      </c>
      <c r="E1072">
        <f>IF(D6251&gt;0,VLOOKUP(OPERAC[[#This Row],[COD CART]],[1]!MatrizCortoLargoCyl[#All],3,0),"")</f>
        <v/>
      </c>
      <c r="F1072" t="inlineStr">
        <is>
          <t>ACB</t>
        </is>
      </c>
      <c r="G1072" t="n">
        <v>80</v>
      </c>
      <c r="H1072" t="n">
        <v>-7007</v>
      </c>
      <c r="I1072">
        <f>-H6251/G6251</f>
        <v/>
      </c>
      <c r="J1072" s="16" t="n">
        <v>44606</v>
      </c>
      <c r="K1072" t="n">
        <v>80</v>
      </c>
      <c r="L1072">
        <f>+OPERAC[[#This Row],[cantidad venta]]*4.401</f>
        <v/>
      </c>
    </row>
    <row r="1073">
      <c r="A1073" t="n">
        <v>3728</v>
      </c>
      <c r="B1073" s="16" t="n">
        <v>44571</v>
      </c>
      <c r="C1073" t="inlineStr">
        <is>
          <t>VTA</t>
        </is>
      </c>
      <c r="D1073" t="n">
        <v>39</v>
      </c>
      <c r="E1073">
        <f>IF(D74&gt;0,VLOOKUP(OPERAC[[#This Row],[COD CART]],[1]!MatrizCortoLargoCyl[#All],3,0),"")</f>
        <v/>
      </c>
      <c r="F1073" t="inlineStr">
        <is>
          <t>TSLA/V/870,00/21-01-22</t>
        </is>
      </c>
      <c r="G1073" t="n">
        <v>-700</v>
      </c>
      <c r="H1073" t="n">
        <v>4054.0759</v>
      </c>
      <c r="I1073">
        <f>-H74/G74</f>
        <v/>
      </c>
      <c r="J1073" s="16" t="n">
        <v>44574</v>
      </c>
      <c r="K1073" t="n">
        <v>-700</v>
      </c>
      <c r="L1073" t="n">
        <v>-1157.9841</v>
      </c>
    </row>
    <row r="1074">
      <c r="A1074" t="n">
        <v>3728</v>
      </c>
      <c r="B1074" s="16" t="n">
        <v>44573</v>
      </c>
      <c r="C1074" t="inlineStr">
        <is>
          <t>CPR</t>
        </is>
      </c>
      <c r="D1074" t="n">
        <v>39</v>
      </c>
      <c r="E1074">
        <f>IF(D4403&gt;0,VLOOKUP(OPERAC[[#This Row],[COD CART]],[1]!MatrizCortoLargoCyl[#All],3,0),"")</f>
        <v/>
      </c>
      <c r="F1074" t="inlineStr">
        <is>
          <t>CL/V/60,00/MAYO-2022</t>
        </is>
      </c>
      <c r="G1074" t="n">
        <v>1000</v>
      </c>
      <c r="H1074" t="n">
        <v>-1103.47</v>
      </c>
      <c r="I1074">
        <f>-H4403/G4403</f>
        <v/>
      </c>
      <c r="J1074" s="16" t="n">
        <v>44641</v>
      </c>
      <c r="K1074" t="n">
        <v>1000</v>
      </c>
      <c r="L1074" t="n">
        <v>97.53</v>
      </c>
    </row>
    <row r="1075">
      <c r="A1075" t="n">
        <v>3728</v>
      </c>
      <c r="B1075" s="16" t="n">
        <v>44573</v>
      </c>
      <c r="C1075" t="inlineStr">
        <is>
          <t>VTA</t>
        </is>
      </c>
      <c r="D1075" t="n">
        <v>39</v>
      </c>
      <c r="E1075">
        <f>IF(D888&gt;0,VLOOKUP(OPERAC[[#This Row],[COD CART]],[1]!MatrizCortoLargoCyl[#All],3,0),"")</f>
        <v/>
      </c>
      <c r="F1075" t="inlineStr">
        <is>
          <t>CL/V/60,00/MARZO-2022</t>
        </is>
      </c>
      <c r="G1075" t="n">
        <v>-1000</v>
      </c>
      <c r="H1075" t="n">
        <v>177.45</v>
      </c>
      <c r="I1075">
        <f>-H888/G888</f>
        <v/>
      </c>
      <c r="J1075" s="16" t="n">
        <v>44621</v>
      </c>
      <c r="K1075" t="n">
        <v>-1000</v>
      </c>
      <c r="L1075" t="n">
        <v>0</v>
      </c>
    </row>
    <row r="1076">
      <c r="A1076" t="n">
        <v>3728</v>
      </c>
      <c r="B1076" s="16" t="n">
        <v>44574</v>
      </c>
      <c r="C1076" t="inlineStr">
        <is>
          <t>CPR</t>
        </is>
      </c>
      <c r="D1076" t="n">
        <v>40</v>
      </c>
      <c r="E1076">
        <f>IF(D6089&gt;0,VLOOKUP(OPERAC[[#This Row],[COD CART]],[1]!MatrizCortoLargoCyl[#All],3,0),"")</f>
        <v/>
      </c>
      <c r="F1076" t="inlineStr">
        <is>
          <t>DDD</t>
        </is>
      </c>
      <c r="G1076" t="n">
        <v>200</v>
      </c>
      <c r="H1076" t="n">
        <v>-4000.996</v>
      </c>
      <c r="I1076">
        <f>-H6089/G6089</f>
        <v/>
      </c>
      <c r="J1076" s="16" t="n">
        <v>44637</v>
      </c>
      <c r="K1076" t="n">
        <v>200</v>
      </c>
      <c r="L1076">
        <f>+OPERAC[[#This Row],[cantidad venta]]*15.23</f>
        <v/>
      </c>
    </row>
    <row r="1077">
      <c r="A1077" t="n">
        <v>3728</v>
      </c>
      <c r="B1077" s="16" t="n">
        <v>44574</v>
      </c>
      <c r="C1077" t="inlineStr">
        <is>
          <t>CPR</t>
        </is>
      </c>
      <c r="D1077" t="n">
        <v>32</v>
      </c>
      <c r="E1077">
        <f>IF(D6158&gt;0,VLOOKUP(OPERAC[[#This Row],[COD CART]],[1]!MatrizCortoLargoCyl[#All],3,0),"")</f>
        <v/>
      </c>
      <c r="F1077" t="inlineStr">
        <is>
          <t>VSCO/CYL/50,00/18-02-22</t>
        </is>
      </c>
      <c r="G1077" t="n">
        <v>100</v>
      </c>
      <c r="H1077" t="n">
        <v>-4887.82</v>
      </c>
      <c r="I1077">
        <f>-H6158/G6158</f>
        <v/>
      </c>
      <c r="J1077" s="16" t="n">
        <v>44600</v>
      </c>
      <c r="K1077" t="n">
        <v>100</v>
      </c>
      <c r="L1077" t="n">
        <v>5000</v>
      </c>
    </row>
    <row r="1078">
      <c r="A1078" t="n">
        <v>3728</v>
      </c>
      <c r="B1078" s="16" t="n">
        <v>44574</v>
      </c>
      <c r="C1078" t="inlineStr">
        <is>
          <t>CPR</t>
        </is>
      </c>
      <c r="D1078" t="n">
        <v>40</v>
      </c>
      <c r="E1078">
        <f>IF(D6314&gt;0,VLOOKUP(OPERAC[[#This Row],[COD CART]],[1]!MatrizCortoLargoCyl[#All],3,0),"")</f>
        <v/>
      </c>
      <c r="F1078" t="inlineStr">
        <is>
          <t>BABA</t>
        </is>
      </c>
      <c r="G1078" t="n">
        <v>100</v>
      </c>
      <c r="H1078" t="n">
        <v>-13028.27</v>
      </c>
      <c r="I1078">
        <f>-H6314/G6314</f>
        <v/>
      </c>
      <c r="J1078" s="16" t="n">
        <v>44615</v>
      </c>
      <c r="K1078" t="n">
        <v>100</v>
      </c>
      <c r="L1078">
        <f>+OPERAC[[#This Row],[cantidad venta]]*110.617</f>
        <v/>
      </c>
    </row>
    <row r="1079">
      <c r="A1079" t="n">
        <v>3728</v>
      </c>
      <c r="B1079" s="16" t="n">
        <v>44574</v>
      </c>
      <c r="C1079" t="inlineStr">
        <is>
          <t>VTA</t>
        </is>
      </c>
      <c r="D1079" t="n">
        <v>39</v>
      </c>
      <c r="E1079">
        <f>IF(D426&gt;0,VLOOKUP(OPERAC[[#This Row],[COD CART]],[1]!MatrizCortoLargoCyl[#All],3,0),"")</f>
        <v/>
      </c>
      <c r="F1079" t="inlineStr">
        <is>
          <t>TSLA/V/900,00/21-01-22</t>
        </is>
      </c>
      <c r="G1079" t="n">
        <v>-400</v>
      </c>
      <c r="H1079" t="n">
        <v>1077.8608</v>
      </c>
      <c r="I1079">
        <f>-H426/G426</f>
        <v/>
      </c>
      <c r="J1079" s="16" t="n">
        <v>44582</v>
      </c>
      <c r="K1079">
        <f>+OPERAC[[#This Row],[cantidad]]</f>
        <v/>
      </c>
      <c r="L1079" t="n">
        <v>0</v>
      </c>
    </row>
    <row r="1080">
      <c r="A1080" t="n">
        <v>3728</v>
      </c>
      <c r="B1080" s="16" t="n">
        <v>44575</v>
      </c>
      <c r="C1080" t="inlineStr">
        <is>
          <t>VTA</t>
        </is>
      </c>
      <c r="D1080" t="n">
        <v>40</v>
      </c>
      <c r="E1080">
        <f>IF(D4998&gt;0,VLOOKUP(OPERAC[[#This Row],[COD CART]],[1]!MatrizCortoLargoCyl[#All],3,0),"")</f>
        <v/>
      </c>
      <c r="F1080" t="inlineStr">
        <is>
          <t>GBTC</t>
        </is>
      </c>
      <c r="G1080" t="n">
        <v>50</v>
      </c>
      <c r="H1080" t="n">
        <v>-1529.778</v>
      </c>
      <c r="I1080">
        <f>-H4998/G4998</f>
        <v/>
      </c>
      <c r="J1080" s="16" t="n">
        <v>44651</v>
      </c>
      <c r="K1080">
        <f>+OPERAC[[#This Row],[cantidad]]</f>
        <v/>
      </c>
      <c r="L1080">
        <f>+OPERAC[[#This Row],[cantidad venta]]*31.332</f>
        <v/>
      </c>
    </row>
    <row r="1081">
      <c r="A1081" t="n">
        <v>3728</v>
      </c>
      <c r="B1081" s="16" t="n">
        <v>44579</v>
      </c>
      <c r="C1081" t="inlineStr">
        <is>
          <t>CPR</t>
        </is>
      </c>
      <c r="D1081" t="n">
        <v>39</v>
      </c>
      <c r="E1081">
        <f>IF(D4595&gt;0,VLOOKUP(OPERAC[[#This Row],[COD CART]],[1]!MatrizCortoLargoCyl[#All],3,0),"")</f>
        <v/>
      </c>
      <c r="F1081" t="inlineStr">
        <is>
          <t>HIMX/V/15,00/11-02-22</t>
        </is>
      </c>
      <c r="G1081" t="n">
        <v>-100</v>
      </c>
      <c r="H1081">
        <f>249.46-1501.5</f>
        <v/>
      </c>
      <c r="I1081">
        <f>-H4595/G4595</f>
        <v/>
      </c>
      <c r="J1081" s="16" t="n">
        <v>44596</v>
      </c>
      <c r="K1081" t="n">
        <v>-100</v>
      </c>
      <c r="L1081" t="n">
        <v>1020.957</v>
      </c>
    </row>
    <row r="1082">
      <c r="A1082" t="n">
        <v>3728</v>
      </c>
      <c r="B1082" s="16" t="n">
        <v>44579</v>
      </c>
      <c r="C1082" t="inlineStr">
        <is>
          <t>VTA</t>
        </is>
      </c>
      <c r="D1082" t="n">
        <v>39</v>
      </c>
      <c r="E1082">
        <f>IF(D917&gt;0,VLOOKUP(OPERAC[[#This Row],[COD CART]],[1]!MatrizCortoLargoCyl[#All],3,0),"")</f>
        <v/>
      </c>
      <c r="F1082" t="inlineStr">
        <is>
          <t>TLRY/V/7,00/20-01-23</t>
        </is>
      </c>
      <c r="G1082" t="n">
        <v>-50</v>
      </c>
      <c r="H1082" t="n">
        <v>129.73</v>
      </c>
      <c r="I1082">
        <f>-H917/G917</f>
        <v/>
      </c>
    </row>
    <row r="1083">
      <c r="A1083" t="n">
        <v>3728</v>
      </c>
      <c r="B1083" s="16" t="n">
        <v>44579</v>
      </c>
      <c r="C1083" t="inlineStr">
        <is>
          <t>VTA</t>
        </is>
      </c>
      <c r="D1083" t="n">
        <v>39</v>
      </c>
      <c r="E1083">
        <f>IF(D1070&gt;0,VLOOKUP(OPERAC[[#This Row],[COD CART]],[1]!MatrizCortoLargoCyl[#All],3,0),"")</f>
        <v/>
      </c>
      <c r="F1083" t="inlineStr">
        <is>
          <t>YPF/V/5,00/15-07-22</t>
        </is>
      </c>
      <c r="G1083" t="n">
        <v>-33</v>
      </c>
      <c r="H1083" t="n">
        <v>36.0558</v>
      </c>
      <c r="I1083">
        <f>-H1070/G1070</f>
        <v/>
      </c>
      <c r="J1083" s="16" t="n">
        <v>44690</v>
      </c>
      <c r="K1083" t="n">
        <v>-33</v>
      </c>
      <c r="L1083" t="n">
        <v>-42.94</v>
      </c>
    </row>
    <row r="1084">
      <c r="A1084" t="n">
        <v>3728</v>
      </c>
      <c r="B1084" s="16" t="n">
        <v>44580</v>
      </c>
      <c r="C1084" t="inlineStr">
        <is>
          <t>CPR</t>
        </is>
      </c>
      <c r="D1084" t="n">
        <v>40</v>
      </c>
      <c r="E1084">
        <f>IF(D6268&gt;0,VLOOKUP(OPERAC[[#This Row],[COD CART]],[1]!MatrizCortoLargoCyl[#All],3,0),"")</f>
        <v/>
      </c>
      <c r="F1084" t="inlineStr">
        <is>
          <t>ARKK</t>
        </is>
      </c>
      <c r="G1084" t="n">
        <v>100</v>
      </c>
      <c r="H1084" t="n">
        <v>-7528.45</v>
      </c>
      <c r="I1084">
        <f>-H6268/G6268</f>
        <v/>
      </c>
    </row>
    <row r="1085">
      <c r="A1085" t="n">
        <v>3728</v>
      </c>
      <c r="B1085" s="16" t="n">
        <v>44580</v>
      </c>
      <c r="C1085" t="inlineStr">
        <is>
          <t>CPR</t>
        </is>
      </c>
      <c r="D1085" t="n">
        <v>40</v>
      </c>
      <c r="E1085">
        <f>IF(D6319&gt;0,VLOOKUP(OPERAC[[#This Row],[COD CART]],[1]!MatrizCortoLargoCyl[#All],3,0),"")</f>
        <v/>
      </c>
      <c r="F1085" t="inlineStr">
        <is>
          <t>ROKU</t>
        </is>
      </c>
      <c r="G1085" t="n">
        <v>100</v>
      </c>
      <c r="H1085">
        <f>-16290.84+498.75</f>
        <v/>
      </c>
      <c r="I1085">
        <f>-H6319/G6319</f>
        <v/>
      </c>
      <c r="J1085" s="16" t="n">
        <v>44637</v>
      </c>
      <c r="K1085" t="n">
        <v>100</v>
      </c>
      <c r="L1085" t="n">
        <v>11789.128</v>
      </c>
    </row>
    <row r="1086">
      <c r="A1086" t="n">
        <v>3728</v>
      </c>
      <c r="B1086" s="16" t="n">
        <v>44580</v>
      </c>
      <c r="C1086" t="inlineStr">
        <is>
          <t>VTA</t>
        </is>
      </c>
      <c r="D1086" t="n">
        <v>39</v>
      </c>
      <c r="E1086">
        <f>IF(D146&gt;0,VLOOKUP(OPERAC[[#This Row],[COD CART]],[1]!MatrizCortoLargoCyl[#All],3,0),"")</f>
        <v/>
      </c>
      <c r="F1086" t="inlineStr">
        <is>
          <t>INO/V/5,00/18-02-22</t>
        </is>
      </c>
      <c r="G1086" t="n">
        <v>-3000</v>
      </c>
      <c r="H1086" t="n">
        <v>2826.33</v>
      </c>
      <c r="I1086">
        <f>-H146/G146</f>
        <v/>
      </c>
      <c r="J1086" s="16" t="n">
        <v>44600</v>
      </c>
      <c r="K1086" t="n">
        <v>-3000</v>
      </c>
      <c r="L1086" t="n">
        <v>-2826</v>
      </c>
    </row>
    <row r="1087">
      <c r="A1087" t="n">
        <v>3728</v>
      </c>
      <c r="B1087" s="16" t="n">
        <v>44581</v>
      </c>
      <c r="C1087" t="inlineStr">
        <is>
          <t>CPR</t>
        </is>
      </c>
      <c r="D1087" t="n">
        <v>39</v>
      </c>
      <c r="E1087">
        <f>IF(D2&gt;0,VLOOKUP(OPERAC[[#This Row],[COD CART]],[1]!MatrizCortoLargoCyl[#All],3,0),"")</f>
        <v/>
      </c>
      <c r="F1087" t="inlineStr">
        <is>
          <t>ACB/V/6,00/18-02-22</t>
        </is>
      </c>
      <c r="G1087" t="n">
        <v>-21000</v>
      </c>
      <c r="H1087" t="n">
        <v>25580.625</v>
      </c>
      <c r="I1087">
        <f>-H2/G2</f>
        <v/>
      </c>
      <c r="J1087" s="16" t="n">
        <v>44601</v>
      </c>
      <c r="K1087" t="n">
        <v>-21000</v>
      </c>
      <c r="L1087">
        <f>1.21*OPERAC[[#This Row],[cantidad venta]]</f>
        <v/>
      </c>
    </row>
    <row r="1088">
      <c r="A1088" t="n">
        <v>3728</v>
      </c>
      <c r="B1088" s="16" t="n">
        <v>44581</v>
      </c>
      <c r="C1088" t="inlineStr">
        <is>
          <t>VTA</t>
        </is>
      </c>
      <c r="D1088" t="n">
        <v>39</v>
      </c>
      <c r="E1088">
        <f>IF(D430&gt;0,VLOOKUP(OPERAC[[#This Row],[COD CART]],[1]!MatrizCortoLargoCyl[#All],3,0),"")</f>
        <v/>
      </c>
      <c r="F1088" t="inlineStr">
        <is>
          <t>ROKU/V/170,00/28-01-22</t>
        </is>
      </c>
      <c r="G1088" t="n">
        <v>-200</v>
      </c>
      <c r="H1088" t="n">
        <v>1058.148</v>
      </c>
      <c r="I1088">
        <f>-H430/G430</f>
        <v/>
      </c>
      <c r="J1088" s="16" t="n">
        <v>44587</v>
      </c>
      <c r="K1088">
        <f>+OPERAC[[#This Row],[cantidad]]</f>
        <v/>
      </c>
      <c r="L1088">
        <f>-OPERAC[[#This Row],[importe]]</f>
        <v/>
      </c>
    </row>
    <row r="1089">
      <c r="A1089" t="n">
        <v>3728</v>
      </c>
      <c r="B1089" s="16" t="n">
        <v>44582</v>
      </c>
      <c r="C1089" t="inlineStr">
        <is>
          <t>VTA</t>
        </is>
      </c>
      <c r="D1089" t="n">
        <v>40</v>
      </c>
      <c r="E1089">
        <f>IF(D5465&gt;0,VLOOKUP(OPERAC[[#This Row],[COD CART]],[1]!MatrizCortoLargoCyl[#All],3,0),"")</f>
        <v/>
      </c>
      <c r="F1089" t="inlineStr">
        <is>
          <t>NFLX</t>
        </is>
      </c>
      <c r="G1089" t="n">
        <v>5</v>
      </c>
      <c r="H1089" t="n">
        <v>-1916.80335</v>
      </c>
      <c r="I1089">
        <f>-H5465/G5465</f>
        <v/>
      </c>
      <c r="J1089" s="16" t="n">
        <v>44593</v>
      </c>
      <c r="K1089">
        <f>+OPERAC[[#This Row],[cantidad]]</f>
        <v/>
      </c>
      <c r="L1089">
        <f>+OPERAC[[#This Row],[cantidad venta]]*448.602</f>
        <v/>
      </c>
    </row>
    <row r="1090">
      <c r="A1090" t="n">
        <v>3728</v>
      </c>
      <c r="B1090" s="16" t="n">
        <v>44582</v>
      </c>
      <c r="C1090" t="inlineStr">
        <is>
          <t>VTA</t>
        </is>
      </c>
      <c r="D1090" t="n">
        <v>40</v>
      </c>
      <c r="E1090">
        <f>IF(D5510&gt;0,VLOOKUP(OPERAC[[#This Row],[COD CART]],[1]!MatrizCortoLargoCyl[#All],3,0),"")</f>
        <v/>
      </c>
      <c r="F1090" t="inlineStr">
        <is>
          <t>ACB</t>
        </is>
      </c>
      <c r="G1090" t="n">
        <v>200</v>
      </c>
      <c r="H1090" t="n">
        <v>-2002</v>
      </c>
      <c r="I1090">
        <f>-H5510/G5510</f>
        <v/>
      </c>
      <c r="J1090" s="16" t="n">
        <v>44606</v>
      </c>
      <c r="K1090" t="n">
        <v>200</v>
      </c>
      <c r="L1090">
        <f>+OPERAC[[#This Row],[cantidad venta]]*4.401</f>
        <v/>
      </c>
    </row>
    <row r="1091">
      <c r="A1091" t="n">
        <v>3728</v>
      </c>
      <c r="B1091" s="16" t="n">
        <v>44585</v>
      </c>
      <c r="C1091" t="inlineStr">
        <is>
          <t>VTA</t>
        </is>
      </c>
      <c r="D1091" t="n">
        <v>39</v>
      </c>
      <c r="E1091">
        <f>IF(D843&gt;0,VLOOKUP(OPERAC[[#This Row],[COD CART]],[1]!MatrizCortoLargoCyl[#All],3,0),"")</f>
        <v/>
      </c>
      <c r="F1091" t="inlineStr">
        <is>
          <t>TSLA/C/1200,00/28-01-22</t>
        </is>
      </c>
      <c r="G1091" t="n">
        <v>-200</v>
      </c>
      <c r="H1091" t="n">
        <v>203.268</v>
      </c>
      <c r="I1091">
        <f>-H843/G843</f>
        <v/>
      </c>
      <c r="J1091" s="16" t="n">
        <v>44589</v>
      </c>
      <c r="K1091" t="n">
        <v>-200</v>
      </c>
      <c r="L1091" t="n">
        <v>0</v>
      </c>
    </row>
    <row r="1092">
      <c r="A1092" t="n">
        <v>3728</v>
      </c>
      <c r="B1092" s="16" t="n">
        <v>44586</v>
      </c>
      <c r="C1092" t="inlineStr">
        <is>
          <t>CPR</t>
        </is>
      </c>
      <c r="D1092" t="n">
        <v>40</v>
      </c>
      <c r="E1092">
        <f>IF(D6302&gt;0,VLOOKUP(OPERAC[[#This Row],[COD CART]],[1]!MatrizCortoLargoCyl[#All],3,0),"")</f>
        <v/>
      </c>
      <c r="F1092" t="inlineStr">
        <is>
          <t>GMBL</t>
        </is>
      </c>
      <c r="G1092" t="n">
        <v>6000</v>
      </c>
      <c r="H1092">
        <f>-1.835*OPERAC[[#This Row],[cantidad]]</f>
        <v/>
      </c>
      <c r="I1092">
        <f>-H6302/G6302</f>
        <v/>
      </c>
      <c r="J1092" s="16" t="n">
        <v>44637</v>
      </c>
      <c r="K1092" t="n">
        <v>6000</v>
      </c>
      <c r="L1092" t="n">
        <v>4615.749</v>
      </c>
    </row>
    <row r="1093">
      <c r="A1093" t="n">
        <v>3728</v>
      </c>
      <c r="B1093" s="16" t="n">
        <v>44587</v>
      </c>
      <c r="C1093" t="inlineStr">
        <is>
          <t>VTA</t>
        </is>
      </c>
      <c r="D1093" t="n">
        <v>39</v>
      </c>
      <c r="E1093">
        <f>IF(D117&gt;0,VLOOKUP(OPERAC[[#This Row],[COD CART]],[1]!MatrizCortoLargoCyl[#All],3,0),"")</f>
        <v/>
      </c>
      <c r="F1093" t="inlineStr">
        <is>
          <t>ROKU/V/155,00/04-02-22</t>
        </is>
      </c>
      <c r="G1093" t="n">
        <v>-400</v>
      </c>
      <c r="H1093" t="n">
        <v>3198.4064</v>
      </c>
      <c r="I1093">
        <f>-H117/G117</f>
        <v/>
      </c>
      <c r="J1093" s="16" t="n">
        <v>44592</v>
      </c>
      <c r="K1093">
        <f>+OPERAC[[#This Row],[cantidad]]</f>
        <v/>
      </c>
      <c r="L1093" t="n">
        <v>-1422.9856</v>
      </c>
    </row>
    <row r="1094">
      <c r="A1094" t="n">
        <v>3728</v>
      </c>
      <c r="B1094" s="16" t="n">
        <v>44592</v>
      </c>
      <c r="C1094" t="inlineStr">
        <is>
          <t>VTA</t>
        </is>
      </c>
      <c r="D1094" t="n">
        <v>39</v>
      </c>
      <c r="E1094">
        <f>IF(D313&gt;0,VLOOKUP(OPERAC[[#This Row],[COD CART]],[1]!MatrizCortoLargoCyl[#All],3,0),"")</f>
        <v/>
      </c>
      <c r="F1094" t="inlineStr">
        <is>
          <t>ROKU/V/150,00/11-02-22</t>
        </is>
      </c>
      <c r="G1094" t="n">
        <v>-300</v>
      </c>
      <c r="H1094" t="n">
        <v>1437.372</v>
      </c>
      <c r="I1094">
        <f>-H313/G313</f>
        <v/>
      </c>
      <c r="J1094" s="16" t="n">
        <v>44601</v>
      </c>
      <c r="K1094">
        <f>+OPERAC[[#This Row],[cantidad]]</f>
        <v/>
      </c>
      <c r="L1094">
        <f>0.67*OPERAC[[#This Row],[cantidad venta]]</f>
        <v/>
      </c>
    </row>
    <row r="1095">
      <c r="A1095" t="n">
        <v>3728</v>
      </c>
      <c r="B1095" s="16" t="n">
        <v>44594</v>
      </c>
      <c r="C1095" t="inlineStr">
        <is>
          <t>VTA</t>
        </is>
      </c>
      <c r="D1095" t="n">
        <v>40</v>
      </c>
      <c r="E1095">
        <f>IF(D5511&gt;0,VLOOKUP(OPERAC[[#This Row],[COD CART]],[1]!MatrizCortoLargoCyl[#All],3,0),"")</f>
        <v/>
      </c>
      <c r="F1095" t="inlineStr">
        <is>
          <t>EDU</t>
        </is>
      </c>
      <c r="G1095" t="n">
        <v>1000</v>
      </c>
      <c r="H1095" t="n">
        <v>-2002</v>
      </c>
      <c r="I1095">
        <f>-H5511/G5511</f>
        <v/>
      </c>
      <c r="J1095" s="16" t="n">
        <v>44606</v>
      </c>
      <c r="K1095" t="n">
        <v>1000</v>
      </c>
      <c r="L1095" t="n">
        <v>1483.373</v>
      </c>
    </row>
    <row r="1096">
      <c r="A1096" t="n">
        <v>3728</v>
      </c>
      <c r="B1096" s="16" t="n">
        <v>44596</v>
      </c>
      <c r="C1096" t="inlineStr">
        <is>
          <t>VTA</t>
        </is>
      </c>
      <c r="D1096" t="n">
        <v>39</v>
      </c>
      <c r="E1096">
        <f>IF(D621&gt;0,VLOOKUP(OPERAC[[#This Row],[COD CART]],[1]!MatrizCortoLargoCyl[#All],3,0),"")</f>
        <v/>
      </c>
      <c r="F1096" t="inlineStr">
        <is>
          <t>TSLA/V/760,00/11-02-22</t>
        </is>
      </c>
      <c r="G1096" t="n">
        <v>-300</v>
      </c>
      <c r="H1096" t="n">
        <v>583.415</v>
      </c>
      <c r="I1096">
        <f>-H621/G621</f>
        <v/>
      </c>
      <c r="J1096" s="16" t="n">
        <v>44601</v>
      </c>
      <c r="K1096" t="n">
        <v>-300</v>
      </c>
      <c r="L1096">
        <f>0.1*OPERAC[[#This Row],[cantidad venta]]</f>
        <v/>
      </c>
    </row>
    <row r="1097">
      <c r="A1097" t="n">
        <v>3728</v>
      </c>
      <c r="B1097" s="16" t="n">
        <v>44599</v>
      </c>
      <c r="C1097" t="inlineStr">
        <is>
          <t>CPR</t>
        </is>
      </c>
      <c r="D1097" t="n">
        <v>40</v>
      </c>
      <c r="E1097">
        <f>IF(D4506&gt;0,VLOOKUP(OPERAC[[#This Row],[COD CART]],[1]!MatrizCortoLargoCyl[#All],3,0),"")</f>
        <v/>
      </c>
      <c r="F1097" t="inlineStr">
        <is>
          <t>FB</t>
        </is>
      </c>
      <c r="G1097" t="n">
        <v>5</v>
      </c>
      <c r="H1097" t="n">
        <v>-1192.3</v>
      </c>
      <c r="I1097">
        <f>-H4506/G4506</f>
        <v/>
      </c>
      <c r="J1097" s="16" t="n">
        <v>44616</v>
      </c>
      <c r="K1097">
        <f>+OPERAC[[#This Row],[cantidad]]</f>
        <v/>
      </c>
      <c r="L1097">
        <f>200.299*OPERAC[[#This Row],[cantidad venta]]</f>
        <v/>
      </c>
    </row>
    <row r="1098">
      <c r="A1098" t="n">
        <v>3728</v>
      </c>
      <c r="B1098" s="16" t="n">
        <v>44599</v>
      </c>
      <c r="C1098" t="inlineStr">
        <is>
          <t>VTA</t>
        </is>
      </c>
      <c r="D1098" t="n">
        <v>39</v>
      </c>
      <c r="E1098">
        <f>IF(D564&gt;0,VLOOKUP(OPERAC[[#This Row],[COD CART]],[1]!MatrizCortoLargoCyl[#All],3,0),"")</f>
        <v/>
      </c>
      <c r="F1098" t="inlineStr">
        <is>
          <t>MELI/V/850,00/18-02/22</t>
        </is>
      </c>
      <c r="G1098" t="n">
        <v>-100</v>
      </c>
      <c r="H1098" t="n">
        <v>694</v>
      </c>
      <c r="I1098">
        <f>-H564/G564</f>
        <v/>
      </c>
      <c r="J1098" s="16" t="n">
        <v>44610</v>
      </c>
      <c r="K1098" t="n">
        <v>-100</v>
      </c>
      <c r="L1098" t="n">
        <v>0</v>
      </c>
    </row>
    <row r="1099">
      <c r="A1099" t="n">
        <v>3728</v>
      </c>
      <c r="B1099" s="16" t="n">
        <v>44600</v>
      </c>
      <c r="C1099" t="inlineStr">
        <is>
          <t>VTA</t>
        </is>
      </c>
      <c r="D1099" t="n">
        <v>39</v>
      </c>
      <c r="E1099">
        <f>IF(D1013&gt;0,VLOOKUP(OPERAC[[#This Row],[COD CART]],[1]!MatrizCortoLargoCyl[#All],3,0),"")</f>
        <v/>
      </c>
      <c r="F1099" t="inlineStr">
        <is>
          <t>DDD/V/17,00/20-01-23</t>
        </is>
      </c>
      <c r="G1099" t="n">
        <v>-16</v>
      </c>
      <c r="H1099">
        <f>-3.8*OPERAC[[#This Row],[cantidad]]</f>
        <v/>
      </c>
      <c r="I1099">
        <f>-H1013/G1013</f>
        <v/>
      </c>
    </row>
    <row r="1100">
      <c r="A1100" t="n">
        <v>3728</v>
      </c>
      <c r="B1100" s="16" t="n">
        <v>44601</v>
      </c>
      <c r="C1100" t="inlineStr">
        <is>
          <t>VTA</t>
        </is>
      </c>
      <c r="D1100" t="n">
        <v>39</v>
      </c>
      <c r="E1100">
        <f>IF(D4&gt;0,VLOOKUP(OPERAC[[#This Row],[COD CART]],[1]!MatrizCortoLargoCyl[#All],3,0),"")</f>
        <v/>
      </c>
      <c r="F1100" t="inlineStr">
        <is>
          <t>ACB/V/6,00/17-06-22</t>
        </is>
      </c>
      <c r="G1100" t="n">
        <v>-10000</v>
      </c>
      <c r="H1100" t="n">
        <v>19180.29</v>
      </c>
      <c r="I1100">
        <f>-H4/G4</f>
        <v/>
      </c>
      <c r="J1100" s="16" t="n">
        <v>44614</v>
      </c>
      <c r="K1100" t="n">
        <v>-10000</v>
      </c>
      <c r="L1100" t="n">
        <v>-23050</v>
      </c>
    </row>
    <row r="1101">
      <c r="A1101" t="n">
        <v>3728</v>
      </c>
      <c r="B1101" s="16" t="n">
        <v>44601</v>
      </c>
      <c r="C1101" t="inlineStr">
        <is>
          <t>VTA</t>
        </is>
      </c>
      <c r="D1101" t="n">
        <v>39</v>
      </c>
      <c r="E1101">
        <f>IF(D925&gt;0,VLOOKUP(OPERAC[[#This Row],[COD CART]],[1]!MatrizCortoLargoCyl[#All],3,0),"")</f>
        <v/>
      </c>
      <c r="F1101" t="inlineStr">
        <is>
          <t>ACB/V/5,00/16-09-22</t>
        </is>
      </c>
      <c r="G1101" t="n">
        <v>-75</v>
      </c>
      <c r="H1101" t="n">
        <v>116.37</v>
      </c>
      <c r="I1101">
        <f>-H925/G925</f>
        <v/>
      </c>
      <c r="J1101" s="16" t="n">
        <v>44637</v>
      </c>
      <c r="K1101" t="n">
        <v>-75</v>
      </c>
      <c r="L1101" t="n">
        <v>-154.2</v>
      </c>
    </row>
    <row r="1102">
      <c r="A1102" t="n">
        <v>3728</v>
      </c>
      <c r="B1102" s="16" t="n">
        <v>44601</v>
      </c>
      <c r="C1102" t="inlineStr">
        <is>
          <t>VTA</t>
        </is>
      </c>
      <c r="D1102" t="n">
        <v>39</v>
      </c>
      <c r="E1102">
        <f>IF(D1012&gt;0,VLOOKUP(OPERAC[[#This Row],[COD CART]],[1]!MatrizCortoLargoCyl[#All],3,0),"")</f>
        <v/>
      </c>
      <c r="F1102" t="inlineStr">
        <is>
          <t>TLRY/V/8,00/14-04-22</t>
        </is>
      </c>
      <c r="G1102" t="n">
        <v>-30</v>
      </c>
      <c r="H1102">
        <f>-2.1*OPERAC[[#This Row],[cantidad]]</f>
        <v/>
      </c>
      <c r="I1102">
        <f>-H1012/G1012</f>
        <v/>
      </c>
      <c r="J1102" s="16" t="n">
        <v>44637</v>
      </c>
      <c r="K1102" t="n">
        <v>-30</v>
      </c>
      <c r="L1102" t="n">
        <v>-84.76000000000001</v>
      </c>
    </row>
    <row r="1103">
      <c r="A1103" t="n">
        <v>3728</v>
      </c>
      <c r="B1103" s="16" t="n">
        <v>44602</v>
      </c>
      <c r="C1103" t="inlineStr">
        <is>
          <t>CPR</t>
        </is>
      </c>
      <c r="D1103" t="n">
        <v>32</v>
      </c>
      <c r="E1103">
        <f>IF(D5777&gt;0,VLOOKUP(OPERAC[[#This Row],[COD CART]],[1]!MatrizCortoLargoCyl[#All],3,0),"")</f>
        <v/>
      </c>
      <c r="F1103" t="inlineStr">
        <is>
          <t>BIOX</t>
        </is>
      </c>
      <c r="G1103" t="n">
        <v>200</v>
      </c>
      <c r="H1103">
        <f>-2672+29.76</f>
        <v/>
      </c>
      <c r="I1103">
        <f>-H5777/G5777</f>
        <v/>
      </c>
      <c r="J1103" s="16" t="n">
        <v>44680</v>
      </c>
      <c r="K1103">
        <f>+OPERAC[[#This Row],[cantidad]]</f>
        <v/>
      </c>
      <c r="L1103">
        <f>13.688*OPERAC[[#This Row],[cantidad venta]]</f>
        <v/>
      </c>
    </row>
    <row r="1104">
      <c r="A1104" t="n">
        <v>3728</v>
      </c>
      <c r="B1104" s="16" t="n">
        <v>44602</v>
      </c>
      <c r="C1104" t="inlineStr">
        <is>
          <t>CPR</t>
        </is>
      </c>
      <c r="D1104" t="n">
        <v>32</v>
      </c>
      <c r="E1104">
        <f>IF(D6320&gt;0,VLOOKUP(OPERAC[[#This Row],[COD CART]],[1]!MatrizCortoLargoCyl[#All],3,0),"")</f>
        <v/>
      </c>
      <c r="F1104" t="inlineStr">
        <is>
          <t>UPST/CYL/90,00/18-03-22</t>
        </is>
      </c>
      <c r="G1104" t="n">
        <v>200</v>
      </c>
      <c r="H1104">
        <f>-23804+6992</f>
        <v/>
      </c>
      <c r="I1104">
        <f>-H6320/G6320</f>
        <v/>
      </c>
      <c r="J1104" s="16" t="n">
        <v>44608</v>
      </c>
      <c r="K1104" t="n">
        <v>200</v>
      </c>
      <c r="L1104" t="n">
        <v>17917.57</v>
      </c>
    </row>
    <row r="1105">
      <c r="A1105" t="n">
        <v>3728</v>
      </c>
      <c r="B1105" s="16" t="n">
        <v>44606</v>
      </c>
      <c r="C1105" t="inlineStr">
        <is>
          <t>VTA</t>
        </is>
      </c>
      <c r="D1105" t="n">
        <v>39</v>
      </c>
      <c r="E1105">
        <f>IF(D181&gt;0,VLOOKUP(OPERAC[[#This Row],[COD CART]],[1]!MatrizCortoLargoCyl[#All],3,0),"")</f>
        <v/>
      </c>
      <c r="F1105" t="inlineStr">
        <is>
          <t>TSLA/C/950,00/18-02-22</t>
        </is>
      </c>
      <c r="G1105" t="n">
        <v>-1000</v>
      </c>
      <c r="H1105" t="n">
        <v>2245.025</v>
      </c>
      <c r="I1105">
        <f>-H181/G181</f>
        <v/>
      </c>
      <c r="J1105" s="16" t="n">
        <v>44607</v>
      </c>
      <c r="K1105" t="n">
        <v>-1000</v>
      </c>
      <c r="L1105" t="n">
        <v>-408.025</v>
      </c>
    </row>
    <row r="1106">
      <c r="A1106" t="n">
        <v>3728</v>
      </c>
      <c r="B1106" s="16" t="n">
        <v>44606</v>
      </c>
      <c r="C1106" t="inlineStr">
        <is>
          <t>VTA</t>
        </is>
      </c>
      <c r="D1106" t="n">
        <v>39</v>
      </c>
      <c r="E1106">
        <f>IF(D217&gt;0,VLOOKUP(OPERAC[[#This Row],[COD CART]],[1]!MatrizCortoLargoCyl[#All],3,0),"")</f>
        <v/>
      </c>
      <c r="F1106" t="inlineStr">
        <is>
          <t>TSLA/V/765,00/18-02-22</t>
        </is>
      </c>
      <c r="G1106" t="n">
        <v>-1000</v>
      </c>
      <c r="H1106" t="n">
        <v>2049.916</v>
      </c>
      <c r="I1106">
        <f>-H217/G217</f>
        <v/>
      </c>
      <c r="J1106" s="16" t="n">
        <v>44607</v>
      </c>
      <c r="K1106" t="n">
        <v>-1000</v>
      </c>
      <c r="L1106" t="n">
        <v>-406.825</v>
      </c>
    </row>
    <row r="1107">
      <c r="A1107" t="n">
        <v>3728</v>
      </c>
      <c r="B1107" s="16" t="n">
        <v>44607</v>
      </c>
      <c r="C1107" t="inlineStr">
        <is>
          <t>CPR</t>
        </is>
      </c>
      <c r="D1107" t="n">
        <v>32</v>
      </c>
      <c r="E1107">
        <f>IF(D6135&gt;0,VLOOKUP(OPERAC[[#This Row],[COD CART]],[1]!MatrizCortoLargoCyl[#All],3,0),"")</f>
        <v/>
      </c>
      <c r="F1107" t="inlineStr">
        <is>
          <t>DDD/CYL/17,00/01-04-22</t>
        </is>
      </c>
      <c r="G1107" t="n">
        <v>300</v>
      </c>
      <c r="H1107">
        <f>-4815.204+59.62+49.719</f>
        <v/>
      </c>
      <c r="I1107">
        <f>-H6135/G6135</f>
        <v/>
      </c>
      <c r="J1107" s="16" t="n">
        <v>44649</v>
      </c>
      <c r="K1107" t="n">
        <v>300</v>
      </c>
      <c r="L1107" t="n">
        <v>5002.23</v>
      </c>
    </row>
    <row r="1108">
      <c r="A1108" t="n">
        <v>3728</v>
      </c>
      <c r="B1108" s="16" t="n">
        <v>44607</v>
      </c>
      <c r="C1108" t="inlineStr">
        <is>
          <t>CPR</t>
        </is>
      </c>
      <c r="D1108" t="n">
        <v>43</v>
      </c>
      <c r="E1108">
        <f>IF(D6151&gt;0,VLOOKUP(OPERAC[[#This Row],[COD CART]],[1]!MatrizCortoLargoCyl[#All],3,0),"")</f>
        <v/>
      </c>
      <c r="F1108" t="inlineStr">
        <is>
          <t>ACB/CYL-PUT/4,00/19-01-24</t>
        </is>
      </c>
      <c r="G1108" t="n">
        <v>5000</v>
      </c>
      <c r="H1108" t="n">
        <v>-4819.455</v>
      </c>
      <c r="I1108">
        <f>-H6151/G6151</f>
        <v/>
      </c>
    </row>
    <row r="1109">
      <c r="A1109" t="n">
        <v>3728</v>
      </c>
      <c r="B1109" s="16" t="n">
        <v>44607</v>
      </c>
      <c r="C1109" t="inlineStr">
        <is>
          <t>CPR</t>
        </is>
      </c>
      <c r="D1109" t="n">
        <v>32</v>
      </c>
      <c r="E1109">
        <f>IF(D6166&gt;0,VLOOKUP(OPERAC[[#This Row],[COD CART]],[1]!MatrizCortoLargoCyl[#All],3,0),"")</f>
        <v/>
      </c>
      <c r="F1109" t="inlineStr">
        <is>
          <t>F/CYL/17,00/18-03-22</t>
        </is>
      </c>
      <c r="G1109" t="n">
        <v>300</v>
      </c>
      <c r="H1109" t="n">
        <v>-4935.65</v>
      </c>
      <c r="I1109">
        <f>-H6166/G6166</f>
        <v/>
      </c>
      <c r="J1109" s="16" t="n">
        <v>44638</v>
      </c>
      <c r="K1109">
        <f>+OPERAC[[#This Row],[cantidad]]</f>
        <v/>
      </c>
      <c r="L1109">
        <f>+OPERAC[[#This Row],[cantidad venta]]*16.75</f>
        <v/>
      </c>
    </row>
    <row r="1110">
      <c r="A1110" t="n">
        <v>3728</v>
      </c>
      <c r="B1110" s="16" t="n">
        <v>44607</v>
      </c>
      <c r="C1110" t="inlineStr">
        <is>
          <t>VTA</t>
        </is>
      </c>
      <c r="D1110" t="n">
        <v>39</v>
      </c>
      <c r="E1110">
        <f>IF(D64&gt;0,VLOOKUP(OPERAC[[#This Row],[COD CART]],[1]!MatrizCortoLargoCyl[#All],3,0),"")</f>
        <v/>
      </c>
      <c r="F1110" t="inlineStr">
        <is>
          <t>TSLA/C/965,00/18-02-22</t>
        </is>
      </c>
      <c r="G1110" t="n">
        <v>-1000</v>
      </c>
      <c r="H1110" t="n">
        <v>4742.51</v>
      </c>
      <c r="I1110">
        <f>-H64/G64</f>
        <v/>
      </c>
      <c r="J1110" s="16" t="n">
        <v>44607</v>
      </c>
      <c r="K1110" t="n">
        <v>-1000</v>
      </c>
      <c r="L1110" t="n">
        <v>-3606.29</v>
      </c>
    </row>
    <row r="1111">
      <c r="A1111" t="n">
        <v>3728</v>
      </c>
      <c r="B1111" s="16" t="n">
        <v>44607</v>
      </c>
      <c r="C1111" t="inlineStr">
        <is>
          <t>VTA</t>
        </is>
      </c>
      <c r="D1111" t="n">
        <v>39</v>
      </c>
      <c r="E1111">
        <f>IF(D128&gt;0,VLOOKUP(OPERAC[[#This Row],[COD CART]],[1]!MatrizCortoLargoCyl[#All],3,0),"")</f>
        <v/>
      </c>
      <c r="F1111" t="inlineStr">
        <is>
          <t>TSLA/V/845,00/18-02-22</t>
        </is>
      </c>
      <c r="G1111" t="n">
        <v>-1000</v>
      </c>
      <c r="H1111" t="n">
        <v>3090.485</v>
      </c>
      <c r="I1111">
        <f>-H128/G128</f>
        <v/>
      </c>
      <c r="J1111" s="16" t="n">
        <v>44608</v>
      </c>
      <c r="K1111" t="n">
        <v>-1000</v>
      </c>
      <c r="L1111" t="n">
        <v>-2555.24</v>
      </c>
    </row>
    <row r="1112">
      <c r="A1112" t="n">
        <v>3728</v>
      </c>
      <c r="B1112" s="16" t="n">
        <v>44607</v>
      </c>
      <c r="C1112" t="inlineStr">
        <is>
          <t>VTA</t>
        </is>
      </c>
      <c r="D1112" t="n">
        <v>39</v>
      </c>
      <c r="E1112">
        <f>IF(D164&gt;0,VLOOKUP(OPERAC[[#This Row],[COD CART]],[1]!MatrizCortoLargoCyl[#All],3,0),"")</f>
        <v/>
      </c>
      <c r="F1112" t="inlineStr">
        <is>
          <t>TSLA/V/840,00/18-02-22</t>
        </is>
      </c>
      <c r="G1112" t="n">
        <v>-1500</v>
      </c>
      <c r="H1112" t="n">
        <v>2461.995</v>
      </c>
      <c r="I1112">
        <f>-H164/G164</f>
        <v/>
      </c>
      <c r="J1112" s="16" t="n">
        <v>44608</v>
      </c>
      <c r="K1112" t="n">
        <v>-1500</v>
      </c>
      <c r="L1112" t="n">
        <v>-3042.03</v>
      </c>
    </row>
    <row r="1113">
      <c r="A1113" t="n">
        <v>3728</v>
      </c>
      <c r="B1113" s="16" t="n">
        <v>44607</v>
      </c>
      <c r="C1113" t="inlineStr">
        <is>
          <t>VTA</t>
        </is>
      </c>
      <c r="D1113" t="n">
        <v>39</v>
      </c>
      <c r="E1113">
        <f>IF(D250&gt;0,VLOOKUP(OPERAC[[#This Row],[COD CART]],[1]!MatrizCortoLargoCyl[#All],3,0),"")</f>
        <v/>
      </c>
      <c r="F1113" t="inlineStr">
        <is>
          <t>TSLA/C/990,00/18-02-22</t>
        </is>
      </c>
      <c r="G1113" t="n">
        <v>-1500</v>
      </c>
      <c r="H1113" t="n">
        <v>1794.12</v>
      </c>
      <c r="I1113">
        <f>-H250/G250</f>
        <v/>
      </c>
      <c r="J1113" s="16" t="n">
        <v>44608</v>
      </c>
      <c r="K1113" t="n">
        <v>-1500</v>
      </c>
      <c r="L1113" t="n">
        <v>-694.72</v>
      </c>
    </row>
    <row r="1114">
      <c r="A1114" t="n">
        <v>3728</v>
      </c>
      <c r="B1114" s="16" t="n">
        <v>44607</v>
      </c>
      <c r="C1114" t="inlineStr">
        <is>
          <t>VTA</t>
        </is>
      </c>
      <c r="D1114" t="n">
        <v>43</v>
      </c>
      <c r="E1114">
        <f>IF(D3023&gt;0,VLOOKUP(OPERAC[[#This Row],[COD CART]],[1]!MatrizCortoLargoCyl[#All],3,0),"")</f>
        <v/>
      </c>
      <c r="F1114" t="inlineStr">
        <is>
          <t>SOLO/CYL-PUT/2,00/19-01-24</t>
        </is>
      </c>
      <c r="G1114" t="n">
        <v>2500</v>
      </c>
      <c r="H1114" t="n">
        <v>-600.15</v>
      </c>
      <c r="I1114">
        <f>-H3023/G3023</f>
        <v/>
      </c>
    </row>
    <row r="1115">
      <c r="A1115" t="n">
        <v>3728</v>
      </c>
      <c r="B1115" s="16" t="n">
        <v>44608</v>
      </c>
      <c r="C1115" t="inlineStr">
        <is>
          <t>CPR</t>
        </is>
      </c>
      <c r="D1115" t="n">
        <v>32</v>
      </c>
      <c r="E1115">
        <f>IF(D4827&gt;0,VLOOKUP(OPERAC[[#This Row],[COD CART]],[1]!MatrizCortoLargoCyl[#All],3,0),"")</f>
        <v/>
      </c>
      <c r="F1115" t="inlineStr">
        <is>
          <t>SPWR/CYL/15,00/18-03-22</t>
        </is>
      </c>
      <c r="G1115" t="n">
        <v>100</v>
      </c>
      <c r="H1115" t="n">
        <v>-1428.3265</v>
      </c>
      <c r="I1115">
        <f>-H4827/G4827</f>
        <v/>
      </c>
      <c r="J1115" s="16" t="n">
        <v>44628</v>
      </c>
      <c r="K1115">
        <f>+OPERAC[[#This Row],[cantidad]]</f>
        <v/>
      </c>
      <c r="L1115" t="n">
        <v>1504.278</v>
      </c>
    </row>
    <row r="1116">
      <c r="A1116" t="n">
        <v>3728</v>
      </c>
      <c r="B1116" s="16" t="n">
        <v>44608</v>
      </c>
      <c r="C1116" t="inlineStr">
        <is>
          <t>CPR</t>
        </is>
      </c>
      <c r="D1116" t="n">
        <v>40</v>
      </c>
      <c r="E1116">
        <f>IF(D5735&gt;0,VLOOKUP(OPERAC[[#This Row],[COD CART]],[1]!MatrizCortoLargoCyl[#All],3,0),"")</f>
        <v/>
      </c>
      <c r="F1116" t="inlineStr">
        <is>
          <t>NVDA</t>
        </is>
      </c>
      <c r="G1116" t="n">
        <v>10</v>
      </c>
      <c r="H1116" t="n">
        <v>-2611.659</v>
      </c>
      <c r="I1116">
        <f>-H5735/G5735</f>
        <v/>
      </c>
      <c r="J1116" s="16" t="n">
        <v>44616</v>
      </c>
      <c r="K1116">
        <f>+OPERAC[[#This Row],[cantidad]]</f>
        <v/>
      </c>
      <c r="L1116">
        <f>+OPERAC[[#This Row],[cantidad venta]]*224.117</f>
        <v/>
      </c>
    </row>
    <row r="1117">
      <c r="A1117" t="n">
        <v>3728</v>
      </c>
      <c r="B1117" s="16" t="n">
        <v>44608</v>
      </c>
      <c r="C1117" t="inlineStr">
        <is>
          <t>CPR</t>
        </is>
      </c>
      <c r="D1117" t="n">
        <v>40</v>
      </c>
      <c r="E1117">
        <f>IF(D6303&gt;0,VLOOKUP(OPERAC[[#This Row],[COD CART]],[1]!MatrizCortoLargoCyl[#All],3,0),"")</f>
        <v/>
      </c>
      <c r="F1117" t="inlineStr">
        <is>
          <t>BYND</t>
        </is>
      </c>
      <c r="G1117" t="n">
        <v>200</v>
      </c>
      <c r="H1117" t="n">
        <v>-11119.515</v>
      </c>
      <c r="I1117">
        <f>-H6303/G6303</f>
        <v/>
      </c>
      <c r="J1117" s="16" t="n">
        <v>44690</v>
      </c>
      <c r="K1117" t="n">
        <v>200</v>
      </c>
      <c r="L1117" t="n">
        <v>6149.844</v>
      </c>
    </row>
    <row r="1118">
      <c r="A1118" t="n">
        <v>3728</v>
      </c>
      <c r="B1118" s="16" t="n">
        <v>44608</v>
      </c>
      <c r="C1118" t="inlineStr">
        <is>
          <t>VTA</t>
        </is>
      </c>
      <c r="D1118" t="n">
        <v>39</v>
      </c>
      <c r="E1118">
        <f>IF(D35&gt;0,VLOOKUP(OPERAC[[#This Row],[COD CART]],[1]!MatrizCortoLargoCyl[#All],3,0),"")</f>
        <v/>
      </c>
      <c r="F1118" t="inlineStr">
        <is>
          <t>TSLA/V/795,00/25-02-22</t>
        </is>
      </c>
      <c r="G1118" t="n">
        <v>-1500</v>
      </c>
      <c r="H1118" t="n">
        <v>6196.000000000001</v>
      </c>
      <c r="I1118">
        <f>-H35/G35</f>
        <v/>
      </c>
      <c r="J1118" s="16" t="n">
        <v>44614</v>
      </c>
      <c r="K1118" t="n">
        <v>-1500</v>
      </c>
      <c r="L1118" t="n">
        <v>-27781.785</v>
      </c>
    </row>
    <row r="1119">
      <c r="A1119" t="n">
        <v>3728</v>
      </c>
      <c r="B1119" s="16" t="n">
        <v>44609</v>
      </c>
      <c r="C1119" t="inlineStr">
        <is>
          <t>CPR</t>
        </is>
      </c>
      <c r="D1119" t="n">
        <v>32</v>
      </c>
      <c r="E1119">
        <f>IF(D6111&gt;0,VLOOKUP(OPERAC[[#This Row],[COD CART]],[1]!MatrizCortoLargoCyl[#All],3,0),"")</f>
        <v/>
      </c>
      <c r="F1119" t="inlineStr">
        <is>
          <t>HIMX/CYL/9,00/18-03-22</t>
        </is>
      </c>
      <c r="G1119" t="n">
        <v>500</v>
      </c>
      <c r="H1119" t="n">
        <v>-4302.49</v>
      </c>
      <c r="I1119">
        <f>-H6111/G6111</f>
        <v/>
      </c>
      <c r="J1119" s="16" t="n">
        <v>44622</v>
      </c>
      <c r="K1119" t="n">
        <v>500</v>
      </c>
      <c r="L1119" t="n">
        <v>4445.9</v>
      </c>
    </row>
    <row r="1120">
      <c r="A1120" t="n">
        <v>3728</v>
      </c>
      <c r="B1120" s="16" t="n">
        <v>44609</v>
      </c>
      <c r="C1120" t="inlineStr">
        <is>
          <t>VTA</t>
        </is>
      </c>
      <c r="D1120" t="n">
        <v>39</v>
      </c>
      <c r="E1120">
        <f>IF(D269&gt;0,VLOOKUP(OPERAC[[#This Row],[COD CART]],[1]!MatrizCortoLargoCyl[#All],3,0),"")</f>
        <v/>
      </c>
      <c r="F1120" t="inlineStr">
        <is>
          <t>MELI/V/850,00/25-02-22</t>
        </is>
      </c>
      <c r="G1120" t="n">
        <v>-300</v>
      </c>
      <c r="H1120" t="n">
        <v>1666.56</v>
      </c>
      <c r="I1120">
        <f>-H269/G269</f>
        <v/>
      </c>
      <c r="J1120" s="16" t="n">
        <v>44610</v>
      </c>
      <c r="K1120" t="n">
        <v>-300</v>
      </c>
      <c r="L1120" t="n">
        <v>-7259.697</v>
      </c>
    </row>
    <row r="1121">
      <c r="A1121" t="n">
        <v>3728</v>
      </c>
      <c r="B1121" s="16" t="n">
        <v>44610</v>
      </c>
      <c r="C1121" t="inlineStr">
        <is>
          <t>VTA</t>
        </is>
      </c>
      <c r="D1121" t="n">
        <v>39</v>
      </c>
      <c r="E1121">
        <f>IF(D894&gt;0,VLOOKUP(OPERAC[[#This Row],[COD CART]],[1]!MatrizCortoLargoCyl[#All],3,0),"")</f>
        <v/>
      </c>
      <c r="F1121" t="inlineStr">
        <is>
          <t>MELI/V/540,00/16-09-22</t>
        </is>
      </c>
      <c r="G1121" t="n">
        <v>-6</v>
      </c>
      <c r="H1121" t="n">
        <v>167.83</v>
      </c>
      <c r="I1121">
        <f>-H894/G894</f>
        <v/>
      </c>
    </row>
    <row r="1122">
      <c r="A1122" t="n">
        <v>3728</v>
      </c>
      <c r="B1122" s="16" t="n">
        <v>44614</v>
      </c>
      <c r="C1122" t="inlineStr">
        <is>
          <t>CPR</t>
        </is>
      </c>
      <c r="D1122" t="n">
        <v>39</v>
      </c>
      <c r="E1122">
        <f>IF(D3&gt;0,VLOOKUP(OPERAC[[#This Row],[COD CART]],[1]!MatrizCortoLargoCyl[#All],3,0),"")</f>
        <v/>
      </c>
      <c r="F1122" t="inlineStr">
        <is>
          <t>TSLA/V/790,00/25-02-22</t>
        </is>
      </c>
      <c r="G1122" t="n">
        <v>-1000</v>
      </c>
      <c r="H1122" t="n">
        <v>20484.29</v>
      </c>
      <c r="I1122">
        <f>-H3/G3</f>
        <v/>
      </c>
      <c r="J1122" s="16" t="n">
        <v>44614</v>
      </c>
      <c r="K1122" t="n">
        <v>-1000</v>
      </c>
      <c r="L1122" t="n">
        <v>-18625.49</v>
      </c>
    </row>
    <row r="1123">
      <c r="A1123" t="n">
        <v>3728</v>
      </c>
      <c r="B1123" s="16" t="n">
        <v>44614</v>
      </c>
      <c r="C1123" t="inlineStr">
        <is>
          <t>VTA</t>
        </is>
      </c>
      <c r="D1123" t="n">
        <v>39</v>
      </c>
      <c r="E1123">
        <f>IF(D7&gt;0,VLOOKUP(OPERAC[[#This Row],[COD CART]],[1]!MatrizCortoLargoCyl[#All],3,0),"")</f>
        <v/>
      </c>
      <c r="F1123" t="inlineStr">
        <is>
          <t>TSLA/V/760,00/25-02-22</t>
        </is>
      </c>
      <c r="G1123" t="n">
        <v>-2000</v>
      </c>
      <c r="H1123" t="n">
        <v>13776.4</v>
      </c>
      <c r="I1123">
        <f>-H7/G7</f>
        <v/>
      </c>
      <c r="J1123" s="16" t="n">
        <v>44615</v>
      </c>
      <c r="K1123" t="n">
        <v>-2000</v>
      </c>
      <c r="L1123" t="n">
        <v>-20033.36</v>
      </c>
    </row>
    <row r="1124">
      <c r="A1124" t="n">
        <v>3728</v>
      </c>
      <c r="B1124" s="16" t="n">
        <v>44614</v>
      </c>
      <c r="C1124" t="inlineStr">
        <is>
          <t>VTA</t>
        </is>
      </c>
      <c r="D1124" t="n">
        <v>39</v>
      </c>
      <c r="E1124">
        <f>IF(D816&gt;0,VLOOKUP(OPERAC[[#This Row],[COD CART]],[1]!MatrizCortoLargoCyl[#All],3,0),"")</f>
        <v/>
      </c>
      <c r="F1124" t="inlineStr">
        <is>
          <t>TSLA/V/300,00/19-01-24</t>
        </is>
      </c>
      <c r="G1124" t="n">
        <v>-10</v>
      </c>
      <c r="H1124" t="n">
        <v>229.74</v>
      </c>
      <c r="I1124">
        <f>-H816/G816</f>
        <v/>
      </c>
    </row>
    <row r="1125">
      <c r="A1125" t="n">
        <v>3728</v>
      </c>
      <c r="B1125" s="16" t="n">
        <v>44614</v>
      </c>
      <c r="C1125" t="inlineStr">
        <is>
          <t>VTA</t>
        </is>
      </c>
      <c r="D1125" t="n">
        <v>39</v>
      </c>
      <c r="E1125">
        <f>IF(D895&gt;0,VLOOKUP(OPERAC[[#This Row],[COD CART]],[1]!MatrizCortoLargoCyl[#All],3,0),"")</f>
        <v/>
      </c>
      <c r="F1125" t="inlineStr">
        <is>
          <t>ROKU/V/75,00/19-01-24</t>
        </is>
      </c>
      <c r="G1125" t="n">
        <v>-10</v>
      </c>
      <c r="H1125" t="n">
        <v>164.79</v>
      </c>
      <c r="I1125">
        <f>-H895/G895</f>
        <v/>
      </c>
      <c r="J1125" s="16" t="n">
        <v>44678</v>
      </c>
      <c r="K1125" t="n">
        <v>-10</v>
      </c>
      <c r="L1125" t="n">
        <v>-230.23</v>
      </c>
    </row>
    <row r="1126">
      <c r="A1126" t="n">
        <v>3728</v>
      </c>
      <c r="B1126" s="16" t="n">
        <v>44614</v>
      </c>
      <c r="C1126" t="inlineStr">
        <is>
          <t>VTA</t>
        </is>
      </c>
      <c r="D1126" t="n">
        <v>39</v>
      </c>
      <c r="E1126">
        <f>IF(D956&gt;0,VLOOKUP(OPERAC[[#This Row],[COD CART]],[1]!MatrizCortoLargoCyl[#All],3,0),"")</f>
        <v/>
      </c>
      <c r="F1126" t="inlineStr">
        <is>
          <t>ROKU/V/85,00/16-09-22</t>
        </is>
      </c>
      <c r="G1126" t="n">
        <v>-10</v>
      </c>
      <c r="H1126" t="n">
        <v>94.86</v>
      </c>
      <c r="I1126">
        <f>-H956/G956</f>
        <v/>
      </c>
      <c r="J1126" s="16" t="n">
        <v>44672</v>
      </c>
      <c r="K1126" t="n">
        <v>-10</v>
      </c>
      <c r="L1126" t="n">
        <v>-95.095</v>
      </c>
    </row>
    <row r="1127">
      <c r="A1127" t="n">
        <v>3728</v>
      </c>
      <c r="B1127" s="16" t="n">
        <v>44616</v>
      </c>
      <c r="C1127" t="inlineStr">
        <is>
          <t>CPR</t>
        </is>
      </c>
      <c r="D1127" t="n">
        <v>32</v>
      </c>
      <c r="E1127">
        <f>IF(D4552&gt;0,VLOOKUP(OPERAC[[#This Row],[COD CART]],[1]!MatrizCortoLargoCyl[#All],3,0),"")</f>
        <v/>
      </c>
      <c r="F1127" t="inlineStr">
        <is>
          <t>SPWR/CYL/17,00/20-01-23</t>
        </is>
      </c>
      <c r="G1127" t="n">
        <v>100</v>
      </c>
      <c r="H1127" t="n">
        <v>-1222.099</v>
      </c>
      <c r="I1127">
        <f>-H4552/G4552</f>
        <v/>
      </c>
      <c r="J1127" s="16" t="n">
        <v>44656</v>
      </c>
      <c r="K1127" t="n">
        <v>100</v>
      </c>
      <c r="L1127" t="n">
        <v>1479.795</v>
      </c>
    </row>
    <row r="1128">
      <c r="A1128" t="n">
        <v>3728</v>
      </c>
      <c r="B1128" s="16" t="n">
        <v>44616</v>
      </c>
      <c r="C1128" t="inlineStr">
        <is>
          <t>CPR</t>
        </is>
      </c>
      <c r="D1128" t="n">
        <v>32</v>
      </c>
      <c r="E1128">
        <f>IF(D6297&gt;0,VLOOKUP(OPERAC[[#This Row],[COD CART]],[1]!MatrizCortoLargoCyl[#All],3,0),"")</f>
        <v/>
      </c>
      <c r="F1128" t="inlineStr">
        <is>
          <t>PLTR/CYL/12,00/14-04-22</t>
        </is>
      </c>
      <c r="G1128" t="n">
        <v>1000</v>
      </c>
      <c r="H1128" t="n">
        <v>-10476.893</v>
      </c>
      <c r="I1128">
        <f>-H6297/G6297</f>
        <v/>
      </c>
      <c r="J1128" s="16" t="n">
        <v>44615</v>
      </c>
      <c r="K1128" t="n">
        <v>1000</v>
      </c>
      <c r="L1128" t="n">
        <v>11511.32</v>
      </c>
    </row>
    <row r="1129">
      <c r="A1129" t="n">
        <v>3728</v>
      </c>
      <c r="B1129" s="16" t="n">
        <v>44620</v>
      </c>
      <c r="C1129" t="inlineStr">
        <is>
          <t>VTA</t>
        </is>
      </c>
      <c r="D1129" t="n">
        <v>39</v>
      </c>
      <c r="E1129">
        <f>IF(D1181&gt;0,VLOOKUP(OPERAC[[#This Row],[COD CART]],[1]!MatrizCortoLargoCyl[#All],3,0),"")</f>
        <v/>
      </c>
      <c r="F1129" t="inlineStr">
        <is>
          <t>SMH/V/225,00/18-03-22</t>
        </is>
      </c>
      <c r="G1129" t="n">
        <v>-10</v>
      </c>
      <c r="H1129" t="n">
        <v>10.58</v>
      </c>
      <c r="I1129">
        <f>-H1181/G1181</f>
        <v/>
      </c>
      <c r="J1129" s="16" t="n">
        <v>44635</v>
      </c>
      <c r="K1129" t="n">
        <v>-10</v>
      </c>
      <c r="L1129" t="n">
        <v>-5.5744</v>
      </c>
    </row>
    <row r="1130">
      <c r="A1130" t="n">
        <v>3728</v>
      </c>
      <c r="B1130" s="16" t="n">
        <v>44620</v>
      </c>
      <c r="C1130" t="inlineStr">
        <is>
          <t>VTA</t>
        </is>
      </c>
      <c r="D1130" t="n">
        <v>39</v>
      </c>
      <c r="E1130">
        <f>IF(D1189&gt;0,VLOOKUP(OPERAC[[#This Row],[COD CART]],[1]!MatrizCortoLargoCyl[#All],3,0),"")</f>
        <v/>
      </c>
      <c r="F1130" t="inlineStr">
        <is>
          <t>ROKU/V/105,00/18-03-22</t>
        </is>
      </c>
      <c r="G1130" t="n">
        <v>-10</v>
      </c>
      <c r="H1130" t="n">
        <v>9.99</v>
      </c>
      <c r="I1130">
        <f>-H1189/G1189</f>
        <v/>
      </c>
      <c r="J1130" s="16" t="n">
        <v>44636</v>
      </c>
      <c r="K1130" t="n">
        <v>-10</v>
      </c>
      <c r="L1130" t="n">
        <v>-15.08</v>
      </c>
    </row>
    <row r="1131">
      <c r="A1131" t="n">
        <v>3728</v>
      </c>
      <c r="B1131" s="16" t="n">
        <v>44622</v>
      </c>
      <c r="C1131" t="inlineStr">
        <is>
          <t>CPR</t>
        </is>
      </c>
      <c r="D1131" t="n">
        <v>32</v>
      </c>
      <c r="E1131">
        <f>IF(D4012&gt;0,VLOOKUP(OPERAC[[#This Row],[COD CART]],[1]!MatrizCortoLargoCyl[#All],3,0),"")</f>
        <v/>
      </c>
      <c r="F1131" t="inlineStr">
        <is>
          <t>SABR/CYL/10,00/14-04-22</t>
        </is>
      </c>
      <c r="G1131" t="n">
        <v>100</v>
      </c>
      <c r="H1131" t="n">
        <v>-921.1231</v>
      </c>
      <c r="I1131">
        <f>-H4012/G4012</f>
        <v/>
      </c>
      <c r="J1131" s="16" t="n">
        <v>44649</v>
      </c>
      <c r="K1131" t="n">
        <v>100</v>
      </c>
      <c r="L1131" t="n">
        <v>982.1799999999999</v>
      </c>
    </row>
    <row r="1132">
      <c r="A1132" t="n">
        <v>3728</v>
      </c>
      <c r="B1132" s="16" t="n">
        <v>44622</v>
      </c>
      <c r="C1132" t="inlineStr">
        <is>
          <t>CPR</t>
        </is>
      </c>
      <c r="D1132" t="n">
        <v>32</v>
      </c>
      <c r="E1132">
        <f>IF(D6112&gt;0,VLOOKUP(OPERAC[[#This Row],[COD CART]],[1]!MatrizCortoLargoCyl[#All],3,0),"")</f>
        <v/>
      </c>
      <c r="F1132" t="inlineStr">
        <is>
          <t>AMC/CYL/16,00/14-04-22</t>
        </is>
      </c>
      <c r="G1132" t="n">
        <v>300</v>
      </c>
      <c r="H1132" t="n">
        <v>-4335.945900000001</v>
      </c>
      <c r="I1132">
        <f>-H6112/G6112</f>
        <v/>
      </c>
      <c r="J1132" s="16" t="n">
        <v>44648</v>
      </c>
      <c r="K1132" t="n">
        <v>300</v>
      </c>
      <c r="L1132" t="n">
        <v>4745.328</v>
      </c>
    </row>
    <row r="1133">
      <c r="A1133" t="n">
        <v>3728</v>
      </c>
      <c r="B1133" s="16" t="n">
        <v>44628</v>
      </c>
      <c r="C1133" t="inlineStr">
        <is>
          <t>CPR</t>
        </is>
      </c>
      <c r="D1133" t="n">
        <v>40</v>
      </c>
      <c r="E1133">
        <f>IF(D4398&gt;0,VLOOKUP(OPERAC[[#This Row],[COD CART]],[1]!MatrizCortoLargoCyl[#All],3,0),"")</f>
        <v/>
      </c>
      <c r="F1133" t="inlineStr">
        <is>
          <t>NCPCF</t>
        </is>
      </c>
      <c r="G1133" t="n">
        <v>10000</v>
      </c>
      <c r="H1133" t="n">
        <v>-1101.99</v>
      </c>
      <c r="I1133">
        <f>-H4398/G4398</f>
        <v/>
      </c>
    </row>
    <row r="1134">
      <c r="A1134" t="n">
        <v>3728</v>
      </c>
      <c r="B1134" s="16" t="n">
        <v>44628</v>
      </c>
      <c r="C1134" t="inlineStr">
        <is>
          <t>CPR</t>
        </is>
      </c>
      <c r="D1134" t="n">
        <v>40</v>
      </c>
      <c r="E1134">
        <f>IF(D6102&gt;0,VLOOKUP(OPERAC[[#This Row],[COD CART]],[1]!MatrizCortoLargoCyl[#All],3,0),"")</f>
        <v/>
      </c>
      <c r="F1134" t="inlineStr">
        <is>
          <t>CVV</t>
        </is>
      </c>
      <c r="G1134" t="n">
        <v>1000</v>
      </c>
      <c r="H1134" t="n">
        <v>-4195.186</v>
      </c>
      <c r="I1134">
        <f>-H6102/G6102</f>
        <v/>
      </c>
      <c r="J1134" s="16" t="n">
        <v>44649</v>
      </c>
      <c r="K1134" t="n">
        <v>1000</v>
      </c>
      <c r="L1134" t="n">
        <v>4490.347</v>
      </c>
    </row>
    <row r="1135">
      <c r="A1135" t="n">
        <v>3728</v>
      </c>
      <c r="B1135" s="16" t="n">
        <v>44629</v>
      </c>
      <c r="C1135" t="inlineStr">
        <is>
          <t>VTA</t>
        </is>
      </c>
      <c r="D1135" t="n">
        <v>39</v>
      </c>
      <c r="E1135">
        <f>IF(D1109&gt;0,VLOOKUP(OPERAC[[#This Row],[COD CART]],[1]!MatrizCortoLargoCyl[#All],3,0),"")</f>
        <v/>
      </c>
      <c r="F1135" t="inlineStr">
        <is>
          <t>ROKU/V/105,00/18-03-22</t>
        </is>
      </c>
      <c r="G1135" t="n">
        <v>-10</v>
      </c>
      <c r="H1135" t="n">
        <v>23.2717</v>
      </c>
      <c r="I1135">
        <f>-H1109/G1109</f>
        <v/>
      </c>
      <c r="J1135" s="16" t="n">
        <v>44636</v>
      </c>
      <c r="K1135" t="n">
        <v>-10</v>
      </c>
      <c r="L1135" t="n">
        <v>-15.08</v>
      </c>
    </row>
    <row r="1136">
      <c r="A1136" t="n">
        <v>3728</v>
      </c>
      <c r="B1136" s="16" t="n">
        <v>44635</v>
      </c>
      <c r="C1136" t="inlineStr">
        <is>
          <t>CPR</t>
        </is>
      </c>
      <c r="D1136" t="n">
        <v>39</v>
      </c>
      <c r="E1136">
        <f>IF(D4761&gt;0,VLOOKUP(OPERAC[[#This Row],[COD CART]],[1]!MatrizCortoLargoCyl[#All],3,0),"")</f>
        <v/>
      </c>
      <c r="F1136" t="inlineStr">
        <is>
          <t>BABA/C/78,00/18-03-22</t>
        </is>
      </c>
      <c r="G1136" t="n">
        <v>300</v>
      </c>
      <c r="H1136" t="n">
        <v>-1368.435</v>
      </c>
      <c r="I1136">
        <f>-H4761/G4761</f>
        <v/>
      </c>
      <c r="J1136" s="16" t="n">
        <v>44636</v>
      </c>
      <c r="K1136" t="n">
        <v>300</v>
      </c>
      <c r="L1136" t="n">
        <v>3745.03</v>
      </c>
    </row>
    <row r="1137">
      <c r="A1137" t="n">
        <v>3728</v>
      </c>
      <c r="B1137" s="16" t="n">
        <v>44635</v>
      </c>
      <c r="C1137" t="inlineStr">
        <is>
          <t>VTA</t>
        </is>
      </c>
      <c r="D1137" t="n">
        <v>39</v>
      </c>
      <c r="E1137">
        <f>IF(D169&gt;0,VLOOKUP(OPERAC[[#This Row],[COD CART]],[1]!MatrizCortoLargoCyl[#All],3,0),"")</f>
        <v/>
      </c>
      <c r="F1137" t="inlineStr">
        <is>
          <t>ROKU/V/95,00/18-03-22</t>
        </is>
      </c>
      <c r="G1137" t="n">
        <v>-2000</v>
      </c>
      <c r="H1137" t="n">
        <v>2389.56</v>
      </c>
      <c r="I1137">
        <f>-H169/G169</f>
        <v/>
      </c>
      <c r="J1137" s="16" t="n">
        <v>44638</v>
      </c>
      <c r="K1137" t="n">
        <v>-2000</v>
      </c>
      <c r="L1137" t="n">
        <v>0</v>
      </c>
    </row>
    <row r="1138">
      <c r="A1138" t="n">
        <v>3728</v>
      </c>
      <c r="B1138" s="16" t="n">
        <v>44635</v>
      </c>
      <c r="C1138" t="inlineStr">
        <is>
          <t>VTA</t>
        </is>
      </c>
      <c r="D1138" t="n">
        <v>39</v>
      </c>
      <c r="E1138">
        <f>IF(D197&gt;0,VLOOKUP(OPERAC[[#This Row],[COD CART]],[1]!MatrizCortoLargoCyl[#All],3,0),"")</f>
        <v/>
      </c>
      <c r="F1138" t="inlineStr">
        <is>
          <t>TSLA/V/650,00/18-03-22</t>
        </is>
      </c>
      <c r="G1138" t="n">
        <v>-2000</v>
      </c>
      <c r="H1138" t="n">
        <v>2195.08</v>
      </c>
      <c r="I1138">
        <f>-H197/G197</f>
        <v/>
      </c>
      <c r="J1138" s="16" t="n">
        <v>44636</v>
      </c>
      <c r="K1138" t="n">
        <v>-2000</v>
      </c>
      <c r="L1138" t="n">
        <v>-264.13</v>
      </c>
    </row>
    <row r="1139">
      <c r="A1139" t="n">
        <v>3728</v>
      </c>
      <c r="B1139" s="16" t="n">
        <v>44635</v>
      </c>
      <c r="C1139" t="inlineStr">
        <is>
          <t>VTA</t>
        </is>
      </c>
      <c r="D1139" t="n">
        <v>39</v>
      </c>
      <c r="E1139">
        <f>IF(D198&gt;0,VLOOKUP(OPERAC[[#This Row],[COD CART]],[1]!MatrizCortoLargoCyl[#All],3,0),"")</f>
        <v/>
      </c>
      <c r="F1139" t="inlineStr">
        <is>
          <t>TSLA/C/875,00/18-03-22</t>
        </is>
      </c>
      <c r="G1139" t="n">
        <v>-2000</v>
      </c>
      <c r="H1139" t="n">
        <v>2195.08</v>
      </c>
      <c r="I1139">
        <f>-H198/G198</f>
        <v/>
      </c>
      <c r="J1139" s="16" t="n">
        <v>44636</v>
      </c>
      <c r="K1139" t="n">
        <v>-2000</v>
      </c>
      <c r="L1139" t="n">
        <v>-3608.98</v>
      </c>
    </row>
    <row r="1140">
      <c r="A1140" t="n">
        <v>3728</v>
      </c>
      <c r="B1140" s="16" t="n">
        <v>44635</v>
      </c>
      <c r="C1140" t="inlineStr">
        <is>
          <t>VTA</t>
        </is>
      </c>
      <c r="D1140" t="n">
        <v>39</v>
      </c>
      <c r="E1140">
        <f>IF(D225&gt;0,VLOOKUP(OPERAC[[#This Row],[COD CART]],[1]!MatrizCortoLargoCyl[#All],3,0),"")</f>
        <v/>
      </c>
      <c r="F1140" t="inlineStr">
        <is>
          <t>ROKU/C/108,00/18-03-22</t>
        </is>
      </c>
      <c r="G1140" t="n">
        <v>-2000</v>
      </c>
      <c r="H1140" t="n">
        <v>1983.96</v>
      </c>
      <c r="I1140">
        <f>-H225/G225</f>
        <v/>
      </c>
      <c r="J1140" s="16" t="n">
        <v>44636</v>
      </c>
      <c r="K1140" t="n">
        <v>-2000</v>
      </c>
      <c r="L1140" t="n">
        <v>-6514.48</v>
      </c>
    </row>
    <row r="1141">
      <c r="A1141" t="n">
        <v>3728</v>
      </c>
      <c r="B1141" s="16" t="n">
        <v>44635</v>
      </c>
      <c r="C1141" t="inlineStr">
        <is>
          <t>VTA</t>
        </is>
      </c>
      <c r="D1141" t="n">
        <v>39</v>
      </c>
      <c r="E1141">
        <f>IF(D305&gt;0,VLOOKUP(OPERAC[[#This Row],[COD CART]],[1]!MatrizCortoLargoCyl[#All],3,0),"")</f>
        <v/>
      </c>
      <c r="F1141" t="inlineStr">
        <is>
          <t>SMH/V/220,00/25-03-22</t>
        </is>
      </c>
      <c r="G1141" t="n">
        <v>-1000</v>
      </c>
      <c r="H1141" t="n">
        <v>1491.58</v>
      </c>
      <c r="I1141">
        <f>-H305/G305</f>
        <v/>
      </c>
      <c r="J1141" s="16" t="n">
        <v>44638</v>
      </c>
      <c r="K1141" t="n">
        <v>-1000</v>
      </c>
      <c r="L1141" t="n">
        <v>-157.04</v>
      </c>
    </row>
    <row r="1142">
      <c r="A1142" t="n">
        <v>3728</v>
      </c>
      <c r="B1142" s="16" t="n">
        <v>44635</v>
      </c>
      <c r="C1142" t="inlineStr">
        <is>
          <t>VTA</t>
        </is>
      </c>
      <c r="D1142" t="n">
        <v>39</v>
      </c>
      <c r="E1142">
        <f>IF(D362&gt;0,VLOOKUP(OPERAC[[#This Row],[COD CART]],[1]!MatrizCortoLargoCyl[#All],3,0),"")</f>
        <v/>
      </c>
      <c r="F1142" t="inlineStr">
        <is>
          <t>TSLA/V/645,00/18-03-22</t>
        </is>
      </c>
      <c r="G1142" t="n">
        <v>-2000</v>
      </c>
      <c r="H1142" t="n">
        <v>1244.8</v>
      </c>
      <c r="I1142">
        <f>-H362/G362</f>
        <v/>
      </c>
      <c r="J1142" s="16" t="n">
        <v>44636</v>
      </c>
      <c r="K1142" t="n">
        <v>-2000</v>
      </c>
      <c r="L1142" t="n">
        <v>-228.36</v>
      </c>
    </row>
    <row r="1143">
      <c r="A1143" t="n">
        <v>3728</v>
      </c>
      <c r="B1143" s="16" t="n">
        <v>44636</v>
      </c>
      <c r="C1143" t="inlineStr">
        <is>
          <t>VTA</t>
        </is>
      </c>
      <c r="D1143" t="n">
        <v>39</v>
      </c>
      <c r="E1143">
        <f>IF(D111&gt;0,VLOOKUP(OPERAC[[#This Row],[COD CART]],[1]!MatrizCortoLargoCyl[#All],3,0),"")</f>
        <v/>
      </c>
      <c r="F1143" t="inlineStr">
        <is>
          <t>TSLA/V/745,00/18-03-22</t>
        </is>
      </c>
      <c r="G1143" t="n">
        <v>-2000</v>
      </c>
      <c r="H1143" t="n">
        <v>3251.3</v>
      </c>
      <c r="I1143">
        <f>-H111/G111</f>
        <v/>
      </c>
      <c r="J1143" s="16" t="n">
        <v>44638</v>
      </c>
      <c r="K1143" t="n">
        <v>-2000</v>
      </c>
      <c r="L1143" t="n">
        <v>-171.14</v>
      </c>
    </row>
    <row r="1144">
      <c r="A1144" t="n">
        <v>3728</v>
      </c>
      <c r="B1144" s="16" t="n">
        <v>44636</v>
      </c>
      <c r="C1144" t="inlineStr">
        <is>
          <t>VTA</t>
        </is>
      </c>
      <c r="D1144" t="n">
        <v>39</v>
      </c>
      <c r="E1144">
        <f>IF(D127&gt;0,VLOOKUP(OPERAC[[#This Row],[COD CART]],[1]!MatrizCortoLargoCyl[#All],3,0),"")</f>
        <v/>
      </c>
      <c r="F1144" t="inlineStr">
        <is>
          <t>TSLA/V/715,00/25-03-22</t>
        </is>
      </c>
      <c r="G1144" t="n">
        <v>-1000</v>
      </c>
      <c r="H1144" t="n">
        <v>3094.17</v>
      </c>
      <c r="I1144">
        <f>-H127/G127</f>
        <v/>
      </c>
      <c r="J1144" s="16" t="n">
        <v>44641</v>
      </c>
      <c r="K1144" t="n">
        <v>-1000</v>
      </c>
      <c r="L1144" t="n">
        <v>-357.34</v>
      </c>
    </row>
    <row r="1145">
      <c r="A1145" t="n">
        <v>3728</v>
      </c>
      <c r="B1145" s="16" t="n">
        <v>44636</v>
      </c>
      <c r="C1145" t="inlineStr">
        <is>
          <t>VTA</t>
        </is>
      </c>
      <c r="D1145" t="n">
        <v>39</v>
      </c>
      <c r="E1145">
        <f>IF(D654&gt;0,VLOOKUP(OPERAC[[#This Row],[COD CART]],[1]!MatrizCortoLargoCyl[#All],3,0),"")</f>
        <v/>
      </c>
      <c r="F1145" t="inlineStr">
        <is>
          <t>TSLA/V/695,00/18-03-22</t>
        </is>
      </c>
      <c r="G1145" t="n">
        <v>-2000</v>
      </c>
      <c r="H1145" t="n">
        <v>496.776</v>
      </c>
      <c r="I1145">
        <f>-H654/G654</f>
        <v/>
      </c>
      <c r="J1145" s="16" t="n">
        <v>44638</v>
      </c>
      <c r="K1145" t="n">
        <v>-2000</v>
      </c>
      <c r="L1145" t="n">
        <v>0</v>
      </c>
    </row>
    <row r="1146">
      <c r="A1146" t="n">
        <v>3728</v>
      </c>
      <c r="B1146" s="16" t="n">
        <v>44637</v>
      </c>
      <c r="C1146" t="inlineStr">
        <is>
          <t>CPR</t>
        </is>
      </c>
      <c r="D1146" t="n">
        <v>43</v>
      </c>
      <c r="E1146">
        <f>IF(D4685&gt;0,VLOOKUP(OPERAC[[#This Row],[COD CART]],[1]!MatrizCortoLargoCyl[#All],3,0),"")</f>
        <v/>
      </c>
      <c r="F1146" t="inlineStr">
        <is>
          <t>GMBL/CYL-PUT/1,00/20-01-23</t>
        </is>
      </c>
      <c r="G1146" t="n">
        <v>6600</v>
      </c>
      <c r="H1146" t="n">
        <v>-1307.692452</v>
      </c>
      <c r="I1146">
        <f>-H4685/G4685</f>
        <v/>
      </c>
    </row>
    <row r="1147">
      <c r="A1147" t="n">
        <v>3728</v>
      </c>
      <c r="B1147" s="16" t="n">
        <v>44637</v>
      </c>
      <c r="C1147" t="inlineStr">
        <is>
          <t>CPR</t>
        </is>
      </c>
      <c r="D1147" t="n">
        <v>31</v>
      </c>
      <c r="E1147">
        <f>IF(D5646&gt;0,VLOOKUP(OPERAC[[#This Row],[COD CART]],[1]!MatrizCortoLargoCyl[#All],3,0),"")</f>
        <v/>
      </c>
      <c r="F1147" t="inlineStr">
        <is>
          <t>INTC</t>
        </is>
      </c>
      <c r="G1147" t="n">
        <v>50</v>
      </c>
      <c r="H1147" t="n">
        <v>-2361.358</v>
      </c>
      <c r="I1147">
        <f>-H5646/G5646</f>
        <v/>
      </c>
      <c r="J1147" s="16" t="n">
        <v>44693</v>
      </c>
      <c r="K1147" t="n">
        <v>50</v>
      </c>
      <c r="L1147" t="n">
        <v>2133.539</v>
      </c>
    </row>
    <row r="1148">
      <c r="A1148" t="n">
        <v>3728</v>
      </c>
      <c r="B1148" s="16" t="n">
        <v>44637</v>
      </c>
      <c r="C1148" t="inlineStr">
        <is>
          <t>CPR</t>
        </is>
      </c>
      <c r="D1148" t="n">
        <v>31</v>
      </c>
      <c r="E1148">
        <f>IF(D5660&gt;0,VLOOKUP(OPERAC[[#This Row],[COD CART]],[1]!MatrizCortoLargoCyl[#All],3,0),"")</f>
        <v/>
      </c>
      <c r="F1148" t="inlineStr">
        <is>
          <t>AAPL</t>
        </is>
      </c>
      <c r="G1148" t="n">
        <v>15</v>
      </c>
      <c r="H1148" t="n">
        <v>-2403.21982</v>
      </c>
      <c r="I1148">
        <f>-H5660/G5660</f>
        <v/>
      </c>
    </row>
    <row r="1149">
      <c r="A1149" t="n">
        <v>3728</v>
      </c>
      <c r="B1149" s="16" t="n">
        <v>44637</v>
      </c>
      <c r="C1149" t="inlineStr">
        <is>
          <t>CPR</t>
        </is>
      </c>
      <c r="D1149" t="n">
        <v>31</v>
      </c>
      <c r="E1149">
        <f>IF(D5809&gt;0,VLOOKUP(OPERAC[[#This Row],[COD CART]],[1]!MatrizCortoLargoCyl[#All],3,0),"")</f>
        <v/>
      </c>
      <c r="F1149" t="inlineStr">
        <is>
          <t>LAC</t>
        </is>
      </c>
      <c r="G1149" t="n">
        <v>100</v>
      </c>
      <c r="H1149" t="n">
        <v>-2752.479</v>
      </c>
      <c r="I1149">
        <f>-H5809/G5809</f>
        <v/>
      </c>
      <c r="J1149" s="16" t="n">
        <v>44657</v>
      </c>
      <c r="K1149" t="n">
        <v>100</v>
      </c>
      <c r="L1149" t="n">
        <v>3345.62</v>
      </c>
    </row>
    <row r="1150">
      <c r="A1150" t="n">
        <v>3728</v>
      </c>
      <c r="B1150" s="16" t="n">
        <v>44637</v>
      </c>
      <c r="C1150" t="inlineStr">
        <is>
          <t>CPR</t>
        </is>
      </c>
      <c r="D1150" t="n">
        <v>31</v>
      </c>
      <c r="E1150">
        <f>IF(D6116&gt;0,VLOOKUP(OPERAC[[#This Row],[COD CART]],[1]!MatrizCortoLargoCyl[#All],3,0),"")</f>
        <v/>
      </c>
      <c r="F1150" t="inlineStr">
        <is>
          <t>MSFT</t>
        </is>
      </c>
      <c r="G1150" t="n">
        <v>15</v>
      </c>
      <c r="H1150" t="n">
        <v>-4411.205800000001</v>
      </c>
      <c r="I1150">
        <f>-H6116/G6116</f>
        <v/>
      </c>
      <c r="J1150" s="16" t="n">
        <v>44692</v>
      </c>
      <c r="K1150" t="n">
        <v>15</v>
      </c>
      <c r="L1150" t="n">
        <v>3912.434</v>
      </c>
    </row>
    <row r="1151">
      <c r="A1151" t="n">
        <v>3728</v>
      </c>
      <c r="B1151" s="16" t="n">
        <v>44637</v>
      </c>
      <c r="C1151" t="inlineStr">
        <is>
          <t>CPR</t>
        </is>
      </c>
      <c r="D1151" t="n">
        <v>31</v>
      </c>
      <c r="E1151">
        <f>IF(D6156&gt;0,VLOOKUP(OPERAC[[#This Row],[COD CART]],[1]!MatrizCortoLargoCyl[#All],3,0),"")</f>
        <v/>
      </c>
      <c r="F1151" t="inlineStr">
        <is>
          <t>DIS</t>
        </is>
      </c>
      <c r="G1151" t="n">
        <v>35</v>
      </c>
      <c r="H1151" t="n">
        <v>-4855.09925</v>
      </c>
      <c r="I1151">
        <f>-H6156/G6156</f>
        <v/>
      </c>
    </row>
    <row r="1152">
      <c r="A1152" t="n">
        <v>3728</v>
      </c>
      <c r="B1152" s="16" t="n">
        <v>44637</v>
      </c>
      <c r="C1152" t="inlineStr">
        <is>
          <t>CPR</t>
        </is>
      </c>
      <c r="D1152" t="n">
        <v>31</v>
      </c>
      <c r="E1152">
        <f>IF(D6183&gt;0,VLOOKUP(OPERAC[[#This Row],[COD CART]],[1]!MatrizCortoLargoCyl[#All],3,0),"")</f>
        <v/>
      </c>
      <c r="F1152" t="inlineStr">
        <is>
          <t>FB</t>
        </is>
      </c>
      <c r="G1152" t="n">
        <v>25</v>
      </c>
      <c r="H1152" t="n">
        <v>-5156.6505</v>
      </c>
      <c r="I1152">
        <f>-H6183/G6183</f>
        <v/>
      </c>
      <c r="J1152" s="16" t="n">
        <v>44671</v>
      </c>
      <c r="K1152" t="n">
        <v>25</v>
      </c>
      <c r="L1152" t="n">
        <v>5132.862</v>
      </c>
    </row>
    <row r="1153">
      <c r="A1153" t="n">
        <v>3728</v>
      </c>
      <c r="B1153" s="16" t="n">
        <v>44637</v>
      </c>
      <c r="C1153" t="inlineStr">
        <is>
          <t>CPR</t>
        </is>
      </c>
      <c r="D1153" t="n">
        <v>32</v>
      </c>
      <c r="E1153">
        <f>IF(D6195&gt;0,VLOOKUP(OPERAC[[#This Row],[COD CART]],[1]!MatrizCortoLargoCyl[#All],3,0),"")</f>
        <v/>
      </c>
      <c r="F1153" t="inlineStr">
        <is>
          <t>KWEB/CYL/30,00/01-04-22</t>
        </is>
      </c>
      <c r="G1153" t="n">
        <v>200</v>
      </c>
      <c r="H1153" t="n">
        <v>-5346.799</v>
      </c>
      <c r="I1153">
        <f>-H6195/G6195</f>
        <v/>
      </c>
      <c r="J1153" s="16" t="n">
        <v>44652</v>
      </c>
      <c r="K1153" t="n">
        <v>200</v>
      </c>
      <c r="L1153" t="n">
        <v>5961.74</v>
      </c>
    </row>
    <row r="1154">
      <c r="A1154" t="n">
        <v>3728</v>
      </c>
      <c r="B1154" s="16" t="n">
        <v>44637</v>
      </c>
      <c r="C1154" t="inlineStr">
        <is>
          <t>CPR</t>
        </is>
      </c>
      <c r="D1154" t="n">
        <v>31</v>
      </c>
      <c r="E1154">
        <f>IF(D6238&gt;0,VLOOKUP(OPERAC[[#This Row],[COD CART]],[1]!MatrizCortoLargoCyl[#All],3,0),"")</f>
        <v/>
      </c>
      <c r="F1154" t="inlineStr">
        <is>
          <t>AMZN</t>
        </is>
      </c>
      <c r="G1154" t="n">
        <v>2</v>
      </c>
      <c r="H1154" t="n">
        <v>-6272.7655</v>
      </c>
      <c r="I1154">
        <f>-H6238/G6238</f>
        <v/>
      </c>
      <c r="J1154" s="16" t="n">
        <v>44693</v>
      </c>
      <c r="K1154" t="n">
        <v>2</v>
      </c>
      <c r="L1154" t="n">
        <v>4259.336</v>
      </c>
    </row>
    <row r="1155">
      <c r="A1155" t="n">
        <v>3728</v>
      </c>
      <c r="B1155" s="16" t="n">
        <v>44637</v>
      </c>
      <c r="C1155" t="inlineStr">
        <is>
          <t>VTA</t>
        </is>
      </c>
      <c r="D1155" t="n">
        <v>39</v>
      </c>
      <c r="E1155">
        <f>IF(D803&gt;0,VLOOKUP(OPERAC[[#This Row],[COD CART]],[1]!MatrizCortoLargoCyl[#All],3,0),"")</f>
        <v/>
      </c>
      <c r="F1155" t="inlineStr">
        <is>
          <t>MELI/V/540,00/20-01-23</t>
        </is>
      </c>
      <c r="G1155" t="n">
        <v>-10</v>
      </c>
      <c r="H1155" t="n">
        <v>254.745</v>
      </c>
      <c r="I1155">
        <f>-H803/G803</f>
        <v/>
      </c>
    </row>
    <row r="1156">
      <c r="A1156" t="n">
        <v>3728</v>
      </c>
      <c r="B1156" s="16" t="n">
        <v>44637</v>
      </c>
      <c r="C1156" t="inlineStr">
        <is>
          <t>VTA</t>
        </is>
      </c>
      <c r="D1156" t="n">
        <v>39</v>
      </c>
      <c r="E1156">
        <f>IF(D834&gt;0,VLOOKUP(OPERAC[[#This Row],[COD CART]],[1]!MatrizCortoLargoCyl[#All],3,0),"")</f>
        <v/>
      </c>
      <c r="F1156" t="inlineStr">
        <is>
          <t>TSLA/V/300,00/19-01-24</t>
        </is>
      </c>
      <c r="G1156" t="n">
        <v>-10</v>
      </c>
      <c r="H1156" t="n">
        <v>210.71</v>
      </c>
      <c r="I1156">
        <f>-H834/G834</f>
        <v/>
      </c>
    </row>
    <row r="1157">
      <c r="A1157" t="n">
        <v>3728</v>
      </c>
      <c r="B1157" s="16" t="n">
        <v>44637</v>
      </c>
      <c r="C1157" t="inlineStr">
        <is>
          <t>VTA</t>
        </is>
      </c>
      <c r="D1157" t="n">
        <v>31</v>
      </c>
      <c r="E1157">
        <f>IF(D5431&gt;0,VLOOKUP(OPERAC[[#This Row],[COD CART]],[1]!MatrizCortoLargoCyl[#All],3,0),"")</f>
        <v/>
      </c>
      <c r="F1157" t="inlineStr">
        <is>
          <t>NFLX</t>
        </is>
      </c>
      <c r="G1157" t="n">
        <v>5</v>
      </c>
      <c r="H1157" t="n">
        <v>-1859.60675</v>
      </c>
      <c r="I1157">
        <f>-H5431/G5431</f>
        <v/>
      </c>
    </row>
    <row r="1158">
      <c r="A1158" t="n">
        <v>3728</v>
      </c>
      <c r="B1158" s="16" t="n">
        <v>44638</v>
      </c>
      <c r="C1158" t="inlineStr">
        <is>
          <t>CPR</t>
        </is>
      </c>
      <c r="D1158" t="n">
        <v>32</v>
      </c>
      <c r="E1158">
        <f>IF(D6298&gt;0,VLOOKUP(OPERAC[[#This Row],[COD CART]],[1]!MatrizCortoLargoCyl[#All],3,0),"")</f>
        <v/>
      </c>
      <c r="F1158" t="inlineStr">
        <is>
          <t>BABA</t>
        </is>
      </c>
      <c r="G1158" t="n">
        <v>100</v>
      </c>
      <c r="H1158">
        <f>-10537.31-741.49+253.695-284.33+338.91+169.83</f>
        <v/>
      </c>
      <c r="I1158">
        <f>-H6298/G6298</f>
        <v/>
      </c>
      <c r="J1158" s="16" t="n">
        <v>44672</v>
      </c>
      <c r="K1158" t="n">
        <v>100</v>
      </c>
      <c r="L1158" t="n">
        <v>8812.179</v>
      </c>
    </row>
    <row r="1159">
      <c r="A1159" t="n">
        <v>3728</v>
      </c>
      <c r="B1159" s="16" t="n">
        <v>44641</v>
      </c>
      <c r="C1159" t="inlineStr">
        <is>
          <t>CPR</t>
        </is>
      </c>
      <c r="D1159" t="n">
        <v>31</v>
      </c>
      <c r="E1159">
        <f>IF(D4544&gt;0,VLOOKUP(OPERAC[[#This Row],[COD CART]],[1]!MatrizCortoLargoCyl[#All],3,0),"")</f>
        <v/>
      </c>
      <c r="F1159" t="inlineStr">
        <is>
          <t>TGS</t>
        </is>
      </c>
      <c r="G1159" t="n">
        <v>200</v>
      </c>
      <c r="H1159" t="n">
        <v>-1212.6104</v>
      </c>
      <c r="I1159">
        <f>-H4544/G4544</f>
        <v/>
      </c>
      <c r="J1159" s="16" t="n">
        <v>44692</v>
      </c>
      <c r="K1159" t="n">
        <v>200</v>
      </c>
      <c r="L1159" t="n">
        <v>1222.776</v>
      </c>
    </row>
    <row r="1160">
      <c r="A1160" t="n">
        <v>3728</v>
      </c>
      <c r="B1160" s="16" t="n">
        <v>44641</v>
      </c>
      <c r="C1160" t="inlineStr">
        <is>
          <t>CPR</t>
        </is>
      </c>
      <c r="D1160" t="n">
        <v>32</v>
      </c>
      <c r="E1160">
        <f>IF(D6060&gt;0,VLOOKUP(OPERAC[[#This Row],[COD CART]],[1]!MatrizCortoLargoCyl[#All],3,0),"")</f>
        <v/>
      </c>
      <c r="F1160" t="inlineStr">
        <is>
          <t>HMY</t>
        </is>
      </c>
      <c r="G1160" t="n">
        <v>800</v>
      </c>
      <c r="H1160" t="n">
        <v>-3776.4144</v>
      </c>
      <c r="I1160">
        <f>-H6060/G6060</f>
        <v/>
      </c>
      <c r="J1160" s="16" t="n">
        <v>44669</v>
      </c>
      <c r="K1160">
        <f>+OPERAC[[#This Row],[cantidad]]</f>
        <v/>
      </c>
      <c r="L1160">
        <f>4.925*OPERAC[[#This Row],[cantidad venta]]</f>
        <v/>
      </c>
    </row>
    <row r="1161">
      <c r="A1161" t="n">
        <v>3728</v>
      </c>
      <c r="B1161" s="16" t="n">
        <v>44642</v>
      </c>
      <c r="C1161" t="inlineStr">
        <is>
          <t>VTA</t>
        </is>
      </c>
      <c r="D1161" t="n">
        <v>42</v>
      </c>
      <c r="E1161">
        <f>IF(D5475&gt;0,VLOOKUP(OPERAC[[#This Row],[COD CART]],[1]!MatrizCortoLargoCyl[#All],3,0),"")</f>
        <v/>
      </c>
      <c r="F1161" t="inlineStr">
        <is>
          <t>HYDR</t>
        </is>
      </c>
      <c r="G1161" t="n">
        <v>100</v>
      </c>
      <c r="H1161">
        <f>-19.39*OPERAC[[#This Row],[cantidad]]</f>
        <v/>
      </c>
      <c r="I1161">
        <f>-H5475/G5475</f>
        <v/>
      </c>
      <c r="J1161" s="16" t="n">
        <v>44692</v>
      </c>
      <c r="K1161" t="n">
        <v>100</v>
      </c>
      <c r="L1161" t="n">
        <v>1240.758</v>
      </c>
    </row>
    <row r="1162">
      <c r="A1162" t="n">
        <v>3728</v>
      </c>
      <c r="B1162" s="16" t="n">
        <v>44643</v>
      </c>
      <c r="C1162" t="inlineStr">
        <is>
          <t>CPR</t>
        </is>
      </c>
      <c r="D1162" t="n">
        <v>42</v>
      </c>
      <c r="E1162">
        <f>IF(D4806&gt;0,VLOOKUP(OPERAC[[#This Row],[COD CART]],[1]!MatrizCortoLargoCyl[#All],3,0),"")</f>
        <v/>
      </c>
      <c r="F1162" t="inlineStr">
        <is>
          <t>JPM</t>
        </is>
      </c>
      <c r="G1162" t="n">
        <v>10</v>
      </c>
      <c r="H1162" t="n">
        <v>-1402.658</v>
      </c>
      <c r="I1162">
        <f>-H4806/G4806</f>
        <v/>
      </c>
      <c r="J1162" s="16" t="n">
        <v>44664</v>
      </c>
      <c r="K1162">
        <f>+OPERAC[[#This Row],[cantidad]]</f>
        <v/>
      </c>
      <c r="L1162">
        <f>+OPERAC[[#This Row],[cantidad venta]]*125.943</f>
        <v/>
      </c>
    </row>
    <row r="1163">
      <c r="A1163" t="n">
        <v>3728</v>
      </c>
      <c r="B1163" s="16" t="n">
        <v>44643</v>
      </c>
      <c r="C1163" t="inlineStr">
        <is>
          <t>CPR</t>
        </is>
      </c>
      <c r="D1163" t="n">
        <v>31</v>
      </c>
      <c r="E1163">
        <f>IF(D5813&gt;0,VLOOKUP(OPERAC[[#This Row],[COD CART]],[1]!MatrizCortoLargoCyl[#All],3,0),"")</f>
        <v/>
      </c>
      <c r="F1163" t="inlineStr">
        <is>
          <t>COST</t>
        </is>
      </c>
      <c r="G1163" t="n">
        <v>5</v>
      </c>
      <c r="H1163" t="n">
        <v>-2771.893625</v>
      </c>
      <c r="I1163">
        <f>-H5813/G5813</f>
        <v/>
      </c>
      <c r="J1163" s="16" t="n">
        <v>44692</v>
      </c>
      <c r="K1163" t="n">
        <v>5</v>
      </c>
      <c r="L1163" t="n">
        <v>2452.095</v>
      </c>
    </row>
    <row r="1164">
      <c r="A1164" t="n">
        <v>3728</v>
      </c>
      <c r="B1164" s="16" t="n">
        <v>44643</v>
      </c>
      <c r="C1164" t="inlineStr">
        <is>
          <t>VTA</t>
        </is>
      </c>
      <c r="D1164" t="n">
        <v>32</v>
      </c>
      <c r="E1164">
        <f>IF(D5179&gt;0,VLOOKUP(OPERAC[[#This Row],[COD CART]],[1]!MatrizCortoLargoCyl[#All],3,0),"")</f>
        <v/>
      </c>
      <c r="F1164" t="inlineStr">
        <is>
          <t>AAL/CYL/18,00/14-04-22</t>
        </is>
      </c>
      <c r="G1164" t="n">
        <v>100</v>
      </c>
      <c r="H1164" t="n">
        <v>-1619.461</v>
      </c>
      <c r="I1164">
        <f>-H5179/G5179</f>
        <v/>
      </c>
      <c r="J1164" s="16" t="n">
        <v>44652</v>
      </c>
      <c r="K1164">
        <f>+OPERAC[[#This Row],[cantidad]]</f>
        <v/>
      </c>
      <c r="L1164" t="n">
        <v>1731.356</v>
      </c>
    </row>
    <row r="1165">
      <c r="A1165" t="n">
        <v>3728</v>
      </c>
      <c r="B1165" s="16" t="n">
        <v>44643</v>
      </c>
      <c r="C1165" t="inlineStr">
        <is>
          <t>VTA</t>
        </is>
      </c>
      <c r="D1165" t="n">
        <v>42</v>
      </c>
      <c r="E1165">
        <f>IF(D5245&gt;0,VLOOKUP(OPERAC[[#This Row],[COD CART]],[1]!MatrizCortoLargoCyl[#All],3,0),"")</f>
        <v/>
      </c>
      <c r="F1165" t="inlineStr">
        <is>
          <t>ADBE</t>
        </is>
      </c>
      <c r="G1165" t="n">
        <v>4</v>
      </c>
      <c r="H1165" t="n">
        <v>-1672.52378</v>
      </c>
      <c r="I1165">
        <f>-H5245/G5245</f>
        <v/>
      </c>
      <c r="J1165" s="16" t="n">
        <v>44687</v>
      </c>
      <c r="K1165">
        <f>+OPERAC[[#This Row],[cantidad]]</f>
        <v/>
      </c>
      <c r="L1165" t="n">
        <v>386.42</v>
      </c>
    </row>
    <row r="1166">
      <c r="A1166" t="n">
        <v>3728</v>
      </c>
      <c r="B1166" s="16" t="n">
        <v>44643</v>
      </c>
      <c r="C1166" t="inlineStr">
        <is>
          <t>VTA</t>
        </is>
      </c>
      <c r="D1166" t="n">
        <v>42</v>
      </c>
      <c r="E1166">
        <f>IF(D5428&gt;0,VLOOKUP(OPERAC[[#This Row],[COD CART]],[1]!MatrizCortoLargoCyl[#All],3,0),"")</f>
        <v/>
      </c>
      <c r="F1166" t="inlineStr">
        <is>
          <t>SMH</t>
        </is>
      </c>
      <c r="G1166" t="n">
        <v>7</v>
      </c>
      <c r="H1166" t="n">
        <v>-1857.153816</v>
      </c>
      <c r="I1166">
        <f>-H5428/G5428</f>
        <v/>
      </c>
      <c r="J1166" s="16" t="n">
        <v>44663</v>
      </c>
      <c r="K1166">
        <f>+OPERAC[[#This Row],[cantidad]]</f>
        <v/>
      </c>
      <c r="L1166">
        <f>+OPERAC[[#This Row],[cantidad venta]]*238.066</f>
        <v/>
      </c>
    </row>
    <row r="1167">
      <c r="A1167" t="n">
        <v>3728</v>
      </c>
      <c r="B1167" s="16" t="n">
        <v>44644</v>
      </c>
      <c r="C1167" t="inlineStr">
        <is>
          <t>CPR</t>
        </is>
      </c>
      <c r="D1167" t="n">
        <v>32</v>
      </c>
      <c r="E1167">
        <f>IF(D5983&gt;0,VLOOKUP(OPERAC[[#This Row],[COD CART]],[1]!MatrizCortoLargoCyl[#All],3,0),"")</f>
        <v/>
      </c>
      <c r="F1167" t="inlineStr">
        <is>
          <t>LAC</t>
        </is>
      </c>
      <c r="G1167" t="n">
        <v>100</v>
      </c>
      <c r="H1167" t="n">
        <v>-3235.353</v>
      </c>
      <c r="I1167">
        <f>-H5983/G5983</f>
        <v/>
      </c>
      <c r="J1167" s="16" t="n">
        <v>44669</v>
      </c>
      <c r="K1167" t="n">
        <v>100</v>
      </c>
      <c r="L1167" t="n">
        <v>2992.005</v>
      </c>
    </row>
    <row r="1168">
      <c r="A1168" t="n">
        <v>3728</v>
      </c>
      <c r="B1168" s="16" t="n">
        <v>44644</v>
      </c>
      <c r="C1168" t="inlineStr">
        <is>
          <t>VTA</t>
        </is>
      </c>
      <c r="D1168" t="n">
        <v>39</v>
      </c>
      <c r="E1168">
        <f>IF(D1015&gt;0,VLOOKUP(OPERAC[[#This Row],[COD CART]],[1]!MatrizCortoLargoCyl[#All],3,0),"")</f>
        <v/>
      </c>
      <c r="F1168" t="inlineStr">
        <is>
          <t>ACB/V/4,00/20-01-23</t>
        </is>
      </c>
      <c r="G1168" t="n">
        <v>-50</v>
      </c>
      <c r="H1168" t="n">
        <v>60.2385</v>
      </c>
      <c r="I1168">
        <f>-H1015/G1015</f>
        <v/>
      </c>
    </row>
    <row r="1169">
      <c r="A1169" t="n">
        <v>3728</v>
      </c>
      <c r="B1169" s="16" t="n">
        <v>44645</v>
      </c>
      <c r="C1169" t="inlineStr">
        <is>
          <t>CPR</t>
        </is>
      </c>
      <c r="D1169" t="n">
        <v>32</v>
      </c>
      <c r="E1169">
        <f>IF(D6193&gt;0,VLOOKUP(OPERAC[[#This Row],[COD CART]],[1]!MatrizCortoLargoCyl[#All],3,0),"")</f>
        <v/>
      </c>
      <c r="F1169" t="inlineStr">
        <is>
          <t>PLUG</t>
        </is>
      </c>
      <c r="G1169" t="n">
        <v>200</v>
      </c>
      <c r="H1169">
        <f>-28.16*OPERAC[[#This Row],[cantidad]]+299.7</f>
        <v/>
      </c>
      <c r="I1169">
        <f>-H6193/G6193</f>
        <v/>
      </c>
    </row>
    <row r="1170">
      <c r="A1170" t="n">
        <v>3728</v>
      </c>
      <c r="B1170" s="16" t="n">
        <v>44645</v>
      </c>
      <c r="C1170" t="inlineStr">
        <is>
          <t>CPR</t>
        </is>
      </c>
      <c r="D1170" t="n">
        <v>42</v>
      </c>
      <c r="E1170">
        <f>IF(D6204&gt;0,VLOOKUP(OPERAC[[#This Row],[COD CART]],[1]!MatrizCortoLargoCyl[#All],3,0),"")</f>
        <v/>
      </c>
      <c r="F1170" t="inlineStr">
        <is>
          <t>PLUG</t>
        </is>
      </c>
      <c r="G1170" t="n">
        <v>200</v>
      </c>
      <c r="H1170" t="n">
        <v>-5547.541</v>
      </c>
      <c r="I1170">
        <f>-H6204/G6204</f>
        <v/>
      </c>
      <c r="J1170" s="16" t="n">
        <v>44652</v>
      </c>
      <c r="K1170">
        <f>+OPERAC[[#This Row],[cantidad]]</f>
        <v/>
      </c>
      <c r="L1170">
        <f>+OPERAC[[#This Row],[cantidad venta]]*27.754</f>
        <v/>
      </c>
    </row>
    <row r="1171">
      <c r="A1171" t="n">
        <v>3728</v>
      </c>
      <c r="B1171" s="16" t="n">
        <v>44645</v>
      </c>
      <c r="C1171" t="inlineStr">
        <is>
          <t>VTA</t>
        </is>
      </c>
      <c r="D1171" t="n">
        <v>40</v>
      </c>
      <c r="E1171">
        <f>IF(D1371&gt;0,VLOOKUP(OPERAC[[#This Row],[COD CART]],[1]!MatrizCortoLargoCyl[#All],3,0),"")</f>
        <v/>
      </c>
      <c r="F1171" t="inlineStr">
        <is>
          <t>REMX</t>
        </is>
      </c>
      <c r="G1171" t="n">
        <v>1</v>
      </c>
      <c r="H1171" t="n">
        <v>-118.077</v>
      </c>
      <c r="I1171">
        <f>-H1371/G1371</f>
        <v/>
      </c>
      <c r="J1171" s="16" t="n">
        <v>44690</v>
      </c>
      <c r="K1171" t="n">
        <v>1</v>
      </c>
      <c r="L1171" t="n">
        <v>86.41</v>
      </c>
    </row>
    <row r="1172">
      <c r="A1172" t="n">
        <v>3728</v>
      </c>
      <c r="B1172" s="16" t="n">
        <v>44648</v>
      </c>
      <c r="C1172" t="inlineStr">
        <is>
          <t>CPR</t>
        </is>
      </c>
      <c r="D1172" t="n">
        <v>42</v>
      </c>
      <c r="E1172">
        <f>IF(D4420&gt;0,VLOOKUP(OPERAC[[#This Row],[COD CART]],[1]!MatrizCortoLargoCyl[#All],3,0),"")</f>
        <v/>
      </c>
      <c r="F1172" t="inlineStr">
        <is>
          <t>JPM</t>
        </is>
      </c>
      <c r="G1172" t="n">
        <v>8</v>
      </c>
      <c r="H1172" t="n">
        <v>-1113.26208</v>
      </c>
      <c r="I1172">
        <f>-H4420/G4420</f>
        <v/>
      </c>
      <c r="J1172" s="16" t="n">
        <v>44664</v>
      </c>
      <c r="K1172">
        <f>+OPERAC[[#This Row],[cantidad]]</f>
        <v/>
      </c>
      <c r="L1172">
        <f>+OPERAC[[#This Row],[cantidad venta]]*125.943</f>
        <v/>
      </c>
    </row>
    <row r="1173">
      <c r="A1173" t="n">
        <v>3728</v>
      </c>
      <c r="B1173" s="16" t="n">
        <v>44648</v>
      </c>
      <c r="C1173" t="inlineStr">
        <is>
          <t>VTA</t>
        </is>
      </c>
      <c r="D1173" t="n">
        <v>42</v>
      </c>
      <c r="E1173">
        <f>IF(D5331&gt;0,VLOOKUP(OPERAC[[#This Row],[COD CART]],[1]!MatrizCortoLargoCyl[#All],3,0),"")</f>
        <v/>
      </c>
      <c r="F1173" t="inlineStr">
        <is>
          <t>ADBE</t>
        </is>
      </c>
      <c r="G1173" t="n">
        <v>4</v>
      </c>
      <c r="H1173" t="n">
        <v>-1753.38916</v>
      </c>
      <c r="I1173">
        <f>-H5331/G5331</f>
        <v/>
      </c>
      <c r="J1173" s="16" t="n">
        <v>44687</v>
      </c>
      <c r="K1173">
        <f>+OPERAC[[#This Row],[cantidad]]</f>
        <v/>
      </c>
      <c r="L1173" t="n">
        <v>1545.69</v>
      </c>
    </row>
    <row r="1174">
      <c r="A1174" t="n">
        <v>3728</v>
      </c>
      <c r="B1174" s="16" t="n">
        <v>44648</v>
      </c>
      <c r="C1174" t="inlineStr">
        <is>
          <t>VTA</t>
        </is>
      </c>
      <c r="D1174" t="n">
        <v>42</v>
      </c>
      <c r="E1174">
        <f>IF(D5457&gt;0,VLOOKUP(OPERAC[[#This Row],[COD CART]],[1]!MatrizCortoLargoCyl[#All],3,0),"")</f>
        <v/>
      </c>
      <c r="F1174" t="inlineStr">
        <is>
          <t>SMH</t>
        </is>
      </c>
      <c r="G1174" t="n">
        <v>7</v>
      </c>
      <c r="H1174" t="n">
        <v>-1900.42139</v>
      </c>
      <c r="I1174">
        <f>-H5457/G5457</f>
        <v/>
      </c>
      <c r="J1174" s="16" t="n">
        <v>44663</v>
      </c>
      <c r="K1174">
        <f>+OPERAC[[#This Row],[cantidad]]</f>
        <v/>
      </c>
      <c r="L1174">
        <f>+OPERAC[[#This Row],[cantidad venta]]*238.066</f>
        <v/>
      </c>
    </row>
    <row r="1175">
      <c r="A1175" t="n">
        <v>3728</v>
      </c>
      <c r="B1175" s="16" t="n">
        <v>44649</v>
      </c>
      <c r="C1175" t="inlineStr">
        <is>
          <t>CPR</t>
        </is>
      </c>
      <c r="D1175" t="n">
        <v>42</v>
      </c>
      <c r="E1175">
        <f>IF(D6118&gt;0,VLOOKUP(OPERAC[[#This Row],[COD CART]],[1]!MatrizCortoLargoCyl[#All],3,0),"")</f>
        <v/>
      </c>
      <c r="F1175" t="inlineStr">
        <is>
          <t>CRESY</t>
        </is>
      </c>
      <c r="G1175" t="n">
        <v>550</v>
      </c>
      <c r="H1175" t="n">
        <v>-4419.81265</v>
      </c>
      <c r="I1175">
        <f>-H6118/G6118</f>
        <v/>
      </c>
      <c r="J1175" s="16" t="n">
        <v>44657</v>
      </c>
      <c r="K1175">
        <f>+OPERAC[[#This Row],[cantidad]]</f>
        <v/>
      </c>
      <c r="L1175">
        <f>+OPERAC[[#This Row],[cantidad venta]]*7.664</f>
        <v/>
      </c>
    </row>
    <row r="1176">
      <c r="A1176" t="n">
        <v>3728</v>
      </c>
      <c r="B1176" s="16" t="n">
        <v>44649</v>
      </c>
      <c r="C1176" t="inlineStr">
        <is>
          <t>CPR</t>
        </is>
      </c>
      <c r="D1176" t="n">
        <v>32</v>
      </c>
      <c r="E1176">
        <f>IF(D6120&gt;0,VLOOKUP(OPERAC[[#This Row],[COD CART]],[1]!MatrizCortoLargoCyl[#All],3,0),"")</f>
        <v/>
      </c>
      <c r="F1176" t="inlineStr">
        <is>
          <t>DDD</t>
        </is>
      </c>
      <c r="G1176" t="n">
        <v>300</v>
      </c>
      <c r="H1176" t="n">
        <v>-4454.38</v>
      </c>
      <c r="I1176">
        <f>-H6120/G6120</f>
        <v/>
      </c>
    </row>
    <row r="1177">
      <c r="A1177" t="n">
        <v>3728</v>
      </c>
      <c r="B1177" s="16" t="n">
        <v>44649</v>
      </c>
      <c r="C1177" t="inlineStr">
        <is>
          <t>VTA</t>
        </is>
      </c>
      <c r="D1177" t="n">
        <v>32</v>
      </c>
      <c r="E1177">
        <f>IF(D5005&gt;0,VLOOKUP(OPERAC[[#This Row],[COD CART]],[1]!MatrizCortoLargoCyl[#All],3,0),"")</f>
        <v/>
      </c>
      <c r="F1177" t="inlineStr">
        <is>
          <t>LIND</t>
        </is>
      </c>
      <c r="G1177" t="n">
        <v>100</v>
      </c>
      <c r="H1177" t="n">
        <v>-1535.033</v>
      </c>
      <c r="I1177">
        <f>-H5005/G5005</f>
        <v/>
      </c>
      <c r="J1177" s="16" t="n">
        <v>44656</v>
      </c>
      <c r="K1177" t="n">
        <v>100</v>
      </c>
      <c r="L1177">
        <f>+OPERAC[[#This Row],[cantidad venta]]*15.682</f>
        <v/>
      </c>
    </row>
    <row r="1178">
      <c r="A1178" t="n">
        <v>3728</v>
      </c>
      <c r="B1178" s="16" t="n">
        <v>44649</v>
      </c>
      <c r="C1178" t="inlineStr">
        <is>
          <t>VTA</t>
        </is>
      </c>
      <c r="D1178" t="n">
        <v>32</v>
      </c>
      <c r="E1178">
        <f>IF(D5432&gt;0,VLOOKUP(OPERAC[[#This Row],[COD CART]],[1]!MatrizCortoLargoCyl[#All],3,0),"")</f>
        <v/>
      </c>
      <c r="F1178" t="inlineStr">
        <is>
          <t>EDIT</t>
        </is>
      </c>
      <c r="G1178" t="n">
        <v>100</v>
      </c>
      <c r="H1178">
        <f>-1876.234+11.988</f>
        <v/>
      </c>
      <c r="I1178">
        <f>-H5432/G5432</f>
        <v/>
      </c>
    </row>
    <row r="1179">
      <c r="A1179" t="n">
        <v>3728</v>
      </c>
      <c r="B1179" s="16" t="n">
        <v>44650</v>
      </c>
      <c r="C1179" t="inlineStr">
        <is>
          <t>CPR</t>
        </is>
      </c>
      <c r="D1179" t="n">
        <v>32</v>
      </c>
      <c r="E1179">
        <f>IF(D5962&gt;0,VLOOKUP(OPERAC[[#This Row],[COD CART]],[1]!MatrizCortoLargoCyl[#All],3,0),"")</f>
        <v/>
      </c>
      <c r="F1179" t="inlineStr">
        <is>
          <t>LAC</t>
        </is>
      </c>
      <c r="G1179" t="n">
        <v>100</v>
      </c>
      <c r="H1179" t="n">
        <v>-3160.36</v>
      </c>
      <c r="I1179">
        <f>-H5962/G5962</f>
        <v/>
      </c>
    </row>
    <row r="1180">
      <c r="A1180" t="n">
        <v>3728</v>
      </c>
      <c r="B1180" s="16" t="n">
        <v>44651</v>
      </c>
      <c r="C1180" t="inlineStr">
        <is>
          <t>VTA</t>
        </is>
      </c>
      <c r="D1180" t="n">
        <v>42</v>
      </c>
      <c r="E1180">
        <f>IF(D5079&gt;0,VLOOKUP(OPERAC[[#This Row],[COD CART]],[1]!MatrizCortoLargoCyl[#All],3,0),"")</f>
        <v/>
      </c>
      <c r="F1180" t="inlineStr">
        <is>
          <t>AMD</t>
        </is>
      </c>
      <c r="G1180" t="n">
        <v>14</v>
      </c>
      <c r="H1180" t="n">
        <v>-1583.51186</v>
      </c>
      <c r="I1180">
        <f>-H5079/G5079</f>
        <v/>
      </c>
      <c r="J1180" s="16" t="n">
        <v>44690</v>
      </c>
      <c r="K1180" t="n">
        <v>14</v>
      </c>
      <c r="L1180">
        <f>+OPERAC[[#This Row],[cantidad venta]]*86.206</f>
        <v/>
      </c>
    </row>
    <row r="1181">
      <c r="A1181" t="n">
        <v>3728</v>
      </c>
      <c r="B1181" s="16" t="n">
        <v>44652</v>
      </c>
      <c r="C1181" t="inlineStr">
        <is>
          <t>CPR</t>
        </is>
      </c>
      <c r="D1181" t="n">
        <v>42</v>
      </c>
      <c r="E1181">
        <f>IF(D6239&gt;0,VLOOKUP(OPERAC[[#This Row],[COD CART]],[1]!MatrizCortoLargoCyl[#All],3,0),"")</f>
        <v/>
      </c>
      <c r="F1181" t="inlineStr">
        <is>
          <t>GBTC</t>
        </is>
      </c>
      <c r="G1181" t="n">
        <v>200</v>
      </c>
      <c r="H1181" t="n">
        <v>-6377.37</v>
      </c>
      <c r="I1181">
        <f>-H6239/G6239</f>
        <v/>
      </c>
      <c r="J1181" s="16" t="n">
        <v>44662</v>
      </c>
      <c r="K1181">
        <f>+OPERAC[[#This Row],[cantidad]]</f>
        <v/>
      </c>
      <c r="L1181">
        <f>27.99*OPERAC[[#This Row],[cantidad venta]]</f>
        <v/>
      </c>
    </row>
    <row r="1182">
      <c r="A1182" t="n">
        <v>3728</v>
      </c>
      <c r="B1182" s="16" t="n">
        <v>44655</v>
      </c>
      <c r="C1182" t="inlineStr">
        <is>
          <t>CPR</t>
        </is>
      </c>
      <c r="D1182" t="n">
        <v>32</v>
      </c>
      <c r="E1182">
        <f>IF(D3699&gt;0,VLOOKUP(OPERAC[[#This Row],[COD CART]],[1]!MatrizCortoLargoCyl[#All],3,0),"")</f>
        <v/>
      </c>
      <c r="F1182" t="inlineStr">
        <is>
          <t>COTY</t>
        </is>
      </c>
      <c r="G1182" t="n">
        <v>100</v>
      </c>
      <c r="H1182" t="n">
        <v>-835.518</v>
      </c>
      <c r="I1182">
        <f>-H3699/G3699</f>
        <v/>
      </c>
    </row>
    <row r="1183">
      <c r="A1183" t="n">
        <v>3728</v>
      </c>
      <c r="B1183" s="16" t="n">
        <v>44656</v>
      </c>
      <c r="C1183" t="inlineStr">
        <is>
          <t>CPR</t>
        </is>
      </c>
      <c r="D1183" t="n">
        <v>32</v>
      </c>
      <c r="E1183">
        <f>IF(D2660&gt;0,VLOOKUP(OPERAC[[#This Row],[COD CART]],[1]!MatrizCortoLargoCyl[#All],3,0),"")</f>
        <v/>
      </c>
      <c r="F1183" t="inlineStr">
        <is>
          <t>HMY</t>
        </is>
      </c>
      <c r="G1183" t="n">
        <v>100</v>
      </c>
      <c r="H1183" t="n">
        <v>-487.753</v>
      </c>
      <c r="I1183">
        <f>-H2660/G2660</f>
        <v/>
      </c>
      <c r="J1183" s="16" t="n">
        <v>44669</v>
      </c>
      <c r="K1183">
        <f>+OPERAC[[#This Row],[cantidad]]</f>
        <v/>
      </c>
      <c r="L1183">
        <f>4.925*OPERAC[[#This Row],[cantidad venta]]</f>
        <v/>
      </c>
    </row>
    <row r="1184">
      <c r="A1184" t="n">
        <v>3728</v>
      </c>
      <c r="B1184" s="16" t="n">
        <v>44656</v>
      </c>
      <c r="C1184" t="inlineStr">
        <is>
          <t>CPR</t>
        </is>
      </c>
      <c r="D1184" t="n">
        <v>32</v>
      </c>
      <c r="E1184">
        <f>IF(D4064&gt;0,VLOOKUP(OPERAC[[#This Row],[COD CART]],[1]!MatrizCortoLargoCyl[#All],3,0),"")</f>
        <v/>
      </c>
      <c r="F1184" t="inlineStr">
        <is>
          <t>HIMX/CYL/10,00/10-06-22</t>
        </is>
      </c>
      <c r="G1184" t="n">
        <v>100</v>
      </c>
      <c r="H1184">
        <f>-955.798+24.975</f>
        <v/>
      </c>
      <c r="I1184">
        <f>-H4064/G4064</f>
        <v/>
      </c>
      <c r="J1184" s="16" t="n">
        <v>44721</v>
      </c>
      <c r="K1184" t="n">
        <v>100</v>
      </c>
      <c r="L1184">
        <f>9.85*100</f>
        <v/>
      </c>
    </row>
    <row r="1185">
      <c r="A1185" t="n">
        <v>3728</v>
      </c>
      <c r="B1185" s="16" t="n">
        <v>44656</v>
      </c>
      <c r="C1185" t="inlineStr">
        <is>
          <t>CPR</t>
        </is>
      </c>
      <c r="D1185" t="n">
        <v>32</v>
      </c>
      <c r="E1185">
        <f>IF(D4527&gt;0,VLOOKUP(OPERAC[[#This Row],[COD CART]],[1]!MatrizCortoLargoCyl[#All],3,0),"")</f>
        <v/>
      </c>
      <c r="F1185" t="inlineStr">
        <is>
          <t>DOLE</t>
        </is>
      </c>
      <c r="G1185" t="n">
        <v>100</v>
      </c>
      <c r="H1185">
        <f>-1281.78+89.219</f>
        <v/>
      </c>
      <c r="I1185">
        <f>-H4527/G4527</f>
        <v/>
      </c>
    </row>
    <row r="1186">
      <c r="A1186" t="n">
        <v>3728</v>
      </c>
      <c r="B1186" s="16" t="n">
        <v>44656</v>
      </c>
      <c r="C1186" t="inlineStr">
        <is>
          <t>VTA</t>
        </is>
      </c>
      <c r="D1186" t="n">
        <v>39</v>
      </c>
      <c r="E1186">
        <f>IF(D1016&gt;0,VLOOKUP(OPERAC[[#This Row],[COD CART]],[1]!MatrizCortoLargoCyl[#All],3,0),"")</f>
        <v/>
      </c>
      <c r="F1186" t="inlineStr">
        <is>
          <t>EDIT/V/17,50/20-01-23</t>
        </is>
      </c>
      <c r="G1186" t="n">
        <v>-20</v>
      </c>
      <c r="H1186" t="n">
        <v>59.94</v>
      </c>
      <c r="I1186">
        <f>-H1016/G1016</f>
        <v/>
      </c>
    </row>
    <row r="1187">
      <c r="A1187" t="n">
        <v>3728</v>
      </c>
      <c r="B1187" s="16" t="n">
        <v>44656</v>
      </c>
      <c r="C1187" t="inlineStr">
        <is>
          <t>VTA</t>
        </is>
      </c>
      <c r="D1187" t="n">
        <v>32</v>
      </c>
      <c r="E1187">
        <f>IF(D5241&gt;0,VLOOKUP(OPERAC[[#This Row],[COD CART]],[1]!MatrizCortoLargoCyl[#All],3,0),"")</f>
        <v/>
      </c>
      <c r="F1187" t="inlineStr">
        <is>
          <t>FAZ/CYL/18,00/20-05-22</t>
        </is>
      </c>
      <c r="G1187" t="n">
        <v>100</v>
      </c>
      <c r="H1187" t="n">
        <v>-1668.345</v>
      </c>
      <c r="I1187">
        <f>-H5241/G5241</f>
        <v/>
      </c>
      <c r="J1187" s="16" t="n">
        <v>44673</v>
      </c>
      <c r="K1187" t="n">
        <v>100</v>
      </c>
      <c r="L1187" t="n">
        <v>1759.71</v>
      </c>
    </row>
    <row r="1188">
      <c r="A1188" t="n">
        <v>3728</v>
      </c>
      <c r="B1188" s="16" t="n">
        <v>44657</v>
      </c>
      <c r="C1188" t="inlineStr">
        <is>
          <t>CPR</t>
        </is>
      </c>
      <c r="D1188" t="n">
        <v>42</v>
      </c>
      <c r="E1188">
        <f>IF(D5986&gt;0,VLOOKUP(OPERAC[[#This Row],[COD CART]],[1]!MatrizCortoLargoCyl[#All],3,0),"")</f>
        <v/>
      </c>
      <c r="F1188" t="inlineStr">
        <is>
          <t>LAC</t>
        </is>
      </c>
      <c r="G1188" t="n">
        <v>100</v>
      </c>
      <c r="H1188" t="n">
        <v>-3248.7445</v>
      </c>
      <c r="I1188">
        <f>-H5986/G5986</f>
        <v/>
      </c>
    </row>
    <row r="1189">
      <c r="A1189" t="n">
        <v>3728</v>
      </c>
      <c r="B1189" s="16" t="n">
        <v>44658</v>
      </c>
      <c r="C1189" t="inlineStr">
        <is>
          <t>CPR</t>
        </is>
      </c>
      <c r="D1189" t="n">
        <v>32</v>
      </c>
      <c r="E1189">
        <f>IF(D5729&gt;0,VLOOKUP(OPERAC[[#This Row],[COD CART]],[1]!MatrizCortoLargoCyl[#All],3,0),"")</f>
        <v/>
      </c>
      <c r="F1189" t="inlineStr">
        <is>
          <t>KWEB/CYL/28,00/20-05-22</t>
        </is>
      </c>
      <c r="G1189" t="n">
        <v>100</v>
      </c>
      <c r="H1189" t="n">
        <v>-2599</v>
      </c>
      <c r="I1189">
        <f>-H5729/G5729</f>
        <v/>
      </c>
      <c r="J1189" s="16" t="n">
        <v>44701</v>
      </c>
      <c r="K1189" t="n">
        <v>100</v>
      </c>
      <c r="L1189" t="n">
        <v>2735.35</v>
      </c>
    </row>
    <row r="1190">
      <c r="A1190" t="n">
        <v>3728</v>
      </c>
      <c r="B1190" s="16" t="n">
        <v>44658</v>
      </c>
      <c r="C1190" t="inlineStr">
        <is>
          <t>VTA</t>
        </is>
      </c>
      <c r="D1190" t="n">
        <v>39</v>
      </c>
      <c r="E1190">
        <f>IF(D501&gt;0,VLOOKUP(OPERAC[[#This Row],[COD CART]],[1]!MatrizCortoLargoCyl[#All],3,0),"")</f>
        <v/>
      </c>
      <c r="F1190" t="inlineStr">
        <is>
          <t>TSLA/V/950,00/08-04-22</t>
        </is>
      </c>
      <c r="G1190">
        <f>-1000+100</f>
        <v/>
      </c>
      <c r="H1190">
        <f>996.28-80.7</f>
        <v/>
      </c>
      <c r="I1190">
        <f>-H501/G501</f>
        <v/>
      </c>
      <c r="J1190" s="16" t="n">
        <v>44659</v>
      </c>
      <c r="K1190">
        <f>+OPERAC[[#This Row],[cantidad]]</f>
        <v/>
      </c>
      <c r="L1190" t="n">
        <v>0</v>
      </c>
    </row>
    <row r="1191">
      <c r="A1191" t="n">
        <v>3728</v>
      </c>
      <c r="B1191" s="16" t="n">
        <v>44658</v>
      </c>
      <c r="C1191" t="inlineStr">
        <is>
          <t>VTA</t>
        </is>
      </c>
      <c r="D1191" t="n">
        <v>39</v>
      </c>
      <c r="E1191">
        <f>IF(D657&gt;0,VLOOKUP(OPERAC[[#This Row],[COD CART]],[1]!MatrizCortoLargoCyl[#All],3,0),"")</f>
        <v/>
      </c>
      <c r="F1191" t="inlineStr">
        <is>
          <t>TSLA/C/1200,00/08-04-22</t>
        </is>
      </c>
      <c r="G1191" t="n">
        <v>-2000</v>
      </c>
      <c r="H1191" t="n">
        <v>474.09</v>
      </c>
      <c r="I1191">
        <f>-H657/G657</f>
        <v/>
      </c>
      <c r="J1191" s="16" t="n">
        <v>44659</v>
      </c>
      <c r="K1191">
        <f>+OPERAC[[#This Row],[cantidad]]</f>
        <v/>
      </c>
      <c r="L1191" t="n">
        <v>0</v>
      </c>
    </row>
    <row r="1192">
      <c r="A1192" t="n">
        <v>3728</v>
      </c>
      <c r="B1192" s="16" t="n">
        <v>44662</v>
      </c>
      <c r="C1192" t="inlineStr">
        <is>
          <t>CPR</t>
        </is>
      </c>
      <c r="D1192" t="n">
        <v>32</v>
      </c>
      <c r="E1192">
        <f>IF(D4086&gt;0,VLOOKUP(OPERAC[[#This Row],[COD CART]],[1]!MatrizCortoLargoCyl[#All],3,0),"")</f>
        <v/>
      </c>
      <c r="F1192" t="inlineStr">
        <is>
          <t>BLDP</t>
        </is>
      </c>
      <c r="G1192" t="n">
        <v>100</v>
      </c>
      <c r="H1192" t="n">
        <v>-938.717</v>
      </c>
      <c r="I1192">
        <f>-H4086/G4086</f>
        <v/>
      </c>
      <c r="J1192" s="16" t="n">
        <v>44707</v>
      </c>
      <c r="K1192" t="n">
        <v>100</v>
      </c>
      <c r="L1192" t="n">
        <v>724.775</v>
      </c>
    </row>
    <row r="1193">
      <c r="A1193" t="n">
        <v>3728</v>
      </c>
      <c r="B1193" s="16" t="n">
        <v>44662</v>
      </c>
      <c r="C1193" t="inlineStr">
        <is>
          <t>CPR</t>
        </is>
      </c>
      <c r="D1193" t="n">
        <v>40</v>
      </c>
      <c r="E1193">
        <f>IF(D5669&gt;0,VLOOKUP(OPERAC[[#This Row],[COD CART]],[1]!MatrizCortoLargoCyl[#All],3,0),"")</f>
        <v/>
      </c>
      <c r="F1193" t="inlineStr">
        <is>
          <t>SMH</t>
        </is>
      </c>
      <c r="G1193" t="n">
        <v>10</v>
      </c>
      <c r="H1193" t="n">
        <v>-2433.1297</v>
      </c>
      <c r="I1193">
        <f>-H5669/G5669</f>
        <v/>
      </c>
    </row>
    <row r="1194">
      <c r="A1194" t="n">
        <v>3728</v>
      </c>
      <c r="B1194" s="16" t="n">
        <v>44662</v>
      </c>
      <c r="C1194" t="inlineStr">
        <is>
          <t>CPR</t>
        </is>
      </c>
      <c r="D1194" t="n">
        <v>40</v>
      </c>
      <c r="E1194">
        <f>IF(D5846&gt;0,VLOOKUP(OPERAC[[#This Row],[COD CART]],[1]!MatrizCortoLargoCyl[#All],3,0),"")</f>
        <v/>
      </c>
      <c r="F1194" t="inlineStr">
        <is>
          <t>MSFT</t>
        </is>
      </c>
      <c r="G1194" t="n">
        <v>10</v>
      </c>
      <c r="H1194" t="n">
        <v>-2879.6758</v>
      </c>
      <c r="I1194">
        <f>-H5846/G5846</f>
        <v/>
      </c>
      <c r="J1194" s="16" t="n">
        <v>44671</v>
      </c>
      <c r="K1194" t="n">
        <v>10</v>
      </c>
      <c r="L1194" t="n">
        <v>2869.727</v>
      </c>
    </row>
    <row r="1195">
      <c r="A1195" t="n">
        <v>3728</v>
      </c>
      <c r="B1195" s="16" t="n">
        <v>44662</v>
      </c>
      <c r="C1195" t="inlineStr">
        <is>
          <t>CPR</t>
        </is>
      </c>
      <c r="D1195" t="n">
        <v>40</v>
      </c>
      <c r="E1195">
        <f>IF(D6098&gt;0,VLOOKUP(OPERAC[[#This Row],[COD CART]],[1]!MatrizCortoLargoCyl[#All],3,0),"")</f>
        <v/>
      </c>
      <c r="F1195" t="inlineStr">
        <is>
          <t>AIKI</t>
        </is>
      </c>
      <c r="G1195" t="n">
        <v>588</v>
      </c>
      <c r="H1195" t="n">
        <v>-4136.22</v>
      </c>
      <c r="I1195">
        <f>-H6098/G6098</f>
        <v/>
      </c>
    </row>
    <row r="1196">
      <c r="A1196" t="n">
        <v>3728</v>
      </c>
      <c r="B1196" s="16" t="n">
        <v>44662</v>
      </c>
      <c r="C1196" t="inlineStr">
        <is>
          <t>CPR</t>
        </is>
      </c>
      <c r="D1196" t="n">
        <v>40</v>
      </c>
      <c r="E1196">
        <f>IF(D6153&gt;0,VLOOKUP(OPERAC[[#This Row],[COD CART]],[1]!MatrizCortoLargoCyl[#All],3,0),"")</f>
        <v/>
      </c>
      <c r="F1196" t="inlineStr">
        <is>
          <t>BIOX</t>
        </is>
      </c>
      <c r="G1196" t="n">
        <v>400</v>
      </c>
      <c r="H1196" t="n">
        <v>-4834.828</v>
      </c>
      <c r="I1196">
        <f>-H6153/G6153</f>
        <v/>
      </c>
      <c r="J1196" s="16" t="n">
        <v>44671</v>
      </c>
      <c r="K1196" t="n">
        <v>400</v>
      </c>
      <c r="L1196" t="n">
        <v>4915.08</v>
      </c>
    </row>
    <row r="1197">
      <c r="A1197" t="n">
        <v>3728</v>
      </c>
      <c r="B1197" s="16" t="n">
        <v>44662</v>
      </c>
      <c r="C1197" t="inlineStr">
        <is>
          <t>VTA</t>
        </is>
      </c>
      <c r="D1197" t="n">
        <v>42</v>
      </c>
      <c r="E1197">
        <f>IF(D5393&gt;0,VLOOKUP(OPERAC[[#This Row],[COD CART]],[1]!MatrizCortoLargoCyl[#All],3,0),"")</f>
        <v/>
      </c>
      <c r="F1197" t="inlineStr">
        <is>
          <t>UPST</t>
        </is>
      </c>
      <c r="G1197" t="n">
        <v>20</v>
      </c>
      <c r="H1197" t="n">
        <v>-1816.1133</v>
      </c>
      <c r="I1197">
        <f>-H5393/G5393</f>
        <v/>
      </c>
      <c r="J1197" s="16" t="n">
        <v>44692</v>
      </c>
      <c r="K1197" t="n">
        <v>20</v>
      </c>
      <c r="L1197" t="n">
        <v>556.843</v>
      </c>
    </row>
    <row r="1198">
      <c r="A1198" t="n">
        <v>3728</v>
      </c>
      <c r="B1198" s="16" t="n">
        <v>44662</v>
      </c>
      <c r="C1198" t="inlineStr">
        <is>
          <t>VTA</t>
        </is>
      </c>
      <c r="D1198" t="n">
        <v>40</v>
      </c>
      <c r="E1198">
        <f>IF(D5501&gt;0,VLOOKUP(OPERAC[[#This Row],[COD CART]],[1]!MatrizCortoLargoCyl[#All],3,0),"")</f>
        <v/>
      </c>
      <c r="F1198" t="inlineStr">
        <is>
          <t>AMD</t>
        </is>
      </c>
      <c r="G1198" t="n">
        <v>20</v>
      </c>
      <c r="H1198" t="n">
        <v>-1971.969</v>
      </c>
      <c r="I1198">
        <f>-H5501/G5501</f>
        <v/>
      </c>
      <c r="J1198" s="16" t="n">
        <v>44690</v>
      </c>
      <c r="K1198" t="n">
        <v>20</v>
      </c>
      <c r="L1198">
        <f>+OPERAC[[#This Row],[cantidad venta]]*86.206</f>
        <v/>
      </c>
    </row>
    <row r="1199">
      <c r="A1199" t="n">
        <v>3728</v>
      </c>
      <c r="B1199" s="16" t="n">
        <v>44662</v>
      </c>
      <c r="C1199" t="inlineStr">
        <is>
          <t>VTA</t>
        </is>
      </c>
      <c r="D1199" t="n">
        <v>40</v>
      </c>
      <c r="E1199">
        <f>IF(D5600&gt;0,VLOOKUP(OPERAC[[#This Row],[COD CART]],[1]!MatrizCortoLargoCyl[#All],3,0),"")</f>
        <v/>
      </c>
      <c r="F1199" t="inlineStr">
        <is>
          <t>NVDA</t>
        </is>
      </c>
      <c r="G1199" t="n">
        <v>10</v>
      </c>
      <c r="H1199" t="n">
        <v>-2196.8937</v>
      </c>
      <c r="I1199">
        <f>-H5600/G5600</f>
        <v/>
      </c>
    </row>
    <row r="1200">
      <c r="A1200" t="n">
        <v>3728</v>
      </c>
      <c r="B1200" s="16" t="n">
        <v>44663</v>
      </c>
      <c r="C1200" t="inlineStr">
        <is>
          <t>CPR</t>
        </is>
      </c>
      <c r="D1200" t="n">
        <v>32</v>
      </c>
      <c r="E1200">
        <f>IF(D6016&gt;0,VLOOKUP(OPERAC[[#This Row],[COD CART]],[1]!MatrizCortoLargoCyl[#All],3,0),"")</f>
        <v/>
      </c>
      <c r="F1200" t="inlineStr">
        <is>
          <t>PCT/CYL/7,50/20-05-22</t>
        </is>
      </c>
      <c r="G1200" t="n">
        <v>500</v>
      </c>
      <c r="H1200" t="n">
        <v>-3422.269</v>
      </c>
      <c r="I1200">
        <f>-H6016/G6016</f>
        <v/>
      </c>
      <c r="J1200" s="16" t="n">
        <v>44698</v>
      </c>
      <c r="K1200">
        <f>+OPERAC[[#This Row],[cantidad]]</f>
        <v/>
      </c>
      <c r="L1200">
        <f>7.3616*OPERAC[[#This Row],[cantidad venta]]</f>
        <v/>
      </c>
    </row>
    <row r="1201">
      <c r="A1201" t="n">
        <v>3728</v>
      </c>
      <c r="B1201" s="16" t="n">
        <v>44664</v>
      </c>
      <c r="C1201" t="inlineStr">
        <is>
          <t>CPR</t>
        </is>
      </c>
      <c r="D1201" t="n">
        <v>42</v>
      </c>
      <c r="E1201">
        <f>IF(D6160&gt;0,VLOOKUP(OPERAC[[#This Row],[COD CART]],[1]!MatrizCortoLargoCyl[#All],3,0),"")</f>
        <v/>
      </c>
      <c r="F1201" t="inlineStr">
        <is>
          <t>AMD</t>
        </is>
      </c>
      <c r="G1201" t="n">
        <v>50</v>
      </c>
      <c r="H1201" t="n">
        <v>-4901.805909000001</v>
      </c>
      <c r="I1201">
        <f>-H6160/G6160</f>
        <v/>
      </c>
      <c r="J1201" s="16" t="n">
        <v>44690</v>
      </c>
      <c r="K1201" t="n">
        <v>50</v>
      </c>
      <c r="L1201">
        <f>+OPERAC[[#This Row],[cantidad venta]]*86.206</f>
        <v/>
      </c>
    </row>
    <row r="1202">
      <c r="A1202" t="n">
        <v>3728</v>
      </c>
      <c r="B1202" s="16" t="n">
        <v>44664</v>
      </c>
      <c r="C1202" t="inlineStr">
        <is>
          <t>CPR</t>
        </is>
      </c>
      <c r="D1202" t="n">
        <v>42</v>
      </c>
      <c r="E1202">
        <f>IF(D6310&gt;0,VLOOKUP(OPERAC[[#This Row],[COD CART]],[1]!MatrizCortoLargoCyl[#All],3,0),"")</f>
        <v/>
      </c>
      <c r="F1202" t="inlineStr">
        <is>
          <t>PSQ</t>
        </is>
      </c>
      <c r="G1202" t="n">
        <v>1000</v>
      </c>
      <c r="H1202" t="n">
        <v>-12340.113786</v>
      </c>
      <c r="I1202">
        <f>-H6310/G6310</f>
        <v/>
      </c>
      <c r="J1202" s="16" t="n">
        <v>44671</v>
      </c>
      <c r="K1202">
        <f>500+500</f>
        <v/>
      </c>
      <c r="L1202">
        <f>6099.434+6443.55</f>
        <v/>
      </c>
    </row>
    <row r="1203">
      <c r="A1203" t="n">
        <v>3728</v>
      </c>
      <c r="B1203" s="16" t="n">
        <v>44664</v>
      </c>
      <c r="C1203" t="inlineStr">
        <is>
          <t>VTA</t>
        </is>
      </c>
      <c r="D1203" t="n">
        <v>39</v>
      </c>
      <c r="E1203">
        <f>IF(D235&gt;0,VLOOKUP(OPERAC[[#This Row],[COD CART]],[1]!MatrizCortoLargoCyl[#All],3,0),"")</f>
        <v/>
      </c>
      <c r="F1203" t="inlineStr">
        <is>
          <t>UPST/V/85,00/14-04-22</t>
        </is>
      </c>
      <c r="G1203" t="n">
        <v>-1000</v>
      </c>
      <c r="H1203" t="n">
        <v>1898.1</v>
      </c>
      <c r="I1203">
        <f>-H235/G235</f>
        <v/>
      </c>
      <c r="J1203" s="16" t="n">
        <v>44665</v>
      </c>
      <c r="K1203" t="n">
        <v>-1000</v>
      </c>
      <c r="L1203" t="n">
        <v>-3403.4</v>
      </c>
    </row>
    <row r="1204">
      <c r="A1204" t="n">
        <v>3728</v>
      </c>
      <c r="B1204" s="16" t="n">
        <v>44664</v>
      </c>
      <c r="C1204" t="inlineStr">
        <is>
          <t>VTA</t>
        </is>
      </c>
      <c r="D1204" t="n">
        <v>39</v>
      </c>
      <c r="E1204">
        <f>IF(D348&gt;0,VLOOKUP(OPERAC[[#This Row],[COD CART]],[1]!MatrizCortoLargoCyl[#All],3,0),"")</f>
        <v/>
      </c>
      <c r="F1204" t="inlineStr">
        <is>
          <t>UPST/V/83,00/14-04-22</t>
        </is>
      </c>
      <c r="G1204" t="n">
        <v>-1000</v>
      </c>
      <c r="H1204" t="n">
        <v>1298.7</v>
      </c>
      <c r="I1204">
        <f>-H348/G348</f>
        <v/>
      </c>
      <c r="J1204" s="16" t="n">
        <v>44665</v>
      </c>
      <c r="K1204" t="n">
        <v>-1000</v>
      </c>
      <c r="L1204" t="n">
        <v>-290.29</v>
      </c>
    </row>
    <row r="1205">
      <c r="A1205" t="n">
        <v>3728</v>
      </c>
      <c r="B1205" s="16" t="n">
        <v>44664</v>
      </c>
      <c r="C1205" t="inlineStr">
        <is>
          <t>VTA</t>
        </is>
      </c>
      <c r="D1205" t="n">
        <v>39</v>
      </c>
      <c r="E1205">
        <f>IF(D493&gt;0,VLOOKUP(OPERAC[[#This Row],[COD CART]],[1]!MatrizCortoLargoCyl[#All],3,0),"")</f>
        <v/>
      </c>
      <c r="F1205" t="inlineStr">
        <is>
          <t>UPST/V/80,00/22-04-22</t>
        </is>
      </c>
      <c r="G1205" t="n">
        <v>-300</v>
      </c>
      <c r="H1205" t="n">
        <v>944.0549999999999</v>
      </c>
      <c r="I1205">
        <f>-H493/G493</f>
        <v/>
      </c>
      <c r="J1205" s="16" t="n">
        <v>44673</v>
      </c>
      <c r="K1205" t="n">
        <v>-300</v>
      </c>
      <c r="L1205" t="n">
        <v>-1171.17</v>
      </c>
    </row>
    <row r="1206">
      <c r="A1206" t="n">
        <v>3728</v>
      </c>
      <c r="B1206" s="16" t="n">
        <v>44664</v>
      </c>
      <c r="C1206" t="inlineStr">
        <is>
          <t>VTA</t>
        </is>
      </c>
      <c r="D1206" t="n">
        <v>39</v>
      </c>
      <c r="E1206">
        <f>IF(D614&gt;0,VLOOKUP(OPERAC[[#This Row],[COD CART]],[1]!MatrizCortoLargoCyl[#All],3,0),"")</f>
        <v/>
      </c>
      <c r="F1206" t="inlineStr">
        <is>
          <t>UPST/V/80,00/14-04-22</t>
        </is>
      </c>
      <c r="G1206" t="n">
        <v>-1000</v>
      </c>
      <c r="H1206" t="n">
        <v>599.4</v>
      </c>
      <c r="I1206">
        <f>-H614/G614</f>
        <v/>
      </c>
      <c r="J1206" s="16" t="n">
        <v>44665</v>
      </c>
      <c r="K1206" t="n">
        <v>-1000</v>
      </c>
      <c r="L1206" t="n">
        <v>0</v>
      </c>
    </row>
    <row r="1207">
      <c r="A1207" t="n">
        <v>3728</v>
      </c>
      <c r="B1207" s="16" t="n">
        <v>44669</v>
      </c>
      <c r="C1207" t="inlineStr">
        <is>
          <t>CPR</t>
        </is>
      </c>
      <c r="D1207" t="n">
        <v>32</v>
      </c>
      <c r="E1207">
        <f>IF(D6127&gt;0,VLOOKUP(OPERAC[[#This Row],[COD CART]],[1]!MatrizCortoLargoCyl[#All],3,0),"")</f>
        <v/>
      </c>
      <c r="F1207" t="inlineStr">
        <is>
          <t>HMY</t>
        </is>
      </c>
      <c r="G1207" t="n">
        <v>1000</v>
      </c>
      <c r="H1207">
        <f>-4.64*OPERAC[[#This Row],[cantidad]]</f>
        <v/>
      </c>
      <c r="I1207">
        <f>-H6127/G6127</f>
        <v/>
      </c>
    </row>
    <row r="1208">
      <c r="A1208" t="n">
        <v>3728</v>
      </c>
      <c r="B1208" s="16" t="n">
        <v>44670</v>
      </c>
      <c r="C1208" t="inlineStr">
        <is>
          <t>CPR</t>
        </is>
      </c>
      <c r="D1208" t="n">
        <v>32</v>
      </c>
      <c r="E1208">
        <f>IF(D4809&gt;0,VLOOKUP(OPERAC[[#This Row],[COD CART]],[1]!MatrizCortoLargoCyl[#All],3,0),"")</f>
        <v/>
      </c>
      <c r="F1208" t="inlineStr">
        <is>
          <t>PCT/CYL/7,50/20-05-22</t>
        </is>
      </c>
      <c r="G1208" t="n">
        <v>200</v>
      </c>
      <c r="H1208" t="n">
        <v>-1404</v>
      </c>
      <c r="I1208">
        <f>-H4809/G4809</f>
        <v/>
      </c>
      <c r="J1208" s="16" t="n">
        <v>44698</v>
      </c>
      <c r="K1208">
        <f>+OPERAC[[#This Row],[cantidad]]</f>
        <v/>
      </c>
      <c r="L1208">
        <f>7.3616*OPERAC[[#This Row],[cantidad venta]]</f>
        <v/>
      </c>
    </row>
    <row r="1209">
      <c r="A1209" t="n">
        <v>3728</v>
      </c>
      <c r="B1209" s="16" t="n">
        <v>44670</v>
      </c>
      <c r="C1209" t="inlineStr">
        <is>
          <t>CPR</t>
        </is>
      </c>
      <c r="D1209" t="n">
        <v>43</v>
      </c>
      <c r="E1209">
        <f>IF(D6092&gt;0,VLOOKUP(OPERAC[[#This Row],[COD CART]],[1]!MatrizCortoLargoCyl[#All],3,0),"")</f>
        <v/>
      </c>
      <c r="F1209" t="inlineStr">
        <is>
          <t>EDIT/CYL-PUT/15,00/20-01-23</t>
        </is>
      </c>
      <c r="G1209" t="n">
        <v>500</v>
      </c>
      <c r="H1209" t="n">
        <v>-4026.75</v>
      </c>
      <c r="I1209">
        <f>-H6092/G6092</f>
        <v/>
      </c>
    </row>
    <row r="1210">
      <c r="A1210" t="n">
        <v>3728</v>
      </c>
      <c r="B1210" s="16" t="n">
        <v>44670</v>
      </c>
      <c r="C1210" t="inlineStr">
        <is>
          <t>CPR</t>
        </is>
      </c>
      <c r="D1210" t="n">
        <v>43</v>
      </c>
      <c r="E1210">
        <f>IF(D6194&gt;0,VLOOKUP(OPERAC[[#This Row],[COD CART]],[1]!MatrizCortoLargoCyl[#All],3,0),"")</f>
        <v/>
      </c>
      <c r="F1210" t="inlineStr">
        <is>
          <t>PCT/CYL-PUT/7,50/19-01-24</t>
        </is>
      </c>
      <c r="G1210" t="n">
        <v>4000</v>
      </c>
      <c r="H1210" t="n">
        <v>-5345.28</v>
      </c>
      <c r="I1210">
        <f>-H6194/G6194</f>
        <v/>
      </c>
    </row>
    <row r="1211">
      <c r="A1211" t="n">
        <v>3728</v>
      </c>
      <c r="B1211" s="16" t="n">
        <v>44670</v>
      </c>
      <c r="C1211" t="inlineStr">
        <is>
          <t>VTA</t>
        </is>
      </c>
      <c r="D1211" t="n">
        <v>39</v>
      </c>
      <c r="E1211">
        <f>IF(D659&gt;0,VLOOKUP(OPERAC[[#This Row],[COD CART]],[1]!MatrizCortoLargoCyl[#All],3,0),"")</f>
        <v/>
      </c>
      <c r="F1211" t="inlineStr">
        <is>
          <t>UPST/V/80,00/22-04-22</t>
        </is>
      </c>
      <c r="G1211" t="n">
        <v>-500</v>
      </c>
      <c r="H1211" t="n">
        <v>470.963</v>
      </c>
      <c r="I1211">
        <f>-H659/G659</f>
        <v/>
      </c>
      <c r="J1211" s="16" t="n">
        <v>44673</v>
      </c>
      <c r="K1211" t="n">
        <v>-500</v>
      </c>
      <c r="L1211" t="n">
        <v>-1951.95</v>
      </c>
    </row>
    <row r="1212">
      <c r="A1212" t="n">
        <v>3728</v>
      </c>
      <c r="B1212" s="16" t="n">
        <v>44670</v>
      </c>
      <c r="C1212" t="inlineStr">
        <is>
          <t>VTA</t>
        </is>
      </c>
      <c r="D1212" t="n">
        <v>39</v>
      </c>
      <c r="E1212">
        <f>IF(D758&gt;0,VLOOKUP(OPERAC[[#This Row],[COD CART]],[1]!MatrizCortoLargoCyl[#All],3,0),"")</f>
        <v/>
      </c>
      <c r="F1212" t="inlineStr">
        <is>
          <t>FCX/V/46,00/29-04-22</t>
        </is>
      </c>
      <c r="G1212" t="n">
        <v>-1000</v>
      </c>
      <c r="H1212" t="n">
        <v>347.025</v>
      </c>
      <c r="I1212">
        <f>-H758/G758</f>
        <v/>
      </c>
      <c r="J1212" s="16" t="n">
        <v>44679</v>
      </c>
      <c r="K1212" t="n">
        <v>-1000</v>
      </c>
      <c r="L1212" t="n">
        <v>-5295.29</v>
      </c>
    </row>
    <row r="1213">
      <c r="A1213" t="n">
        <v>3728</v>
      </c>
      <c r="B1213" s="16" t="n">
        <v>44670</v>
      </c>
      <c r="C1213" t="inlineStr">
        <is>
          <t>VTA</t>
        </is>
      </c>
      <c r="D1213" t="n">
        <v>39</v>
      </c>
      <c r="E1213">
        <f>IF(D909&gt;0,VLOOKUP(OPERAC[[#This Row],[COD CART]],[1]!MatrizCortoLargoCyl[#All],3,0),"")</f>
        <v/>
      </c>
      <c r="F1213" t="inlineStr">
        <is>
          <t>TSLA/V/300,00/19-01-24</t>
        </is>
      </c>
      <c r="G1213" t="n">
        <v>-10</v>
      </c>
      <c r="H1213" t="n">
        <v>143.856</v>
      </c>
      <c r="I1213">
        <f>-H909/G909</f>
        <v/>
      </c>
    </row>
    <row r="1214">
      <c r="A1214" t="n">
        <v>3728</v>
      </c>
      <c r="B1214" s="16" t="n">
        <v>44670</v>
      </c>
      <c r="C1214" t="inlineStr">
        <is>
          <t>VTA</t>
        </is>
      </c>
      <c r="D1214" t="n">
        <v>40</v>
      </c>
      <c r="E1214">
        <f>IF(D3894&gt;0,VLOOKUP(OPERAC[[#This Row],[COD CART]],[1]!MatrizCortoLargoCyl[#All],3,0),"")</f>
        <v/>
      </c>
      <c r="F1214" t="inlineStr">
        <is>
          <t>SATL</t>
        </is>
      </c>
      <c r="G1214" t="n">
        <v>100</v>
      </c>
      <c r="H1214" t="n">
        <v>-870.87</v>
      </c>
      <c r="I1214">
        <f>-H3894/G3894</f>
        <v/>
      </c>
      <c r="J1214" s="16" t="n">
        <v>44671</v>
      </c>
      <c r="K1214" t="n">
        <v>100</v>
      </c>
      <c r="L1214" t="n">
        <v>909.09</v>
      </c>
    </row>
    <row r="1215">
      <c r="A1215" t="n">
        <v>3728</v>
      </c>
      <c r="B1215" s="16" t="n">
        <v>44671</v>
      </c>
      <c r="C1215" t="inlineStr">
        <is>
          <t>CPR</t>
        </is>
      </c>
      <c r="D1215" t="n">
        <v>39</v>
      </c>
      <c r="E1215">
        <f>IF(D5701&gt;0,VLOOKUP(OPERAC[[#This Row],[COD CART]],[1]!MatrizCortoLargoCyl[#All],3,0),"")</f>
        <v/>
      </c>
      <c r="F1215" t="inlineStr">
        <is>
          <t>NFLX/C/230,00/22-04-22</t>
        </is>
      </c>
      <c r="G1215" t="n">
        <v>400</v>
      </c>
      <c r="H1215">
        <f>-1601.6-890.89</f>
        <v/>
      </c>
      <c r="I1215">
        <f>-H5701/G5701</f>
        <v/>
      </c>
      <c r="J1215" s="16" t="n">
        <v>44673</v>
      </c>
      <c r="K1215" t="n">
        <v>400</v>
      </c>
      <c r="L1215" t="n">
        <v>0</v>
      </c>
    </row>
    <row r="1216">
      <c r="A1216" t="n">
        <v>3728</v>
      </c>
      <c r="B1216" s="16" t="n">
        <v>44671</v>
      </c>
      <c r="C1216" t="inlineStr">
        <is>
          <t>CPR</t>
        </is>
      </c>
      <c r="D1216" t="n">
        <v>40</v>
      </c>
      <c r="E1216">
        <f>IF(D6323&gt;0,VLOOKUP(OPERAC[[#This Row],[COD CART]],[1]!MatrizCortoLargoCyl[#All],3,0),"")</f>
        <v/>
      </c>
      <c r="F1216" t="inlineStr">
        <is>
          <t>NFLX</t>
        </is>
      </c>
      <c r="G1216" t="n">
        <v>100</v>
      </c>
      <c r="H1216" t="n">
        <v>-23823.8</v>
      </c>
      <c r="I1216">
        <f>-H6323/G6323</f>
        <v/>
      </c>
    </row>
    <row r="1217">
      <c r="A1217" t="n">
        <v>3728</v>
      </c>
      <c r="B1217" s="16" t="n">
        <v>44671</v>
      </c>
      <c r="C1217" t="inlineStr">
        <is>
          <t>VTA</t>
        </is>
      </c>
      <c r="D1217" t="n">
        <v>39</v>
      </c>
      <c r="E1217">
        <f>IF(D755&gt;0,VLOOKUP(OPERAC[[#This Row],[COD CART]],[1]!MatrizCortoLargoCyl[#All],3,0),"")</f>
        <v/>
      </c>
      <c r="F1217" t="inlineStr">
        <is>
          <t>NFLX/C/250,00/22-04-22</t>
        </is>
      </c>
      <c r="G1217" t="n">
        <v>-400</v>
      </c>
      <c r="H1217" t="n">
        <v>361.638</v>
      </c>
      <c r="I1217">
        <f>-H755/G755</f>
        <v/>
      </c>
      <c r="J1217" s="16" t="n">
        <v>44673</v>
      </c>
      <c r="K1217" t="n">
        <v>-400</v>
      </c>
      <c r="L1217" t="n">
        <v>0</v>
      </c>
    </row>
    <row r="1218">
      <c r="A1218" t="n">
        <v>3728</v>
      </c>
      <c r="B1218" s="16" t="n">
        <v>44672</v>
      </c>
      <c r="C1218" t="inlineStr">
        <is>
          <t>CPR</t>
        </is>
      </c>
      <c r="D1218" t="n">
        <v>39</v>
      </c>
      <c r="E1218">
        <f>IF(D5800&gt;0,VLOOKUP(OPERAC[[#This Row],[COD CART]],[1]!MatrizCortoLargoCyl[#All],3,0),"")</f>
        <v/>
      </c>
      <c r="F1218" t="inlineStr">
        <is>
          <t>BABA/C/80,00/17-06-2022</t>
        </is>
      </c>
      <c r="G1218" t="n">
        <v>200</v>
      </c>
      <c r="H1218" t="n">
        <v>-2702.7</v>
      </c>
      <c r="I1218">
        <f>-H5800/G5800</f>
        <v/>
      </c>
      <c r="J1218" s="16" t="n">
        <v>44720</v>
      </c>
      <c r="K1218" t="n">
        <v>200</v>
      </c>
      <c r="L1218" t="n">
        <v>7292.7</v>
      </c>
    </row>
    <row r="1219">
      <c r="A1219" t="n">
        <v>3728</v>
      </c>
      <c r="B1219" s="16" t="n">
        <v>44672</v>
      </c>
      <c r="C1219" t="inlineStr">
        <is>
          <t>VTA</t>
        </is>
      </c>
      <c r="D1219" t="n">
        <v>39</v>
      </c>
      <c r="E1219">
        <f>IF(D236&gt;0,VLOOKUP(OPERAC[[#This Row],[COD CART]],[1]!MatrizCortoLargoCyl[#All],3,0),"")</f>
        <v/>
      </c>
      <c r="F1219" t="inlineStr">
        <is>
          <t>UPST/V/75,00/22-04-22</t>
        </is>
      </c>
      <c r="G1219" t="n">
        <v>-900</v>
      </c>
      <c r="H1219" t="n">
        <v>1888.11</v>
      </c>
      <c r="I1219">
        <f>-H236/G236</f>
        <v/>
      </c>
      <c r="J1219" s="16" t="n">
        <v>44673</v>
      </c>
      <c r="K1219" t="n">
        <v>-900</v>
      </c>
      <c r="L1219" t="n">
        <v>-1891.89</v>
      </c>
    </row>
    <row r="1220">
      <c r="A1220" t="n">
        <v>3728</v>
      </c>
      <c r="B1220" s="16" t="n">
        <v>44672</v>
      </c>
      <c r="C1220" t="inlineStr">
        <is>
          <t>VTA</t>
        </is>
      </c>
      <c r="D1220" t="n">
        <v>39</v>
      </c>
      <c r="E1220">
        <f>IF(D973&gt;0,VLOOKUP(OPERAC[[#This Row],[COD CART]],[1]!MatrizCortoLargoCyl[#All],3,0),"")</f>
        <v/>
      </c>
      <c r="F1220" t="inlineStr">
        <is>
          <t>AMD/V/80,00/20-01-23</t>
        </is>
      </c>
      <c r="G1220" t="n">
        <v>-10</v>
      </c>
      <c r="H1220" t="n">
        <v>78.92100000000001</v>
      </c>
      <c r="I1220">
        <f>-H973/G973</f>
        <v/>
      </c>
    </row>
    <row r="1221">
      <c r="A1221" t="n">
        <v>3728</v>
      </c>
      <c r="B1221" s="16" t="n">
        <v>44673</v>
      </c>
      <c r="C1221" t="inlineStr">
        <is>
          <t>VTA</t>
        </is>
      </c>
      <c r="D1221" t="n">
        <v>39</v>
      </c>
      <c r="E1221">
        <f>IF(D247&gt;0,VLOOKUP(OPERAC[[#This Row],[COD CART]],[1]!MatrizCortoLargoCyl[#All],3,0),"")</f>
        <v/>
      </c>
      <c r="F1221" t="inlineStr">
        <is>
          <t>UPST/V/68,00/29-04-22</t>
        </is>
      </c>
      <c r="G1221" t="n">
        <v>-900</v>
      </c>
      <c r="H1221" t="n">
        <v>1798.2</v>
      </c>
      <c r="I1221">
        <f>-H247/G247</f>
        <v/>
      </c>
      <c r="J1221" s="16" t="n">
        <v>44679</v>
      </c>
      <c r="K1221">
        <f>+OPERAC[[#This Row],[cantidad]]</f>
        <v/>
      </c>
      <c r="L1221" t="n">
        <v>-450.45</v>
      </c>
    </row>
    <row r="1222">
      <c r="A1222" t="n">
        <v>3728</v>
      </c>
      <c r="B1222" s="16" t="n">
        <v>44673</v>
      </c>
      <c r="C1222" t="inlineStr">
        <is>
          <t>VTA</t>
        </is>
      </c>
      <c r="D1222" t="n">
        <v>39</v>
      </c>
      <c r="E1222">
        <f>IF(D441&gt;0,VLOOKUP(OPERAC[[#This Row],[COD CART]],[1]!MatrizCortoLargoCyl[#All],3,0),"")</f>
        <v/>
      </c>
      <c r="F1222" t="inlineStr">
        <is>
          <t>UPST/V/70,00/29-04-22</t>
        </is>
      </c>
      <c r="G1222" t="n">
        <v>-500</v>
      </c>
      <c r="H1222" t="n">
        <v>1041.075</v>
      </c>
      <c r="I1222">
        <f>-H441/G441</f>
        <v/>
      </c>
      <c r="J1222" s="16" t="n">
        <v>44676</v>
      </c>
      <c r="K1222" t="n">
        <v>-500</v>
      </c>
      <c r="L1222">
        <f>+OPERAC[[#This Row],[cantidad venta]]*1.3214</f>
        <v/>
      </c>
    </row>
    <row r="1223">
      <c r="A1223" t="n">
        <v>3728</v>
      </c>
      <c r="B1223" s="16" t="n">
        <v>44673</v>
      </c>
      <c r="C1223" t="inlineStr">
        <is>
          <t>VTA</t>
        </is>
      </c>
      <c r="D1223" t="n">
        <v>39</v>
      </c>
      <c r="E1223">
        <f>IF(D593&gt;0,VLOOKUP(OPERAC[[#This Row],[COD CART]],[1]!MatrizCortoLargoCyl[#All],3,0),"")</f>
        <v/>
      </c>
      <c r="F1223" t="inlineStr">
        <is>
          <t>UPST/V/70,00/29-04-22</t>
        </is>
      </c>
      <c r="G1223" t="n">
        <v>-300</v>
      </c>
      <c r="H1223" t="n">
        <v>629.37</v>
      </c>
      <c r="I1223">
        <f>-H593/G593</f>
        <v/>
      </c>
      <c r="J1223" s="16" t="n">
        <v>44676</v>
      </c>
      <c r="K1223" t="n">
        <v>-300</v>
      </c>
      <c r="L1223">
        <f>+OPERAC[[#This Row],[cantidad venta]]*1.3214</f>
        <v/>
      </c>
    </row>
    <row r="1224">
      <c r="A1224" t="n">
        <v>3728</v>
      </c>
      <c r="B1224" s="16" t="n">
        <v>44676</v>
      </c>
      <c r="C1224" t="inlineStr">
        <is>
          <t>CPR</t>
        </is>
      </c>
      <c r="D1224" t="n">
        <v>40</v>
      </c>
      <c r="E1224">
        <f>IF(D4441&gt;0,VLOOKUP(OPERAC[[#This Row],[COD CART]],[1]!MatrizCortoLargoCyl[#All],3,0),"")</f>
        <v/>
      </c>
      <c r="F1224" t="inlineStr">
        <is>
          <t>YORKF</t>
        </is>
      </c>
      <c r="G1224" t="n">
        <v>1000</v>
      </c>
      <c r="H1224" t="n">
        <v>-1134.97</v>
      </c>
      <c r="I1224">
        <f>-H4441/G4441</f>
        <v/>
      </c>
    </row>
    <row r="1225">
      <c r="A1225" t="n">
        <v>3728</v>
      </c>
      <c r="B1225" s="16" t="n">
        <v>44676</v>
      </c>
      <c r="C1225" t="inlineStr">
        <is>
          <t>VTA</t>
        </is>
      </c>
      <c r="D1225" t="n">
        <v>39</v>
      </c>
      <c r="E1225">
        <f>IF(D232&gt;0,VLOOKUP(OPERAC[[#This Row],[COD CART]],[1]!MatrizCortoLargoCyl[#All],3,0),"")</f>
        <v/>
      </c>
      <c r="F1225" t="inlineStr">
        <is>
          <t>TSLA/V/850,00/29-04-22</t>
        </is>
      </c>
      <c r="G1225" t="n">
        <v>-1000</v>
      </c>
      <c r="H1225">
        <f>-1.93*OPERAC[[#This Row],[cantidad]]</f>
        <v/>
      </c>
      <c r="I1225">
        <f>-H232/G232</f>
        <v/>
      </c>
      <c r="J1225" s="16" t="n">
        <v>44677</v>
      </c>
      <c r="K1225">
        <f>-500-500</f>
        <v/>
      </c>
      <c r="L1225">
        <f>-8743.735-5530.525</f>
        <v/>
      </c>
    </row>
    <row r="1226">
      <c r="A1226" t="n">
        <v>3728</v>
      </c>
      <c r="B1226" s="16" t="n">
        <v>44676</v>
      </c>
      <c r="C1226" t="inlineStr">
        <is>
          <t>VTA</t>
        </is>
      </c>
      <c r="D1226" t="n">
        <v>39</v>
      </c>
      <c r="E1226">
        <f>IF(D411&gt;0,VLOOKUP(OPERAC[[#This Row],[COD CART]],[1]!MatrizCortoLargoCyl[#All],3,0),"")</f>
        <v/>
      </c>
      <c r="F1226" t="inlineStr">
        <is>
          <t>UPST/V/67,00/06-05-22</t>
        </is>
      </c>
      <c r="G1226" t="n">
        <v>-500</v>
      </c>
      <c r="H1226" t="n">
        <v>1123.875</v>
      </c>
      <c r="I1226">
        <f>-H411/G411</f>
        <v/>
      </c>
      <c r="J1226" s="16" t="n">
        <v>44687</v>
      </c>
      <c r="K1226">
        <f>OPERAC[[#This Row],[cantidad]]</f>
        <v/>
      </c>
      <c r="L1226" t="n">
        <v>0</v>
      </c>
    </row>
    <row r="1227">
      <c r="A1227" t="n">
        <v>3728</v>
      </c>
      <c r="B1227" s="16" t="n">
        <v>44677</v>
      </c>
      <c r="C1227" t="inlineStr">
        <is>
          <t>CPR</t>
        </is>
      </c>
      <c r="D1227" t="n">
        <v>32</v>
      </c>
      <c r="E1227">
        <f>IF(D3539&gt;0,VLOOKUP(OPERAC[[#This Row],[COD CART]],[1]!MatrizCortoLargoCyl[#All],3,0),"")</f>
        <v/>
      </c>
      <c r="F1227" t="inlineStr">
        <is>
          <t>HMY</t>
        </is>
      </c>
      <c r="G1227" t="n">
        <v>200</v>
      </c>
      <c r="H1227">
        <f>-3.849*OPERAC[[#This Row],[cantidad]]</f>
        <v/>
      </c>
      <c r="I1227">
        <f>-H3539/G3539</f>
        <v/>
      </c>
    </row>
    <row r="1228">
      <c r="A1228" t="n">
        <v>3728</v>
      </c>
      <c r="B1228" s="16" t="n">
        <v>44677</v>
      </c>
      <c r="C1228" t="inlineStr">
        <is>
          <t>VTA</t>
        </is>
      </c>
      <c r="D1228" t="n">
        <v>39</v>
      </c>
      <c r="E1228">
        <f>IF(D958&gt;0,VLOOKUP(OPERAC[[#This Row],[COD CART]],[1]!MatrizCortoLargoCyl[#All],3,0),"")</f>
        <v/>
      </c>
      <c r="F1228" t="inlineStr">
        <is>
          <t>TSLA/V/400,00/20-01-23</t>
        </is>
      </c>
      <c r="G1228" t="n">
        <v>-5</v>
      </c>
      <c r="H1228" t="n">
        <v>92.4075</v>
      </c>
      <c r="I1228">
        <f>-H958/G958</f>
        <v/>
      </c>
    </row>
    <row r="1229">
      <c r="A1229" t="n">
        <v>3728</v>
      </c>
      <c r="B1229" s="16" t="n">
        <v>44678</v>
      </c>
      <c r="C1229" t="inlineStr">
        <is>
          <t>VTA</t>
        </is>
      </c>
      <c r="D1229" t="n">
        <v>39</v>
      </c>
      <c r="E1229">
        <f>IF(D158&gt;0,VLOOKUP(OPERAC[[#This Row],[COD CART]],[1]!MatrizCortoLargoCyl[#All],3,0),"")</f>
        <v/>
      </c>
      <c r="F1229" t="inlineStr">
        <is>
          <t>TSLA/V/800,00/29-04-22</t>
        </is>
      </c>
      <c r="G1229" t="n">
        <v>-1000</v>
      </c>
      <c r="H1229" t="n">
        <v>2500.497</v>
      </c>
      <c r="I1229">
        <f>-H158/G158</f>
        <v/>
      </c>
      <c r="J1229" s="16" t="n">
        <v>44680</v>
      </c>
      <c r="K1229" t="n">
        <v>-1000</v>
      </c>
      <c r="L1229" t="n">
        <v>0</v>
      </c>
    </row>
    <row r="1230">
      <c r="A1230" t="n">
        <v>3728</v>
      </c>
      <c r="B1230" s="16" t="n">
        <v>44678</v>
      </c>
      <c r="C1230" t="inlineStr">
        <is>
          <t>VTA</t>
        </is>
      </c>
      <c r="D1230" t="n">
        <v>39</v>
      </c>
      <c r="E1230">
        <f>IF(D244&gt;0,VLOOKUP(OPERAC[[#This Row],[COD CART]],[1]!MatrizCortoLargoCyl[#All],3,0),"")</f>
        <v/>
      </c>
      <c r="F1230" t="inlineStr">
        <is>
          <t>TSLA/V/700,00/06-05-22</t>
        </is>
      </c>
      <c r="G1230" t="n">
        <v>-500</v>
      </c>
      <c r="H1230" t="n">
        <v>1828.17</v>
      </c>
      <c r="I1230">
        <f>-H244/G244</f>
        <v/>
      </c>
      <c r="J1230" s="16" t="n">
        <v>44680</v>
      </c>
      <c r="K1230" t="n">
        <v>-500</v>
      </c>
      <c r="L1230" t="n">
        <v>-450.45</v>
      </c>
    </row>
    <row r="1231">
      <c r="A1231" t="n">
        <v>3728</v>
      </c>
      <c r="B1231" s="16" t="n">
        <v>44678</v>
      </c>
      <c r="C1231" t="inlineStr">
        <is>
          <t>VTA</t>
        </is>
      </c>
      <c r="D1231" t="n">
        <v>39</v>
      </c>
      <c r="E1231">
        <f>IF(D282&gt;0,VLOOKUP(OPERAC[[#This Row],[COD CART]],[1]!MatrizCortoLargoCyl[#All],3,0),"")</f>
        <v/>
      </c>
      <c r="F1231" t="inlineStr">
        <is>
          <t>TSLA/C/1000,00/29-04-22</t>
        </is>
      </c>
      <c r="G1231" t="n">
        <v>-1000</v>
      </c>
      <c r="H1231" t="n">
        <v>1628.37</v>
      </c>
      <c r="I1231">
        <f>-H282/G282</f>
        <v/>
      </c>
      <c r="J1231" s="16" t="n">
        <v>44680</v>
      </c>
      <c r="K1231">
        <f>+OPERAC[[#This Row],[cantidad]]</f>
        <v/>
      </c>
      <c r="L1231" t="n">
        <v>0</v>
      </c>
    </row>
    <row r="1232">
      <c r="A1232" t="n">
        <v>3728</v>
      </c>
      <c r="B1232" s="16" t="n">
        <v>44678</v>
      </c>
      <c r="C1232" t="inlineStr">
        <is>
          <t>VTA</t>
        </is>
      </c>
      <c r="D1232" t="n">
        <v>39</v>
      </c>
      <c r="E1232">
        <f>IF(D555&gt;0,VLOOKUP(OPERAC[[#This Row],[COD CART]],[1]!MatrizCortoLargoCyl[#All],3,0),"")</f>
        <v/>
      </c>
      <c r="F1232" t="inlineStr">
        <is>
          <t>TSLA/C/980,00/29-04-22</t>
        </is>
      </c>
      <c r="G1232" t="n">
        <v>-500</v>
      </c>
      <c r="H1232" t="n">
        <v>749.25</v>
      </c>
      <c r="I1232">
        <f>-H555/G555</f>
        <v/>
      </c>
      <c r="J1232" s="16" t="n">
        <v>44680</v>
      </c>
      <c r="K1232">
        <f>+OPERAC[[#This Row],[cantidad]]</f>
        <v/>
      </c>
      <c r="L1232" t="n">
        <v>0</v>
      </c>
    </row>
    <row r="1233">
      <c r="A1233" t="n">
        <v>3728</v>
      </c>
      <c r="B1233" s="16" t="n">
        <v>44678</v>
      </c>
      <c r="C1233" t="inlineStr">
        <is>
          <t>VTA</t>
        </is>
      </c>
      <c r="D1233" t="n">
        <v>39</v>
      </c>
      <c r="E1233">
        <f>IF(D814&gt;0,VLOOKUP(OPERAC[[#This Row],[COD CART]],[1]!MatrizCortoLargoCyl[#All],3,0),"")</f>
        <v/>
      </c>
      <c r="F1233" t="inlineStr">
        <is>
          <t>MELI/V/480,00/19-01-24</t>
        </is>
      </c>
      <c r="G1233" t="n">
        <v>-5</v>
      </c>
      <c r="H1233" t="n">
        <v>229.77</v>
      </c>
      <c r="I1233">
        <f>-H814/G814</f>
        <v/>
      </c>
    </row>
    <row r="1234">
      <c r="A1234" t="n">
        <v>3728</v>
      </c>
      <c r="B1234" s="16" t="n">
        <v>44679</v>
      </c>
      <c r="C1234" t="inlineStr">
        <is>
          <t>VTA</t>
        </is>
      </c>
      <c r="D1234" t="n">
        <v>39</v>
      </c>
      <c r="E1234">
        <f>IF(D145&gt;0,VLOOKUP(OPERAC[[#This Row],[COD CART]],[1]!MatrizCortoLargoCyl[#All],3,0),"")</f>
        <v/>
      </c>
      <c r="F1234" t="inlineStr">
        <is>
          <t>TSLA/V/775,00/29-04-22</t>
        </is>
      </c>
      <c r="G1234" t="n">
        <v>-1000</v>
      </c>
      <c r="H1234" t="n">
        <v>2827.17</v>
      </c>
      <c r="I1234">
        <f>-H145/G145</f>
        <v/>
      </c>
      <c r="J1234" s="16" t="n">
        <v>44680</v>
      </c>
      <c r="K1234">
        <f>+OPERAC[[#This Row],[cantidad]]</f>
        <v/>
      </c>
      <c r="L1234" t="n">
        <v>0</v>
      </c>
    </row>
    <row r="1235">
      <c r="A1235" t="n">
        <v>3728</v>
      </c>
      <c r="B1235" s="16" t="n">
        <v>44680</v>
      </c>
      <c r="C1235" t="inlineStr">
        <is>
          <t>CPR</t>
        </is>
      </c>
      <c r="D1235" t="n">
        <v>32</v>
      </c>
      <c r="E1235">
        <f>IF(D4918&gt;0,VLOOKUP(OPERAC[[#This Row],[COD CART]],[1]!MatrizCortoLargoCyl[#All],3,0),"")</f>
        <v/>
      </c>
      <c r="F1235" t="inlineStr">
        <is>
          <t>COTY/CYL/8,00/17-06-22</t>
        </is>
      </c>
      <c r="G1235" t="n">
        <v>200</v>
      </c>
      <c r="H1235">
        <f>-1512.41+13.986</f>
        <v/>
      </c>
      <c r="I1235">
        <f>-H4918/G4918</f>
        <v/>
      </c>
    </row>
    <row r="1236">
      <c r="A1236" t="n">
        <v>3728</v>
      </c>
      <c r="B1236" s="16" t="n">
        <v>44680</v>
      </c>
      <c r="C1236" t="inlineStr">
        <is>
          <t>CPR</t>
        </is>
      </c>
      <c r="D1236" t="n">
        <v>32</v>
      </c>
      <c r="E1236">
        <f>IF(D5865&gt;0,VLOOKUP(OPERAC[[#This Row],[COD CART]],[1]!MatrizCortoLargoCyl[#All],3,0),"")</f>
        <v/>
      </c>
      <c r="F1236" t="inlineStr">
        <is>
          <t>TDOC/CYL/31,00/20-05-22</t>
        </is>
      </c>
      <c r="G1236" t="n">
        <v>100</v>
      </c>
      <c r="H1236" t="n">
        <v>-2944.75</v>
      </c>
      <c r="I1236">
        <f>-H5865/G5865</f>
        <v/>
      </c>
      <c r="J1236" s="16" t="n">
        <v>44701</v>
      </c>
      <c r="K1236" t="n">
        <v>100</v>
      </c>
      <c r="L1236" t="n">
        <v>3096.07</v>
      </c>
    </row>
    <row r="1237">
      <c r="A1237" t="n">
        <v>3728</v>
      </c>
      <c r="B1237" s="16" t="n">
        <v>44680</v>
      </c>
      <c r="C1237" t="inlineStr">
        <is>
          <t>CPR</t>
        </is>
      </c>
      <c r="D1237" t="n">
        <v>32</v>
      </c>
      <c r="E1237">
        <f>IF(D5955&gt;0,VLOOKUP(OPERAC[[#This Row],[COD CART]],[1]!MatrizCortoLargoCyl[#All],3,0),"")</f>
        <v/>
      </c>
      <c r="F1237" t="inlineStr">
        <is>
          <t>TDOC/CYL/35,00/20-05-22</t>
        </is>
      </c>
      <c r="G1237" t="n">
        <v>100</v>
      </c>
      <c r="H1237" t="n">
        <v>-3136.81</v>
      </c>
      <c r="I1237">
        <f>-H5955/G5955</f>
        <v/>
      </c>
      <c r="J1237" s="16" t="n">
        <v>44701</v>
      </c>
      <c r="K1237" t="n">
        <v>100</v>
      </c>
      <c r="L1237" t="n">
        <v>3207.78</v>
      </c>
    </row>
    <row r="1238">
      <c r="A1238" t="n">
        <v>3728</v>
      </c>
      <c r="B1238" s="16" t="n">
        <v>44680</v>
      </c>
      <c r="C1238" t="inlineStr">
        <is>
          <t>CPR</t>
        </is>
      </c>
      <c r="D1238" t="n">
        <v>42</v>
      </c>
      <c r="E1238">
        <f>IF(D6245&gt;0,VLOOKUP(OPERAC[[#This Row],[COD CART]],[1]!MatrizCortoLargoCyl[#All],3,0),"")</f>
        <v/>
      </c>
      <c r="F1238" t="inlineStr">
        <is>
          <t>XLP</t>
        </is>
      </c>
      <c r="G1238" t="n">
        <v>83</v>
      </c>
      <c r="H1238" t="n">
        <v>-6544.032494999999</v>
      </c>
      <c r="I1238">
        <f>-H6245/G6245</f>
        <v/>
      </c>
      <c r="J1238" s="16" t="n">
        <v>44690</v>
      </c>
      <c r="K1238" t="n">
        <v>83</v>
      </c>
      <c r="L1238" t="n">
        <v>6351.857</v>
      </c>
    </row>
    <row r="1239">
      <c r="A1239" t="n">
        <v>3728</v>
      </c>
      <c r="B1239" s="16" t="n">
        <v>44680</v>
      </c>
      <c r="C1239" t="inlineStr">
        <is>
          <t>VTA</t>
        </is>
      </c>
      <c r="D1239" t="n">
        <v>39</v>
      </c>
      <c r="E1239">
        <f>IF(D550&gt;0,VLOOKUP(OPERAC[[#This Row],[COD CART]],[1]!MatrizCortoLargoCyl[#All],3,0),"")</f>
        <v/>
      </c>
      <c r="F1239" t="inlineStr">
        <is>
          <t>TSLA/V/650,00/13-05-22</t>
        </is>
      </c>
      <c r="G1239" t="n">
        <v>-500</v>
      </c>
      <c r="H1239" t="n">
        <v>774.225</v>
      </c>
      <c r="I1239">
        <f>-H550/G550</f>
        <v/>
      </c>
      <c r="J1239" s="16" t="n">
        <v>44694</v>
      </c>
      <c r="K1239" t="n">
        <v>-500</v>
      </c>
      <c r="L1239" t="n">
        <v>0</v>
      </c>
    </row>
    <row r="1240">
      <c r="A1240" t="n">
        <v>3728</v>
      </c>
      <c r="B1240" s="16" t="n">
        <v>44686</v>
      </c>
      <c r="C1240" t="inlineStr">
        <is>
          <t>VTA</t>
        </is>
      </c>
      <c r="D1240" t="n">
        <v>39</v>
      </c>
      <c r="E1240">
        <f>IF(D10&gt;0,VLOOKUP(OPERAC[[#This Row],[COD CART]],[1]!MatrizCortoLargoCyl[#All],3,0),"")</f>
        <v/>
      </c>
      <c r="F1240" t="inlineStr">
        <is>
          <t>TSLA/V/770,00/13-05-22</t>
        </is>
      </c>
      <c r="G1240" t="n">
        <v>-1000</v>
      </c>
      <c r="H1240" t="n">
        <v>11888.1</v>
      </c>
      <c r="I1240">
        <f>-H10/G10</f>
        <v/>
      </c>
      <c r="J1240" s="16" t="n">
        <v>44690</v>
      </c>
      <c r="K1240" t="n">
        <v>-1000</v>
      </c>
      <c r="L1240" t="n">
        <v>-20970.95</v>
      </c>
    </row>
    <row r="1241">
      <c r="A1241" t="n">
        <v>3728</v>
      </c>
      <c r="B1241" s="16" t="n">
        <v>44686</v>
      </c>
      <c r="C1241" t="inlineStr">
        <is>
          <t>VTA</t>
        </is>
      </c>
      <c r="D1241" t="n">
        <v>39</v>
      </c>
      <c r="E1241">
        <f>IF(D18&gt;0,VLOOKUP(OPERAC[[#This Row],[COD CART]],[1]!MatrizCortoLargoCyl[#All],3,0),"")</f>
        <v/>
      </c>
      <c r="F1241" t="inlineStr">
        <is>
          <t>TSLA/V/760,00/13-05-22</t>
        </is>
      </c>
      <c r="G1241" t="n">
        <v>-1000</v>
      </c>
      <c r="H1241" t="n">
        <v>8561.43</v>
      </c>
      <c r="I1241">
        <f>-H18/G18</f>
        <v/>
      </c>
      <c r="J1241" s="16" t="n">
        <v>44690</v>
      </c>
      <c r="K1241">
        <f>-500-500</f>
        <v/>
      </c>
      <c r="L1241">
        <f>-8733-7507.5</f>
        <v/>
      </c>
    </row>
    <row r="1242">
      <c r="A1242" t="n">
        <v>3728</v>
      </c>
      <c r="B1242" s="16" t="n">
        <v>44686</v>
      </c>
      <c r="C1242" t="inlineStr">
        <is>
          <t>VTA</t>
        </is>
      </c>
      <c r="D1242" t="n">
        <v>39</v>
      </c>
      <c r="E1242">
        <f>IF(D160&gt;0,VLOOKUP(OPERAC[[#This Row],[COD CART]],[1]!MatrizCortoLargoCyl[#All],3,0),"")</f>
        <v/>
      </c>
      <c r="F1242" t="inlineStr">
        <is>
          <t>NTLA/V/50,00/20-05-22</t>
        </is>
      </c>
      <c r="G1242" t="n">
        <v>-1000</v>
      </c>
      <c r="H1242" t="n">
        <v>2497.5</v>
      </c>
      <c r="I1242">
        <f>-H160/G160</f>
        <v/>
      </c>
      <c r="J1242" s="16" t="n">
        <v>44701</v>
      </c>
      <c r="K1242" t="n">
        <v>-1000</v>
      </c>
      <c r="L1242" t="n">
        <v>-2502.5</v>
      </c>
    </row>
    <row r="1243">
      <c r="A1243" t="n">
        <v>3728</v>
      </c>
      <c r="B1243" s="16" t="n">
        <v>44687</v>
      </c>
      <c r="C1243" t="inlineStr">
        <is>
          <t>CPR</t>
        </is>
      </c>
      <c r="D1243" t="n">
        <v>43</v>
      </c>
      <c r="E1243">
        <f>IF(D6146&gt;0,VLOOKUP(OPERAC[[#This Row],[COD CART]],[1]!MatrizCortoLargoCyl[#All],3,0),"")</f>
        <v/>
      </c>
      <c r="F1243" t="inlineStr">
        <is>
          <t>SPWR/CYP/16,50-15,50/20-05-22</t>
        </is>
      </c>
      <c r="G1243" t="n">
        <v>300</v>
      </c>
      <c r="H1243" t="n">
        <v>-4799.898</v>
      </c>
      <c r="I1243">
        <f>-H6146/G6146</f>
        <v/>
      </c>
      <c r="J1243" s="16" t="n">
        <v>44701</v>
      </c>
      <c r="K1243" t="n">
        <v>300</v>
      </c>
      <c r="L1243" t="n">
        <v>4930.035</v>
      </c>
    </row>
    <row r="1244">
      <c r="A1244" t="n">
        <v>3728</v>
      </c>
      <c r="B1244" s="16" t="n">
        <v>44690</v>
      </c>
      <c r="C1244" t="inlineStr">
        <is>
          <t>VTA</t>
        </is>
      </c>
      <c r="D1244" t="n">
        <v>39</v>
      </c>
      <c r="E1244">
        <f>IF(D882&gt;0,VLOOKUP(OPERAC[[#This Row],[COD CART]],[1]!MatrizCortoLargoCyl[#All],3,0),"")</f>
        <v/>
      </c>
      <c r="F1244" t="inlineStr">
        <is>
          <t>TSLA/V/350,00/20-01-23</t>
        </is>
      </c>
      <c r="G1244" t="n">
        <v>-10</v>
      </c>
      <c r="H1244" t="n">
        <v>189.81</v>
      </c>
      <c r="I1244">
        <f>-H882/G882</f>
        <v/>
      </c>
    </row>
    <row r="1245">
      <c r="A1245" t="n">
        <v>3728</v>
      </c>
      <c r="B1245" s="16" t="n">
        <v>44691</v>
      </c>
      <c r="C1245" t="inlineStr">
        <is>
          <t>VTA</t>
        </is>
      </c>
      <c r="D1245" t="n">
        <v>39</v>
      </c>
      <c r="E1245">
        <f>IF(D53&gt;0,VLOOKUP(OPERAC[[#This Row],[COD CART]],[1]!MatrizCortoLargoCyl[#All],3,0),"")</f>
        <v/>
      </c>
      <c r="F1245" t="inlineStr">
        <is>
          <t>TSLA/V/650,00/20-05-22</t>
        </is>
      </c>
      <c r="G1245" t="n">
        <v>-1000</v>
      </c>
      <c r="H1245" t="n">
        <v>4995</v>
      </c>
      <c r="I1245">
        <f>-H53/G53</f>
        <v/>
      </c>
      <c r="J1245" s="16" t="n">
        <v>44700</v>
      </c>
      <c r="K1245" t="n">
        <v>-1000</v>
      </c>
      <c r="L1245" t="n">
        <v>-1101.1</v>
      </c>
    </row>
    <row r="1246">
      <c r="A1246" t="n">
        <v>3728</v>
      </c>
      <c r="B1246" s="16" t="n">
        <v>44691</v>
      </c>
      <c r="C1246" t="inlineStr">
        <is>
          <t>VTA</t>
        </is>
      </c>
      <c r="D1246" t="n">
        <v>39</v>
      </c>
      <c r="E1246">
        <f>IF(D161&gt;0,VLOOKUP(OPERAC[[#This Row],[COD CART]],[1]!MatrizCortoLargoCyl[#All],3,0),"")</f>
        <v/>
      </c>
      <c r="F1246" t="inlineStr">
        <is>
          <t>TSLA/V/700,00/13-05-22</t>
        </is>
      </c>
      <c r="G1246" t="n">
        <v>-1000</v>
      </c>
      <c r="H1246" t="n">
        <v>2497.5</v>
      </c>
      <c r="I1246">
        <f>-H161/G161</f>
        <v/>
      </c>
      <c r="J1246" s="16" t="n">
        <v>44693</v>
      </c>
      <c r="K1246" t="n">
        <v>-1000</v>
      </c>
      <c r="L1246" t="n">
        <v>-32032</v>
      </c>
    </row>
    <row r="1247">
      <c r="A1247" t="n">
        <v>3728</v>
      </c>
      <c r="B1247" s="16" t="n">
        <v>44692</v>
      </c>
      <c r="C1247" t="inlineStr">
        <is>
          <t>CPR</t>
        </is>
      </c>
      <c r="D1247" t="n">
        <v>40</v>
      </c>
      <c r="E1247">
        <f>IF(D6042&gt;0,VLOOKUP(OPERAC[[#This Row],[COD CART]],[1]!MatrizCortoLargoCyl[#All],3,0),"")</f>
        <v/>
      </c>
      <c r="F1247" t="inlineStr">
        <is>
          <t>MELI</t>
        </is>
      </c>
      <c r="G1247" t="n">
        <v>5</v>
      </c>
      <c r="H1247" t="n">
        <v>-3530.977</v>
      </c>
      <c r="I1247">
        <f>-H6042/G6042</f>
        <v/>
      </c>
    </row>
    <row r="1248">
      <c r="A1248" t="n">
        <v>3728</v>
      </c>
      <c r="B1248" s="16" t="n">
        <v>44692</v>
      </c>
      <c r="C1248" t="inlineStr">
        <is>
          <t>VTA</t>
        </is>
      </c>
      <c r="D1248" t="n">
        <v>39</v>
      </c>
      <c r="E1248">
        <f>IF(D19&gt;0,VLOOKUP(OPERAC[[#This Row],[COD CART]],[1]!MatrizCortoLargoCyl[#All],3,0),"")</f>
        <v/>
      </c>
      <c r="F1248" t="inlineStr">
        <is>
          <t>TSLA/V/715,00/13-05-22</t>
        </is>
      </c>
      <c r="G1248" t="n">
        <v>-1000</v>
      </c>
      <c r="H1248" t="n">
        <v>8491.5</v>
      </c>
      <c r="I1248">
        <f>-H19/G19</f>
        <v/>
      </c>
      <c r="J1248" s="16" t="n">
        <v>44692</v>
      </c>
      <c r="K1248" t="n">
        <v>-1000</v>
      </c>
      <c r="L1248" t="n">
        <v>-13103.09</v>
      </c>
    </row>
    <row r="1249">
      <c r="A1249" t="n">
        <v>3728</v>
      </c>
      <c r="B1249" s="16" t="n">
        <v>44693</v>
      </c>
      <c r="C1249" t="inlineStr">
        <is>
          <t>VTA</t>
        </is>
      </c>
      <c r="D1249" t="n">
        <v>39</v>
      </c>
      <c r="E1249">
        <f>IF(D761&gt;0,VLOOKUP(OPERAC[[#This Row],[COD CART]],[1]!MatrizCortoLargoCyl[#All],3,0),"")</f>
        <v/>
      </c>
      <c r="F1249" t="inlineStr">
        <is>
          <t>MELI/V/460,00/20-01-2023</t>
        </is>
      </c>
      <c r="G1249" t="n">
        <v>-5</v>
      </c>
      <c r="H1249" t="n">
        <v>329.67</v>
      </c>
      <c r="I1249">
        <f>-H761/G761</f>
        <v/>
      </c>
    </row>
    <row r="1250">
      <c r="A1250" t="n">
        <v>3728</v>
      </c>
      <c r="B1250" s="16" t="n">
        <v>44697</v>
      </c>
      <c r="C1250" t="inlineStr">
        <is>
          <t>VTA</t>
        </is>
      </c>
      <c r="D1250" t="n">
        <v>39</v>
      </c>
      <c r="E1250">
        <f>IF(D78&gt;0,VLOOKUP(OPERAC[[#This Row],[COD CART]],[1]!MatrizCortoLargoCyl[#All],3,0),"")</f>
        <v/>
      </c>
      <c r="F1250" t="inlineStr">
        <is>
          <t>NTLA/V/50,00/20-05-22</t>
        </is>
      </c>
      <c r="G1250" t="n">
        <v>-1000</v>
      </c>
      <c r="H1250" t="n">
        <v>3996</v>
      </c>
      <c r="I1250">
        <f>-H78/G78</f>
        <v/>
      </c>
      <c r="J1250" s="16" t="n">
        <v>44701</v>
      </c>
      <c r="K1250" t="n">
        <v>-1000</v>
      </c>
      <c r="L1250" t="n">
        <v>-2502.5</v>
      </c>
    </row>
    <row r="1251">
      <c r="A1251" t="n">
        <v>3728</v>
      </c>
      <c r="B1251" s="16" t="n">
        <v>44698</v>
      </c>
      <c r="C1251" t="inlineStr">
        <is>
          <t>CPR</t>
        </is>
      </c>
      <c r="D1251" t="n">
        <v>39</v>
      </c>
      <c r="E1251">
        <f>IF(D4594&gt;0,VLOOKUP(OPERAC[[#This Row],[COD CART]],[1]!MatrizCortoLargoCyl[#All],3,0),"")</f>
        <v/>
      </c>
      <c r="F1251" t="inlineStr">
        <is>
          <t>NTLA/C/65,00/15-07-22</t>
        </is>
      </c>
      <c r="G1251" t="n">
        <v>500</v>
      </c>
      <c r="H1251" t="n">
        <v>-1251.25</v>
      </c>
      <c r="I1251">
        <f>-H4594/G4594</f>
        <v/>
      </c>
    </row>
    <row r="1252">
      <c r="A1252" t="n">
        <v>3728</v>
      </c>
      <c r="B1252" s="16" t="n">
        <v>44701</v>
      </c>
      <c r="C1252" t="inlineStr">
        <is>
          <t>VTA</t>
        </is>
      </c>
      <c r="D1252" t="n">
        <v>39</v>
      </c>
      <c r="E1252">
        <f>IF(D832&gt;0,VLOOKUP(OPERAC[[#This Row],[COD CART]],[1]!MatrizCortoLargoCyl[#All],3,0),"")</f>
        <v/>
      </c>
      <c r="F1252" t="inlineStr">
        <is>
          <t>TSLA/P/300,00/19-01-24</t>
        </is>
      </c>
      <c r="G1252" t="n">
        <v>-5</v>
      </c>
      <c r="H1252" t="n">
        <v>217.2825</v>
      </c>
      <c r="I1252">
        <f>-H832/G832</f>
        <v/>
      </c>
    </row>
    <row r="1253">
      <c r="A1253" t="n">
        <v>3728</v>
      </c>
      <c r="B1253" s="16" t="n">
        <v>44701</v>
      </c>
      <c r="C1253" t="inlineStr">
        <is>
          <t>VTA</t>
        </is>
      </c>
      <c r="D1253" t="n">
        <v>39</v>
      </c>
      <c r="E1253">
        <f>IF(D960&gt;0,VLOOKUP(OPERAC[[#This Row],[COD CART]],[1]!MatrizCortoLargoCyl[#All],3,0),"")</f>
        <v/>
      </c>
      <c r="F1253" t="inlineStr">
        <is>
          <t>TSLA/P/300,00/19-01-24</t>
        </is>
      </c>
      <c r="G1253" t="n">
        <v>-2</v>
      </c>
      <c r="H1253" t="n">
        <v>87.91200000000001</v>
      </c>
      <c r="I1253">
        <f>-H960/G960</f>
        <v/>
      </c>
    </row>
    <row r="1254">
      <c r="A1254" t="n">
        <v>3728</v>
      </c>
      <c r="B1254" s="16" t="n">
        <v>44704</v>
      </c>
      <c r="C1254" t="inlineStr">
        <is>
          <t>CPR</t>
        </is>
      </c>
      <c r="D1254" t="n">
        <v>32</v>
      </c>
      <c r="E1254">
        <f>IF(D5812&gt;0,VLOOKUP(OPERAC[[#This Row],[COD CART]],[1]!MatrizCortoLargoCyl[#All],3,0),"")</f>
        <v/>
      </c>
      <c r="F1254" t="inlineStr">
        <is>
          <t>AMC/CYL/9,50/03-06-22</t>
        </is>
      </c>
      <c r="G1254" t="n">
        <v>300</v>
      </c>
      <c r="H1254" t="n">
        <v>-2769.51</v>
      </c>
      <c r="I1254">
        <f>-H5812/G5812</f>
        <v/>
      </c>
      <c r="J1254" s="16" t="n">
        <v>44715</v>
      </c>
      <c r="K1254">
        <f>+OPERAC[[#This Row],[cantidad]]</f>
        <v/>
      </c>
      <c r="L1254">
        <f>+OPERAC[[#This Row],[cantidad venta]]*9.457</f>
        <v/>
      </c>
    </row>
    <row r="1255">
      <c r="A1255" t="n">
        <v>3728</v>
      </c>
      <c r="B1255" s="16" t="n">
        <v>44705</v>
      </c>
      <c r="C1255" t="inlineStr">
        <is>
          <t>CPR</t>
        </is>
      </c>
      <c r="D1255" t="n">
        <v>42</v>
      </c>
      <c r="E1255">
        <f>IF(D6032&gt;0,VLOOKUP(OPERAC[[#This Row],[COD CART]],[1]!MatrizCortoLargoCyl[#All],3,0),"")</f>
        <v/>
      </c>
      <c r="F1255" t="inlineStr">
        <is>
          <t>MELI</t>
        </is>
      </c>
      <c r="G1255" t="n">
        <v>5</v>
      </c>
      <c r="H1255" t="n">
        <v>-3513.51</v>
      </c>
      <c r="I1255">
        <f>-H6032/G6032</f>
        <v/>
      </c>
      <c r="J1255" s="16" t="n">
        <v>44706</v>
      </c>
      <c r="K1255" t="n">
        <v>5</v>
      </c>
      <c r="L1255" t="n">
        <v>3629.367</v>
      </c>
    </row>
    <row r="1256">
      <c r="A1256" t="n">
        <v>3728</v>
      </c>
      <c r="B1256" s="16" t="n">
        <v>44705</v>
      </c>
      <c r="C1256" t="inlineStr">
        <is>
          <t>VTA</t>
        </is>
      </c>
      <c r="D1256" t="n">
        <v>42</v>
      </c>
      <c r="E1256">
        <f>IF(D5412&gt;0,VLOOKUP(OPERAC[[#This Row],[COD CART]],[1]!MatrizCortoLargoCyl[#All],3,0),"")</f>
        <v/>
      </c>
      <c r="F1256" t="inlineStr">
        <is>
          <t>AMD</t>
        </is>
      </c>
      <c r="G1256" t="n">
        <v>20</v>
      </c>
      <c r="H1256" t="n">
        <v>-1844.5427</v>
      </c>
      <c r="I1256">
        <f>-H5412/G5412</f>
        <v/>
      </c>
      <c r="J1256" s="16" t="n">
        <v>44707</v>
      </c>
      <c r="K1256">
        <f>+OPERAC[[#This Row],[cantidad]]</f>
        <v/>
      </c>
      <c r="L1256">
        <f>+OPERAC[[#This Row],[cantidad venta]]*94.8</f>
        <v/>
      </c>
    </row>
    <row r="1257">
      <c r="A1257" t="n">
        <v>3728</v>
      </c>
      <c r="B1257" s="16" t="n">
        <v>44707</v>
      </c>
      <c r="C1257" t="inlineStr">
        <is>
          <t>CPR</t>
        </is>
      </c>
      <c r="D1257" t="n">
        <v>32</v>
      </c>
      <c r="E1257">
        <f>IF(D3992&gt;0,VLOOKUP(OPERAC[[#This Row],[COD CART]],[1]!MatrizCortoLargoCyl[#All],3,0),"")</f>
        <v/>
      </c>
      <c r="F1257" t="inlineStr">
        <is>
          <t>PLBY/CYL/12,50/17-06-22</t>
        </is>
      </c>
      <c r="G1257" t="n">
        <v>100</v>
      </c>
      <c r="H1257" t="n">
        <v>-912.938</v>
      </c>
      <c r="I1257">
        <f>-H3992/G3992</f>
        <v/>
      </c>
    </row>
    <row r="1258">
      <c r="A1258" t="n">
        <v>3728</v>
      </c>
      <c r="B1258" s="16" t="n">
        <v>44707</v>
      </c>
      <c r="C1258" t="inlineStr">
        <is>
          <t>CPR</t>
        </is>
      </c>
      <c r="D1258" t="n">
        <v>32</v>
      </c>
      <c r="E1258">
        <f>IF(D6043&gt;0,VLOOKUP(OPERAC[[#This Row],[COD CART]],[1]!MatrizCortoLargoCyl[#All],3,0),"")</f>
        <v/>
      </c>
      <c r="F1258" t="inlineStr">
        <is>
          <t>SSYS/CYL/22,50/16-09-22</t>
        </is>
      </c>
      <c r="G1258" t="n">
        <v>200</v>
      </c>
      <c r="H1258" t="n">
        <v>-3538.975</v>
      </c>
      <c r="I1258">
        <f>-H6043/G6043</f>
        <v/>
      </c>
    </row>
    <row r="1259">
      <c r="A1259" t="n">
        <v>3728</v>
      </c>
      <c r="B1259" s="16" t="n">
        <v>44707</v>
      </c>
      <c r="C1259" t="inlineStr">
        <is>
          <t>CPR</t>
        </is>
      </c>
      <c r="D1259" t="n">
        <v>32</v>
      </c>
      <c r="E1259">
        <f>IF(D6289&gt;0,VLOOKUP(OPERAC[[#This Row],[COD CART]],[1]!MatrizCortoLargoCyl[#All],3,0),"")</f>
        <v/>
      </c>
      <c r="F1259" t="inlineStr">
        <is>
          <t>BABA/CYL/105,00/10-06-22</t>
        </is>
      </c>
      <c r="G1259" t="n">
        <v>100</v>
      </c>
      <c r="H1259">
        <f>-9256.48+156.843</f>
        <v/>
      </c>
      <c r="I1259">
        <f>-H6289/G6289</f>
        <v/>
      </c>
      <c r="J1259" s="16" t="n">
        <v>44722</v>
      </c>
      <c r="K1259" t="n">
        <v>100</v>
      </c>
      <c r="L1259" t="n">
        <v>10439.15</v>
      </c>
    </row>
    <row r="1260">
      <c r="A1260" t="n">
        <v>3728</v>
      </c>
      <c r="B1260" s="16" t="n">
        <v>44708</v>
      </c>
      <c r="C1260" t="inlineStr">
        <is>
          <t>VTA</t>
        </is>
      </c>
      <c r="D1260" t="n">
        <v>42</v>
      </c>
      <c r="E1260">
        <f>IF(D5392&gt;0,VLOOKUP(OPERAC[[#This Row],[COD CART]],[1]!MatrizCortoLargoCyl[#All],3,0),"")</f>
        <v/>
      </c>
      <c r="F1260" t="inlineStr">
        <is>
          <t>ACB</t>
        </is>
      </c>
      <c r="G1260" t="n">
        <v>1000</v>
      </c>
      <c r="H1260" t="n">
        <v>-1811.74626633</v>
      </c>
      <c r="I1260">
        <f>-H5392/G5392</f>
        <v/>
      </c>
    </row>
    <row r="1261">
      <c r="A1261" t="n">
        <v>3728</v>
      </c>
      <c r="B1261" s="16" t="n">
        <v>44712</v>
      </c>
      <c r="C1261" t="inlineStr">
        <is>
          <t>CPR</t>
        </is>
      </c>
      <c r="D1261" t="n">
        <v>42</v>
      </c>
      <c r="E1261">
        <f>IF(D5867&gt;0,VLOOKUP(OPERAC[[#This Row],[COD CART]],[1]!MatrizCortoLargoCyl[#All],3,0),"")</f>
        <v/>
      </c>
      <c r="F1261" t="inlineStr">
        <is>
          <t>KWEB</t>
        </is>
      </c>
      <c r="G1261" t="n">
        <v>100</v>
      </c>
      <c r="H1261" t="n">
        <v>-2947.945</v>
      </c>
      <c r="I1261">
        <f>-H5867/G5867</f>
        <v/>
      </c>
    </row>
    <row r="1262">
      <c r="A1262" t="n">
        <v>3728</v>
      </c>
      <c r="B1262" s="16" t="n">
        <v>44712</v>
      </c>
      <c r="C1262" t="inlineStr">
        <is>
          <t>CPR</t>
        </is>
      </c>
      <c r="D1262" t="n">
        <v>32</v>
      </c>
      <c r="E1262">
        <f>IF(D6301&gt;0,VLOOKUP(OPERAC[[#This Row],[COD CART]],[1]!MatrizCortoLargoCyl[#All],3,0),"")</f>
        <v/>
      </c>
      <c r="F1262" t="inlineStr">
        <is>
          <t>BABA</t>
        </is>
      </c>
      <c r="G1262" t="n">
        <v>100</v>
      </c>
      <c r="H1262">
        <f>-9743.97-1273.272+199.8</f>
        <v/>
      </c>
      <c r="I1262">
        <f>-H6301/G6301</f>
        <v/>
      </c>
    </row>
    <row r="1263">
      <c r="A1263" t="n">
        <v>3728</v>
      </c>
      <c r="B1263" s="16" t="n">
        <v>44712</v>
      </c>
      <c r="C1263" t="inlineStr">
        <is>
          <t>VTA</t>
        </is>
      </c>
      <c r="D1263" t="n">
        <v>40</v>
      </c>
      <c r="E1263">
        <f>IF(D5587&gt;0,VLOOKUP(OPERAC[[#This Row],[COD CART]],[1]!MatrizCortoLargoCyl[#All],3,0),"")</f>
        <v/>
      </c>
      <c r="F1263" t="inlineStr">
        <is>
          <t>QCOM</t>
        </is>
      </c>
      <c r="G1263" t="n">
        <v>15</v>
      </c>
      <c r="H1263" t="n">
        <v>-2113.36</v>
      </c>
      <c r="I1263">
        <f>-H5587/G5587</f>
        <v/>
      </c>
    </row>
    <row r="1264">
      <c r="A1264" t="n">
        <v>3728</v>
      </c>
      <c r="B1264" s="16" t="n">
        <v>44718</v>
      </c>
      <c r="C1264" t="inlineStr">
        <is>
          <t>CPR</t>
        </is>
      </c>
      <c r="D1264" t="n">
        <v>42</v>
      </c>
      <c r="E1264">
        <f>IF(D5934&gt;0,VLOOKUP(OPERAC[[#This Row],[COD CART]],[1]!MatrizCortoLargoCyl[#All],3,0),"")</f>
        <v/>
      </c>
      <c r="F1264" t="inlineStr">
        <is>
          <t>KWEB</t>
        </is>
      </c>
      <c r="G1264" t="n">
        <v>100</v>
      </c>
      <c r="H1264" t="n">
        <v>-3092.8898</v>
      </c>
      <c r="I1264">
        <f>-H5934/G5934</f>
        <v/>
      </c>
    </row>
    <row r="1265">
      <c r="A1265" t="n">
        <v>3728</v>
      </c>
      <c r="B1265" s="16" t="n">
        <v>44719</v>
      </c>
      <c r="C1265" t="inlineStr">
        <is>
          <t>VTA</t>
        </is>
      </c>
      <c r="D1265" t="n">
        <v>39</v>
      </c>
      <c r="E1265">
        <f>IF(D531&gt;0,VLOOKUP(OPERAC[[#This Row],[COD CART]],[1]!MatrizCortoLargoCyl[#All],3,0),"")</f>
        <v/>
      </c>
      <c r="F1265" t="inlineStr">
        <is>
          <t>TSLA/P/615,00/10-06-22</t>
        </is>
      </c>
      <c r="G1265" t="n">
        <v>-500</v>
      </c>
      <c r="H1265" t="n">
        <v>841.40775</v>
      </c>
      <c r="I1265">
        <f>-H531/G531</f>
        <v/>
      </c>
      <c r="J1265" s="16" t="n">
        <v>44719</v>
      </c>
      <c r="K1265" t="n">
        <v>-500</v>
      </c>
      <c r="L1265" t="n">
        <v>-536.28575</v>
      </c>
    </row>
    <row r="1266">
      <c r="A1266" t="n">
        <v>3728</v>
      </c>
      <c r="B1266" s="16" t="n">
        <v>44719</v>
      </c>
      <c r="C1266" t="inlineStr">
        <is>
          <t>VTA</t>
        </is>
      </c>
      <c r="D1266" t="n">
        <v>39</v>
      </c>
      <c r="E1266">
        <f>IF(D549&gt;0,VLOOKUP(OPERAC[[#This Row],[COD CART]],[1]!MatrizCortoLargoCyl[#All],3,0),"")</f>
        <v/>
      </c>
      <c r="F1266" t="inlineStr">
        <is>
          <t>TSLA/C/800,00/10-06-22</t>
        </is>
      </c>
      <c r="G1266" t="n">
        <v>-500</v>
      </c>
      <c r="H1266" t="n">
        <v>779.22</v>
      </c>
      <c r="I1266">
        <f>-H549/G549</f>
        <v/>
      </c>
      <c r="J1266" s="16" t="n">
        <v>44722</v>
      </c>
      <c r="K1266">
        <f>+OPERAC[[#This Row],[cantidad]]</f>
        <v/>
      </c>
      <c r="L1266" t="n">
        <v>0</v>
      </c>
    </row>
    <row r="1267">
      <c r="A1267" t="n">
        <v>3728</v>
      </c>
      <c r="B1267" s="16" t="n">
        <v>44719</v>
      </c>
      <c r="C1267" t="inlineStr">
        <is>
          <t>VTA</t>
        </is>
      </c>
      <c r="D1267" t="n">
        <v>39</v>
      </c>
      <c r="E1267">
        <f>IF(D623&gt;0,VLOOKUP(OPERAC[[#This Row],[COD CART]],[1]!MatrizCortoLargoCyl[#All],3,0),"")</f>
        <v/>
      </c>
      <c r="F1267" t="inlineStr">
        <is>
          <t>TSLA/V/625,00/10-06-22</t>
        </is>
      </c>
      <c r="G1267" t="n">
        <v>-400</v>
      </c>
      <c r="H1267" t="n">
        <v>579.42</v>
      </c>
      <c r="I1267">
        <f>-H623/G623</f>
        <v/>
      </c>
      <c r="J1267" s="16" t="n">
        <v>44721</v>
      </c>
      <c r="K1267" t="n">
        <v>-400</v>
      </c>
      <c r="L1267" t="n">
        <v>-92.092</v>
      </c>
    </row>
    <row r="1268">
      <c r="A1268" t="n">
        <v>3728</v>
      </c>
      <c r="B1268" s="16" t="n">
        <v>44720</v>
      </c>
      <c r="C1268" t="inlineStr">
        <is>
          <t>CPR</t>
        </is>
      </c>
      <c r="D1268" t="n">
        <v>42</v>
      </c>
      <c r="E1268">
        <f>IF(D4684&gt;0,VLOOKUP(OPERAC[[#This Row],[COD CART]],[1]!MatrizCortoLargoCyl[#All],3,0),"")</f>
        <v/>
      </c>
      <c r="F1268" t="inlineStr">
        <is>
          <t>EDIT</t>
        </is>
      </c>
      <c r="G1268" t="n">
        <v>100</v>
      </c>
      <c r="H1268" t="n">
        <v>-1306.305</v>
      </c>
      <c r="I1268">
        <f>-H4684/G4684</f>
        <v/>
      </c>
    </row>
    <row r="1269">
      <c r="A1269" t="n">
        <v>3728</v>
      </c>
      <c r="B1269" s="16" t="n">
        <v>44720</v>
      </c>
      <c r="C1269" t="inlineStr">
        <is>
          <t>CPR</t>
        </is>
      </c>
      <c r="D1269" t="n">
        <v>39</v>
      </c>
      <c r="E1269">
        <f>IF(D5711&gt;0,VLOOKUP(OPERAC[[#This Row],[COD CART]],[1]!MatrizCortoLargoCyl[#All],3,0),"")</f>
        <v/>
      </c>
      <c r="F1269" t="inlineStr">
        <is>
          <t>BABA/C/110,00/15-07-22</t>
        </is>
      </c>
      <c r="G1269" t="n">
        <v>200</v>
      </c>
      <c r="H1269" t="n">
        <v>-2532.53</v>
      </c>
      <c r="I1269">
        <f>-H5711/G5711</f>
        <v/>
      </c>
    </row>
    <row r="1270">
      <c r="A1270" t="n">
        <v>3728</v>
      </c>
      <c r="B1270" s="16" t="n">
        <v>44720</v>
      </c>
      <c r="C1270" t="inlineStr">
        <is>
          <t>CPR</t>
        </is>
      </c>
      <c r="D1270" t="n">
        <v>42</v>
      </c>
      <c r="E1270">
        <f>IF(D6077&gt;0,VLOOKUP(OPERAC[[#This Row],[COD CART]],[1]!MatrizCortoLargoCyl[#All],3,0),"")</f>
        <v/>
      </c>
      <c r="F1270" t="inlineStr">
        <is>
          <t>HYDR</t>
        </is>
      </c>
      <c r="G1270" t="n">
        <v>260</v>
      </c>
      <c r="H1270" t="n">
        <v>-3903.9</v>
      </c>
      <c r="I1270">
        <f>-H6077/G6077</f>
        <v/>
      </c>
    </row>
    <row r="1271">
      <c r="A1271" t="n">
        <v>3728</v>
      </c>
      <c r="B1271" s="16" t="n">
        <v>44721</v>
      </c>
      <c r="C1271" t="inlineStr">
        <is>
          <t>CPR</t>
        </is>
      </c>
      <c r="D1271" t="n">
        <v>32</v>
      </c>
      <c r="E1271">
        <f>IF(D4410&gt;0,VLOOKUP(OPERAC[[#This Row],[COD CART]],[1]!MatrizCortoLargoCyl[#All],3,0),"")</f>
        <v/>
      </c>
      <c r="F1271" t="inlineStr">
        <is>
          <t>CCL/CYL/11,5/17-06-22</t>
        </is>
      </c>
      <c r="G1271" t="n">
        <v>100</v>
      </c>
      <c r="H1271">
        <f>-11.066*100</f>
        <v/>
      </c>
      <c r="I1271">
        <f>-H4410/G4410</f>
        <v/>
      </c>
    </row>
    <row r="1272">
      <c r="A1272" t="n">
        <v>3728</v>
      </c>
      <c r="B1272" s="16" t="n">
        <v>44722</v>
      </c>
      <c r="C1272" t="inlineStr">
        <is>
          <t>CPR</t>
        </is>
      </c>
      <c r="D1272" t="n">
        <v>32</v>
      </c>
      <c r="E1272">
        <f>IF(D4223&gt;0,VLOOKUP(OPERAC[[#This Row],[COD CART]],[1]!MatrizCortoLargoCyl[#All],3,0),"")</f>
        <v/>
      </c>
      <c r="F1272" t="inlineStr">
        <is>
          <t>CCL/CYL/10,50/24-06-22</t>
        </is>
      </c>
      <c r="G1272" t="n">
        <v>100</v>
      </c>
      <c r="H1272" t="n">
        <v>-1005.33</v>
      </c>
      <c r="I1272">
        <f>-H4223/G4223</f>
        <v/>
      </c>
    </row>
    <row r="1273">
      <c r="A1273" t="n">
        <v>3728</v>
      </c>
      <c r="B1273" s="16" t="n">
        <v>44725</v>
      </c>
      <c r="C1273" t="inlineStr">
        <is>
          <t>CPR</t>
        </is>
      </c>
      <c r="D1273" t="n">
        <v>40</v>
      </c>
      <c r="E1273">
        <f>IF(D4187&gt;0,VLOOKUP(OPERAC[[#This Row],[COD CART]],[1]!MatrizCortoLargoCyl[#All],3,0),"")</f>
        <v/>
      </c>
      <c r="F1273" t="inlineStr">
        <is>
          <t>EDIT</t>
        </is>
      </c>
      <c r="G1273" t="n">
        <v>100</v>
      </c>
      <c r="H1273" t="n">
        <v>-986.4454599999999</v>
      </c>
      <c r="I1273">
        <f>-H4187/G4187</f>
        <v/>
      </c>
    </row>
    <row r="1274">
      <c r="A1274" t="n">
        <v>3728</v>
      </c>
      <c r="B1274" s="16" t="n">
        <v>44725</v>
      </c>
      <c r="C1274" t="inlineStr">
        <is>
          <t>CPR</t>
        </is>
      </c>
      <c r="D1274" t="n">
        <v>40</v>
      </c>
      <c r="E1274">
        <f>IF(D4714&gt;0,VLOOKUP(OPERAC[[#This Row],[COD CART]],[1]!MatrizCortoLargoCyl[#All],3,0),"")</f>
        <v/>
      </c>
      <c r="F1274" t="inlineStr">
        <is>
          <t>AAL</t>
        </is>
      </c>
      <c r="G1274" t="n">
        <v>100</v>
      </c>
      <c r="H1274" t="n">
        <v>-1326.6253</v>
      </c>
      <c r="I1274">
        <f>-H4714/G4714</f>
        <v/>
      </c>
    </row>
    <row r="1275">
      <c r="A1275" t="n">
        <v>3728</v>
      </c>
      <c r="B1275" s="16" t="n">
        <v>44725</v>
      </c>
      <c r="C1275" t="inlineStr">
        <is>
          <t>VTA</t>
        </is>
      </c>
      <c r="D1275" t="n">
        <v>40</v>
      </c>
      <c r="E1275">
        <f>IF(D3103&gt;0,VLOOKUP(OPERAC[[#This Row],[COD CART]],[1]!MatrizCortoLargoCyl[#All],3,0),"")</f>
        <v/>
      </c>
      <c r="F1275" t="inlineStr">
        <is>
          <t>MELI</t>
        </is>
      </c>
      <c r="G1275" t="n">
        <v>1</v>
      </c>
      <c r="H1275" t="n">
        <v>-623.7231</v>
      </c>
      <c r="I1275">
        <f>-H3103/G3103</f>
        <v/>
      </c>
    </row>
    <row r="1276">
      <c r="A1276" t="n">
        <v>3728</v>
      </c>
      <c r="B1276" s="16" t="n">
        <v>44725</v>
      </c>
      <c r="C1276" t="inlineStr">
        <is>
          <t>VTA</t>
        </is>
      </c>
      <c r="D1276" t="n">
        <v>40</v>
      </c>
      <c r="E1276">
        <f>IF(D3892&gt;0,VLOOKUP(OPERAC[[#This Row],[COD CART]],[1]!MatrizCortoLargoCyl[#All],3,0),"")</f>
        <v/>
      </c>
      <c r="F1276" t="inlineStr">
        <is>
          <t>AMD</t>
        </is>
      </c>
      <c r="G1276" t="n">
        <v>10</v>
      </c>
      <c r="H1276" t="n">
        <v>-870.41955</v>
      </c>
      <c r="I1276">
        <f>-H3892/G3892</f>
        <v/>
      </c>
    </row>
    <row r="1277">
      <c r="A1277" t="n">
        <v>3781</v>
      </c>
      <c r="B1277" s="16" t="n">
        <v>44641</v>
      </c>
      <c r="C1277" t="inlineStr">
        <is>
          <t>VTA</t>
        </is>
      </c>
      <c r="D1277" t="n">
        <v>42</v>
      </c>
      <c r="E1277">
        <f>IF(D1597&gt;0,VLOOKUP(OPERAC[[#This Row],[COD CART]],[1]!MatrizCortoLargoCyl[#All],3,0),"")</f>
        <v/>
      </c>
      <c r="F1277" t="inlineStr">
        <is>
          <t>FB</t>
        </is>
      </c>
      <c r="G1277" t="n">
        <v>1</v>
      </c>
      <c r="H1277" t="n">
        <v>-212.15638</v>
      </c>
      <c r="I1277">
        <f>-H1597/G1597</f>
        <v/>
      </c>
      <c r="J1277" s="16" t="n">
        <v>44642</v>
      </c>
      <c r="K1277" t="n">
        <v>1</v>
      </c>
      <c r="L1277" t="n">
        <v>213.798</v>
      </c>
    </row>
    <row r="1278">
      <c r="A1278" t="n">
        <v>3787</v>
      </c>
      <c r="B1278" s="16" t="n">
        <v>44431</v>
      </c>
      <c r="C1278" t="inlineStr">
        <is>
          <t>VTA</t>
        </is>
      </c>
      <c r="D1278" t="n">
        <v>39</v>
      </c>
      <c r="E1278">
        <f>IF(D153&gt;0,VLOOKUP(OPERAC[[#This Row],[COD CART]],[1]!MatrizCortoLargoCyl[#All],3,0),"")</f>
        <v/>
      </c>
      <c r="F1278" t="inlineStr">
        <is>
          <t>ACB/V/7,00/20-01-23</t>
        </is>
      </c>
      <c r="G1278" t="n">
        <v>-1000</v>
      </c>
      <c r="H1278" t="n">
        <v>2651.5</v>
      </c>
      <c r="I1278">
        <f>-H153/G153</f>
        <v/>
      </c>
      <c r="J1278" s="16" t="n">
        <v>44607</v>
      </c>
      <c r="K1278" t="n">
        <v>-1000</v>
      </c>
      <c r="L1278" t="n">
        <v>-3430</v>
      </c>
    </row>
    <row r="1279">
      <c r="A1279" t="n">
        <v>3787</v>
      </c>
      <c r="B1279" s="16" t="n">
        <v>44474</v>
      </c>
      <c r="C1279" t="inlineStr">
        <is>
          <t>VTA</t>
        </is>
      </c>
      <c r="D1279" t="n">
        <v>39</v>
      </c>
      <c r="E1279">
        <f>IF(D953&gt;0,VLOOKUP(OPERAC[[#This Row],[COD CART]],[1]!MatrizCortoLargoCyl[#All],3,0),"")</f>
        <v/>
      </c>
      <c r="F1279" t="inlineStr">
        <is>
          <t>NKE/V/115,00/21-01-22</t>
        </is>
      </c>
      <c r="G1279" t="n">
        <v>-100</v>
      </c>
      <c r="H1279" t="n">
        <v>94.95699999999999</v>
      </c>
      <c r="I1279">
        <f>-H953/G953</f>
        <v/>
      </c>
      <c r="J1279" s="16" t="n">
        <v>44582</v>
      </c>
      <c r="K1279">
        <f>+OPERAC[[#This Row],[cantidad]]</f>
        <v/>
      </c>
      <c r="L1279" t="n">
        <v>0</v>
      </c>
    </row>
    <row r="1280">
      <c r="A1280" t="n">
        <v>3787</v>
      </c>
      <c r="B1280" s="16" t="n">
        <v>44511</v>
      </c>
      <c r="C1280" t="inlineStr">
        <is>
          <t>CPR</t>
        </is>
      </c>
      <c r="D1280" t="n">
        <v>31</v>
      </c>
      <c r="E1280">
        <f>IF(D4380&gt;0,VLOOKUP(OPERAC[[#This Row],[COD CART]],[1]!MatrizCortoLargoCyl[#All],3,0),"")</f>
        <v/>
      </c>
      <c r="F1280" t="inlineStr">
        <is>
          <t>IPIX</t>
        </is>
      </c>
      <c r="G1280" t="n">
        <v>10000</v>
      </c>
      <c r="H1280" t="n">
        <v>-1099.9</v>
      </c>
      <c r="I1280">
        <f>-H4380/G4380</f>
        <v/>
      </c>
    </row>
    <row r="1281">
      <c r="A1281" t="n">
        <v>3787</v>
      </c>
      <c r="B1281" s="16" t="n">
        <v>44523</v>
      </c>
      <c r="C1281" t="inlineStr">
        <is>
          <t>CPR</t>
        </is>
      </c>
      <c r="D1281" t="n">
        <v>32</v>
      </c>
      <c r="E1281">
        <f>IF(D3635&gt;0,VLOOKUP(OPERAC[[#This Row],[COD CART]],[1]!MatrizCortoLargoCyl[#All],3,0),"")</f>
        <v/>
      </c>
      <c r="F1281" t="inlineStr">
        <is>
          <t>GMBL</t>
        </is>
      </c>
      <c r="G1281" t="n">
        <v>200</v>
      </c>
      <c r="H1281">
        <f>-823.862+18.134</f>
        <v/>
      </c>
      <c r="I1281">
        <f>-H3635/G3635</f>
        <v/>
      </c>
      <c r="J1281" s="16" t="n">
        <v>44641</v>
      </c>
      <c r="K1281" t="n">
        <v>200</v>
      </c>
      <c r="L1281" t="n">
        <v>159.853</v>
      </c>
    </row>
    <row r="1282">
      <c r="A1282" t="n">
        <v>3787</v>
      </c>
      <c r="B1282" s="16" t="n">
        <v>44523</v>
      </c>
      <c r="C1282" t="inlineStr">
        <is>
          <t>VTA</t>
        </is>
      </c>
      <c r="D1282" t="n">
        <v>40</v>
      </c>
      <c r="E1282">
        <f>IF(D3899&gt;0,VLOOKUP(OPERAC[[#This Row],[COD CART]],[1]!MatrizCortoLargoCyl[#All],3,0),"")</f>
        <v/>
      </c>
      <c r="F1282" t="inlineStr">
        <is>
          <t>EDU</t>
        </is>
      </c>
      <c r="G1282" t="n">
        <v>500</v>
      </c>
      <c r="H1282">
        <f>-889.745+0.026*OPERAC[[#This Row],[cantidad]]</f>
        <v/>
      </c>
      <c r="I1282">
        <f>-H3899/G3899</f>
        <v/>
      </c>
      <c r="J1282" s="16" t="n">
        <v>44630</v>
      </c>
      <c r="K1282" t="n">
        <v>500</v>
      </c>
      <c r="L1282" t="n">
        <v>569.318</v>
      </c>
    </row>
    <row r="1283">
      <c r="A1283" t="n">
        <v>3787</v>
      </c>
      <c r="B1283" s="16" t="n">
        <v>44523</v>
      </c>
      <c r="C1283" t="inlineStr">
        <is>
          <t>VTA</t>
        </is>
      </c>
      <c r="D1283" t="n">
        <v>32</v>
      </c>
      <c r="E1283">
        <f>IF(D5269&gt;0,VLOOKUP(OPERAC[[#This Row],[COD CART]],[1]!MatrizCortoLargoCyl[#All],3,0),"")</f>
        <v/>
      </c>
      <c r="F1283" t="inlineStr">
        <is>
          <t>TEVA/CYL/9,00/21-01-22</t>
        </is>
      </c>
      <c r="G1283" t="n">
        <v>200</v>
      </c>
      <c r="H1283">
        <f>-1723.2664+18.874</f>
        <v/>
      </c>
      <c r="I1283">
        <f>-H5269/G5269</f>
        <v/>
      </c>
      <c r="J1283" s="16" t="n">
        <v>44575</v>
      </c>
      <c r="K1283" t="n">
        <v>200</v>
      </c>
      <c r="L1283" t="n">
        <v>1757.83</v>
      </c>
    </row>
    <row r="1284">
      <c r="A1284" t="n">
        <v>3787</v>
      </c>
      <c r="B1284" s="16" t="n">
        <v>44536</v>
      </c>
      <c r="C1284" t="inlineStr">
        <is>
          <t>CPR</t>
        </is>
      </c>
      <c r="D1284" t="n">
        <v>43</v>
      </c>
      <c r="E1284">
        <f>IF(D3962&gt;0,VLOOKUP(OPERAC[[#This Row],[COD CART]],[1]!MatrizCortoLargoCyl[#All],3,0),"")</f>
        <v/>
      </c>
      <c r="F1284" t="inlineStr">
        <is>
          <t>XSPA/CYL-PUT/1,50/20-01-23</t>
        </is>
      </c>
      <c r="G1284" t="n">
        <v>2000</v>
      </c>
      <c r="H1284">
        <f>-0.4462*OPERAC[[#This Row],[cantidad]]</f>
        <v/>
      </c>
      <c r="I1284">
        <f>-H3962/G3962</f>
        <v/>
      </c>
    </row>
    <row r="1285">
      <c r="A1285" t="n">
        <v>3787</v>
      </c>
      <c r="B1285" s="16" t="n">
        <v>44536</v>
      </c>
      <c r="C1285" t="inlineStr">
        <is>
          <t>CPR</t>
        </is>
      </c>
      <c r="D1285" t="n">
        <v>43</v>
      </c>
      <c r="E1285">
        <f>IF(D4366&gt;0,VLOOKUP(OPERAC[[#This Row],[COD CART]],[1]!MatrizCortoLargoCyl[#All],3,0),"")</f>
        <v/>
      </c>
      <c r="F1285" t="inlineStr">
        <is>
          <t>NNDM/CYL-PUT/2,50/19-01-24</t>
        </is>
      </c>
      <c r="G1285" t="n">
        <v>1000</v>
      </c>
      <c r="H1285">
        <f>-1.08*OPERAC[[#This Row],[cantidad]]</f>
        <v/>
      </c>
      <c r="I1285">
        <f>-H4366/G4366</f>
        <v/>
      </c>
    </row>
    <row r="1286">
      <c r="A1286" t="n">
        <v>3787</v>
      </c>
      <c r="B1286" s="16" t="n">
        <v>44536</v>
      </c>
      <c r="C1286" t="inlineStr">
        <is>
          <t>VTA</t>
        </is>
      </c>
      <c r="D1286" t="n">
        <v>43</v>
      </c>
      <c r="E1286">
        <f>IF(D1465&gt;0,VLOOKUP(OPERAC[[#This Row],[COD CART]],[1]!MatrizCortoLargoCyl[#All],3,0),"")</f>
        <v/>
      </c>
      <c r="F1286" t="inlineStr">
        <is>
          <t>HEXO/CYL-PUT/1,00/20-01-23</t>
        </is>
      </c>
      <c r="G1286" t="n">
        <v>1000</v>
      </c>
      <c r="H1286">
        <f>-0.1671*OPERAC[[#This Row],[cantidad]]</f>
        <v/>
      </c>
      <c r="I1286">
        <f>-H1465/G1465</f>
        <v/>
      </c>
      <c r="J1286" s="16" t="n">
        <v>44607</v>
      </c>
      <c r="K1286" t="n">
        <v>1000</v>
      </c>
      <c r="L1286" t="n">
        <v>-280.231</v>
      </c>
    </row>
    <row r="1287">
      <c r="A1287" t="n">
        <v>3787</v>
      </c>
      <c r="B1287" s="16" t="n">
        <v>44538</v>
      </c>
      <c r="C1287" t="inlineStr">
        <is>
          <t>VTA</t>
        </is>
      </c>
      <c r="D1287" t="n">
        <v>39</v>
      </c>
      <c r="E1287">
        <f>IF(D219&gt;0,VLOOKUP(OPERAC[[#This Row],[COD CART]],[1]!MatrizCortoLargoCyl[#All],3,0),"")</f>
        <v/>
      </c>
      <c r="F1287" t="inlineStr">
        <is>
          <t>MELI/V/880,00/21-01-22</t>
        </is>
      </c>
      <c r="G1287" t="n">
        <v>-200</v>
      </c>
      <c r="H1287" t="n">
        <v>2023.68</v>
      </c>
      <c r="I1287">
        <f>-H219/G219</f>
        <v/>
      </c>
      <c r="J1287" s="16" t="n">
        <v>44582</v>
      </c>
      <c r="K1287">
        <f>+OPERAC[[#This Row],[cantidad]]</f>
        <v/>
      </c>
      <c r="L1287" t="n">
        <v>0</v>
      </c>
    </row>
    <row r="1288">
      <c r="A1288" t="n">
        <v>3787</v>
      </c>
      <c r="B1288" s="16" t="n">
        <v>44539</v>
      </c>
      <c r="C1288" t="inlineStr">
        <is>
          <t>CPR</t>
        </is>
      </c>
      <c r="D1288" t="n">
        <v>40</v>
      </c>
      <c r="E1288">
        <f>IF(D5718&gt;0,VLOOKUP(OPERAC[[#This Row],[COD CART]],[1]!MatrizCortoLargoCyl[#All],3,0),"")</f>
        <v/>
      </c>
      <c r="F1288" t="inlineStr">
        <is>
          <t>ROKU</t>
        </is>
      </c>
      <c r="G1288" t="n">
        <v>10</v>
      </c>
      <c r="H1288" t="n">
        <v>-2577.2036</v>
      </c>
      <c r="I1288">
        <f>-H5718/G5718</f>
        <v/>
      </c>
      <c r="J1288" s="16" t="n">
        <v>44606</v>
      </c>
      <c r="K1288">
        <f>+OPERAC[[#This Row],[cantidad]]</f>
        <v/>
      </c>
      <c r="L1288">
        <f>+OPERAC[[#This Row],[cantidad venta]]*160.574</f>
        <v/>
      </c>
    </row>
    <row r="1289">
      <c r="A1289" t="n">
        <v>3787</v>
      </c>
      <c r="B1289" s="16" t="n">
        <v>44543</v>
      </c>
      <c r="C1289" t="inlineStr">
        <is>
          <t>CPR</t>
        </is>
      </c>
      <c r="D1289" t="n">
        <v>40</v>
      </c>
      <c r="E1289">
        <f>IF(D3712&gt;0,VLOOKUP(OPERAC[[#This Row],[COD CART]],[1]!MatrizCortoLargoCyl[#All],3,0),"")</f>
        <v/>
      </c>
      <c r="F1289" t="inlineStr">
        <is>
          <t>VIST</t>
        </is>
      </c>
      <c r="G1289" t="n">
        <v>150</v>
      </c>
      <c r="H1289" t="n">
        <v>-839.91</v>
      </c>
      <c r="I1289">
        <f>-H3712/G3712</f>
        <v/>
      </c>
      <c r="J1289" s="16" t="n">
        <v>44574</v>
      </c>
      <c r="K1289">
        <f>+OPERAC[[#This Row],[cantidad]]</f>
        <v/>
      </c>
      <c r="L1289">
        <f>+OPERAC[[#This Row],[cantidad venta]]*6.125</f>
        <v/>
      </c>
    </row>
    <row r="1290">
      <c r="A1290" t="n">
        <v>3787</v>
      </c>
      <c r="B1290" s="16" t="n">
        <v>44547</v>
      </c>
      <c r="C1290" t="inlineStr">
        <is>
          <t>CPR</t>
        </is>
      </c>
      <c r="D1290" t="n">
        <v>32</v>
      </c>
      <c r="E1290">
        <f>IF(D4411&gt;0,VLOOKUP(OPERAC[[#This Row],[COD CART]],[1]!MatrizCortoLargoCyl[#All],3,0),"")</f>
        <v/>
      </c>
      <c r="F1290" t="inlineStr">
        <is>
          <t>HIMX/CYL/12,00/21-01-22</t>
        </is>
      </c>
      <c r="G1290" t="n">
        <v>100</v>
      </c>
      <c r="H1290" t="n">
        <v>-1109.5304</v>
      </c>
      <c r="I1290">
        <f>-H4411/G4411</f>
        <v/>
      </c>
      <c r="J1290" s="16" t="n">
        <v>44575</v>
      </c>
      <c r="K1290" t="n">
        <v>100</v>
      </c>
      <c r="L1290" t="n">
        <v>1170.618</v>
      </c>
    </row>
    <row r="1291">
      <c r="A1291" t="n">
        <v>3787</v>
      </c>
      <c r="B1291" s="16" t="n">
        <v>44547</v>
      </c>
      <c r="C1291" t="inlineStr">
        <is>
          <t>VTA</t>
        </is>
      </c>
      <c r="D1291" t="n">
        <v>32</v>
      </c>
      <c r="E1291">
        <f>IF(D5263&gt;0,VLOOKUP(OPERAC[[#This Row],[COD CART]],[1]!MatrizCortoLargoCyl[#All],3,0),"")</f>
        <v/>
      </c>
      <c r="F1291" t="inlineStr">
        <is>
          <t>ARLO/CYL/9,00/18-02-22</t>
        </is>
      </c>
      <c r="G1291" t="n">
        <v>200</v>
      </c>
      <c r="H1291">
        <f>-1733.48+29.76</f>
        <v/>
      </c>
      <c r="I1291">
        <f>-H5263/G5263</f>
        <v/>
      </c>
      <c r="J1291" s="16" t="n">
        <v>44607</v>
      </c>
      <c r="K1291" t="n">
        <v>200</v>
      </c>
      <c r="L1291" t="n">
        <v>1751.065</v>
      </c>
    </row>
    <row r="1292">
      <c r="A1292" t="n">
        <v>3787</v>
      </c>
      <c r="B1292" s="16" t="n">
        <v>44551</v>
      </c>
      <c r="C1292" t="inlineStr">
        <is>
          <t>CPR</t>
        </is>
      </c>
      <c r="D1292" t="n">
        <v>40</v>
      </c>
      <c r="E1292">
        <f>IF(D5921&gt;0,VLOOKUP(OPERAC[[#This Row],[COD CART]],[1]!MatrizCortoLargoCyl[#All],3,0),"")</f>
        <v/>
      </c>
      <c r="F1292" t="inlineStr">
        <is>
          <t>EDIT</t>
        </is>
      </c>
      <c r="G1292" t="n">
        <v>100</v>
      </c>
      <c r="H1292" t="n">
        <v>-3042.62</v>
      </c>
      <c r="I1292">
        <f>-H5921/G5921</f>
        <v/>
      </c>
      <c r="J1292" s="16" t="n">
        <v>44586</v>
      </c>
      <c r="K1292" t="n">
        <v>100</v>
      </c>
      <c r="L1292" t="n">
        <v>1758.788</v>
      </c>
    </row>
    <row r="1293">
      <c r="A1293" t="n">
        <v>3787</v>
      </c>
      <c r="B1293" s="16" t="n">
        <v>44552</v>
      </c>
      <c r="C1293" t="inlineStr">
        <is>
          <t>VTA</t>
        </is>
      </c>
      <c r="D1293" t="n">
        <v>32</v>
      </c>
      <c r="E1293">
        <f>IF(D5372&gt;0,VLOOKUP(OPERAC[[#This Row],[COD CART]],[1]!MatrizCortoLargoCyl[#All],3,0),"")</f>
        <v/>
      </c>
      <c r="F1293" t="inlineStr">
        <is>
          <t>GOLD/CYL/19,00/21-01-22</t>
        </is>
      </c>
      <c r="G1293" t="n">
        <v>100</v>
      </c>
      <c r="H1293" t="n">
        <v>-1807.894</v>
      </c>
      <c r="I1293">
        <f>-H5372/G5372</f>
        <v/>
      </c>
      <c r="J1293" s="16" t="n">
        <v>44580</v>
      </c>
      <c r="K1293" t="n">
        <v>100</v>
      </c>
      <c r="L1293" t="n">
        <v>1876.846</v>
      </c>
    </row>
    <row r="1294">
      <c r="A1294" t="n">
        <v>3787</v>
      </c>
      <c r="B1294" s="16" t="n">
        <v>44553</v>
      </c>
      <c r="C1294" t="inlineStr">
        <is>
          <t>CPR</t>
        </is>
      </c>
      <c r="D1294" t="n">
        <v>40</v>
      </c>
      <c r="E1294">
        <f>IF(D3245&gt;0,VLOOKUP(OPERAC[[#This Row],[COD CART]],[1]!MatrizCortoLargoCyl[#All],3,0),"")</f>
        <v/>
      </c>
      <c r="F1294" t="inlineStr">
        <is>
          <t>ON</t>
        </is>
      </c>
      <c r="G1294" t="n">
        <v>10</v>
      </c>
      <c r="H1294" t="n">
        <v>-671.13608</v>
      </c>
      <c r="I1294">
        <f>-H3245/G3245</f>
        <v/>
      </c>
      <c r="J1294" s="16" t="n">
        <v>44606</v>
      </c>
      <c r="K1294">
        <f>+OPERAC[[#This Row],[cantidad]]</f>
        <v/>
      </c>
      <c r="L1294">
        <f>+OPERAC[[#This Row],[cantidad venta]]*58.449</f>
        <v/>
      </c>
    </row>
    <row r="1295">
      <c r="A1295" t="n">
        <v>3787</v>
      </c>
      <c r="B1295" s="16" t="n">
        <v>44557</v>
      </c>
      <c r="C1295" t="inlineStr">
        <is>
          <t>CPR</t>
        </is>
      </c>
      <c r="D1295" t="n">
        <v>40</v>
      </c>
      <c r="E1295">
        <f>IF(D3545&gt;0,VLOOKUP(OPERAC[[#This Row],[COD CART]],[1]!MatrizCortoLargoCyl[#All],3,0),"")</f>
        <v/>
      </c>
      <c r="F1295" t="inlineStr">
        <is>
          <t>TLRY</t>
        </is>
      </c>
      <c r="G1295" t="n">
        <v>100</v>
      </c>
      <c r="H1295" t="n">
        <v>-771.62</v>
      </c>
      <c r="I1295">
        <f>-H3545/G3545</f>
        <v/>
      </c>
      <c r="J1295" s="16" t="n">
        <v>44585</v>
      </c>
      <c r="K1295">
        <f>+OPERAC[[#This Row],[cantidad]]</f>
        <v/>
      </c>
      <c r="L1295">
        <f>+OPERAC[[#This Row],[cantidad venta]]*5.263</f>
        <v/>
      </c>
    </row>
    <row r="1296">
      <c r="A1296" t="n">
        <v>3787</v>
      </c>
      <c r="B1296" s="16" t="n">
        <v>44558</v>
      </c>
      <c r="C1296" t="inlineStr">
        <is>
          <t>VTA</t>
        </is>
      </c>
      <c r="D1296" t="n">
        <v>40</v>
      </c>
      <c r="E1296">
        <f>IF(D1939&gt;0,VLOOKUP(OPERAC[[#This Row],[COD CART]],[1]!MatrizCortoLargoCyl[#All],3,0),"")</f>
        <v/>
      </c>
      <c r="F1296" t="inlineStr">
        <is>
          <t>UPST</t>
        </is>
      </c>
      <c r="G1296" t="n">
        <v>2</v>
      </c>
      <c r="H1296" t="n">
        <v>-301.2004</v>
      </c>
      <c r="I1296">
        <f>-H1939/G1939</f>
        <v/>
      </c>
      <c r="J1296" s="16" t="n">
        <v>44606</v>
      </c>
      <c r="K1296">
        <f>+OPERAC[[#This Row],[cantidad]]</f>
        <v/>
      </c>
      <c r="L1296">
        <f>+OPERAC[[#This Row],[cantidad venta]]*98.994</f>
        <v/>
      </c>
    </row>
    <row r="1297">
      <c r="A1297" t="n">
        <v>3787</v>
      </c>
      <c r="B1297" s="16" t="n">
        <v>44575</v>
      </c>
      <c r="C1297" t="inlineStr">
        <is>
          <t>CPR</t>
        </is>
      </c>
      <c r="D1297" t="n">
        <v>40</v>
      </c>
      <c r="E1297">
        <f>IF(D4015&gt;0,VLOOKUP(OPERAC[[#This Row],[COD CART]],[1]!MatrizCortoLargoCyl[#All],3,0),"")</f>
        <v/>
      </c>
      <c r="F1297" t="inlineStr">
        <is>
          <t>GBTC</t>
        </is>
      </c>
      <c r="G1297" t="n">
        <v>30</v>
      </c>
      <c r="H1297" t="n">
        <v>-924.2843999999999</v>
      </c>
      <c r="I1297">
        <f>-H4015/G4015</f>
        <v/>
      </c>
      <c r="J1297" s="16" t="n">
        <v>44651</v>
      </c>
      <c r="K1297">
        <f>+OPERAC[[#This Row],[cantidad]]</f>
        <v/>
      </c>
      <c r="L1297">
        <f>+OPERAC[[#This Row],[cantidad venta]]*31.332</f>
        <v/>
      </c>
    </row>
    <row r="1298">
      <c r="A1298" t="n">
        <v>3787</v>
      </c>
      <c r="B1298" s="16" t="n">
        <v>44581</v>
      </c>
      <c r="C1298" t="inlineStr">
        <is>
          <t>CPR</t>
        </is>
      </c>
      <c r="D1298" t="n">
        <v>32</v>
      </c>
      <c r="E1298">
        <f>IF(D4462&gt;0,VLOOKUP(OPERAC[[#This Row],[COD CART]],[1]!MatrizCortoLargoCyl[#All],3,0),"")</f>
        <v/>
      </c>
      <c r="F1298" t="inlineStr">
        <is>
          <t>HMY/CYL/4,00/18-02-22</t>
        </is>
      </c>
      <c r="G1298" t="n">
        <v>300</v>
      </c>
      <c r="H1298" t="n">
        <v>-1162.403988</v>
      </c>
      <c r="I1298">
        <f>-H4462/G4462</f>
        <v/>
      </c>
      <c r="J1298" s="16" t="n">
        <v>44610</v>
      </c>
      <c r="K1298">
        <f>+OPERAC[[#This Row],[cantidad]]</f>
        <v/>
      </c>
      <c r="L1298">
        <f>+OPERAC[[#This Row],[cantidad venta]]*3.8323</f>
        <v/>
      </c>
    </row>
    <row r="1299">
      <c r="A1299" t="n">
        <v>3787</v>
      </c>
      <c r="B1299" s="16" t="n">
        <v>44582</v>
      </c>
      <c r="C1299" t="inlineStr">
        <is>
          <t>CPR</t>
        </is>
      </c>
      <c r="D1299" t="n">
        <v>40</v>
      </c>
      <c r="E1299">
        <f>IF(D6033&gt;0,VLOOKUP(OPERAC[[#This Row],[COD CART]],[1]!MatrizCortoLargoCyl[#All],3,0),"")</f>
        <v/>
      </c>
      <c r="F1299" t="inlineStr">
        <is>
          <t>NFLX</t>
        </is>
      </c>
      <c r="G1299" t="n">
        <v>9</v>
      </c>
      <c r="H1299" t="n">
        <v>-3515.733900000001</v>
      </c>
      <c r="I1299">
        <f>-H6033/G6033</f>
        <v/>
      </c>
      <c r="J1299" s="16" t="n">
        <v>44593</v>
      </c>
      <c r="K1299">
        <f>+OPERAC[[#This Row],[cantidad]]</f>
        <v/>
      </c>
      <c r="L1299">
        <f>+OPERAC[[#This Row],[cantidad venta]]*448.602</f>
        <v/>
      </c>
    </row>
    <row r="1300">
      <c r="A1300" t="n">
        <v>3787</v>
      </c>
      <c r="B1300" s="16" t="n">
        <v>44585</v>
      </c>
      <c r="C1300" t="inlineStr">
        <is>
          <t>VTA</t>
        </is>
      </c>
      <c r="D1300" t="n">
        <v>39</v>
      </c>
      <c r="E1300">
        <f>IF(D846&gt;0,VLOOKUP(OPERAC[[#This Row],[COD CART]],[1]!MatrizCortoLargoCyl[#All],3,0),"")</f>
        <v/>
      </c>
      <c r="F1300" t="inlineStr">
        <is>
          <t>TSLA/C/1200,00/28-01-22</t>
        </is>
      </c>
      <c r="G1300" t="n">
        <v>-200</v>
      </c>
      <c r="H1300" t="n">
        <v>201.84</v>
      </c>
      <c r="I1300">
        <f>-H846/G846</f>
        <v/>
      </c>
      <c r="J1300" s="16" t="n">
        <v>44589</v>
      </c>
      <c r="K1300" t="n">
        <v>-200</v>
      </c>
      <c r="L1300" t="n">
        <v>0</v>
      </c>
    </row>
    <row r="1301">
      <c r="A1301" t="n">
        <v>3787</v>
      </c>
      <c r="B1301" s="16" t="n">
        <v>44587</v>
      </c>
      <c r="C1301" t="inlineStr">
        <is>
          <t>CPR</t>
        </is>
      </c>
      <c r="D1301" t="n">
        <v>40</v>
      </c>
      <c r="E1301">
        <f>IF(D5667&gt;0,VLOOKUP(OPERAC[[#This Row],[COD CART]],[1]!MatrizCortoLargoCyl[#All],3,0),"")</f>
        <v/>
      </c>
      <c r="F1301" t="inlineStr">
        <is>
          <t>MSFT</t>
        </is>
      </c>
      <c r="G1301" t="n">
        <v>8</v>
      </c>
      <c r="H1301" t="n">
        <v>-2427.29008</v>
      </c>
      <c r="I1301">
        <f>-H5667/G5667</f>
        <v/>
      </c>
      <c r="J1301" s="16" t="n">
        <v>44606</v>
      </c>
      <c r="K1301">
        <f>+OPERAC[[#This Row],[cantidad]]</f>
        <v/>
      </c>
      <c r="L1301">
        <f>+OPERAC[[#This Row],[cantidad venta]]*290.091</f>
        <v/>
      </c>
    </row>
    <row r="1302">
      <c r="A1302" t="n">
        <v>3787</v>
      </c>
      <c r="B1302" s="16" t="n">
        <v>44607</v>
      </c>
      <c r="C1302" t="inlineStr">
        <is>
          <t>CPR</t>
        </is>
      </c>
      <c r="D1302" t="n">
        <v>32</v>
      </c>
      <c r="E1302">
        <f>IF(D6269&gt;0,VLOOKUP(OPERAC[[#This Row],[COD CART]],[1]!MatrizCortoLargoCyl[#All],3,0),"")</f>
        <v/>
      </c>
      <c r="F1302" t="inlineStr">
        <is>
          <t>UPST/CYL/80,00/18-03-22</t>
        </is>
      </c>
      <c r="G1302" t="n">
        <v>100</v>
      </c>
      <c r="H1302" t="n">
        <v>-7567.157770000001</v>
      </c>
      <c r="I1302">
        <f>-H6269/G6269</f>
        <v/>
      </c>
      <c r="J1302" s="16" t="n">
        <v>44608</v>
      </c>
      <c r="K1302" t="n">
        <v>100</v>
      </c>
      <c r="L1302" t="n">
        <v>7956.448</v>
      </c>
    </row>
    <row r="1303">
      <c r="A1303" t="n">
        <v>3787</v>
      </c>
      <c r="B1303" s="16" t="n">
        <v>44607</v>
      </c>
      <c r="C1303" t="inlineStr">
        <is>
          <t>VTA</t>
        </is>
      </c>
      <c r="D1303" t="n">
        <v>39</v>
      </c>
      <c r="E1303">
        <f>IF(D69&gt;0,VLOOKUP(OPERAC[[#This Row],[COD CART]],[1]!MatrizCortoLargoCyl[#All],3,0),"")</f>
        <v/>
      </c>
      <c r="F1303" t="inlineStr">
        <is>
          <t>TSLA/V/830,00/18-02-22</t>
        </is>
      </c>
      <c r="G1303" t="n">
        <v>-2300</v>
      </c>
      <c r="H1303" t="n">
        <v>4433.198249999999</v>
      </c>
      <c r="I1303">
        <f>-H69/G69</f>
        <v/>
      </c>
      <c r="J1303" s="16" t="n">
        <v>44609</v>
      </c>
      <c r="K1303">
        <f>-1300-1000</f>
        <v/>
      </c>
      <c r="L1303">
        <f>-2498.717-4291.16</f>
        <v/>
      </c>
    </row>
    <row r="1304">
      <c r="A1304" t="n">
        <v>3787</v>
      </c>
      <c r="B1304" s="16" t="n">
        <v>44608</v>
      </c>
      <c r="C1304" t="inlineStr">
        <is>
          <t>CPR</t>
        </is>
      </c>
      <c r="D1304" t="n">
        <v>32</v>
      </c>
      <c r="E1304">
        <f>IF(D4851&gt;0,VLOOKUP(OPERAC[[#This Row],[COD CART]],[1]!MatrizCortoLargoCyl[#All],3,0),"")</f>
        <v/>
      </c>
      <c r="F1304" t="inlineStr">
        <is>
          <t>SPWR/CYL/15,00/18-03-22</t>
        </is>
      </c>
      <c r="G1304" t="n">
        <v>100</v>
      </c>
      <c r="H1304" t="n">
        <v>-1441.812</v>
      </c>
      <c r="I1304">
        <f>-H4851/G4851</f>
        <v/>
      </c>
      <c r="J1304" s="16" t="n">
        <v>44628</v>
      </c>
      <c r="K1304">
        <f>+OPERAC[[#This Row],[cantidad]]</f>
        <v/>
      </c>
      <c r="L1304" t="n">
        <v>1504.278</v>
      </c>
    </row>
    <row r="1305">
      <c r="A1305" t="n">
        <v>3787</v>
      </c>
      <c r="B1305" s="16" t="n">
        <v>44608</v>
      </c>
      <c r="C1305" t="inlineStr">
        <is>
          <t>CPR</t>
        </is>
      </c>
      <c r="D1305" t="n">
        <v>32</v>
      </c>
      <c r="E1305">
        <f>IF(D6141&gt;0,VLOOKUP(OPERAC[[#This Row],[COD CART]],[1]!MatrizCortoLargoCyl[#All],3,0),"")</f>
        <v/>
      </c>
      <c r="F1305" t="inlineStr">
        <is>
          <t>DDD/CYL/17,00/01-04-22</t>
        </is>
      </c>
      <c r="G1305" t="n">
        <v>300</v>
      </c>
      <c r="H1305">
        <f>-4888.2522+59.18+49.36</f>
        <v/>
      </c>
      <c r="I1305">
        <f>-H6141/G6141</f>
        <v/>
      </c>
      <c r="J1305" s="16" t="n">
        <v>44649</v>
      </c>
      <c r="K1305" t="n">
        <v>300</v>
      </c>
      <c r="L1305" t="n">
        <v>5002.23</v>
      </c>
    </row>
    <row r="1306">
      <c r="A1306" t="n">
        <v>3787</v>
      </c>
      <c r="B1306" s="16" t="n">
        <v>44628</v>
      </c>
      <c r="C1306" t="inlineStr">
        <is>
          <t>CPR</t>
        </is>
      </c>
      <c r="D1306" t="n">
        <v>42</v>
      </c>
      <c r="E1306">
        <f>IF(D6104&gt;0,VLOOKUP(OPERAC[[#This Row],[COD CART]],[1]!MatrizCortoLargoCyl[#All],3,0),"")</f>
        <v/>
      </c>
      <c r="F1306" t="inlineStr">
        <is>
          <t>MSFT</t>
        </is>
      </c>
      <c r="G1306" t="n">
        <v>15</v>
      </c>
      <c r="H1306" t="n">
        <v>-4197.994</v>
      </c>
      <c r="I1306">
        <f>-H6104/G6104</f>
        <v/>
      </c>
      <c r="J1306" s="16" t="n">
        <v>44662</v>
      </c>
      <c r="K1306">
        <f>+OPERAC[[#This Row],[cantidad]]</f>
        <v/>
      </c>
      <c r="L1306">
        <f>287.546*OPERAC[[#This Row],[cantidad venta]]</f>
        <v/>
      </c>
    </row>
    <row r="1307">
      <c r="A1307" t="n">
        <v>3787</v>
      </c>
      <c r="B1307" s="16" t="n">
        <v>44628</v>
      </c>
      <c r="C1307" t="inlineStr">
        <is>
          <t>VTA</t>
        </is>
      </c>
      <c r="D1307" t="n">
        <v>40</v>
      </c>
      <c r="E1307">
        <f>IF(D2390&gt;0,VLOOKUP(OPERAC[[#This Row],[COD CART]],[1]!MatrizCortoLargoCyl[#All],3,0),"")</f>
        <v/>
      </c>
      <c r="F1307" t="inlineStr">
        <is>
          <t>CVV</t>
        </is>
      </c>
      <c r="G1307" t="n">
        <v>100</v>
      </c>
      <c r="H1307" t="n">
        <v>-422.4488</v>
      </c>
      <c r="I1307">
        <f>-H2390/G2390</f>
        <v/>
      </c>
      <c r="J1307" s="16" t="n">
        <v>44641</v>
      </c>
      <c r="K1307" t="n">
        <v>100</v>
      </c>
      <c r="L1307" t="n">
        <v>420.58</v>
      </c>
    </row>
    <row r="1308">
      <c r="A1308" t="n">
        <v>3787</v>
      </c>
      <c r="B1308" s="16" t="n">
        <v>44635</v>
      </c>
      <c r="C1308" t="inlineStr">
        <is>
          <t>VTA</t>
        </is>
      </c>
      <c r="D1308" t="n">
        <v>39</v>
      </c>
      <c r="E1308">
        <f>IF(D213&gt;0,VLOOKUP(OPERAC[[#This Row],[COD CART]],[1]!MatrizCortoLargoCyl[#All],3,0),"")</f>
        <v/>
      </c>
      <c r="F1308" t="inlineStr">
        <is>
          <t>TSLA/C/890,00/18-03-22</t>
        </is>
      </c>
      <c r="G1308" t="n">
        <v>-2000</v>
      </c>
      <c r="H1308" t="n">
        <v>2077.76</v>
      </c>
      <c r="I1308">
        <f>-H213/G213</f>
        <v/>
      </c>
      <c r="J1308" s="16" t="n">
        <v>44636</v>
      </c>
      <c r="K1308" t="n">
        <v>-2000</v>
      </c>
      <c r="L1308" t="n">
        <v>-3936.58</v>
      </c>
    </row>
    <row r="1309">
      <c r="A1309" t="n">
        <v>3787</v>
      </c>
      <c r="B1309" s="16" t="n">
        <v>44641</v>
      </c>
      <c r="C1309" t="inlineStr">
        <is>
          <t>VTA</t>
        </is>
      </c>
      <c r="D1309" t="n">
        <v>39</v>
      </c>
      <c r="E1309">
        <f>IF(D101&gt;0,VLOOKUP(OPERAC[[#This Row],[COD CART]],[1]!MatrizCortoLargoCyl[#All],3,0),"")</f>
        <v/>
      </c>
      <c r="F1309" t="inlineStr">
        <is>
          <t>TSLA/C/1100,00/25-03-22</t>
        </is>
      </c>
      <c r="G1309">
        <f>-2000-1000</f>
        <v/>
      </c>
      <c r="H1309">
        <f>1184.97+2229.28</f>
        <v/>
      </c>
      <c r="I1309">
        <f>-H101/G101</f>
        <v/>
      </c>
      <c r="J1309" s="16" t="n">
        <v>44642</v>
      </c>
      <c r="K1309" t="n">
        <v>-3000</v>
      </c>
      <c r="L1309" t="n">
        <v>-9697.469999999999</v>
      </c>
    </row>
    <row r="1310">
      <c r="A1310" t="n">
        <v>3787</v>
      </c>
      <c r="B1310" s="16" t="n">
        <v>44641</v>
      </c>
      <c r="C1310" t="inlineStr">
        <is>
          <t>VTA</t>
        </is>
      </c>
      <c r="D1310" t="n">
        <v>39</v>
      </c>
      <c r="E1310">
        <f>IF(D110&gt;0,VLOOKUP(OPERAC[[#This Row],[COD CART]],[1]!MatrizCortoLargoCyl[#All],3,0),"")</f>
        <v/>
      </c>
      <c r="F1310" t="inlineStr">
        <is>
          <t>TSLA/V/800,00/25-03-22</t>
        </is>
      </c>
      <c r="G1310" t="n">
        <v>-2000</v>
      </c>
      <c r="H1310" t="n">
        <v>3279.4</v>
      </c>
      <c r="I1310">
        <f>-H110/G110</f>
        <v/>
      </c>
      <c r="J1310" s="16" t="n">
        <v>44645</v>
      </c>
      <c r="K1310" t="n">
        <v>-2000</v>
      </c>
      <c r="L1310" t="n">
        <v>0</v>
      </c>
    </row>
    <row r="1311">
      <c r="A1311" t="n">
        <v>3787</v>
      </c>
      <c r="B1311" s="16" t="n">
        <v>44641</v>
      </c>
      <c r="C1311" t="inlineStr">
        <is>
          <t>VTA</t>
        </is>
      </c>
      <c r="D1311" t="n">
        <v>42</v>
      </c>
      <c r="E1311">
        <f>IF(D2868&gt;0,VLOOKUP(OPERAC[[#This Row],[COD CART]],[1]!MatrizCortoLargoCyl[#All],3,0),"")</f>
        <v/>
      </c>
      <c r="F1311" t="inlineStr">
        <is>
          <t>SMH</t>
        </is>
      </c>
      <c r="G1311" t="n">
        <v>2</v>
      </c>
      <c r="H1311" t="n">
        <v>-537.9153000000001</v>
      </c>
      <c r="I1311">
        <f>-H2868/G2868</f>
        <v/>
      </c>
      <c r="J1311" s="16" t="n">
        <v>44663</v>
      </c>
      <c r="K1311">
        <f>+OPERAC[[#This Row],[cantidad]]</f>
        <v/>
      </c>
      <c r="L1311">
        <f>+OPERAC[[#This Row],[cantidad venta]]*238.066</f>
        <v/>
      </c>
    </row>
    <row r="1312">
      <c r="A1312" t="n">
        <v>3787</v>
      </c>
      <c r="B1312" s="16" t="n">
        <v>44641</v>
      </c>
      <c r="C1312" t="inlineStr">
        <is>
          <t>VTA</t>
        </is>
      </c>
      <c r="D1312" t="n">
        <v>42</v>
      </c>
      <c r="E1312">
        <f>IF(D2959&gt;0,VLOOKUP(OPERAC[[#This Row],[COD CART]],[1]!MatrizCortoLargoCyl[#All],3,0),"")</f>
        <v/>
      </c>
      <c r="F1312" t="inlineStr">
        <is>
          <t>JPM</t>
        </is>
      </c>
      <c r="G1312" t="n">
        <v>4</v>
      </c>
      <c r="H1312" t="n">
        <v>-561.8173600000001</v>
      </c>
      <c r="I1312">
        <f>-H2959/G2959</f>
        <v/>
      </c>
      <c r="J1312" s="16" t="n">
        <v>44664</v>
      </c>
      <c r="K1312">
        <f>+OPERAC[[#This Row],[cantidad]]</f>
        <v/>
      </c>
      <c r="L1312">
        <f>+OPERAC[[#This Row],[cantidad venta]]*125.943</f>
        <v/>
      </c>
    </row>
    <row r="1313">
      <c r="A1313" t="n">
        <v>3787</v>
      </c>
      <c r="B1313" s="16" t="n">
        <v>44641</v>
      </c>
      <c r="C1313" t="inlineStr">
        <is>
          <t>VTA</t>
        </is>
      </c>
      <c r="D1313" t="n">
        <v>42</v>
      </c>
      <c r="E1313">
        <f>IF(D3770&gt;0,VLOOKUP(OPERAC[[#This Row],[COD CART]],[1]!MatrizCortoLargoCyl[#All],3,0),"")</f>
        <v/>
      </c>
      <c r="F1313" t="inlineStr">
        <is>
          <t>FB</t>
        </is>
      </c>
      <c r="G1313" t="n">
        <v>4</v>
      </c>
      <c r="H1313" t="n">
        <v>-848.6255200000001</v>
      </c>
      <c r="I1313">
        <f>-H3770/G3770</f>
        <v/>
      </c>
      <c r="J1313" s="16" t="n">
        <v>44671</v>
      </c>
      <c r="K1313">
        <f>+OPERAC[[#This Row],[cantidad]]</f>
        <v/>
      </c>
      <c r="L1313">
        <f>+OPERAC[[#This Row],[cantidad venta]]*213.173</f>
        <v/>
      </c>
    </row>
    <row r="1314">
      <c r="A1314" t="n">
        <v>3787</v>
      </c>
      <c r="B1314" s="16" t="n">
        <v>44641</v>
      </c>
      <c r="C1314" t="inlineStr">
        <is>
          <t>VTA</t>
        </is>
      </c>
      <c r="D1314" t="n">
        <v>32</v>
      </c>
      <c r="E1314">
        <f>IF(D5458&gt;0,VLOOKUP(OPERAC[[#This Row],[COD CART]],[1]!MatrizCortoLargoCyl[#All],3,0),"")</f>
        <v/>
      </c>
      <c r="F1314" t="inlineStr">
        <is>
          <t>HMY</t>
        </is>
      </c>
      <c r="G1314" t="n">
        <v>400</v>
      </c>
      <c r="H1314" t="n">
        <v>-1903.6156</v>
      </c>
      <c r="I1314">
        <f>-H5458/G5458</f>
        <v/>
      </c>
      <c r="J1314" s="16" t="n">
        <v>44669</v>
      </c>
      <c r="K1314">
        <f>+OPERAC[[#This Row],[cantidad]]</f>
        <v/>
      </c>
      <c r="L1314">
        <f>4.925*OPERAC[[#This Row],[cantidad venta]]</f>
        <v/>
      </c>
    </row>
    <row r="1315">
      <c r="A1315" t="n">
        <v>3787</v>
      </c>
      <c r="B1315" s="16" t="n">
        <v>44642</v>
      </c>
      <c r="C1315" t="inlineStr">
        <is>
          <t>VTA</t>
        </is>
      </c>
      <c r="D1315" t="n">
        <v>39</v>
      </c>
      <c r="E1315">
        <f>IF(D1024&gt;0,VLOOKUP(OPERAC[[#This Row],[COD CART]],[1]!MatrizCortoLargoCyl[#All],3,0),"")</f>
        <v/>
      </c>
      <c r="F1315" t="inlineStr">
        <is>
          <t>TSLA/V/600,00/20-05-22</t>
        </is>
      </c>
      <c r="G1315" t="n">
        <v>-10</v>
      </c>
      <c r="H1315" t="n">
        <v>54.688</v>
      </c>
      <c r="I1315">
        <f>-H1024/G1024</f>
        <v/>
      </c>
      <c r="J1315" s="16" t="n">
        <v>44672</v>
      </c>
      <c r="K1315" t="n">
        <v>-10</v>
      </c>
      <c r="L1315" t="n">
        <v>-7.0595</v>
      </c>
    </row>
    <row r="1316">
      <c r="A1316" t="n">
        <v>3787</v>
      </c>
      <c r="B1316" s="16" t="n">
        <v>44642</v>
      </c>
      <c r="C1316" t="inlineStr">
        <is>
          <t>VTA</t>
        </is>
      </c>
      <c r="D1316" t="n">
        <v>42</v>
      </c>
      <c r="E1316">
        <f>IF(D3896&gt;0,VLOOKUP(OPERAC[[#This Row],[COD CART]],[1]!MatrizCortoLargoCyl[#All],3,0),"")</f>
        <v/>
      </c>
      <c r="F1316" t="inlineStr">
        <is>
          <t>HYDR</t>
        </is>
      </c>
      <c r="G1316" t="n">
        <v>45</v>
      </c>
      <c r="H1316">
        <f>-19.39*OPERAC[[#This Row],[cantidad]]</f>
        <v/>
      </c>
      <c r="I1316">
        <f>-H3896/G3896</f>
        <v/>
      </c>
      <c r="J1316" s="16" t="n">
        <v>44691</v>
      </c>
      <c r="K1316" t="n">
        <v>45</v>
      </c>
      <c r="L1316">
        <f>+OPERAC[[#This Row],[cantidad venta]]*12.85</f>
        <v/>
      </c>
    </row>
    <row r="1317">
      <c r="A1317" t="n">
        <v>3787</v>
      </c>
      <c r="B1317" s="16" t="n">
        <v>44643</v>
      </c>
      <c r="C1317" t="inlineStr">
        <is>
          <t>VTA</t>
        </is>
      </c>
      <c r="D1317" t="n">
        <v>39</v>
      </c>
      <c r="E1317">
        <f>IF(D230&gt;0,VLOOKUP(OPERAC[[#This Row],[COD CART]],[1]!MatrizCortoLargoCyl[#All],3,0),"")</f>
        <v/>
      </c>
      <c r="F1317" t="inlineStr">
        <is>
          <t>TSLA/V/875,00/25-03-22</t>
        </is>
      </c>
      <c r="G1317" t="n">
        <v>-2000</v>
      </c>
      <c r="H1317" t="n">
        <v>1970.16</v>
      </c>
      <c r="I1317">
        <f>-H230/G230</f>
        <v/>
      </c>
      <c r="J1317" s="16" t="n">
        <v>44645</v>
      </c>
      <c r="K1317" t="n">
        <v>-2000</v>
      </c>
      <c r="L1317" t="n">
        <v>0</v>
      </c>
    </row>
    <row r="1318">
      <c r="A1318" t="n">
        <v>3787</v>
      </c>
      <c r="B1318" s="16" t="n">
        <v>44643</v>
      </c>
      <c r="C1318" t="inlineStr">
        <is>
          <t>VTA</t>
        </is>
      </c>
      <c r="D1318" t="n">
        <v>31</v>
      </c>
      <c r="E1318">
        <f>IF(D2940&gt;0,VLOOKUP(OPERAC[[#This Row],[COD CART]],[1]!MatrizCortoLargoCyl[#All],3,0),"")</f>
        <v/>
      </c>
      <c r="F1318" t="inlineStr">
        <is>
          <t>COST</t>
        </is>
      </c>
      <c r="G1318" t="n">
        <v>1</v>
      </c>
      <c r="H1318" t="n">
        <v>-558.2548</v>
      </c>
      <c r="I1318">
        <f>-H2940/G2940</f>
        <v/>
      </c>
      <c r="J1318" s="16" t="n">
        <v>44693</v>
      </c>
      <c r="K1318" t="n">
        <v>1</v>
      </c>
      <c r="L1318" t="n">
        <v>491.145</v>
      </c>
    </row>
    <row r="1319">
      <c r="A1319" t="n">
        <v>3787</v>
      </c>
      <c r="B1319" s="16" t="n">
        <v>44643</v>
      </c>
      <c r="C1319" t="inlineStr">
        <is>
          <t>VTA</t>
        </is>
      </c>
      <c r="D1319" t="n">
        <v>42</v>
      </c>
      <c r="E1319">
        <f>IF(D3715&gt;0,VLOOKUP(OPERAC[[#This Row],[COD CART]],[1]!MatrizCortoLargoCyl[#All],3,0),"")</f>
        <v/>
      </c>
      <c r="F1319" t="inlineStr">
        <is>
          <t>ADBE</t>
        </is>
      </c>
      <c r="G1319" t="n">
        <v>2</v>
      </c>
      <c r="H1319" t="n">
        <v>-842.10955</v>
      </c>
      <c r="I1319">
        <f>-H3715/G3715</f>
        <v/>
      </c>
      <c r="J1319" s="16" t="n">
        <v>44687</v>
      </c>
      <c r="K1319">
        <f>+OPERAC[[#This Row],[cantidad]]</f>
        <v/>
      </c>
      <c r="L1319" t="n">
        <v>772.84</v>
      </c>
    </row>
    <row r="1320">
      <c r="A1320" t="n">
        <v>3787</v>
      </c>
      <c r="B1320" s="16" t="n">
        <v>44649</v>
      </c>
      <c r="C1320" t="inlineStr">
        <is>
          <t>CPR</t>
        </is>
      </c>
      <c r="D1320" t="n">
        <v>32</v>
      </c>
      <c r="E1320">
        <f>IF(D3689&gt;0,VLOOKUP(OPERAC[[#This Row],[COD CART]],[1]!MatrizCortoLargoCyl[#All],3,0),"")</f>
        <v/>
      </c>
      <c r="F1320" t="inlineStr">
        <is>
          <t>ARLO</t>
        </is>
      </c>
      <c r="G1320" t="n">
        <v>100</v>
      </c>
      <c r="H1320" t="n">
        <v>-827.412</v>
      </c>
      <c r="I1320">
        <f>-H3689/G3689</f>
        <v/>
      </c>
      <c r="J1320" s="16" t="n">
        <v>44704</v>
      </c>
      <c r="K1320" t="n">
        <v>100</v>
      </c>
      <c r="L1320" t="n">
        <v>660.627</v>
      </c>
    </row>
    <row r="1321">
      <c r="A1321" t="n">
        <v>3787</v>
      </c>
      <c r="B1321" s="16" t="n">
        <v>44649</v>
      </c>
      <c r="C1321" t="inlineStr">
        <is>
          <t>CPR</t>
        </is>
      </c>
      <c r="D1321" t="n">
        <v>42</v>
      </c>
      <c r="E1321">
        <f>IF(D4602&gt;0,VLOOKUP(OPERAC[[#This Row],[COD CART]],[1]!MatrizCortoLargoCyl[#All],3,0),"")</f>
        <v/>
      </c>
      <c r="F1321" t="inlineStr">
        <is>
          <t>MSFT</t>
        </is>
      </c>
      <c r="G1321" t="n">
        <v>4</v>
      </c>
      <c r="H1321" t="n">
        <v>-1259.3936</v>
      </c>
      <c r="I1321">
        <f>-H4602/G4602</f>
        <v/>
      </c>
      <c r="J1321" s="16" t="n">
        <v>44662</v>
      </c>
      <c r="K1321">
        <f>+OPERAC[[#This Row],[cantidad]]</f>
        <v/>
      </c>
      <c r="L1321">
        <f>287.546*OPERAC[[#This Row],[cantidad venta]]</f>
        <v/>
      </c>
    </row>
    <row r="1322">
      <c r="A1322" t="n">
        <v>3787</v>
      </c>
      <c r="B1322" s="16" t="n">
        <v>44649</v>
      </c>
      <c r="C1322" t="inlineStr">
        <is>
          <t>VTA</t>
        </is>
      </c>
      <c r="D1322" t="n">
        <v>42</v>
      </c>
      <c r="E1322">
        <f>IF(D1657&gt;0,VLOOKUP(OPERAC[[#This Row],[COD CART]],[1]!MatrizCortoLargoCyl[#All],3,0),"")</f>
        <v/>
      </c>
      <c r="F1322" t="inlineStr">
        <is>
          <t>FB</t>
        </is>
      </c>
      <c r="G1322" t="n">
        <v>1</v>
      </c>
      <c r="H1322" t="n">
        <v>-229.9994</v>
      </c>
      <c r="I1322">
        <f>-H1657/G1657</f>
        <v/>
      </c>
      <c r="J1322" s="16" t="n">
        <v>44671</v>
      </c>
      <c r="K1322">
        <f>+OPERAC[[#This Row],[cantidad]]</f>
        <v/>
      </c>
      <c r="L1322">
        <f>+OPERAC[[#This Row],[cantidad venta]]*213.173</f>
        <v/>
      </c>
    </row>
    <row r="1323">
      <c r="A1323" t="n">
        <v>3787</v>
      </c>
      <c r="B1323" s="16" t="n">
        <v>44649</v>
      </c>
      <c r="C1323" t="inlineStr">
        <is>
          <t>VTA</t>
        </is>
      </c>
      <c r="D1323" t="n">
        <v>42</v>
      </c>
      <c r="E1323">
        <f>IF(D2971&gt;0,VLOOKUP(OPERAC[[#This Row],[COD CART]],[1]!MatrizCortoLargoCyl[#All],3,0),"")</f>
        <v/>
      </c>
      <c r="F1323" t="inlineStr">
        <is>
          <t>SMH</t>
        </is>
      </c>
      <c r="G1323" t="n">
        <v>2</v>
      </c>
      <c r="H1323" t="n">
        <v>-563.8843999999999</v>
      </c>
      <c r="I1323">
        <f>-H2971/G2971</f>
        <v/>
      </c>
      <c r="J1323" s="16" t="n">
        <v>44663</v>
      </c>
      <c r="K1323">
        <f>+OPERAC[[#This Row],[cantidad]]</f>
        <v/>
      </c>
      <c r="L1323">
        <f>+OPERAC[[#This Row],[cantidad venta]]*238.066</f>
        <v/>
      </c>
    </row>
    <row r="1324">
      <c r="A1324" t="n">
        <v>3787</v>
      </c>
      <c r="B1324" s="16" t="n">
        <v>44649</v>
      </c>
      <c r="C1324" t="inlineStr">
        <is>
          <t>VTA</t>
        </is>
      </c>
      <c r="D1324" t="n">
        <v>42</v>
      </c>
      <c r="E1324">
        <f>IF(D2991&gt;0,VLOOKUP(OPERAC[[#This Row],[COD CART]],[1]!MatrizCortoLargoCyl[#All],3,0),"")</f>
        <v/>
      </c>
      <c r="F1324" t="inlineStr">
        <is>
          <t>JPM</t>
        </is>
      </c>
      <c r="G1324" t="n">
        <v>4</v>
      </c>
      <c r="H1324" t="n">
        <v>-567.5523999999999</v>
      </c>
      <c r="I1324">
        <f>-H2991/G2991</f>
        <v/>
      </c>
      <c r="J1324" s="16" t="n">
        <v>44664</v>
      </c>
      <c r="K1324">
        <f>+OPERAC[[#This Row],[cantidad]]</f>
        <v/>
      </c>
      <c r="L1324">
        <f>+OPERAC[[#This Row],[cantidad venta]]*125.943</f>
        <v/>
      </c>
    </row>
    <row r="1325">
      <c r="A1325" t="n">
        <v>3787</v>
      </c>
      <c r="B1325" s="16" t="n">
        <v>44649</v>
      </c>
      <c r="C1325" t="inlineStr">
        <is>
          <t>VTA</t>
        </is>
      </c>
      <c r="D1325" t="n">
        <v>42</v>
      </c>
      <c r="E1325">
        <f>IF(D3842&gt;0,VLOOKUP(OPERAC[[#This Row],[COD CART]],[1]!MatrizCortoLargoCyl[#All],3,0),"")</f>
        <v/>
      </c>
      <c r="F1325" t="inlineStr">
        <is>
          <t>DIS</t>
        </is>
      </c>
      <c r="G1325" t="n">
        <v>6</v>
      </c>
      <c r="H1325" t="n">
        <v>-859.4063599999999</v>
      </c>
      <c r="I1325">
        <f>-H3842/G3842</f>
        <v/>
      </c>
      <c r="J1325" s="16" t="n">
        <v>44671</v>
      </c>
      <c r="K1325">
        <f>+OPERAC[[#This Row],[cantidad]]</f>
        <v/>
      </c>
      <c r="L1325">
        <f>+OPERAC[[#This Row],[cantidad venta]]*123.621</f>
        <v/>
      </c>
    </row>
    <row r="1326">
      <c r="A1326" t="n">
        <v>3787</v>
      </c>
      <c r="B1326" s="16" t="n">
        <v>44651</v>
      </c>
      <c r="C1326" t="inlineStr">
        <is>
          <t>CPR</t>
        </is>
      </c>
      <c r="D1326" t="n">
        <v>42</v>
      </c>
      <c r="E1326">
        <f>IF(D3977&gt;0,VLOOKUP(OPERAC[[#This Row],[COD CART]],[1]!MatrizCortoLargoCyl[#All],3,0),"")</f>
        <v/>
      </c>
      <c r="F1326" t="inlineStr">
        <is>
          <t>AMD</t>
        </is>
      </c>
      <c r="G1326" t="n">
        <v>8</v>
      </c>
      <c r="H1326" t="n">
        <v>-911.1913599999999</v>
      </c>
      <c r="I1326">
        <f>-H3977/G3977</f>
        <v/>
      </c>
      <c r="J1326" s="16" t="n">
        <v>44691</v>
      </c>
      <c r="K1326" t="n">
        <v>8</v>
      </c>
      <c r="L1326" t="n">
        <v>691.432</v>
      </c>
    </row>
    <row r="1327">
      <c r="A1327" t="n">
        <v>3787</v>
      </c>
      <c r="B1327" s="16" t="n">
        <v>44662</v>
      </c>
      <c r="C1327" t="inlineStr">
        <is>
          <t>CPR</t>
        </is>
      </c>
      <c r="D1327" t="n">
        <v>42</v>
      </c>
      <c r="E1327">
        <f>IF(D5957&gt;0,VLOOKUP(OPERAC[[#This Row],[COD CART]],[1]!MatrizCortoLargoCyl[#All],3,0),"")</f>
        <v/>
      </c>
      <c r="F1327" t="inlineStr">
        <is>
          <t>HYDR</t>
        </is>
      </c>
      <c r="G1327" t="n">
        <v>170</v>
      </c>
      <c r="H1327" t="n">
        <v>-3156.95848</v>
      </c>
      <c r="I1327">
        <f>-H5957/G5957</f>
        <v/>
      </c>
      <c r="J1327" s="16" t="n">
        <v>44691</v>
      </c>
      <c r="K1327" t="n">
        <v>170</v>
      </c>
      <c r="L1327">
        <f>+OPERAC[[#This Row],[cantidad venta]]*12.85</f>
        <v/>
      </c>
    </row>
    <row r="1328">
      <c r="A1328" t="n">
        <v>3787</v>
      </c>
      <c r="B1328" s="16" t="n">
        <v>44662</v>
      </c>
      <c r="C1328" t="inlineStr">
        <is>
          <t>CPR</t>
        </is>
      </c>
      <c r="D1328" t="n">
        <v>42</v>
      </c>
      <c r="E1328">
        <f>IF(D6122&gt;0,VLOOKUP(OPERAC[[#This Row],[COD CART]],[1]!MatrizCortoLargoCyl[#All],3,0),"")</f>
        <v/>
      </c>
      <c r="F1328" t="inlineStr">
        <is>
          <t>UPST</t>
        </is>
      </c>
      <c r="G1328" t="n">
        <v>50</v>
      </c>
      <c r="H1328" t="n">
        <v>-4570.018</v>
      </c>
      <c r="I1328">
        <f>-H6122/G6122</f>
        <v/>
      </c>
      <c r="J1328" s="16" t="n">
        <v>44669</v>
      </c>
      <c r="K1328">
        <f>15+35</f>
        <v/>
      </c>
      <c r="L1328">
        <f>1219.545+1054.956</f>
        <v/>
      </c>
    </row>
    <row r="1329">
      <c r="A1329" t="n">
        <v>3787</v>
      </c>
      <c r="B1329" s="16" t="n">
        <v>44664</v>
      </c>
      <c r="C1329" t="inlineStr">
        <is>
          <t>CPR</t>
        </is>
      </c>
      <c r="D1329" t="n">
        <v>42</v>
      </c>
      <c r="E1329">
        <f>IF(D4577&gt;0,VLOOKUP(OPERAC[[#This Row],[COD CART]],[1]!MatrizCortoLargoCyl[#All],3,0),"")</f>
        <v/>
      </c>
      <c r="F1329" t="inlineStr">
        <is>
          <t>PSQ</t>
        </is>
      </c>
      <c r="G1329" t="n">
        <v>100</v>
      </c>
      <c r="H1329" t="n">
        <v>-1243.2572181</v>
      </c>
      <c r="I1329">
        <f>-H4577/G4577</f>
        <v/>
      </c>
      <c r="J1329" s="16" t="n">
        <v>44680</v>
      </c>
      <c r="K1329">
        <f>+OPERAC[[#This Row],[cantidad]]</f>
        <v/>
      </c>
      <c r="L1329">
        <f>12.848*OPERAC[[#This Row],[cantidad venta]]</f>
        <v/>
      </c>
    </row>
    <row r="1330">
      <c r="A1330" t="n">
        <v>3787</v>
      </c>
      <c r="B1330" s="16" t="n">
        <v>44669</v>
      </c>
      <c r="C1330" t="inlineStr">
        <is>
          <t>VTA</t>
        </is>
      </c>
      <c r="D1330" t="n">
        <v>32</v>
      </c>
      <c r="E1330">
        <f>IF(D5631&gt;0,VLOOKUP(OPERAC[[#This Row],[COD CART]],[1]!MatrizCortoLargoCyl[#All],3,0),"")</f>
        <v/>
      </c>
      <c r="F1330" t="inlineStr">
        <is>
          <t>HMY</t>
        </is>
      </c>
      <c r="G1330" t="n">
        <v>500</v>
      </c>
      <c r="H1330">
        <f>-4.64*OPERAC[[#This Row],[cantidad]]</f>
        <v/>
      </c>
      <c r="I1330">
        <f>-H5631/G5631</f>
        <v/>
      </c>
      <c r="J1330" s="16" t="n">
        <v>44704</v>
      </c>
      <c r="K1330" t="n">
        <v>500</v>
      </c>
      <c r="L1330" t="n">
        <v>1834.511</v>
      </c>
    </row>
    <row r="1331">
      <c r="A1331" t="n">
        <v>3787</v>
      </c>
      <c r="B1331" s="16" t="n">
        <v>44671</v>
      </c>
      <c r="C1331" t="inlineStr">
        <is>
          <t>CPR</t>
        </is>
      </c>
      <c r="D1331" t="n">
        <v>42</v>
      </c>
      <c r="E1331">
        <f>IF(D3421&gt;0,VLOOKUP(OPERAC[[#This Row],[COD CART]],[1]!MatrizCortoLargoCyl[#All],3,0),"")</f>
        <v/>
      </c>
      <c r="F1331" t="inlineStr">
        <is>
          <t>TLT</t>
        </is>
      </c>
      <c r="G1331" t="n">
        <v>6</v>
      </c>
      <c r="H1331" t="n">
        <v>-735.3780300000001</v>
      </c>
      <c r="I1331">
        <f>-H3421/G3421</f>
        <v/>
      </c>
      <c r="J1331" s="16" t="n">
        <v>44691</v>
      </c>
      <c r="K1331" t="n">
        <v>6</v>
      </c>
      <c r="L1331" t="n">
        <v>692.345</v>
      </c>
    </row>
    <row r="1332">
      <c r="A1332" t="n">
        <v>3787</v>
      </c>
      <c r="B1332" s="16" t="n">
        <v>44671</v>
      </c>
      <c r="C1332" t="inlineStr">
        <is>
          <t>CPR</t>
        </is>
      </c>
      <c r="D1332" t="n">
        <v>42</v>
      </c>
      <c r="E1332">
        <f>IF(D4259&gt;0,VLOOKUP(OPERAC[[#This Row],[COD CART]],[1]!MatrizCortoLargoCyl[#All],3,0),"")</f>
        <v/>
      </c>
      <c r="F1332" t="inlineStr">
        <is>
          <t>NFLX</t>
        </is>
      </c>
      <c r="G1332" t="n">
        <v>4</v>
      </c>
      <c r="H1332" t="n">
        <v>-1018.02024</v>
      </c>
      <c r="I1332">
        <f>-H4259/G4259</f>
        <v/>
      </c>
      <c r="J1332" s="16" t="n">
        <v>44691</v>
      </c>
      <c r="K1332" t="n">
        <v>4</v>
      </c>
      <c r="L1332" t="n">
        <v>686.455</v>
      </c>
    </row>
    <row r="1333">
      <c r="A1333" t="n">
        <v>3787</v>
      </c>
      <c r="B1333" s="16" t="n">
        <v>44676</v>
      </c>
      <c r="C1333" t="inlineStr">
        <is>
          <t>VTA</t>
        </is>
      </c>
      <c r="D1333" t="n">
        <v>39</v>
      </c>
      <c r="E1333">
        <f>IF(D466&gt;0,VLOOKUP(OPERAC[[#This Row],[COD CART]],[1]!MatrizCortoLargoCyl[#All],3,0),"")</f>
        <v/>
      </c>
      <c r="F1333" t="inlineStr">
        <is>
          <t>TSLA/C/1200,00/29-04-22</t>
        </is>
      </c>
      <c r="G1333" t="n">
        <v>-2000</v>
      </c>
      <c r="H1333" t="n">
        <v>991.5</v>
      </c>
      <c r="I1333">
        <f>-H466/G466</f>
        <v/>
      </c>
      <c r="J1333" s="16" t="n">
        <v>44677</v>
      </c>
      <c r="K1333" t="n">
        <v>-2000</v>
      </c>
      <c r="L1333" t="n">
        <v>-250.108</v>
      </c>
    </row>
    <row r="1334">
      <c r="A1334" t="n">
        <v>3787</v>
      </c>
      <c r="B1334" s="16" t="n">
        <v>44680</v>
      </c>
      <c r="C1334" t="inlineStr">
        <is>
          <t>CPR</t>
        </is>
      </c>
      <c r="D1334" t="n">
        <v>42</v>
      </c>
      <c r="E1334">
        <f>IF(D4733&gt;0,VLOOKUP(OPERAC[[#This Row],[COD CART]],[1]!MatrizCortoLargoCyl[#All],3,0),"")</f>
        <v/>
      </c>
      <c r="F1334" t="inlineStr">
        <is>
          <t>XLP</t>
        </is>
      </c>
      <c r="G1334" t="n">
        <v>17</v>
      </c>
      <c r="H1334" t="n">
        <v>-1350.3865425</v>
      </c>
      <c r="I1334">
        <f>-H4733/G4733</f>
        <v/>
      </c>
      <c r="J1334" s="16" t="n">
        <v>44691</v>
      </c>
      <c r="K1334" t="n">
        <v>17</v>
      </c>
      <c r="L1334" t="n">
        <v>1289.277</v>
      </c>
    </row>
    <row r="1335">
      <c r="A1335" t="n">
        <v>3787</v>
      </c>
      <c r="B1335" s="16" t="n">
        <v>44697</v>
      </c>
      <c r="C1335" t="inlineStr">
        <is>
          <t>CPR</t>
        </is>
      </c>
      <c r="D1335" t="n">
        <v>32</v>
      </c>
      <c r="E1335">
        <f>IF(D2609&gt;0,VLOOKUP(OPERAC[[#This Row],[COD CART]],[1]!MatrizCortoLargoCyl[#All],3,0),"")</f>
        <v/>
      </c>
      <c r="F1335" t="inlineStr">
        <is>
          <t>TLRY/CYL/5,50/17-06-22</t>
        </is>
      </c>
      <c r="G1335" t="n">
        <v>100</v>
      </c>
      <c r="H1335">
        <f>-484.256+11.898</f>
        <v/>
      </c>
      <c r="I1335">
        <f>-H2609/G2609</f>
        <v/>
      </c>
    </row>
    <row r="1336">
      <c r="A1336" t="n">
        <v>3787</v>
      </c>
      <c r="B1336" s="16" t="n">
        <v>44698</v>
      </c>
      <c r="C1336" t="inlineStr">
        <is>
          <t>VTA</t>
        </is>
      </c>
      <c r="D1336" t="n">
        <v>39</v>
      </c>
      <c r="E1336">
        <f>IF(D1746&gt;0,VLOOKUP(OPERAC[[#This Row],[COD CART]],[1]!MatrizCortoLargoCyl[#All],3,0),"")</f>
        <v/>
      </c>
      <c r="F1336" t="inlineStr">
        <is>
          <t>NTLA/C/65,00/15-07-22</t>
        </is>
      </c>
      <c r="G1336" t="n">
        <v>100</v>
      </c>
      <c r="H1336" t="n">
        <v>-252.125</v>
      </c>
      <c r="I1336">
        <f>-H1746/G1746</f>
        <v/>
      </c>
    </row>
    <row r="1337">
      <c r="A1337" t="n">
        <v>3787</v>
      </c>
      <c r="B1337" s="16" t="n">
        <v>44704</v>
      </c>
      <c r="C1337" t="inlineStr">
        <is>
          <t>CPR</t>
        </is>
      </c>
      <c r="D1337" t="n">
        <v>32</v>
      </c>
      <c r="E1337">
        <f>IF(D5791&gt;0,VLOOKUP(OPERAC[[#This Row],[COD CART]],[1]!MatrizCortoLargoCyl[#All],3,0),"")</f>
        <v/>
      </c>
      <c r="F1337" t="inlineStr">
        <is>
          <t>KWEB/CYL/35,00/24-06-22</t>
        </is>
      </c>
      <c r="G1337" t="n">
        <v>100</v>
      </c>
      <c r="H1337" t="n">
        <v>-2673.85</v>
      </c>
      <c r="I1337">
        <f>-H5791/G5791</f>
        <v/>
      </c>
    </row>
    <row r="1338">
      <c r="A1338" t="n">
        <v>3787</v>
      </c>
      <c r="B1338" s="16" t="n">
        <v>44704</v>
      </c>
      <c r="C1338" t="inlineStr">
        <is>
          <t>VTA</t>
        </is>
      </c>
      <c r="D1338" t="n">
        <v>39</v>
      </c>
      <c r="E1338">
        <f>IF(D84&gt;0,VLOOKUP(OPERAC[[#This Row],[COD CART]],[1]!MatrizCortoLargoCyl[#All],3,0),"")</f>
        <v/>
      </c>
      <c r="F1338" t="inlineStr">
        <is>
          <t>TSLA/P/585,00/27-05-22</t>
        </is>
      </c>
      <c r="G1338" t="n">
        <v>-1000</v>
      </c>
      <c r="H1338" t="n">
        <v>3866.85</v>
      </c>
      <c r="I1338">
        <f>-H84/G84</f>
        <v/>
      </c>
      <c r="J1338" s="16" t="n">
        <v>44706</v>
      </c>
      <c r="K1338">
        <f>+OPERAC[[#This Row],[cantidad]]</f>
        <v/>
      </c>
      <c r="L1338" t="n">
        <v>-1512.75</v>
      </c>
    </row>
    <row r="1339">
      <c r="A1339" t="n">
        <v>3787</v>
      </c>
      <c r="B1339" s="16" t="n">
        <v>44704</v>
      </c>
      <c r="C1339" t="inlineStr">
        <is>
          <t>VTA</t>
        </is>
      </c>
      <c r="D1339" t="n">
        <v>43</v>
      </c>
      <c r="E1339">
        <f>IF(D5189&gt;0,VLOOKUP(OPERAC[[#This Row],[COD CART]],[1]!MatrizCortoLargoCyl[#All],3,0),"")</f>
        <v/>
      </c>
      <c r="F1339" t="inlineStr">
        <is>
          <t>AAL/CYP/16,50-15,00/10-06-22</t>
        </is>
      </c>
      <c r="G1339" t="n">
        <v>100</v>
      </c>
      <c r="H1339">
        <f>-1623.93-16.136</f>
        <v/>
      </c>
      <c r="I1339">
        <f>-H5189/G5189</f>
        <v/>
      </c>
      <c r="J1339" s="16" t="n">
        <v>44722</v>
      </c>
      <c r="K1339" t="n">
        <v>100</v>
      </c>
      <c r="L1339" t="n">
        <v>1635.975</v>
      </c>
    </row>
    <row r="1340">
      <c r="A1340" t="n">
        <v>3787</v>
      </c>
      <c r="B1340" s="16" t="n">
        <v>44705</v>
      </c>
      <c r="C1340" t="inlineStr">
        <is>
          <t>VTA</t>
        </is>
      </c>
      <c r="D1340" t="n">
        <v>42</v>
      </c>
      <c r="E1340">
        <f>IF(D5417&gt;0,VLOOKUP(OPERAC[[#This Row],[COD CART]],[1]!MatrizCortoLargoCyl[#All],3,0),"")</f>
        <v/>
      </c>
      <c r="F1340" t="inlineStr">
        <is>
          <t>AMD</t>
        </is>
      </c>
      <c r="G1340" t="n">
        <v>20</v>
      </c>
      <c r="H1340" t="n">
        <v>-1850.0708</v>
      </c>
      <c r="I1340">
        <f>-H5417/G5417</f>
        <v/>
      </c>
      <c r="J1340" s="16" t="n">
        <v>44707</v>
      </c>
      <c r="K1340">
        <f>+OPERAC[[#This Row],[cantidad]]</f>
        <v/>
      </c>
      <c r="L1340">
        <f>+OPERAC[[#This Row],[cantidad venta]]*94.8</f>
        <v/>
      </c>
    </row>
    <row r="1341">
      <c r="A1341" t="n">
        <v>3787</v>
      </c>
      <c r="B1341" s="16" t="n">
        <v>44707</v>
      </c>
      <c r="C1341" t="inlineStr">
        <is>
          <t>CPR</t>
        </is>
      </c>
      <c r="D1341" t="n">
        <v>42</v>
      </c>
      <c r="E1341">
        <f>IF(D4160&gt;0,VLOOKUP(OPERAC[[#This Row],[COD CART]],[1]!MatrizCortoLargoCyl[#All],3,0),"")</f>
        <v/>
      </c>
      <c r="F1341" t="inlineStr">
        <is>
          <t>PCT</t>
        </is>
      </c>
      <c r="G1341" t="n">
        <v>100</v>
      </c>
      <c r="H1341" t="n">
        <v>-973.063327</v>
      </c>
      <c r="I1341">
        <f>-H4160/G4160</f>
        <v/>
      </c>
    </row>
    <row r="1342">
      <c r="A1342" t="n">
        <v>3787</v>
      </c>
      <c r="B1342" s="16" t="n">
        <v>44712</v>
      </c>
      <c r="C1342" t="inlineStr">
        <is>
          <t>CPR</t>
        </is>
      </c>
      <c r="D1342" t="n">
        <v>32</v>
      </c>
      <c r="E1342">
        <f>IF(D3248&gt;0,VLOOKUP(OPERAC[[#This Row],[COD CART]],[1]!MatrizCortoLargoCyl[#All],3,0),"")</f>
        <v/>
      </c>
      <c r="F1342" t="inlineStr">
        <is>
          <t>COTY/CYL/7,00/17-06-22</t>
        </is>
      </c>
      <c r="G1342" t="n">
        <v>100</v>
      </c>
      <c r="H1342" t="n">
        <v>-677.42</v>
      </c>
      <c r="I1342">
        <f>-H3248/G3248</f>
        <v/>
      </c>
    </row>
    <row r="1343">
      <c r="A1343" t="n">
        <v>3787</v>
      </c>
      <c r="B1343" s="16" t="n">
        <v>44712</v>
      </c>
      <c r="C1343" t="inlineStr">
        <is>
          <t>CPR</t>
        </is>
      </c>
      <c r="D1343" t="n">
        <v>32</v>
      </c>
      <c r="E1343">
        <f>IF(D4774&gt;0,VLOOKUP(OPERAC[[#This Row],[COD CART]],[1]!MatrizCortoLargoCyl[#All],3,0),"")</f>
        <v/>
      </c>
      <c r="F1343" t="inlineStr">
        <is>
          <t>CRESY/CYL/7,50/17-06-22</t>
        </is>
      </c>
      <c r="G1343" t="n">
        <v>200</v>
      </c>
      <c r="H1343" t="n">
        <v>-1386.15</v>
      </c>
      <c r="I1343">
        <f>-H4774/G4774</f>
        <v/>
      </c>
    </row>
    <row r="1344">
      <c r="A1344" t="n">
        <v>3818</v>
      </c>
      <c r="B1344" s="16" t="n">
        <v>44459</v>
      </c>
      <c r="C1344" t="inlineStr">
        <is>
          <t>VTA</t>
        </is>
      </c>
      <c r="D1344" t="n">
        <v>40</v>
      </c>
      <c r="E1344">
        <f>IF(D1485&gt;0,VLOOKUP(OPERAC[[#This Row],[COD CART]],[1]!MatrizCortoLargoCyl[#All],3,0),"")</f>
        <v/>
      </c>
      <c r="F1344" t="inlineStr">
        <is>
          <t>EDU</t>
        </is>
      </c>
      <c r="G1344" t="n">
        <v>200</v>
      </c>
      <c r="H1344">
        <f>-191.19+0.04*OPERAC[[#This Row],[cantidad]]</f>
        <v/>
      </c>
      <c r="I1344">
        <f>-H1485/G1485</f>
        <v/>
      </c>
      <c r="J1344" s="16" t="n">
        <v>44600</v>
      </c>
      <c r="K1344" t="n">
        <v>200</v>
      </c>
      <c r="L1344" t="n">
        <v>1.7</v>
      </c>
    </row>
    <row r="1345">
      <c r="A1345" t="n">
        <v>3818</v>
      </c>
      <c r="B1345" s="16" t="n">
        <v>44489</v>
      </c>
      <c r="C1345" t="inlineStr">
        <is>
          <t>VTA</t>
        </is>
      </c>
      <c r="D1345" t="n">
        <v>43</v>
      </c>
      <c r="E1345">
        <f>IF(D1310&gt;0,VLOOKUP(OPERAC[[#This Row],[COD CART]],[1]!MatrizCortoLargoCyl[#All],3,0),"")</f>
        <v/>
      </c>
      <c r="F1345" t="inlineStr">
        <is>
          <t>SESN/CYL-PUT/1,00/19-01-24</t>
        </is>
      </c>
      <c r="G1345" t="n">
        <v>500</v>
      </c>
      <c r="H1345">
        <f>-0.1885*OPERAC[[#This Row],[cantidad]]</f>
        <v/>
      </c>
      <c r="I1345">
        <f>-H1310/G1310</f>
        <v/>
      </c>
      <c r="J1345" s="16" t="n">
        <v>44582</v>
      </c>
      <c r="K1345" t="n">
        <v>500</v>
      </c>
      <c r="L1345" t="n">
        <v>-205.85</v>
      </c>
    </row>
    <row r="1346">
      <c r="A1346" t="n">
        <v>3818</v>
      </c>
      <c r="B1346" s="16" t="n">
        <v>44539</v>
      </c>
      <c r="C1346" t="inlineStr">
        <is>
          <t>VTA</t>
        </is>
      </c>
      <c r="D1346" t="n">
        <v>40</v>
      </c>
      <c r="E1346">
        <f>IF(D1759&gt;0,VLOOKUP(OPERAC[[#This Row],[COD CART]],[1]!MatrizCortoLargoCyl[#All],3,0),"")</f>
        <v/>
      </c>
      <c r="F1346" t="inlineStr">
        <is>
          <t>ROKU</t>
        </is>
      </c>
      <c r="G1346" t="n">
        <v>1</v>
      </c>
      <c r="H1346" t="n">
        <v>-257.72036</v>
      </c>
      <c r="I1346">
        <f>-H1759/G1759</f>
        <v/>
      </c>
      <c r="J1346" s="16" t="n">
        <v>44600</v>
      </c>
      <c r="K1346" t="n">
        <v>1</v>
      </c>
      <c r="L1346" t="n">
        <v>160</v>
      </c>
    </row>
    <row r="1347">
      <c r="A1347" t="n">
        <v>3818</v>
      </c>
      <c r="B1347" s="16" t="n">
        <v>44558</v>
      </c>
      <c r="C1347" t="inlineStr">
        <is>
          <t>VTA</t>
        </is>
      </c>
      <c r="D1347" t="n">
        <v>40</v>
      </c>
      <c r="E1347">
        <f>IF(D1940&gt;0,VLOOKUP(OPERAC[[#This Row],[COD CART]],[1]!MatrizCortoLargoCyl[#All],3,0),"")</f>
        <v/>
      </c>
      <c r="F1347" t="inlineStr">
        <is>
          <t>UPST</t>
        </is>
      </c>
      <c r="G1347" t="n">
        <v>2</v>
      </c>
      <c r="H1347" t="n">
        <v>-301.2004</v>
      </c>
      <c r="I1347">
        <f>-H1940/G1940</f>
        <v/>
      </c>
      <c r="J1347" s="16" t="n">
        <v>44600</v>
      </c>
      <c r="K1347" t="n">
        <v>2</v>
      </c>
      <c r="L1347" t="n">
        <v>200</v>
      </c>
    </row>
    <row r="1348">
      <c r="A1348" t="n">
        <v>3818</v>
      </c>
      <c r="B1348" s="16" t="n">
        <v>44582</v>
      </c>
      <c r="C1348" t="inlineStr">
        <is>
          <t>VTA</t>
        </is>
      </c>
      <c r="D1348" t="n">
        <v>39</v>
      </c>
      <c r="E1348">
        <f>IF(D423&gt;0,VLOOKUP(OPERAC[[#This Row],[COD CART]],[1]!MatrizCortoLargoCyl[#All],3,0),"")</f>
        <v/>
      </c>
      <c r="F1348" t="inlineStr">
        <is>
          <t>ROKU/V/150,00/28-01-22</t>
        </is>
      </c>
      <c r="G1348" t="n">
        <v>-300</v>
      </c>
      <c r="H1348" t="n">
        <v>1099.934</v>
      </c>
      <c r="I1348">
        <f>-H423/G423</f>
        <v/>
      </c>
      <c r="J1348" s="16" t="n">
        <v>44588</v>
      </c>
      <c r="K1348" t="n">
        <v>-300</v>
      </c>
      <c r="L1348">
        <f>-OPERAC[[#This Row],[importe]]</f>
        <v/>
      </c>
    </row>
    <row r="1349">
      <c r="A1349" t="n">
        <v>3818</v>
      </c>
      <c r="B1349" s="16" t="n">
        <v>44587</v>
      </c>
      <c r="C1349" t="inlineStr">
        <is>
          <t>CPR</t>
        </is>
      </c>
      <c r="D1349" t="n">
        <v>40</v>
      </c>
      <c r="E1349">
        <f>IF(D2681&gt;0,VLOOKUP(OPERAC[[#This Row],[COD CART]],[1]!MatrizCortoLargoCyl[#All],3,0),"")</f>
        <v/>
      </c>
      <c r="F1349" t="inlineStr">
        <is>
          <t>AAPL</t>
        </is>
      </c>
      <c r="G1349" t="n">
        <v>3</v>
      </c>
      <c r="H1349" t="n">
        <v>-492.16326</v>
      </c>
      <c r="I1349">
        <f>-H2681/G2681</f>
        <v/>
      </c>
      <c r="J1349" s="16" t="n">
        <v>44600</v>
      </c>
      <c r="K1349" t="n">
        <v>3</v>
      </c>
      <c r="L1349">
        <f>172*3</f>
        <v/>
      </c>
    </row>
    <row r="1350">
      <c r="A1350" t="n">
        <v>3818</v>
      </c>
      <c r="B1350" s="16" t="n">
        <v>44587</v>
      </c>
      <c r="C1350" t="inlineStr">
        <is>
          <t>VTA</t>
        </is>
      </c>
      <c r="D1350" t="n">
        <v>40</v>
      </c>
      <c r="E1350">
        <f>IF(D1965&gt;0,VLOOKUP(OPERAC[[#This Row],[COD CART]],[1]!MatrizCortoLargoCyl[#All],3,0),"")</f>
        <v/>
      </c>
      <c r="F1350" t="inlineStr">
        <is>
          <t>MSFT</t>
        </is>
      </c>
      <c r="G1350" t="n">
        <v>1</v>
      </c>
      <c r="H1350" t="n">
        <v>-303.41126</v>
      </c>
      <c r="I1350">
        <f>-H1965/G1965</f>
        <v/>
      </c>
      <c r="J1350" s="16" t="n">
        <v>44600</v>
      </c>
      <c r="K1350" t="n">
        <v>1</v>
      </c>
      <c r="L1350" t="n">
        <v>303</v>
      </c>
    </row>
    <row r="1351">
      <c r="A1351" t="n">
        <v>3818</v>
      </c>
      <c r="B1351" s="16" t="n">
        <v>44588</v>
      </c>
      <c r="C1351" t="inlineStr">
        <is>
          <t>VTA</t>
        </is>
      </c>
      <c r="D1351" t="n">
        <v>39</v>
      </c>
      <c r="E1351">
        <f>IF(D234&gt;0,VLOOKUP(OPERAC[[#This Row],[COD CART]],[1]!MatrizCortoLargoCyl[#All],3,0),"")</f>
        <v/>
      </c>
      <c r="F1351" t="inlineStr">
        <is>
          <t>ROKU/V/150,00/04-02-22</t>
        </is>
      </c>
      <c r="G1351" t="n">
        <v>-200</v>
      </c>
      <c r="H1351" t="n">
        <v>1899.875</v>
      </c>
      <c r="I1351">
        <f>-H234/G234</f>
        <v/>
      </c>
      <c r="J1351" s="16" t="n">
        <v>44595</v>
      </c>
      <c r="K1351" t="n">
        <v>-200</v>
      </c>
      <c r="L1351" t="n">
        <v>-1170.08</v>
      </c>
    </row>
    <row r="1352">
      <c r="A1352" t="n">
        <v>3818</v>
      </c>
      <c r="B1352" s="16" t="n">
        <v>44594</v>
      </c>
      <c r="C1352" t="inlineStr">
        <is>
          <t>VTA</t>
        </is>
      </c>
      <c r="D1352" t="n">
        <v>40</v>
      </c>
      <c r="E1352">
        <f>IF(D2321&gt;0,VLOOKUP(OPERAC[[#This Row],[COD CART]],[1]!MatrizCortoLargoCyl[#All],3,0),"")</f>
        <v/>
      </c>
      <c r="F1352" t="inlineStr">
        <is>
          <t>EDU</t>
        </is>
      </c>
      <c r="G1352" t="n">
        <v>200</v>
      </c>
      <c r="H1352" t="n">
        <v>-403.2</v>
      </c>
      <c r="I1352">
        <f>-H2321/G2321</f>
        <v/>
      </c>
      <c r="J1352" s="16" t="n">
        <v>44600</v>
      </c>
      <c r="K1352" t="n">
        <v>200</v>
      </c>
      <c r="L1352" t="n">
        <v>1.6</v>
      </c>
    </row>
    <row r="1353">
      <c r="A1353" t="n">
        <v>3818</v>
      </c>
      <c r="B1353" s="16" t="n">
        <v>44595</v>
      </c>
      <c r="C1353" t="inlineStr">
        <is>
          <t>VTA</t>
        </is>
      </c>
      <c r="D1353" t="n">
        <v>39</v>
      </c>
      <c r="E1353">
        <f>IF(D558&gt;0,VLOOKUP(OPERAC[[#This Row],[COD CART]],[1]!MatrizCortoLargoCyl[#All],3,0),"")</f>
        <v/>
      </c>
      <c r="F1353" t="inlineStr">
        <is>
          <t>ROKU/V/145,00/11-02-22</t>
        </is>
      </c>
      <c r="G1353" t="n">
        <v>-100</v>
      </c>
      <c r="H1353" t="n">
        <v>743.593</v>
      </c>
      <c r="I1353">
        <f>-H558/G558</f>
        <v/>
      </c>
      <c r="J1353" s="16" t="n">
        <v>44603</v>
      </c>
      <c r="K1353" t="n">
        <v>-100</v>
      </c>
      <c r="L1353" t="n">
        <v>0</v>
      </c>
    </row>
    <row r="1354">
      <c r="A1354" t="n">
        <v>3820</v>
      </c>
      <c r="B1354" s="16" t="n">
        <v>44309</v>
      </c>
      <c r="C1354" t="inlineStr">
        <is>
          <t>VTA</t>
        </is>
      </c>
      <c r="D1354" t="n">
        <v>41</v>
      </c>
      <c r="E1354">
        <f>IF(D2334&gt;0,VLOOKUP(OPERAC[[#This Row],[COD CART]],[1]!MatrizCortoLargoCyl[#All],3,0),"")</f>
        <v/>
      </c>
      <c r="F1354" t="inlineStr">
        <is>
          <t>GBTC</t>
        </is>
      </c>
      <c r="G1354" t="n">
        <v>10</v>
      </c>
      <c r="H1354" t="n">
        <v>-406.6</v>
      </c>
      <c r="I1354">
        <f>-H2334/G2334</f>
        <v/>
      </c>
    </row>
    <row r="1355">
      <c r="A1355" t="n">
        <v>3820</v>
      </c>
      <c r="B1355" s="16" t="n">
        <v>44335</v>
      </c>
      <c r="C1355" t="inlineStr">
        <is>
          <t>VTA</t>
        </is>
      </c>
      <c r="D1355" t="n">
        <v>41</v>
      </c>
      <c r="E1355">
        <f>IF(D2065&gt;0,VLOOKUP(OPERAC[[#This Row],[COD CART]],[1]!MatrizCortoLargoCyl[#All],3,0),"")</f>
        <v/>
      </c>
      <c r="F1355" t="inlineStr">
        <is>
          <t>GBTC</t>
        </is>
      </c>
      <c r="G1355" t="n">
        <v>10</v>
      </c>
      <c r="H1355" t="n">
        <v>-326.42</v>
      </c>
      <c r="I1355">
        <f>-H2065/G2065</f>
        <v/>
      </c>
    </row>
    <row r="1356">
      <c r="A1356" t="n">
        <v>3820</v>
      </c>
      <c r="B1356" s="16" t="n">
        <v>44489</v>
      </c>
      <c r="C1356" t="inlineStr">
        <is>
          <t>VTA</t>
        </is>
      </c>
      <c r="D1356" t="n">
        <v>43</v>
      </c>
      <c r="E1356">
        <f>IF(D1513&gt;0,VLOOKUP(OPERAC[[#This Row],[COD CART]],[1]!MatrizCortoLargoCyl[#All],3,0),"")</f>
        <v/>
      </c>
      <c r="F1356" t="inlineStr">
        <is>
          <t>SESN/CYL-PUT/1,00/19-01-24</t>
        </is>
      </c>
      <c r="G1356" t="n">
        <v>1000</v>
      </c>
      <c r="H1356">
        <f>-0.1885*OPERAC[[#This Row],[cantidad]]</f>
        <v/>
      </c>
      <c r="I1356">
        <f>-H1513/G1513</f>
        <v/>
      </c>
    </row>
    <row r="1357">
      <c r="A1357" t="n">
        <v>3820</v>
      </c>
      <c r="B1357" s="16" t="n">
        <v>44495</v>
      </c>
      <c r="C1357" t="inlineStr">
        <is>
          <t>VTA</t>
        </is>
      </c>
      <c r="D1357" t="n">
        <v>39</v>
      </c>
      <c r="E1357">
        <f>IF(D759&gt;0,VLOOKUP(OPERAC[[#This Row],[COD CART]],[1]!MatrizCortoLargoCyl[#All],3,0),"")</f>
        <v/>
      </c>
      <c r="F1357" t="inlineStr">
        <is>
          <t>TLRY/V/11,00/21-01-22</t>
        </is>
      </c>
      <c r="G1357" t="n">
        <v>-200</v>
      </c>
      <c r="H1357" t="n">
        <v>345.24</v>
      </c>
      <c r="I1357">
        <f>-H759/G759</f>
        <v/>
      </c>
      <c r="J1357" s="16" t="n">
        <v>44571</v>
      </c>
      <c r="K1357">
        <f>+OPERAC[[#This Row],[cantidad]]</f>
        <v/>
      </c>
      <c r="L1357">
        <f>-OPERAC[[#This Row],[importe]]</f>
        <v/>
      </c>
    </row>
    <row r="1358">
      <c r="A1358" t="n">
        <v>3820</v>
      </c>
      <c r="B1358" s="16" t="n">
        <v>44523</v>
      </c>
      <c r="C1358" t="inlineStr">
        <is>
          <t>VTA</t>
        </is>
      </c>
      <c r="D1358" t="n">
        <v>32</v>
      </c>
      <c r="E1358">
        <f>IF(D2348&gt;0,VLOOKUP(OPERAC[[#This Row],[COD CART]],[1]!MatrizCortoLargoCyl[#All],3,0),"")</f>
        <v/>
      </c>
      <c r="F1358" t="inlineStr">
        <is>
          <t>GMBL/CYL/5,00/18-02-22</t>
        </is>
      </c>
      <c r="G1358" t="n">
        <v>100</v>
      </c>
      <c r="H1358" t="n">
        <v>-411.931</v>
      </c>
      <c r="I1358">
        <f>-H2348/G2348</f>
        <v/>
      </c>
      <c r="J1358" s="16" t="n">
        <v>44595</v>
      </c>
      <c r="K1358" t="n">
        <v>100</v>
      </c>
      <c r="L1358" t="n">
        <v>271.79</v>
      </c>
    </row>
    <row r="1359">
      <c r="A1359" t="n">
        <v>3820</v>
      </c>
      <c r="B1359" s="16" t="n">
        <v>44532</v>
      </c>
      <c r="C1359" t="inlineStr">
        <is>
          <t>VTA</t>
        </is>
      </c>
      <c r="D1359" t="n">
        <v>32</v>
      </c>
      <c r="E1359">
        <f>IF(D3922&gt;0,VLOOKUP(OPERAC[[#This Row],[COD CART]],[1]!MatrizCortoLargoCyl[#All],3,0),"")</f>
        <v/>
      </c>
      <c r="F1359" t="inlineStr">
        <is>
          <t>COTY/CYL/10,00/18-02-22</t>
        </is>
      </c>
      <c r="G1359" t="n">
        <v>100</v>
      </c>
      <c r="H1359">
        <f>-901.599+20.838</f>
        <v/>
      </c>
      <c r="I1359">
        <f>-H3922/G3922</f>
        <v/>
      </c>
      <c r="J1359" s="16" t="n">
        <v>44608</v>
      </c>
      <c r="K1359">
        <f>+OPERAC[[#This Row],[cantidad]]</f>
        <v/>
      </c>
      <c r="L1359" t="n">
        <v>941.701</v>
      </c>
    </row>
    <row r="1360">
      <c r="A1360" t="n">
        <v>3820</v>
      </c>
      <c r="B1360" s="16" t="n">
        <v>44537</v>
      </c>
      <c r="C1360" t="inlineStr">
        <is>
          <t>VTA</t>
        </is>
      </c>
      <c r="D1360" t="n">
        <v>43</v>
      </c>
      <c r="E1360">
        <f>IF(D1827&gt;0,VLOOKUP(OPERAC[[#This Row],[COD CART]],[1]!MatrizCortoLargoCyl[#All],3,0),"")</f>
        <v/>
      </c>
      <c r="F1360" t="inlineStr">
        <is>
          <t>HEXO/CYL-PUT/1,00/20-01-23</t>
        </is>
      </c>
      <c r="G1360" t="n">
        <v>1500</v>
      </c>
      <c r="H1360">
        <f>-0.18*OPERAC[[#This Row],[cantidad]]</f>
        <v/>
      </c>
      <c r="I1360">
        <f>-H1827/G1827</f>
        <v/>
      </c>
      <c r="J1360" s="16" t="n">
        <v>44636</v>
      </c>
      <c r="K1360">
        <f>1000+500</f>
        <v/>
      </c>
      <c r="L1360">
        <f>-307.87+125.479-25.16</f>
        <v/>
      </c>
    </row>
    <row r="1361">
      <c r="A1361" t="n">
        <v>3820</v>
      </c>
      <c r="B1361" s="16" t="n">
        <v>44539</v>
      </c>
      <c r="C1361" t="inlineStr">
        <is>
          <t>VTA</t>
        </is>
      </c>
      <c r="D1361" t="n">
        <v>40</v>
      </c>
      <c r="E1361">
        <f>IF(D1760&gt;0,VLOOKUP(OPERAC[[#This Row],[COD CART]],[1]!MatrizCortoLargoCyl[#All],3,0),"")</f>
        <v/>
      </c>
      <c r="F1361" t="inlineStr">
        <is>
          <t>ROKU</t>
        </is>
      </c>
      <c r="G1361" t="n">
        <v>1</v>
      </c>
      <c r="H1361" t="n">
        <v>-257.72036</v>
      </c>
      <c r="I1361">
        <f>-H1760/G1760</f>
        <v/>
      </c>
      <c r="J1361" s="16" t="n">
        <v>44606</v>
      </c>
      <c r="K1361">
        <f>+OPERAC[[#This Row],[cantidad]]</f>
        <v/>
      </c>
      <c r="L1361">
        <f>+OPERAC[[#This Row],[cantidad venta]]*160.574</f>
        <v/>
      </c>
    </row>
    <row r="1362">
      <c r="A1362" t="n">
        <v>3820</v>
      </c>
      <c r="B1362" s="16" t="n">
        <v>44571</v>
      </c>
      <c r="C1362" t="inlineStr">
        <is>
          <t>VTA</t>
        </is>
      </c>
      <c r="D1362" t="n">
        <v>39</v>
      </c>
      <c r="E1362">
        <f>IF(D298&gt;0,VLOOKUP(OPERAC[[#This Row],[COD CART]],[1]!MatrizCortoLargoCyl[#All],3,0),"")</f>
        <v/>
      </c>
      <c r="F1362" t="inlineStr">
        <is>
          <t>ROKU/V/165,00/14-01-22</t>
        </is>
      </c>
      <c r="G1362" t="n">
        <v>-500</v>
      </c>
      <c r="H1362" t="n">
        <v>1560.4267</v>
      </c>
      <c r="I1362">
        <f>-H298/G298</f>
        <v/>
      </c>
      <c r="J1362" s="16" t="n">
        <v>44573</v>
      </c>
      <c r="K1362" t="n">
        <v>-500</v>
      </c>
      <c r="L1362" t="n">
        <v>-295.82</v>
      </c>
    </row>
    <row r="1363">
      <c r="A1363" t="n">
        <v>3820</v>
      </c>
      <c r="B1363" s="16" t="n">
        <v>44573</v>
      </c>
      <c r="C1363" t="inlineStr">
        <is>
          <t>VTA</t>
        </is>
      </c>
      <c r="D1363" t="n">
        <v>39</v>
      </c>
      <c r="E1363">
        <f>IF(D762&gt;0,VLOOKUP(OPERAC[[#This Row],[COD CART]],[1]!MatrizCortoLargoCyl[#All],3,0),"")</f>
        <v/>
      </c>
      <c r="F1363" t="inlineStr">
        <is>
          <t>ROKU/V/170,00/21-01-22</t>
        </is>
      </c>
      <c r="G1363" t="n">
        <v>-100</v>
      </c>
      <c r="H1363" t="n">
        <v>326.96</v>
      </c>
      <c r="I1363">
        <f>-H762/G762</f>
        <v/>
      </c>
      <c r="J1363" s="16" t="n">
        <v>44582</v>
      </c>
      <c r="K1363" t="n">
        <v>-100</v>
      </c>
      <c r="L1363">
        <f>-OPERAC[[#This Row],[importe]]</f>
        <v/>
      </c>
    </row>
    <row r="1364">
      <c r="A1364" t="n">
        <v>3820</v>
      </c>
      <c r="B1364" s="16" t="n">
        <v>44582</v>
      </c>
      <c r="C1364" t="inlineStr">
        <is>
          <t>VTA</t>
        </is>
      </c>
      <c r="D1364" t="n">
        <v>39</v>
      </c>
      <c r="E1364">
        <f>IF(D204&gt;0,VLOOKUP(OPERAC[[#This Row],[COD CART]],[1]!MatrizCortoLargoCyl[#All],3,0),"")</f>
        <v/>
      </c>
      <c r="F1364" t="inlineStr">
        <is>
          <t>ROKU/V/160,00/28-01-22</t>
        </is>
      </c>
      <c r="G1364" t="n">
        <v>-200</v>
      </c>
      <c r="H1364" t="n">
        <v>2112.7576</v>
      </c>
      <c r="I1364">
        <f>-H204/G204</f>
        <v/>
      </c>
      <c r="J1364" s="16" t="n">
        <v>44587</v>
      </c>
      <c r="K1364">
        <f>+OPERAC[[#This Row],[cantidad]]</f>
        <v/>
      </c>
      <c r="L1364">
        <f>-OPERAC[[#This Row],[importe]]</f>
        <v/>
      </c>
    </row>
    <row r="1365">
      <c r="A1365" t="n">
        <v>3820</v>
      </c>
      <c r="B1365" s="16" t="n">
        <v>44587</v>
      </c>
      <c r="C1365" t="inlineStr">
        <is>
          <t>VTA</t>
        </is>
      </c>
      <c r="D1365" t="n">
        <v>39</v>
      </c>
      <c r="E1365">
        <f>IF(D290&gt;0,VLOOKUP(OPERAC[[#This Row],[COD CART]],[1]!MatrizCortoLargoCyl[#All],3,0),"")</f>
        <v/>
      </c>
      <c r="F1365" t="inlineStr">
        <is>
          <t>ROKU/V/155,00/04-02-22</t>
        </is>
      </c>
      <c r="G1365" t="n">
        <v>-200</v>
      </c>
      <c r="H1365" t="n">
        <v>1587.992</v>
      </c>
      <c r="I1365">
        <f>-H290/G290</f>
        <v/>
      </c>
      <c r="J1365" s="16" t="n">
        <v>44592</v>
      </c>
      <c r="K1365">
        <f>+OPERAC[[#This Row],[cantidad]]</f>
        <v/>
      </c>
      <c r="L1365" t="n">
        <v>-716.4627999999999</v>
      </c>
    </row>
    <row r="1366">
      <c r="A1366" t="n">
        <v>3820</v>
      </c>
      <c r="B1366" s="16" t="n">
        <v>44587</v>
      </c>
      <c r="C1366" t="inlineStr">
        <is>
          <t>VTA</t>
        </is>
      </c>
      <c r="D1366" t="n">
        <v>40</v>
      </c>
      <c r="E1366">
        <f>IF(D1966&gt;0,VLOOKUP(OPERAC[[#This Row],[COD CART]],[1]!MatrizCortoLargoCyl[#All],3,0),"")</f>
        <v/>
      </c>
      <c r="F1366" t="inlineStr">
        <is>
          <t>MSFT</t>
        </is>
      </c>
      <c r="G1366" t="n">
        <v>1</v>
      </c>
      <c r="H1366" t="n">
        <v>-303.41126</v>
      </c>
      <c r="I1366">
        <f>-H1966/G1966</f>
        <v/>
      </c>
      <c r="J1366" s="16" t="n">
        <v>44606</v>
      </c>
      <c r="K1366">
        <f>+OPERAC[[#This Row],[cantidad]]</f>
        <v/>
      </c>
      <c r="L1366">
        <f>+OPERAC[[#This Row],[cantidad venta]]*290.091</f>
        <v/>
      </c>
    </row>
    <row r="1367">
      <c r="A1367" t="n">
        <v>3820</v>
      </c>
      <c r="B1367" s="16" t="n">
        <v>44592</v>
      </c>
      <c r="C1367" t="inlineStr">
        <is>
          <t>VTA</t>
        </is>
      </c>
      <c r="D1367" t="n">
        <v>39</v>
      </c>
      <c r="E1367">
        <f>IF(D486&gt;0,VLOOKUP(OPERAC[[#This Row],[COD CART]],[1]!MatrizCortoLargoCyl[#All],3,0),"")</f>
        <v/>
      </c>
      <c r="F1367" t="inlineStr">
        <is>
          <t>ROKU/V/150,00/11-02-22</t>
        </is>
      </c>
      <c r="G1367" t="n">
        <v>-200</v>
      </c>
      <c r="H1367" t="n">
        <v>951.528</v>
      </c>
      <c r="I1367">
        <f>-H486/G486</f>
        <v/>
      </c>
      <c r="J1367" s="16" t="n">
        <v>44601</v>
      </c>
      <c r="K1367">
        <f>+OPERAC[[#This Row],[cantidad]]</f>
        <v/>
      </c>
      <c r="L1367">
        <f>0.67*OPERAC[[#This Row],[cantidad venta]]</f>
        <v/>
      </c>
    </row>
    <row r="1368">
      <c r="A1368" t="n">
        <v>3820</v>
      </c>
      <c r="B1368" s="16" t="n">
        <v>44608</v>
      </c>
      <c r="C1368" t="inlineStr">
        <is>
          <t>VTA</t>
        </is>
      </c>
      <c r="D1368" t="n">
        <v>40</v>
      </c>
      <c r="E1368">
        <f>IF(D2837&gt;0,VLOOKUP(OPERAC[[#This Row],[COD CART]],[1]!MatrizCortoLargoCyl[#All],3,0),"")</f>
        <v/>
      </c>
      <c r="F1368" t="inlineStr">
        <is>
          <t>NVDA</t>
        </is>
      </c>
      <c r="G1368" t="n">
        <v>2</v>
      </c>
      <c r="H1368" t="n">
        <v>-527.0279999999999</v>
      </c>
      <c r="I1368">
        <f>-H2837/G2837</f>
        <v/>
      </c>
      <c r="J1368" s="16" t="n">
        <v>44616</v>
      </c>
      <c r="K1368">
        <f>+OPERAC[[#This Row],[cantidad]]</f>
        <v/>
      </c>
      <c r="L1368">
        <f>+OPERAC[[#This Row],[cantidad venta]]*224.117</f>
        <v/>
      </c>
    </row>
    <row r="1369">
      <c r="A1369" t="n">
        <v>3820</v>
      </c>
      <c r="B1369" s="16" t="n">
        <v>44616</v>
      </c>
      <c r="C1369" t="inlineStr">
        <is>
          <t>CPR</t>
        </is>
      </c>
      <c r="D1369" t="n">
        <v>32</v>
      </c>
      <c r="E1369">
        <f>IF(D3650&gt;0,VLOOKUP(OPERAC[[#This Row],[COD CART]],[1]!MatrizCortoLargoCyl[#All],3,0),"")</f>
        <v/>
      </c>
      <c r="F1369" t="inlineStr">
        <is>
          <t>COTY/CYL/8,50/18-03-22</t>
        </is>
      </c>
      <c r="G1369" t="n">
        <v>100</v>
      </c>
      <c r="H1369" t="n">
        <v>-807.1405999999999</v>
      </c>
      <c r="I1369">
        <f>-H3650/G3650</f>
        <v/>
      </c>
      <c r="J1369" s="16" t="n">
        <v>44636</v>
      </c>
      <c r="K1369" t="n">
        <v>100</v>
      </c>
      <c r="L1369" t="n">
        <v>837.58</v>
      </c>
    </row>
    <row r="1370">
      <c r="A1370" t="n">
        <v>3820</v>
      </c>
      <c r="B1370" s="16" t="n">
        <v>44616</v>
      </c>
      <c r="C1370" t="inlineStr">
        <is>
          <t>VTA</t>
        </is>
      </c>
      <c r="D1370" t="n">
        <v>32</v>
      </c>
      <c r="E1370">
        <f>IF(D2256&gt;0,VLOOKUP(OPERAC[[#This Row],[COD CART]],[1]!MatrizCortoLargoCyl[#All],3,0),"")</f>
        <v/>
      </c>
      <c r="F1370" t="inlineStr">
        <is>
          <t>HMY/CYL/4,00/18-03-22</t>
        </is>
      </c>
      <c r="G1370" t="n">
        <v>100</v>
      </c>
      <c r="H1370" t="n">
        <v>-383.705</v>
      </c>
      <c r="I1370">
        <f>-H2256/G2256</f>
        <v/>
      </c>
      <c r="J1370" s="16" t="n">
        <v>44622</v>
      </c>
      <c r="K1370" t="n">
        <v>100</v>
      </c>
      <c r="L1370" t="n">
        <v>393.95</v>
      </c>
    </row>
    <row r="1371">
      <c r="A1371" t="n">
        <v>3820</v>
      </c>
      <c r="B1371" s="16" t="n">
        <v>44622</v>
      </c>
      <c r="C1371" t="inlineStr">
        <is>
          <t>VTA</t>
        </is>
      </c>
      <c r="D1371" t="n">
        <v>32</v>
      </c>
      <c r="E1371">
        <f>IF(D2565&gt;0,VLOOKUP(OPERAC[[#This Row],[COD CART]],[1]!MatrizCortoLargoCyl[#All],3,0),"")</f>
        <v/>
      </c>
      <c r="F1371" t="inlineStr">
        <is>
          <t>HMY/CYL/5,00/18-03-22</t>
        </is>
      </c>
      <c r="G1371" t="n">
        <v>100</v>
      </c>
      <c r="H1371" t="n">
        <v>-467.524</v>
      </c>
      <c r="I1371">
        <f>-H2565/G2565</f>
        <v/>
      </c>
      <c r="J1371" s="16" t="n">
        <v>44637</v>
      </c>
      <c r="K1371">
        <f>+OPERAC[[#This Row],[cantidad]]</f>
        <v/>
      </c>
      <c r="L1371">
        <f>4.85553*OPERAC[[#This Row],[cantidad venta]]</f>
        <v/>
      </c>
    </row>
    <row r="1372">
      <c r="A1372" t="n">
        <v>3820</v>
      </c>
      <c r="B1372" s="16" t="n">
        <v>44634</v>
      </c>
      <c r="C1372" t="inlineStr">
        <is>
          <t>VTA</t>
        </is>
      </c>
      <c r="D1372" t="n">
        <v>42</v>
      </c>
      <c r="E1372">
        <f>IF(D2074&gt;0,VLOOKUP(OPERAC[[#This Row],[COD CART]],[1]!MatrizCortoLargoCyl[#All],3,0),"")</f>
        <v/>
      </c>
      <c r="F1372" t="inlineStr">
        <is>
          <t>INO</t>
        </is>
      </c>
      <c r="G1372" t="n">
        <v>100</v>
      </c>
      <c r="H1372" t="n">
        <v>-331.4237</v>
      </c>
      <c r="I1372">
        <f>-H2074/G2074</f>
        <v/>
      </c>
      <c r="J1372" s="16" t="n">
        <v>44634</v>
      </c>
      <c r="K1372" t="n">
        <v>100</v>
      </c>
      <c r="L1372" t="n">
        <v>298.8855</v>
      </c>
    </row>
    <row r="1373">
      <c r="A1373" t="n">
        <v>3820</v>
      </c>
      <c r="B1373" s="16" t="n">
        <v>44636</v>
      </c>
      <c r="C1373" t="inlineStr">
        <is>
          <t>VTA</t>
        </is>
      </c>
      <c r="D1373" t="n">
        <v>43</v>
      </c>
      <c r="E1373">
        <f>IF(D1705&gt;0,VLOOKUP(OPERAC[[#This Row],[COD CART]],[1]!MatrizCortoLargoCyl[#All],3,0),"")</f>
        <v/>
      </c>
      <c r="F1373" t="inlineStr">
        <is>
          <t>GMBL/CYL-PUT/1,00/20-01-23</t>
        </is>
      </c>
      <c r="G1373" t="n">
        <v>1500</v>
      </c>
      <c r="H1373" t="n">
        <v>-245.0829749999998</v>
      </c>
      <c r="I1373">
        <f>-H1705/G1705</f>
        <v/>
      </c>
      <c r="J1373" s="16" t="n">
        <v>44706</v>
      </c>
      <c r="K1373" t="n">
        <v>500</v>
      </c>
      <c r="L1373" t="n">
        <v>121.252</v>
      </c>
    </row>
    <row r="1374">
      <c r="A1374" t="n">
        <v>3820</v>
      </c>
      <c r="B1374" s="16" t="n">
        <v>44641</v>
      </c>
      <c r="C1374" t="inlineStr">
        <is>
          <t>VTA</t>
        </is>
      </c>
      <c r="D1374" t="n">
        <v>42</v>
      </c>
      <c r="E1374">
        <f>IF(D2366&gt;0,VLOOKUP(OPERAC[[#This Row],[COD CART]],[1]!MatrizCortoLargoCyl[#All],3,0),"")</f>
        <v/>
      </c>
      <c r="F1374" t="inlineStr">
        <is>
          <t>JPM</t>
        </is>
      </c>
      <c r="G1374" t="n">
        <v>3</v>
      </c>
      <c r="H1374" t="n">
        <v>-420.5270400000001</v>
      </c>
      <c r="I1374">
        <f>-H2366/G2366</f>
        <v/>
      </c>
      <c r="J1374" s="16" t="n">
        <v>44664</v>
      </c>
      <c r="K1374">
        <f>+OPERAC[[#This Row],[cantidad]]</f>
        <v/>
      </c>
      <c r="L1374">
        <f>+OPERAC[[#This Row],[cantidad venta]]*125.943</f>
        <v/>
      </c>
    </row>
    <row r="1375">
      <c r="A1375" t="n">
        <v>3820</v>
      </c>
      <c r="B1375" s="16" t="n">
        <v>44641</v>
      </c>
      <c r="C1375" t="inlineStr">
        <is>
          <t>VTA</t>
        </is>
      </c>
      <c r="D1375" t="n">
        <v>42</v>
      </c>
      <c r="E1375">
        <f>IF(D2400&gt;0,VLOOKUP(OPERAC[[#This Row],[COD CART]],[1]!MatrizCortoLargoCyl[#All],3,0),"")</f>
        <v/>
      </c>
      <c r="F1375" t="inlineStr">
        <is>
          <t>FB</t>
        </is>
      </c>
      <c r="G1375" t="n">
        <v>2</v>
      </c>
      <c r="H1375" t="n">
        <v>-423.47092</v>
      </c>
      <c r="I1375">
        <f>-H2400/G2400</f>
        <v/>
      </c>
      <c r="J1375" s="16" t="n">
        <v>44671</v>
      </c>
      <c r="K1375">
        <f>+OPERAC[[#This Row],[cantidad]]</f>
        <v/>
      </c>
      <c r="L1375">
        <f>+OPERAC[[#This Row],[cantidad venta]]*213.173</f>
        <v/>
      </c>
    </row>
    <row r="1376">
      <c r="A1376" t="n">
        <v>3820</v>
      </c>
      <c r="B1376" s="16" t="n">
        <v>44641</v>
      </c>
      <c r="C1376" t="inlineStr">
        <is>
          <t>VTA</t>
        </is>
      </c>
      <c r="D1376" t="n">
        <v>42</v>
      </c>
      <c r="E1376">
        <f>IF(D2863&gt;0,VLOOKUP(OPERAC[[#This Row],[COD CART]],[1]!MatrizCortoLargoCyl[#All],3,0),"")</f>
        <v/>
      </c>
      <c r="F1376" t="inlineStr">
        <is>
          <t>SMH</t>
        </is>
      </c>
      <c r="G1376" t="n">
        <v>2</v>
      </c>
      <c r="H1376" t="n">
        <v>-536.8481</v>
      </c>
      <c r="I1376">
        <f>-H2863/G2863</f>
        <v/>
      </c>
      <c r="J1376" s="16" t="n">
        <v>44663</v>
      </c>
      <c r="K1376">
        <f>+OPERAC[[#This Row],[cantidad]]</f>
        <v/>
      </c>
      <c r="L1376">
        <f>+OPERAC[[#This Row],[cantidad venta]]*238.066</f>
        <v/>
      </c>
    </row>
    <row r="1377">
      <c r="A1377" t="n">
        <v>3820</v>
      </c>
      <c r="B1377" s="16" t="n">
        <v>44662</v>
      </c>
      <c r="C1377" t="inlineStr">
        <is>
          <t>VTA</t>
        </is>
      </c>
      <c r="D1377" t="n">
        <v>42</v>
      </c>
      <c r="E1377">
        <f>IF(D1842&gt;0,VLOOKUP(OPERAC[[#This Row],[COD CART]],[1]!MatrizCortoLargoCyl[#All],3,0),"")</f>
        <v/>
      </c>
      <c r="F1377" t="inlineStr">
        <is>
          <t>HYDR</t>
        </is>
      </c>
      <c r="G1377" t="n">
        <v>15</v>
      </c>
      <c r="H1377" t="n">
        <v>-278.00262</v>
      </c>
      <c r="I1377">
        <f>-H1842/G1842</f>
        <v/>
      </c>
      <c r="J1377" s="16" t="n">
        <v>44693</v>
      </c>
      <c r="K1377">
        <f>+OPERAC[[#This Row],[cantidad]]</f>
        <v/>
      </c>
      <c r="L1377">
        <f>+OPERAC[[#This Row],[cantidad venta]]*12.027</f>
        <v/>
      </c>
    </row>
    <row r="1378">
      <c r="A1378" t="n">
        <v>3820</v>
      </c>
      <c r="B1378" s="16" t="n">
        <v>44664</v>
      </c>
      <c r="C1378" t="inlineStr">
        <is>
          <t>VTA</t>
        </is>
      </c>
      <c r="D1378" t="n">
        <v>42</v>
      </c>
      <c r="E1378">
        <f>IF(D1718&gt;0,VLOOKUP(OPERAC[[#This Row],[COD CART]],[1]!MatrizCortoLargoCyl[#All],3,0),"")</f>
        <v/>
      </c>
      <c r="F1378" t="inlineStr">
        <is>
          <t>PSQ</t>
        </is>
      </c>
      <c r="G1378" t="n">
        <v>20</v>
      </c>
      <c r="H1378" t="n">
        <v>-248.15833218</v>
      </c>
      <c r="I1378">
        <f>-H1718/G1718</f>
        <v/>
      </c>
      <c r="J1378" s="16" t="n">
        <v>44680</v>
      </c>
      <c r="K1378">
        <f>+OPERAC[[#This Row],[cantidad]]</f>
        <v/>
      </c>
      <c r="L1378">
        <f>12.848*OPERAC[[#This Row],[cantidad venta]]</f>
        <v/>
      </c>
    </row>
    <row r="1379">
      <c r="A1379" t="n">
        <v>3820</v>
      </c>
      <c r="B1379" s="16" t="n">
        <v>44671</v>
      </c>
      <c r="C1379" t="inlineStr">
        <is>
          <t>CPR</t>
        </is>
      </c>
      <c r="D1379" t="n">
        <v>42</v>
      </c>
      <c r="E1379">
        <f>IF(D2731&gt;0,VLOOKUP(OPERAC[[#This Row],[COD CART]],[1]!MatrizCortoLargoCyl[#All],3,0),"")</f>
        <v/>
      </c>
      <c r="F1379" t="inlineStr">
        <is>
          <t>NFLX</t>
        </is>
      </c>
      <c r="G1379" t="n">
        <v>2</v>
      </c>
      <c r="H1379" t="n">
        <v>-508.00068</v>
      </c>
      <c r="I1379">
        <f>-H2731/G2731</f>
        <v/>
      </c>
      <c r="J1379" s="16" t="n">
        <v>44693</v>
      </c>
      <c r="K1379">
        <f>+OPERAC[[#This Row],[cantidad]]</f>
        <v/>
      </c>
      <c r="L1379">
        <f>+OPERAC[[#This Row],[cantidad venta]]*169.079</f>
        <v/>
      </c>
    </row>
    <row r="1380">
      <c r="A1380" t="n">
        <v>3820</v>
      </c>
      <c r="B1380" s="16" t="n">
        <v>44680</v>
      </c>
      <c r="C1380" t="inlineStr">
        <is>
          <t>VTA</t>
        </is>
      </c>
      <c r="D1380" t="n">
        <v>42</v>
      </c>
      <c r="E1380">
        <f>IF(D1678&gt;0,VLOOKUP(OPERAC[[#This Row],[COD CART]],[1]!MatrizCortoLargoCyl[#All],3,0),"")</f>
        <v/>
      </c>
      <c r="F1380" t="inlineStr">
        <is>
          <t>XLP</t>
        </is>
      </c>
      <c r="G1380" t="n">
        <v>3</v>
      </c>
      <c r="H1380" t="n">
        <v>-237.8309175</v>
      </c>
      <c r="I1380">
        <f>-H1678/G1678</f>
        <v/>
      </c>
      <c r="J1380" s="16" t="n">
        <v>44693</v>
      </c>
      <c r="K1380">
        <f>+OPERAC[[#This Row],[cantidad]]</f>
        <v/>
      </c>
      <c r="L1380">
        <f>+OPERAC[[#This Row],[cantidad venta]]*75.648</f>
        <v/>
      </c>
    </row>
    <row r="1381">
      <c r="A1381" t="n">
        <v>3820</v>
      </c>
      <c r="B1381" s="16" t="n">
        <v>44708</v>
      </c>
      <c r="C1381" t="inlineStr">
        <is>
          <t>CPR</t>
        </is>
      </c>
      <c r="D1381" t="n">
        <v>42</v>
      </c>
      <c r="E1381">
        <f>IF(D3976&gt;0,VLOOKUP(OPERAC[[#This Row],[COD CART]],[1]!MatrizCortoLargoCyl[#All],3,0),"")</f>
        <v/>
      </c>
      <c r="F1381" t="inlineStr">
        <is>
          <t>ACB</t>
        </is>
      </c>
      <c r="G1381" t="n">
        <v>500</v>
      </c>
      <c r="H1381" t="n">
        <v>-910.8504580725</v>
      </c>
      <c r="I1381">
        <f>-H3976/G3976</f>
        <v/>
      </c>
      <c r="J1381" s="16" t="n">
        <v>44726</v>
      </c>
      <c r="K1381" t="n">
        <v>500</v>
      </c>
      <c r="L1381" t="n">
        <v>613.49</v>
      </c>
    </row>
    <row r="1382">
      <c r="A1382" t="n">
        <v>3820</v>
      </c>
      <c r="B1382" s="16" t="n">
        <v>44712</v>
      </c>
      <c r="C1382" t="inlineStr">
        <is>
          <t>CPR</t>
        </is>
      </c>
      <c r="D1382" t="n">
        <v>32</v>
      </c>
      <c r="E1382">
        <f>IF(D3324&gt;0,VLOOKUP(OPERAC[[#This Row],[COD CART]],[1]!MatrizCortoLargoCyl[#All],3,0),"")</f>
        <v/>
      </c>
      <c r="F1382" t="inlineStr">
        <is>
          <t>CRESY/CYL/7,50/17-06-22</t>
        </is>
      </c>
      <c r="G1382" t="n">
        <v>100</v>
      </c>
      <c r="H1382" t="n">
        <v>-693.075</v>
      </c>
      <c r="I1382">
        <f>-H3324/G3324</f>
        <v/>
      </c>
    </row>
    <row r="1383">
      <c r="A1383" t="n">
        <v>3823</v>
      </c>
      <c r="B1383" s="16" t="n">
        <v>44446</v>
      </c>
      <c r="C1383" t="inlineStr">
        <is>
          <t>CPR</t>
        </is>
      </c>
      <c r="D1383" t="n">
        <v>32</v>
      </c>
      <c r="E1383">
        <f>IF(D3282&gt;0,VLOOKUP(OPERAC[[#This Row],[COD CART]],[1]!MatrizCortoLargoCyl[#All],3,0),"")</f>
        <v/>
      </c>
      <c r="F1383" t="inlineStr">
        <is>
          <t>INO/CYL/8,00/18-02-22</t>
        </is>
      </c>
      <c r="G1383" t="n">
        <v>100</v>
      </c>
      <c r="H1383">
        <f>-758.932+27.502+30.172+14.579+4.707</f>
        <v/>
      </c>
      <c r="I1383">
        <f>-H3282/G3282</f>
        <v/>
      </c>
      <c r="J1383" s="16" t="n">
        <v>44596</v>
      </c>
      <c r="K1383" t="n">
        <v>100</v>
      </c>
      <c r="L1383">
        <f>3.665*OPERAC[[#This Row],[cantidad venta]]</f>
        <v/>
      </c>
    </row>
    <row r="1384">
      <c r="A1384" t="n">
        <v>3823</v>
      </c>
      <c r="B1384" s="16" t="n">
        <v>44523</v>
      </c>
      <c r="C1384" t="inlineStr">
        <is>
          <t>VTA</t>
        </is>
      </c>
      <c r="D1384" t="n">
        <v>40</v>
      </c>
      <c r="E1384">
        <f>IF(D2146&gt;0,VLOOKUP(OPERAC[[#This Row],[COD CART]],[1]!MatrizCortoLargoCyl[#All],3,0),"")</f>
        <v/>
      </c>
      <c r="F1384" t="inlineStr">
        <is>
          <t>EDU</t>
        </is>
      </c>
      <c r="G1384" t="n">
        <v>200</v>
      </c>
      <c r="H1384">
        <f>-355.898+0.026*OPERAC[[#This Row],[cantidad]]</f>
        <v/>
      </c>
      <c r="I1384">
        <f>-H2146/G2146</f>
        <v/>
      </c>
      <c r="J1384" s="16" t="n">
        <v>44615</v>
      </c>
      <c r="K1384" t="n">
        <v>200</v>
      </c>
      <c r="L1384" t="n">
        <v>298.953</v>
      </c>
    </row>
    <row r="1385">
      <c r="A1385" t="n">
        <v>3823</v>
      </c>
      <c r="B1385" s="16" t="n">
        <v>44523</v>
      </c>
      <c r="C1385" t="inlineStr">
        <is>
          <t>VTA</t>
        </is>
      </c>
      <c r="D1385" t="n">
        <v>32</v>
      </c>
      <c r="E1385">
        <f>IF(D2310&gt;0,VLOOKUP(OPERAC[[#This Row],[COD CART]],[1]!MatrizCortoLargoCyl[#All],3,0),"")</f>
        <v/>
      </c>
      <c r="F1385" t="inlineStr">
        <is>
          <t>GMBL</t>
        </is>
      </c>
      <c r="G1385" t="n">
        <v>100</v>
      </c>
      <c r="H1385">
        <f>-411.931+9.067</f>
        <v/>
      </c>
      <c r="I1385">
        <f>-H2310/G2310</f>
        <v/>
      </c>
      <c r="J1385" s="16" t="n">
        <v>44691</v>
      </c>
      <c r="K1385" t="n">
        <v>100</v>
      </c>
      <c r="L1385" t="n">
        <v>36.678</v>
      </c>
    </row>
    <row r="1386">
      <c r="A1386" t="n">
        <v>3823</v>
      </c>
      <c r="B1386" s="16" t="n">
        <v>44539</v>
      </c>
      <c r="C1386" t="inlineStr">
        <is>
          <t>CPR</t>
        </is>
      </c>
      <c r="D1386" t="n">
        <v>40</v>
      </c>
      <c r="E1386">
        <f>IF(D2789&gt;0,VLOOKUP(OPERAC[[#This Row],[COD CART]],[1]!MatrizCortoLargoCyl[#All],3,0),"")</f>
        <v/>
      </c>
      <c r="F1386" t="inlineStr">
        <is>
          <t>ROKU</t>
        </is>
      </c>
      <c r="G1386" t="n">
        <v>2</v>
      </c>
      <c r="H1386" t="n">
        <v>-515.4407199999999</v>
      </c>
      <c r="I1386">
        <f>-H2789/G2789</f>
        <v/>
      </c>
      <c r="J1386" s="16" t="n">
        <v>44606</v>
      </c>
      <c r="K1386">
        <f>+OPERAC[[#This Row],[cantidad]]</f>
        <v/>
      </c>
      <c r="L1386">
        <f>+OPERAC[[#This Row],[cantidad venta]]*160.574</f>
        <v/>
      </c>
    </row>
    <row r="1387">
      <c r="A1387" t="n">
        <v>3823</v>
      </c>
      <c r="B1387" s="16" t="n">
        <v>44552</v>
      </c>
      <c r="C1387" t="inlineStr">
        <is>
          <t>CPR</t>
        </is>
      </c>
      <c r="D1387" t="n">
        <v>32</v>
      </c>
      <c r="E1387">
        <f>IF(D3468&gt;0,VLOOKUP(OPERAC[[#This Row],[COD CART]],[1]!MatrizCortoLargoCyl[#All],3,0),"")</f>
        <v/>
      </c>
      <c r="F1387" t="inlineStr">
        <is>
          <t>HMY/CYL/4,00/21-01-22</t>
        </is>
      </c>
      <c r="G1387" t="n">
        <v>200</v>
      </c>
      <c r="H1387">
        <f>-3.8*OPERAC[[#This Row],[cantidad]]</f>
        <v/>
      </c>
      <c r="I1387">
        <f>-H3468/G3468</f>
        <v/>
      </c>
      <c r="J1387" s="16" t="n">
        <v>44580</v>
      </c>
      <c r="K1387" t="n">
        <v>200</v>
      </c>
      <c r="L1387" t="n">
        <v>787.86</v>
      </c>
    </row>
    <row r="1388">
      <c r="A1388" t="n">
        <v>3823</v>
      </c>
      <c r="B1388" s="16" t="n">
        <v>44587</v>
      </c>
      <c r="C1388" t="inlineStr">
        <is>
          <t>VTA</t>
        </is>
      </c>
      <c r="D1388" t="n">
        <v>40</v>
      </c>
      <c r="E1388">
        <f>IF(D1967&gt;0,VLOOKUP(OPERAC[[#This Row],[COD CART]],[1]!MatrizCortoLargoCyl[#All],3,0),"")</f>
        <v/>
      </c>
      <c r="F1388" t="inlineStr">
        <is>
          <t>MSFT</t>
        </is>
      </c>
      <c r="G1388" t="n">
        <v>1</v>
      </c>
      <c r="H1388" t="n">
        <v>-303.41126</v>
      </c>
      <c r="I1388">
        <f>-H1967/G1967</f>
        <v/>
      </c>
      <c r="J1388" s="16" t="n">
        <v>44606</v>
      </c>
      <c r="K1388">
        <f>+OPERAC[[#This Row],[cantidad]]</f>
        <v/>
      </c>
      <c r="L1388">
        <f>+OPERAC[[#This Row],[cantidad venta]]*290.091</f>
        <v/>
      </c>
    </row>
    <row r="1389">
      <c r="A1389" t="n">
        <v>3823</v>
      </c>
      <c r="B1389" s="16" t="n">
        <v>44596</v>
      </c>
      <c r="C1389" t="inlineStr">
        <is>
          <t>VTA</t>
        </is>
      </c>
      <c r="D1389" t="n">
        <v>39</v>
      </c>
      <c r="E1389">
        <f>IF(D608&gt;0,VLOOKUP(OPERAC[[#This Row],[COD CART]],[1]!MatrizCortoLargoCyl[#All],3,0),"")</f>
        <v/>
      </c>
      <c r="F1389" t="inlineStr">
        <is>
          <t>SMH/V/260,00/11-02-22</t>
        </is>
      </c>
      <c r="G1389" t="n">
        <v>-200</v>
      </c>
      <c r="H1389" t="n">
        <v>601.726</v>
      </c>
      <c r="I1389">
        <f>-H608/G608</f>
        <v/>
      </c>
      <c r="J1389" s="16" t="n">
        <v>44603</v>
      </c>
      <c r="K1389" t="n">
        <v>-200</v>
      </c>
      <c r="L1389" t="n">
        <v>-20</v>
      </c>
    </row>
    <row r="1390">
      <c r="A1390" t="n">
        <v>3823</v>
      </c>
      <c r="B1390" s="16" t="n">
        <v>44602</v>
      </c>
      <c r="C1390" t="inlineStr">
        <is>
          <t>VTA</t>
        </is>
      </c>
      <c r="D1390" t="n">
        <v>32</v>
      </c>
      <c r="E1390">
        <f>IF(D3827&gt;0,VLOOKUP(OPERAC[[#This Row],[COD CART]],[1]!MatrizCortoLargoCyl[#All],3,0),"")</f>
        <v/>
      </c>
      <c r="F1390" t="inlineStr">
        <is>
          <t>TEVA</t>
        </is>
      </c>
      <c r="G1390" t="n">
        <v>100</v>
      </c>
      <c r="H1390">
        <f>-8.59*OPERAC[[#This Row],[cantidad]]</f>
        <v/>
      </c>
      <c r="I1390">
        <f>-H3827/G3827</f>
        <v/>
      </c>
      <c r="J1390" s="16" t="n">
        <v>44643</v>
      </c>
      <c r="K1390">
        <f>+OPERAC[[#This Row],[cantidad]]</f>
        <v/>
      </c>
      <c r="L1390">
        <f>+OPERAC[[#This Row],[cantidad venta]]*8.051</f>
        <v/>
      </c>
    </row>
    <row r="1391">
      <c r="A1391" t="n">
        <v>3823</v>
      </c>
      <c r="B1391" s="16" t="n">
        <v>44608</v>
      </c>
      <c r="C1391" t="inlineStr">
        <is>
          <t>VTA</t>
        </is>
      </c>
      <c r="D1391" t="n">
        <v>40</v>
      </c>
      <c r="E1391">
        <f>IF(D2838&gt;0,VLOOKUP(OPERAC[[#This Row],[COD CART]],[1]!MatrizCortoLargoCyl[#All],3,0),"")</f>
        <v/>
      </c>
      <c r="F1391" t="inlineStr">
        <is>
          <t>NVDA</t>
        </is>
      </c>
      <c r="G1391" t="n">
        <v>2</v>
      </c>
      <c r="H1391" t="n">
        <v>-527.0279999999999</v>
      </c>
      <c r="I1391">
        <f>-H2838/G2838</f>
        <v/>
      </c>
      <c r="J1391" s="16" t="n">
        <v>44616</v>
      </c>
      <c r="K1391">
        <f>+OPERAC[[#This Row],[cantidad]]</f>
        <v/>
      </c>
      <c r="L1391">
        <f>+OPERAC[[#This Row],[cantidad venta]]*224.117</f>
        <v/>
      </c>
    </row>
    <row r="1392">
      <c r="A1392" t="n">
        <v>3823</v>
      </c>
      <c r="B1392" s="16" t="n">
        <v>44616</v>
      </c>
      <c r="C1392" t="inlineStr">
        <is>
          <t>CPR</t>
        </is>
      </c>
      <c r="D1392" t="n">
        <v>32</v>
      </c>
      <c r="E1392">
        <f>IF(D3291&gt;0,VLOOKUP(OPERAC[[#This Row],[COD CART]],[1]!MatrizCortoLargoCyl[#All],3,0),"")</f>
        <v/>
      </c>
      <c r="F1392" t="inlineStr">
        <is>
          <t>UUUU/CYL/8,00/18-03-22</t>
        </is>
      </c>
      <c r="G1392" t="n">
        <v>100</v>
      </c>
      <c r="H1392" t="n">
        <v>-683.826</v>
      </c>
      <c r="I1392">
        <f>-H3291/G3291</f>
        <v/>
      </c>
      <c r="J1392" s="16" t="n">
        <v>44636</v>
      </c>
      <c r="K1392">
        <f>+OPERAC[[#This Row],[cantidad]]</f>
        <v/>
      </c>
      <c r="L1392" t="n">
        <v>767.46</v>
      </c>
    </row>
    <row r="1393">
      <c r="A1393" t="n">
        <v>3823</v>
      </c>
      <c r="B1393" s="16" t="n">
        <v>44622</v>
      </c>
      <c r="C1393" t="inlineStr">
        <is>
          <t>CPR</t>
        </is>
      </c>
      <c r="D1393" t="n">
        <v>32</v>
      </c>
      <c r="E1393">
        <f>IF(D2571&gt;0,VLOOKUP(OPERAC[[#This Row],[COD CART]],[1]!MatrizCortoLargoCyl[#All],3,0),"")</f>
        <v/>
      </c>
      <c r="F1393" t="inlineStr">
        <is>
          <t>HMY/CYL/5,00/18-03-22</t>
        </is>
      </c>
      <c r="G1393" t="n">
        <v>100</v>
      </c>
      <c r="H1393" t="n">
        <v>-468.532</v>
      </c>
      <c r="I1393">
        <f>-H2571/G2571</f>
        <v/>
      </c>
      <c r="J1393" s="16" t="n">
        <v>44637</v>
      </c>
      <c r="K1393">
        <f>+OPERAC[[#This Row],[cantidad]]</f>
        <v/>
      </c>
      <c r="L1393">
        <f>4.85553*OPERAC[[#This Row],[cantidad venta]]</f>
        <v/>
      </c>
    </row>
    <row r="1394">
      <c r="A1394" t="n">
        <v>3823</v>
      </c>
      <c r="B1394" s="16" t="n">
        <v>44641</v>
      </c>
      <c r="C1394" t="inlineStr">
        <is>
          <t>VTA</t>
        </is>
      </c>
      <c r="D1394" t="n">
        <v>42</v>
      </c>
      <c r="E1394">
        <f>IF(D2372&gt;0,VLOOKUP(OPERAC[[#This Row],[COD CART]],[1]!MatrizCortoLargoCyl[#All],3,0),"")</f>
        <v/>
      </c>
      <c r="F1394" t="inlineStr">
        <is>
          <t>JPM</t>
        </is>
      </c>
      <c r="G1394" t="n">
        <v>3</v>
      </c>
      <c r="H1394" t="n">
        <v>-421.3630200000001</v>
      </c>
      <c r="I1394">
        <f>-H2372/G2372</f>
        <v/>
      </c>
      <c r="J1394" s="16" t="n">
        <v>44664</v>
      </c>
      <c r="K1394">
        <f>+OPERAC[[#This Row],[cantidad]]</f>
        <v/>
      </c>
      <c r="L1394">
        <f>+OPERAC[[#This Row],[cantidad venta]]*125.943</f>
        <v/>
      </c>
    </row>
    <row r="1395">
      <c r="A1395" t="n">
        <v>3823</v>
      </c>
      <c r="B1395" s="16" t="n">
        <v>44641</v>
      </c>
      <c r="C1395" t="inlineStr">
        <is>
          <t>VTA</t>
        </is>
      </c>
      <c r="D1395" t="n">
        <v>42</v>
      </c>
      <c r="E1395">
        <f>IF(D2410&gt;0,VLOOKUP(OPERAC[[#This Row],[COD CART]],[1]!MatrizCortoLargoCyl[#All],3,0),"")</f>
        <v/>
      </c>
      <c r="F1395" t="inlineStr">
        <is>
          <t>FB</t>
        </is>
      </c>
      <c r="G1395" t="n">
        <v>2</v>
      </c>
      <c r="H1395" t="n">
        <v>-424.31276</v>
      </c>
      <c r="I1395">
        <f>-H2410/G2410</f>
        <v/>
      </c>
      <c r="J1395" s="16" t="n">
        <v>44671</v>
      </c>
      <c r="K1395">
        <f>+OPERAC[[#This Row],[cantidad]]</f>
        <v/>
      </c>
      <c r="L1395">
        <f>+OPERAC[[#This Row],[cantidad venta]]*213.173</f>
        <v/>
      </c>
    </row>
    <row r="1396">
      <c r="A1396" t="n">
        <v>3823</v>
      </c>
      <c r="B1396" s="16" t="n">
        <v>44643</v>
      </c>
      <c r="C1396" t="inlineStr">
        <is>
          <t>CPR</t>
        </is>
      </c>
      <c r="D1396" t="n">
        <v>32</v>
      </c>
      <c r="E1396">
        <f>IF(D3238&gt;0,VLOOKUP(OPERAC[[#This Row],[COD CART]],[1]!MatrizCortoLargoCyl[#All],3,0),"")</f>
        <v/>
      </c>
      <c r="F1396" t="inlineStr">
        <is>
          <t>CRESY/CYL/7,50/17-06-22</t>
        </is>
      </c>
      <c r="G1396" t="n">
        <v>100</v>
      </c>
      <c r="H1396">
        <f>-680.303+14.873</f>
        <v/>
      </c>
      <c r="I1396">
        <f>-H3238/G3238</f>
        <v/>
      </c>
    </row>
    <row r="1397">
      <c r="A1397" t="n">
        <v>3823</v>
      </c>
      <c r="B1397" s="16" t="n">
        <v>44662</v>
      </c>
      <c r="C1397" t="inlineStr">
        <is>
          <t>VTA</t>
        </is>
      </c>
      <c r="D1397" t="n">
        <v>42</v>
      </c>
      <c r="E1397">
        <f>IF(D1299&gt;0,VLOOKUP(OPERAC[[#This Row],[COD CART]],[1]!MatrizCortoLargoCyl[#All],3,0),"")</f>
        <v/>
      </c>
      <c r="F1397" t="inlineStr">
        <is>
          <t>HYDR</t>
        </is>
      </c>
      <c r="G1397" t="n">
        <v>5</v>
      </c>
      <c r="H1397" t="n">
        <v>-92.85172000000001</v>
      </c>
      <c r="I1397">
        <f>-H1299/G1299</f>
        <v/>
      </c>
      <c r="J1397" s="16" t="n">
        <v>44693</v>
      </c>
      <c r="K1397">
        <f>+OPERAC[[#This Row],[cantidad]]</f>
        <v/>
      </c>
      <c r="L1397">
        <f>+OPERAC[[#This Row],[cantidad venta]]*12.027</f>
        <v/>
      </c>
    </row>
    <row r="1398">
      <c r="A1398" t="n">
        <v>3823</v>
      </c>
      <c r="B1398" s="16" t="n">
        <v>44671</v>
      </c>
      <c r="C1398" t="inlineStr">
        <is>
          <t>CPR</t>
        </is>
      </c>
      <c r="D1398" t="n">
        <v>42</v>
      </c>
      <c r="E1398">
        <f>IF(D2755&gt;0,VLOOKUP(OPERAC[[#This Row],[COD CART]],[1]!MatrizCortoLargoCyl[#All],3,0),"")</f>
        <v/>
      </c>
      <c r="F1398" t="inlineStr">
        <is>
          <t>NFLX</t>
        </is>
      </c>
      <c r="G1398" t="n">
        <v>2</v>
      </c>
      <c r="H1398" t="n">
        <v>-509.01012</v>
      </c>
      <c r="I1398">
        <f>-H2755/G2755</f>
        <v/>
      </c>
      <c r="J1398" s="16" t="n">
        <v>44693</v>
      </c>
      <c r="K1398">
        <f>+OPERAC[[#This Row],[cantidad]]</f>
        <v/>
      </c>
      <c r="L1398">
        <f>+OPERAC[[#This Row],[cantidad venta]]*169.079</f>
        <v/>
      </c>
    </row>
    <row r="1399">
      <c r="A1399" t="n">
        <v>3823</v>
      </c>
      <c r="B1399" s="16" t="n">
        <v>44704</v>
      </c>
      <c r="C1399" t="inlineStr">
        <is>
          <t>VTA</t>
        </is>
      </c>
      <c r="D1399" t="n">
        <v>32</v>
      </c>
      <c r="E1399">
        <f>IF(D3170&gt;0,VLOOKUP(OPERAC[[#This Row],[COD CART]],[1]!MatrizCortoLargoCyl[#All],3,0),"")</f>
        <v/>
      </c>
      <c r="F1399" t="inlineStr">
        <is>
          <t>CRESY/CYL/7,50/17-06-22</t>
        </is>
      </c>
      <c r="G1399" t="n">
        <v>100</v>
      </c>
      <c r="H1399" t="n">
        <v>-641.75</v>
      </c>
      <c r="I1399">
        <f>-H3170/G3170</f>
        <v/>
      </c>
    </row>
    <row r="1400">
      <c r="A1400" t="n">
        <v>3832</v>
      </c>
      <c r="B1400" s="16" t="n">
        <v>44459</v>
      </c>
      <c r="C1400" t="inlineStr">
        <is>
          <t>VTA</t>
        </is>
      </c>
      <c r="D1400" t="n">
        <v>40</v>
      </c>
      <c r="E1400">
        <f>IF(D1480&gt;0,VLOOKUP(OPERAC[[#This Row],[COD CART]],[1]!MatrizCortoLargoCyl[#All],3,0),"")</f>
        <v/>
      </c>
      <c r="F1400" t="inlineStr">
        <is>
          <t>EDU</t>
        </is>
      </c>
      <c r="G1400" t="n">
        <v>20</v>
      </c>
      <c r="H1400" t="n">
        <v>-176.1</v>
      </c>
      <c r="I1400">
        <f>-H1480/G1480</f>
        <v/>
      </c>
      <c r="J1400" s="16" t="n">
        <v>44662</v>
      </c>
      <c r="K1400" t="n">
        <v>20</v>
      </c>
      <c r="L1400" t="n">
        <v>214.384</v>
      </c>
    </row>
    <row r="1401">
      <c r="A1401" t="n">
        <v>3832</v>
      </c>
      <c r="B1401" s="16" t="n">
        <v>44459</v>
      </c>
      <c r="C1401" t="inlineStr">
        <is>
          <t>VTA</t>
        </is>
      </c>
      <c r="D1401" t="n">
        <v>43</v>
      </c>
      <c r="E1401">
        <f>IF(D2806&gt;0,VLOOKUP(OPERAC[[#This Row],[COD CART]],[1]!MatrizCortoLargoCyl[#All],3,0),"")</f>
        <v/>
      </c>
      <c r="F1401" t="inlineStr">
        <is>
          <t>INO/CYL-PUT/7,00/21-01-22</t>
        </is>
      </c>
      <c r="G1401" t="n">
        <v>100</v>
      </c>
      <c r="H1401" t="n">
        <v>-515.45</v>
      </c>
      <c r="I1401">
        <f>-H2806/G2806</f>
        <v/>
      </c>
      <c r="J1401" s="16" t="n">
        <v>44581</v>
      </c>
      <c r="K1401" t="n">
        <v>100</v>
      </c>
      <c r="L1401" t="n">
        <v>125.796</v>
      </c>
    </row>
    <row r="1402">
      <c r="A1402" t="n">
        <v>3832</v>
      </c>
      <c r="B1402" s="16" t="n">
        <v>44489</v>
      </c>
      <c r="C1402" t="inlineStr">
        <is>
          <t>VTA</t>
        </is>
      </c>
      <c r="D1402" t="n">
        <v>43</v>
      </c>
      <c r="E1402">
        <f>IF(D1514&gt;0,VLOOKUP(OPERAC[[#This Row],[COD CART]],[1]!MatrizCortoLargoCyl[#All],3,0),"")</f>
        <v/>
      </c>
      <c r="F1402" t="inlineStr">
        <is>
          <t>SESN/CYL-PUT/1,00/19-01-24</t>
        </is>
      </c>
      <c r="G1402" t="n">
        <v>1000</v>
      </c>
      <c r="H1402">
        <f>-0.1885*OPERAC[[#This Row],[cantidad]]</f>
        <v/>
      </c>
      <c r="I1402">
        <f>-H1514/G1514</f>
        <v/>
      </c>
    </row>
    <row r="1403">
      <c r="A1403" t="n">
        <v>3832</v>
      </c>
      <c r="B1403" s="16" t="n">
        <v>44581</v>
      </c>
      <c r="C1403" t="inlineStr">
        <is>
          <t>VTA</t>
        </is>
      </c>
      <c r="D1403" t="n">
        <v>39</v>
      </c>
      <c r="E1403">
        <f>IF(D645&gt;0,VLOOKUP(OPERAC[[#This Row],[COD CART]],[1]!MatrizCortoLargoCyl[#All],3,0),"")</f>
        <v/>
      </c>
      <c r="F1403" t="inlineStr">
        <is>
          <t>ROKU/V/170,00/28-01-22</t>
        </is>
      </c>
      <c r="G1403" t="n">
        <v>-100</v>
      </c>
      <c r="H1403" t="n">
        <v>529.0740000000001</v>
      </c>
      <c r="I1403">
        <f>-H645/G645</f>
        <v/>
      </c>
      <c r="J1403" s="16" t="n">
        <v>44587</v>
      </c>
      <c r="K1403">
        <f>+OPERAC[[#This Row],[cantidad]]</f>
        <v/>
      </c>
      <c r="L1403">
        <f>-OPERAC[[#This Row],[importe]]</f>
        <v/>
      </c>
    </row>
    <row r="1404">
      <c r="A1404" t="n">
        <v>3832</v>
      </c>
      <c r="B1404" s="16" t="n">
        <v>44582</v>
      </c>
      <c r="C1404" t="inlineStr">
        <is>
          <t>CPR</t>
        </is>
      </c>
      <c r="D1404" t="n">
        <v>40</v>
      </c>
      <c r="E1404">
        <f>IF(D3528&gt;0,VLOOKUP(OPERAC[[#This Row],[COD CART]],[1]!MatrizCortoLargoCyl[#All],3,0),"")</f>
        <v/>
      </c>
      <c r="F1404" t="inlineStr">
        <is>
          <t>NFLX</t>
        </is>
      </c>
      <c r="G1404" t="n">
        <v>2</v>
      </c>
      <c r="H1404" t="n">
        <v>-766.7213400000001</v>
      </c>
      <c r="I1404">
        <f>-H3528/G3528</f>
        <v/>
      </c>
      <c r="J1404" s="16" t="n">
        <v>44593</v>
      </c>
      <c r="K1404">
        <f>+OPERAC[[#This Row],[cantidad]]</f>
        <v/>
      </c>
      <c r="L1404">
        <f>+OPERAC[[#This Row],[cantidad venta]]*448.602</f>
        <v/>
      </c>
    </row>
    <row r="1405">
      <c r="A1405" t="n">
        <v>3832</v>
      </c>
      <c r="B1405" s="16" t="n">
        <v>44587</v>
      </c>
      <c r="C1405" t="inlineStr">
        <is>
          <t>VTA</t>
        </is>
      </c>
      <c r="D1405" t="n">
        <v>39</v>
      </c>
      <c r="E1405">
        <f>IF(D286&gt;0,VLOOKUP(OPERAC[[#This Row],[COD CART]],[1]!MatrizCortoLargoCyl[#All],3,0),"")</f>
        <v/>
      </c>
      <c r="F1405" t="inlineStr">
        <is>
          <t>ROKU/V/155,00/04-02-22</t>
        </is>
      </c>
      <c r="G1405" t="n">
        <v>-200</v>
      </c>
      <c r="H1405" t="n">
        <v>1599.2032</v>
      </c>
      <c r="I1405">
        <f>-H286/G286</f>
        <v/>
      </c>
      <c r="J1405" s="16" t="n">
        <v>44592</v>
      </c>
      <c r="K1405">
        <f>+OPERAC[[#This Row],[cantidad]]</f>
        <v/>
      </c>
      <c r="L1405" t="n">
        <v>-711.4928</v>
      </c>
    </row>
    <row r="1406">
      <c r="A1406" t="n">
        <v>3832</v>
      </c>
      <c r="B1406" s="16" t="n">
        <v>44592</v>
      </c>
      <c r="C1406" t="inlineStr">
        <is>
          <t>VTA</t>
        </is>
      </c>
      <c r="D1406" t="n">
        <v>39</v>
      </c>
      <c r="E1406">
        <f>IF(D481&gt;0,VLOOKUP(OPERAC[[#This Row],[COD CART]],[1]!MatrizCortoLargoCyl[#All],3,0),"")</f>
        <v/>
      </c>
      <c r="F1406" t="inlineStr">
        <is>
          <t>ROKU/V/150,00/11-02-22</t>
        </is>
      </c>
      <c r="G1406" t="n">
        <v>-200</v>
      </c>
      <c r="H1406" t="n">
        <v>958.2479999999999</v>
      </c>
      <c r="I1406">
        <f>-H481/G481</f>
        <v/>
      </c>
      <c r="J1406" s="16" t="n">
        <v>44601</v>
      </c>
      <c r="K1406">
        <f>+OPERAC[[#This Row],[cantidad]]</f>
        <v/>
      </c>
      <c r="L1406">
        <f>0.67*OPERAC[[#This Row],[cantidad venta]]</f>
        <v/>
      </c>
    </row>
    <row r="1407">
      <c r="A1407" t="n">
        <v>3832</v>
      </c>
      <c r="B1407" s="16" t="n">
        <v>44594</v>
      </c>
      <c r="C1407" t="inlineStr">
        <is>
          <t>VTA</t>
        </is>
      </c>
      <c r="D1407" t="n">
        <v>40</v>
      </c>
      <c r="E1407">
        <f>IF(D2300&gt;0,VLOOKUP(OPERAC[[#This Row],[COD CART]],[1]!MatrizCortoLargoCyl[#All],3,0),"")</f>
        <v/>
      </c>
      <c r="F1407" t="inlineStr">
        <is>
          <t>EDU</t>
        </is>
      </c>
      <c r="G1407" t="n">
        <v>200</v>
      </c>
      <c r="H1407" t="n">
        <v>-400.4</v>
      </c>
      <c r="I1407">
        <f>-H2300/G2300</f>
        <v/>
      </c>
      <c r="J1407" s="16" t="n">
        <v>44606</v>
      </c>
      <c r="K1407" t="n">
        <v>200</v>
      </c>
      <c r="L1407" t="n">
        <v>296.675</v>
      </c>
    </row>
    <row r="1408">
      <c r="A1408" t="n">
        <v>3832</v>
      </c>
      <c r="B1408" s="16" t="n">
        <v>44599</v>
      </c>
      <c r="C1408" t="inlineStr">
        <is>
          <t>CPR</t>
        </is>
      </c>
      <c r="D1408" t="n">
        <v>40</v>
      </c>
      <c r="E1408">
        <f>IF(D2626&gt;0,VLOOKUP(OPERAC[[#This Row],[COD CART]],[1]!MatrizCortoLargoCyl[#All],3,0),"")</f>
        <v/>
      </c>
      <c r="F1408" t="inlineStr">
        <is>
          <t>FB</t>
        </is>
      </c>
      <c r="G1408" t="n">
        <v>2</v>
      </c>
      <c r="H1408" t="n">
        <v>-476.92</v>
      </c>
      <c r="I1408">
        <f>-H2626/G2626</f>
        <v/>
      </c>
      <c r="J1408" s="16" t="n">
        <v>44616</v>
      </c>
      <c r="K1408">
        <f>+OPERAC[[#This Row],[cantidad]]</f>
        <v/>
      </c>
      <c r="L1408">
        <f>200.299*OPERAC[[#This Row],[cantidad venta]]</f>
        <v/>
      </c>
    </row>
    <row r="1409">
      <c r="A1409" t="n">
        <v>3832</v>
      </c>
      <c r="B1409" s="16" t="n">
        <v>44601</v>
      </c>
      <c r="C1409" t="inlineStr">
        <is>
          <t>CPR</t>
        </is>
      </c>
      <c r="D1409" t="n">
        <v>43</v>
      </c>
      <c r="E1409">
        <f>IF(D3413&gt;0,VLOOKUP(OPERAC[[#This Row],[COD CART]],[1]!MatrizCortoLargoCyl[#All],3,0),"")</f>
        <v/>
      </c>
      <c r="F1409" t="inlineStr">
        <is>
          <t>GMBL</t>
        </is>
      </c>
      <c r="G1409">
        <f>200+200</f>
        <v/>
      </c>
      <c r="H1409">
        <f>-1.13*200-500.5</f>
        <v/>
      </c>
      <c r="I1409">
        <f>-H3413/G3413</f>
        <v/>
      </c>
    </row>
    <row r="1410">
      <c r="A1410" t="n">
        <v>3832</v>
      </c>
      <c r="B1410" s="16" t="n">
        <v>44616</v>
      </c>
      <c r="C1410" t="inlineStr">
        <is>
          <t>CPR</t>
        </is>
      </c>
      <c r="D1410" t="n">
        <v>32</v>
      </c>
      <c r="E1410">
        <f>IF(D4303&gt;0,VLOOKUP(OPERAC[[#This Row],[COD CART]],[1]!MatrizCortoLargoCyl[#All],3,0),"")</f>
        <v/>
      </c>
      <c r="F1410" t="inlineStr">
        <is>
          <t>PLTR/CYL/12,00/14-04-22</t>
        </is>
      </c>
      <c r="G1410" t="n">
        <v>100</v>
      </c>
      <c r="H1410" t="n">
        <v>-1047.6893</v>
      </c>
      <c r="I1410">
        <f>-H4303/G4303</f>
        <v/>
      </c>
      <c r="J1410" s="16" t="n">
        <v>44643</v>
      </c>
      <c r="K1410" t="n">
        <v>100</v>
      </c>
      <c r="L1410" t="n">
        <v>1146.72</v>
      </c>
    </row>
    <row r="1411">
      <c r="A1411" t="n">
        <v>3832</v>
      </c>
      <c r="B1411" s="16" t="n">
        <v>44643</v>
      </c>
      <c r="C1411" t="inlineStr">
        <is>
          <t>VTA</t>
        </is>
      </c>
      <c r="D1411" t="n">
        <v>31</v>
      </c>
      <c r="E1411">
        <f>IF(D2092&gt;0,VLOOKUP(OPERAC[[#This Row],[COD CART]],[1]!MatrizCortoLargoCyl[#All],3,0),"")</f>
        <v/>
      </c>
      <c r="F1411" t="inlineStr">
        <is>
          <t>LAC</t>
        </is>
      </c>
      <c r="G1411" t="n">
        <v>10</v>
      </c>
      <c r="H1411" t="n">
        <v>-332.805373</v>
      </c>
      <c r="I1411">
        <f>-H2092/G2092</f>
        <v/>
      </c>
      <c r="J1411" s="16" t="n">
        <v>44713</v>
      </c>
      <c r="K1411" t="n">
        <v>10</v>
      </c>
      <c r="L1411" t="n">
        <v>222.897</v>
      </c>
    </row>
    <row r="1412">
      <c r="A1412" t="n">
        <v>3832</v>
      </c>
      <c r="B1412" s="16" t="n">
        <v>44643</v>
      </c>
      <c r="C1412" t="inlineStr">
        <is>
          <t>VTA</t>
        </is>
      </c>
      <c r="D1412" t="n">
        <v>31</v>
      </c>
      <c r="E1412">
        <f>IF(D2136&gt;0,VLOOKUP(OPERAC[[#This Row],[COD CART]],[1]!MatrizCortoLargoCyl[#All],3,0),"")</f>
        <v/>
      </c>
      <c r="F1412" t="inlineStr">
        <is>
          <t>BRK B</t>
        </is>
      </c>
      <c r="G1412" t="n">
        <v>1</v>
      </c>
      <c r="H1412" t="n">
        <v>-348.23779</v>
      </c>
      <c r="I1412">
        <f>-H2136/G2136</f>
        <v/>
      </c>
      <c r="J1412" s="16" t="n">
        <v>44713</v>
      </c>
      <c r="K1412" t="n">
        <v>1</v>
      </c>
      <c r="L1412" t="n">
        <v>310.09</v>
      </c>
    </row>
    <row r="1413">
      <c r="A1413" t="n">
        <v>3832</v>
      </c>
      <c r="B1413" s="16" t="n">
        <v>44643</v>
      </c>
      <c r="C1413" t="inlineStr">
        <is>
          <t>VTA</t>
        </is>
      </c>
      <c r="D1413" t="n">
        <v>42</v>
      </c>
      <c r="E1413">
        <f>IF(D3174&gt;0,VLOOKUP(OPERAC[[#This Row],[COD CART]],[1]!MatrizCortoLargoCyl[#All],3,0),"")</f>
        <v/>
      </c>
      <c r="F1413" t="inlineStr">
        <is>
          <t>FB</t>
        </is>
      </c>
      <c r="G1413" t="n">
        <v>3</v>
      </c>
      <c r="H1413" t="n">
        <v>-643.86738</v>
      </c>
      <c r="I1413">
        <f>-H3174/G3174</f>
        <v/>
      </c>
      <c r="J1413" s="16" t="n">
        <v>44671</v>
      </c>
      <c r="K1413">
        <f>+OPERAC[[#This Row],[cantidad]]</f>
        <v/>
      </c>
      <c r="L1413">
        <f>+OPERAC[[#This Row],[cantidad venta]]*213.173</f>
        <v/>
      </c>
    </row>
    <row r="1414">
      <c r="A1414" t="n">
        <v>3832</v>
      </c>
      <c r="B1414" s="16" t="n">
        <v>44662</v>
      </c>
      <c r="C1414" t="inlineStr">
        <is>
          <t>VTA</t>
        </is>
      </c>
      <c r="D1414" t="n">
        <v>42</v>
      </c>
      <c r="E1414">
        <f>IF(D1488&gt;0,VLOOKUP(OPERAC[[#This Row],[COD CART]],[1]!MatrizCortoLargoCyl[#All],3,0),"")</f>
        <v/>
      </c>
      <c r="F1414" t="inlineStr">
        <is>
          <t>HYDR</t>
        </is>
      </c>
      <c r="G1414" t="n">
        <v>10</v>
      </c>
      <c r="H1414" t="n">
        <v>-184.41418</v>
      </c>
      <c r="I1414">
        <f>-H1488/G1488</f>
        <v/>
      </c>
      <c r="J1414" s="16" t="n">
        <v>44713</v>
      </c>
      <c r="K1414" t="n">
        <v>10</v>
      </c>
      <c r="L1414" t="n">
        <v>139.66</v>
      </c>
    </row>
    <row r="1415">
      <c r="A1415" t="n">
        <v>3832</v>
      </c>
      <c r="B1415" s="16" t="n">
        <v>44671</v>
      </c>
      <c r="C1415" t="inlineStr">
        <is>
          <t>CPR</t>
        </is>
      </c>
      <c r="D1415" t="n">
        <v>42</v>
      </c>
      <c r="E1415">
        <f>IF(D3466&gt;0,VLOOKUP(OPERAC[[#This Row],[COD CART]],[1]!MatrizCortoLargoCyl[#All],3,0),"")</f>
        <v/>
      </c>
      <c r="F1415" t="inlineStr">
        <is>
          <t>NFLX</t>
        </is>
      </c>
      <c r="G1415" t="n">
        <v>3</v>
      </c>
      <c r="H1415" t="n">
        <v>-757.83708</v>
      </c>
      <c r="I1415">
        <f>-H3466/G3466</f>
        <v/>
      </c>
    </row>
    <row r="1416">
      <c r="A1416" t="n">
        <v>3835</v>
      </c>
      <c r="B1416" s="16" t="n">
        <v>44531</v>
      </c>
      <c r="C1416" t="inlineStr">
        <is>
          <t>CPR</t>
        </is>
      </c>
      <c r="D1416" t="n">
        <v>40</v>
      </c>
      <c r="E1416">
        <f>IF(D6305&gt;0,VLOOKUP(OPERAC[[#This Row],[COD CART]],[1]!MatrizCortoLargoCyl[#All],3,0),"")</f>
        <v/>
      </c>
      <c r="F1416" t="inlineStr">
        <is>
          <t>MELI</t>
        </is>
      </c>
      <c r="G1416" t="n">
        <v>10</v>
      </c>
      <c r="H1416" t="n">
        <v>-11464.581</v>
      </c>
      <c r="I1416">
        <f>-H6305/G6305</f>
        <v/>
      </c>
      <c r="J1416" s="16" t="n">
        <v>44575</v>
      </c>
      <c r="K1416" t="n">
        <v>10</v>
      </c>
      <c r="L1416" t="n">
        <v>11102.226</v>
      </c>
    </row>
    <row r="1417">
      <c r="A1417" t="n">
        <v>3835</v>
      </c>
      <c r="B1417" s="16" t="n">
        <v>44551</v>
      </c>
      <c r="C1417" t="inlineStr">
        <is>
          <t>CPR</t>
        </is>
      </c>
      <c r="D1417" t="n">
        <v>40</v>
      </c>
      <c r="E1417">
        <f>IF(D6227&gt;0,VLOOKUP(OPERAC[[#This Row],[COD CART]],[1]!MatrizCortoLargoCyl[#All],3,0),"")</f>
        <v/>
      </c>
      <c r="F1417" t="inlineStr">
        <is>
          <t>EDIT</t>
        </is>
      </c>
      <c r="G1417" t="n">
        <v>200</v>
      </c>
      <c r="H1417" t="n">
        <v>-6067.06</v>
      </c>
      <c r="I1417">
        <f>-H6227/G6227</f>
        <v/>
      </c>
      <c r="J1417" s="16" t="n">
        <v>44575</v>
      </c>
      <c r="K1417" t="n">
        <v>200</v>
      </c>
      <c r="L1417" t="n">
        <v>4244.7</v>
      </c>
    </row>
    <row r="1418">
      <c r="A1418" t="n">
        <v>3835</v>
      </c>
      <c r="B1418" s="16" t="n">
        <v>44572</v>
      </c>
      <c r="C1418" t="inlineStr">
        <is>
          <t>VTA</t>
        </is>
      </c>
      <c r="D1418" t="n">
        <v>39</v>
      </c>
      <c r="E1418">
        <f>IF(D776&gt;0,VLOOKUP(OPERAC[[#This Row],[COD CART]],[1]!MatrizCortoLargoCyl[#All],3,0),"")</f>
        <v/>
      </c>
      <c r="F1418" t="inlineStr">
        <is>
          <t>ROKU/V/165,00/14-01-22</t>
        </is>
      </c>
      <c r="G1418" t="n">
        <v>-1000</v>
      </c>
      <c r="H1418" t="n">
        <v>307.79</v>
      </c>
      <c r="I1418">
        <f>-H776/G776</f>
        <v/>
      </c>
      <c r="J1418" s="16" t="n">
        <v>44575</v>
      </c>
      <c r="K1418" t="n">
        <v>-1000</v>
      </c>
      <c r="L1418" t="n">
        <v>-307.79</v>
      </c>
    </row>
    <row r="1419">
      <c r="A1419" t="n">
        <v>3835</v>
      </c>
      <c r="B1419" s="16" t="n">
        <v>44572</v>
      </c>
      <c r="C1419" t="inlineStr">
        <is>
          <t>VTA</t>
        </is>
      </c>
      <c r="D1419" t="n">
        <v>39</v>
      </c>
      <c r="E1419">
        <f>IF(D777&gt;0,VLOOKUP(OPERAC[[#This Row],[COD CART]],[1]!MatrizCortoLargoCyl[#All],3,0),"")</f>
        <v/>
      </c>
      <c r="F1419" t="inlineStr">
        <is>
          <t>ROKU/V/165,00/14-01-22</t>
        </is>
      </c>
      <c r="G1419" t="n">
        <v>-1000</v>
      </c>
      <c r="H1419" t="n">
        <v>307.79</v>
      </c>
      <c r="I1419">
        <f>-H777/G777</f>
        <v/>
      </c>
      <c r="J1419" s="16" t="n">
        <v>44575</v>
      </c>
      <c r="K1419" t="n">
        <v>-1000</v>
      </c>
      <c r="L1419" t="n">
        <v>-307.79</v>
      </c>
    </row>
    <row r="1420">
      <c r="A1420" t="n">
        <v>3835</v>
      </c>
      <c r="B1420" s="16" t="n">
        <v>44575</v>
      </c>
      <c r="C1420" t="inlineStr">
        <is>
          <t>CPR</t>
        </is>
      </c>
      <c r="D1420" t="n">
        <v>40</v>
      </c>
      <c r="E1420">
        <f>IF(D6097&gt;0,VLOOKUP(OPERAC[[#This Row],[COD CART]],[1]!MatrizCortoLargoCyl[#All],3,0),"")</f>
        <v/>
      </c>
      <c r="F1420" t="inlineStr">
        <is>
          <t>GBTC</t>
        </is>
      </c>
      <c r="G1420" t="n">
        <v>135</v>
      </c>
      <c r="H1420" t="n">
        <v>-4130.4006</v>
      </c>
      <c r="I1420">
        <f>-H6097/G6097</f>
        <v/>
      </c>
      <c r="J1420" s="16" t="n">
        <v>44651</v>
      </c>
      <c r="K1420">
        <f>+OPERAC[[#This Row],[cantidad]]</f>
        <v/>
      </c>
      <c r="L1420">
        <f>+OPERAC[[#This Row],[cantidad venta]]*31.332</f>
        <v/>
      </c>
    </row>
    <row r="1421">
      <c r="A1421" t="n">
        <v>3835</v>
      </c>
      <c r="B1421" s="16" t="n">
        <v>44579</v>
      </c>
      <c r="C1421" t="inlineStr">
        <is>
          <t>CPR</t>
        </is>
      </c>
      <c r="D1421" t="n">
        <v>39</v>
      </c>
      <c r="E1421">
        <f>IF(D5823&gt;0,VLOOKUP(OPERAC[[#This Row],[COD CART]],[1]!MatrizCortoLargoCyl[#All],3,0),"")</f>
        <v/>
      </c>
      <c r="F1421" t="inlineStr">
        <is>
          <t>ACB/C/5,00/21-01-22</t>
        </is>
      </c>
      <c r="G1421" t="n">
        <v>10000</v>
      </c>
      <c r="H1421" t="n">
        <v>-2787.58</v>
      </c>
      <c r="I1421">
        <f>-H5823/G5823</f>
        <v/>
      </c>
      <c r="J1421" s="16" t="n">
        <v>44582</v>
      </c>
      <c r="K1421" t="n">
        <v>10000</v>
      </c>
      <c r="L1421" t="n">
        <v>0</v>
      </c>
    </row>
    <row r="1422">
      <c r="A1422" t="n">
        <v>3835</v>
      </c>
      <c r="B1422" s="16" t="n">
        <v>44582</v>
      </c>
      <c r="C1422" t="inlineStr">
        <is>
          <t>VTA</t>
        </is>
      </c>
      <c r="D1422" t="n">
        <v>40</v>
      </c>
      <c r="E1422">
        <f>IF(D5466&gt;0,VLOOKUP(OPERAC[[#This Row],[COD CART]],[1]!MatrizCortoLargoCyl[#All],3,0),"")</f>
        <v/>
      </c>
      <c r="F1422" t="inlineStr">
        <is>
          <t>NFLX</t>
        </is>
      </c>
      <c r="G1422" t="n">
        <v>5</v>
      </c>
      <c r="H1422" t="n">
        <v>-1916.80335</v>
      </c>
      <c r="I1422">
        <f>-H5466/G5466</f>
        <v/>
      </c>
      <c r="J1422" s="16" t="n">
        <v>44593</v>
      </c>
      <c r="K1422">
        <f>+OPERAC[[#This Row],[cantidad]]</f>
        <v/>
      </c>
      <c r="L1422">
        <f>+OPERAC[[#This Row],[cantidad venta]]*448.602</f>
        <v/>
      </c>
    </row>
    <row r="1423">
      <c r="A1423" t="n">
        <v>3835</v>
      </c>
      <c r="B1423" s="16" t="n">
        <v>44615</v>
      </c>
      <c r="C1423" t="inlineStr">
        <is>
          <t>VTA</t>
        </is>
      </c>
      <c r="D1423" t="n">
        <v>39</v>
      </c>
      <c r="E1423">
        <f>IF(D4990&gt;0,VLOOKUP(OPERAC[[#This Row],[COD CART]],[1]!MatrizCortoLargoCyl[#All],3,0),"")</f>
        <v/>
      </c>
      <c r="F1423" t="inlineStr">
        <is>
          <t>HEXO/C/0,50/20-01-23</t>
        </is>
      </c>
      <c r="G1423" t="n">
        <v>5000</v>
      </c>
      <c r="H1423" t="n">
        <v>-1521.46</v>
      </c>
      <c r="I1423">
        <f>-H4990/G4990</f>
        <v/>
      </c>
      <c r="J1423" s="16" t="n">
        <v>44645</v>
      </c>
      <c r="K1423" t="n">
        <v>5000</v>
      </c>
      <c r="L1423" t="n">
        <v>1863.02</v>
      </c>
    </row>
    <row r="1424">
      <c r="A1424" t="n">
        <v>3835</v>
      </c>
      <c r="B1424" s="16" t="n">
        <v>44622</v>
      </c>
      <c r="C1424" t="inlineStr">
        <is>
          <t>CPR</t>
        </is>
      </c>
      <c r="D1424" t="n">
        <v>32</v>
      </c>
      <c r="E1424">
        <f>IF(D5855&gt;0,VLOOKUP(OPERAC[[#This Row],[COD CART]],[1]!MatrizCortoLargoCyl[#All],3,0),"")</f>
        <v/>
      </c>
      <c r="F1424" t="inlineStr">
        <is>
          <t>AMC/CYL/16,00/14-04-22</t>
        </is>
      </c>
      <c r="G1424" t="n">
        <v>200</v>
      </c>
      <c r="H1424" t="n">
        <v>-2890.6306</v>
      </c>
      <c r="I1424">
        <f>-H5855/G5855</f>
        <v/>
      </c>
      <c r="J1424" s="16" t="n">
        <v>44648</v>
      </c>
      <c r="K1424" t="n">
        <v>200</v>
      </c>
      <c r="L1424" t="n">
        <v>3163.55</v>
      </c>
    </row>
    <row r="1425">
      <c r="A1425" t="n">
        <v>3835</v>
      </c>
      <c r="B1425" s="16" t="n">
        <v>44648</v>
      </c>
      <c r="C1425" t="inlineStr">
        <is>
          <t>CPR</t>
        </is>
      </c>
      <c r="D1425" t="n">
        <v>42</v>
      </c>
      <c r="E1425">
        <f>IF(D3662&gt;0,VLOOKUP(OPERAC[[#This Row],[COD CART]],[1]!MatrizCortoLargoCyl[#All],3,0),"")</f>
        <v/>
      </c>
      <c r="F1425" t="inlineStr">
        <is>
          <t>SMH</t>
        </is>
      </c>
      <c r="G1425" t="n">
        <v>3</v>
      </c>
      <c r="H1425" t="n">
        <v>-814.4663099999999</v>
      </c>
      <c r="I1425">
        <f>-H3662/G3662</f>
        <v/>
      </c>
      <c r="J1425" s="16" t="n">
        <v>44663</v>
      </c>
      <c r="K1425">
        <f>+OPERAC[[#This Row],[cantidad]]</f>
        <v/>
      </c>
      <c r="L1425">
        <f>+OPERAC[[#This Row],[cantidad venta]]*238.066</f>
        <v/>
      </c>
    </row>
    <row r="1426">
      <c r="A1426" t="n">
        <v>3835</v>
      </c>
      <c r="B1426" s="16" t="n">
        <v>44648</v>
      </c>
      <c r="C1426" t="inlineStr">
        <is>
          <t>CPR</t>
        </is>
      </c>
      <c r="D1426" t="n">
        <v>42</v>
      </c>
      <c r="E1426">
        <f>IF(D4402&gt;0,VLOOKUP(OPERAC[[#This Row],[COD CART]],[1]!MatrizCortoLargoCyl[#All],3,0),"")</f>
        <v/>
      </c>
      <c r="F1426" t="inlineStr">
        <is>
          <t>FB</t>
        </is>
      </c>
      <c r="G1426" t="n">
        <v>5</v>
      </c>
      <c r="H1426" t="n">
        <v>-1103.1149</v>
      </c>
      <c r="I1426">
        <f>-H4402/G4402</f>
        <v/>
      </c>
      <c r="J1426" s="16" t="n">
        <v>44671</v>
      </c>
      <c r="K1426">
        <f>+OPERAC[[#This Row],[cantidad]]</f>
        <v/>
      </c>
      <c r="L1426">
        <f>+OPERAC[[#This Row],[cantidad venta]]*213.173</f>
        <v/>
      </c>
    </row>
    <row r="1427">
      <c r="A1427" t="n">
        <v>3835</v>
      </c>
      <c r="B1427" s="16" t="n">
        <v>44648</v>
      </c>
      <c r="C1427" t="inlineStr">
        <is>
          <t>CPR</t>
        </is>
      </c>
      <c r="D1427" t="n">
        <v>42</v>
      </c>
      <c r="E1427">
        <f>IF(D4688&gt;0,VLOOKUP(OPERAC[[#This Row],[COD CART]],[1]!MatrizCortoLargoCyl[#All],3,0),"")</f>
        <v/>
      </c>
      <c r="F1427" t="inlineStr">
        <is>
          <t>ADBE</t>
        </is>
      </c>
      <c r="G1427" t="n">
        <v>3</v>
      </c>
      <c r="H1427" t="n">
        <v>-1315.04187</v>
      </c>
      <c r="I1427">
        <f>-H4688/G4688</f>
        <v/>
      </c>
      <c r="J1427" s="16" t="n">
        <v>44687</v>
      </c>
      <c r="K1427">
        <f>+OPERAC[[#This Row],[cantidad]]</f>
        <v/>
      </c>
      <c r="L1427" t="n">
        <v>1250.12</v>
      </c>
    </row>
    <row r="1428">
      <c r="A1428" t="n">
        <v>3835</v>
      </c>
      <c r="B1428" s="16" t="n">
        <v>44651</v>
      </c>
      <c r="C1428" t="inlineStr">
        <is>
          <t>CPR</t>
        </is>
      </c>
      <c r="D1428" t="n">
        <v>42</v>
      </c>
      <c r="E1428">
        <f>IF(D6100&gt;0,VLOOKUP(OPERAC[[#This Row],[COD CART]],[1]!MatrizCortoLargoCyl[#All],3,0),"")</f>
        <v/>
      </c>
      <c r="F1428" t="inlineStr">
        <is>
          <t>AMD</t>
        </is>
      </c>
      <c r="G1428" t="n">
        <v>37</v>
      </c>
      <c r="H1428" t="n">
        <v>-4184.99563</v>
      </c>
      <c r="I1428">
        <f>-H6100/G6100</f>
        <v/>
      </c>
      <c r="J1428" s="16" t="n">
        <v>44707</v>
      </c>
      <c r="K1428" t="n">
        <v>37</v>
      </c>
      <c r="L1428" t="n">
        <v>3684.657</v>
      </c>
    </row>
    <row r="1429">
      <c r="A1429" t="n">
        <v>3835</v>
      </c>
      <c r="B1429" s="16" t="n">
        <v>44656</v>
      </c>
      <c r="C1429" t="inlineStr">
        <is>
          <t>CPR</t>
        </is>
      </c>
      <c r="D1429" t="n">
        <v>32</v>
      </c>
      <c r="E1429">
        <f>IF(D4528&gt;0,VLOOKUP(OPERAC[[#This Row],[COD CART]],[1]!MatrizCortoLargoCyl[#All],3,0),"")</f>
        <v/>
      </c>
      <c r="F1429" t="inlineStr">
        <is>
          <t>DOLE</t>
        </is>
      </c>
      <c r="G1429" t="n">
        <v>100</v>
      </c>
      <c r="H1429">
        <f>-1281.78+89.219</f>
        <v/>
      </c>
      <c r="I1429">
        <f>-H4528/G4528</f>
        <v/>
      </c>
      <c r="J1429" s="16" t="n">
        <v>44707</v>
      </c>
      <c r="K1429" t="n">
        <v>100</v>
      </c>
      <c r="L1429" t="n">
        <v>1056.063</v>
      </c>
    </row>
    <row r="1430">
      <c r="A1430" t="n">
        <v>3835</v>
      </c>
      <c r="B1430" s="16" t="n">
        <v>44662</v>
      </c>
      <c r="C1430" t="inlineStr">
        <is>
          <t>VTA</t>
        </is>
      </c>
      <c r="D1430" t="n">
        <v>42</v>
      </c>
      <c r="E1430">
        <f>IF(D2514&gt;0,VLOOKUP(OPERAC[[#This Row],[COD CART]],[1]!MatrizCortoLargoCyl[#All],3,0),"")</f>
        <v/>
      </c>
      <c r="F1430" t="inlineStr">
        <is>
          <t>HYDR</t>
        </is>
      </c>
      <c r="G1430" t="n">
        <v>25</v>
      </c>
      <c r="H1430" t="n">
        <v>-461.03545</v>
      </c>
      <c r="I1430">
        <f>-H2514/G2514</f>
        <v/>
      </c>
      <c r="J1430" s="16" t="n">
        <v>44707</v>
      </c>
      <c r="K1430" t="n">
        <v>25</v>
      </c>
      <c r="L1430" t="n">
        <v>342.158</v>
      </c>
    </row>
    <row r="1431">
      <c r="A1431" t="n">
        <v>3835</v>
      </c>
      <c r="B1431" s="16" t="n">
        <v>44664</v>
      </c>
      <c r="C1431" t="inlineStr">
        <is>
          <t>VTA</t>
        </is>
      </c>
      <c r="D1431" t="n">
        <v>42</v>
      </c>
      <c r="E1431">
        <f>IF(D2452&gt;0,VLOOKUP(OPERAC[[#This Row],[COD CART]],[1]!MatrizCortoLargoCyl[#All],3,0),"")</f>
        <v/>
      </c>
      <c r="F1431" t="inlineStr">
        <is>
          <t>PSQ</t>
        </is>
      </c>
      <c r="G1431" t="n">
        <v>35</v>
      </c>
      <c r="H1431" t="n">
        <v>-431.90398251</v>
      </c>
      <c r="I1431">
        <f>-H2452/G2452</f>
        <v/>
      </c>
      <c r="J1431" s="16" t="n">
        <v>44680</v>
      </c>
      <c r="K1431">
        <f>+OPERAC[[#This Row],[cantidad]]</f>
        <v/>
      </c>
      <c r="L1431">
        <f>12.848*OPERAC[[#This Row],[cantidad venta]]</f>
        <v/>
      </c>
    </row>
    <row r="1432">
      <c r="A1432" t="n">
        <v>3835</v>
      </c>
      <c r="B1432" s="16" t="n">
        <v>44671</v>
      </c>
      <c r="C1432" t="inlineStr">
        <is>
          <t>CPR</t>
        </is>
      </c>
      <c r="D1432" t="n">
        <v>42</v>
      </c>
      <c r="E1432">
        <f>IF(D4247&gt;0,VLOOKUP(OPERAC[[#This Row],[COD CART]],[1]!MatrizCortoLargoCyl[#All],3,0),"")</f>
        <v/>
      </c>
      <c r="F1432" t="inlineStr">
        <is>
          <t>NFLX</t>
        </is>
      </c>
      <c r="G1432" t="n">
        <v>4</v>
      </c>
      <c r="H1432" t="n">
        <v>-1010.44944</v>
      </c>
      <c r="I1432">
        <f>-H4247/G4247</f>
        <v/>
      </c>
      <c r="J1432" s="16" t="n">
        <v>44707</v>
      </c>
      <c r="K1432" t="n">
        <v>4</v>
      </c>
      <c r="L1432" t="n">
        <v>765.114</v>
      </c>
    </row>
    <row r="1433">
      <c r="A1433" t="n">
        <v>3835</v>
      </c>
      <c r="B1433" s="16" t="n">
        <v>44680</v>
      </c>
      <c r="C1433" t="inlineStr">
        <is>
          <t>CPR</t>
        </is>
      </c>
      <c r="D1433" t="n">
        <v>42</v>
      </c>
      <c r="E1433">
        <f>IF(D2618&gt;0,VLOOKUP(OPERAC[[#This Row],[COD CART]],[1]!MatrizCortoLargoCyl[#All],3,0),"")</f>
        <v/>
      </c>
      <c r="F1433" t="inlineStr">
        <is>
          <t>XLP</t>
        </is>
      </c>
      <c r="G1433" t="n">
        <v>6</v>
      </c>
      <c r="H1433" t="n">
        <v>-473.0625900000001</v>
      </c>
      <c r="I1433">
        <f>-H2618/G2618</f>
        <v/>
      </c>
      <c r="J1433" s="16" t="n">
        <v>44707</v>
      </c>
      <c r="K1433" t="n">
        <v>6</v>
      </c>
      <c r="L1433" t="n">
        <v>445.324</v>
      </c>
    </row>
    <row r="1434">
      <c r="A1434" t="n">
        <v>3835</v>
      </c>
      <c r="B1434" s="16" t="n">
        <v>44705</v>
      </c>
      <c r="C1434" t="inlineStr">
        <is>
          <t>VTA</t>
        </is>
      </c>
      <c r="D1434" t="n">
        <v>39</v>
      </c>
      <c r="E1434">
        <f>IF(D5597&gt;0,VLOOKUP(OPERAC[[#This Row],[COD CART]],[1]!MatrizCortoLargoCyl[#All],3,0),"")</f>
        <v/>
      </c>
      <c r="F1434" t="inlineStr">
        <is>
          <t>TSLA/C/700,00/17-06-22</t>
        </is>
      </c>
      <c r="G1434" t="n">
        <v>100</v>
      </c>
      <c r="H1434" t="n">
        <v>-2172.17</v>
      </c>
      <c r="I1434">
        <f>-H5597/G5597</f>
        <v/>
      </c>
      <c r="J1434" s="16" t="n">
        <v>44707</v>
      </c>
      <c r="K1434" t="n">
        <v>100</v>
      </c>
      <c r="L1434" t="n">
        <v>5166.828</v>
      </c>
    </row>
    <row r="1435">
      <c r="A1435" t="n">
        <v>3835</v>
      </c>
      <c r="B1435" s="16" t="n">
        <v>44707</v>
      </c>
      <c r="C1435" t="inlineStr">
        <is>
          <t>VTA</t>
        </is>
      </c>
      <c r="D1435" t="n">
        <v>39</v>
      </c>
      <c r="E1435">
        <f>IF(D108&gt;0,VLOOKUP(OPERAC[[#This Row],[COD CART]],[1]!MatrizCortoLargoCyl[#All],3,0),"")</f>
        <v/>
      </c>
      <c r="F1435" t="inlineStr">
        <is>
          <t>TSLA/P/615,00/27-05-22</t>
        </is>
      </c>
      <c r="G1435" t="n">
        <v>-1000</v>
      </c>
      <c r="H1435" t="n">
        <v>3296.7</v>
      </c>
      <c r="I1435">
        <f>-H108/G108</f>
        <v/>
      </c>
      <c r="J1435" s="16" t="n">
        <v>44708</v>
      </c>
      <c r="K1435" t="n">
        <v>-1000</v>
      </c>
      <c r="L1435" t="n">
        <v>0</v>
      </c>
    </row>
    <row r="1436">
      <c r="A1436" t="n">
        <v>3835</v>
      </c>
      <c r="B1436" s="16" t="n">
        <v>44707</v>
      </c>
      <c r="C1436" t="inlineStr">
        <is>
          <t>VTA</t>
        </is>
      </c>
      <c r="D1436" t="n">
        <v>39</v>
      </c>
      <c r="E1436">
        <f>IF(D498&gt;0,VLOOKUP(OPERAC[[#This Row],[COD CART]],[1]!MatrizCortoLargoCyl[#All],3,0),"")</f>
        <v/>
      </c>
      <c r="F1436" t="inlineStr">
        <is>
          <t>TSLA/P/600,00/27-05-22</t>
        </is>
      </c>
      <c r="G1436" t="n">
        <v>-3000</v>
      </c>
      <c r="H1436" t="n">
        <v>929.0700000000001</v>
      </c>
      <c r="I1436">
        <f>-H498/G498</f>
        <v/>
      </c>
      <c r="J1436" s="16" t="n">
        <v>44708</v>
      </c>
      <c r="K1436" t="n">
        <v>-3000</v>
      </c>
      <c r="L1436" t="n">
        <v>0</v>
      </c>
    </row>
    <row r="1437">
      <c r="A1437" t="n">
        <v>3835</v>
      </c>
      <c r="B1437" s="16" t="n">
        <v>44707</v>
      </c>
      <c r="C1437" t="inlineStr">
        <is>
          <t>VTA</t>
        </is>
      </c>
      <c r="D1437" t="n">
        <v>39</v>
      </c>
      <c r="E1437">
        <f>IF(D500&gt;0,VLOOKUP(OPERAC[[#This Row],[COD CART]],[1]!MatrizCortoLargoCyl[#All],3,0),"")</f>
        <v/>
      </c>
      <c r="F1437" t="inlineStr">
        <is>
          <t>TSLA/P/615,00/27-05-22</t>
        </is>
      </c>
      <c r="G1437" t="n">
        <v>-1000</v>
      </c>
      <c r="H1437" t="n">
        <v>919.08</v>
      </c>
      <c r="I1437">
        <f>-H500/G500</f>
        <v/>
      </c>
      <c r="J1437" s="16" t="n">
        <v>44708</v>
      </c>
      <c r="K1437" t="n">
        <v>-1000</v>
      </c>
      <c r="L1437" t="n">
        <v>0</v>
      </c>
    </row>
    <row r="1438">
      <c r="A1438" t="n">
        <v>3835</v>
      </c>
      <c r="B1438" s="16" t="n">
        <v>44718</v>
      </c>
      <c r="C1438" t="inlineStr">
        <is>
          <t>CPR</t>
        </is>
      </c>
      <c r="D1438" t="n">
        <v>42</v>
      </c>
      <c r="E1438">
        <f>IF(D6159&gt;0,VLOOKUP(OPERAC[[#This Row],[COD CART]],[1]!MatrizCortoLargoCyl[#All],3,0),"")</f>
        <v/>
      </c>
      <c r="F1438" t="inlineStr">
        <is>
          <t>UPST</t>
        </is>
      </c>
      <c r="G1438" t="n">
        <v>100</v>
      </c>
      <c r="H1438">
        <f>-4964.96+72.128</f>
        <v/>
      </c>
      <c r="I1438">
        <f>-H6159/G6159</f>
        <v/>
      </c>
    </row>
    <row r="1439">
      <c r="A1439" t="n">
        <v>3835</v>
      </c>
      <c r="B1439" s="16" t="n">
        <v>44725</v>
      </c>
      <c r="C1439" t="inlineStr">
        <is>
          <t>CPR</t>
        </is>
      </c>
      <c r="D1439" t="n">
        <v>40</v>
      </c>
      <c r="E1439">
        <f>IF(D4188&gt;0,VLOOKUP(OPERAC[[#This Row],[COD CART]],[1]!MatrizCortoLargoCyl[#All],3,0),"")</f>
        <v/>
      </c>
      <c r="F1439" t="inlineStr">
        <is>
          <t>EDIT</t>
        </is>
      </c>
      <c r="G1439" t="n">
        <v>100</v>
      </c>
      <c r="H1439" t="n">
        <v>-986.4454599999999</v>
      </c>
      <c r="I1439">
        <f>-H4188/G4188</f>
        <v/>
      </c>
    </row>
    <row r="1440">
      <c r="A1440" t="n">
        <v>3835</v>
      </c>
      <c r="B1440" s="16" t="n">
        <v>44725</v>
      </c>
      <c r="C1440" t="inlineStr">
        <is>
          <t>CPR</t>
        </is>
      </c>
      <c r="D1440" t="n">
        <v>40</v>
      </c>
      <c r="E1440">
        <f>IF(D4715&gt;0,VLOOKUP(OPERAC[[#This Row],[COD CART]],[1]!MatrizCortoLargoCyl[#All],3,0),"")</f>
        <v/>
      </c>
      <c r="F1440" t="inlineStr">
        <is>
          <t>AAL</t>
        </is>
      </c>
      <c r="G1440" t="n">
        <v>100</v>
      </c>
      <c r="H1440" t="n">
        <v>-1326.6253</v>
      </c>
      <c r="I1440">
        <f>-H4715/G4715</f>
        <v/>
      </c>
    </row>
    <row r="1441">
      <c r="A1441" t="n">
        <v>3835</v>
      </c>
      <c r="B1441" s="16" t="n">
        <v>44725</v>
      </c>
      <c r="C1441" t="inlineStr">
        <is>
          <t>VTA</t>
        </is>
      </c>
      <c r="D1441" t="n">
        <v>40</v>
      </c>
      <c r="E1441">
        <f>IF(D3104&gt;0,VLOOKUP(OPERAC[[#This Row],[COD CART]],[1]!MatrizCortoLargoCyl[#All],3,0),"")</f>
        <v/>
      </c>
      <c r="F1441" t="inlineStr">
        <is>
          <t>MELI</t>
        </is>
      </c>
      <c r="G1441" t="n">
        <v>1</v>
      </c>
      <c r="H1441" t="n">
        <v>-623.7231</v>
      </c>
      <c r="I1441">
        <f>-H3104/G3104</f>
        <v/>
      </c>
    </row>
    <row r="1442">
      <c r="A1442" t="n">
        <v>3838</v>
      </c>
      <c r="B1442" s="16" t="n">
        <v>44299</v>
      </c>
      <c r="C1442" t="inlineStr">
        <is>
          <t>VTA</t>
        </is>
      </c>
      <c r="D1442" t="n">
        <v>39</v>
      </c>
      <c r="E1442">
        <f>IF(D1218&gt;0,VLOOKUP(OPERAC[[#This Row],[COD CART]],[1]!MatrizCortoLargoCyl[#All],3,0),"")</f>
        <v/>
      </c>
      <c r="F1442" t="inlineStr">
        <is>
          <t>TLRY/V/10,00/19-01-24</t>
        </is>
      </c>
      <c r="G1442" t="n">
        <v>-2</v>
      </c>
      <c r="H1442" t="n">
        <v>7.4926</v>
      </c>
      <c r="I1442">
        <f>-H1218/G1218</f>
        <v/>
      </c>
    </row>
    <row r="1443">
      <c r="A1443" t="n">
        <v>3838</v>
      </c>
      <c r="B1443" s="16" t="n">
        <v>44460</v>
      </c>
      <c r="C1443" t="inlineStr">
        <is>
          <t>CPR</t>
        </is>
      </c>
      <c r="D1443" t="n">
        <v>40</v>
      </c>
      <c r="E1443">
        <f>IF(D3416&gt;0,VLOOKUP(OPERAC[[#This Row],[COD CART]],[1]!MatrizCortoLargoCyl[#All],3,0),"")</f>
        <v/>
      </c>
      <c r="F1443" t="inlineStr">
        <is>
          <t>EDU</t>
        </is>
      </c>
      <c r="G1443" t="n">
        <v>700</v>
      </c>
      <c r="H1443">
        <f>OPERAC[[#This Row],[cantidad]]*-1.084+0.04*OPERAC[[#This Row],[cantidad]]</f>
        <v/>
      </c>
      <c r="I1443">
        <f>-H3416/G3416</f>
        <v/>
      </c>
      <c r="J1443" s="16" t="n">
        <v>44617</v>
      </c>
      <c r="K1443" t="n">
        <v>700</v>
      </c>
      <c r="L1443">
        <f>+OPERAC[[#This Row],[cantidad venta]]*1.364</f>
        <v/>
      </c>
    </row>
    <row r="1444">
      <c r="A1444" t="n">
        <v>3838</v>
      </c>
      <c r="B1444" s="16" t="n">
        <v>44466</v>
      </c>
      <c r="C1444" t="inlineStr">
        <is>
          <t>VTA</t>
        </is>
      </c>
      <c r="D1444" t="n">
        <v>43</v>
      </c>
      <c r="E1444">
        <f>IF(D1583&gt;0,VLOOKUP(OPERAC[[#This Row],[COD CART]],[1]!MatrizCortoLargoCyl[#All],3,0),"")</f>
        <v/>
      </c>
      <c r="F1444" t="inlineStr">
        <is>
          <t>SOLO/CYL-PUT/4,00/16-09-22</t>
        </is>
      </c>
      <c r="G1444" t="n">
        <v>100</v>
      </c>
      <c r="H1444">
        <f>-297.41727+0.32*OPERAC[[#This Row],[cantidad]]+0.387*OPERAC[[#This Row],[cantidad]]+0.22*OPERAC[[#This Row],[cantidad]]</f>
        <v/>
      </c>
      <c r="I1444">
        <f>-H1583/G1583</f>
        <v/>
      </c>
    </row>
    <row r="1445">
      <c r="A1445" t="n">
        <v>3838</v>
      </c>
      <c r="B1445" s="16" t="n">
        <v>44489</v>
      </c>
      <c r="C1445" t="inlineStr">
        <is>
          <t>VTA</t>
        </is>
      </c>
      <c r="D1445" t="n">
        <v>43</v>
      </c>
      <c r="E1445">
        <f>IF(D1515&gt;0,VLOOKUP(OPERAC[[#This Row],[COD CART]],[1]!MatrizCortoLargoCyl[#All],3,0),"")</f>
        <v/>
      </c>
      <c r="F1445" t="inlineStr">
        <is>
          <t>SESN/CYL-PUT/1,00/19-01-24</t>
        </is>
      </c>
      <c r="G1445" t="n">
        <v>1000</v>
      </c>
      <c r="H1445">
        <f>-0.1885*OPERAC[[#This Row],[cantidad]]</f>
        <v/>
      </c>
      <c r="I1445">
        <f>-H1515/G1515</f>
        <v/>
      </c>
    </row>
    <row r="1446">
      <c r="A1446" t="n">
        <v>3838</v>
      </c>
      <c r="B1446" s="16" t="n">
        <v>44495</v>
      </c>
      <c r="C1446" t="inlineStr">
        <is>
          <t>VTA</t>
        </is>
      </c>
      <c r="D1446" t="n">
        <v>39</v>
      </c>
      <c r="E1446">
        <f>IF(D656&gt;0,VLOOKUP(OPERAC[[#This Row],[COD CART]],[1]!MatrizCortoLargoCyl[#All],3,0),"")</f>
        <v/>
      </c>
      <c r="F1446" t="inlineStr">
        <is>
          <t>YPF/CC10/LP7/CP3/19-01-24</t>
        </is>
      </c>
      <c r="G1446" t="n">
        <v>-200</v>
      </c>
      <c r="H1446" t="n">
        <v>482</v>
      </c>
      <c r="I1446">
        <f>-H656/G656</f>
        <v/>
      </c>
    </row>
    <row r="1447">
      <c r="A1447" t="n">
        <v>3838</v>
      </c>
      <c r="B1447" s="16" t="n">
        <v>44523</v>
      </c>
      <c r="C1447" t="inlineStr">
        <is>
          <t>VTA</t>
        </is>
      </c>
      <c r="D1447" t="n">
        <v>40</v>
      </c>
      <c r="E1447">
        <f>IF(D1473&gt;0,VLOOKUP(OPERAC[[#This Row],[COD CART]],[1]!MatrizCortoLargoCyl[#All],3,0),"")</f>
        <v/>
      </c>
      <c r="F1447" t="inlineStr">
        <is>
          <t>EDU</t>
        </is>
      </c>
      <c r="G1447" t="n">
        <v>100</v>
      </c>
      <c r="H1447">
        <f>-177.949+0.026*OPERAC[[#This Row],[cantidad]]</f>
        <v/>
      </c>
      <c r="I1447">
        <f>-H1473/G1473</f>
        <v/>
      </c>
      <c r="J1447" s="16" t="n">
        <v>44617</v>
      </c>
      <c r="K1447" t="n">
        <v>100</v>
      </c>
      <c r="L1447">
        <f>+OPERAC[[#This Row],[cantidad venta]]*1.364</f>
        <v/>
      </c>
    </row>
    <row r="1448">
      <c r="A1448" t="n">
        <v>3838</v>
      </c>
      <c r="B1448" s="16" t="n">
        <v>44536</v>
      </c>
      <c r="C1448" t="inlineStr">
        <is>
          <t>VTA</t>
        </is>
      </c>
      <c r="D1448" t="n">
        <v>43</v>
      </c>
      <c r="E1448">
        <f>IF(D1260&gt;0,VLOOKUP(OPERAC[[#This Row],[COD CART]],[1]!MatrizCortoLargoCyl[#All],3,0),"")</f>
        <v/>
      </c>
      <c r="F1448" t="inlineStr">
        <is>
          <t>HEXO/CYL-PUT/1,00/20-01-23</t>
        </is>
      </c>
      <c r="G1448" t="n">
        <v>100</v>
      </c>
      <c r="H1448">
        <f>-0.1671*OPERAC[[#This Row],[cantidad]]</f>
        <v/>
      </c>
      <c r="I1448">
        <f>-H1260/G1260</f>
        <v/>
      </c>
    </row>
    <row r="1449">
      <c r="A1449" t="n">
        <v>3838</v>
      </c>
      <c r="B1449" s="16" t="n">
        <v>44536</v>
      </c>
      <c r="C1449" t="inlineStr">
        <is>
          <t>VTA</t>
        </is>
      </c>
      <c r="D1449" t="n">
        <v>43</v>
      </c>
      <c r="E1449">
        <f>IF(D1270&gt;0,VLOOKUP(OPERAC[[#This Row],[COD CART]],[1]!MatrizCortoLargoCyl[#All],3,0),"")</f>
        <v/>
      </c>
      <c r="F1449" t="inlineStr">
        <is>
          <t>XSPA/CYL-PUT/1,50/20-01-23</t>
        </is>
      </c>
      <c r="G1449" t="n">
        <v>100</v>
      </c>
      <c r="H1449">
        <f>-0.4462*OPERAC[[#This Row],[cantidad]]</f>
        <v/>
      </c>
      <c r="I1449">
        <f>-H1270/G1270</f>
        <v/>
      </c>
    </row>
    <row r="1450">
      <c r="A1450" t="n">
        <v>3838</v>
      </c>
      <c r="B1450" s="16" t="n">
        <v>44536</v>
      </c>
      <c r="C1450" t="inlineStr">
        <is>
          <t>VTA</t>
        </is>
      </c>
      <c r="D1450" t="n">
        <v>43</v>
      </c>
      <c r="E1450">
        <f>IF(D1338&gt;0,VLOOKUP(OPERAC[[#This Row],[COD CART]],[1]!MatrizCortoLargoCyl[#All],3,0),"")</f>
        <v/>
      </c>
      <c r="F1450" t="inlineStr">
        <is>
          <t>NNDM/CYL-PUT/2,50/19-01-24</t>
        </is>
      </c>
      <c r="G1450" t="n">
        <v>100</v>
      </c>
      <c r="H1450">
        <f>-1.08*OPERAC[[#This Row],[cantidad]]</f>
        <v/>
      </c>
      <c r="I1450">
        <f>-H1338/G1338</f>
        <v/>
      </c>
    </row>
    <row r="1451">
      <c r="A1451" t="n">
        <v>3838</v>
      </c>
      <c r="B1451" s="16" t="n">
        <v>44536</v>
      </c>
      <c r="C1451" t="inlineStr">
        <is>
          <t>VTA</t>
        </is>
      </c>
      <c r="D1451" t="n">
        <v>40</v>
      </c>
      <c r="E1451">
        <f>IF(D2521&gt;0,VLOOKUP(OPERAC[[#This Row],[COD CART]],[1]!MatrizCortoLargoCyl[#All],3,0),"")</f>
        <v/>
      </c>
      <c r="F1451" t="inlineStr">
        <is>
          <t>UVXY</t>
        </is>
      </c>
      <c r="G1451" t="n">
        <v>20</v>
      </c>
      <c r="H1451" t="n">
        <v>-463.5784</v>
      </c>
      <c r="I1451">
        <f>-H2521/G2521</f>
        <v/>
      </c>
      <c r="J1451" s="16" t="n">
        <v>44571</v>
      </c>
      <c r="K1451">
        <f>+OPERAC[[#This Row],[cantidad]]</f>
        <v/>
      </c>
      <c r="L1451">
        <f>+OPERAC[[#This Row],[cantidad venta]]*14.135</f>
        <v/>
      </c>
    </row>
    <row r="1452">
      <c r="A1452" t="n">
        <v>3838</v>
      </c>
      <c r="B1452" s="16" t="n">
        <v>44587</v>
      </c>
      <c r="C1452" t="inlineStr">
        <is>
          <t>VTA</t>
        </is>
      </c>
      <c r="D1452" t="n">
        <v>40</v>
      </c>
      <c r="E1452">
        <f>IF(D3046&gt;0,VLOOKUP(OPERAC[[#This Row],[COD CART]],[1]!MatrizCortoLargoCyl[#All],3,0),"")</f>
        <v/>
      </c>
      <c r="F1452" t="inlineStr">
        <is>
          <t>MSFT</t>
        </is>
      </c>
      <c r="G1452" t="n">
        <v>2</v>
      </c>
      <c r="H1452" t="n">
        <v>-606.8225200000001</v>
      </c>
      <c r="I1452">
        <f>-H3046/G3046</f>
        <v/>
      </c>
      <c r="J1452" s="16" t="n">
        <v>44677</v>
      </c>
      <c r="K1452" t="n">
        <v>2</v>
      </c>
      <c r="L1452" t="n">
        <v>547.447</v>
      </c>
    </row>
    <row r="1453">
      <c r="A1453" t="n">
        <v>3838</v>
      </c>
      <c r="B1453" s="16" t="n">
        <v>44594</v>
      </c>
      <c r="C1453" t="inlineStr">
        <is>
          <t>CPR</t>
        </is>
      </c>
      <c r="D1453" t="n">
        <v>40</v>
      </c>
      <c r="E1453">
        <f>IF(D4817&gt;0,VLOOKUP(OPERAC[[#This Row],[COD CART]],[1]!MatrizCortoLargoCyl[#All],3,0),"")</f>
        <v/>
      </c>
      <c r="F1453" t="inlineStr">
        <is>
          <t>EDU</t>
        </is>
      </c>
      <c r="G1453" t="n">
        <v>700</v>
      </c>
      <c r="H1453" t="n">
        <v>-1411.2</v>
      </c>
      <c r="I1453">
        <f>-H4817/G4817</f>
        <v/>
      </c>
      <c r="J1453" s="16" t="n">
        <v>44599</v>
      </c>
      <c r="K1453" t="n">
        <v>700</v>
      </c>
      <c r="L1453" t="n">
        <v>1078</v>
      </c>
    </row>
    <row r="1454">
      <c r="A1454" t="n">
        <v>3838</v>
      </c>
      <c r="B1454" s="16" t="n">
        <v>44622</v>
      </c>
      <c r="C1454" t="inlineStr">
        <is>
          <t>CPR</t>
        </is>
      </c>
      <c r="D1454" t="n">
        <v>32</v>
      </c>
      <c r="E1454">
        <f>IF(D4052&gt;0,VLOOKUP(OPERAC[[#This Row],[COD CART]],[1]!MatrizCortoLargoCyl[#All],3,0),"")</f>
        <v/>
      </c>
      <c r="F1454" t="inlineStr">
        <is>
          <t>SABR/CYL/10,00/14-04-22</t>
        </is>
      </c>
      <c r="G1454" t="n">
        <v>100</v>
      </c>
      <c r="H1454" t="n">
        <v>-928.9848000000001</v>
      </c>
      <c r="I1454">
        <f>-H4052/G4052</f>
        <v/>
      </c>
      <c r="J1454" s="16" t="n">
        <v>44649</v>
      </c>
      <c r="K1454" t="n">
        <v>100</v>
      </c>
      <c r="L1454" t="n">
        <v>982.1799999999999</v>
      </c>
    </row>
    <row r="1455">
      <c r="A1455" t="n">
        <v>3838</v>
      </c>
      <c r="B1455" s="16" t="n">
        <v>44641</v>
      </c>
      <c r="C1455" t="inlineStr">
        <is>
          <t>VTA</t>
        </is>
      </c>
      <c r="D1455" t="n">
        <v>42</v>
      </c>
      <c r="E1455">
        <f>IF(D1400&gt;0,VLOOKUP(OPERAC[[#This Row],[COD CART]],[1]!MatrizCortoLargoCyl[#All],3,0),"")</f>
        <v/>
      </c>
      <c r="F1455" t="inlineStr">
        <is>
          <t>JPM</t>
        </is>
      </c>
      <c r="G1455" t="n">
        <v>1</v>
      </c>
      <c r="H1455" t="n">
        <v>-140.45434</v>
      </c>
      <c r="I1455">
        <f>-H1400/G1400</f>
        <v/>
      </c>
      <c r="J1455" s="16" t="n">
        <v>44664</v>
      </c>
      <c r="K1455">
        <f>+OPERAC[[#This Row],[cantidad]]</f>
        <v/>
      </c>
      <c r="L1455">
        <f>+OPERAC[[#This Row],[cantidad venta]]*125.943</f>
        <v/>
      </c>
    </row>
    <row r="1456">
      <c r="A1456" t="n">
        <v>3838</v>
      </c>
      <c r="B1456" s="16" t="n">
        <v>44649</v>
      </c>
      <c r="C1456" t="inlineStr">
        <is>
          <t>VTA</t>
        </is>
      </c>
      <c r="D1456" t="n">
        <v>42</v>
      </c>
      <c r="E1456">
        <f>IF(D2558&gt;0,VLOOKUP(OPERAC[[#This Row],[COD CART]],[1]!MatrizCortoLargoCyl[#All],3,0),"")</f>
        <v/>
      </c>
      <c r="F1456" t="inlineStr">
        <is>
          <t>FB</t>
        </is>
      </c>
      <c r="G1456" t="n">
        <v>2</v>
      </c>
      <c r="H1456" t="n">
        <v>-465.27288</v>
      </c>
      <c r="I1456">
        <f>-H2558/G2558</f>
        <v/>
      </c>
      <c r="J1456" s="16" t="n">
        <v>44671</v>
      </c>
      <c r="K1456">
        <f>+OPERAC[[#This Row],[cantidad]]</f>
        <v/>
      </c>
      <c r="L1456">
        <f>+OPERAC[[#This Row],[cantidad venta]]*213.173</f>
        <v/>
      </c>
    </row>
    <row r="1457">
      <c r="A1457" t="n">
        <v>3838</v>
      </c>
      <c r="B1457" s="16" t="n">
        <v>44649</v>
      </c>
      <c r="C1457" t="inlineStr">
        <is>
          <t>VTA</t>
        </is>
      </c>
      <c r="D1457" t="n">
        <v>42</v>
      </c>
      <c r="E1457">
        <f>IF(D3001&gt;0,VLOOKUP(OPERAC[[#This Row],[COD CART]],[1]!MatrizCortoLargoCyl[#All],3,0),"")</f>
        <v/>
      </c>
      <c r="F1457" t="inlineStr">
        <is>
          <t>DIS</t>
        </is>
      </c>
      <c r="G1457" t="n">
        <v>4</v>
      </c>
      <c r="H1457" t="n">
        <v>-575.400092</v>
      </c>
      <c r="I1457">
        <f>-H3001/G3001</f>
        <v/>
      </c>
      <c r="J1457" s="16" t="n">
        <v>44671</v>
      </c>
      <c r="K1457">
        <f>+OPERAC[[#This Row],[cantidad]]</f>
        <v/>
      </c>
      <c r="L1457">
        <f>+OPERAC[[#This Row],[cantidad venta]]*123.621</f>
        <v/>
      </c>
    </row>
    <row r="1458">
      <c r="A1458" t="n">
        <v>3838</v>
      </c>
      <c r="B1458" s="16" t="n">
        <v>44662</v>
      </c>
      <c r="C1458" t="inlineStr">
        <is>
          <t>VTA</t>
        </is>
      </c>
      <c r="D1458" t="n">
        <v>42</v>
      </c>
      <c r="E1458">
        <f>IF(D1494&gt;0,VLOOKUP(OPERAC[[#This Row],[COD CART]],[1]!MatrizCortoLargoCyl[#All],3,0),"")</f>
        <v/>
      </c>
      <c r="F1458" t="inlineStr">
        <is>
          <t>HYDR</t>
        </is>
      </c>
      <c r="G1458" t="n">
        <v>10</v>
      </c>
      <c r="H1458" t="n">
        <v>-185.70344</v>
      </c>
      <c r="I1458">
        <f>-H1494/G1494</f>
        <v/>
      </c>
      <c r="J1458" s="16" t="n">
        <v>44693</v>
      </c>
      <c r="K1458">
        <f>+OPERAC[[#This Row],[cantidad]]</f>
        <v/>
      </c>
      <c r="L1458">
        <f>+OPERAC[[#This Row],[cantidad venta]]*12.027</f>
        <v/>
      </c>
    </row>
    <row r="1459">
      <c r="A1459" t="n">
        <v>3838</v>
      </c>
      <c r="B1459" s="16" t="n">
        <v>44664</v>
      </c>
      <c r="C1459" t="inlineStr">
        <is>
          <t>VTA</t>
        </is>
      </c>
      <c r="D1459" t="n">
        <v>42</v>
      </c>
      <c r="E1459">
        <f>IF(D1375&gt;0,VLOOKUP(OPERAC[[#This Row],[COD CART]],[1]!MatrizCortoLargoCyl[#All],3,0),"")</f>
        <v/>
      </c>
      <c r="F1459" t="inlineStr">
        <is>
          <t>PSQ</t>
        </is>
      </c>
      <c r="G1459" t="n">
        <v>10</v>
      </c>
      <c r="H1459" t="n">
        <v>-124.32572181</v>
      </c>
      <c r="I1459">
        <f>-H1375/G1375</f>
        <v/>
      </c>
      <c r="J1459" s="16" t="n">
        <v>44680</v>
      </c>
      <c r="K1459">
        <f>+OPERAC[[#This Row],[cantidad]]</f>
        <v/>
      </c>
      <c r="L1459">
        <f>12.848*OPERAC[[#This Row],[cantidad venta]]</f>
        <v/>
      </c>
    </row>
    <row r="1460">
      <c r="A1460" t="n">
        <v>3838</v>
      </c>
      <c r="B1460" s="16" t="n">
        <v>44670</v>
      </c>
      <c r="C1460" t="inlineStr">
        <is>
          <t>CPR</t>
        </is>
      </c>
      <c r="D1460" t="n">
        <v>32</v>
      </c>
      <c r="E1460">
        <f>IF(D3385&gt;0,VLOOKUP(OPERAC[[#This Row],[COD CART]],[1]!MatrizCortoLargoCyl[#All],3,0),"")</f>
        <v/>
      </c>
      <c r="F1460" t="inlineStr">
        <is>
          <t>PCT/CYL/7,50/20-05-22</t>
        </is>
      </c>
      <c r="G1460" t="n">
        <v>100</v>
      </c>
      <c r="H1460" t="n">
        <v>-710.274</v>
      </c>
      <c r="I1460">
        <f>-H3385/G3385</f>
        <v/>
      </c>
      <c r="J1460" s="16" t="n">
        <v>44698</v>
      </c>
      <c r="K1460">
        <f>+OPERAC[[#This Row],[cantidad]]</f>
        <v/>
      </c>
      <c r="L1460">
        <f>7.3616*OPERAC[[#This Row],[cantidad venta]]</f>
        <v/>
      </c>
    </row>
    <row r="1461">
      <c r="A1461" t="n">
        <v>3838</v>
      </c>
      <c r="B1461" s="16" t="n">
        <v>44671</v>
      </c>
      <c r="C1461" t="inlineStr">
        <is>
          <t>CPR</t>
        </is>
      </c>
      <c r="D1461" t="n">
        <v>42</v>
      </c>
      <c r="E1461">
        <f>IF(D2678&gt;0,VLOOKUP(OPERAC[[#This Row],[COD CART]],[1]!MatrizCortoLargoCyl[#All],3,0),"")</f>
        <v/>
      </c>
      <c r="F1461" t="inlineStr">
        <is>
          <t>TLT</t>
        </is>
      </c>
      <c r="G1461" t="n">
        <v>4</v>
      </c>
      <c r="H1461" t="n">
        <v>-490.25202</v>
      </c>
      <c r="I1461">
        <f>-H2678/G2678</f>
        <v/>
      </c>
      <c r="J1461" s="16" t="n">
        <v>44677</v>
      </c>
      <c r="K1461" t="n">
        <v>4</v>
      </c>
      <c r="L1461" t="n">
        <v>485.518</v>
      </c>
    </row>
    <row r="1462">
      <c r="A1462" t="n">
        <v>3838</v>
      </c>
      <c r="B1462" s="16" t="n">
        <v>44671</v>
      </c>
      <c r="C1462" t="inlineStr">
        <is>
          <t>CPR</t>
        </is>
      </c>
      <c r="D1462" t="n">
        <v>42</v>
      </c>
      <c r="E1462">
        <f>IF(D2756&gt;0,VLOOKUP(OPERAC[[#This Row],[COD CART]],[1]!MatrizCortoLargoCyl[#All],3,0),"")</f>
        <v/>
      </c>
      <c r="F1462" t="inlineStr">
        <is>
          <t>NFLX</t>
        </is>
      </c>
      <c r="G1462" t="n">
        <v>2</v>
      </c>
      <c r="H1462" t="n">
        <v>-509.01012</v>
      </c>
      <c r="I1462">
        <f>-H2756/G2756</f>
        <v/>
      </c>
      <c r="J1462" s="16" t="n">
        <v>44704</v>
      </c>
      <c r="K1462" t="n">
        <v>2</v>
      </c>
      <c r="L1462" t="n">
        <v>363.98</v>
      </c>
    </row>
    <row r="1463">
      <c r="A1463" t="n">
        <v>3838</v>
      </c>
      <c r="B1463" s="16" t="n">
        <v>44680</v>
      </c>
      <c r="C1463" t="inlineStr">
        <is>
          <t>VTA</t>
        </is>
      </c>
      <c r="D1463" t="n">
        <v>42</v>
      </c>
      <c r="E1463">
        <f>IF(D1445&gt;0,VLOOKUP(OPERAC[[#This Row],[COD CART]],[1]!MatrizCortoLargoCyl[#All],3,0),"")</f>
        <v/>
      </c>
      <c r="F1463" t="inlineStr">
        <is>
          <t>XLP</t>
        </is>
      </c>
      <c r="G1463" t="n">
        <v>2</v>
      </c>
      <c r="H1463" t="n">
        <v>-158.869005</v>
      </c>
      <c r="I1463">
        <f>-H1445/G1445</f>
        <v/>
      </c>
      <c r="J1463" s="16" t="n">
        <v>44693</v>
      </c>
      <c r="K1463">
        <f>+OPERAC[[#This Row],[cantidad]]</f>
        <v/>
      </c>
      <c r="L1463">
        <f>+OPERAC[[#This Row],[cantidad venta]]*75.648</f>
        <v/>
      </c>
    </row>
    <row r="1464">
      <c r="A1464" t="n">
        <v>3838</v>
      </c>
      <c r="B1464" s="16" t="n">
        <v>44713</v>
      </c>
      <c r="C1464" t="inlineStr">
        <is>
          <t>CPR</t>
        </is>
      </c>
      <c r="D1464" t="n">
        <v>42</v>
      </c>
      <c r="E1464">
        <f>IF(D3409&gt;0,VLOOKUP(OPERAC[[#This Row],[COD CART]],[1]!MatrizCortoLargoCyl[#All],3,0),"")</f>
        <v/>
      </c>
      <c r="F1464" t="inlineStr">
        <is>
          <t>UPST</t>
        </is>
      </c>
      <c r="G1464" t="n">
        <v>15</v>
      </c>
      <c r="H1464" t="n">
        <v>-722.2022999999999</v>
      </c>
      <c r="I1464">
        <f>-H3409/G3409</f>
        <v/>
      </c>
      <c r="J1464" s="16" t="n">
        <v>44714</v>
      </c>
      <c r="K1464">
        <f>+OPERAC[[#This Row],[cantidad]]</f>
        <v/>
      </c>
      <c r="L1464">
        <f>+OPERAC[[#This Row],[cantidad venta]]*49.312</f>
        <v/>
      </c>
    </row>
    <row r="1465">
      <c r="A1465" t="n">
        <v>3838</v>
      </c>
      <c r="B1465" s="16" t="n">
        <v>44718</v>
      </c>
      <c r="C1465" t="inlineStr">
        <is>
          <t>CPR</t>
        </is>
      </c>
      <c r="D1465" t="n">
        <v>32</v>
      </c>
      <c r="E1465">
        <f>IF(D4597&gt;0,VLOOKUP(OPERAC[[#This Row],[COD CART]],[1]!MatrizCortoLargoCyl[#All],3,0),"")</f>
        <v/>
      </c>
      <c r="F1465" t="inlineStr">
        <is>
          <t>CCL/CYL/13,00/17-06-22</t>
        </is>
      </c>
      <c r="G1465" t="n">
        <v>100</v>
      </c>
      <c r="H1465" t="n">
        <v>-1255.43</v>
      </c>
      <c r="I1465">
        <f>-H4597/G4597</f>
        <v/>
      </c>
    </row>
    <row r="1466">
      <c r="A1466" t="n">
        <v>3852</v>
      </c>
      <c r="B1466" s="16" t="n">
        <v>44438</v>
      </c>
      <c r="C1466" t="inlineStr">
        <is>
          <t>VTA</t>
        </is>
      </c>
      <c r="D1466" t="n">
        <v>40</v>
      </c>
      <c r="E1466">
        <f>IF(D1932&gt;0,VLOOKUP(OPERAC[[#This Row],[COD CART]],[1]!MatrizCortoLargoCyl[#All],3,0),"")</f>
        <v/>
      </c>
      <c r="F1466" t="inlineStr">
        <is>
          <t>MTCR</t>
        </is>
      </c>
      <c r="G1466" t="n">
        <v>100</v>
      </c>
      <c r="H1466">
        <f>-323.06+23.435</f>
        <v/>
      </c>
      <c r="I1466">
        <f>-H1932/G1932</f>
        <v/>
      </c>
    </row>
    <row r="1467">
      <c r="A1467" t="n">
        <v>3852</v>
      </c>
      <c r="B1467" s="16" t="n">
        <v>44489</v>
      </c>
      <c r="C1467" t="inlineStr">
        <is>
          <t>VTA</t>
        </is>
      </c>
      <c r="D1467" t="n">
        <v>43</v>
      </c>
      <c r="E1467">
        <f>IF(D1516&gt;0,VLOOKUP(OPERAC[[#This Row],[COD CART]],[1]!MatrizCortoLargoCyl[#All],3,0),"")</f>
        <v/>
      </c>
      <c r="F1467" t="inlineStr">
        <is>
          <t>SESN/CYL-PUT/1,00/19-01-24</t>
        </is>
      </c>
      <c r="G1467" t="n">
        <v>1000</v>
      </c>
      <c r="H1467">
        <f>-0.1885*OPERAC[[#This Row],[cantidad]]</f>
        <v/>
      </c>
      <c r="I1467">
        <f>-H1516/G1516</f>
        <v/>
      </c>
    </row>
    <row r="1468">
      <c r="A1468" t="n">
        <v>3852</v>
      </c>
      <c r="B1468" s="16" t="n">
        <v>44539</v>
      </c>
      <c r="C1468" t="inlineStr">
        <is>
          <t>VTA</t>
        </is>
      </c>
      <c r="D1468" t="n">
        <v>40</v>
      </c>
      <c r="E1468">
        <f>IF(D1761&gt;0,VLOOKUP(OPERAC[[#This Row],[COD CART]],[1]!MatrizCortoLargoCyl[#All],3,0),"")</f>
        <v/>
      </c>
      <c r="F1468" t="inlineStr">
        <is>
          <t>ROKU</t>
        </is>
      </c>
      <c r="G1468" t="n">
        <v>1</v>
      </c>
      <c r="H1468" t="n">
        <v>-257.72036</v>
      </c>
      <c r="I1468">
        <f>-H1761/G1761</f>
        <v/>
      </c>
      <c r="J1468" s="16" t="n">
        <v>44606</v>
      </c>
      <c r="K1468">
        <f>+OPERAC[[#This Row],[cantidad]]</f>
        <v/>
      </c>
      <c r="L1468">
        <f>+OPERAC[[#This Row],[cantidad venta]]*160.574</f>
        <v/>
      </c>
    </row>
    <row r="1469">
      <c r="A1469" t="n">
        <v>3852</v>
      </c>
      <c r="B1469" s="16" t="n">
        <v>44587</v>
      </c>
      <c r="C1469" t="inlineStr">
        <is>
          <t>VTA</t>
        </is>
      </c>
      <c r="D1469" t="n">
        <v>40</v>
      </c>
      <c r="E1469">
        <f>IF(D1956&gt;0,VLOOKUP(OPERAC[[#This Row],[COD CART]],[1]!MatrizCortoLargoCyl[#All],3,0),"")</f>
        <v/>
      </c>
      <c r="F1469" t="inlineStr">
        <is>
          <t>MSFT</t>
        </is>
      </c>
      <c r="G1469" t="n">
        <v>1</v>
      </c>
      <c r="H1469" t="n">
        <v>-301.30433</v>
      </c>
      <c r="I1469">
        <f>-H1956/G1956</f>
        <v/>
      </c>
      <c r="J1469" s="16" t="n">
        <v>44606</v>
      </c>
      <c r="K1469">
        <f>+OPERAC[[#This Row],[cantidad]]</f>
        <v/>
      </c>
      <c r="L1469">
        <f>+OPERAC[[#This Row],[cantidad venta]]*290.091</f>
        <v/>
      </c>
    </row>
    <row r="1470">
      <c r="A1470" t="n">
        <v>3852</v>
      </c>
      <c r="B1470" s="16" t="n">
        <v>44608</v>
      </c>
      <c r="C1470" t="inlineStr">
        <is>
          <t>VTA</t>
        </is>
      </c>
      <c r="D1470" t="n">
        <v>40</v>
      </c>
      <c r="E1470">
        <f>IF(D1774&gt;0,VLOOKUP(OPERAC[[#This Row],[COD CART]],[1]!MatrizCortoLargoCyl[#All],3,0),"")</f>
        <v/>
      </c>
      <c r="F1470" t="inlineStr">
        <is>
          <t>NVDA</t>
        </is>
      </c>
      <c r="G1470" t="n">
        <v>1</v>
      </c>
      <c r="H1470" t="n">
        <v>-261.1659</v>
      </c>
      <c r="I1470">
        <f>-H1774/G1774</f>
        <v/>
      </c>
      <c r="J1470" s="16" t="n">
        <v>44616</v>
      </c>
      <c r="K1470">
        <f>+OPERAC[[#This Row],[cantidad]]</f>
        <v/>
      </c>
      <c r="L1470">
        <f>+OPERAC[[#This Row],[cantidad venta]]*224.117</f>
        <v/>
      </c>
    </row>
    <row r="1471">
      <c r="A1471" t="n">
        <v>3852</v>
      </c>
      <c r="B1471" s="16" t="n">
        <v>44622</v>
      </c>
      <c r="C1471" t="inlineStr">
        <is>
          <t>VTA</t>
        </is>
      </c>
      <c r="D1471" t="n">
        <v>32</v>
      </c>
      <c r="E1471">
        <f>IF(D2552&gt;0,VLOOKUP(OPERAC[[#This Row],[COD CART]],[1]!MatrizCortoLargoCyl[#All],3,0),"")</f>
        <v/>
      </c>
      <c r="F1471" t="inlineStr">
        <is>
          <t>HMY/CYL/5,00/18-03-22</t>
        </is>
      </c>
      <c r="G1471" t="n">
        <v>100</v>
      </c>
      <c r="H1471" t="n">
        <v>-465.004</v>
      </c>
      <c r="I1471">
        <f>-H2552/G2552</f>
        <v/>
      </c>
      <c r="J1471" s="16" t="n">
        <v>44637</v>
      </c>
      <c r="K1471">
        <f>+OPERAC[[#This Row],[cantidad]]</f>
        <v/>
      </c>
      <c r="L1471">
        <f>4.85553*OPERAC[[#This Row],[cantidad venta]]</f>
        <v/>
      </c>
    </row>
    <row r="1472">
      <c r="A1472" t="n">
        <v>3852</v>
      </c>
      <c r="B1472" s="16" t="n">
        <v>44641</v>
      </c>
      <c r="C1472" t="inlineStr">
        <is>
          <t>VTA</t>
        </is>
      </c>
      <c r="D1472" t="n">
        <v>42</v>
      </c>
      <c r="E1472">
        <f>IF(D2385&gt;0,VLOOKUP(OPERAC[[#This Row],[COD CART]],[1]!MatrizCortoLargoCyl[#All],3,0),"")</f>
        <v/>
      </c>
      <c r="F1472" t="inlineStr">
        <is>
          <t>FB</t>
        </is>
      </c>
      <c r="G1472" t="n">
        <v>2</v>
      </c>
      <c r="H1472" t="n">
        <v>-421.36632</v>
      </c>
      <c r="I1472">
        <f>-H2385/G2385</f>
        <v/>
      </c>
      <c r="J1472" s="16" t="n">
        <v>44671</v>
      </c>
      <c r="K1472">
        <f>+OPERAC[[#This Row],[cantidad]]</f>
        <v/>
      </c>
      <c r="L1472">
        <f>+OPERAC[[#This Row],[cantidad venta]]*213.173</f>
        <v/>
      </c>
    </row>
    <row r="1473">
      <c r="A1473" t="n">
        <v>3852</v>
      </c>
      <c r="B1473" s="16" t="n">
        <v>44662</v>
      </c>
      <c r="C1473" t="inlineStr">
        <is>
          <t>VTA</t>
        </is>
      </c>
      <c r="D1473" t="n">
        <v>42</v>
      </c>
      <c r="E1473">
        <f>IF(D1294&gt;0,VLOOKUP(OPERAC[[#This Row],[COD CART]],[1]!MatrizCortoLargoCyl[#All],3,0),"")</f>
        <v/>
      </c>
      <c r="F1473" t="inlineStr">
        <is>
          <t>HYDR</t>
        </is>
      </c>
      <c r="G1473" t="n">
        <v>5</v>
      </c>
      <c r="H1473" t="n">
        <v>-92.20709000000001</v>
      </c>
      <c r="I1473">
        <f>-H1294/G1294</f>
        <v/>
      </c>
    </row>
    <row r="1474">
      <c r="A1474" t="n">
        <v>3852</v>
      </c>
      <c r="B1474" s="16" t="n">
        <v>44671</v>
      </c>
      <c r="C1474" t="inlineStr">
        <is>
          <t>CPR</t>
        </is>
      </c>
      <c r="D1474" t="n">
        <v>42</v>
      </c>
      <c r="E1474">
        <f>IF(D2726&gt;0,VLOOKUP(OPERAC[[#This Row],[COD CART]],[1]!MatrizCortoLargoCyl[#All],3,0),"")</f>
        <v/>
      </c>
      <c r="F1474" t="inlineStr">
        <is>
          <t>NFLX</t>
        </is>
      </c>
      <c r="G1474" t="n">
        <v>2</v>
      </c>
      <c r="H1474" t="n">
        <v>-505.22472</v>
      </c>
      <c r="I1474">
        <f>-H2726/G2726</f>
        <v/>
      </c>
    </row>
    <row r="1475">
      <c r="A1475" t="n">
        <v>3853</v>
      </c>
      <c r="B1475" s="16" t="n">
        <v>44523</v>
      </c>
      <c r="C1475" t="inlineStr">
        <is>
          <t>VTA</t>
        </is>
      </c>
      <c r="D1475" t="n">
        <v>40</v>
      </c>
      <c r="E1475">
        <f>IF(D2147&gt;0,VLOOKUP(OPERAC[[#This Row],[COD CART]],[1]!MatrizCortoLargoCyl[#All],3,0),"")</f>
        <v/>
      </c>
      <c r="F1475" t="inlineStr">
        <is>
          <t>EDU</t>
        </is>
      </c>
      <c r="G1475" t="n">
        <v>200</v>
      </c>
      <c r="H1475">
        <f>-355.898+0.026*OPERAC[[#This Row],[cantidad]]</f>
        <v/>
      </c>
      <c r="I1475">
        <f>-H2147/G2147</f>
        <v/>
      </c>
      <c r="J1475" s="16" t="n">
        <v>44615</v>
      </c>
      <c r="K1475" t="n">
        <v>200</v>
      </c>
      <c r="L1475" t="n">
        <v>298.953</v>
      </c>
    </row>
    <row r="1476">
      <c r="A1476" t="n">
        <v>3853</v>
      </c>
      <c r="B1476" s="16" t="n">
        <v>44523</v>
      </c>
      <c r="C1476" t="inlineStr">
        <is>
          <t>VTA</t>
        </is>
      </c>
      <c r="D1476" t="n">
        <v>40</v>
      </c>
      <c r="E1476">
        <f>IF(D2311&gt;0,VLOOKUP(OPERAC[[#This Row],[COD CART]],[1]!MatrizCortoLargoCyl[#All],3,0),"")</f>
        <v/>
      </c>
      <c r="F1476" t="inlineStr">
        <is>
          <t>GMBL</t>
        </is>
      </c>
      <c r="G1476" t="n">
        <v>100</v>
      </c>
      <c r="H1476">
        <f>-411.931+9.067</f>
        <v/>
      </c>
      <c r="I1476">
        <f>-H2311/G2311</f>
        <v/>
      </c>
      <c r="J1476" s="16" t="n">
        <v>44622</v>
      </c>
      <c r="K1476" t="n">
        <v>100</v>
      </c>
      <c r="L1476" t="n">
        <v>81.496</v>
      </c>
    </row>
    <row r="1477">
      <c r="A1477" t="n">
        <v>3853</v>
      </c>
      <c r="B1477" s="16" t="n">
        <v>44523</v>
      </c>
      <c r="C1477" t="inlineStr">
        <is>
          <t>VTA</t>
        </is>
      </c>
      <c r="D1477" t="n">
        <v>32</v>
      </c>
      <c r="E1477">
        <f>IF(D3734&gt;0,VLOOKUP(OPERAC[[#This Row],[COD CART]],[1]!MatrizCortoLargoCyl[#All],3,0),"")</f>
        <v/>
      </c>
      <c r="F1477" t="inlineStr">
        <is>
          <t>TEVA/CYL/9,00/21-01-22</t>
        </is>
      </c>
      <c r="G1477" t="n">
        <v>100</v>
      </c>
      <c r="H1477">
        <f>-861.6332+18.874</f>
        <v/>
      </c>
      <c r="I1477">
        <f>-H3734/G3734</f>
        <v/>
      </c>
      <c r="J1477" s="16" t="n">
        <v>44575</v>
      </c>
      <c r="K1477" t="n">
        <v>100</v>
      </c>
      <c r="L1477" t="n">
        <v>878.913</v>
      </c>
    </row>
    <row r="1478">
      <c r="A1478" t="n">
        <v>3853</v>
      </c>
      <c r="B1478" s="16" t="n">
        <v>44531</v>
      </c>
      <c r="C1478" t="inlineStr">
        <is>
          <t>VTA</t>
        </is>
      </c>
      <c r="D1478" t="n">
        <v>39</v>
      </c>
      <c r="E1478">
        <f>IF(D1238&gt;0,VLOOKUP(OPERAC[[#This Row],[COD CART]],[1]!MatrizCortoLargoCyl[#All],3,0),"")</f>
        <v/>
      </c>
      <c r="F1478" t="inlineStr">
        <is>
          <t>MELI/V/740,00/16-09-22</t>
        </is>
      </c>
      <c r="G1478" t="n">
        <v>-2</v>
      </c>
      <c r="H1478" t="n">
        <v>4</v>
      </c>
      <c r="I1478">
        <f>-H1238/G1238</f>
        <v/>
      </c>
      <c r="J1478" s="16" t="n">
        <v>44726</v>
      </c>
      <c r="K1478" t="n">
        <v>-2</v>
      </c>
      <c r="L1478" t="n">
        <v>-4</v>
      </c>
    </row>
    <row r="1479">
      <c r="A1479" t="n">
        <v>3853</v>
      </c>
      <c r="B1479" s="16" t="n">
        <v>44539</v>
      </c>
      <c r="C1479" t="inlineStr">
        <is>
          <t>CPR</t>
        </is>
      </c>
      <c r="D1479" t="n">
        <v>40</v>
      </c>
      <c r="E1479">
        <f>IF(D5719&gt;0,VLOOKUP(OPERAC[[#This Row],[COD CART]],[1]!MatrizCortoLargoCyl[#All],3,0),"")</f>
        <v/>
      </c>
      <c r="F1479" t="inlineStr">
        <is>
          <t>ROKU</t>
        </is>
      </c>
      <c r="G1479" t="n">
        <v>10</v>
      </c>
      <c r="H1479" t="n">
        <v>-2577.2036</v>
      </c>
      <c r="I1479">
        <f>-H5719/G5719</f>
        <v/>
      </c>
      <c r="J1479" s="16" t="n">
        <v>44606</v>
      </c>
      <c r="K1479">
        <f>+OPERAC[[#This Row],[cantidad]]</f>
        <v/>
      </c>
      <c r="L1479">
        <f>+OPERAC[[#This Row],[cantidad venta]]*160.574</f>
        <v/>
      </c>
    </row>
    <row r="1480">
      <c r="A1480" t="n">
        <v>3853</v>
      </c>
      <c r="B1480" s="16" t="n">
        <v>44543</v>
      </c>
      <c r="C1480" t="inlineStr">
        <is>
          <t>VTA</t>
        </is>
      </c>
      <c r="D1480" t="n">
        <v>40</v>
      </c>
      <c r="E1480">
        <f>IF(D2489&gt;0,VLOOKUP(OPERAC[[#This Row],[COD CART]],[1]!MatrizCortoLargoCyl[#All],3,0),"")</f>
        <v/>
      </c>
      <c r="F1480" t="inlineStr">
        <is>
          <t>VIST</t>
        </is>
      </c>
      <c r="G1480" t="n">
        <v>80</v>
      </c>
      <c r="H1480" t="n">
        <v>-447.952</v>
      </c>
      <c r="I1480">
        <f>-H2489/G2489</f>
        <v/>
      </c>
      <c r="J1480" s="16" t="n">
        <v>44574</v>
      </c>
      <c r="K1480">
        <f>+OPERAC[[#This Row],[cantidad]]</f>
        <v/>
      </c>
      <c r="L1480">
        <f>+OPERAC[[#This Row],[cantidad venta]]*6.125</f>
        <v/>
      </c>
    </row>
    <row r="1481">
      <c r="A1481" t="n">
        <v>3853</v>
      </c>
      <c r="B1481" s="16" t="n">
        <v>44547</v>
      </c>
      <c r="C1481" t="inlineStr">
        <is>
          <t>CPR</t>
        </is>
      </c>
      <c r="D1481" t="n">
        <v>32</v>
      </c>
      <c r="E1481">
        <f>IF(D4412&gt;0,VLOOKUP(OPERAC[[#This Row],[COD CART]],[1]!MatrizCortoLargoCyl[#All],3,0),"")</f>
        <v/>
      </c>
      <c r="F1481" t="inlineStr">
        <is>
          <t>HIMX/CYL/12,00/21-01-22</t>
        </is>
      </c>
      <c r="G1481" t="n">
        <v>100</v>
      </c>
      <c r="H1481" t="n">
        <v>-1109.5304</v>
      </c>
      <c r="I1481">
        <f>-H4412/G4412</f>
        <v/>
      </c>
      <c r="J1481" s="16" t="n">
        <v>44575</v>
      </c>
      <c r="K1481" t="n">
        <v>100</v>
      </c>
      <c r="L1481" t="n">
        <v>1170.618</v>
      </c>
    </row>
    <row r="1482">
      <c r="A1482" t="n">
        <v>3853</v>
      </c>
      <c r="B1482" s="16" t="n">
        <v>44547</v>
      </c>
      <c r="C1482" t="inlineStr">
        <is>
          <t>VTA</t>
        </is>
      </c>
      <c r="D1482" t="n">
        <v>32</v>
      </c>
      <c r="E1482">
        <f>IF(D3782&gt;0,VLOOKUP(OPERAC[[#This Row],[COD CART]],[1]!MatrizCortoLargoCyl[#All],3,0),"")</f>
        <v/>
      </c>
      <c r="F1482" t="inlineStr">
        <is>
          <t>ARLO/CYL/9,00/18-02-22</t>
        </is>
      </c>
      <c r="G1482" t="n">
        <v>100</v>
      </c>
      <c r="H1482">
        <f>-866.74+14.88</f>
        <v/>
      </c>
      <c r="I1482">
        <f>-H3782/G3782</f>
        <v/>
      </c>
      <c r="J1482" s="16" t="n">
        <v>44607</v>
      </c>
      <c r="K1482" t="n">
        <v>100</v>
      </c>
      <c r="L1482" t="n">
        <v>875.33</v>
      </c>
    </row>
    <row r="1483">
      <c r="A1483" t="n">
        <v>3853</v>
      </c>
      <c r="B1483" s="16" t="n">
        <v>44552</v>
      </c>
      <c r="C1483" t="inlineStr">
        <is>
          <t>VTA</t>
        </is>
      </c>
      <c r="D1483" t="n">
        <v>32</v>
      </c>
      <c r="E1483">
        <f>IF(D5364&gt;0,VLOOKUP(OPERAC[[#This Row],[COD CART]],[1]!MatrizCortoLargoCyl[#All],3,0),"")</f>
        <v/>
      </c>
      <c r="F1483" t="inlineStr">
        <is>
          <t>MX</t>
        </is>
      </c>
      <c r="G1483" t="n">
        <v>100</v>
      </c>
      <c r="H1483">
        <f>-1879.692+38.986+49.6</f>
        <v/>
      </c>
      <c r="I1483">
        <f>-H5364/G5364</f>
        <v/>
      </c>
      <c r="J1483" s="16" t="n">
        <v>44643</v>
      </c>
      <c r="K1483" t="n">
        <v>100</v>
      </c>
      <c r="L1483" t="n">
        <v>1705.916</v>
      </c>
    </row>
    <row r="1484">
      <c r="A1484" t="n">
        <v>3853</v>
      </c>
      <c r="B1484" s="16" t="n">
        <v>44552</v>
      </c>
      <c r="C1484" t="inlineStr">
        <is>
          <t>VTA</t>
        </is>
      </c>
      <c r="D1484" t="n">
        <v>32</v>
      </c>
      <c r="E1484">
        <f>IF(D5373&gt;0,VLOOKUP(OPERAC[[#This Row],[COD CART]],[1]!MatrizCortoLargoCyl[#All],3,0),"")</f>
        <v/>
      </c>
      <c r="F1484" t="inlineStr">
        <is>
          <t>GOLD/CYL/19,00/21-01-22</t>
        </is>
      </c>
      <c r="G1484" t="n">
        <v>100</v>
      </c>
      <c r="H1484">
        <f>-18.08*OPERAC[[#This Row],[cantidad]]</f>
        <v/>
      </c>
      <c r="I1484">
        <f>-H5373/G5373</f>
        <v/>
      </c>
      <c r="J1484" s="16" t="n">
        <v>44580</v>
      </c>
      <c r="K1484" t="n">
        <v>100</v>
      </c>
      <c r="L1484" t="n">
        <v>1876.846</v>
      </c>
    </row>
    <row r="1485">
      <c r="A1485" t="n">
        <v>3853</v>
      </c>
      <c r="B1485" s="16" t="n">
        <v>44553</v>
      </c>
      <c r="C1485" t="inlineStr">
        <is>
          <t>VTA</t>
        </is>
      </c>
      <c r="D1485" t="n">
        <v>40</v>
      </c>
      <c r="E1485">
        <f>IF(D1800&gt;0,VLOOKUP(OPERAC[[#This Row],[COD CART]],[1]!MatrizCortoLargoCyl[#All],3,0),"")</f>
        <v/>
      </c>
      <c r="F1485" t="inlineStr">
        <is>
          <t>ON</t>
        </is>
      </c>
      <c r="G1485" t="n">
        <v>4</v>
      </c>
      <c r="H1485" t="n">
        <v>-268.4544319999999</v>
      </c>
      <c r="I1485">
        <f>-H1800/G1800</f>
        <v/>
      </c>
      <c r="J1485" s="16" t="n">
        <v>44606</v>
      </c>
      <c r="K1485">
        <f>+OPERAC[[#This Row],[cantidad]]</f>
        <v/>
      </c>
      <c r="L1485">
        <f>+OPERAC[[#This Row],[cantidad venta]]*58.449</f>
        <v/>
      </c>
    </row>
    <row r="1486">
      <c r="A1486" t="n">
        <v>3853</v>
      </c>
      <c r="B1486" s="16" t="n">
        <v>44581</v>
      </c>
      <c r="C1486" t="inlineStr">
        <is>
          <t>CPR</t>
        </is>
      </c>
      <c r="D1486" t="n">
        <v>32</v>
      </c>
      <c r="E1486">
        <f>IF(D3565&gt;0,VLOOKUP(OPERAC[[#This Row],[COD CART]],[1]!MatrizCortoLargoCyl[#All],3,0),"")</f>
        <v/>
      </c>
      <c r="F1486" t="inlineStr">
        <is>
          <t>HMY/CYL/4,00/18-02-22</t>
        </is>
      </c>
      <c r="G1486" t="n">
        <v>200</v>
      </c>
      <c r="H1486" t="n">
        <v>-774.9359920000001</v>
      </c>
      <c r="I1486">
        <f>-H3565/G3565</f>
        <v/>
      </c>
      <c r="J1486" s="16" t="n">
        <v>44610</v>
      </c>
      <c r="K1486">
        <f>+OPERAC[[#This Row],[cantidad]]</f>
        <v/>
      </c>
      <c r="L1486">
        <f>+OPERAC[[#This Row],[cantidad venta]]*3.8323</f>
        <v/>
      </c>
    </row>
    <row r="1487">
      <c r="A1487" t="n">
        <v>3853</v>
      </c>
      <c r="B1487" s="16" t="n">
        <v>44586</v>
      </c>
      <c r="C1487" t="inlineStr">
        <is>
          <t>CPR</t>
        </is>
      </c>
      <c r="D1487" t="n">
        <v>43</v>
      </c>
      <c r="E1487">
        <f>IF(D2734&gt;0,VLOOKUP(OPERAC[[#This Row],[COD CART]],[1]!MatrizCortoLargoCyl[#All],3,0),"")</f>
        <v/>
      </c>
      <c r="F1487" t="inlineStr">
        <is>
          <t>GMBL/CYL-PUT/2,50/20-01-23</t>
        </is>
      </c>
      <c r="G1487" t="n">
        <v>500</v>
      </c>
      <c r="H1487" t="n">
        <v>-508.0223</v>
      </c>
      <c r="I1487">
        <f>-H2734/G2734</f>
        <v/>
      </c>
      <c r="J1487" s="16" t="n">
        <v>44636</v>
      </c>
      <c r="K1487" t="n">
        <v>500</v>
      </c>
      <c r="L1487">
        <f>-1.36*OPERAC[[#This Row],[cantidad venta]]</f>
        <v/>
      </c>
    </row>
    <row r="1488">
      <c r="A1488" t="n">
        <v>3853</v>
      </c>
      <c r="B1488" s="16" t="n">
        <v>44587</v>
      </c>
      <c r="C1488" t="inlineStr">
        <is>
          <t>CPR</t>
        </is>
      </c>
      <c r="D1488" t="n">
        <v>40</v>
      </c>
      <c r="E1488">
        <f>IF(D4976&gt;0,VLOOKUP(OPERAC[[#This Row],[COD CART]],[1]!MatrizCortoLargoCyl[#All],3,0),"")</f>
        <v/>
      </c>
      <c r="F1488" t="inlineStr">
        <is>
          <t>MSFT</t>
        </is>
      </c>
      <c r="G1488" t="n">
        <v>5</v>
      </c>
      <c r="H1488" t="n">
        <v>-1517.0563</v>
      </c>
      <c r="I1488">
        <f>-H4976/G4976</f>
        <v/>
      </c>
      <c r="J1488" s="16" t="n">
        <v>44606</v>
      </c>
      <c r="K1488">
        <f>+OPERAC[[#This Row],[cantidad]]</f>
        <v/>
      </c>
      <c r="L1488">
        <f>+OPERAC[[#This Row],[cantidad venta]]*290.091</f>
        <v/>
      </c>
    </row>
    <row r="1489">
      <c r="A1489" t="n">
        <v>3853</v>
      </c>
      <c r="B1489" s="16" t="n">
        <v>44587</v>
      </c>
      <c r="C1489" t="inlineStr">
        <is>
          <t>VTA</t>
        </is>
      </c>
      <c r="D1489" t="n">
        <v>40</v>
      </c>
      <c r="E1489">
        <f>IF(D5192&gt;0,VLOOKUP(OPERAC[[#This Row],[COD CART]],[1]!MatrizCortoLargoCyl[#All],3,0),"")</f>
        <v/>
      </c>
      <c r="F1489" t="inlineStr">
        <is>
          <t>AAPL</t>
        </is>
      </c>
      <c r="G1489" t="n">
        <v>10</v>
      </c>
      <c r="H1489" t="n">
        <v>-1640.5442</v>
      </c>
      <c r="I1489">
        <f>-H5192/G5192</f>
        <v/>
      </c>
      <c r="J1489" s="16" t="n">
        <v>44601</v>
      </c>
      <c r="K1489" t="n">
        <v>10</v>
      </c>
      <c r="L1489">
        <f>175.66*OPERAC[[#This Row],[cantidad venta]]</f>
        <v/>
      </c>
    </row>
    <row r="1490">
      <c r="A1490" t="n">
        <v>3853</v>
      </c>
      <c r="B1490" s="16" t="n">
        <v>44602</v>
      </c>
      <c r="C1490" t="inlineStr">
        <is>
          <t>CPR</t>
        </is>
      </c>
      <c r="D1490" t="n">
        <v>32</v>
      </c>
      <c r="E1490">
        <f>IF(D4491&gt;0,VLOOKUP(OPERAC[[#This Row],[COD CART]],[1]!MatrizCortoLargoCyl[#All],3,0),"")</f>
        <v/>
      </c>
      <c r="F1490" t="inlineStr">
        <is>
          <t>BIOX/CYL/12,50/18-03-22</t>
        </is>
      </c>
      <c r="G1490" t="n">
        <v>100</v>
      </c>
      <c r="H1490" t="n">
        <v>-1176</v>
      </c>
      <c r="I1490">
        <f>-H4491/G4491</f>
        <v/>
      </c>
      <c r="J1490" s="16" t="n">
        <v>44634</v>
      </c>
      <c r="K1490" t="n">
        <v>100</v>
      </c>
      <c r="L1490" t="n">
        <v>1235.48</v>
      </c>
    </row>
    <row r="1491">
      <c r="A1491" t="n">
        <v>3853</v>
      </c>
      <c r="B1491" s="16" t="n">
        <v>44602</v>
      </c>
      <c r="C1491" t="inlineStr">
        <is>
          <t>VTA</t>
        </is>
      </c>
      <c r="D1491" t="n">
        <v>32</v>
      </c>
      <c r="E1491">
        <f>IF(D3828&gt;0,VLOOKUP(OPERAC[[#This Row],[COD CART]],[1]!MatrizCortoLargoCyl[#All],3,0),"")</f>
        <v/>
      </c>
      <c r="F1491" t="inlineStr">
        <is>
          <t>TEVA</t>
        </is>
      </c>
      <c r="G1491" t="n">
        <v>100</v>
      </c>
      <c r="H1491">
        <f>-8.59*OPERAC[[#This Row],[cantidad]]</f>
        <v/>
      </c>
      <c r="I1491">
        <f>-H3828/G3828</f>
        <v/>
      </c>
      <c r="J1491" s="16" t="n">
        <v>44643</v>
      </c>
      <c r="K1491">
        <f>+OPERAC[[#This Row],[cantidad]]</f>
        <v/>
      </c>
      <c r="L1491">
        <f>+OPERAC[[#This Row],[cantidad venta]]*8.051</f>
        <v/>
      </c>
    </row>
    <row r="1492">
      <c r="A1492" t="n">
        <v>3853</v>
      </c>
      <c r="B1492" s="16" t="n">
        <v>44607</v>
      </c>
      <c r="C1492" t="inlineStr">
        <is>
          <t>VTA</t>
        </is>
      </c>
      <c r="D1492" t="n">
        <v>32</v>
      </c>
      <c r="E1492">
        <f>IF(D5024&gt;0,VLOOKUP(OPERAC[[#This Row],[COD CART]],[1]!MatrizCortoLargoCyl[#All],3,0),"")</f>
        <v/>
      </c>
      <c r="F1492" t="inlineStr">
        <is>
          <t>DDD/CYL/16,00/18-03-22</t>
        </is>
      </c>
      <c r="G1492" t="n">
        <v>100</v>
      </c>
      <c r="H1492" t="n">
        <v>-1552.775</v>
      </c>
      <c r="I1492">
        <f>-H5024/G5024</f>
        <v/>
      </c>
      <c r="J1492" s="16" t="n">
        <v>44638</v>
      </c>
      <c r="K1492" t="n">
        <v>100</v>
      </c>
      <c r="L1492">
        <f>15.866*OPERAC[[#This Row],[cantidad venta]]</f>
        <v/>
      </c>
    </row>
    <row r="1493">
      <c r="A1493" t="n">
        <v>3853</v>
      </c>
      <c r="B1493" s="16" t="n">
        <v>44607</v>
      </c>
      <c r="C1493" t="inlineStr">
        <is>
          <t>VTA</t>
        </is>
      </c>
      <c r="D1493" t="n">
        <v>32</v>
      </c>
      <c r="E1493">
        <f>IF(D5212&gt;0,VLOOKUP(OPERAC[[#This Row],[COD CART]],[1]!MatrizCortoLargoCyl[#All],3,0),"")</f>
        <v/>
      </c>
      <c r="F1493" t="inlineStr">
        <is>
          <t>F/CYL/17,00/18-03-22</t>
        </is>
      </c>
      <c r="G1493" t="n">
        <v>100</v>
      </c>
      <c r="H1493" t="n">
        <v>-1658.76</v>
      </c>
      <c r="I1493">
        <f>-H5212/G5212</f>
        <v/>
      </c>
      <c r="J1493" s="16" t="n">
        <v>44638</v>
      </c>
      <c r="K1493">
        <f>+OPERAC[[#This Row],[cantidad]]</f>
        <v/>
      </c>
      <c r="L1493">
        <f>+OPERAC[[#This Row],[cantidad venta]]*16.75</f>
        <v/>
      </c>
    </row>
    <row r="1494">
      <c r="A1494" t="n">
        <v>3853</v>
      </c>
      <c r="B1494" s="16" t="n">
        <v>44608</v>
      </c>
      <c r="C1494" t="inlineStr">
        <is>
          <t>VTA</t>
        </is>
      </c>
      <c r="D1494" t="n">
        <v>40</v>
      </c>
      <c r="E1494">
        <f>IF(D1779&gt;0,VLOOKUP(OPERAC[[#This Row],[COD CART]],[1]!MatrizCortoLargoCyl[#All],3,0),"")</f>
        <v/>
      </c>
      <c r="F1494" t="inlineStr">
        <is>
          <t>NVDA</t>
        </is>
      </c>
      <c r="G1494" t="n">
        <v>1</v>
      </c>
      <c r="H1494" t="n">
        <v>-263.514</v>
      </c>
      <c r="I1494">
        <f>-H1779/G1779</f>
        <v/>
      </c>
      <c r="J1494" s="16" t="n">
        <v>44615</v>
      </c>
      <c r="K1494" t="n">
        <v>1</v>
      </c>
      <c r="L1494" t="n">
        <v>230.334</v>
      </c>
    </row>
    <row r="1495">
      <c r="A1495" t="n">
        <v>3853</v>
      </c>
      <c r="B1495" s="16" t="n">
        <v>44616</v>
      </c>
      <c r="C1495" t="inlineStr">
        <is>
          <t>CPR</t>
        </is>
      </c>
      <c r="D1495" t="n">
        <v>32</v>
      </c>
      <c r="E1495">
        <f>IF(D4311&gt;0,VLOOKUP(OPERAC[[#This Row],[COD CART]],[1]!MatrizCortoLargoCyl[#All],3,0),"")</f>
        <v/>
      </c>
      <c r="F1495" t="inlineStr">
        <is>
          <t>PLTR/CYL/12,00/14-04-22</t>
        </is>
      </c>
      <c r="G1495" t="n">
        <v>100</v>
      </c>
      <c r="H1495" t="n">
        <v>-1052.7265</v>
      </c>
      <c r="I1495">
        <f>-H4311/G4311</f>
        <v/>
      </c>
      <c r="J1495" s="16" t="n">
        <v>44643</v>
      </c>
      <c r="K1495" t="n">
        <v>100</v>
      </c>
      <c r="L1495" t="n">
        <v>1146.72</v>
      </c>
    </row>
    <row r="1496">
      <c r="A1496" t="n">
        <v>3853</v>
      </c>
      <c r="B1496" s="16" t="n">
        <v>44622</v>
      </c>
      <c r="C1496" t="inlineStr">
        <is>
          <t>CPR</t>
        </is>
      </c>
      <c r="D1496" t="n">
        <v>32</v>
      </c>
      <c r="E1496">
        <f>IF(D4053&gt;0,VLOOKUP(OPERAC[[#This Row],[COD CART]],[1]!MatrizCortoLargoCyl[#All],3,0),"")</f>
        <v/>
      </c>
      <c r="F1496" t="inlineStr">
        <is>
          <t>SABR/CYL/10,00/14-04-22</t>
        </is>
      </c>
      <c r="G1496" t="n">
        <v>100</v>
      </c>
      <c r="H1496" t="n">
        <v>-928.9848000000001</v>
      </c>
      <c r="I1496">
        <f>-H4053/G4053</f>
        <v/>
      </c>
      <c r="J1496" s="16" t="n">
        <v>44649</v>
      </c>
      <c r="K1496" t="n">
        <v>100</v>
      </c>
      <c r="L1496" t="n">
        <v>982.1799999999999</v>
      </c>
    </row>
    <row r="1497">
      <c r="A1497" t="n">
        <v>3853</v>
      </c>
      <c r="B1497" s="16" t="n">
        <v>44636</v>
      </c>
      <c r="C1497" t="inlineStr">
        <is>
          <t>VTA</t>
        </is>
      </c>
      <c r="D1497" t="n">
        <v>43</v>
      </c>
      <c r="E1497">
        <f>IF(D1706&gt;0,VLOOKUP(OPERAC[[#This Row],[COD CART]],[1]!MatrizCortoLargoCyl[#All],3,0),"")</f>
        <v/>
      </c>
      <c r="F1497" t="inlineStr">
        <is>
          <t>GMBL/CYL-PUT/1,00/20-01-23</t>
        </is>
      </c>
      <c r="G1497" t="n">
        <v>1500</v>
      </c>
      <c r="H1497" t="n">
        <v>-245.0829749999998</v>
      </c>
      <c r="I1497">
        <f>-H1706/G1706</f>
        <v/>
      </c>
    </row>
    <row r="1498">
      <c r="A1498" t="n">
        <v>3853</v>
      </c>
      <c r="B1498" s="16" t="n">
        <v>44637</v>
      </c>
      <c r="C1498" t="inlineStr">
        <is>
          <t>VTA</t>
        </is>
      </c>
      <c r="D1498" t="n">
        <v>43</v>
      </c>
      <c r="E1498">
        <f>IF(D1328&gt;0,VLOOKUP(OPERAC[[#This Row],[COD CART]],[1]!MatrizCortoLargoCyl[#All],3,0),"")</f>
        <v/>
      </c>
      <c r="F1498" t="inlineStr">
        <is>
          <t>GMBL/CYL-PUT/1,00/20-01-23</t>
        </is>
      </c>
      <c r="G1498" t="n">
        <v>500</v>
      </c>
      <c r="H1498" t="n">
        <v>-103.91588</v>
      </c>
      <c r="I1498">
        <f>-H1328/G1328</f>
        <v/>
      </c>
    </row>
    <row r="1499">
      <c r="A1499" t="n">
        <v>3853</v>
      </c>
      <c r="B1499" s="16" t="n">
        <v>44641</v>
      </c>
      <c r="C1499" t="inlineStr">
        <is>
          <t>CPR</t>
        </is>
      </c>
      <c r="D1499" t="n">
        <v>42</v>
      </c>
      <c r="E1499">
        <f>IF(D3339&gt;0,VLOOKUP(OPERAC[[#This Row],[COD CART]],[1]!MatrizCortoLargoCyl[#All],3,0),"")</f>
        <v/>
      </c>
      <c r="F1499" t="inlineStr">
        <is>
          <t>DIS</t>
        </is>
      </c>
      <c r="G1499" t="n">
        <v>5</v>
      </c>
      <c r="H1499" t="n">
        <v>-696.356</v>
      </c>
      <c r="I1499">
        <f>-H3339/G3339</f>
        <v/>
      </c>
      <c r="J1499" s="16" t="n">
        <v>44671</v>
      </c>
      <c r="K1499">
        <f>+OPERAC[[#This Row],[cantidad]]</f>
        <v/>
      </c>
      <c r="L1499">
        <f>+OPERAC[[#This Row],[cantidad venta]]*123.621</f>
        <v/>
      </c>
    </row>
    <row r="1500">
      <c r="A1500" t="n">
        <v>3853</v>
      </c>
      <c r="B1500" s="16" t="n">
        <v>44641</v>
      </c>
      <c r="C1500" t="inlineStr">
        <is>
          <t>CPR</t>
        </is>
      </c>
      <c r="D1500" t="n">
        <v>42</v>
      </c>
      <c r="E1500">
        <f>IF(D3363&gt;0,VLOOKUP(OPERAC[[#This Row],[COD CART]],[1]!MatrizCortoLargoCyl[#All],3,0),"")</f>
        <v/>
      </c>
      <c r="F1500" t="inlineStr">
        <is>
          <t>JPM</t>
        </is>
      </c>
      <c r="G1500" t="n">
        <v>5</v>
      </c>
      <c r="H1500" t="n">
        <v>-702.2717000000001</v>
      </c>
      <c r="I1500">
        <f>-H3363/G3363</f>
        <v/>
      </c>
      <c r="J1500" s="16" t="n">
        <v>44664</v>
      </c>
      <c r="K1500">
        <f>+OPERAC[[#This Row],[cantidad]]</f>
        <v/>
      </c>
      <c r="L1500">
        <f>+OPERAC[[#This Row],[cantidad venta]]*125.943</f>
        <v/>
      </c>
    </row>
    <row r="1501">
      <c r="A1501" t="n">
        <v>3853</v>
      </c>
      <c r="B1501" s="16" t="n">
        <v>44641</v>
      </c>
      <c r="C1501" t="inlineStr">
        <is>
          <t>CPR</t>
        </is>
      </c>
      <c r="D1501" t="n">
        <v>31</v>
      </c>
      <c r="E1501">
        <f>IF(D4548&gt;0,VLOOKUP(OPERAC[[#This Row],[COD CART]],[1]!MatrizCortoLargoCyl[#All],3,0),"")</f>
        <v/>
      </c>
      <c r="F1501" t="inlineStr">
        <is>
          <t>TGS</t>
        </is>
      </c>
      <c r="G1501" t="n">
        <v>200</v>
      </c>
      <c r="H1501" t="n">
        <v>-1221.0832</v>
      </c>
      <c r="I1501">
        <f>-H4548/G4548</f>
        <v/>
      </c>
      <c r="J1501" s="16" t="n">
        <v>44693</v>
      </c>
      <c r="K1501" t="n">
        <v>200</v>
      </c>
      <c r="L1501" t="n">
        <v>1186.836</v>
      </c>
    </row>
    <row r="1502">
      <c r="A1502" t="n">
        <v>3853</v>
      </c>
      <c r="B1502" s="16" t="n">
        <v>44641</v>
      </c>
      <c r="C1502" t="inlineStr">
        <is>
          <t>VTA</t>
        </is>
      </c>
      <c r="D1502" t="n">
        <v>42</v>
      </c>
      <c r="E1502">
        <f>IF(D2869&gt;0,VLOOKUP(OPERAC[[#This Row],[COD CART]],[1]!MatrizCortoLargoCyl[#All],3,0),"")</f>
        <v/>
      </c>
      <c r="F1502" t="inlineStr">
        <is>
          <t>SMH</t>
        </is>
      </c>
      <c r="G1502" t="n">
        <v>2</v>
      </c>
      <c r="H1502" t="n">
        <v>-537.9153000000001</v>
      </c>
      <c r="I1502">
        <f>-H2869/G2869</f>
        <v/>
      </c>
      <c r="J1502" s="16" t="n">
        <v>44663</v>
      </c>
      <c r="K1502">
        <f>+OPERAC[[#This Row],[cantidad]]</f>
        <v/>
      </c>
      <c r="L1502">
        <f>+OPERAC[[#This Row],[cantidad venta]]*238.066</f>
        <v/>
      </c>
    </row>
    <row r="1503">
      <c r="A1503" t="n">
        <v>3853</v>
      </c>
      <c r="B1503" s="16" t="n">
        <v>44641</v>
      </c>
      <c r="C1503" t="inlineStr">
        <is>
          <t>VTA</t>
        </is>
      </c>
      <c r="D1503" t="n">
        <v>42</v>
      </c>
      <c r="E1503">
        <f>IF(D3153&gt;0,VLOOKUP(OPERAC[[#This Row],[COD CART]],[1]!MatrizCortoLargoCyl[#All],3,0),"")</f>
        <v/>
      </c>
      <c r="F1503" t="inlineStr">
        <is>
          <t>FB</t>
        </is>
      </c>
      <c r="G1503" t="n">
        <v>3</v>
      </c>
      <c r="H1503" t="n">
        <v>-636.4691399999999</v>
      </c>
      <c r="I1503">
        <f>-H3153/G3153</f>
        <v/>
      </c>
      <c r="J1503" s="16" t="n">
        <v>44671</v>
      </c>
      <c r="K1503">
        <f>+OPERAC[[#This Row],[cantidad]]</f>
        <v/>
      </c>
      <c r="L1503">
        <f>+OPERAC[[#This Row],[cantidad venta]]*213.173</f>
        <v/>
      </c>
    </row>
    <row r="1504">
      <c r="A1504" t="n">
        <v>3853</v>
      </c>
      <c r="B1504" s="16" t="n">
        <v>44643</v>
      </c>
      <c r="C1504" t="inlineStr">
        <is>
          <t>CPR</t>
        </is>
      </c>
      <c r="D1504" t="n">
        <v>32</v>
      </c>
      <c r="E1504">
        <f>IF(D3266&gt;0,VLOOKUP(OPERAC[[#This Row],[COD CART]],[1]!MatrizCortoLargoCyl[#All],3,0),"")</f>
        <v/>
      </c>
      <c r="F1504" t="inlineStr">
        <is>
          <t>CRESY</t>
        </is>
      </c>
      <c r="G1504" t="n">
        <v>100</v>
      </c>
      <c r="H1504" t="n">
        <v>-680.303</v>
      </c>
      <c r="I1504">
        <f>-H3266/G3266</f>
        <v/>
      </c>
      <c r="J1504" s="16" t="n">
        <v>44704</v>
      </c>
      <c r="K1504" t="n">
        <v>100</v>
      </c>
      <c r="L1504" t="n">
        <v>643.721</v>
      </c>
    </row>
    <row r="1505">
      <c r="A1505" t="n">
        <v>3853</v>
      </c>
      <c r="B1505" s="16" t="n">
        <v>44643</v>
      </c>
      <c r="C1505" t="inlineStr">
        <is>
          <t>VTA</t>
        </is>
      </c>
      <c r="D1505" t="n">
        <v>32</v>
      </c>
      <c r="E1505">
        <f>IF(D3810&gt;0,VLOOKUP(OPERAC[[#This Row],[COD CART]],[1]!MatrizCortoLargoCyl[#All],3,0),"")</f>
        <v/>
      </c>
      <c r="F1505" t="inlineStr">
        <is>
          <t>COTY/CYL/9,00/14-04-22</t>
        </is>
      </c>
      <c r="G1505" t="n">
        <v>100</v>
      </c>
      <c r="H1505" t="n">
        <v>-855.451</v>
      </c>
      <c r="I1505">
        <f>-H3810/G3810</f>
        <v/>
      </c>
      <c r="J1505" s="16" t="n">
        <v>44649</v>
      </c>
      <c r="K1505" t="n">
        <v>100</v>
      </c>
      <c r="L1505" t="n">
        <v>875.28</v>
      </c>
    </row>
    <row r="1506">
      <c r="A1506" t="n">
        <v>3853</v>
      </c>
      <c r="B1506" s="16" t="n">
        <v>44643</v>
      </c>
      <c r="C1506" t="inlineStr">
        <is>
          <t>VTA</t>
        </is>
      </c>
      <c r="D1506" t="n">
        <v>32</v>
      </c>
      <c r="E1506">
        <f>IF(D5175&gt;0,VLOOKUP(OPERAC[[#This Row],[COD CART]],[1]!MatrizCortoLargoCyl[#All],3,0),"")</f>
        <v/>
      </c>
      <c r="F1506" t="inlineStr">
        <is>
          <t>AAL/CYL/18,00/14-04-22</t>
        </is>
      </c>
      <c r="G1506" t="n">
        <v>100</v>
      </c>
      <c r="H1506" t="n">
        <v>-1619.461</v>
      </c>
      <c r="I1506">
        <f>-H5175/G5175</f>
        <v/>
      </c>
      <c r="J1506" s="16" t="n">
        <v>44652</v>
      </c>
      <c r="K1506">
        <f>+OPERAC[[#This Row],[cantidad]]</f>
        <v/>
      </c>
      <c r="L1506" t="n">
        <v>1731.356</v>
      </c>
    </row>
    <row r="1507">
      <c r="A1507" t="n">
        <v>3853</v>
      </c>
      <c r="B1507" s="16" t="n">
        <v>44649</v>
      </c>
      <c r="C1507" t="inlineStr">
        <is>
          <t>VTA</t>
        </is>
      </c>
      <c r="D1507" t="n">
        <v>32</v>
      </c>
      <c r="E1507">
        <f>IF(D3221&gt;0,VLOOKUP(OPERAC[[#This Row],[COD CART]],[1]!MatrizCortoLargoCyl[#All],3,0),"")</f>
        <v/>
      </c>
      <c r="F1507" t="inlineStr">
        <is>
          <t>TLRY</t>
        </is>
      </c>
      <c r="G1507" t="n">
        <v>100</v>
      </c>
      <c r="H1507">
        <f>-672.216+9.915</f>
        <v/>
      </c>
      <c r="I1507">
        <f>-H3221/G3221</f>
        <v/>
      </c>
      <c r="J1507" s="16" t="n">
        <v>44704</v>
      </c>
      <c r="K1507" t="n">
        <v>100</v>
      </c>
      <c r="L1507" t="n">
        <v>454.305</v>
      </c>
    </row>
    <row r="1508">
      <c r="A1508" t="n">
        <v>3853</v>
      </c>
      <c r="B1508" s="16" t="n">
        <v>44650</v>
      </c>
      <c r="C1508" t="inlineStr">
        <is>
          <t>CPR</t>
        </is>
      </c>
      <c r="D1508" t="n">
        <v>32</v>
      </c>
      <c r="E1508">
        <f>IF(D3429&gt;0,VLOOKUP(OPERAC[[#This Row],[COD CART]],[1]!MatrizCortoLargoCyl[#All],3,0),"")</f>
        <v/>
      </c>
      <c r="F1508" t="inlineStr">
        <is>
          <t>UUUU/CYL/8,00/20-05-22</t>
        </is>
      </c>
      <c r="G1508" t="n">
        <v>100</v>
      </c>
      <c r="H1508" t="n">
        <v>-748.0204</v>
      </c>
      <c r="I1508">
        <f>-H3429/G3429</f>
        <v/>
      </c>
      <c r="J1508" s="16" t="n">
        <v>44665</v>
      </c>
      <c r="K1508" t="n">
        <v>100</v>
      </c>
      <c r="L1508" t="n">
        <v>776</v>
      </c>
    </row>
    <row r="1509">
      <c r="A1509" t="n">
        <v>3853</v>
      </c>
      <c r="B1509" s="16" t="n">
        <v>44655</v>
      </c>
      <c r="C1509" t="inlineStr">
        <is>
          <t>CPR</t>
        </is>
      </c>
      <c r="D1509" t="n">
        <v>42</v>
      </c>
      <c r="E1509">
        <f>IF(D2604&gt;0,VLOOKUP(OPERAC[[#This Row],[COD CART]],[1]!MatrizCortoLargoCyl[#All],3,0),"")</f>
        <v/>
      </c>
      <c r="F1509" t="inlineStr">
        <is>
          <t>ADBE</t>
        </is>
      </c>
      <c r="G1509" t="n">
        <v>1</v>
      </c>
      <c r="H1509" t="n">
        <v>-471.6204</v>
      </c>
      <c r="I1509">
        <f>-H2604/G2604</f>
        <v/>
      </c>
      <c r="J1509" s="16" t="n">
        <v>44687</v>
      </c>
      <c r="K1509">
        <f>+OPERAC[[#This Row],[cantidad]]</f>
        <v/>
      </c>
      <c r="L1509" t="n">
        <v>386.42</v>
      </c>
    </row>
    <row r="1510">
      <c r="A1510" t="n">
        <v>3853</v>
      </c>
      <c r="B1510" s="16" t="n">
        <v>44655</v>
      </c>
      <c r="C1510" t="inlineStr">
        <is>
          <t>CPR</t>
        </is>
      </c>
      <c r="D1510" t="n">
        <v>31</v>
      </c>
      <c r="E1510">
        <f>IF(D3344&gt;0,VLOOKUP(OPERAC[[#This Row],[COD CART]],[1]!MatrizCortoLargoCyl[#All],3,0),"")</f>
        <v/>
      </c>
      <c r="F1510" t="inlineStr">
        <is>
          <t>BRK B</t>
        </is>
      </c>
      <c r="G1510" t="n">
        <v>2</v>
      </c>
      <c r="H1510" t="n">
        <v>-697.2505600000001</v>
      </c>
      <c r="I1510">
        <f>-H3344/G3344</f>
        <v/>
      </c>
      <c r="J1510" s="16" t="n">
        <v>44693</v>
      </c>
      <c r="K1510" t="n">
        <v>2</v>
      </c>
      <c r="L1510" t="n">
        <v>612.523</v>
      </c>
    </row>
    <row r="1511">
      <c r="A1511" t="n">
        <v>3853</v>
      </c>
      <c r="B1511" s="16" t="n">
        <v>44655</v>
      </c>
      <c r="C1511" t="inlineStr">
        <is>
          <t>CPR</t>
        </is>
      </c>
      <c r="D1511" t="n">
        <v>32</v>
      </c>
      <c r="E1511">
        <f>IF(D3700&gt;0,VLOOKUP(OPERAC[[#This Row],[COD CART]],[1]!MatrizCortoLargoCyl[#All],3,0),"")</f>
        <v/>
      </c>
      <c r="F1511" t="inlineStr">
        <is>
          <t>COTY</t>
        </is>
      </c>
      <c r="G1511" t="n">
        <v>100</v>
      </c>
      <c r="H1511" t="n">
        <v>-835.518</v>
      </c>
      <c r="I1511">
        <f>-H3700/G3700</f>
        <v/>
      </c>
      <c r="J1511" s="16" t="n">
        <v>44704</v>
      </c>
      <c r="K1511" t="n">
        <v>100</v>
      </c>
      <c r="L1511" t="n">
        <v>620.183</v>
      </c>
    </row>
    <row r="1512">
      <c r="A1512" t="n">
        <v>3853</v>
      </c>
      <c r="B1512" s="16" t="n">
        <v>44655</v>
      </c>
      <c r="C1512" t="inlineStr">
        <is>
          <t>VTA</t>
        </is>
      </c>
      <c r="D1512" t="n">
        <v>42</v>
      </c>
      <c r="E1512">
        <f>IF(D2078&gt;0,VLOOKUP(OPERAC[[#This Row],[COD CART]],[1]!MatrizCortoLargoCyl[#All],3,0),"")</f>
        <v/>
      </c>
      <c r="F1512" t="inlineStr">
        <is>
          <t>AMD</t>
        </is>
      </c>
      <c r="G1512" t="n">
        <v>3</v>
      </c>
      <c r="H1512" t="n">
        <v>-331.86045</v>
      </c>
      <c r="I1512">
        <f>-H2078/G2078</f>
        <v/>
      </c>
      <c r="J1512" s="16" t="n">
        <v>44693</v>
      </c>
      <c r="K1512" t="n">
        <v>3</v>
      </c>
      <c r="L1512" t="n">
        <v>254.75</v>
      </c>
    </row>
    <row r="1513">
      <c r="A1513" t="n">
        <v>3853</v>
      </c>
      <c r="B1513" s="16" t="n">
        <v>44662</v>
      </c>
      <c r="C1513" t="inlineStr">
        <is>
          <t>VTA</t>
        </is>
      </c>
      <c r="D1513" t="n">
        <v>42</v>
      </c>
      <c r="E1513">
        <f>IF(D2934&gt;0,VLOOKUP(OPERAC[[#This Row],[COD CART]],[1]!MatrizCortoLargoCyl[#All],3,0),"")</f>
        <v/>
      </c>
      <c r="F1513" t="inlineStr">
        <is>
          <t>HYDR</t>
        </is>
      </c>
      <c r="G1513" t="n">
        <v>30</v>
      </c>
      <c r="H1513" t="n">
        <v>-557.1103199999999</v>
      </c>
      <c r="I1513">
        <f>-H2934/G2934</f>
        <v/>
      </c>
      <c r="J1513" s="16" t="n">
        <v>44693</v>
      </c>
      <c r="K1513">
        <f>+OPERAC[[#This Row],[cantidad]]</f>
        <v/>
      </c>
      <c r="L1513">
        <f>+OPERAC[[#This Row],[cantidad venta]]*12.027</f>
        <v/>
      </c>
    </row>
    <row r="1514">
      <c r="A1514" t="n">
        <v>3853</v>
      </c>
      <c r="B1514" s="16" t="n">
        <v>44664</v>
      </c>
      <c r="C1514" t="inlineStr">
        <is>
          <t>CPR</t>
        </is>
      </c>
      <c r="D1514" t="n">
        <v>42</v>
      </c>
      <c r="E1514">
        <f>IF(D2703&gt;0,VLOOKUP(OPERAC[[#This Row],[COD CART]],[1]!MatrizCortoLargoCyl[#All],3,0),"")</f>
        <v/>
      </c>
      <c r="F1514" t="inlineStr">
        <is>
          <t>PSQ</t>
        </is>
      </c>
      <c r="G1514" t="n">
        <v>40</v>
      </c>
      <c r="H1514" t="n">
        <v>-497.30288724</v>
      </c>
      <c r="I1514">
        <f>-H2703/G2703</f>
        <v/>
      </c>
      <c r="J1514" s="16" t="n">
        <v>44680</v>
      </c>
      <c r="K1514">
        <f>+OPERAC[[#This Row],[cantidad]]</f>
        <v/>
      </c>
      <c r="L1514">
        <f>12.848*OPERAC[[#This Row],[cantidad venta]]</f>
        <v/>
      </c>
    </row>
    <row r="1515">
      <c r="A1515" t="n">
        <v>3853</v>
      </c>
      <c r="B1515" s="16" t="n">
        <v>44669</v>
      </c>
      <c r="C1515" t="inlineStr">
        <is>
          <t>CPR</t>
        </is>
      </c>
      <c r="D1515" t="n">
        <v>32</v>
      </c>
      <c r="E1515">
        <f>IF(D4036&gt;0,VLOOKUP(OPERAC[[#This Row],[COD CART]],[1]!MatrizCortoLargoCyl[#All],3,0),"")</f>
        <v/>
      </c>
      <c r="F1515" t="inlineStr">
        <is>
          <t>HMY</t>
        </is>
      </c>
      <c r="G1515" t="n">
        <v>200</v>
      </c>
      <c r="H1515">
        <f>-4.64*OPERAC[[#This Row],[cantidad]]</f>
        <v/>
      </c>
      <c r="I1515">
        <f>-H4036/G4036</f>
        <v/>
      </c>
      <c r="J1515" s="16" t="n">
        <v>44704</v>
      </c>
      <c r="K1515" t="n">
        <v>200</v>
      </c>
      <c r="L1515" t="n">
        <v>733.84</v>
      </c>
    </row>
    <row r="1516">
      <c r="A1516" t="n">
        <v>3853</v>
      </c>
      <c r="B1516" s="16" t="n">
        <v>44671</v>
      </c>
      <c r="C1516" t="inlineStr">
        <is>
          <t>CPR</t>
        </is>
      </c>
      <c r="D1516" t="n">
        <v>42</v>
      </c>
      <c r="E1516">
        <f>IF(D3493&gt;0,VLOOKUP(OPERAC[[#This Row],[COD CART]],[1]!MatrizCortoLargoCyl[#All],3,0),"")</f>
        <v/>
      </c>
      <c r="F1516" t="inlineStr">
        <is>
          <t>NFLX</t>
        </is>
      </c>
      <c r="G1516" t="n">
        <v>3</v>
      </c>
      <c r="H1516" t="n">
        <v>-763.51518</v>
      </c>
      <c r="I1516">
        <f>-H3493/G3493</f>
        <v/>
      </c>
      <c r="J1516" s="16" t="n">
        <v>44693</v>
      </c>
      <c r="K1516">
        <f>+OPERAC[[#This Row],[cantidad]]</f>
        <v/>
      </c>
      <c r="L1516">
        <f>+OPERAC[[#This Row],[cantidad venta]]*169.079</f>
        <v/>
      </c>
    </row>
    <row r="1517">
      <c r="A1517" t="n">
        <v>3853</v>
      </c>
      <c r="B1517" s="16" t="n">
        <v>44671</v>
      </c>
      <c r="C1517" t="inlineStr">
        <is>
          <t>VTA</t>
        </is>
      </c>
      <c r="D1517" t="n">
        <v>42</v>
      </c>
      <c r="E1517">
        <f>IF(D3061&gt;0,VLOOKUP(OPERAC[[#This Row],[COD CART]],[1]!MatrizCortoLargoCyl[#All],3,0),"")</f>
        <v/>
      </c>
      <c r="F1517" t="inlineStr">
        <is>
          <t>TLT</t>
        </is>
      </c>
      <c r="G1517" t="n">
        <v>5</v>
      </c>
      <c r="H1517" t="n">
        <v>-612.815025</v>
      </c>
      <c r="I1517">
        <f>-H3061/G3061</f>
        <v/>
      </c>
    </row>
    <row r="1518">
      <c r="A1518" t="n">
        <v>3853</v>
      </c>
      <c r="B1518" s="16" t="n">
        <v>44680</v>
      </c>
      <c r="C1518" t="inlineStr">
        <is>
          <t>VTA</t>
        </is>
      </c>
      <c r="D1518" t="n">
        <v>42</v>
      </c>
      <c r="E1518">
        <f>IF(D2925&gt;0,VLOOKUP(OPERAC[[#This Row],[COD CART]],[1]!MatrizCortoLargoCyl[#All],3,0),"")</f>
        <v/>
      </c>
      <c r="F1518" t="inlineStr">
        <is>
          <t>XLP</t>
        </is>
      </c>
      <c r="G1518" t="n">
        <v>7</v>
      </c>
      <c r="H1518" t="n">
        <v>-556.0415175000001</v>
      </c>
      <c r="I1518">
        <f>-H2925/G2925</f>
        <v/>
      </c>
      <c r="J1518" s="16" t="n">
        <v>44693</v>
      </c>
      <c r="K1518">
        <f>+OPERAC[[#This Row],[cantidad]]</f>
        <v/>
      </c>
      <c r="L1518">
        <f>+OPERAC[[#This Row],[cantidad venta]]*75.648</f>
        <v/>
      </c>
    </row>
    <row r="1519">
      <c r="A1519" t="n">
        <v>3853</v>
      </c>
      <c r="B1519" s="16" t="n">
        <v>44704</v>
      </c>
      <c r="C1519" t="inlineStr">
        <is>
          <t>CPR</t>
        </is>
      </c>
      <c r="D1519" t="n">
        <v>32</v>
      </c>
      <c r="E1519">
        <f>IF(D4635&gt;0,VLOOKUP(OPERAC[[#This Row],[COD CART]],[1]!MatrizCortoLargoCyl[#All],3,0),"")</f>
        <v/>
      </c>
      <c r="F1519" t="inlineStr">
        <is>
          <t>CLMT/CYL/16,00/17-06-22</t>
        </is>
      </c>
      <c r="G1519" t="n">
        <v>100</v>
      </c>
      <c r="H1519" t="n">
        <v>-1286.546</v>
      </c>
      <c r="I1519">
        <f>-H4635/G4635</f>
        <v/>
      </c>
    </row>
    <row r="1520">
      <c r="A1520" t="n">
        <v>3853</v>
      </c>
      <c r="B1520" s="16" t="n">
        <v>44704</v>
      </c>
      <c r="C1520" t="inlineStr">
        <is>
          <t>CPR</t>
        </is>
      </c>
      <c r="D1520" t="n">
        <v>32</v>
      </c>
      <c r="E1520">
        <f>IF(D5790&gt;0,VLOOKUP(OPERAC[[#This Row],[COD CART]],[1]!MatrizCortoLargoCyl[#All],3,0),"")</f>
        <v/>
      </c>
      <c r="F1520" t="inlineStr">
        <is>
          <t>KWEB/CYL/35,00/24-06-22</t>
        </is>
      </c>
      <c r="G1520" t="n">
        <v>100</v>
      </c>
      <c r="H1520" t="n">
        <v>-2673.85</v>
      </c>
      <c r="I1520">
        <f>-H5790/G5790</f>
        <v/>
      </c>
    </row>
    <row r="1521">
      <c r="A1521" t="n">
        <v>3853</v>
      </c>
      <c r="B1521" s="16" t="n">
        <v>44705</v>
      </c>
      <c r="C1521" t="inlineStr">
        <is>
          <t>CPR</t>
        </is>
      </c>
      <c r="D1521" t="n">
        <v>42</v>
      </c>
      <c r="E1521">
        <f>IF(D4020&gt;0,VLOOKUP(OPERAC[[#This Row],[COD CART]],[1]!MatrizCortoLargoCyl[#All],3,0),"")</f>
        <v/>
      </c>
      <c r="F1521" t="inlineStr">
        <is>
          <t>AMD</t>
        </is>
      </c>
      <c r="G1521" t="n">
        <v>10</v>
      </c>
      <c r="H1521" t="n">
        <v>-925.0354</v>
      </c>
      <c r="I1521">
        <f>-H4020/G4020</f>
        <v/>
      </c>
      <c r="J1521" s="16" t="n">
        <v>44707</v>
      </c>
      <c r="K1521">
        <f>+OPERAC[[#This Row],[cantidad]]</f>
        <v/>
      </c>
      <c r="L1521">
        <f>+OPERAC[[#This Row],[cantidad venta]]*94.8</f>
        <v/>
      </c>
    </row>
    <row r="1522">
      <c r="A1522" t="n">
        <v>3853</v>
      </c>
      <c r="B1522" s="16" t="n">
        <v>44707</v>
      </c>
      <c r="C1522" t="inlineStr">
        <is>
          <t>CPR</t>
        </is>
      </c>
      <c r="D1522" t="n">
        <v>42</v>
      </c>
      <c r="E1522">
        <f>IF(D2656&gt;0,VLOOKUP(OPERAC[[#This Row],[COD CART]],[1]!MatrizCortoLargoCyl[#All],3,0),"")</f>
        <v/>
      </c>
      <c r="F1522" t="inlineStr">
        <is>
          <t>PCT</t>
        </is>
      </c>
      <c r="G1522" t="n">
        <v>50</v>
      </c>
      <c r="H1522" t="n">
        <v>-486.5316635</v>
      </c>
      <c r="I1522">
        <f>-H2656/G2656</f>
        <v/>
      </c>
    </row>
    <row r="1523">
      <c r="A1523" t="n">
        <v>3853</v>
      </c>
      <c r="B1523" s="16" t="n">
        <v>44712</v>
      </c>
      <c r="C1523" t="inlineStr">
        <is>
          <t>CPR</t>
        </is>
      </c>
      <c r="D1523" t="n">
        <v>32</v>
      </c>
      <c r="E1523">
        <f>IF(D4559&gt;0,VLOOKUP(OPERAC[[#This Row],[COD CART]],[1]!MatrizCortoLargoCyl[#All],3,0),"")</f>
        <v/>
      </c>
      <c r="F1523" t="inlineStr">
        <is>
          <t>AMC/CYL/13,00/10-06-22</t>
        </is>
      </c>
      <c r="G1523" t="n">
        <v>100</v>
      </c>
      <c r="H1523" t="n">
        <v>-1232.75</v>
      </c>
      <c r="I1523">
        <f>-H4559/G4559</f>
        <v/>
      </c>
      <c r="J1523" s="16" t="n">
        <v>44722</v>
      </c>
      <c r="K1523" t="n">
        <v>100</v>
      </c>
      <c r="L1523" t="n">
        <v>1234.29</v>
      </c>
    </row>
    <row r="1524">
      <c r="A1524" t="n">
        <v>3853</v>
      </c>
      <c r="B1524" s="16" t="n">
        <v>44722</v>
      </c>
      <c r="C1524" t="inlineStr">
        <is>
          <t>CPR</t>
        </is>
      </c>
      <c r="D1524" t="n">
        <v>32</v>
      </c>
      <c r="E1524">
        <f>IF(D4219&gt;0,VLOOKUP(OPERAC[[#This Row],[COD CART]],[1]!MatrizCortoLargoCyl[#All],3,0),"")</f>
        <v/>
      </c>
      <c r="F1524" t="inlineStr">
        <is>
          <t>CCL/CYL/10,50/24-06-22</t>
        </is>
      </c>
      <c r="G1524" t="n">
        <v>100</v>
      </c>
      <c r="H1524" t="n">
        <v>-1005.33</v>
      </c>
      <c r="I1524">
        <f>-H4219/G4219</f>
        <v/>
      </c>
    </row>
    <row r="1525">
      <c r="A1525" t="n">
        <v>3853</v>
      </c>
      <c r="B1525" s="16" t="n">
        <v>44725</v>
      </c>
      <c r="C1525" t="inlineStr">
        <is>
          <t>VTA</t>
        </is>
      </c>
      <c r="D1525" t="n">
        <v>39</v>
      </c>
      <c r="E1525">
        <f>IF(D747&gt;0,VLOOKUP(OPERAC[[#This Row],[COD CART]],[1]!MatrizCortoLargoCyl[#All],3,0),"")</f>
        <v/>
      </c>
      <c r="F1525" t="inlineStr">
        <is>
          <t>MELI/P/360,00/19-01-24</t>
        </is>
      </c>
      <c r="G1525" t="n">
        <v>-6</v>
      </c>
      <c r="H1525" t="n">
        <v>368.838</v>
      </c>
      <c r="I1525">
        <f>-H747/G747</f>
        <v/>
      </c>
    </row>
    <row r="1526">
      <c r="A1526" t="n">
        <v>3853</v>
      </c>
      <c r="B1526" s="16" t="n">
        <v>44725</v>
      </c>
      <c r="C1526" t="inlineStr">
        <is>
          <t>VTA</t>
        </is>
      </c>
      <c r="D1526" t="n">
        <v>40</v>
      </c>
      <c r="E1526">
        <f>IF(D3113&gt;0,VLOOKUP(OPERAC[[#This Row],[COD CART]],[1]!MatrizCortoLargoCyl[#All],3,0),"")</f>
        <v/>
      </c>
      <c r="F1526" t="inlineStr">
        <is>
          <t>MELI</t>
        </is>
      </c>
      <c r="G1526" t="n">
        <v>1</v>
      </c>
      <c r="H1526" t="n">
        <v>-628.39635</v>
      </c>
      <c r="I1526">
        <f>-H3113/G3113</f>
        <v/>
      </c>
    </row>
    <row r="1527">
      <c r="A1527" t="n">
        <v>3867</v>
      </c>
      <c r="B1527" s="16" t="n">
        <v>44547</v>
      </c>
      <c r="C1527" t="inlineStr">
        <is>
          <t>CPR</t>
        </is>
      </c>
      <c r="D1527" t="n">
        <v>32</v>
      </c>
      <c r="E1527">
        <f>IF(D4413&gt;0,VLOOKUP(OPERAC[[#This Row],[COD CART]],[1]!MatrizCortoLargoCyl[#All],3,0),"")</f>
        <v/>
      </c>
      <c r="F1527" t="inlineStr">
        <is>
          <t>HIMX/CYL/12,00/21-01-22</t>
        </is>
      </c>
      <c r="G1527" t="n">
        <v>100</v>
      </c>
      <c r="H1527" t="n">
        <v>-1109.5304</v>
      </c>
      <c r="I1527">
        <f>-H4413/G4413</f>
        <v/>
      </c>
      <c r="J1527" s="16" t="n">
        <v>44575</v>
      </c>
      <c r="K1527" t="n">
        <v>100</v>
      </c>
      <c r="L1527" t="n">
        <v>1170.618</v>
      </c>
    </row>
    <row r="1528">
      <c r="A1528" t="n">
        <v>3867</v>
      </c>
      <c r="B1528" s="16" t="n">
        <v>44552</v>
      </c>
      <c r="C1528" t="inlineStr">
        <is>
          <t>CPR</t>
        </is>
      </c>
      <c r="D1528" t="n">
        <v>32</v>
      </c>
      <c r="E1528">
        <f>IF(D3469&gt;0,VLOOKUP(OPERAC[[#This Row],[COD CART]],[1]!MatrizCortoLargoCyl[#All],3,0),"")</f>
        <v/>
      </c>
      <c r="F1528" t="inlineStr">
        <is>
          <t>HMY/CYL/4,00/21-01-22</t>
        </is>
      </c>
      <c r="G1528" t="n">
        <v>200</v>
      </c>
      <c r="H1528">
        <f>-3.8*OPERAC[[#This Row],[cantidad]]</f>
        <v/>
      </c>
      <c r="I1528">
        <f>-H3469/G3469</f>
        <v/>
      </c>
      <c r="J1528" s="16" t="n">
        <v>44580</v>
      </c>
      <c r="K1528" t="n">
        <v>200</v>
      </c>
      <c r="L1528" t="n">
        <v>787.86</v>
      </c>
    </row>
    <row r="1529">
      <c r="A1529" t="n">
        <v>3867</v>
      </c>
      <c r="B1529" s="16" t="n">
        <v>44552</v>
      </c>
      <c r="C1529" t="inlineStr">
        <is>
          <t>VTA</t>
        </is>
      </c>
      <c r="D1529" t="n">
        <v>32</v>
      </c>
      <c r="E1529">
        <f>IF(D5374&gt;0,VLOOKUP(OPERAC[[#This Row],[COD CART]],[1]!MatrizCortoLargoCyl[#All],3,0),"")</f>
        <v/>
      </c>
      <c r="F1529" t="inlineStr">
        <is>
          <t>GOLD/CYL/19,00/21-01-22</t>
        </is>
      </c>
      <c r="G1529" t="n">
        <v>100</v>
      </c>
      <c r="H1529">
        <f>-18.08*OPERAC[[#This Row],[cantidad]]</f>
        <v/>
      </c>
      <c r="I1529">
        <f>-H5374/G5374</f>
        <v/>
      </c>
      <c r="J1529" s="16" t="n">
        <v>44580</v>
      </c>
      <c r="K1529" t="n">
        <v>100</v>
      </c>
      <c r="L1529" t="n">
        <v>1876.846</v>
      </c>
    </row>
    <row r="1530">
      <c r="A1530" t="n">
        <v>3867</v>
      </c>
      <c r="B1530" s="16" t="n">
        <v>44581</v>
      </c>
      <c r="C1530" t="inlineStr">
        <is>
          <t>CPR</t>
        </is>
      </c>
      <c r="D1530" t="n">
        <v>32</v>
      </c>
      <c r="E1530">
        <f>IF(D3566&gt;0,VLOOKUP(OPERAC[[#This Row],[COD CART]],[1]!MatrizCortoLargoCyl[#All],3,0),"")</f>
        <v/>
      </c>
      <c r="F1530" t="inlineStr">
        <is>
          <t>HMY/CYL/4,00/18-02-22</t>
        </is>
      </c>
      <c r="G1530" t="n">
        <v>200</v>
      </c>
      <c r="H1530" t="n">
        <v>-774.9359920000001</v>
      </c>
      <c r="I1530">
        <f>-H3566/G3566</f>
        <v/>
      </c>
      <c r="J1530" s="16" t="n">
        <v>44610</v>
      </c>
      <c r="K1530">
        <f>+OPERAC[[#This Row],[cantidad]]</f>
        <v/>
      </c>
      <c r="L1530">
        <f>+OPERAC[[#This Row],[cantidad venta]]*3.8323</f>
        <v/>
      </c>
    </row>
    <row r="1531">
      <c r="A1531" t="n">
        <v>3867</v>
      </c>
      <c r="B1531" s="16" t="n">
        <v>44587</v>
      </c>
      <c r="C1531" t="inlineStr">
        <is>
          <t>CPR</t>
        </is>
      </c>
      <c r="D1531" t="n">
        <v>40</v>
      </c>
      <c r="E1531">
        <f>IF(D4977&gt;0,VLOOKUP(OPERAC[[#This Row],[COD CART]],[1]!MatrizCortoLargoCyl[#All],3,0),"")</f>
        <v/>
      </c>
      <c r="F1531" t="inlineStr">
        <is>
          <t>MSFT</t>
        </is>
      </c>
      <c r="G1531" t="n">
        <v>5</v>
      </c>
      <c r="H1531" t="n">
        <v>-1517.0563</v>
      </c>
      <c r="I1531">
        <f>-H4977/G4977</f>
        <v/>
      </c>
      <c r="J1531" s="16" t="n">
        <v>44606</v>
      </c>
      <c r="K1531">
        <f>+OPERAC[[#This Row],[cantidad]]</f>
        <v/>
      </c>
      <c r="L1531">
        <f>+OPERAC[[#This Row],[cantidad venta]]*290.091</f>
        <v/>
      </c>
    </row>
    <row r="1532">
      <c r="A1532" t="n">
        <v>3867</v>
      </c>
      <c r="B1532" s="16" t="n">
        <v>44587</v>
      </c>
      <c r="C1532" t="inlineStr">
        <is>
          <t>VTA</t>
        </is>
      </c>
      <c r="D1532" t="n">
        <v>40</v>
      </c>
      <c r="E1532">
        <f>IF(D5193&gt;0,VLOOKUP(OPERAC[[#This Row],[COD CART]],[1]!MatrizCortoLargoCyl[#All],3,0),"")</f>
        <v/>
      </c>
      <c r="F1532" t="inlineStr">
        <is>
          <t>AAPL</t>
        </is>
      </c>
      <c r="G1532" t="n">
        <v>10</v>
      </c>
      <c r="H1532" t="n">
        <v>-1640.5442</v>
      </c>
      <c r="I1532">
        <f>-H5193/G5193</f>
        <v/>
      </c>
      <c r="J1532" s="16" t="n">
        <v>44601</v>
      </c>
      <c r="K1532" t="n">
        <v>10</v>
      </c>
      <c r="L1532">
        <f>175.66*OPERAC[[#This Row],[cantidad venta]]</f>
        <v/>
      </c>
    </row>
    <row r="1533">
      <c r="A1533" t="n">
        <v>3867</v>
      </c>
      <c r="B1533" s="16" t="n">
        <v>44602</v>
      </c>
      <c r="C1533" t="inlineStr">
        <is>
          <t>CPR</t>
        </is>
      </c>
      <c r="D1533" t="n">
        <v>32</v>
      </c>
      <c r="E1533">
        <f>IF(D4492&gt;0,VLOOKUP(OPERAC[[#This Row],[COD CART]],[1]!MatrizCortoLargoCyl[#All],3,0),"")</f>
        <v/>
      </c>
      <c r="F1533" t="inlineStr">
        <is>
          <t>BIOX/CYL/12,50/18-03-22</t>
        </is>
      </c>
      <c r="G1533" t="n">
        <v>100</v>
      </c>
      <c r="H1533" t="n">
        <v>-1176</v>
      </c>
      <c r="I1533">
        <f>-H4492/G4492</f>
        <v/>
      </c>
      <c r="J1533" s="16" t="n">
        <v>44634</v>
      </c>
      <c r="K1533" t="n">
        <v>100</v>
      </c>
      <c r="L1533" t="n">
        <v>1235.48</v>
      </c>
    </row>
    <row r="1534">
      <c r="A1534" t="n">
        <v>3867</v>
      </c>
      <c r="B1534" s="16" t="n">
        <v>44602</v>
      </c>
      <c r="C1534" t="inlineStr">
        <is>
          <t>VTA</t>
        </is>
      </c>
      <c r="D1534" t="n">
        <v>32</v>
      </c>
      <c r="E1534">
        <f>IF(D3829&gt;0,VLOOKUP(OPERAC[[#This Row],[COD CART]],[1]!MatrizCortoLargoCyl[#All],3,0),"")</f>
        <v/>
      </c>
      <c r="F1534" t="inlineStr">
        <is>
          <t>TEVA</t>
        </is>
      </c>
      <c r="G1534" t="n">
        <v>100</v>
      </c>
      <c r="H1534">
        <f>-8.59*OPERAC[[#This Row],[cantidad]]</f>
        <v/>
      </c>
      <c r="I1534">
        <f>-H3829/G3829</f>
        <v/>
      </c>
      <c r="J1534" s="16" t="n">
        <v>44643</v>
      </c>
      <c r="K1534">
        <f>+OPERAC[[#This Row],[cantidad]]</f>
        <v/>
      </c>
      <c r="L1534">
        <f>+OPERAC[[#This Row],[cantidad venta]]*8.051</f>
        <v/>
      </c>
    </row>
    <row r="1535">
      <c r="A1535" t="n">
        <v>3867</v>
      </c>
      <c r="B1535" s="16" t="n">
        <v>44607</v>
      </c>
      <c r="C1535" t="inlineStr">
        <is>
          <t>VTA</t>
        </is>
      </c>
      <c r="D1535" t="n">
        <v>32</v>
      </c>
      <c r="E1535">
        <f>IF(D5025&gt;0,VLOOKUP(OPERAC[[#This Row],[COD CART]],[1]!MatrizCortoLargoCyl[#All],3,0),"")</f>
        <v/>
      </c>
      <c r="F1535" t="inlineStr">
        <is>
          <t>DDD/CYL/16,00/18-03-22</t>
        </is>
      </c>
      <c r="G1535" t="n">
        <v>100</v>
      </c>
      <c r="H1535" t="n">
        <v>-1552.775</v>
      </c>
      <c r="I1535">
        <f>-H5025/G5025</f>
        <v/>
      </c>
      <c r="J1535" s="16" t="n">
        <v>44638</v>
      </c>
      <c r="K1535" t="n">
        <v>100</v>
      </c>
      <c r="L1535">
        <f>15.866*OPERAC[[#This Row],[cantidad venta]]</f>
        <v/>
      </c>
    </row>
    <row r="1536">
      <c r="A1536" t="n">
        <v>3867</v>
      </c>
      <c r="B1536" s="16" t="n">
        <v>44616</v>
      </c>
      <c r="C1536" t="inlineStr">
        <is>
          <t>VTA</t>
        </is>
      </c>
      <c r="D1536" t="n">
        <v>32</v>
      </c>
      <c r="E1536">
        <f>IF(D2257&gt;0,VLOOKUP(OPERAC[[#This Row],[COD CART]],[1]!MatrizCortoLargoCyl[#All],3,0),"")</f>
        <v/>
      </c>
      <c r="F1536" t="inlineStr">
        <is>
          <t>HMY/CYL/4,00/18-03-22</t>
        </is>
      </c>
      <c r="G1536" t="n">
        <v>100</v>
      </c>
      <c r="H1536" t="n">
        <v>-383.705</v>
      </c>
      <c r="I1536">
        <f>-H2257/G2257</f>
        <v/>
      </c>
      <c r="J1536" s="16" t="n">
        <v>44622</v>
      </c>
      <c r="K1536" t="n">
        <v>100</v>
      </c>
      <c r="L1536" t="n">
        <v>393.95</v>
      </c>
    </row>
    <row r="1537">
      <c r="A1537" t="n">
        <v>3867</v>
      </c>
      <c r="B1537" s="16" t="n">
        <v>44622</v>
      </c>
      <c r="C1537" t="inlineStr">
        <is>
          <t>CPR</t>
        </is>
      </c>
      <c r="D1537" t="n">
        <v>32</v>
      </c>
      <c r="E1537">
        <f>IF(D2572&gt;0,VLOOKUP(OPERAC[[#This Row],[COD CART]],[1]!MatrizCortoLargoCyl[#All],3,0),"")</f>
        <v/>
      </c>
      <c r="F1537" t="inlineStr">
        <is>
          <t>HMY/CYL/5,00/18-03-22</t>
        </is>
      </c>
      <c r="G1537" t="n">
        <v>100</v>
      </c>
      <c r="H1537" t="n">
        <v>-468.532</v>
      </c>
      <c r="I1537">
        <f>-H2572/G2572</f>
        <v/>
      </c>
      <c r="J1537" s="16" t="n">
        <v>44637</v>
      </c>
      <c r="K1537">
        <f>+OPERAC[[#This Row],[cantidad]]</f>
        <v/>
      </c>
      <c r="L1537">
        <f>4.85553*OPERAC[[#This Row],[cantidad venta]]</f>
        <v/>
      </c>
    </row>
    <row r="1538">
      <c r="A1538" t="n">
        <v>3867</v>
      </c>
      <c r="B1538" s="16" t="n">
        <v>44641</v>
      </c>
      <c r="C1538" t="inlineStr">
        <is>
          <t>CPR</t>
        </is>
      </c>
      <c r="D1538" t="n">
        <v>32</v>
      </c>
      <c r="E1538">
        <f>IF(D4111&gt;0,VLOOKUP(OPERAC[[#This Row],[COD CART]],[1]!MatrizCortoLargoCyl[#All],3,0),"")</f>
        <v/>
      </c>
      <c r="F1538" t="inlineStr">
        <is>
          <t>HMY</t>
        </is>
      </c>
      <c r="G1538" t="n">
        <v>200</v>
      </c>
      <c r="H1538" t="n">
        <v>-951.8077999999999</v>
      </c>
      <c r="I1538">
        <f>-H4111/G4111</f>
        <v/>
      </c>
      <c r="J1538" s="16" t="n">
        <v>44669</v>
      </c>
      <c r="K1538">
        <f>+OPERAC[[#This Row],[cantidad]]</f>
        <v/>
      </c>
      <c r="L1538">
        <f>4.925*OPERAC[[#This Row],[cantidad venta]]</f>
        <v/>
      </c>
    </row>
    <row r="1539">
      <c r="A1539" t="n">
        <v>3867</v>
      </c>
      <c r="B1539" s="16" t="n">
        <v>44641</v>
      </c>
      <c r="C1539" t="inlineStr">
        <is>
          <t>CPR</t>
        </is>
      </c>
      <c r="D1539" t="n">
        <v>32</v>
      </c>
      <c r="E1539">
        <f>IF(D5673&gt;0,VLOOKUP(OPERAC[[#This Row],[COD CART]],[1]!MatrizCortoLargoCyl[#All],3,0),"")</f>
        <v/>
      </c>
      <c r="F1539" t="inlineStr">
        <is>
          <t>LAC/CYL/25,00/14-04-22</t>
        </is>
      </c>
      <c r="G1539" t="n">
        <v>100</v>
      </c>
      <c r="H1539" t="n">
        <v>-2453.918</v>
      </c>
      <c r="I1539">
        <f>-H5673/G5673</f>
        <v/>
      </c>
      <c r="J1539" s="16" t="n">
        <v>44644</v>
      </c>
      <c r="K1539">
        <f>+OPERAC[[#This Row],[cantidad]]</f>
        <v/>
      </c>
      <c r="L1539" t="n">
        <v>2485.061</v>
      </c>
    </row>
    <row r="1540">
      <c r="A1540" t="n">
        <v>3867</v>
      </c>
      <c r="B1540" s="16" t="n">
        <v>44643</v>
      </c>
      <c r="C1540" t="inlineStr">
        <is>
          <t>CPR</t>
        </is>
      </c>
      <c r="D1540" t="n">
        <v>32</v>
      </c>
      <c r="E1540">
        <f>IF(D3239&gt;0,VLOOKUP(OPERAC[[#This Row],[COD CART]],[1]!MatrizCortoLargoCyl[#All],3,0),"")</f>
        <v/>
      </c>
      <c r="F1540" t="inlineStr">
        <is>
          <t>CRESY/CYL/7,50/17-06-22</t>
        </is>
      </c>
      <c r="G1540" t="n">
        <v>100</v>
      </c>
      <c r="H1540">
        <f>-680.303+14.873</f>
        <v/>
      </c>
      <c r="I1540">
        <f>-H3239/G3239</f>
        <v/>
      </c>
    </row>
    <row r="1541">
      <c r="A1541" t="n">
        <v>3867</v>
      </c>
      <c r="B1541" s="16" t="n">
        <v>44644</v>
      </c>
      <c r="C1541" t="inlineStr">
        <is>
          <t>VTA</t>
        </is>
      </c>
      <c r="D1541" t="n">
        <v>32</v>
      </c>
      <c r="E1541">
        <f>IF(D1985&gt;0,VLOOKUP(OPERAC[[#This Row],[COD CART]],[1]!MatrizCortoLargoCyl[#All],3,0),"")</f>
        <v/>
      </c>
      <c r="F1541" t="inlineStr">
        <is>
          <t>LAC/BULL/30,00-35,00/14-04-22</t>
        </is>
      </c>
      <c r="G1541" t="n">
        <v>100</v>
      </c>
      <c r="H1541">
        <f>-3262.4185+3760.862-805.1</f>
        <v/>
      </c>
      <c r="I1541">
        <f>-H1985/G1985</f>
        <v/>
      </c>
      <c r="J1541" s="16" t="n">
        <v>44665</v>
      </c>
      <c r="K1541" t="n">
        <v>100</v>
      </c>
      <c r="L1541" t="n">
        <v>0</v>
      </c>
    </row>
    <row r="1542">
      <c r="A1542" t="n">
        <v>3867</v>
      </c>
      <c r="B1542" s="16" t="n">
        <v>44655</v>
      </c>
      <c r="C1542" t="inlineStr">
        <is>
          <t>CPR</t>
        </is>
      </c>
      <c r="D1542" t="n">
        <v>32</v>
      </c>
      <c r="E1542">
        <f>IF(D3559&gt;0,VLOOKUP(OPERAC[[#This Row],[COD CART]],[1]!MatrizCortoLargoCyl[#All],3,0),"")</f>
        <v/>
      </c>
      <c r="F1542" t="inlineStr">
        <is>
          <t>COTY/CYL/8,00/24-06-22</t>
        </is>
      </c>
      <c r="G1542" t="n">
        <v>100</v>
      </c>
      <c r="H1542">
        <f>-776.764+3.966</f>
        <v/>
      </c>
      <c r="I1542">
        <f>-H3559/G3559</f>
        <v/>
      </c>
    </row>
    <row r="1543">
      <c r="A1543" t="n">
        <v>3867</v>
      </c>
      <c r="B1543" s="16" t="n">
        <v>44655</v>
      </c>
      <c r="C1543" t="inlineStr">
        <is>
          <t>VTA</t>
        </is>
      </c>
      <c r="D1543" t="n">
        <v>32</v>
      </c>
      <c r="E1543">
        <f>IF(D4997&gt;0,VLOOKUP(OPERAC[[#This Row],[COD CART]],[1]!MatrizCortoLargoCyl[#All],3,0),"")</f>
        <v/>
      </c>
      <c r="F1543" t="inlineStr">
        <is>
          <t>F/CYL/16,00/15-07-22</t>
        </is>
      </c>
      <c r="G1543" t="n">
        <v>100</v>
      </c>
      <c r="H1543">
        <f>-1535.73+10.907</f>
        <v/>
      </c>
      <c r="I1543">
        <f>-H4997/G4997</f>
        <v/>
      </c>
    </row>
    <row r="1544">
      <c r="A1544" t="n">
        <v>3867</v>
      </c>
      <c r="B1544" s="16" t="n">
        <v>44662</v>
      </c>
      <c r="C1544" t="inlineStr">
        <is>
          <t>VTA</t>
        </is>
      </c>
      <c r="D1544" t="n">
        <v>42</v>
      </c>
      <c r="E1544">
        <f>IF(D1845&gt;0,VLOOKUP(OPERAC[[#This Row],[COD CART]],[1]!MatrizCortoLargoCyl[#All],3,0),"")</f>
        <v/>
      </c>
      <c r="F1544" t="inlineStr">
        <is>
          <t>HYDR</t>
        </is>
      </c>
      <c r="G1544" t="n">
        <v>15</v>
      </c>
      <c r="H1544" t="n">
        <v>-278.5551599999999</v>
      </c>
      <c r="I1544">
        <f>-H1845/G1845</f>
        <v/>
      </c>
      <c r="J1544" s="16" t="n">
        <v>44693</v>
      </c>
      <c r="K1544">
        <f>+OPERAC[[#This Row],[cantidad]]</f>
        <v/>
      </c>
      <c r="L1544">
        <f>+OPERAC[[#This Row],[cantidad venta]]*12.027</f>
        <v/>
      </c>
    </row>
    <row r="1545">
      <c r="A1545" t="n">
        <v>3867</v>
      </c>
      <c r="B1545" s="16" t="n">
        <v>44669</v>
      </c>
      <c r="C1545" t="inlineStr">
        <is>
          <t>CPR</t>
        </is>
      </c>
      <c r="D1545" t="n">
        <v>32</v>
      </c>
      <c r="E1545">
        <f>IF(D4037&gt;0,VLOOKUP(OPERAC[[#This Row],[COD CART]],[1]!MatrizCortoLargoCyl[#All],3,0),"")</f>
        <v/>
      </c>
      <c r="F1545" t="inlineStr">
        <is>
          <t>HMY</t>
        </is>
      </c>
      <c r="G1545" t="n">
        <v>200</v>
      </c>
      <c r="H1545">
        <f>-4.64*OPERAC[[#This Row],[cantidad]]</f>
        <v/>
      </c>
      <c r="I1545">
        <f>-H4037/G4037</f>
        <v/>
      </c>
    </row>
    <row r="1546">
      <c r="A1546" t="n">
        <v>4543</v>
      </c>
      <c r="B1546" s="16" t="n">
        <v>44040</v>
      </c>
      <c r="C1546" t="inlineStr">
        <is>
          <t>CPR</t>
        </is>
      </c>
      <c r="D1546" t="n">
        <v>41</v>
      </c>
      <c r="E1546">
        <f>IF(D5829&gt;0,VLOOKUP(OPERAC[[#This Row],[COD CART]],[1]!MatrizCortoLargoCyl[#All],3,0),"")</f>
        <v/>
      </c>
      <c r="F1546" t="inlineStr">
        <is>
          <t>GLD</t>
        </is>
      </c>
      <c r="G1546" t="n">
        <v>15</v>
      </c>
      <c r="H1546" t="n">
        <v>-2811.4878</v>
      </c>
      <c r="I1546" t="n">
        <v>187.43252</v>
      </c>
      <c r="J1546" s="16" t="n">
        <v>44658</v>
      </c>
      <c r="K1546" t="n">
        <v>15</v>
      </c>
      <c r="L1546" t="n">
        <v>2686.777</v>
      </c>
    </row>
    <row r="1547">
      <c r="A1547" t="n">
        <v>4543</v>
      </c>
      <c r="B1547" s="16" t="n">
        <v>44144</v>
      </c>
      <c r="C1547" t="inlineStr">
        <is>
          <t>VTA</t>
        </is>
      </c>
      <c r="D1547" t="n">
        <v>41</v>
      </c>
      <c r="E1547">
        <f>IF(D5334&gt;0,VLOOKUP(OPERAC[[#This Row],[COD CART]],[1]!MatrizCortoLargoCyl[#All],3,0),"")</f>
        <v/>
      </c>
      <c r="F1547" t="inlineStr">
        <is>
          <t>GLD</t>
        </is>
      </c>
      <c r="G1547" t="n">
        <v>10</v>
      </c>
      <c r="H1547" t="n">
        <v>-1755.0208</v>
      </c>
      <c r="I1547">
        <f>-H5334/G5334</f>
        <v/>
      </c>
    </row>
    <row r="1548">
      <c r="A1548" t="n">
        <v>4543</v>
      </c>
      <c r="B1548" s="16" t="n">
        <v>44439</v>
      </c>
      <c r="C1548" t="inlineStr">
        <is>
          <t>VTA</t>
        </is>
      </c>
      <c r="D1548" t="n">
        <v>39</v>
      </c>
      <c r="E1548">
        <f>IF(D438&gt;0,VLOOKUP(OPERAC[[#This Row],[COD CART]],[1]!MatrizCortoLargoCyl[#All],3,0),"")</f>
        <v/>
      </c>
      <c r="F1548" t="inlineStr">
        <is>
          <t>INO/V/5,00/20-01-23</t>
        </is>
      </c>
      <c r="G1548" t="n">
        <v>-1000</v>
      </c>
      <c r="H1548" t="n">
        <v>1043</v>
      </c>
      <c r="I1548">
        <f>-H438/G438</f>
        <v/>
      </c>
      <c r="J1548" s="16" t="n">
        <v>44614</v>
      </c>
      <c r="K1548" t="n">
        <v>-1000</v>
      </c>
      <c r="L1548" t="n">
        <v>-2629.592</v>
      </c>
    </row>
    <row r="1549">
      <c r="A1549" t="n">
        <v>4543</v>
      </c>
      <c r="B1549" s="16" t="n">
        <v>44446</v>
      </c>
      <c r="C1549" t="inlineStr">
        <is>
          <t>CPR</t>
        </is>
      </c>
      <c r="D1549" t="n">
        <v>32</v>
      </c>
      <c r="E1549">
        <f>IF(D3283&gt;0,VLOOKUP(OPERAC[[#This Row],[COD CART]],[1]!MatrizCortoLargoCyl[#All],3,0),"")</f>
        <v/>
      </c>
      <c r="F1549" t="inlineStr">
        <is>
          <t>INO/CYL/8,00/18-02-22</t>
        </is>
      </c>
      <c r="G1549" t="n">
        <v>100</v>
      </c>
      <c r="H1549">
        <f>-758.932+27.502+30.172+14.579+4.707</f>
        <v/>
      </c>
      <c r="I1549">
        <f>-H3283/G3283</f>
        <v/>
      </c>
      <c r="J1549" s="16" t="n">
        <v>44596</v>
      </c>
      <c r="K1549" t="n">
        <v>100</v>
      </c>
      <c r="L1549">
        <f>3.665*OPERAC[[#This Row],[cantidad venta]]</f>
        <v/>
      </c>
    </row>
    <row r="1550">
      <c r="A1550" t="n">
        <v>4543</v>
      </c>
      <c r="B1550" s="16" t="n">
        <v>44460</v>
      </c>
      <c r="C1550" t="inlineStr">
        <is>
          <t>VTA</t>
        </is>
      </c>
      <c r="D1550" t="n">
        <v>40</v>
      </c>
      <c r="E1550">
        <f>IF(D3110&gt;0,VLOOKUP(OPERAC[[#This Row],[COD CART]],[1]!MatrizCortoLargoCyl[#All],3,0),"")</f>
        <v/>
      </c>
      <c r="F1550" t="inlineStr">
        <is>
          <t>EDU</t>
        </is>
      </c>
      <c r="G1550" t="n">
        <v>600</v>
      </c>
      <c r="H1550">
        <f>OPERAC[[#This Row],[cantidad]]*-1.084+0.04*OPERAC[[#This Row],[cantidad]]</f>
        <v/>
      </c>
      <c r="I1550">
        <f>-H3110/G3110</f>
        <v/>
      </c>
      <c r="J1550" s="16" t="n">
        <v>44615</v>
      </c>
      <c r="K1550" t="n">
        <v>600</v>
      </c>
      <c r="L1550" t="n">
        <v>896.86</v>
      </c>
    </row>
    <row r="1551">
      <c r="A1551" t="n">
        <v>4543</v>
      </c>
      <c r="B1551" s="16" t="n">
        <v>44466</v>
      </c>
      <c r="C1551" t="inlineStr">
        <is>
          <t>VTA</t>
        </is>
      </c>
      <c r="D1551" t="n">
        <v>43</v>
      </c>
      <c r="E1551">
        <f>IF(D2337&gt;0,VLOOKUP(OPERAC[[#This Row],[COD CART]],[1]!MatrizCortoLargoCyl[#All],3,0),"")</f>
        <v/>
      </c>
      <c r="F1551" t="inlineStr">
        <is>
          <t>SOLO/CYL-PUT/4,00/16-09-22</t>
        </is>
      </c>
      <c r="G1551" t="n">
        <v>200</v>
      </c>
      <c r="H1551">
        <f>-594.83454+0.32*OPERAC[[#This Row],[cantidad]]+0.387*OPERAC[[#This Row],[cantidad]]+0.22*OPERAC[[#This Row],[cantidad]]</f>
        <v/>
      </c>
      <c r="I1551">
        <f>-H2337/G2337</f>
        <v/>
      </c>
    </row>
    <row r="1552">
      <c r="A1552" t="n">
        <v>4543</v>
      </c>
      <c r="B1552" s="16" t="n">
        <v>44469</v>
      </c>
      <c r="C1552" t="inlineStr">
        <is>
          <t>VTA</t>
        </is>
      </c>
      <c r="D1552" t="n">
        <v>39</v>
      </c>
      <c r="E1552">
        <f>IF(D804&gt;0,VLOOKUP(OPERAC[[#This Row],[COD CART]],[1]!MatrizCortoLargoCyl[#All],3,0),"")</f>
        <v/>
      </c>
      <c r="F1552" t="inlineStr">
        <is>
          <t>ACB/V/6,00/21-01-22</t>
        </is>
      </c>
      <c r="G1552" t="n">
        <v>-300</v>
      </c>
      <c r="H1552">
        <f>255.207-0.5*OPERAC[[#This Row],[cantidad]]+0.51*OPERAC[[#This Row],[cantidad]]</f>
        <v/>
      </c>
      <c r="I1552">
        <f>-H804/G804</f>
        <v/>
      </c>
      <c r="J1552" s="16" t="n">
        <v>44581</v>
      </c>
      <c r="K1552">
        <f>+OPERAC[[#This Row],[cantidad]]</f>
        <v/>
      </c>
      <c r="L1552">
        <f>-OPERAC[[#This Row],[importe]]</f>
        <v/>
      </c>
    </row>
    <row r="1553">
      <c r="A1553" t="n">
        <v>4543</v>
      </c>
      <c r="B1553" s="16" t="n">
        <v>44489</v>
      </c>
      <c r="C1553" t="inlineStr">
        <is>
          <t>VTA</t>
        </is>
      </c>
      <c r="D1553" t="n">
        <v>43</v>
      </c>
      <c r="E1553">
        <f>IF(D2230&gt;0,VLOOKUP(OPERAC[[#This Row],[COD CART]],[1]!MatrizCortoLargoCyl[#All],3,0),"")</f>
        <v/>
      </c>
      <c r="F1553" t="inlineStr">
        <is>
          <t>SESN/CYL-PUT/1,00/19-01-24</t>
        </is>
      </c>
      <c r="G1553" t="n">
        <v>2000</v>
      </c>
      <c r="H1553">
        <f>-0.1885*OPERAC[[#This Row],[cantidad]]</f>
        <v/>
      </c>
      <c r="I1553">
        <f>-H2230/G2230</f>
        <v/>
      </c>
      <c r="J1553" s="16" t="n">
        <v>44615</v>
      </c>
      <c r="K1553" t="n">
        <v>2000</v>
      </c>
      <c r="L1553">
        <f>1218.736-510.8</f>
        <v/>
      </c>
    </row>
    <row r="1554">
      <c r="A1554" t="n">
        <v>4543</v>
      </c>
      <c r="B1554" s="16" t="n">
        <v>44523</v>
      </c>
      <c r="C1554" t="inlineStr">
        <is>
          <t>VTA</t>
        </is>
      </c>
      <c r="D1554" t="n">
        <v>32</v>
      </c>
      <c r="E1554">
        <f>IF(D2312&gt;0,VLOOKUP(OPERAC[[#This Row],[COD CART]],[1]!MatrizCortoLargoCyl[#All],3,0),"")</f>
        <v/>
      </c>
      <c r="F1554" t="inlineStr">
        <is>
          <t>GMBL/CYL/5,00/18-03-22</t>
        </is>
      </c>
      <c r="G1554" t="n">
        <v>100</v>
      </c>
      <c r="H1554">
        <f>-411.931+9.067</f>
        <v/>
      </c>
      <c r="I1554">
        <f>-H2312/G2312</f>
        <v/>
      </c>
      <c r="J1554" s="16" t="n">
        <v>44623</v>
      </c>
      <c r="K1554" t="n">
        <v>100</v>
      </c>
      <c r="L1554" t="n">
        <v>75.792</v>
      </c>
    </row>
    <row r="1555">
      <c r="A1555" t="n">
        <v>4543</v>
      </c>
      <c r="B1555" s="16" t="n">
        <v>44553</v>
      </c>
      <c r="C1555" t="inlineStr">
        <is>
          <t>VTA</t>
        </is>
      </c>
      <c r="D1555" t="n">
        <v>40</v>
      </c>
      <c r="E1555">
        <f>IF(D1801&gt;0,VLOOKUP(OPERAC[[#This Row],[COD CART]],[1]!MatrizCortoLargoCyl[#All],3,0),"")</f>
        <v/>
      </c>
      <c r="F1555" t="inlineStr">
        <is>
          <t>ON</t>
        </is>
      </c>
      <c r="G1555" t="n">
        <v>4</v>
      </c>
      <c r="H1555" t="n">
        <v>-268.4544319999999</v>
      </c>
      <c r="I1555">
        <f>-H1801/G1801</f>
        <v/>
      </c>
      <c r="J1555" s="16" t="n">
        <v>44606</v>
      </c>
      <c r="K1555">
        <f>+OPERAC[[#This Row],[cantidad]]</f>
        <v/>
      </c>
      <c r="L1555">
        <f>+OPERAC[[#This Row],[cantidad venta]]*58.449</f>
        <v/>
      </c>
    </row>
    <row r="1556">
      <c r="A1556" t="n">
        <v>4543</v>
      </c>
      <c r="B1556" s="16" t="n">
        <v>44571</v>
      </c>
      <c r="C1556" t="inlineStr">
        <is>
          <t>VTA</t>
        </is>
      </c>
      <c r="D1556" t="n">
        <v>39</v>
      </c>
      <c r="E1556">
        <f>IF(D357&gt;0,VLOOKUP(OPERAC[[#This Row],[COD CART]],[1]!MatrizCortoLargoCyl[#All],3,0),"")</f>
        <v/>
      </c>
      <c r="F1556" t="inlineStr">
        <is>
          <t>ROKU/V/165,00/14-01-22</t>
        </is>
      </c>
      <c r="G1556" t="n">
        <v>-400</v>
      </c>
      <c r="H1556" t="n">
        <v>1248.34136</v>
      </c>
      <c r="I1556">
        <f>-H357/G357</f>
        <v/>
      </c>
      <c r="J1556" s="16" t="n">
        <v>44573</v>
      </c>
      <c r="K1556" t="n">
        <v>-400</v>
      </c>
      <c r="L1556" t="n">
        <v>-236.656</v>
      </c>
    </row>
    <row r="1557">
      <c r="A1557" t="n">
        <v>4543</v>
      </c>
      <c r="B1557" s="16" t="n">
        <v>44573</v>
      </c>
      <c r="C1557" t="inlineStr">
        <is>
          <t>VTA</t>
        </is>
      </c>
      <c r="D1557" t="n">
        <v>39</v>
      </c>
      <c r="E1557">
        <f>IF(D763&gt;0,VLOOKUP(OPERAC[[#This Row],[COD CART]],[1]!MatrizCortoLargoCyl[#All],3,0),"")</f>
        <v/>
      </c>
      <c r="F1557" t="inlineStr">
        <is>
          <t>ROKU/V/170,00/21-01-22</t>
        </is>
      </c>
      <c r="G1557" t="n">
        <v>-100</v>
      </c>
      <c r="H1557" t="n">
        <v>326.96</v>
      </c>
      <c r="I1557">
        <f>-H763/G763</f>
        <v/>
      </c>
      <c r="J1557" s="16" t="n">
        <v>44582</v>
      </c>
      <c r="K1557" t="n">
        <v>-100</v>
      </c>
      <c r="L1557">
        <f>-OPERAC[[#This Row],[importe]]</f>
        <v/>
      </c>
    </row>
    <row r="1558">
      <c r="A1558" t="n">
        <v>4543</v>
      </c>
      <c r="B1558" s="16" t="n">
        <v>44574</v>
      </c>
      <c r="C1558" t="inlineStr">
        <is>
          <t>CPR</t>
        </is>
      </c>
      <c r="D1558" t="n">
        <v>39</v>
      </c>
      <c r="E1558">
        <f>IF(D4145&gt;0,VLOOKUP(OPERAC[[#This Row],[COD CART]],[1]!MatrizCortoLargoCyl[#All],3,0),"")</f>
        <v/>
      </c>
      <c r="F1558" t="inlineStr">
        <is>
          <t>BABA/BULL/120,0-135,0/20-05-22</t>
        </is>
      </c>
      <c r="G1558" t="n">
        <v>100</v>
      </c>
      <c r="H1558" t="n">
        <v>-965.8</v>
      </c>
      <c r="I1558">
        <f>-H4145/G4145</f>
        <v/>
      </c>
      <c r="J1558" s="16" t="n">
        <v>44701</v>
      </c>
      <c r="K1558">
        <f>+OPERAC[[#This Row],[cantidad]]</f>
        <v/>
      </c>
      <c r="L1558" t="n">
        <v>0</v>
      </c>
    </row>
    <row r="1559">
      <c r="A1559" t="n">
        <v>4543</v>
      </c>
      <c r="B1559" s="16" t="n">
        <v>44581</v>
      </c>
      <c r="C1559" t="inlineStr">
        <is>
          <t>VTA</t>
        </is>
      </c>
      <c r="D1559" t="n">
        <v>39</v>
      </c>
      <c r="E1559">
        <f>IF(D750&gt;0,VLOOKUP(OPERAC[[#This Row],[COD CART]],[1]!MatrizCortoLargoCyl[#All],3,0),"")</f>
        <v/>
      </c>
      <c r="F1559" t="inlineStr">
        <is>
          <t>ACB/V/6,00/18-02-22</t>
        </is>
      </c>
      <c r="G1559" t="n">
        <v>-300</v>
      </c>
      <c r="H1559" t="n">
        <v>362.8545</v>
      </c>
      <c r="I1559">
        <f>-H750/G750</f>
        <v/>
      </c>
      <c r="J1559" s="16" t="n">
        <v>44601</v>
      </c>
      <c r="K1559" t="n">
        <v>-300</v>
      </c>
      <c r="L1559">
        <f>1.21*OPERAC[[#This Row],[cantidad venta]]</f>
        <v/>
      </c>
    </row>
    <row r="1560">
      <c r="A1560" t="n">
        <v>4543</v>
      </c>
      <c r="B1560" s="16" t="n">
        <v>44582</v>
      </c>
      <c r="C1560" t="inlineStr">
        <is>
          <t>VTA</t>
        </is>
      </c>
      <c r="D1560" t="n">
        <v>39</v>
      </c>
      <c r="E1560">
        <f>IF(D205&gt;0,VLOOKUP(OPERAC[[#This Row],[COD CART]],[1]!MatrizCortoLargoCyl[#All],3,0),"")</f>
        <v/>
      </c>
      <c r="F1560" t="inlineStr">
        <is>
          <t>ROKU/V/160,00/28-01-22</t>
        </is>
      </c>
      <c r="G1560" t="n">
        <v>-200</v>
      </c>
      <c r="H1560" t="n">
        <v>2112.7576</v>
      </c>
      <c r="I1560">
        <f>-H205/G205</f>
        <v/>
      </c>
      <c r="J1560" s="16" t="n">
        <v>44587</v>
      </c>
      <c r="K1560">
        <f>+OPERAC[[#This Row],[cantidad]]</f>
        <v/>
      </c>
      <c r="L1560">
        <f>-OPERAC[[#This Row],[importe]]</f>
        <v/>
      </c>
    </row>
    <row r="1561">
      <c r="A1561" t="n">
        <v>4543</v>
      </c>
      <c r="B1561" s="16" t="n">
        <v>44587</v>
      </c>
      <c r="C1561" t="inlineStr">
        <is>
          <t>VTA</t>
        </is>
      </c>
      <c r="D1561" t="n">
        <v>39</v>
      </c>
      <c r="E1561">
        <f>IF(D291&gt;0,VLOOKUP(OPERAC[[#This Row],[COD CART]],[1]!MatrizCortoLargoCyl[#All],3,0),"")</f>
        <v/>
      </c>
      <c r="F1561" t="inlineStr">
        <is>
          <t>ROKU/V/155,00/04-02-22</t>
        </is>
      </c>
      <c r="G1561" t="n">
        <v>-200</v>
      </c>
      <c r="H1561" t="n">
        <v>1587.992</v>
      </c>
      <c r="I1561">
        <f>-H291/G291</f>
        <v/>
      </c>
      <c r="J1561" s="16" t="n">
        <v>44592</v>
      </c>
      <c r="K1561">
        <f>+OPERAC[[#This Row],[cantidad]]</f>
        <v/>
      </c>
      <c r="L1561" t="n">
        <v>-716.4627999999999</v>
      </c>
    </row>
    <row r="1562">
      <c r="A1562" t="n">
        <v>4543</v>
      </c>
      <c r="B1562" s="16" t="n">
        <v>44592</v>
      </c>
      <c r="C1562" t="inlineStr">
        <is>
          <t>VTA</t>
        </is>
      </c>
      <c r="D1562" t="n">
        <v>39</v>
      </c>
      <c r="E1562">
        <f>IF(D487&gt;0,VLOOKUP(OPERAC[[#This Row],[COD CART]],[1]!MatrizCortoLargoCyl[#All],3,0),"")</f>
        <v/>
      </c>
      <c r="F1562" t="inlineStr">
        <is>
          <t>ROKU/V/150,00/11-02-22</t>
        </is>
      </c>
      <c r="G1562" t="n">
        <v>-200</v>
      </c>
      <c r="H1562" t="n">
        <v>951.528</v>
      </c>
      <c r="I1562">
        <f>-H487/G487</f>
        <v/>
      </c>
      <c r="J1562" s="16" t="n">
        <v>44601</v>
      </c>
      <c r="K1562">
        <f>+OPERAC[[#This Row],[cantidad]]</f>
        <v/>
      </c>
      <c r="L1562">
        <f>0.67*OPERAC[[#This Row],[cantidad venta]]</f>
        <v/>
      </c>
    </row>
    <row r="1563">
      <c r="A1563" t="n">
        <v>4543</v>
      </c>
      <c r="B1563" s="16" t="n">
        <v>44594</v>
      </c>
      <c r="C1563" t="inlineStr">
        <is>
          <t>CPR</t>
        </is>
      </c>
      <c r="D1563" t="n">
        <v>40</v>
      </c>
      <c r="E1563">
        <f>IF(D4540&gt;0,VLOOKUP(OPERAC[[#This Row],[COD CART]],[1]!MatrizCortoLargoCyl[#All],3,0),"")</f>
        <v/>
      </c>
      <c r="F1563" t="inlineStr">
        <is>
          <t>EDU</t>
        </is>
      </c>
      <c r="G1563" t="n">
        <v>600</v>
      </c>
      <c r="H1563" t="n">
        <v>-1209.6</v>
      </c>
      <c r="I1563">
        <f>-H4540/G4540</f>
        <v/>
      </c>
      <c r="J1563" s="16" t="n">
        <v>44599</v>
      </c>
      <c r="K1563" t="n">
        <v>600</v>
      </c>
      <c r="L1563">
        <f>462*2</f>
        <v/>
      </c>
    </row>
    <row r="1564">
      <c r="A1564" t="n">
        <v>4543</v>
      </c>
      <c r="B1564" s="16" t="n">
        <v>44596</v>
      </c>
      <c r="C1564" t="inlineStr">
        <is>
          <t>VTA</t>
        </is>
      </c>
      <c r="D1564" t="n">
        <v>39</v>
      </c>
      <c r="E1564">
        <f>IF(D779&gt;0,VLOOKUP(OPERAC[[#This Row],[COD CART]],[1]!MatrizCortoLargoCyl[#All],3,0),"")</f>
        <v/>
      </c>
      <c r="F1564" t="inlineStr">
        <is>
          <t>SMH/V/260,00/11-02-22</t>
        </is>
      </c>
      <c r="G1564" t="n">
        <v>-100</v>
      </c>
      <c r="H1564" t="n">
        <v>300.863</v>
      </c>
      <c r="I1564">
        <f>-H779/G779</f>
        <v/>
      </c>
      <c r="J1564" s="16" t="n">
        <v>44603</v>
      </c>
      <c r="K1564" t="n">
        <v>-100</v>
      </c>
      <c r="L1564" t="n">
        <v>-10</v>
      </c>
    </row>
    <row r="1565">
      <c r="A1565" t="n">
        <v>4543</v>
      </c>
      <c r="B1565" s="16" t="n">
        <v>44601</v>
      </c>
      <c r="C1565" t="inlineStr">
        <is>
          <t>VTA</t>
        </is>
      </c>
      <c r="D1565" t="n">
        <v>39</v>
      </c>
      <c r="E1565">
        <f>IF(D1230&gt;0,VLOOKUP(OPERAC[[#This Row],[COD CART]],[1]!MatrizCortoLargoCyl[#All],3,0),"")</f>
        <v/>
      </c>
      <c r="F1565" t="inlineStr">
        <is>
          <t>ACB/V/5,00/16-09-22</t>
        </is>
      </c>
      <c r="G1565" t="n">
        <v>-3</v>
      </c>
      <c r="H1565">
        <f>-1.56*OPERAC[[#This Row],[cantidad]]</f>
        <v/>
      </c>
      <c r="I1565">
        <f>-H1230/G1230</f>
        <v/>
      </c>
      <c r="J1565" s="16" t="n">
        <v>44623</v>
      </c>
      <c r="K1565" t="n">
        <v>-3</v>
      </c>
      <c r="L1565" t="n">
        <v>-5.9</v>
      </c>
    </row>
    <row r="1566">
      <c r="A1566" t="n">
        <v>4543</v>
      </c>
      <c r="B1566" s="16" t="n">
        <v>44608</v>
      </c>
      <c r="C1566" t="inlineStr">
        <is>
          <t>VTA</t>
        </is>
      </c>
      <c r="D1566" t="n">
        <v>40</v>
      </c>
      <c r="E1566">
        <f>IF(D2839&gt;0,VLOOKUP(OPERAC[[#This Row],[COD CART]],[1]!MatrizCortoLargoCyl[#All],3,0),"")</f>
        <v/>
      </c>
      <c r="F1566" t="inlineStr">
        <is>
          <t>NVDA</t>
        </is>
      </c>
      <c r="G1566" t="n">
        <v>2</v>
      </c>
      <c r="H1566" t="n">
        <v>-527.0279999999999</v>
      </c>
      <c r="I1566">
        <f>-H2839/G2839</f>
        <v/>
      </c>
      <c r="J1566" s="16" t="n">
        <v>44616</v>
      </c>
      <c r="K1566">
        <f>+OPERAC[[#This Row],[cantidad]]</f>
        <v/>
      </c>
      <c r="L1566">
        <f>+OPERAC[[#This Row],[cantidad venta]]*224.117</f>
        <v/>
      </c>
    </row>
    <row r="1567">
      <c r="A1567" t="n">
        <v>4543</v>
      </c>
      <c r="B1567" s="16" t="n">
        <v>44614</v>
      </c>
      <c r="C1567" t="inlineStr">
        <is>
          <t>VTA</t>
        </is>
      </c>
      <c r="D1567" t="n">
        <v>39</v>
      </c>
      <c r="E1567">
        <f>IF(D1122&gt;0,VLOOKUP(OPERAC[[#This Row],[COD CART]],[1]!MatrizCortoLargoCyl[#All],3,0),"")</f>
        <v/>
      </c>
      <c r="F1567" t="inlineStr">
        <is>
          <t>DDD/V/15,00/20-01-23</t>
        </is>
      </c>
      <c r="G1567" t="n">
        <v>-7</v>
      </c>
      <c r="H1567" t="n">
        <v>21.49</v>
      </c>
      <c r="I1567">
        <f>-H1122/G1122</f>
        <v/>
      </c>
      <c r="J1567" s="16" t="n">
        <v>44637</v>
      </c>
      <c r="K1567" t="n">
        <v>-2</v>
      </c>
      <c r="L1567" t="n">
        <v>-7.568</v>
      </c>
    </row>
    <row r="1568">
      <c r="A1568" t="n">
        <v>4543</v>
      </c>
      <c r="B1568" s="16" t="n">
        <v>44616</v>
      </c>
      <c r="C1568" t="inlineStr">
        <is>
          <t>CPR</t>
        </is>
      </c>
      <c r="D1568" t="n">
        <v>32</v>
      </c>
      <c r="E1568">
        <f>IF(D4756&gt;0,VLOOKUP(OPERAC[[#This Row],[COD CART]],[1]!MatrizCortoLargoCyl[#All],3,0),"")</f>
        <v/>
      </c>
      <c r="F1568" t="inlineStr">
        <is>
          <t>UUUU/CYL/8,00/18-03-22</t>
        </is>
      </c>
      <c r="G1568" t="n">
        <v>200</v>
      </c>
      <c r="H1568" t="n">
        <v>-1367.652</v>
      </c>
      <c r="I1568">
        <f>-H4756/G4756</f>
        <v/>
      </c>
      <c r="J1568" s="16" t="n">
        <v>44636</v>
      </c>
      <c r="K1568">
        <f>+OPERAC[[#This Row],[cantidad]]</f>
        <v/>
      </c>
      <c r="L1568" t="n">
        <v>1534.92</v>
      </c>
    </row>
    <row r="1569">
      <c r="A1569" t="n">
        <v>4543</v>
      </c>
      <c r="B1569" s="16" t="n">
        <v>44616</v>
      </c>
      <c r="C1569" t="inlineStr">
        <is>
          <t>VTA</t>
        </is>
      </c>
      <c r="D1569" t="n">
        <v>32</v>
      </c>
      <c r="E1569">
        <f>IF(D5049&gt;0,VLOOKUP(OPERAC[[#This Row],[COD CART]],[1]!MatrizCortoLargoCyl[#All],3,0),"")</f>
        <v/>
      </c>
      <c r="F1569" t="inlineStr">
        <is>
          <t>SPWR/CYL/20,00/18-03-22</t>
        </is>
      </c>
      <c r="G1569" t="n">
        <v>100</v>
      </c>
      <c r="H1569" t="n">
        <v>-1573.0928</v>
      </c>
      <c r="I1569">
        <f>-H5049/G5049</f>
        <v/>
      </c>
      <c r="J1569" s="16" t="n">
        <v>44636</v>
      </c>
      <c r="K1569" t="n">
        <v>100</v>
      </c>
      <c r="L1569" t="n">
        <v>1911.85</v>
      </c>
    </row>
    <row r="1570">
      <c r="A1570" t="n">
        <v>4543</v>
      </c>
      <c r="B1570" s="16" t="n">
        <v>44622</v>
      </c>
      <c r="C1570" t="inlineStr">
        <is>
          <t>VTA</t>
        </is>
      </c>
      <c r="D1570" t="n">
        <v>39</v>
      </c>
      <c r="E1570">
        <f>IF(D1115&gt;0,VLOOKUP(OPERAC[[#This Row],[COD CART]],[1]!MatrizCortoLargoCyl[#All],3,0),"")</f>
        <v/>
      </c>
      <c r="F1570" t="inlineStr">
        <is>
          <t>TSLA/V/400,00/20-01-23</t>
        </is>
      </c>
      <c r="G1570" t="n">
        <v>-1</v>
      </c>
      <c r="H1570" t="n">
        <v>22.06</v>
      </c>
      <c r="I1570">
        <f>-H1115/G1115</f>
        <v/>
      </c>
    </row>
    <row r="1571">
      <c r="A1571" t="n">
        <v>4543</v>
      </c>
      <c r="B1571" s="16" t="n">
        <v>44641</v>
      </c>
      <c r="C1571" t="inlineStr">
        <is>
          <t>CPR</t>
        </is>
      </c>
      <c r="D1571" t="n">
        <v>42</v>
      </c>
      <c r="E1571">
        <f>IF(D3364&gt;0,VLOOKUP(OPERAC[[#This Row],[COD CART]],[1]!MatrizCortoLargoCyl[#All],3,0),"")</f>
        <v/>
      </c>
      <c r="F1571" t="inlineStr">
        <is>
          <t>JPM</t>
        </is>
      </c>
      <c r="G1571" t="n">
        <v>5</v>
      </c>
      <c r="H1571" t="n">
        <v>-702.2717000000001</v>
      </c>
      <c r="I1571">
        <f>-H3364/G3364</f>
        <v/>
      </c>
      <c r="J1571" s="16" t="n">
        <v>44664</v>
      </c>
      <c r="K1571">
        <f>+OPERAC[[#This Row],[cantidad]]</f>
        <v/>
      </c>
      <c r="L1571">
        <f>+OPERAC[[#This Row],[cantidad venta]]*125.943</f>
        <v/>
      </c>
    </row>
    <row r="1572">
      <c r="A1572" t="n">
        <v>4543</v>
      </c>
      <c r="B1572" s="16" t="n">
        <v>44641</v>
      </c>
      <c r="C1572" t="inlineStr">
        <is>
          <t>CPR</t>
        </is>
      </c>
      <c r="D1572" t="n">
        <v>42</v>
      </c>
      <c r="E1572">
        <f>IF(D3643&gt;0,VLOOKUP(OPERAC[[#This Row],[COD CART]],[1]!MatrizCortoLargoCyl[#All],3,0),"")</f>
        <v/>
      </c>
      <c r="F1572" t="inlineStr">
        <is>
          <t>SMH</t>
        </is>
      </c>
      <c r="G1572" t="n">
        <v>3</v>
      </c>
      <c r="H1572" t="n">
        <v>-806.8729500000001</v>
      </c>
      <c r="I1572">
        <f>-H3643/G3643</f>
        <v/>
      </c>
      <c r="J1572" s="16" t="n">
        <v>44663</v>
      </c>
      <c r="K1572">
        <f>+OPERAC[[#This Row],[cantidad]]</f>
        <v/>
      </c>
      <c r="L1572">
        <f>+OPERAC[[#This Row],[cantidad venta]]*238.066</f>
        <v/>
      </c>
    </row>
    <row r="1573">
      <c r="A1573" t="n">
        <v>4543</v>
      </c>
      <c r="B1573" s="16" t="n">
        <v>44641</v>
      </c>
      <c r="C1573" t="inlineStr">
        <is>
          <t>VTA</t>
        </is>
      </c>
      <c r="D1573" t="n">
        <v>42</v>
      </c>
      <c r="E1573">
        <f>IF(D2929&gt;0,VLOOKUP(OPERAC[[#This Row],[COD CART]],[1]!MatrizCortoLargoCyl[#All],3,0),"")</f>
        <v/>
      </c>
      <c r="F1573" t="inlineStr">
        <is>
          <t>DIS</t>
        </is>
      </c>
      <c r="G1573" t="n">
        <v>4</v>
      </c>
      <c r="H1573" t="n">
        <v>-557.0848</v>
      </c>
      <c r="I1573">
        <f>-H2929/G2929</f>
        <v/>
      </c>
      <c r="J1573" s="16" t="n">
        <v>44671</v>
      </c>
      <c r="K1573">
        <f>+OPERAC[[#This Row],[cantidad]]</f>
        <v/>
      </c>
      <c r="L1573">
        <f>+OPERAC[[#This Row],[cantidad venta]]*123.621</f>
        <v/>
      </c>
    </row>
    <row r="1574">
      <c r="A1574" t="n">
        <v>4543</v>
      </c>
      <c r="B1574" s="16" t="n">
        <v>44641</v>
      </c>
      <c r="C1574" t="inlineStr">
        <is>
          <t>VTA</t>
        </is>
      </c>
      <c r="D1574" t="n">
        <v>42</v>
      </c>
      <c r="E1574">
        <f>IF(D3771&gt;0,VLOOKUP(OPERAC[[#This Row],[COD CART]],[1]!MatrizCortoLargoCyl[#All],3,0),"")</f>
        <v/>
      </c>
      <c r="F1574" t="inlineStr">
        <is>
          <t>FB</t>
        </is>
      </c>
      <c r="G1574" t="n">
        <v>4</v>
      </c>
      <c r="H1574" t="n">
        <v>-848.6255200000001</v>
      </c>
      <c r="I1574">
        <f>-H3771/G3771</f>
        <v/>
      </c>
      <c r="J1574" s="16" t="n">
        <v>44671</v>
      </c>
      <c r="K1574">
        <f>+OPERAC[[#This Row],[cantidad]]</f>
        <v/>
      </c>
      <c r="L1574">
        <f>+OPERAC[[#This Row],[cantidad venta]]*213.173</f>
        <v/>
      </c>
    </row>
    <row r="1575">
      <c r="A1575" t="n">
        <v>4543</v>
      </c>
      <c r="B1575" s="16" t="n">
        <v>44658</v>
      </c>
      <c r="C1575" t="inlineStr">
        <is>
          <t>CPR</t>
        </is>
      </c>
      <c r="D1575" t="n">
        <v>41</v>
      </c>
      <c r="E1575">
        <f>IF(D2617&gt;0,VLOOKUP(OPERAC[[#This Row],[COD CART]],[1]!MatrizCortoLargoCyl[#All],3,0),"")</f>
        <v/>
      </c>
      <c r="F1575" t="inlineStr">
        <is>
          <t>CRESY</t>
        </is>
      </c>
      <c r="G1575" t="n">
        <v>60</v>
      </c>
      <c r="H1575" t="n">
        <v>-472.744</v>
      </c>
      <c r="I1575">
        <f>-H2617/G2617</f>
        <v/>
      </c>
    </row>
    <row r="1576">
      <c r="A1576" t="n">
        <v>4543</v>
      </c>
      <c r="B1576" s="16" t="n">
        <v>44658</v>
      </c>
      <c r="C1576" t="inlineStr">
        <is>
          <t>CPR</t>
        </is>
      </c>
      <c r="D1576" t="n">
        <v>41</v>
      </c>
      <c r="E1576">
        <f>IF(D3696&gt;0,VLOOKUP(OPERAC[[#This Row],[COD CART]],[1]!MatrizCortoLargoCyl[#All],3,0),"")</f>
        <v/>
      </c>
      <c r="F1576" t="inlineStr">
        <is>
          <t>LAC</t>
        </is>
      </c>
      <c r="G1576" t="n">
        <v>25</v>
      </c>
      <c r="H1576" t="n">
        <v>-835.372</v>
      </c>
      <c r="I1576">
        <f>-H3696/G3696</f>
        <v/>
      </c>
    </row>
    <row r="1577">
      <c r="A1577" t="n">
        <v>4543</v>
      </c>
      <c r="B1577" s="16" t="n">
        <v>44658</v>
      </c>
      <c r="C1577" t="inlineStr">
        <is>
          <t>CPR</t>
        </is>
      </c>
      <c r="D1577" t="n">
        <v>41</v>
      </c>
      <c r="E1577">
        <f>IF(D4085&gt;0,VLOOKUP(OPERAC[[#This Row],[COD CART]],[1]!MatrizCortoLargoCyl[#All],3,0),"")</f>
        <v/>
      </c>
      <c r="F1577" t="inlineStr">
        <is>
          <t>HYDR</t>
        </is>
      </c>
      <c r="G1577" t="n">
        <v>50</v>
      </c>
      <c r="H1577" t="n">
        <v>-938.4400000000002</v>
      </c>
      <c r="I1577">
        <f>-H4085/G4085</f>
        <v/>
      </c>
      <c r="J1577" s="16" t="n">
        <v>44693</v>
      </c>
      <c r="K1577">
        <f>+OPERAC[[#This Row],[cantidad]]</f>
        <v/>
      </c>
      <c r="L1577">
        <f>+OPERAC[[#This Row],[cantidad venta]]*12.027</f>
        <v/>
      </c>
    </row>
    <row r="1578">
      <c r="A1578" t="n">
        <v>4543</v>
      </c>
      <c r="B1578" s="16" t="n">
        <v>44658</v>
      </c>
      <c r="C1578" t="inlineStr">
        <is>
          <t>VTA</t>
        </is>
      </c>
      <c r="D1578" t="n">
        <v>41</v>
      </c>
      <c r="E1578">
        <f>IF(D2814&gt;0,VLOOKUP(OPERAC[[#This Row],[COD CART]],[1]!MatrizCortoLargoCyl[#All],3,0),"")</f>
        <v/>
      </c>
      <c r="F1578" t="inlineStr">
        <is>
          <t>GGAL</t>
        </is>
      </c>
      <c r="G1578" t="n">
        <v>50</v>
      </c>
      <c r="H1578" t="n">
        <v>-520.12</v>
      </c>
      <c r="I1578">
        <f>-H2814/G2814</f>
        <v/>
      </c>
    </row>
    <row r="1579">
      <c r="A1579" t="n">
        <v>4543</v>
      </c>
      <c r="B1579" s="16" t="n">
        <v>44664</v>
      </c>
      <c r="C1579" t="inlineStr">
        <is>
          <t>CPR</t>
        </is>
      </c>
      <c r="D1579" t="n">
        <v>42</v>
      </c>
      <c r="E1579">
        <f>IF(D2688&gt;0,VLOOKUP(OPERAC[[#This Row],[COD CART]],[1]!MatrizCortoLargoCyl[#All],3,0),"")</f>
        <v/>
      </c>
      <c r="F1579" t="inlineStr">
        <is>
          <t>AMD</t>
        </is>
      </c>
      <c r="G1579" t="n">
        <v>5</v>
      </c>
      <c r="H1579" t="n">
        <v>-493.85327265</v>
      </c>
      <c r="I1579">
        <f>-H2688/G2688</f>
        <v/>
      </c>
      <c r="J1579" s="16" t="n">
        <v>44693</v>
      </c>
      <c r="K1579" t="n">
        <v>5</v>
      </c>
      <c r="L1579" t="n">
        <v>424.587</v>
      </c>
    </row>
    <row r="1580">
      <c r="A1580" t="n">
        <v>4543</v>
      </c>
      <c r="B1580" s="16" t="n">
        <v>44664</v>
      </c>
      <c r="C1580" t="inlineStr">
        <is>
          <t>VTA</t>
        </is>
      </c>
      <c r="D1580" t="n">
        <v>42</v>
      </c>
      <c r="E1580">
        <f>IF(D3083&gt;0,VLOOKUP(OPERAC[[#This Row],[COD CART]],[1]!MatrizCortoLargoCyl[#All],3,0),"")</f>
        <v/>
      </c>
      <c r="F1580" t="inlineStr">
        <is>
          <t>PSQ</t>
        </is>
      </c>
      <c r="G1580" t="n">
        <v>50</v>
      </c>
      <c r="H1580" t="n">
        <v>-621.6286090499999</v>
      </c>
      <c r="I1580">
        <f>-H3083/G3083</f>
        <v/>
      </c>
      <c r="J1580" s="16" t="n">
        <v>44680</v>
      </c>
      <c r="K1580">
        <f>+OPERAC[[#This Row],[cantidad]]</f>
        <v/>
      </c>
      <c r="L1580">
        <f>12.848*OPERAC[[#This Row],[cantidad venta]]</f>
        <v/>
      </c>
    </row>
    <row r="1581">
      <c r="A1581" t="n">
        <v>4543</v>
      </c>
      <c r="B1581" s="16" t="n">
        <v>44671</v>
      </c>
      <c r="C1581" t="inlineStr">
        <is>
          <t>CPR</t>
        </is>
      </c>
      <c r="D1581" t="n">
        <v>42</v>
      </c>
      <c r="E1581">
        <f>IF(D2673&gt;0,VLOOKUP(OPERAC[[#This Row],[COD CART]],[1]!MatrizCortoLargoCyl[#All],3,0),"")</f>
        <v/>
      </c>
      <c r="F1581" t="inlineStr">
        <is>
          <t>TLT</t>
        </is>
      </c>
      <c r="G1581" t="n">
        <v>4</v>
      </c>
      <c r="H1581" t="n">
        <v>-490.25202</v>
      </c>
      <c r="I1581">
        <f>-H2673/G2673</f>
        <v/>
      </c>
    </row>
    <row r="1582">
      <c r="A1582" t="n">
        <v>4543</v>
      </c>
      <c r="B1582" s="16" t="n">
        <v>44671</v>
      </c>
      <c r="C1582" t="inlineStr">
        <is>
          <t>CPR</t>
        </is>
      </c>
      <c r="D1582" t="n">
        <v>42</v>
      </c>
      <c r="E1582">
        <f>IF(D3494&gt;0,VLOOKUP(OPERAC[[#This Row],[COD CART]],[1]!MatrizCortoLargoCyl[#All],3,0),"")</f>
        <v/>
      </c>
      <c r="F1582" t="inlineStr">
        <is>
          <t>NFLX</t>
        </is>
      </c>
      <c r="G1582" t="n">
        <v>3</v>
      </c>
      <c r="H1582" t="n">
        <v>-763.51518</v>
      </c>
      <c r="I1582">
        <f>-H3494/G3494</f>
        <v/>
      </c>
      <c r="J1582" s="16" t="n">
        <v>44693</v>
      </c>
      <c r="K1582">
        <f>+OPERAC[[#This Row],[cantidad]]</f>
        <v/>
      </c>
      <c r="L1582">
        <f>+OPERAC[[#This Row],[cantidad venta]]*169.079</f>
        <v/>
      </c>
    </row>
    <row r="1583">
      <c r="A1583" t="n">
        <v>4543</v>
      </c>
      <c r="B1583" s="16" t="n">
        <v>44680</v>
      </c>
      <c r="C1583" t="inlineStr">
        <is>
          <t>VTA</t>
        </is>
      </c>
      <c r="D1583" t="n">
        <v>42</v>
      </c>
      <c r="E1583">
        <f>IF(D3134&gt;0,VLOOKUP(OPERAC[[#This Row],[COD CART]],[1]!MatrizCortoLargoCyl[#All],3,0),"")</f>
        <v/>
      </c>
      <c r="F1583" t="inlineStr">
        <is>
          <t>XLP</t>
        </is>
      </c>
      <c r="G1583" t="n">
        <v>8</v>
      </c>
      <c r="H1583" t="n">
        <v>-635.4760199999999</v>
      </c>
      <c r="I1583">
        <f>-H3134/G3134</f>
        <v/>
      </c>
      <c r="J1583" s="16" t="n">
        <v>44693</v>
      </c>
      <c r="K1583">
        <f>+OPERAC[[#This Row],[cantidad]]</f>
        <v/>
      </c>
      <c r="L1583">
        <f>+OPERAC[[#This Row],[cantidad venta]]*75.648</f>
        <v/>
      </c>
    </row>
    <row r="1584">
      <c r="A1584" t="n">
        <v>4543</v>
      </c>
      <c r="B1584" s="16" t="n">
        <v>44704</v>
      </c>
      <c r="C1584" t="inlineStr">
        <is>
          <t>VTA</t>
        </is>
      </c>
      <c r="D1584" t="n">
        <v>32</v>
      </c>
      <c r="E1584">
        <f>IF(D3124&gt;0,VLOOKUP(OPERAC[[#This Row],[COD CART]],[1]!MatrizCortoLargoCyl[#All],3,0),"")</f>
        <v/>
      </c>
      <c r="F1584" t="inlineStr">
        <is>
          <t>COTY/CYL/8,00/24-06-22</t>
        </is>
      </c>
      <c r="G1584" t="n">
        <v>100</v>
      </c>
      <c r="H1584" t="n">
        <v>-630.885</v>
      </c>
      <c r="I1584">
        <f>-H3124/G3124</f>
        <v/>
      </c>
    </row>
    <row r="1585">
      <c r="A1585" t="n">
        <v>4543</v>
      </c>
      <c r="B1585" s="16" t="n">
        <v>44704</v>
      </c>
      <c r="C1585" t="inlineStr">
        <is>
          <t>VTA</t>
        </is>
      </c>
      <c r="D1585" t="n">
        <v>32</v>
      </c>
      <c r="E1585">
        <f>IF(D5185&gt;0,VLOOKUP(OPERAC[[#This Row],[COD CART]],[1]!MatrizCortoLargoCyl[#All],3,0),"")</f>
        <v/>
      </c>
      <c r="F1585" t="inlineStr">
        <is>
          <t>SPWR/CYL/20,00/24-06-22</t>
        </is>
      </c>
      <c r="G1585" t="n">
        <v>100</v>
      </c>
      <c r="H1585" t="n">
        <v>-1630.078</v>
      </c>
      <c r="I1585">
        <f>-H5185/G5185</f>
        <v/>
      </c>
    </row>
    <row r="1586">
      <c r="A1586" t="n">
        <v>4561</v>
      </c>
      <c r="B1586" s="16" t="n">
        <v>44277</v>
      </c>
      <c r="C1586" t="inlineStr">
        <is>
          <t>VTA</t>
        </is>
      </c>
      <c r="D1586" t="n">
        <v>39</v>
      </c>
      <c r="E1586">
        <f>IF(D852&gt;0,VLOOKUP(OPERAC[[#This Row],[COD CART]],[1]!MatrizCortoLargoCyl[#All],3,0),"")</f>
        <v/>
      </c>
      <c r="F1586" t="inlineStr">
        <is>
          <t>TLRY1/V/10,00/20-01-23</t>
        </is>
      </c>
      <c r="G1586" t="n">
        <v>-200</v>
      </c>
      <c r="H1586" t="n">
        <v>200</v>
      </c>
      <c r="I1586">
        <f>-H852/G852</f>
        <v/>
      </c>
      <c r="J1586" s="16" t="n">
        <v>44614</v>
      </c>
      <c r="K1586" t="n">
        <v>-200</v>
      </c>
      <c r="L1586">
        <f>-2341.358+1230.08</f>
        <v/>
      </c>
    </row>
    <row r="1587">
      <c r="A1587" t="n">
        <v>4561</v>
      </c>
      <c r="B1587" s="16" t="n">
        <v>44340</v>
      </c>
      <c r="C1587" t="inlineStr">
        <is>
          <t>VTA</t>
        </is>
      </c>
      <c r="D1587" t="n">
        <v>39</v>
      </c>
      <c r="E1587">
        <f>IF(D693&gt;0,VLOOKUP(OPERAC[[#This Row],[COD CART]],[1]!MatrizCortoLargoCyl[#All],3,0),"")</f>
        <v/>
      </c>
      <c r="F1587" t="inlineStr">
        <is>
          <t>SOLO/V/3,50/21-01-22</t>
        </is>
      </c>
      <c r="G1587" t="n">
        <v>-400</v>
      </c>
      <c r="H1587" t="n">
        <v>423.3419999999999</v>
      </c>
      <c r="I1587">
        <f>-H693/G693</f>
        <v/>
      </c>
      <c r="J1587" s="16" t="n">
        <v>44579</v>
      </c>
      <c r="K1587">
        <f>+OPERAC[[#This Row],[cantidad]]</f>
        <v/>
      </c>
      <c r="L1587">
        <f>-OPERAC[[#This Row],[importe]]</f>
        <v/>
      </c>
    </row>
    <row r="1588">
      <c r="A1588" t="n">
        <v>4561</v>
      </c>
      <c r="B1588" s="16" t="n">
        <v>44439</v>
      </c>
      <c r="C1588" t="inlineStr">
        <is>
          <t>VTA</t>
        </is>
      </c>
      <c r="D1588" t="n">
        <v>39</v>
      </c>
      <c r="E1588">
        <f>IF(D297&gt;0,VLOOKUP(OPERAC[[#This Row],[COD CART]],[1]!MatrizCortoLargoCyl[#All],3,0),"")</f>
        <v/>
      </c>
      <c r="F1588" t="inlineStr">
        <is>
          <t>INO/V/5,00/20-01-23</t>
        </is>
      </c>
      <c r="G1588" t="n">
        <v>-1500</v>
      </c>
      <c r="H1588" t="n">
        <v>1564.5</v>
      </c>
      <c r="I1588">
        <f>-H297/G297</f>
        <v/>
      </c>
      <c r="J1588" s="16" t="n">
        <v>44614</v>
      </c>
      <c r="K1588" t="n">
        <v>-1500</v>
      </c>
      <c r="L1588" t="n">
        <v>-3944.388</v>
      </c>
    </row>
    <row r="1589">
      <c r="A1589" t="n">
        <v>4561</v>
      </c>
      <c r="B1589" s="16" t="n">
        <v>44469</v>
      </c>
      <c r="C1589" t="inlineStr">
        <is>
          <t>VTA</t>
        </is>
      </c>
      <c r="D1589" t="n">
        <v>39</v>
      </c>
      <c r="E1589">
        <f>IF(D689&gt;0,VLOOKUP(OPERAC[[#This Row],[COD CART]],[1]!MatrizCortoLargoCyl[#All],3,0),"")</f>
        <v/>
      </c>
      <c r="F1589" t="inlineStr">
        <is>
          <t>ACB/V/6,00/21-01-22</t>
        </is>
      </c>
      <c r="G1589" t="n">
        <v>-500</v>
      </c>
      <c r="H1589">
        <f>428.3725-0.5*OPERAC[[#This Row],[cantidad]]+0.51*OPERAC[[#This Row],[cantidad]]</f>
        <v/>
      </c>
      <c r="I1589">
        <f>-H689/G689</f>
        <v/>
      </c>
      <c r="J1589" s="16" t="n">
        <v>44581</v>
      </c>
      <c r="K1589">
        <f>+OPERAC[[#This Row],[cantidad]]</f>
        <v/>
      </c>
      <c r="L1589">
        <f>-OPERAC[[#This Row],[importe]]</f>
        <v/>
      </c>
    </row>
    <row r="1590">
      <c r="A1590" t="n">
        <v>4561</v>
      </c>
      <c r="B1590" s="16" t="n">
        <v>44489</v>
      </c>
      <c r="C1590" t="inlineStr">
        <is>
          <t>VTA</t>
        </is>
      </c>
      <c r="D1590" t="n">
        <v>43</v>
      </c>
      <c r="E1590">
        <f>IF(D1517&gt;0,VLOOKUP(OPERAC[[#This Row],[COD CART]],[1]!MatrizCortoLargoCyl[#All],3,0),"")</f>
        <v/>
      </c>
      <c r="F1590" t="inlineStr">
        <is>
          <t>SESN/CYL-PUT/1,00/19-01-24</t>
        </is>
      </c>
      <c r="G1590" t="n">
        <v>1000</v>
      </c>
      <c r="H1590">
        <f>-0.1885*OPERAC[[#This Row],[cantidad]]</f>
        <v/>
      </c>
      <c r="I1590">
        <f>-H1517/G1517</f>
        <v/>
      </c>
      <c r="J1590" s="16" t="n">
        <v>44698</v>
      </c>
      <c r="K1590" t="n">
        <v>1000</v>
      </c>
      <c r="L1590" t="n">
        <v>167.05</v>
      </c>
    </row>
    <row r="1591">
      <c r="A1591" t="n">
        <v>4561</v>
      </c>
      <c r="B1591" s="16" t="n">
        <v>44494</v>
      </c>
      <c r="C1591" t="inlineStr">
        <is>
          <t>CPR</t>
        </is>
      </c>
      <c r="D1591" t="n">
        <v>40</v>
      </c>
      <c r="E1591">
        <f>IF(D4542&gt;0,VLOOKUP(OPERAC[[#This Row],[COD CART]],[1]!MatrizCortoLargoCyl[#All],3,0),"")</f>
        <v/>
      </c>
      <c r="F1591" t="inlineStr">
        <is>
          <t>YPF</t>
        </is>
      </c>
      <c r="G1591" t="n">
        <v>260</v>
      </c>
      <c r="H1591" t="n">
        <v>-1209.7072</v>
      </c>
      <c r="I1591">
        <f>-H4542/G4542</f>
        <v/>
      </c>
      <c r="J1591" s="16" t="n">
        <v>44606</v>
      </c>
      <c r="K1591">
        <f>+OPERAC[[#This Row],[cantidad]]</f>
        <v/>
      </c>
      <c r="L1591">
        <f>+OPERAC[[#This Row],[cantidad venta]]*4.161</f>
        <v/>
      </c>
    </row>
    <row r="1592">
      <c r="A1592" t="n">
        <v>4561</v>
      </c>
      <c r="B1592" s="16" t="n">
        <v>44495</v>
      </c>
      <c r="C1592" t="inlineStr">
        <is>
          <t>VTA</t>
        </is>
      </c>
      <c r="D1592" t="n">
        <v>39</v>
      </c>
      <c r="E1592">
        <f>IF(D380&gt;0,VLOOKUP(OPERAC[[#This Row],[COD CART]],[1]!MatrizCortoLargoCyl[#All],3,0),"")</f>
        <v/>
      </c>
      <c r="F1592" t="inlineStr">
        <is>
          <t>YPF/CC10/LP7/CP3/19-01-24</t>
        </is>
      </c>
      <c r="G1592" t="n">
        <v>-500</v>
      </c>
      <c r="H1592">
        <f>-2.41*OPERAC[[#This Row],[cantidad]]</f>
        <v/>
      </c>
      <c r="I1592">
        <f>-H380/G380</f>
        <v/>
      </c>
    </row>
    <row r="1593">
      <c r="A1593" t="n">
        <v>4561</v>
      </c>
      <c r="B1593" s="16" t="n">
        <v>44516</v>
      </c>
      <c r="C1593" t="inlineStr">
        <is>
          <t>VTA</t>
        </is>
      </c>
      <c r="D1593" t="n">
        <v>40</v>
      </c>
      <c r="E1593">
        <f>IF(D3212&gt;0,VLOOKUP(OPERAC[[#This Row],[COD CART]],[1]!MatrizCortoLargoCyl[#All],3,0),"")</f>
        <v/>
      </c>
      <c r="F1593" t="inlineStr">
        <is>
          <t>ACB</t>
        </is>
      </c>
      <c r="G1593" t="n">
        <v>100</v>
      </c>
      <c r="H1593">
        <f>-680.27+22.293</f>
        <v/>
      </c>
      <c r="I1593">
        <f>-H3212/G3212</f>
        <v/>
      </c>
      <c r="J1593" s="16" t="n">
        <v>44606</v>
      </c>
      <c r="K1593" t="n">
        <v>100</v>
      </c>
      <c r="L1593" t="n">
        <v>437.056</v>
      </c>
    </row>
    <row r="1594">
      <c r="A1594" t="n">
        <v>4561</v>
      </c>
      <c r="B1594" s="16" t="n">
        <v>44523</v>
      </c>
      <c r="C1594" t="inlineStr">
        <is>
          <t>VTA</t>
        </is>
      </c>
      <c r="D1594" t="n">
        <v>32</v>
      </c>
      <c r="E1594">
        <f>IF(D5252&gt;0,VLOOKUP(OPERAC[[#This Row],[COD CART]],[1]!MatrizCortoLargoCyl[#All],3,0),"")</f>
        <v/>
      </c>
      <c r="F1594" t="inlineStr">
        <is>
          <t>TEVA/CYL/9,00/21-01-22</t>
        </is>
      </c>
      <c r="G1594" t="n">
        <v>200</v>
      </c>
      <c r="H1594">
        <f>-1723.2664+37.748</f>
        <v/>
      </c>
      <c r="I1594">
        <f>-H5252/G5252</f>
        <v/>
      </c>
      <c r="J1594" s="16" t="n">
        <v>44575</v>
      </c>
      <c r="K1594" t="n">
        <v>200</v>
      </c>
      <c r="L1594" t="n">
        <v>1757.83</v>
      </c>
    </row>
    <row r="1595">
      <c r="A1595" t="n">
        <v>4561</v>
      </c>
      <c r="B1595" s="16" t="n">
        <v>44532</v>
      </c>
      <c r="C1595" t="inlineStr">
        <is>
          <t>VTA</t>
        </is>
      </c>
      <c r="D1595" t="n">
        <v>32</v>
      </c>
      <c r="E1595">
        <f>IF(D5338&gt;0,VLOOKUP(OPERAC[[#This Row],[COD CART]],[1]!MatrizCortoLargoCyl[#All],3,0),"")</f>
        <v/>
      </c>
      <c r="F1595" t="inlineStr">
        <is>
          <t>COTY/CYL/10,00/18-02-22</t>
        </is>
      </c>
      <c r="G1595" t="n">
        <v>200</v>
      </c>
      <c r="H1595">
        <f>-1803.198+41.676</f>
        <v/>
      </c>
      <c r="I1595">
        <f>-H5338/G5338</f>
        <v/>
      </c>
      <c r="J1595" s="16" t="n">
        <v>44608</v>
      </c>
      <c r="K1595">
        <f>+OPERAC[[#This Row],[cantidad]]</f>
        <v/>
      </c>
      <c r="L1595" t="n">
        <v>1889.088</v>
      </c>
    </row>
    <row r="1596">
      <c r="A1596" t="n">
        <v>4561</v>
      </c>
      <c r="B1596" s="16" t="n">
        <v>44539</v>
      </c>
      <c r="C1596" t="inlineStr">
        <is>
          <t>CPR</t>
        </is>
      </c>
      <c r="D1596" t="n">
        <v>40</v>
      </c>
      <c r="E1596">
        <f>IF(D5720&gt;0,VLOOKUP(OPERAC[[#This Row],[COD CART]],[1]!MatrizCortoLargoCyl[#All],3,0),"")</f>
        <v/>
      </c>
      <c r="F1596" t="inlineStr">
        <is>
          <t>ROKU</t>
        </is>
      </c>
      <c r="G1596" t="n">
        <v>10</v>
      </c>
      <c r="H1596" t="n">
        <v>-2577.2036</v>
      </c>
      <c r="I1596">
        <f>-H5720/G5720</f>
        <v/>
      </c>
      <c r="J1596" s="16" t="n">
        <v>44606</v>
      </c>
      <c r="K1596">
        <f>+OPERAC[[#This Row],[cantidad]]</f>
        <v/>
      </c>
      <c r="L1596">
        <f>+OPERAC[[#This Row],[cantidad venta]]*160.574</f>
        <v/>
      </c>
    </row>
    <row r="1597">
      <c r="A1597" t="n">
        <v>4561</v>
      </c>
      <c r="B1597" s="16" t="n">
        <v>44543</v>
      </c>
      <c r="C1597" t="inlineStr">
        <is>
          <t>CPR</t>
        </is>
      </c>
      <c r="D1597" t="n">
        <v>40</v>
      </c>
      <c r="E1597">
        <f>IF(D1869&gt;0,VLOOKUP(OPERAC[[#This Row],[COD CART]],[1]!MatrizCortoLargoCyl[#All],3,0),"")</f>
        <v/>
      </c>
      <c r="F1597" t="inlineStr">
        <is>
          <t>VIST</t>
        </is>
      </c>
      <c r="G1597" t="n">
        <v>50</v>
      </c>
      <c r="H1597" t="n">
        <v>-279.97</v>
      </c>
      <c r="I1597">
        <f>-H1869/G1869</f>
        <v/>
      </c>
      <c r="J1597" s="16" t="n">
        <v>44574</v>
      </c>
      <c r="K1597">
        <f>+OPERAC[[#This Row],[cantidad]]</f>
        <v/>
      </c>
      <c r="L1597">
        <f>+OPERAC[[#This Row],[cantidad venta]]*6.125</f>
        <v/>
      </c>
    </row>
    <row r="1598">
      <c r="A1598" t="n">
        <v>4561</v>
      </c>
      <c r="B1598" s="16" t="n">
        <v>44550</v>
      </c>
      <c r="C1598" t="inlineStr">
        <is>
          <t>VTA</t>
        </is>
      </c>
      <c r="D1598" t="n">
        <v>40</v>
      </c>
      <c r="E1598">
        <f>IF(D1916&gt;0,VLOOKUP(OPERAC[[#This Row],[COD CART]],[1]!MatrizCortoLargoCyl[#All],3,0),"")</f>
        <v/>
      </c>
      <c r="F1598" t="inlineStr">
        <is>
          <t>SMH</t>
        </is>
      </c>
      <c r="G1598" t="n">
        <v>1</v>
      </c>
      <c r="H1598" t="n">
        <v>-293.97304</v>
      </c>
      <c r="I1598">
        <f>-H1916/G1916</f>
        <v/>
      </c>
      <c r="J1598" s="16" t="n">
        <v>44574</v>
      </c>
      <c r="K1598">
        <f>+OPERAC[[#This Row],[cantidad]]</f>
        <v/>
      </c>
      <c r="L1598">
        <f>+OPERAC[[#This Row],[cantidad venta]]*306.843</f>
        <v/>
      </c>
    </row>
    <row r="1599">
      <c r="A1599" t="n">
        <v>4561</v>
      </c>
      <c r="B1599" s="16" t="n">
        <v>44551</v>
      </c>
      <c r="C1599" t="inlineStr">
        <is>
          <t>CPR</t>
        </is>
      </c>
      <c r="D1599" t="n">
        <v>40</v>
      </c>
      <c r="E1599">
        <f>IF(D3990&gt;0,VLOOKUP(OPERAC[[#This Row],[COD CART]],[1]!MatrizCortoLargoCyl[#All],3,0),"")</f>
        <v/>
      </c>
      <c r="F1599" t="inlineStr">
        <is>
          <t>EDIT</t>
        </is>
      </c>
      <c r="G1599" t="n">
        <v>30</v>
      </c>
      <c r="H1599" t="n">
        <v>-912.7859999999999</v>
      </c>
      <c r="I1599">
        <f>-H3990/G3990</f>
        <v/>
      </c>
      <c r="J1599" s="16" t="n">
        <v>44606</v>
      </c>
      <c r="K1599" t="n">
        <v>30</v>
      </c>
      <c r="L1599" t="n">
        <v>481.95</v>
      </c>
    </row>
    <row r="1600">
      <c r="A1600" t="n">
        <v>4561</v>
      </c>
      <c r="B1600" s="16" t="n">
        <v>44553</v>
      </c>
      <c r="C1600" t="inlineStr">
        <is>
          <t>VTA</t>
        </is>
      </c>
      <c r="D1600" t="n">
        <v>40</v>
      </c>
      <c r="E1600">
        <f>IF(D3031&gt;0,VLOOKUP(OPERAC[[#This Row],[COD CART]],[1]!MatrizCortoLargoCyl[#All],3,0),"")</f>
        <v/>
      </c>
      <c r="F1600" t="inlineStr">
        <is>
          <t>ON</t>
        </is>
      </c>
      <c r="G1600" t="n">
        <v>9</v>
      </c>
      <c r="H1600" t="n">
        <v>-604.0224719999999</v>
      </c>
      <c r="I1600">
        <f>-H3031/G3031</f>
        <v/>
      </c>
      <c r="J1600" s="16" t="n">
        <v>44606</v>
      </c>
      <c r="K1600">
        <f>+OPERAC[[#This Row],[cantidad]]</f>
        <v/>
      </c>
      <c r="L1600">
        <f>+OPERAC[[#This Row],[cantidad venta]]*58.449</f>
        <v/>
      </c>
    </row>
    <row r="1601">
      <c r="A1601" t="n">
        <v>4561</v>
      </c>
      <c r="B1601" s="16" t="n">
        <v>44558</v>
      </c>
      <c r="C1601" t="inlineStr">
        <is>
          <t>VTA</t>
        </is>
      </c>
      <c r="D1601" t="n">
        <v>40</v>
      </c>
      <c r="E1601">
        <f>IF(D1424&gt;0,VLOOKUP(OPERAC[[#This Row],[COD CART]],[1]!MatrizCortoLargoCyl[#All],3,0),"")</f>
        <v/>
      </c>
      <c r="F1601" t="inlineStr">
        <is>
          <t>UPST</t>
        </is>
      </c>
      <c r="G1601" t="n">
        <v>1</v>
      </c>
      <c r="H1601" t="n">
        <v>-150.6002</v>
      </c>
      <c r="I1601">
        <f>-H1424/G1424</f>
        <v/>
      </c>
      <c r="J1601" s="16" t="n">
        <v>44606</v>
      </c>
      <c r="K1601">
        <f>+OPERAC[[#This Row],[cantidad]]</f>
        <v/>
      </c>
      <c r="L1601">
        <f>+OPERAC[[#This Row],[cantidad venta]]*98.994</f>
        <v/>
      </c>
    </row>
    <row r="1602">
      <c r="A1602" t="n">
        <v>4561</v>
      </c>
      <c r="B1602" s="16" t="n">
        <v>44575</v>
      </c>
      <c r="C1602" t="inlineStr">
        <is>
          <t>VTA</t>
        </is>
      </c>
      <c r="D1602" t="n">
        <v>40</v>
      </c>
      <c r="E1602">
        <f>IF(D3076&gt;0,VLOOKUP(OPERAC[[#This Row],[COD CART]],[1]!MatrizCortoLargoCyl[#All],3,0),"")</f>
        <v/>
      </c>
      <c r="F1602" t="inlineStr">
        <is>
          <t>GBTC</t>
        </is>
      </c>
      <c r="G1602" t="n">
        <v>20</v>
      </c>
      <c r="H1602" t="n">
        <v>-616.1895999999999</v>
      </c>
      <c r="I1602">
        <f>-H3076/G3076</f>
        <v/>
      </c>
      <c r="J1602" s="16" t="n">
        <v>44614</v>
      </c>
      <c r="K1602" t="n">
        <v>20</v>
      </c>
      <c r="L1602" t="n">
        <v>517.806</v>
      </c>
    </row>
    <row r="1603">
      <c r="A1603" t="n">
        <v>4561</v>
      </c>
      <c r="B1603" s="16" t="n">
        <v>44579</v>
      </c>
      <c r="C1603" t="inlineStr">
        <is>
          <t>VTA</t>
        </is>
      </c>
      <c r="D1603" t="n">
        <v>39</v>
      </c>
      <c r="E1603">
        <f>IF(D638&gt;0,VLOOKUP(OPERAC[[#This Row],[COD CART]],[1]!MatrizCortoLargoCyl[#All],3,0),"")</f>
        <v/>
      </c>
      <c r="F1603" t="inlineStr">
        <is>
          <t>SOLO/V/3,50/25-02-22</t>
        </is>
      </c>
      <c r="G1603" t="n">
        <v>-400</v>
      </c>
      <c r="H1603" t="n">
        <v>552.7429599999999</v>
      </c>
      <c r="I1603">
        <f>-H638/G638</f>
        <v/>
      </c>
      <c r="J1603" s="16" t="n">
        <v>44608</v>
      </c>
      <c r="K1603">
        <f>+OPERAC[[#This Row],[cantidad]]</f>
        <v/>
      </c>
      <c r="L1603" t="n">
        <v>-558.0160000000001</v>
      </c>
    </row>
    <row r="1604">
      <c r="A1604" t="n">
        <v>4561</v>
      </c>
      <c r="B1604" s="16" t="n">
        <v>44581</v>
      </c>
      <c r="C1604" t="inlineStr">
        <is>
          <t>VTA</t>
        </is>
      </c>
      <c r="D1604" t="n">
        <v>39</v>
      </c>
      <c r="E1604">
        <f>IF(D602&gt;0,VLOOKUP(OPERAC[[#This Row],[COD CART]],[1]!MatrizCortoLargoCyl[#All],3,0),"")</f>
        <v/>
      </c>
      <c r="F1604" t="inlineStr">
        <is>
          <t>ACB/V/6,00/18-02-22</t>
        </is>
      </c>
      <c r="G1604" t="n">
        <v>-500</v>
      </c>
      <c r="H1604" t="n">
        <v>604.7575000000001</v>
      </c>
      <c r="I1604">
        <f>-H602/G602</f>
        <v/>
      </c>
      <c r="J1604" s="16" t="n">
        <v>44601</v>
      </c>
      <c r="K1604" t="n">
        <v>-500</v>
      </c>
      <c r="L1604">
        <f>1.21*OPERAC[[#This Row],[cantidad venta]]</f>
        <v/>
      </c>
    </row>
    <row r="1605">
      <c r="A1605" t="n">
        <v>4561</v>
      </c>
      <c r="B1605" s="16" t="n">
        <v>44581</v>
      </c>
      <c r="C1605" t="inlineStr">
        <is>
          <t>VTA</t>
        </is>
      </c>
      <c r="D1605" t="n">
        <v>32</v>
      </c>
      <c r="E1605">
        <f>IF(D2269&gt;0,VLOOKUP(OPERAC[[#This Row],[COD CART]],[1]!MatrizCortoLargoCyl[#All],3,0),"")</f>
        <v/>
      </c>
      <c r="F1605" t="inlineStr">
        <is>
          <t>HMY/CYL/4,00/18-02-22</t>
        </is>
      </c>
      <c r="G1605" t="n">
        <v>100</v>
      </c>
      <c r="H1605" t="n">
        <v>-387.467996</v>
      </c>
      <c r="I1605">
        <f>-H2269/G2269</f>
        <v/>
      </c>
      <c r="J1605" s="16" t="n">
        <v>44610</v>
      </c>
      <c r="K1605">
        <f>+OPERAC[[#This Row],[cantidad]]</f>
        <v/>
      </c>
      <c r="L1605">
        <f>+OPERAC[[#This Row],[cantidad venta]]*3.8323</f>
        <v/>
      </c>
    </row>
    <row r="1606">
      <c r="A1606" t="n">
        <v>4561</v>
      </c>
      <c r="B1606" s="16" t="n">
        <v>44582</v>
      </c>
      <c r="C1606" t="inlineStr">
        <is>
          <t>CPR</t>
        </is>
      </c>
      <c r="D1606" t="n">
        <v>40</v>
      </c>
      <c r="E1606">
        <f>IF(D3606&gt;0,VLOOKUP(OPERAC[[#This Row],[COD CART]],[1]!MatrizCortoLargoCyl[#All],3,0),"")</f>
        <v/>
      </c>
      <c r="F1606" t="inlineStr">
        <is>
          <t>NFLX</t>
        </is>
      </c>
      <c r="G1606" t="n">
        <v>2</v>
      </c>
      <c r="H1606" t="n">
        <v>-781.2742000000001</v>
      </c>
      <c r="I1606">
        <f>-H3606/G3606</f>
        <v/>
      </c>
      <c r="J1606" s="16" t="n">
        <v>44593</v>
      </c>
      <c r="K1606">
        <f>+OPERAC[[#This Row],[cantidad]]</f>
        <v/>
      </c>
      <c r="L1606">
        <f>+OPERAC[[#This Row],[cantidad venta]]*448.602</f>
        <v/>
      </c>
    </row>
    <row r="1607">
      <c r="A1607" t="n">
        <v>4561</v>
      </c>
      <c r="B1607" s="16" t="n">
        <v>44599</v>
      </c>
      <c r="C1607" t="inlineStr">
        <is>
          <t>CPR</t>
        </is>
      </c>
      <c r="D1607" t="n">
        <v>40</v>
      </c>
      <c r="E1607">
        <f>IF(D2627&gt;0,VLOOKUP(OPERAC[[#This Row],[COD CART]],[1]!MatrizCortoLargoCyl[#All],3,0),"")</f>
        <v/>
      </c>
      <c r="F1607" t="inlineStr">
        <is>
          <t>FB</t>
        </is>
      </c>
      <c r="G1607" t="n">
        <v>2</v>
      </c>
      <c r="H1607" t="n">
        <v>-476.92</v>
      </c>
      <c r="I1607">
        <f>-H2627/G2627</f>
        <v/>
      </c>
      <c r="J1607" s="16" t="n">
        <v>44614</v>
      </c>
      <c r="K1607" t="n">
        <v>2</v>
      </c>
      <c r="L1607" t="n">
        <v>410</v>
      </c>
    </row>
    <row r="1608">
      <c r="A1608" t="n">
        <v>4561</v>
      </c>
      <c r="B1608" s="16" t="n">
        <v>44601</v>
      </c>
      <c r="C1608" t="inlineStr">
        <is>
          <t>VTA</t>
        </is>
      </c>
      <c r="D1608" t="n">
        <v>39</v>
      </c>
      <c r="E1608">
        <f>IF(D1196&gt;0,VLOOKUP(OPERAC[[#This Row],[COD CART]],[1]!MatrizCortoLargoCyl[#All],3,0),"")</f>
        <v/>
      </c>
      <c r="F1608" t="inlineStr">
        <is>
          <t>ACB/V/5,00/16-09-22</t>
        </is>
      </c>
      <c r="G1608" t="n">
        <v>-6</v>
      </c>
      <c r="H1608">
        <f>-1.56*OPERAC[[#This Row],[cantidad]]</f>
        <v/>
      </c>
      <c r="I1608">
        <f>-H1196/G1196</f>
        <v/>
      </c>
      <c r="J1608" s="16" t="n">
        <v>44628</v>
      </c>
      <c r="K1608" t="n">
        <v>-6</v>
      </c>
      <c r="L1608" t="n">
        <v>-13.02</v>
      </c>
    </row>
    <row r="1609">
      <c r="A1609" t="n">
        <v>4561</v>
      </c>
      <c r="B1609" s="16" t="n">
        <v>44607</v>
      </c>
      <c r="C1609" t="inlineStr">
        <is>
          <t>VTA</t>
        </is>
      </c>
      <c r="D1609" t="n">
        <v>32</v>
      </c>
      <c r="E1609">
        <f>IF(D5082&gt;0,VLOOKUP(OPERAC[[#This Row],[COD CART]],[1]!MatrizCortoLargoCyl[#All],3,0),"")</f>
        <v/>
      </c>
      <c r="F1609" t="inlineStr">
        <is>
          <t>DDD/CYL/17,00/01-04-22</t>
        </is>
      </c>
      <c r="G1609" t="n">
        <v>100</v>
      </c>
      <c r="H1609">
        <f>-1620.23+19.7+16.45</f>
        <v/>
      </c>
      <c r="I1609">
        <f>-H5082/G5082</f>
        <v/>
      </c>
      <c r="J1609" s="16" t="n">
        <v>44649</v>
      </c>
      <c r="K1609" t="n">
        <v>100</v>
      </c>
      <c r="L1609" t="n">
        <v>1661.98</v>
      </c>
    </row>
    <row r="1610">
      <c r="A1610" t="n">
        <v>4561</v>
      </c>
      <c r="B1610" s="16" t="n">
        <v>44608</v>
      </c>
      <c r="C1610" t="inlineStr">
        <is>
          <t>CPR</t>
        </is>
      </c>
      <c r="D1610" t="n">
        <v>40</v>
      </c>
      <c r="E1610">
        <f>IF(D3616&gt;0,VLOOKUP(OPERAC[[#This Row],[COD CART]],[1]!MatrizCortoLargoCyl[#All],3,0),"")</f>
        <v/>
      </c>
      <c r="F1610" t="inlineStr">
        <is>
          <t>NVDA</t>
        </is>
      </c>
      <c r="G1610" t="n">
        <v>3</v>
      </c>
      <c r="H1610" t="n">
        <v>-790.5419999999999</v>
      </c>
      <c r="I1610">
        <f>-H3616/G3616</f>
        <v/>
      </c>
      <c r="J1610" s="16" t="n">
        <v>44616</v>
      </c>
      <c r="K1610">
        <f>+OPERAC[[#This Row],[cantidad]]</f>
        <v/>
      </c>
      <c r="L1610">
        <f>+OPERAC[[#This Row],[cantidad venta]]*224.117</f>
        <v/>
      </c>
    </row>
    <row r="1611">
      <c r="A1611" t="n">
        <v>4561</v>
      </c>
      <c r="B1611" s="16" t="n">
        <v>44608</v>
      </c>
      <c r="C1611" t="inlineStr">
        <is>
          <t>CPR</t>
        </is>
      </c>
      <c r="D1611" t="n">
        <v>32</v>
      </c>
      <c r="E1611">
        <f>IF(D4852&gt;0,VLOOKUP(OPERAC[[#This Row],[COD CART]],[1]!MatrizCortoLargoCyl[#All],3,0),"")</f>
        <v/>
      </c>
      <c r="F1611" t="inlineStr">
        <is>
          <t>SPWR/CYL/15,00/18-03-22</t>
        </is>
      </c>
      <c r="G1611" t="n">
        <v>100</v>
      </c>
      <c r="H1611" t="n">
        <v>-1441.812</v>
      </c>
      <c r="I1611">
        <f>-H4852/G4852</f>
        <v/>
      </c>
      <c r="J1611" s="16" t="n">
        <v>44622</v>
      </c>
      <c r="K1611" t="n">
        <v>100</v>
      </c>
      <c r="L1611" t="n">
        <v>1444.054</v>
      </c>
    </row>
    <row r="1612">
      <c r="A1612" t="n">
        <v>4561</v>
      </c>
      <c r="B1612" s="16" t="n">
        <v>44608</v>
      </c>
      <c r="C1612" t="inlineStr">
        <is>
          <t>VTA</t>
        </is>
      </c>
      <c r="D1612" t="n">
        <v>39</v>
      </c>
      <c r="E1612">
        <f>IF(D760&gt;0,VLOOKUP(OPERAC[[#This Row],[COD CART]],[1]!MatrizCortoLargoCyl[#All],3,0),"")</f>
        <v/>
      </c>
      <c r="F1612" t="inlineStr">
        <is>
          <t>SOLO/V/3,00/18-03-22</t>
        </is>
      </c>
      <c r="G1612" t="n">
        <v>-400</v>
      </c>
      <c r="H1612" t="n">
        <v>342.016</v>
      </c>
      <c r="I1612">
        <f>-H760/G760</f>
        <v/>
      </c>
      <c r="J1612" s="16" t="n">
        <v>44628</v>
      </c>
      <c r="K1612" t="n">
        <v>-400</v>
      </c>
      <c r="L1612" t="n">
        <v>-424.96</v>
      </c>
    </row>
    <row r="1613">
      <c r="A1613" t="n">
        <v>4561</v>
      </c>
      <c r="B1613" s="16" t="n">
        <v>44609</v>
      </c>
      <c r="C1613" t="inlineStr">
        <is>
          <t>VTA</t>
        </is>
      </c>
      <c r="D1613" t="n">
        <v>32</v>
      </c>
      <c r="E1613">
        <f>IF(D3868&gt;0,VLOOKUP(OPERAC[[#This Row],[COD CART]],[1]!MatrizCortoLargoCyl[#All],3,0),"")</f>
        <v/>
      </c>
      <c r="F1613" t="inlineStr">
        <is>
          <t>HIMX/CYL/9,00/18-03-22</t>
        </is>
      </c>
      <c r="G1613" t="n">
        <v>100</v>
      </c>
      <c r="H1613" t="n">
        <v>-869.5839999999999</v>
      </c>
      <c r="I1613">
        <f>-H3868/G3868</f>
        <v/>
      </c>
      <c r="J1613" s="16" t="n">
        <v>44622</v>
      </c>
      <c r="K1613">
        <f>+OPERAC[[#This Row],[cantidad]]</f>
        <v/>
      </c>
      <c r="L1613" t="n">
        <v>883.576</v>
      </c>
    </row>
    <row r="1614">
      <c r="A1614" t="n">
        <v>4561</v>
      </c>
      <c r="B1614" s="16" t="n">
        <v>44609</v>
      </c>
      <c r="C1614" t="inlineStr">
        <is>
          <t>VTA</t>
        </is>
      </c>
      <c r="D1614" t="n">
        <v>32</v>
      </c>
      <c r="E1614">
        <f>IF(D5275&gt;0,VLOOKUP(OPERAC[[#This Row],[COD CART]],[1]!MatrizCortoLargoCyl[#All],3,0),"")</f>
        <v/>
      </c>
      <c r="F1614" t="inlineStr">
        <is>
          <t>F</t>
        </is>
      </c>
      <c r="G1614" t="n">
        <v>100</v>
      </c>
      <c r="H1614" t="n">
        <v>-1715.2776</v>
      </c>
      <c r="I1614">
        <f>-H5275/G5275</f>
        <v/>
      </c>
      <c r="J1614" s="16" t="n">
        <v>44649</v>
      </c>
      <c r="K1614" t="n">
        <v>100</v>
      </c>
      <c r="L1614">
        <f>17.636*OPERAC[[#This Row],[cantidad venta]]</f>
        <v/>
      </c>
    </row>
    <row r="1615">
      <c r="A1615" t="n">
        <v>4561</v>
      </c>
      <c r="B1615" s="16" t="n">
        <v>44614</v>
      </c>
      <c r="C1615" t="inlineStr">
        <is>
          <t>VTA</t>
        </is>
      </c>
      <c r="D1615" t="n">
        <v>39</v>
      </c>
      <c r="E1615">
        <f>IF(D1144&gt;0,VLOOKUP(OPERAC[[#This Row],[COD CART]],[1]!MatrizCortoLargoCyl[#All],3,0),"")</f>
        <v/>
      </c>
      <c r="F1615" t="inlineStr">
        <is>
          <t>DDD/V/15,00/20-01-23</t>
        </is>
      </c>
      <c r="G1615" t="n">
        <v>-6</v>
      </c>
      <c r="H1615" t="n">
        <v>18.42</v>
      </c>
      <c r="I1615">
        <f>-H1144/G1144</f>
        <v/>
      </c>
    </row>
    <row r="1616">
      <c r="A1616" t="n">
        <v>4561</v>
      </c>
      <c r="B1616" s="16" t="n">
        <v>44614</v>
      </c>
      <c r="C1616" t="inlineStr">
        <is>
          <t>VTA</t>
        </is>
      </c>
      <c r="D1616" t="n">
        <v>39</v>
      </c>
      <c r="E1616">
        <f>IF(D1169&gt;0,VLOOKUP(OPERAC[[#This Row],[COD CART]],[1]!MatrizCortoLargoCyl[#All],3,0),"")</f>
        <v/>
      </c>
      <c r="F1616" t="inlineStr">
        <is>
          <t>SOLO/V/2,00/20-01-23</t>
        </is>
      </c>
      <c r="G1616" t="n">
        <v>-20</v>
      </c>
      <c r="H1616" t="n">
        <v>13.8</v>
      </c>
      <c r="I1616">
        <f>-H1169/G1169</f>
        <v/>
      </c>
    </row>
    <row r="1617">
      <c r="A1617" t="n">
        <v>4561</v>
      </c>
      <c r="B1617" s="16" t="n">
        <v>44615</v>
      </c>
      <c r="C1617" t="inlineStr">
        <is>
          <t>VTA</t>
        </is>
      </c>
      <c r="D1617" t="n">
        <v>39</v>
      </c>
      <c r="E1617">
        <f>IF(D1075&gt;0,VLOOKUP(OPERAC[[#This Row],[COD CART]],[1]!MatrizCortoLargoCyl[#All],3,0),"")</f>
        <v/>
      </c>
      <c r="F1617" t="inlineStr">
        <is>
          <t>MELI/V/500,00/20-01-23</t>
        </is>
      </c>
      <c r="G1617" t="n">
        <v>-1</v>
      </c>
      <c r="H1617" t="n">
        <v>31.24</v>
      </c>
      <c r="I1617">
        <f>-H1075/G1075</f>
        <v/>
      </c>
    </row>
    <row r="1618">
      <c r="A1618" t="n">
        <v>4561</v>
      </c>
      <c r="B1618" s="16" t="n">
        <v>44616</v>
      </c>
      <c r="C1618" t="inlineStr">
        <is>
          <t>CPR</t>
        </is>
      </c>
      <c r="D1618" t="n">
        <v>32</v>
      </c>
      <c r="E1618">
        <f>IF(D4757&gt;0,VLOOKUP(OPERAC[[#This Row],[COD CART]],[1]!MatrizCortoLargoCyl[#All],3,0),"")</f>
        <v/>
      </c>
      <c r="F1618" t="inlineStr">
        <is>
          <t>UUUU/CYL/8,00/18-03-22</t>
        </is>
      </c>
      <c r="G1618" t="n">
        <v>200</v>
      </c>
      <c r="H1618" t="n">
        <v>-1367.652</v>
      </c>
      <c r="I1618">
        <f>-H4757/G4757</f>
        <v/>
      </c>
      <c r="J1618" s="16" t="n">
        <v>44636</v>
      </c>
      <c r="K1618">
        <f>+OPERAC[[#This Row],[cantidad]]</f>
        <v/>
      </c>
      <c r="L1618" t="n">
        <v>1534.92</v>
      </c>
    </row>
    <row r="1619">
      <c r="A1619" t="n">
        <v>4561</v>
      </c>
      <c r="B1619" s="16" t="n">
        <v>44616</v>
      </c>
      <c r="C1619" t="inlineStr">
        <is>
          <t>VTA</t>
        </is>
      </c>
      <c r="D1619" t="n">
        <v>32</v>
      </c>
      <c r="E1619">
        <f>IF(D5050&gt;0,VLOOKUP(OPERAC[[#This Row],[COD CART]],[1]!MatrizCortoLargoCyl[#All],3,0),"")</f>
        <v/>
      </c>
      <c r="F1619" t="inlineStr">
        <is>
          <t>SPWR/CYL/20,00/18-03-22</t>
        </is>
      </c>
      <c r="G1619" t="n">
        <v>100</v>
      </c>
      <c r="H1619" t="n">
        <v>-1573.0928</v>
      </c>
      <c r="I1619">
        <f>-H5050/G5050</f>
        <v/>
      </c>
      <c r="J1619" s="16" t="n">
        <v>44636</v>
      </c>
      <c r="K1619" t="n">
        <v>100</v>
      </c>
      <c r="L1619" t="n">
        <v>1911.85</v>
      </c>
    </row>
    <row r="1620">
      <c r="A1620" t="n">
        <v>4561</v>
      </c>
      <c r="B1620" s="16" t="n">
        <v>44622</v>
      </c>
      <c r="C1620" t="inlineStr">
        <is>
          <t>CPR</t>
        </is>
      </c>
      <c r="D1620" t="n">
        <v>32</v>
      </c>
      <c r="E1620">
        <f>IF(D4877&gt;0,VLOOKUP(OPERAC[[#This Row],[COD CART]],[1]!MatrizCortoLargoCyl[#All],3,0),"")</f>
        <v/>
      </c>
      <c r="F1620" t="inlineStr">
        <is>
          <t>AMC/CYL/16,00/14-04-22</t>
        </is>
      </c>
      <c r="G1620" t="n">
        <v>100</v>
      </c>
      <c r="H1620" t="n">
        <v>-1460.8686</v>
      </c>
      <c r="I1620">
        <f>-H4877/G4877</f>
        <v/>
      </c>
      <c r="J1620" s="16" t="n">
        <v>44648</v>
      </c>
      <c r="K1620">
        <f>+OPERAC[[#This Row],[cantidad]]</f>
        <v/>
      </c>
      <c r="L1620" t="n">
        <v>1581.776</v>
      </c>
    </row>
    <row r="1621">
      <c r="A1621" t="n">
        <v>4561</v>
      </c>
      <c r="B1621" s="16" t="n">
        <v>44641</v>
      </c>
      <c r="C1621" t="inlineStr">
        <is>
          <t>CPR</t>
        </is>
      </c>
      <c r="D1621" t="n">
        <v>42</v>
      </c>
      <c r="E1621">
        <f>IF(D3644&gt;0,VLOOKUP(OPERAC[[#This Row],[COD CART]],[1]!MatrizCortoLargoCyl[#All],3,0),"")</f>
        <v/>
      </c>
      <c r="F1621" t="inlineStr">
        <is>
          <t>SMH</t>
        </is>
      </c>
      <c r="G1621" t="n">
        <v>3</v>
      </c>
      <c r="H1621" t="n">
        <v>-806.8729500000001</v>
      </c>
      <c r="I1621">
        <f>-H3644/G3644</f>
        <v/>
      </c>
      <c r="J1621" s="16" t="n">
        <v>44663</v>
      </c>
      <c r="K1621">
        <f>+OPERAC[[#This Row],[cantidad]]</f>
        <v/>
      </c>
      <c r="L1621">
        <f>+OPERAC[[#This Row],[cantidad venta]]*238.066</f>
        <v/>
      </c>
    </row>
    <row r="1622">
      <c r="A1622" t="n">
        <v>4561</v>
      </c>
      <c r="B1622" s="16" t="n">
        <v>44641</v>
      </c>
      <c r="C1622" t="inlineStr">
        <is>
          <t>VTA</t>
        </is>
      </c>
      <c r="D1622" t="n">
        <v>42</v>
      </c>
      <c r="E1622">
        <f>IF(D3725&gt;0,VLOOKUP(OPERAC[[#This Row],[COD CART]],[1]!MatrizCortoLargoCyl[#All],3,0),"")</f>
        <v/>
      </c>
      <c r="F1622" t="inlineStr">
        <is>
          <t>JPM</t>
        </is>
      </c>
      <c r="G1622" t="n">
        <v>6</v>
      </c>
      <c r="H1622" t="n">
        <v>-842.7260400000001</v>
      </c>
      <c r="I1622">
        <f>-H3725/G3725</f>
        <v/>
      </c>
      <c r="J1622" s="16" t="n">
        <v>44664</v>
      </c>
      <c r="K1622">
        <f>+OPERAC[[#This Row],[cantidad]]</f>
        <v/>
      </c>
      <c r="L1622">
        <f>+OPERAC[[#This Row],[cantidad venta]]*125.943</f>
        <v/>
      </c>
    </row>
    <row r="1623">
      <c r="A1623" t="n">
        <v>4561</v>
      </c>
      <c r="B1623" s="16" t="n">
        <v>44641</v>
      </c>
      <c r="C1623" t="inlineStr">
        <is>
          <t>VTA</t>
        </is>
      </c>
      <c r="D1623" t="n">
        <v>42</v>
      </c>
      <c r="E1623">
        <f>IF(D3773&gt;0,VLOOKUP(OPERAC[[#This Row],[COD CART]],[1]!MatrizCortoLargoCyl[#All],3,0),"")</f>
        <v/>
      </c>
      <c r="F1623" t="inlineStr">
        <is>
          <t>FB</t>
        </is>
      </c>
      <c r="G1623" t="n">
        <v>4</v>
      </c>
      <c r="H1623" t="n">
        <v>-848.6255200000001</v>
      </c>
      <c r="I1623">
        <f>-H3773/G3773</f>
        <v/>
      </c>
      <c r="J1623" s="16" t="n">
        <v>44671</v>
      </c>
      <c r="K1623">
        <f>+OPERAC[[#This Row],[cantidad]]</f>
        <v/>
      </c>
      <c r="L1623">
        <f>+OPERAC[[#This Row],[cantidad venta]]*213.173</f>
        <v/>
      </c>
    </row>
    <row r="1624">
      <c r="A1624" t="n">
        <v>4561</v>
      </c>
      <c r="B1624" s="16" t="n">
        <v>44642</v>
      </c>
      <c r="C1624" t="inlineStr">
        <is>
          <t>CPR</t>
        </is>
      </c>
      <c r="D1624" t="n">
        <v>42</v>
      </c>
      <c r="E1624">
        <f>IF(D2645&gt;0,VLOOKUP(OPERAC[[#This Row],[COD CART]],[1]!MatrizCortoLargoCyl[#All],3,0),"")</f>
        <v/>
      </c>
      <c r="F1624" t="inlineStr">
        <is>
          <t>HYDR</t>
        </is>
      </c>
      <c r="G1624" t="n">
        <v>25</v>
      </c>
      <c r="H1624">
        <f>-19.39*OPERAC[[#This Row],[cantidad]]</f>
        <v/>
      </c>
      <c r="I1624">
        <f>-H2645/G2645</f>
        <v/>
      </c>
      <c r="J1624" s="16" t="n">
        <v>44693</v>
      </c>
      <c r="K1624">
        <f>+OPERAC[[#This Row],[cantidad]]</f>
        <v/>
      </c>
      <c r="L1624">
        <f>+OPERAC[[#This Row],[cantidad venta]]*12.027</f>
        <v/>
      </c>
    </row>
    <row r="1625">
      <c r="A1625" t="n">
        <v>4561</v>
      </c>
      <c r="B1625" s="16" t="n">
        <v>44648</v>
      </c>
      <c r="C1625" t="inlineStr">
        <is>
          <t>VTA</t>
        </is>
      </c>
      <c r="D1625" t="n">
        <v>31</v>
      </c>
      <c r="E1625">
        <f>IF(D2933&gt;0,VLOOKUP(OPERAC[[#This Row],[COD CART]],[1]!MatrizCortoLargoCyl[#All],3,0),"")</f>
        <v/>
      </c>
      <c r="F1625" t="inlineStr">
        <is>
          <t>NVDA</t>
        </is>
      </c>
      <c r="G1625" t="n">
        <v>2</v>
      </c>
      <c r="H1625" t="n">
        <v>-557.0893599999999</v>
      </c>
      <c r="I1625">
        <f>-H2933/G2933</f>
        <v/>
      </c>
      <c r="J1625" s="16" t="n">
        <v>44693</v>
      </c>
      <c r="K1625" t="n">
        <v>2</v>
      </c>
      <c r="L1625" t="n">
        <v>321.201</v>
      </c>
    </row>
    <row r="1626">
      <c r="A1626" t="n">
        <v>4561</v>
      </c>
      <c r="B1626" s="16" t="n">
        <v>44648</v>
      </c>
      <c r="C1626" t="inlineStr">
        <is>
          <t>VTA</t>
        </is>
      </c>
      <c r="D1626" t="n">
        <v>31</v>
      </c>
      <c r="E1626">
        <f>IF(D2956&gt;0,VLOOKUP(OPERAC[[#This Row],[COD CART]],[1]!MatrizCortoLargoCyl[#All],3,0),"")</f>
        <v/>
      </c>
      <c r="F1626" t="inlineStr">
        <is>
          <t>COST</t>
        </is>
      </c>
      <c r="G1626" t="n">
        <v>1</v>
      </c>
      <c r="H1626" t="n">
        <v>-560.8496000000001</v>
      </c>
      <c r="I1626">
        <f>-H2956/G2956</f>
        <v/>
      </c>
      <c r="J1626" s="16" t="n">
        <v>44693</v>
      </c>
      <c r="K1626" t="n">
        <v>1</v>
      </c>
      <c r="L1626" t="n">
        <v>491.145</v>
      </c>
    </row>
    <row r="1627">
      <c r="A1627" t="n">
        <v>4561</v>
      </c>
      <c r="B1627" s="16" t="n">
        <v>44648</v>
      </c>
      <c r="C1627" t="inlineStr">
        <is>
          <t>VTA</t>
        </is>
      </c>
      <c r="D1627" t="n">
        <v>31</v>
      </c>
      <c r="E1627">
        <f>IF(D2999&gt;0,VLOOKUP(OPERAC[[#This Row],[COD CART]],[1]!MatrizCortoLargoCyl[#All],3,0),"")</f>
        <v/>
      </c>
      <c r="F1627" t="inlineStr">
        <is>
          <t>BABA</t>
        </is>
      </c>
      <c r="G1627" t="n">
        <v>5</v>
      </c>
      <c r="H1627" t="n">
        <v>-574.054</v>
      </c>
      <c r="I1627">
        <f>-H2999/G2999</f>
        <v/>
      </c>
      <c r="J1627" s="16" t="n">
        <v>44677</v>
      </c>
      <c r="K1627" t="n">
        <v>5</v>
      </c>
      <c r="L1627" t="n">
        <v>427.096</v>
      </c>
    </row>
    <row r="1628">
      <c r="A1628" t="n">
        <v>4561</v>
      </c>
      <c r="B1628" s="16" t="n">
        <v>44649</v>
      </c>
      <c r="C1628" t="inlineStr">
        <is>
          <t>CPR</t>
        </is>
      </c>
      <c r="D1628" t="n">
        <v>32</v>
      </c>
      <c r="E1628">
        <f>IF(D3687&gt;0,VLOOKUP(OPERAC[[#This Row],[COD CART]],[1]!MatrizCortoLargoCyl[#All],3,0),"")</f>
        <v/>
      </c>
      <c r="F1628" t="inlineStr">
        <is>
          <t>ARLO</t>
        </is>
      </c>
      <c r="G1628" t="n">
        <v>100</v>
      </c>
      <c r="H1628" t="n">
        <v>-827.412</v>
      </c>
      <c r="I1628">
        <f>-H3687/G3687</f>
        <v/>
      </c>
      <c r="J1628" s="16" t="n">
        <v>44704</v>
      </c>
      <c r="K1628" t="n">
        <v>100</v>
      </c>
      <c r="L1628" t="n">
        <v>660.627</v>
      </c>
    </row>
    <row r="1629">
      <c r="A1629" t="n">
        <v>4561</v>
      </c>
      <c r="B1629" s="16" t="n">
        <v>44650</v>
      </c>
      <c r="C1629" t="inlineStr">
        <is>
          <t>CPR</t>
        </is>
      </c>
      <c r="D1629" t="n">
        <v>32</v>
      </c>
      <c r="E1629">
        <f>IF(D3430&gt;0,VLOOKUP(OPERAC[[#This Row],[COD CART]],[1]!MatrizCortoLargoCyl[#All],3,0),"")</f>
        <v/>
      </c>
      <c r="F1629" t="inlineStr">
        <is>
          <t>UUUU/CYL/8,00/20-05-22</t>
        </is>
      </c>
      <c r="G1629" t="n">
        <v>100</v>
      </c>
      <c r="H1629" t="n">
        <v>-748.0204</v>
      </c>
      <c r="I1629">
        <f>-H3430/G3430</f>
        <v/>
      </c>
      <c r="J1629" s="16" t="n">
        <v>44665</v>
      </c>
      <c r="K1629" t="n">
        <v>100</v>
      </c>
      <c r="L1629" t="n">
        <v>776</v>
      </c>
    </row>
    <row r="1630">
      <c r="A1630" t="n">
        <v>4561</v>
      </c>
      <c r="B1630" s="16" t="n">
        <v>44650</v>
      </c>
      <c r="C1630" t="inlineStr">
        <is>
          <t>CPR</t>
        </is>
      </c>
      <c r="D1630" t="n">
        <v>43</v>
      </c>
      <c r="E1630">
        <f>IF(D4046&gt;0,VLOOKUP(OPERAC[[#This Row],[COD CART]],[1]!MatrizCortoLargoCyl[#All],3,0),"")</f>
        <v/>
      </c>
      <c r="F1630" t="inlineStr">
        <is>
          <t>ACB/CYL-PUT/3,00/20-01-23</t>
        </is>
      </c>
      <c r="G1630" t="n">
        <v>500</v>
      </c>
      <c r="H1630" t="n">
        <v>-928.8890000000001</v>
      </c>
      <c r="I1630">
        <f>-H4046/G4046</f>
        <v/>
      </c>
    </row>
    <row r="1631">
      <c r="A1631" t="n">
        <v>4561</v>
      </c>
      <c r="B1631" s="16" t="n">
        <v>44662</v>
      </c>
      <c r="C1631" t="inlineStr">
        <is>
          <t>VTA</t>
        </is>
      </c>
      <c r="D1631" t="n">
        <v>42</v>
      </c>
      <c r="E1631">
        <f>IF(D2501&gt;0,VLOOKUP(OPERAC[[#This Row],[COD CART]],[1]!MatrizCortoLargoCyl[#All],3,0),"")</f>
        <v/>
      </c>
      <c r="F1631" t="inlineStr">
        <is>
          <t>UPST</t>
        </is>
      </c>
      <c r="G1631" t="n">
        <v>5</v>
      </c>
      <c r="H1631" t="n">
        <v>-457.0018</v>
      </c>
      <c r="I1631">
        <f>-H2501/G2501</f>
        <v/>
      </c>
      <c r="J1631" s="16" t="n">
        <v>44693</v>
      </c>
      <c r="K1631">
        <f>+OPERAC[[#This Row],[cantidad]]</f>
        <v/>
      </c>
      <c r="L1631" t="n">
        <v>153.076</v>
      </c>
    </row>
    <row r="1632">
      <c r="A1632" t="n">
        <v>4561</v>
      </c>
      <c r="B1632" s="16" t="n">
        <v>44664</v>
      </c>
      <c r="C1632" t="inlineStr">
        <is>
          <t>VTA</t>
        </is>
      </c>
      <c r="D1632" t="n">
        <v>42</v>
      </c>
      <c r="E1632">
        <f>IF(D3084&gt;0,VLOOKUP(OPERAC[[#This Row],[COD CART]],[1]!MatrizCortoLargoCyl[#All],3,0),"")</f>
        <v/>
      </c>
      <c r="F1632" t="inlineStr">
        <is>
          <t>PSQ</t>
        </is>
      </c>
      <c r="G1632" t="n">
        <v>50</v>
      </c>
      <c r="H1632" t="n">
        <v>-621.6286090499999</v>
      </c>
      <c r="I1632">
        <f>-H3084/G3084</f>
        <v/>
      </c>
      <c r="J1632" s="16" t="n">
        <v>44680</v>
      </c>
      <c r="K1632">
        <f>+OPERAC[[#This Row],[cantidad]]</f>
        <v/>
      </c>
      <c r="L1632">
        <f>12.848*OPERAC[[#This Row],[cantidad venta]]</f>
        <v/>
      </c>
    </row>
    <row r="1633">
      <c r="A1633" t="n">
        <v>4561</v>
      </c>
      <c r="B1633" s="16" t="n">
        <v>44669</v>
      </c>
      <c r="C1633" t="inlineStr">
        <is>
          <t>CPR</t>
        </is>
      </c>
      <c r="D1633" t="n">
        <v>32</v>
      </c>
      <c r="E1633">
        <f>IF(D4789&gt;0,VLOOKUP(OPERAC[[#This Row],[COD CART]],[1]!MatrizCortoLargoCyl[#All],3,0),"")</f>
        <v/>
      </c>
      <c r="F1633" t="inlineStr">
        <is>
          <t>HMY</t>
        </is>
      </c>
      <c r="G1633" t="n">
        <v>300</v>
      </c>
      <c r="H1633">
        <f>-4.64*OPERAC[[#This Row],[cantidad]]</f>
        <v/>
      </c>
      <c r="I1633">
        <f>-H4789/G4789</f>
        <v/>
      </c>
      <c r="J1633" s="16" t="n">
        <v>44713</v>
      </c>
      <c r="K1633" t="n">
        <v>300</v>
      </c>
      <c r="L1633" t="n">
        <v>997.448</v>
      </c>
    </row>
    <row r="1634">
      <c r="A1634" t="n">
        <v>4561</v>
      </c>
      <c r="B1634" s="16" t="n">
        <v>44671</v>
      </c>
      <c r="C1634" t="inlineStr">
        <is>
          <t>CPR</t>
        </is>
      </c>
      <c r="D1634" t="n">
        <v>42</v>
      </c>
      <c r="E1634">
        <f>IF(D3495&gt;0,VLOOKUP(OPERAC[[#This Row],[COD CART]],[1]!MatrizCortoLargoCyl[#All],3,0),"")</f>
        <v/>
      </c>
      <c r="F1634" t="inlineStr">
        <is>
          <t>NFLX</t>
        </is>
      </c>
      <c r="G1634" t="n">
        <v>3</v>
      </c>
      <c r="H1634" t="n">
        <v>-763.51518</v>
      </c>
      <c r="I1634">
        <f>-H3495/G3495</f>
        <v/>
      </c>
      <c r="J1634" s="16" t="n">
        <v>44693</v>
      </c>
      <c r="K1634">
        <f>+OPERAC[[#This Row],[cantidad]]</f>
        <v/>
      </c>
      <c r="L1634">
        <f>+OPERAC[[#This Row],[cantidad venta]]*169.079</f>
        <v/>
      </c>
    </row>
    <row r="1635">
      <c r="A1635" t="n">
        <v>4561</v>
      </c>
      <c r="B1635" s="16" t="n">
        <v>44680</v>
      </c>
      <c r="C1635" t="inlineStr">
        <is>
          <t>VTA</t>
        </is>
      </c>
      <c r="D1635" t="n">
        <v>42</v>
      </c>
      <c r="E1635">
        <f>IF(D3135&gt;0,VLOOKUP(OPERAC[[#This Row],[COD CART]],[1]!MatrizCortoLargoCyl[#All],3,0),"")</f>
        <v/>
      </c>
      <c r="F1635" t="inlineStr">
        <is>
          <t>XLP</t>
        </is>
      </c>
      <c r="G1635" t="n">
        <v>8</v>
      </c>
      <c r="H1635" t="n">
        <v>-635.4760199999999</v>
      </c>
      <c r="I1635">
        <f>-H3135/G3135</f>
        <v/>
      </c>
      <c r="J1635" s="16" t="n">
        <v>44693</v>
      </c>
      <c r="K1635">
        <f>+OPERAC[[#This Row],[cantidad]]</f>
        <v/>
      </c>
      <c r="L1635">
        <f>+OPERAC[[#This Row],[cantidad venta]]*75.648</f>
        <v/>
      </c>
    </row>
    <row r="1636">
      <c r="A1636" t="n">
        <v>4561</v>
      </c>
      <c r="B1636" s="16" t="n">
        <v>44698</v>
      </c>
      <c r="C1636" t="inlineStr">
        <is>
          <t>CPR</t>
        </is>
      </c>
      <c r="D1636" t="n">
        <v>32</v>
      </c>
      <c r="E1636">
        <f>IF(D4127&gt;0,VLOOKUP(OPERAC[[#This Row],[COD CART]],[1]!MatrizCortoLargoCyl[#All],3,0),"")</f>
        <v/>
      </c>
      <c r="F1636" t="inlineStr">
        <is>
          <t>TLRY/CYL/6,50/24-06-22</t>
        </is>
      </c>
      <c r="G1636" t="n">
        <v>200</v>
      </c>
      <c r="H1636" t="n">
        <v>-961.851</v>
      </c>
      <c r="I1636">
        <f>-H4127/G4127</f>
        <v/>
      </c>
    </row>
    <row r="1637">
      <c r="A1637" t="n">
        <v>4561</v>
      </c>
      <c r="B1637" s="16" t="n">
        <v>44698</v>
      </c>
      <c r="C1637" t="inlineStr">
        <is>
          <t>CPR</t>
        </is>
      </c>
      <c r="D1637" t="n">
        <v>32</v>
      </c>
      <c r="E1637">
        <f>IF(D4556&gt;0,VLOOKUP(OPERAC[[#This Row],[COD CART]],[1]!MatrizCortoLargoCyl[#All],3,0),"")</f>
        <v/>
      </c>
      <c r="F1637" t="inlineStr">
        <is>
          <t>UUUU/CYL/8,00/17-06-22</t>
        </is>
      </c>
      <c r="G1637" t="n">
        <v>200</v>
      </c>
      <c r="H1637" t="n">
        <v>-1232.22</v>
      </c>
      <c r="I1637">
        <f>-H4556/G4556</f>
        <v/>
      </c>
    </row>
    <row r="1638">
      <c r="A1638" t="n">
        <v>4561</v>
      </c>
      <c r="B1638" s="16" t="n">
        <v>44698</v>
      </c>
      <c r="C1638" t="inlineStr">
        <is>
          <t>CPR</t>
        </is>
      </c>
      <c r="D1638" t="n">
        <v>32</v>
      </c>
      <c r="E1638">
        <f>IF(D4663&gt;0,VLOOKUP(OPERAC[[#This Row],[COD CART]],[1]!MatrizCortoLargoCyl[#All],3,0),"")</f>
        <v/>
      </c>
      <c r="F1638" t="inlineStr">
        <is>
          <t>COTY/CYL/8,50/01-07-22</t>
        </is>
      </c>
      <c r="G1638" t="n">
        <v>200</v>
      </c>
      <c r="H1638" t="n">
        <v>-1289.1</v>
      </c>
      <c r="I1638">
        <f>-H4663/G4663</f>
        <v/>
      </c>
    </row>
    <row r="1639">
      <c r="A1639" t="n">
        <v>4561</v>
      </c>
      <c r="B1639" s="16" t="n">
        <v>44698</v>
      </c>
      <c r="C1639" t="inlineStr">
        <is>
          <t>VTA</t>
        </is>
      </c>
      <c r="D1639" t="n">
        <v>39</v>
      </c>
      <c r="E1639">
        <f>IF(D497&gt;0,VLOOKUP(OPERAC[[#This Row],[COD CART]],[1]!MatrizCortoLargoCyl[#All],3,0),"")</f>
        <v/>
      </c>
      <c r="F1639" t="inlineStr">
        <is>
          <t>TSLA/V/550,00/27-05-22</t>
        </is>
      </c>
      <c r="G1639" t="n">
        <v>-400</v>
      </c>
      <c r="H1639" t="n">
        <v>932.01</v>
      </c>
      <c r="I1639">
        <f>-H497/G497</f>
        <v/>
      </c>
      <c r="J1639" s="16" t="n">
        <v>44706</v>
      </c>
      <c r="K1639">
        <f>+OPERAC[[#This Row],[cantidad]]</f>
        <v/>
      </c>
      <c r="L1639" t="n">
        <v>-181.53</v>
      </c>
    </row>
    <row r="1640">
      <c r="A1640" t="n">
        <v>4561</v>
      </c>
      <c r="B1640" s="16" t="n">
        <v>44704</v>
      </c>
      <c r="C1640" t="inlineStr">
        <is>
          <t>VTA</t>
        </is>
      </c>
      <c r="D1640" t="n">
        <v>32</v>
      </c>
      <c r="E1640">
        <f>IF(D3193&gt;0,VLOOKUP(OPERAC[[#This Row],[COD CART]],[1]!MatrizCortoLargoCyl[#All],3,0),"")</f>
        <v/>
      </c>
      <c r="F1640" t="inlineStr">
        <is>
          <t>CRESY/CYL/7,50/17-06-22</t>
        </is>
      </c>
      <c r="G1640" t="n">
        <v>100</v>
      </c>
      <c r="H1640" t="n">
        <v>-650.41</v>
      </c>
      <c r="I1640">
        <f>-H3193/G3193</f>
        <v/>
      </c>
    </row>
    <row r="1641">
      <c r="A1641" t="n">
        <v>5212</v>
      </c>
      <c r="B1641" s="16" t="n">
        <v>44459</v>
      </c>
      <c r="C1641" t="inlineStr">
        <is>
          <t>VTA</t>
        </is>
      </c>
      <c r="D1641" t="n">
        <v>40</v>
      </c>
      <c r="E1641">
        <f>IF(D1826&gt;0,VLOOKUP(OPERAC[[#This Row],[COD CART]],[1]!MatrizCortoLargoCyl[#All],3,0),"")</f>
        <v/>
      </c>
      <c r="F1641" t="inlineStr">
        <is>
          <t>EDU</t>
        </is>
      </c>
      <c r="G1641" t="n">
        <v>300</v>
      </c>
      <c r="H1641">
        <f>-281.79+0.04*OPERAC[[#This Row],[cantidad]]</f>
        <v/>
      </c>
      <c r="I1641">
        <f>-H1826/G1826</f>
        <v/>
      </c>
      <c r="J1641" s="16" t="n">
        <v>44614</v>
      </c>
      <c r="K1641">
        <f>+OPERAC[[#This Row],[cantidad]]</f>
        <v/>
      </c>
      <c r="L1641">
        <f>1.483*OPERAC[[#This Row],[cantidad venta]]</f>
        <v/>
      </c>
    </row>
    <row r="1642">
      <c r="A1642" t="n">
        <v>5212</v>
      </c>
      <c r="B1642" s="16" t="n">
        <v>44489</v>
      </c>
      <c r="C1642" t="inlineStr">
        <is>
          <t>VTA</t>
        </is>
      </c>
      <c r="D1642" t="n">
        <v>43</v>
      </c>
      <c r="E1642">
        <f>IF(D1518&gt;0,VLOOKUP(OPERAC[[#This Row],[COD CART]],[1]!MatrizCortoLargoCyl[#All],3,0),"")</f>
        <v/>
      </c>
      <c r="F1642" t="inlineStr">
        <is>
          <t>SESN/CYL-PUT/1,00/19-01-24</t>
        </is>
      </c>
      <c r="G1642" t="n">
        <v>1000</v>
      </c>
      <c r="H1642">
        <f>-0.1885*OPERAC[[#This Row],[cantidad]]</f>
        <v/>
      </c>
      <c r="I1642">
        <f>-H1518/G1518</f>
        <v/>
      </c>
      <c r="J1642" s="16" t="n">
        <v>44704</v>
      </c>
      <c r="K1642" t="n">
        <v>1000</v>
      </c>
      <c r="L1642" t="n">
        <v>-596.256</v>
      </c>
    </row>
    <row r="1643">
      <c r="A1643" t="n">
        <v>5212</v>
      </c>
      <c r="B1643" s="16" t="n">
        <v>44532</v>
      </c>
      <c r="C1643" t="inlineStr">
        <is>
          <t>VTA</t>
        </is>
      </c>
      <c r="D1643" t="n">
        <v>32</v>
      </c>
      <c r="E1643">
        <f>IF(D3923&gt;0,VLOOKUP(OPERAC[[#This Row],[COD CART]],[1]!MatrizCortoLargoCyl[#All],3,0),"")</f>
        <v/>
      </c>
      <c r="F1643" t="inlineStr">
        <is>
          <t>COTY/CYL/10,00/18-02-22</t>
        </is>
      </c>
      <c r="G1643" t="n">
        <v>100</v>
      </c>
      <c r="H1643">
        <f>-901.599+20.838</f>
        <v/>
      </c>
      <c r="I1643">
        <f>-H3923/G3923</f>
        <v/>
      </c>
      <c r="J1643" s="16" t="n">
        <v>44608</v>
      </c>
      <c r="K1643">
        <f>+OPERAC[[#This Row],[cantidad]]</f>
        <v/>
      </c>
      <c r="L1643" t="n">
        <v>941.701</v>
      </c>
    </row>
    <row r="1644">
      <c r="A1644" t="n">
        <v>5212</v>
      </c>
      <c r="B1644" s="16" t="n">
        <v>44539</v>
      </c>
      <c r="C1644" t="inlineStr">
        <is>
          <t>CPR</t>
        </is>
      </c>
      <c r="D1644" t="n">
        <v>40</v>
      </c>
      <c r="E1644">
        <f>IF(D4642&gt;0,VLOOKUP(OPERAC[[#This Row],[COD CART]],[1]!MatrizCortoLargoCyl[#All],3,0),"")</f>
        <v/>
      </c>
      <c r="F1644" t="inlineStr">
        <is>
          <t>ROKU</t>
        </is>
      </c>
      <c r="G1644" t="n">
        <v>5</v>
      </c>
      <c r="H1644" t="n">
        <v>-1288.6018</v>
      </c>
      <c r="I1644">
        <f>-H4642/G4642</f>
        <v/>
      </c>
      <c r="J1644" s="16" t="n">
        <v>44601</v>
      </c>
      <c r="K1644" t="n">
        <v>5</v>
      </c>
      <c r="L1644" t="n">
        <v>804.85</v>
      </c>
    </row>
    <row r="1645">
      <c r="A1645" t="n">
        <v>5212</v>
      </c>
      <c r="B1645" s="16" t="n">
        <v>44558</v>
      </c>
      <c r="C1645" t="inlineStr">
        <is>
          <t>VTA</t>
        </is>
      </c>
      <c r="D1645" t="n">
        <v>40</v>
      </c>
      <c r="E1645">
        <f>IF(D1941&gt;0,VLOOKUP(OPERAC[[#This Row],[COD CART]],[1]!MatrizCortoLargoCyl[#All],3,0),"")</f>
        <v/>
      </c>
      <c r="F1645" t="inlineStr">
        <is>
          <t>UPST</t>
        </is>
      </c>
      <c r="G1645" t="n">
        <v>2</v>
      </c>
      <c r="H1645" t="n">
        <v>-301.2004</v>
      </c>
      <c r="I1645">
        <f>-H1941/G1941</f>
        <v/>
      </c>
      <c r="J1645" s="16" t="n">
        <v>44606</v>
      </c>
      <c r="K1645">
        <f>+OPERAC[[#This Row],[cantidad]]</f>
        <v/>
      </c>
      <c r="L1645">
        <f>+OPERAC[[#This Row],[cantidad venta]]*98.994</f>
        <v/>
      </c>
    </row>
    <row r="1646">
      <c r="A1646" t="n">
        <v>5212</v>
      </c>
      <c r="B1646" s="16" t="n">
        <v>44581</v>
      </c>
      <c r="C1646" t="inlineStr">
        <is>
          <t>VTA</t>
        </is>
      </c>
      <c r="D1646" t="n">
        <v>32</v>
      </c>
      <c r="E1646">
        <f>IF(D2270&gt;0,VLOOKUP(OPERAC[[#This Row],[COD CART]],[1]!MatrizCortoLargoCyl[#All],3,0),"")</f>
        <v/>
      </c>
      <c r="F1646" t="inlineStr">
        <is>
          <t>HMY/CYL/4,00/18-02-22</t>
        </is>
      </c>
      <c r="G1646" t="n">
        <v>100</v>
      </c>
      <c r="H1646" t="n">
        <v>-387.467996</v>
      </c>
      <c r="I1646">
        <f>-H2270/G2270</f>
        <v/>
      </c>
      <c r="J1646" s="16" t="n">
        <v>44610</v>
      </c>
      <c r="K1646">
        <f>+OPERAC[[#This Row],[cantidad]]</f>
        <v/>
      </c>
      <c r="L1646">
        <f>+OPERAC[[#This Row],[cantidad venta]]*3.8323</f>
        <v/>
      </c>
    </row>
    <row r="1647">
      <c r="A1647" t="n">
        <v>5212</v>
      </c>
      <c r="B1647" s="16" t="n">
        <v>44594</v>
      </c>
      <c r="C1647" t="inlineStr">
        <is>
          <t>VTA</t>
        </is>
      </c>
      <c r="D1647" t="n">
        <v>40</v>
      </c>
      <c r="E1647">
        <f>IF(D3037&gt;0,VLOOKUP(OPERAC[[#This Row],[COD CART]],[1]!MatrizCortoLargoCyl[#All],3,0),"")</f>
        <v/>
      </c>
      <c r="F1647" t="inlineStr">
        <is>
          <t>EDU</t>
        </is>
      </c>
      <c r="G1647" t="n">
        <v>300</v>
      </c>
      <c r="H1647" t="n">
        <v>-604.8</v>
      </c>
      <c r="I1647">
        <f>-H3037/G3037</f>
        <v/>
      </c>
      <c r="J1647" s="16" t="n">
        <v>44601</v>
      </c>
      <c r="K1647" t="n">
        <v>300</v>
      </c>
      <c r="L1647">
        <f>300*1.478</f>
        <v/>
      </c>
    </row>
    <row r="1648">
      <c r="A1648" t="n">
        <v>5212</v>
      </c>
      <c r="B1648" s="16" t="n">
        <v>44601</v>
      </c>
      <c r="C1648" t="inlineStr">
        <is>
          <t>VTA</t>
        </is>
      </c>
      <c r="D1648" t="n">
        <v>43</v>
      </c>
      <c r="E1648">
        <f>IF(D3192&gt;0,VLOOKUP(OPERAC[[#This Row],[COD CART]],[1]!MatrizCortoLargoCyl[#All],3,0),"")</f>
        <v/>
      </c>
      <c r="F1648" t="inlineStr">
        <is>
          <t>GMBL/CYL-PUT/2,50/20-01-23</t>
        </is>
      </c>
      <c r="G1648" t="n">
        <v>500</v>
      </c>
      <c r="H1648">
        <f>-1.3*OPERAC[[#This Row],[cantidad]]</f>
        <v/>
      </c>
      <c r="I1648">
        <f>-H3192/G3192</f>
        <v/>
      </c>
      <c r="J1648" s="16" t="n">
        <v>44704</v>
      </c>
      <c r="K1648" t="n">
        <v>500</v>
      </c>
      <c r="L1648" t="n">
        <v>-894.247</v>
      </c>
    </row>
    <row r="1649">
      <c r="A1649" t="n">
        <v>5212</v>
      </c>
      <c r="B1649" s="16" t="n">
        <v>44609</v>
      </c>
      <c r="C1649" t="inlineStr">
        <is>
          <t>VTA</t>
        </is>
      </c>
      <c r="D1649" t="n">
        <v>32</v>
      </c>
      <c r="E1649">
        <f>IF(D3869&gt;0,VLOOKUP(OPERAC[[#This Row],[COD CART]],[1]!MatrizCortoLargoCyl[#All],3,0),"")</f>
        <v/>
      </c>
      <c r="F1649" t="inlineStr">
        <is>
          <t>HIMX/CYL/9,00/18-03-22</t>
        </is>
      </c>
      <c r="G1649" t="n">
        <v>100</v>
      </c>
      <c r="H1649" t="n">
        <v>-869.5839999999999</v>
      </c>
      <c r="I1649">
        <f>-H3869/G3869</f>
        <v/>
      </c>
      <c r="J1649" s="16" t="n">
        <v>44622</v>
      </c>
      <c r="K1649">
        <f>+OPERAC[[#This Row],[cantidad]]</f>
        <v/>
      </c>
      <c r="L1649" t="n">
        <v>883.576</v>
      </c>
    </row>
    <row r="1650">
      <c r="A1650" t="n">
        <v>5212</v>
      </c>
      <c r="B1650" s="16" t="n">
        <v>44708</v>
      </c>
      <c r="C1650" t="inlineStr">
        <is>
          <t>CPR</t>
        </is>
      </c>
      <c r="D1650" t="n">
        <v>41</v>
      </c>
      <c r="E1650">
        <f>IF(D3658&gt;0,VLOOKUP(OPERAC[[#This Row],[COD CART]],[1]!MatrizCortoLargoCyl[#All],3,0),"")</f>
        <v/>
      </c>
      <c r="F1650" t="inlineStr">
        <is>
          <t>MELI</t>
        </is>
      </c>
      <c r="G1650" t="n">
        <v>1</v>
      </c>
      <c r="H1650" t="n">
        <v>-811.8579</v>
      </c>
      <c r="I1650">
        <f>-H3658/G3658</f>
        <v/>
      </c>
    </row>
    <row r="1651">
      <c r="A1651" t="n">
        <v>5212</v>
      </c>
      <c r="B1651" s="16" t="n">
        <v>44708</v>
      </c>
      <c r="C1651" t="inlineStr">
        <is>
          <t>VTA</t>
        </is>
      </c>
      <c r="D1651" t="n">
        <v>41</v>
      </c>
      <c r="E1651">
        <f>IF(D1529&gt;0,VLOOKUP(OPERAC[[#This Row],[COD CART]],[1]!MatrizCortoLargoCyl[#All],3,0),"")</f>
        <v/>
      </c>
      <c r="F1651" t="inlineStr">
        <is>
          <t>BABA</t>
        </is>
      </c>
      <c r="G1651" t="n">
        <v>2</v>
      </c>
      <c r="H1651" t="n">
        <v>-188.993</v>
      </c>
      <c r="I1651">
        <f>-H1529/G1529</f>
        <v/>
      </c>
    </row>
    <row r="1652">
      <c r="A1652" t="n">
        <v>5212</v>
      </c>
      <c r="B1652" s="16" t="n">
        <v>44708</v>
      </c>
      <c r="C1652" t="inlineStr">
        <is>
          <t>VTA</t>
        </is>
      </c>
      <c r="D1652" t="n">
        <v>41</v>
      </c>
      <c r="E1652">
        <f>IF(D1632&gt;0,VLOOKUP(OPERAC[[#This Row],[COD CART]],[1]!MatrizCortoLargoCyl[#All],3,0),"")</f>
        <v/>
      </c>
      <c r="F1652" t="inlineStr">
        <is>
          <t>DIS</t>
        </is>
      </c>
      <c r="G1652" t="n">
        <v>2</v>
      </c>
      <c r="H1652" t="n">
        <v>-219.640925</v>
      </c>
      <c r="I1652">
        <f>-H1632/G1632</f>
        <v/>
      </c>
    </row>
    <row r="1653">
      <c r="A1653" t="n">
        <v>5212</v>
      </c>
      <c r="B1653" s="16" t="n">
        <v>44708</v>
      </c>
      <c r="C1653" t="inlineStr">
        <is>
          <t>VTA</t>
        </is>
      </c>
      <c r="D1653" t="n">
        <v>41</v>
      </c>
      <c r="E1653">
        <f>IF(D2387&gt;0,VLOOKUP(OPERAC[[#This Row],[COD CART]],[1]!MatrizCortoLargoCyl[#All],3,0),"")</f>
        <v/>
      </c>
      <c r="F1653" t="inlineStr">
        <is>
          <t>LAC</t>
        </is>
      </c>
      <c r="G1653" t="n">
        <v>15</v>
      </c>
      <c r="H1653" t="n">
        <v>-421.8740925</v>
      </c>
      <c r="I1653">
        <f>-H2387/G2387</f>
        <v/>
      </c>
    </row>
    <row r="1654">
      <c r="A1654" t="n">
        <v>6578</v>
      </c>
      <c r="B1654" s="16" t="n">
        <v>44340</v>
      </c>
      <c r="C1654" t="inlineStr">
        <is>
          <t>VTA</t>
        </is>
      </c>
      <c r="D1654" t="n">
        <v>39</v>
      </c>
      <c r="E1654">
        <f>IF(D963&gt;0,VLOOKUP(OPERAC[[#This Row],[COD CART]],[1]!MatrizCortoLargoCyl[#All],3,0),"")</f>
        <v/>
      </c>
      <c r="F1654" t="inlineStr">
        <is>
          <t>SOLO/V/3,50/21-01-22</t>
        </is>
      </c>
      <c r="G1654" t="n">
        <v>-100</v>
      </c>
      <c r="H1654" t="n">
        <v>87.08549999999998</v>
      </c>
      <c r="I1654">
        <f>-H963/G963</f>
        <v/>
      </c>
      <c r="J1654" s="16" t="n">
        <v>44579</v>
      </c>
      <c r="K1654">
        <f>+OPERAC[[#This Row],[cantidad]]</f>
        <v/>
      </c>
      <c r="L1654">
        <f>-OPERAC[[#This Row],[importe]]</f>
        <v/>
      </c>
    </row>
    <row r="1655">
      <c r="A1655" t="n">
        <v>6578</v>
      </c>
      <c r="B1655" s="16" t="n">
        <v>44378</v>
      </c>
      <c r="C1655" t="inlineStr">
        <is>
          <t>CPR</t>
        </is>
      </c>
      <c r="D1655" t="n">
        <v>32</v>
      </c>
      <c r="E1655">
        <f>IF(D3443&gt;0,VLOOKUP(OPERAC[[#This Row],[COD CART]],[1]!MatrizCortoLargoCyl[#All],3,0),"")</f>
        <v/>
      </c>
      <c r="F1655" t="inlineStr">
        <is>
          <t>INO/CYL/8,00/18-02-22</t>
        </is>
      </c>
      <c r="G1655" t="n">
        <v>100</v>
      </c>
      <c r="H1655">
        <f>-7.87*OPERAC[[#This Row],[cantidad]]+15.402+0.474+14.852+4.707</f>
        <v/>
      </c>
      <c r="I1655">
        <f>-H3443/G3443</f>
        <v/>
      </c>
      <c r="J1655" s="16" t="n">
        <v>44595</v>
      </c>
      <c r="K1655" t="n">
        <v>100</v>
      </c>
      <c r="L1655">
        <f>+OPERAC[[#This Row],[cantidad venta]]*3.599</f>
        <v/>
      </c>
    </row>
    <row r="1656">
      <c r="A1656" t="n">
        <v>6578</v>
      </c>
      <c r="B1656" s="16" t="n">
        <v>44431</v>
      </c>
      <c r="C1656" t="inlineStr">
        <is>
          <t>VTA</t>
        </is>
      </c>
      <c r="D1656" t="n">
        <v>39</v>
      </c>
      <c r="E1656">
        <f>IF(D1177&gt;0,VLOOKUP(OPERAC[[#This Row],[COD CART]],[1]!MatrizCortoLargoCyl[#All],3,0),"")</f>
        <v/>
      </c>
      <c r="F1656" t="inlineStr">
        <is>
          <t>GGAL/V/10,00/20-01-23</t>
        </is>
      </c>
      <c r="G1656" t="n">
        <v>-5</v>
      </c>
      <c r="H1656" t="n">
        <v>12.4</v>
      </c>
      <c r="I1656">
        <f>-H1177/G1177</f>
        <v/>
      </c>
    </row>
    <row r="1657">
      <c r="A1657" t="n">
        <v>6578</v>
      </c>
      <c r="B1657" s="16" t="n">
        <v>44446</v>
      </c>
      <c r="C1657" t="inlineStr">
        <is>
          <t>CPR</t>
        </is>
      </c>
      <c r="D1657" t="n">
        <v>32</v>
      </c>
      <c r="E1657">
        <f>IF(D3284&gt;0,VLOOKUP(OPERAC[[#This Row],[COD CART]],[1]!MatrizCortoLargoCyl[#All],3,0),"")</f>
        <v/>
      </c>
      <c r="F1657" t="inlineStr">
        <is>
          <t>INO/CYL/8,00/18-02-22</t>
        </is>
      </c>
      <c r="G1657" t="n">
        <v>100</v>
      </c>
      <c r="H1657">
        <f>-758.932+27.502+30.172+14.579+4.707</f>
        <v/>
      </c>
      <c r="I1657">
        <f>-H3284/G3284</f>
        <v/>
      </c>
      <c r="J1657" s="16" t="n">
        <v>44595</v>
      </c>
      <c r="K1657" t="n">
        <v>100</v>
      </c>
      <c r="L1657">
        <f>+OPERAC[[#This Row],[cantidad venta]]*3.599</f>
        <v/>
      </c>
    </row>
    <row r="1658">
      <c r="A1658" t="n">
        <v>6578</v>
      </c>
      <c r="B1658" s="16" t="n">
        <v>44466</v>
      </c>
      <c r="C1658" t="inlineStr">
        <is>
          <t>VTA</t>
        </is>
      </c>
      <c r="D1658" t="n">
        <v>43</v>
      </c>
      <c r="E1658">
        <f>IF(D2494&gt;0,VLOOKUP(OPERAC[[#This Row],[COD CART]],[1]!MatrizCortoLargoCyl[#All],3,0),"")</f>
        <v/>
      </c>
      <c r="F1658" t="inlineStr">
        <is>
          <t>SOLO/CYL-PUT/4,00/18-03-22</t>
        </is>
      </c>
      <c r="G1658" t="n">
        <v>200</v>
      </c>
      <c r="H1658">
        <f>-594.83454+0.32*OPERAC[[#This Row],[cantidad]]+0.387*OPERAC[[#This Row],[cantidad]]</f>
        <v/>
      </c>
      <c r="I1658">
        <f>-H2494/G2494</f>
        <v/>
      </c>
      <c r="J1658" s="16" t="n">
        <v>44614</v>
      </c>
      <c r="K1658" t="n">
        <v>200</v>
      </c>
      <c r="L1658" t="n">
        <v>-45.94</v>
      </c>
    </row>
    <row r="1659">
      <c r="A1659" t="n">
        <v>6578</v>
      </c>
      <c r="B1659" s="16" t="n">
        <v>44468</v>
      </c>
      <c r="C1659" t="inlineStr">
        <is>
          <t>VTA</t>
        </is>
      </c>
      <c r="D1659" t="n">
        <v>39</v>
      </c>
      <c r="E1659">
        <f>IF(D1175&gt;0,VLOOKUP(OPERAC[[#This Row],[COD CART]],[1]!MatrizCortoLargoCyl[#All],3,0),"")</f>
        <v/>
      </c>
      <c r="F1659" t="inlineStr">
        <is>
          <t>EDIT/V/15,00/20-01-23</t>
        </is>
      </c>
      <c r="G1659" t="n">
        <v>-10</v>
      </c>
      <c r="H1659" t="n">
        <v>12.74</v>
      </c>
      <c r="I1659">
        <f>-H1175/G1175</f>
        <v/>
      </c>
      <c r="J1659" s="16" t="n">
        <v>44693</v>
      </c>
      <c r="K1659" t="n">
        <v>-1</v>
      </c>
      <c r="L1659" t="n">
        <v>-6.17</v>
      </c>
    </row>
    <row r="1660">
      <c r="A1660" t="n">
        <v>6578</v>
      </c>
      <c r="B1660" s="16" t="n">
        <v>44489</v>
      </c>
      <c r="C1660" t="inlineStr">
        <is>
          <t>CPR</t>
        </is>
      </c>
      <c r="D1660" t="n">
        <v>43</v>
      </c>
      <c r="E1660">
        <f>IF(D2600&gt;0,VLOOKUP(OPERAC[[#This Row],[COD CART]],[1]!MatrizCortoLargoCyl[#All],3,0),"")</f>
        <v/>
      </c>
      <c r="F1660" t="inlineStr">
        <is>
          <t>SESN/CYL-PUT/1,00/19-01-24</t>
        </is>
      </c>
      <c r="G1660" t="n">
        <v>2500</v>
      </c>
      <c r="H1660">
        <f>-0.1885*OPERAC[[#This Row],[cantidad]]</f>
        <v/>
      </c>
      <c r="I1660">
        <f>-H2600/G2600</f>
        <v/>
      </c>
      <c r="J1660" s="16" t="n">
        <v>44614</v>
      </c>
      <c r="K1660" t="n">
        <v>2500</v>
      </c>
      <c r="L1660" t="n">
        <v>665.17</v>
      </c>
    </row>
    <row r="1661">
      <c r="A1661" t="n">
        <v>6578</v>
      </c>
      <c r="B1661" s="16" t="n">
        <v>44494</v>
      </c>
      <c r="C1661" t="inlineStr">
        <is>
          <t>CPR</t>
        </is>
      </c>
      <c r="D1661" t="n">
        <v>40</v>
      </c>
      <c r="E1661">
        <f>IF(D5636&gt;0,VLOOKUP(OPERAC[[#This Row],[COD CART]],[1]!MatrizCortoLargoCyl[#All],3,0),"")</f>
        <v/>
      </c>
      <c r="F1661" t="inlineStr">
        <is>
          <t>YPF</t>
        </is>
      </c>
      <c r="G1661" t="n">
        <v>500</v>
      </c>
      <c r="H1661" t="n">
        <v>-2326.36</v>
      </c>
      <c r="I1661">
        <f>-H5636/G5636</f>
        <v/>
      </c>
      <c r="J1661" s="16" t="n">
        <v>44606</v>
      </c>
      <c r="K1661">
        <f>+OPERAC[[#This Row],[cantidad]]</f>
        <v/>
      </c>
      <c r="L1661">
        <f>+OPERAC[[#This Row],[cantidad venta]]*4.161</f>
        <v/>
      </c>
    </row>
    <row r="1662">
      <c r="A1662" t="n">
        <v>6578</v>
      </c>
      <c r="B1662" s="16" t="n">
        <v>44531</v>
      </c>
      <c r="C1662" t="inlineStr">
        <is>
          <t>VTA</t>
        </is>
      </c>
      <c r="D1662" t="n">
        <v>39</v>
      </c>
      <c r="E1662">
        <f>IF(D612&gt;0,VLOOKUP(OPERAC[[#This Row],[COD CART]],[1]!MatrizCortoLargoCyl[#All],3,0),"")</f>
        <v/>
      </c>
      <c r="F1662" t="inlineStr">
        <is>
          <t>MELI/V/740,00/16-09-22</t>
        </is>
      </c>
      <c r="G1662" t="n">
        <v>-300</v>
      </c>
      <c r="H1662">
        <f>-2*OPERAC[[#This Row],[cantidad]]</f>
        <v/>
      </c>
      <c r="I1662">
        <f>-H612/G612</f>
        <v/>
      </c>
      <c r="J1662" s="16" t="n">
        <v>44614</v>
      </c>
      <c r="K1662">
        <f>+OPERAC[[#This Row],[cantidad]]</f>
        <v/>
      </c>
      <c r="L1662" t="n">
        <v>-600</v>
      </c>
    </row>
    <row r="1663">
      <c r="A1663" t="n">
        <v>6578</v>
      </c>
      <c r="B1663" s="16" t="n">
        <v>44532</v>
      </c>
      <c r="C1663" t="inlineStr">
        <is>
          <t>VTA</t>
        </is>
      </c>
      <c r="D1663" t="n">
        <v>32</v>
      </c>
      <c r="E1663">
        <f>IF(D5339&gt;0,VLOOKUP(OPERAC[[#This Row],[COD CART]],[1]!MatrizCortoLargoCyl[#All],3,0),"")</f>
        <v/>
      </c>
      <c r="F1663" t="inlineStr">
        <is>
          <t>COTY/CYL/10,00/18-02-22</t>
        </is>
      </c>
      <c r="G1663" t="n">
        <v>200</v>
      </c>
      <c r="H1663">
        <f>-1803.198+41.676</f>
        <v/>
      </c>
      <c r="I1663">
        <f>-H5339/G5339</f>
        <v/>
      </c>
      <c r="J1663" s="16" t="n">
        <v>44608</v>
      </c>
      <c r="K1663">
        <f>+OPERAC[[#This Row],[cantidad]]</f>
        <v/>
      </c>
      <c r="L1663" t="n">
        <v>1889.088</v>
      </c>
    </row>
    <row r="1664">
      <c r="A1664" t="n">
        <v>6578</v>
      </c>
      <c r="B1664" s="16" t="n">
        <v>44533</v>
      </c>
      <c r="C1664" t="inlineStr">
        <is>
          <t>CPR</t>
        </is>
      </c>
      <c r="D1664" t="n">
        <v>40</v>
      </c>
      <c r="E1664">
        <f>IF(D4670&gt;0,VLOOKUP(OPERAC[[#This Row],[COD CART]],[1]!MatrizCortoLargoCyl[#All],3,0),"")</f>
        <v/>
      </c>
      <c r="F1664" t="inlineStr">
        <is>
          <t>SPCE</t>
        </is>
      </c>
      <c r="G1664" t="n">
        <v>100</v>
      </c>
      <c r="H1664" t="n">
        <v>-1301.68</v>
      </c>
      <c r="I1664">
        <f>-H4670/G4670</f>
        <v/>
      </c>
      <c r="J1664" s="16" t="n">
        <v>44587</v>
      </c>
      <c r="K1664" t="n">
        <v>100</v>
      </c>
      <c r="L1664" t="n">
        <v>871.9400000000001</v>
      </c>
    </row>
    <row r="1665">
      <c r="A1665" t="n">
        <v>6578</v>
      </c>
      <c r="B1665" s="16" t="n">
        <v>44533</v>
      </c>
      <c r="C1665" t="inlineStr">
        <is>
          <t>VTA</t>
        </is>
      </c>
      <c r="D1665" t="n">
        <v>32</v>
      </c>
      <c r="E1665">
        <f>IF(D5151&gt;0,VLOOKUP(OPERAC[[#This Row],[COD CART]],[1]!MatrizCortoLargoCyl[#All],3,0),"")</f>
        <v/>
      </c>
      <c r="F1665" t="inlineStr">
        <is>
          <t>TLRY/CYL/10,00/21-01-22</t>
        </is>
      </c>
      <c r="G1665" t="n">
        <v>200</v>
      </c>
      <c r="H1665" t="n">
        <v>-1607.24</v>
      </c>
      <c r="I1665">
        <f>-H5151/G5151</f>
        <v/>
      </c>
      <c r="J1665" s="16" t="n">
        <v>44572</v>
      </c>
      <c r="K1665" t="n">
        <v>200</v>
      </c>
      <c r="L1665" t="n">
        <v>1474.05</v>
      </c>
    </row>
    <row r="1666">
      <c r="A1666" t="n">
        <v>6578</v>
      </c>
      <c r="B1666" s="16" t="n">
        <v>44533</v>
      </c>
      <c r="C1666" t="inlineStr">
        <is>
          <t>VTA</t>
        </is>
      </c>
      <c r="D1666" t="n">
        <v>32</v>
      </c>
      <c r="E1666">
        <f>IF(D5463&gt;0,VLOOKUP(OPERAC[[#This Row],[COD CART]],[1]!MatrizCortoLargoCyl[#All],3,0),"")</f>
        <v/>
      </c>
      <c r="F1666" t="inlineStr">
        <is>
          <t>GMBL/CYL/5,00/21-01-22</t>
        </is>
      </c>
      <c r="G1666" t="n">
        <v>500</v>
      </c>
      <c r="H1666">
        <f>-3.83*OPERAC[[#This Row],[cantidad]]</f>
        <v/>
      </c>
      <c r="I1666">
        <f>-H5463/G5463</f>
        <v/>
      </c>
      <c r="J1666" s="16" t="n">
        <v>44581</v>
      </c>
      <c r="K1666" t="n">
        <v>500</v>
      </c>
      <c r="L1666" t="n">
        <v>1466.579</v>
      </c>
    </row>
    <row r="1667">
      <c r="A1667" t="n">
        <v>6578</v>
      </c>
      <c r="B1667" s="16" t="n">
        <v>44547</v>
      </c>
      <c r="C1667" t="inlineStr">
        <is>
          <t>VTA</t>
        </is>
      </c>
      <c r="D1667" t="n">
        <v>32</v>
      </c>
      <c r="E1667">
        <f>IF(D3783&gt;0,VLOOKUP(OPERAC[[#This Row],[COD CART]],[1]!MatrizCortoLargoCyl[#All],3,0),"")</f>
        <v/>
      </c>
      <c r="F1667" t="inlineStr">
        <is>
          <t>ARLO/CYL/9,00/18-02-22</t>
        </is>
      </c>
      <c r="G1667" t="n">
        <v>100</v>
      </c>
      <c r="H1667">
        <f>-866.74+14.88</f>
        <v/>
      </c>
      <c r="I1667">
        <f>-H3783/G3783</f>
        <v/>
      </c>
      <c r="J1667" s="16" t="n">
        <v>44607</v>
      </c>
      <c r="K1667" t="n">
        <v>100</v>
      </c>
      <c r="L1667" t="n">
        <v>875.33</v>
      </c>
    </row>
    <row r="1668">
      <c r="A1668" t="n">
        <v>6578</v>
      </c>
      <c r="B1668" s="16" t="n">
        <v>44573</v>
      </c>
      <c r="C1668" t="inlineStr">
        <is>
          <t>VTA</t>
        </is>
      </c>
      <c r="D1668" t="n">
        <v>39</v>
      </c>
      <c r="E1668">
        <f>IF(D585&gt;0,VLOOKUP(OPERAC[[#This Row],[COD CART]],[1]!MatrizCortoLargoCyl[#All],3,0),"")</f>
        <v/>
      </c>
      <c r="F1668" t="inlineStr">
        <is>
          <t>ROKU/V/170,00/21-01-22</t>
        </is>
      </c>
      <c r="G1668" t="n">
        <v>-200</v>
      </c>
      <c r="H1668" t="n">
        <v>653.92</v>
      </c>
      <c r="I1668">
        <f>-H585/G585</f>
        <v/>
      </c>
      <c r="J1668" s="16" t="n">
        <v>44582</v>
      </c>
      <c r="K1668" t="n">
        <v>-200</v>
      </c>
      <c r="L1668">
        <f>-OPERAC[[#This Row],[importe]]</f>
        <v/>
      </c>
    </row>
    <row r="1669">
      <c r="A1669" t="n">
        <v>6578</v>
      </c>
      <c r="B1669" s="16" t="n">
        <v>44579</v>
      </c>
      <c r="C1669" t="inlineStr">
        <is>
          <t>CPR</t>
        </is>
      </c>
      <c r="D1669" t="n">
        <v>40</v>
      </c>
      <c r="E1669">
        <f>IF(D4936&gt;0,VLOOKUP(OPERAC[[#This Row],[COD CART]],[1]!MatrizCortoLargoCyl[#All],3,0),"")</f>
        <v/>
      </c>
      <c r="F1669" t="inlineStr">
        <is>
          <t>VLY</t>
        </is>
      </c>
      <c r="G1669" t="n">
        <v>100</v>
      </c>
      <c r="H1669" t="n">
        <v>-1504.44</v>
      </c>
      <c r="I1669">
        <f>-H4936/G4936</f>
        <v/>
      </c>
      <c r="J1669" s="16" t="n">
        <v>44606</v>
      </c>
      <c r="K1669">
        <f>+OPERAC[[#This Row],[cantidad]]</f>
        <v/>
      </c>
      <c r="L1669">
        <f>+OPERAC[[#This Row],[cantidad venta]]*14.121</f>
        <v/>
      </c>
    </row>
    <row r="1670">
      <c r="A1670" t="n">
        <v>6578</v>
      </c>
      <c r="B1670" s="16" t="n">
        <v>44579</v>
      </c>
      <c r="C1670" t="inlineStr">
        <is>
          <t>VTA</t>
        </is>
      </c>
      <c r="D1670" t="n">
        <v>39</v>
      </c>
      <c r="E1670">
        <f>IF(D912&gt;0,VLOOKUP(OPERAC[[#This Row],[COD CART]],[1]!MatrizCortoLargoCyl[#All],3,0),"")</f>
        <v/>
      </c>
      <c r="F1670" t="inlineStr">
        <is>
          <t>SOLO/V/3,50/25-02-22</t>
        </is>
      </c>
      <c r="G1670" t="n">
        <v>-100</v>
      </c>
      <c r="H1670" t="n">
        <v>138.18574</v>
      </c>
      <c r="I1670">
        <f>-H912/G912</f>
        <v/>
      </c>
      <c r="J1670" s="16" t="n">
        <v>44608</v>
      </c>
      <c r="K1670">
        <f>+OPERAC[[#This Row],[cantidad]]</f>
        <v/>
      </c>
      <c r="L1670" t="n">
        <v>-139.504</v>
      </c>
    </row>
    <row r="1671">
      <c r="A1671" t="n">
        <v>6578</v>
      </c>
      <c r="B1671" s="16" t="n">
        <v>44581</v>
      </c>
      <c r="C1671" t="inlineStr">
        <is>
          <t>CPR</t>
        </is>
      </c>
      <c r="D1671" t="n">
        <v>32</v>
      </c>
      <c r="E1671">
        <f>IF(D3567&gt;0,VLOOKUP(OPERAC[[#This Row],[COD CART]],[1]!MatrizCortoLargoCyl[#All],3,0),"")</f>
        <v/>
      </c>
      <c r="F1671" t="inlineStr">
        <is>
          <t>HMY/CYL/4,00/18-02-22</t>
        </is>
      </c>
      <c r="G1671" t="n">
        <v>200</v>
      </c>
      <c r="H1671" t="n">
        <v>-774.9359920000001</v>
      </c>
      <c r="I1671">
        <f>-H3567/G3567</f>
        <v/>
      </c>
      <c r="J1671" s="16" t="n">
        <v>44610</v>
      </c>
      <c r="K1671">
        <f>+OPERAC[[#This Row],[cantidad]]</f>
        <v/>
      </c>
      <c r="L1671">
        <f>+OPERAC[[#This Row],[cantidad venta]]*3.8323</f>
        <v/>
      </c>
    </row>
    <row r="1672">
      <c r="A1672" t="n">
        <v>6578</v>
      </c>
      <c r="B1672" s="16" t="n">
        <v>44581</v>
      </c>
      <c r="C1672" t="inlineStr">
        <is>
          <t>VTA</t>
        </is>
      </c>
      <c r="D1672" t="n">
        <v>39</v>
      </c>
      <c r="E1672">
        <f>IF(D479&gt;0,VLOOKUP(OPERAC[[#This Row],[COD CART]],[1]!MatrizCortoLargoCyl[#All],3,0),"")</f>
        <v/>
      </c>
      <c r="F1672" t="inlineStr">
        <is>
          <t>ACB/V/6,00/18-02-22</t>
        </is>
      </c>
      <c r="G1672" t="n">
        <v>-800</v>
      </c>
      <c r="H1672" t="n">
        <v>967.6120000000001</v>
      </c>
      <c r="I1672">
        <f>-H479/G479</f>
        <v/>
      </c>
      <c r="J1672" s="16" t="n">
        <v>44600</v>
      </c>
      <c r="K1672" t="n">
        <v>-800</v>
      </c>
      <c r="L1672">
        <f>1.21*OPERAC[[#This Row],[cantidad venta]]</f>
        <v/>
      </c>
    </row>
    <row r="1673">
      <c r="A1673" t="n">
        <v>6578</v>
      </c>
      <c r="B1673" s="16" t="n">
        <v>44582</v>
      </c>
      <c r="C1673" t="inlineStr">
        <is>
          <t>VTA</t>
        </is>
      </c>
      <c r="D1673" t="n">
        <v>39</v>
      </c>
      <c r="E1673">
        <f>IF(D124&gt;0,VLOOKUP(OPERAC[[#This Row],[COD CART]],[1]!MatrizCortoLargoCyl[#All],3,0),"")</f>
        <v/>
      </c>
      <c r="F1673" t="inlineStr">
        <is>
          <t>ROKU/V/160,00/28-01-22</t>
        </is>
      </c>
      <c r="G1673" t="n">
        <v>-300</v>
      </c>
      <c r="H1673" t="n">
        <v>3169.1364</v>
      </c>
      <c r="I1673">
        <f>-H124/G124</f>
        <v/>
      </c>
      <c r="J1673" s="16" t="n">
        <v>44587</v>
      </c>
      <c r="K1673">
        <f>+OPERAC[[#This Row],[cantidad]]</f>
        <v/>
      </c>
      <c r="L1673">
        <f>-OPERAC[[#This Row],[importe]]</f>
        <v/>
      </c>
    </row>
    <row r="1674">
      <c r="A1674" t="n">
        <v>6578</v>
      </c>
      <c r="B1674" s="16" t="n">
        <v>44582</v>
      </c>
      <c r="C1674" t="inlineStr">
        <is>
          <t>VTA</t>
        </is>
      </c>
      <c r="D1674" t="n">
        <v>40</v>
      </c>
      <c r="E1674">
        <f>IF(D5038&gt;0,VLOOKUP(OPERAC[[#This Row],[COD CART]],[1]!MatrizCortoLargoCyl[#All],3,0),"")</f>
        <v/>
      </c>
      <c r="F1674" t="inlineStr">
        <is>
          <t>NFLX</t>
        </is>
      </c>
      <c r="G1674" t="n">
        <v>4</v>
      </c>
      <c r="H1674" t="n">
        <v>-1562.5484</v>
      </c>
      <c r="I1674">
        <f>-H5038/G5038</f>
        <v/>
      </c>
      <c r="J1674" s="16" t="n">
        <v>44593</v>
      </c>
      <c r="K1674">
        <f>+OPERAC[[#This Row],[cantidad]]</f>
        <v/>
      </c>
      <c r="L1674">
        <f>+OPERAC[[#This Row],[cantidad venta]]*448.602</f>
        <v/>
      </c>
    </row>
    <row r="1675">
      <c r="A1675" t="n">
        <v>6578</v>
      </c>
      <c r="B1675" s="16" t="n">
        <v>44586</v>
      </c>
      <c r="C1675" t="inlineStr">
        <is>
          <t>VTA</t>
        </is>
      </c>
      <c r="D1675" t="n">
        <v>43</v>
      </c>
      <c r="E1675">
        <f>IF(D3054&gt;0,VLOOKUP(OPERAC[[#This Row],[COD CART]],[1]!MatrizCortoLargoCyl[#All],3,0),"")</f>
        <v/>
      </c>
      <c r="F1675" t="inlineStr">
        <is>
          <t>GMBL/CYL-PUT/2,50/20-01-23</t>
        </is>
      </c>
      <c r="G1675" t="n">
        <v>600</v>
      </c>
      <c r="H1675" t="n">
        <v>-609.6262999999999</v>
      </c>
      <c r="I1675">
        <f>-H3054/G3054</f>
        <v/>
      </c>
      <c r="J1675" s="16" t="n">
        <v>44636</v>
      </c>
      <c r="K1675" t="n">
        <v>600</v>
      </c>
      <c r="L1675">
        <f>-1.36*OPERAC[[#This Row],[cantidad venta]]</f>
        <v/>
      </c>
    </row>
    <row r="1676">
      <c r="A1676" t="n">
        <v>6578</v>
      </c>
      <c r="B1676" s="16" t="n">
        <v>44587</v>
      </c>
      <c r="C1676" t="inlineStr">
        <is>
          <t>CPR</t>
        </is>
      </c>
      <c r="D1676" t="n">
        <v>40</v>
      </c>
      <c r="E1676">
        <f>IF(D3668&gt;0,VLOOKUP(OPERAC[[#This Row],[COD CART]],[1]!MatrizCortoLargoCyl[#All],3,0),"")</f>
        <v/>
      </c>
      <c r="F1676" t="inlineStr">
        <is>
          <t>AAPL</t>
        </is>
      </c>
      <c r="G1676" t="n">
        <v>5</v>
      </c>
      <c r="H1676" t="n">
        <v>-820.2721</v>
      </c>
      <c r="I1676">
        <f>-H3668/G3668</f>
        <v/>
      </c>
      <c r="J1676" s="16" t="n">
        <v>44601</v>
      </c>
      <c r="K1676" t="n">
        <v>5</v>
      </c>
      <c r="L1676">
        <f>175.66*OPERAC[[#This Row],[cantidad venta]]</f>
        <v/>
      </c>
    </row>
    <row r="1677">
      <c r="A1677" t="n">
        <v>6578</v>
      </c>
      <c r="B1677" s="16" t="n">
        <v>44587</v>
      </c>
      <c r="C1677" t="inlineStr">
        <is>
          <t>CPR</t>
        </is>
      </c>
      <c r="D1677" t="n">
        <v>40</v>
      </c>
      <c r="E1677">
        <f>IF(D4978&gt;0,VLOOKUP(OPERAC[[#This Row],[COD CART]],[1]!MatrizCortoLargoCyl[#All],3,0),"")</f>
        <v/>
      </c>
      <c r="F1677" t="inlineStr">
        <is>
          <t>MSFT</t>
        </is>
      </c>
      <c r="G1677" t="n">
        <v>5</v>
      </c>
      <c r="H1677" t="n">
        <v>-1517.0563</v>
      </c>
      <c r="I1677">
        <f>-H4978/G4978</f>
        <v/>
      </c>
      <c r="J1677" s="16" t="n">
        <v>44606</v>
      </c>
      <c r="K1677">
        <f>+OPERAC[[#This Row],[cantidad]]</f>
        <v/>
      </c>
      <c r="L1677">
        <f>+OPERAC[[#This Row],[cantidad venta]]*290.091</f>
        <v/>
      </c>
    </row>
    <row r="1678">
      <c r="A1678" t="n">
        <v>6578</v>
      </c>
      <c r="B1678" s="16" t="n">
        <v>44587</v>
      </c>
      <c r="C1678" t="inlineStr">
        <is>
          <t>VTA</t>
        </is>
      </c>
      <c r="D1678" t="n">
        <v>39</v>
      </c>
      <c r="E1678">
        <f>IF(D171&gt;0,VLOOKUP(OPERAC[[#This Row],[COD CART]],[1]!MatrizCortoLargoCyl[#All],3,0),"")</f>
        <v/>
      </c>
      <c r="F1678" t="inlineStr">
        <is>
          <t>ROKU/V/155,00/04-02-22</t>
        </is>
      </c>
      <c r="G1678" t="n">
        <v>-300</v>
      </c>
      <c r="H1678" t="n">
        <v>2381.988</v>
      </c>
      <c r="I1678">
        <f>-H171/G171</f>
        <v/>
      </c>
      <c r="J1678" s="16" t="n">
        <v>44592</v>
      </c>
      <c r="K1678">
        <f>+OPERAC[[#This Row],[cantidad]]</f>
        <v/>
      </c>
      <c r="L1678" t="n">
        <v>-1074.6942</v>
      </c>
    </row>
    <row r="1679">
      <c r="A1679" t="n">
        <v>6578</v>
      </c>
      <c r="B1679" s="16" t="n">
        <v>44587</v>
      </c>
      <c r="C1679" t="inlineStr">
        <is>
          <t>VTA</t>
        </is>
      </c>
      <c r="D1679" t="n">
        <v>39</v>
      </c>
      <c r="E1679">
        <f>IF(D238&gt;0,VLOOKUP(OPERAC[[#This Row],[COD CART]],[1]!MatrizCortoLargoCyl[#All],3,0),"")</f>
        <v/>
      </c>
      <c r="F1679" t="inlineStr">
        <is>
          <t>TSLA/V/710,00/28-01-22</t>
        </is>
      </c>
      <c r="G1679" t="n">
        <v>-2000</v>
      </c>
      <c r="H1679" t="n">
        <v>1859.68</v>
      </c>
      <c r="I1679">
        <f>-H238/G238</f>
        <v/>
      </c>
      <c r="J1679" s="16" t="n">
        <v>44589</v>
      </c>
      <c r="K1679" t="n">
        <v>-2000</v>
      </c>
      <c r="L1679" t="n">
        <v>-60.48</v>
      </c>
    </row>
    <row r="1680">
      <c r="A1680" t="n">
        <v>6578</v>
      </c>
      <c r="B1680" s="16" t="n">
        <v>44592</v>
      </c>
      <c r="C1680" t="inlineStr">
        <is>
          <t>VTA</t>
        </is>
      </c>
      <c r="D1680" t="n">
        <v>39</v>
      </c>
      <c r="E1680">
        <f>IF(D490&gt;0,VLOOKUP(OPERAC[[#This Row],[COD CART]],[1]!MatrizCortoLargoCyl[#All],3,0),"")</f>
        <v/>
      </c>
      <c r="F1680" t="inlineStr">
        <is>
          <t>ROKU/V/150,00/11-02-22</t>
        </is>
      </c>
      <c r="G1680" t="n">
        <v>-200</v>
      </c>
      <c r="H1680" t="n">
        <v>951.528</v>
      </c>
      <c r="I1680">
        <f>-H490/G490</f>
        <v/>
      </c>
      <c r="J1680" s="16" t="n">
        <v>44601</v>
      </c>
      <c r="K1680">
        <f>+OPERAC[[#This Row],[cantidad]]</f>
        <v/>
      </c>
      <c r="L1680">
        <f>0.67*OPERAC[[#This Row],[cantidad venta]]</f>
        <v/>
      </c>
    </row>
    <row r="1681">
      <c r="A1681" t="n">
        <v>6578</v>
      </c>
      <c r="B1681" s="16" t="n">
        <v>44599</v>
      </c>
      <c r="C1681" t="inlineStr">
        <is>
          <t>CPR</t>
        </is>
      </c>
      <c r="D1681" t="n">
        <v>40</v>
      </c>
      <c r="E1681">
        <f>IF(D5651&gt;0,VLOOKUP(OPERAC[[#This Row],[COD CART]],[1]!MatrizCortoLargoCyl[#All],3,0),"")</f>
        <v/>
      </c>
      <c r="F1681" t="inlineStr">
        <is>
          <t>FB</t>
        </is>
      </c>
      <c r="G1681" t="n">
        <v>10</v>
      </c>
      <c r="H1681" t="n">
        <v>-2384.6</v>
      </c>
      <c r="I1681">
        <f>-H5651/G5651</f>
        <v/>
      </c>
      <c r="J1681" s="16" t="n">
        <v>44616</v>
      </c>
      <c r="K1681">
        <f>+OPERAC[[#This Row],[cantidad]]</f>
        <v/>
      </c>
      <c r="L1681">
        <f>200.299*OPERAC[[#This Row],[cantidad venta]]</f>
        <v/>
      </c>
    </row>
    <row r="1682">
      <c r="A1682" t="n">
        <v>6578</v>
      </c>
      <c r="B1682" s="16" t="n">
        <v>44601</v>
      </c>
      <c r="C1682" t="inlineStr">
        <is>
          <t>VTA</t>
        </is>
      </c>
      <c r="D1682" t="n">
        <v>39</v>
      </c>
      <c r="E1682">
        <f>IF(D1231&gt;0,VLOOKUP(OPERAC[[#This Row],[COD CART]],[1]!MatrizCortoLargoCyl[#All],3,0),"")</f>
        <v/>
      </c>
      <c r="F1682" t="inlineStr">
        <is>
          <t>ACB/V/5,00/16-09-22</t>
        </is>
      </c>
      <c r="G1682" t="n">
        <v>-3</v>
      </c>
      <c r="H1682">
        <f>-1.56*OPERAC[[#This Row],[cantidad]]</f>
        <v/>
      </c>
      <c r="I1682">
        <f>-H1231/G1231</f>
        <v/>
      </c>
      <c r="J1682" s="16" t="n">
        <v>44624</v>
      </c>
      <c r="K1682" t="n">
        <v>-3</v>
      </c>
      <c r="L1682" t="n">
        <v>-6.5226</v>
      </c>
    </row>
    <row r="1683">
      <c r="A1683" t="n">
        <v>6578</v>
      </c>
      <c r="B1683" s="16" t="n">
        <v>44607</v>
      </c>
      <c r="C1683" t="inlineStr">
        <is>
          <t>VTA</t>
        </is>
      </c>
      <c r="D1683" t="n">
        <v>32</v>
      </c>
      <c r="E1683">
        <f>IF(D5026&gt;0,VLOOKUP(OPERAC[[#This Row],[COD CART]],[1]!MatrizCortoLargoCyl[#All],3,0),"")</f>
        <v/>
      </c>
      <c r="F1683" t="inlineStr">
        <is>
          <t>DDD/CYL/16,00/18-03-22</t>
        </is>
      </c>
      <c r="G1683" t="n">
        <v>100</v>
      </c>
      <c r="H1683" t="n">
        <v>-1552.775</v>
      </c>
      <c r="I1683">
        <f>-H5026/G5026</f>
        <v/>
      </c>
      <c r="J1683" s="16" t="n">
        <v>44638</v>
      </c>
      <c r="K1683" t="n">
        <v>100</v>
      </c>
      <c r="L1683">
        <f>15.866*OPERAC[[#This Row],[cantidad venta]]</f>
        <v/>
      </c>
    </row>
    <row r="1684">
      <c r="A1684" t="n">
        <v>6578</v>
      </c>
      <c r="B1684" s="16" t="n">
        <v>44607</v>
      </c>
      <c r="C1684" t="inlineStr">
        <is>
          <t>VTA</t>
        </is>
      </c>
      <c r="D1684" t="n">
        <v>32</v>
      </c>
      <c r="E1684">
        <f>IF(D5083&gt;0,VLOOKUP(OPERAC[[#This Row],[COD CART]],[1]!MatrizCortoLargoCyl[#All],3,0),"")</f>
        <v/>
      </c>
      <c r="F1684" t="inlineStr">
        <is>
          <t>DDD/CYL/17,00/01-04-22</t>
        </is>
      </c>
      <c r="G1684" t="n">
        <v>100</v>
      </c>
      <c r="H1684">
        <f>-1620.23+19.7+16.45</f>
        <v/>
      </c>
      <c r="I1684">
        <f>-H5083/G5083</f>
        <v/>
      </c>
      <c r="J1684" s="16" t="n">
        <v>44649</v>
      </c>
      <c r="K1684" t="n">
        <v>100</v>
      </c>
      <c r="L1684" t="n">
        <v>1661.98</v>
      </c>
    </row>
    <row r="1685">
      <c r="A1685" t="n">
        <v>6578</v>
      </c>
      <c r="B1685" s="16" t="n">
        <v>44607</v>
      </c>
      <c r="C1685" t="inlineStr">
        <is>
          <t>VTA</t>
        </is>
      </c>
      <c r="D1685" t="n">
        <v>32</v>
      </c>
      <c r="E1685">
        <f>IF(D5261&gt;0,VLOOKUP(OPERAC[[#This Row],[COD CART]],[1]!MatrizCortoLargoCyl[#All],3,0),"")</f>
        <v/>
      </c>
      <c r="F1685" t="inlineStr">
        <is>
          <t>F/CYL/18,00/16-09-22</t>
        </is>
      </c>
      <c r="G1685" t="n">
        <v>100</v>
      </c>
      <c r="H1685">
        <f>-1719.296+2.384+19.88</f>
        <v/>
      </c>
      <c r="I1685">
        <f>-H5261/G5261</f>
        <v/>
      </c>
    </row>
    <row r="1686">
      <c r="A1686" t="n">
        <v>6578</v>
      </c>
      <c r="B1686" s="16" t="n">
        <v>44608</v>
      </c>
      <c r="C1686" t="inlineStr">
        <is>
          <t>VTA</t>
        </is>
      </c>
      <c r="D1686" t="n">
        <v>39</v>
      </c>
      <c r="E1686">
        <f>IF(D965&gt;0,VLOOKUP(OPERAC[[#This Row],[COD CART]],[1]!MatrizCortoLargoCyl[#All],3,0),"")</f>
        <v/>
      </c>
      <c r="F1686" t="inlineStr">
        <is>
          <t>SOLO/V/3,00/18-03-22</t>
        </is>
      </c>
      <c r="G1686" t="n">
        <v>-100</v>
      </c>
      <c r="H1686" t="n">
        <v>85.504</v>
      </c>
      <c r="I1686">
        <f>-H965/G965</f>
        <v/>
      </c>
      <c r="J1686" s="16" t="n">
        <v>44614</v>
      </c>
      <c r="K1686">
        <f>+OPERAC[[#This Row],[cantidad]]</f>
        <v/>
      </c>
      <c r="L1686">
        <f>+OPERAC[[#This Row],[cantidad venta]]*1.113</f>
        <v/>
      </c>
    </row>
    <row r="1687">
      <c r="A1687" t="n">
        <v>6578</v>
      </c>
      <c r="B1687" s="16" t="n">
        <v>44608</v>
      </c>
      <c r="C1687" t="inlineStr">
        <is>
          <t>VTA</t>
        </is>
      </c>
      <c r="D1687" t="n">
        <v>40</v>
      </c>
      <c r="E1687">
        <f>IF(D2840&gt;0,VLOOKUP(OPERAC[[#This Row],[COD CART]],[1]!MatrizCortoLargoCyl[#All],3,0),"")</f>
        <v/>
      </c>
      <c r="F1687" t="inlineStr">
        <is>
          <t>NVDA</t>
        </is>
      </c>
      <c r="G1687" t="n">
        <v>2</v>
      </c>
      <c r="H1687" t="n">
        <v>-527.0279999999999</v>
      </c>
      <c r="I1687">
        <f>-H2840/G2840</f>
        <v/>
      </c>
      <c r="J1687" s="16" t="n">
        <v>44616</v>
      </c>
      <c r="K1687">
        <f>+OPERAC[[#This Row],[cantidad]]</f>
        <v/>
      </c>
      <c r="L1687">
        <f>+OPERAC[[#This Row],[cantidad venta]]*224.117</f>
        <v/>
      </c>
    </row>
    <row r="1688">
      <c r="A1688" t="n">
        <v>6578</v>
      </c>
      <c r="B1688" s="16" t="n">
        <v>44614</v>
      </c>
      <c r="C1688" t="inlineStr">
        <is>
          <t>VTA</t>
        </is>
      </c>
      <c r="D1688" t="n">
        <v>39</v>
      </c>
      <c r="E1688">
        <f>IF(D959&gt;0,VLOOKUP(OPERAC[[#This Row],[COD CART]],[1]!MatrizCortoLargoCyl[#All],3,0),"")</f>
        <v/>
      </c>
      <c r="F1688" t="inlineStr">
        <is>
          <t>DDD/V/15,00/19-01-24</t>
        </is>
      </c>
      <c r="G1688" t="n">
        <v>-20</v>
      </c>
      <c r="H1688" t="n">
        <v>89.19</v>
      </c>
      <c r="I1688">
        <f>-H959/G959</f>
        <v/>
      </c>
    </row>
    <row r="1689">
      <c r="A1689" t="n">
        <v>6578</v>
      </c>
      <c r="B1689" s="16" t="n">
        <v>44614</v>
      </c>
      <c r="C1689" t="inlineStr">
        <is>
          <t>VTA</t>
        </is>
      </c>
      <c r="D1689" t="n">
        <v>39</v>
      </c>
      <c r="E1689">
        <f>IF(D1004&gt;0,VLOOKUP(OPERAC[[#This Row],[COD CART]],[1]!MatrizCortoLargoCyl[#All],3,0),"")</f>
        <v/>
      </c>
      <c r="F1689" t="inlineStr">
        <is>
          <t>MELI/V/500,00/19-01-24</t>
        </is>
      </c>
      <c r="G1689" t="n">
        <v>-1</v>
      </c>
      <c r="H1689" t="n">
        <v>64.48</v>
      </c>
      <c r="I1689">
        <f>-H1004/G1004</f>
        <v/>
      </c>
    </row>
    <row r="1690">
      <c r="A1690" t="n">
        <v>6578</v>
      </c>
      <c r="B1690" s="16" t="n">
        <v>44615</v>
      </c>
      <c r="C1690" t="inlineStr">
        <is>
          <t>VTA</t>
        </is>
      </c>
      <c r="D1690" t="n">
        <v>39</v>
      </c>
      <c r="E1690">
        <f>IF(D1060&gt;0,VLOOKUP(OPERAC[[#This Row],[COD CART]],[1]!MatrizCortoLargoCyl[#All],3,0),"")</f>
        <v/>
      </c>
      <c r="F1690" t="inlineStr">
        <is>
          <t>TLRY/V/5,00/20-01-23</t>
        </is>
      </c>
      <c r="G1690" t="n">
        <v>-30</v>
      </c>
      <c r="H1690" t="n">
        <v>38.6</v>
      </c>
      <c r="I1690">
        <f>-H1060/G1060</f>
        <v/>
      </c>
    </row>
    <row r="1691">
      <c r="A1691" t="n">
        <v>6578</v>
      </c>
      <c r="B1691" s="16" t="n">
        <v>44616</v>
      </c>
      <c r="C1691" t="inlineStr">
        <is>
          <t>CPR</t>
        </is>
      </c>
      <c r="D1691" t="n">
        <v>32</v>
      </c>
      <c r="E1691">
        <f>IF(D4312&gt;0,VLOOKUP(OPERAC[[#This Row],[COD CART]],[1]!MatrizCortoLargoCyl[#All],3,0),"")</f>
        <v/>
      </c>
      <c r="F1691" t="inlineStr">
        <is>
          <t>PLTR/CYL/12,00/14-04-22</t>
        </is>
      </c>
      <c r="G1691" t="n">
        <v>100</v>
      </c>
      <c r="H1691" t="n">
        <v>-1052.7265</v>
      </c>
      <c r="I1691">
        <f>-H4312/G4312</f>
        <v/>
      </c>
      <c r="J1691" s="16" t="n">
        <v>44643</v>
      </c>
      <c r="K1691" t="n">
        <v>100</v>
      </c>
      <c r="L1691" t="n">
        <v>1146.72</v>
      </c>
    </row>
    <row r="1692">
      <c r="A1692" t="n">
        <v>6578</v>
      </c>
      <c r="B1692" s="16" t="n">
        <v>44621</v>
      </c>
      <c r="C1692" t="inlineStr">
        <is>
          <t>VTA</t>
        </is>
      </c>
      <c r="D1692" t="n">
        <v>39</v>
      </c>
      <c r="E1692">
        <f>IF(D982&gt;0,VLOOKUP(OPERAC[[#This Row],[COD CART]],[1]!MatrizCortoLargoCyl[#All],3,0),"")</f>
        <v/>
      </c>
      <c r="F1692" t="inlineStr">
        <is>
          <t>SPWR/V/17,00/20-01-23</t>
        </is>
      </c>
      <c r="G1692" t="n">
        <v>-20</v>
      </c>
      <c r="H1692" t="n">
        <v>76.3</v>
      </c>
      <c r="I1692">
        <f>-H982/G982</f>
        <v/>
      </c>
    </row>
    <row r="1693">
      <c r="A1693" t="n">
        <v>6578</v>
      </c>
      <c r="B1693" s="16" t="n">
        <v>44622</v>
      </c>
      <c r="C1693" t="inlineStr">
        <is>
          <t>CPR</t>
        </is>
      </c>
      <c r="D1693" t="n">
        <v>32</v>
      </c>
      <c r="E1693">
        <f>IF(D2573&gt;0,VLOOKUP(OPERAC[[#This Row],[COD CART]],[1]!MatrizCortoLargoCyl[#All],3,0),"")</f>
        <v/>
      </c>
      <c r="F1693" t="inlineStr">
        <is>
          <t>HMY/CYL/5,00/18-03-22</t>
        </is>
      </c>
      <c r="G1693" t="n">
        <v>100</v>
      </c>
      <c r="H1693" t="n">
        <v>-468.532</v>
      </c>
      <c r="I1693">
        <f>-H2573/G2573</f>
        <v/>
      </c>
      <c r="J1693" s="16" t="n">
        <v>44637</v>
      </c>
      <c r="K1693">
        <f>+OPERAC[[#This Row],[cantidad]]</f>
        <v/>
      </c>
      <c r="L1693">
        <f>4.85553*OPERAC[[#This Row],[cantidad venta]]</f>
        <v/>
      </c>
    </row>
    <row r="1694">
      <c r="A1694" t="n">
        <v>6578</v>
      </c>
      <c r="B1694" s="16" t="n">
        <v>44628</v>
      </c>
      <c r="C1694" t="inlineStr">
        <is>
          <t>VTA</t>
        </is>
      </c>
      <c r="D1694" t="n">
        <v>40</v>
      </c>
      <c r="E1694">
        <f>IF(D3758&gt;0,VLOOKUP(OPERAC[[#This Row],[COD CART]],[1]!MatrizCortoLargoCyl[#All],3,0),"")</f>
        <v/>
      </c>
      <c r="F1694" t="inlineStr">
        <is>
          <t>CVV</t>
        </is>
      </c>
      <c r="G1694" t="n">
        <v>200</v>
      </c>
      <c r="H1694" t="n">
        <v>-844.8976</v>
      </c>
      <c r="I1694">
        <f>-H3758/G3758</f>
        <v/>
      </c>
      <c r="J1694" s="16" t="n">
        <v>44649</v>
      </c>
      <c r="K1694">
        <f>+OPERAC[[#This Row],[cantidad]]</f>
        <v/>
      </c>
      <c r="L1694">
        <f>+OPERAC[[#This Row],[cantidad venta]]*4.459</f>
        <v/>
      </c>
    </row>
    <row r="1695">
      <c r="A1695" t="n">
        <v>6578</v>
      </c>
      <c r="B1695" s="16" t="n">
        <v>44634</v>
      </c>
      <c r="C1695" t="inlineStr">
        <is>
          <t>CPR</t>
        </is>
      </c>
      <c r="D1695" t="n">
        <v>42</v>
      </c>
      <c r="E1695">
        <f>IF(D6085&gt;0,VLOOKUP(OPERAC[[#This Row],[COD CART]],[1]!MatrizCortoLargoCyl[#All],3,0),"")</f>
        <v/>
      </c>
      <c r="F1695" t="inlineStr">
        <is>
          <t>INO</t>
        </is>
      </c>
      <c r="G1695" t="n">
        <v>1200</v>
      </c>
      <c r="H1695" t="n">
        <v>-3984.9792</v>
      </c>
      <c r="I1695">
        <f>-H6085/G6085</f>
        <v/>
      </c>
      <c r="J1695" s="16" t="n">
        <v>44634</v>
      </c>
      <c r="K1695" t="n">
        <v>1200</v>
      </c>
      <c r="L1695" t="n">
        <v>3586.626</v>
      </c>
    </row>
    <row r="1696">
      <c r="A1696" t="n">
        <v>6578</v>
      </c>
      <c r="B1696" s="16" t="n">
        <v>44636</v>
      </c>
      <c r="C1696" t="inlineStr">
        <is>
          <t>VTA</t>
        </is>
      </c>
      <c r="D1696" t="n">
        <v>43</v>
      </c>
      <c r="E1696">
        <f>IF(D2067&gt;0,VLOOKUP(OPERAC[[#This Row],[COD CART]],[1]!MatrizCortoLargoCyl[#All],3,0),"")</f>
        <v/>
      </c>
      <c r="F1696" t="inlineStr">
        <is>
          <t>GMBL/CYL-PUT/1,00/20-01-23</t>
        </is>
      </c>
      <c r="G1696" t="n">
        <v>2000</v>
      </c>
      <c r="H1696" t="n">
        <v>-326.7773000000002</v>
      </c>
      <c r="I1696">
        <f>-H2067/G2067</f>
        <v/>
      </c>
    </row>
    <row r="1697">
      <c r="A1697" t="n">
        <v>6578</v>
      </c>
      <c r="B1697" s="16" t="n">
        <v>44637</v>
      </c>
      <c r="C1697" t="inlineStr">
        <is>
          <t>VTA</t>
        </is>
      </c>
      <c r="D1697" t="n">
        <v>43</v>
      </c>
      <c r="E1697">
        <f>IF(D1329&gt;0,VLOOKUP(OPERAC[[#This Row],[COD CART]],[1]!MatrizCortoLargoCyl[#All],3,0),"")</f>
        <v/>
      </c>
      <c r="F1697" t="inlineStr">
        <is>
          <t>GMBL/CYL-PUT/1,00/20-01-23</t>
        </is>
      </c>
      <c r="G1697" t="n">
        <v>500</v>
      </c>
      <c r="H1697" t="n">
        <v>-103.91588</v>
      </c>
      <c r="I1697">
        <f>-H1329/G1329</f>
        <v/>
      </c>
    </row>
    <row r="1698">
      <c r="A1698" t="n">
        <v>6578</v>
      </c>
      <c r="B1698" s="16" t="n">
        <v>44641</v>
      </c>
      <c r="C1698" t="inlineStr">
        <is>
          <t>CPR</t>
        </is>
      </c>
      <c r="D1698" t="n">
        <v>42</v>
      </c>
      <c r="E1698">
        <f>IF(D3340&gt;0,VLOOKUP(OPERAC[[#This Row],[COD CART]],[1]!MatrizCortoLargoCyl[#All],3,0),"")</f>
        <v/>
      </c>
      <c r="F1698" t="inlineStr">
        <is>
          <t>DIS</t>
        </is>
      </c>
      <c r="G1698" t="n">
        <v>5</v>
      </c>
      <c r="H1698" t="n">
        <v>-696.356</v>
      </c>
      <c r="I1698">
        <f>-H3340/G3340</f>
        <v/>
      </c>
      <c r="J1698" s="16" t="n">
        <v>44671</v>
      </c>
      <c r="K1698">
        <f>+OPERAC[[#This Row],[cantidad]]</f>
        <v/>
      </c>
      <c r="L1698">
        <f>+OPERAC[[#This Row],[cantidad venta]]*123.621</f>
        <v/>
      </c>
    </row>
    <row r="1699">
      <c r="A1699" t="n">
        <v>6578</v>
      </c>
      <c r="B1699" s="16" t="n">
        <v>44641</v>
      </c>
      <c r="C1699" t="inlineStr">
        <is>
          <t>CPR</t>
        </is>
      </c>
      <c r="D1699" t="n">
        <v>32</v>
      </c>
      <c r="E1699">
        <f>IF(D5674&gt;0,VLOOKUP(OPERAC[[#This Row],[COD CART]],[1]!MatrizCortoLargoCyl[#All],3,0),"")</f>
        <v/>
      </c>
      <c r="F1699" t="inlineStr">
        <is>
          <t>LAC/CYL/25,00/14-04-22</t>
        </is>
      </c>
      <c r="G1699" t="n">
        <v>100</v>
      </c>
      <c r="H1699" t="n">
        <v>-2453.918</v>
      </c>
      <c r="I1699">
        <f>-H5674/G5674</f>
        <v/>
      </c>
      <c r="J1699" s="16" t="n">
        <v>44644</v>
      </c>
      <c r="K1699">
        <f>+OPERAC[[#This Row],[cantidad]]</f>
        <v/>
      </c>
      <c r="L1699" t="n">
        <v>2485.061</v>
      </c>
    </row>
    <row r="1700">
      <c r="A1700" t="n">
        <v>6578</v>
      </c>
      <c r="B1700" s="16" t="n">
        <v>44641</v>
      </c>
      <c r="C1700" t="inlineStr">
        <is>
          <t>VTA</t>
        </is>
      </c>
      <c r="D1700" t="n">
        <v>42</v>
      </c>
      <c r="E1700">
        <f>IF(D2870&gt;0,VLOOKUP(OPERAC[[#This Row],[COD CART]],[1]!MatrizCortoLargoCyl[#All],3,0),"")</f>
        <v/>
      </c>
      <c r="F1700" t="inlineStr">
        <is>
          <t>SMH</t>
        </is>
      </c>
      <c r="G1700" t="n">
        <v>2</v>
      </c>
      <c r="H1700" t="n">
        <v>-537.9153000000001</v>
      </c>
      <c r="I1700">
        <f>-H2870/G2870</f>
        <v/>
      </c>
      <c r="J1700" s="16" t="n">
        <v>44663</v>
      </c>
      <c r="K1700">
        <f>+OPERAC[[#This Row],[cantidad]]</f>
        <v/>
      </c>
      <c r="L1700">
        <f>+OPERAC[[#This Row],[cantidad venta]]*238.066</f>
        <v/>
      </c>
    </row>
    <row r="1701">
      <c r="A1701" t="n">
        <v>6578</v>
      </c>
      <c r="B1701" s="16" t="n">
        <v>44641</v>
      </c>
      <c r="C1701" t="inlineStr">
        <is>
          <t>VTA</t>
        </is>
      </c>
      <c r="D1701" t="n">
        <v>42</v>
      </c>
      <c r="E1701">
        <f>IF(D3726&gt;0,VLOOKUP(OPERAC[[#This Row],[COD CART]],[1]!MatrizCortoLargoCyl[#All],3,0),"")</f>
        <v/>
      </c>
      <c r="F1701" t="inlineStr">
        <is>
          <t>JPM</t>
        </is>
      </c>
      <c r="G1701" t="n">
        <v>6</v>
      </c>
      <c r="H1701" t="n">
        <v>-842.7260400000001</v>
      </c>
      <c r="I1701">
        <f>-H3726/G3726</f>
        <v/>
      </c>
      <c r="J1701" s="16" t="n">
        <v>44664</v>
      </c>
      <c r="K1701">
        <f>+OPERAC[[#This Row],[cantidad]]</f>
        <v/>
      </c>
      <c r="L1701">
        <f>+OPERAC[[#This Row],[cantidad venta]]*125.943</f>
        <v/>
      </c>
    </row>
    <row r="1702">
      <c r="A1702" t="n">
        <v>6578</v>
      </c>
      <c r="B1702" s="16" t="n">
        <v>44641</v>
      </c>
      <c r="C1702" t="inlineStr">
        <is>
          <t>VTA</t>
        </is>
      </c>
      <c r="D1702" t="n">
        <v>42</v>
      </c>
      <c r="E1702">
        <f>IF(D3774&gt;0,VLOOKUP(OPERAC[[#This Row],[COD CART]],[1]!MatrizCortoLargoCyl[#All],3,0),"")</f>
        <v/>
      </c>
      <c r="F1702" t="inlineStr">
        <is>
          <t>FB</t>
        </is>
      </c>
      <c r="G1702" t="n">
        <v>4</v>
      </c>
      <c r="H1702" t="n">
        <v>-848.6255200000001</v>
      </c>
      <c r="I1702">
        <f>-H3774/G3774</f>
        <v/>
      </c>
      <c r="J1702" s="16" t="n">
        <v>44671</v>
      </c>
      <c r="K1702">
        <f>+OPERAC[[#This Row],[cantidad]]</f>
        <v/>
      </c>
      <c r="L1702">
        <f>+OPERAC[[#This Row],[cantidad venta]]*213.173</f>
        <v/>
      </c>
    </row>
    <row r="1703">
      <c r="A1703" t="n">
        <v>6578</v>
      </c>
      <c r="B1703" s="16" t="n">
        <v>44641</v>
      </c>
      <c r="C1703" t="inlineStr">
        <is>
          <t>VTA</t>
        </is>
      </c>
      <c r="D1703" t="n">
        <v>32</v>
      </c>
      <c r="E1703">
        <f>IF(D5459&gt;0,VLOOKUP(OPERAC[[#This Row],[COD CART]],[1]!MatrizCortoLargoCyl[#All],3,0),"")</f>
        <v/>
      </c>
      <c r="F1703" t="inlineStr">
        <is>
          <t>HMY</t>
        </is>
      </c>
      <c r="G1703" t="n">
        <v>400</v>
      </c>
      <c r="H1703" t="n">
        <v>-1903.6156</v>
      </c>
      <c r="I1703">
        <f>-H5459/G5459</f>
        <v/>
      </c>
      <c r="J1703" s="16" t="n">
        <v>44669</v>
      </c>
      <c r="K1703">
        <f>+OPERAC[[#This Row],[cantidad]]</f>
        <v/>
      </c>
      <c r="L1703">
        <f>4.925*OPERAC[[#This Row],[cantidad venta]]</f>
        <v/>
      </c>
    </row>
    <row r="1704">
      <c r="A1704" t="n">
        <v>6578</v>
      </c>
      <c r="B1704" s="16" t="n">
        <v>44643</v>
      </c>
      <c r="C1704" t="inlineStr">
        <is>
          <t>VTA</t>
        </is>
      </c>
      <c r="D1704" t="n">
        <v>42</v>
      </c>
      <c r="E1704">
        <f>IF(D1790&gt;0,VLOOKUP(OPERAC[[#This Row],[COD CART]],[1]!MatrizCortoLargoCyl[#All],3,0),"")</f>
        <v/>
      </c>
      <c r="F1704" t="inlineStr">
        <is>
          <t>SMH</t>
        </is>
      </c>
      <c r="G1704" t="n">
        <v>1</v>
      </c>
      <c r="H1704" t="n">
        <v>-267.162898</v>
      </c>
      <c r="I1704">
        <f>-H1790/G1790</f>
        <v/>
      </c>
      <c r="J1704" s="16" t="n">
        <v>44663</v>
      </c>
      <c r="K1704">
        <f>+OPERAC[[#This Row],[cantidad]]</f>
        <v/>
      </c>
      <c r="L1704">
        <f>+OPERAC[[#This Row],[cantidad venta]]*238.066</f>
        <v/>
      </c>
    </row>
    <row r="1705">
      <c r="A1705" t="n">
        <v>6578</v>
      </c>
      <c r="B1705" s="16" t="n">
        <v>44643</v>
      </c>
      <c r="C1705" t="inlineStr">
        <is>
          <t>VTA</t>
        </is>
      </c>
      <c r="D1705" t="n">
        <v>42</v>
      </c>
      <c r="E1705">
        <f>IF(D3716&gt;0,VLOOKUP(OPERAC[[#This Row],[COD CART]],[1]!MatrizCortoLargoCyl[#All],3,0),"")</f>
        <v/>
      </c>
      <c r="F1705" t="inlineStr">
        <is>
          <t>ADBE</t>
        </is>
      </c>
      <c r="G1705" t="n">
        <v>2</v>
      </c>
      <c r="H1705" t="n">
        <v>-842.10955</v>
      </c>
      <c r="I1705">
        <f>-H3716/G3716</f>
        <v/>
      </c>
      <c r="J1705" s="16" t="n">
        <v>44687</v>
      </c>
      <c r="K1705">
        <f>+OPERAC[[#This Row],[cantidad]]</f>
        <v/>
      </c>
      <c r="L1705" t="n">
        <v>772.84</v>
      </c>
    </row>
    <row r="1706">
      <c r="A1706" t="n">
        <v>6578</v>
      </c>
      <c r="B1706" s="16" t="n">
        <v>44644</v>
      </c>
      <c r="C1706" t="inlineStr">
        <is>
          <t>CPR</t>
        </is>
      </c>
      <c r="D1706" t="n">
        <v>32</v>
      </c>
      <c r="E1706">
        <f>IF(D5928&gt;0,VLOOKUP(OPERAC[[#This Row],[COD CART]],[1]!MatrizCortoLargoCyl[#All],3,0),"")</f>
        <v/>
      </c>
      <c r="F1706" t="inlineStr">
        <is>
          <t>LAC</t>
        </is>
      </c>
      <c r="G1706" t="n">
        <v>100</v>
      </c>
      <c r="H1706">
        <f>-3262.4185+183.428</f>
        <v/>
      </c>
      <c r="I1706">
        <f>-H5928/G5928</f>
        <v/>
      </c>
      <c r="J1706" s="16" t="n">
        <v>44704</v>
      </c>
      <c r="K1706" t="n">
        <v>100</v>
      </c>
      <c r="L1706" t="n">
        <v>2441.073</v>
      </c>
    </row>
    <row r="1707">
      <c r="A1707" t="n">
        <v>6578</v>
      </c>
      <c r="B1707" s="16" t="n">
        <v>44649</v>
      </c>
      <c r="C1707" t="inlineStr">
        <is>
          <t>CPR</t>
        </is>
      </c>
      <c r="D1707" t="n">
        <v>32</v>
      </c>
      <c r="E1707">
        <f>IF(D3688&gt;0,VLOOKUP(OPERAC[[#This Row],[COD CART]],[1]!MatrizCortoLargoCyl[#All],3,0),"")</f>
        <v/>
      </c>
      <c r="F1707" t="inlineStr">
        <is>
          <t>ARLO</t>
        </is>
      </c>
      <c r="G1707" t="n">
        <v>100</v>
      </c>
      <c r="H1707" t="n">
        <v>-827.412</v>
      </c>
      <c r="I1707">
        <f>-H3688/G3688</f>
        <v/>
      </c>
      <c r="J1707" s="16" t="n">
        <v>44704</v>
      </c>
      <c r="K1707" t="n">
        <v>100</v>
      </c>
      <c r="L1707" t="n">
        <v>660.627</v>
      </c>
    </row>
    <row r="1708">
      <c r="A1708" t="n">
        <v>6578</v>
      </c>
      <c r="B1708" s="16" t="n">
        <v>44649</v>
      </c>
      <c r="C1708" t="inlineStr">
        <is>
          <t>VTA</t>
        </is>
      </c>
      <c r="D1708" t="n">
        <v>42</v>
      </c>
      <c r="E1708">
        <f>IF(D3957&gt;0,VLOOKUP(OPERAC[[#This Row],[COD CART]],[1]!MatrizCortoLargoCyl[#All],3,0),"")</f>
        <v/>
      </c>
      <c r="F1708" t="inlineStr">
        <is>
          <t>CRESY</t>
        </is>
      </c>
      <c r="G1708" t="n">
        <v>110</v>
      </c>
      <c r="H1708" t="n">
        <v>-890.1402399999999</v>
      </c>
      <c r="I1708">
        <f>-H3957/G3957</f>
        <v/>
      </c>
      <c r="J1708" s="16" t="n">
        <v>44657</v>
      </c>
      <c r="K1708">
        <f>+OPERAC[[#This Row],[cantidad]]</f>
        <v/>
      </c>
      <c r="L1708">
        <f>+OPERAC[[#This Row],[cantidad venta]]*7.664</f>
        <v/>
      </c>
    </row>
    <row r="1709">
      <c r="A1709" t="n">
        <v>6578</v>
      </c>
      <c r="B1709" s="16" t="n">
        <v>44662</v>
      </c>
      <c r="C1709" t="inlineStr">
        <is>
          <t>CPR</t>
        </is>
      </c>
      <c r="D1709" t="n">
        <v>42</v>
      </c>
      <c r="E1709">
        <f>IF(D3702&gt;0,VLOOKUP(OPERAC[[#This Row],[COD CART]],[1]!MatrizCortoLargoCyl[#All],3,0),"")</f>
        <v/>
      </c>
      <c r="F1709" t="inlineStr">
        <is>
          <t>HYDR</t>
        </is>
      </c>
      <c r="G1709" t="n">
        <v>45</v>
      </c>
      <c r="H1709" t="n">
        <v>-835.66548</v>
      </c>
      <c r="I1709">
        <f>-H3702/G3702</f>
        <v/>
      </c>
      <c r="J1709" s="16" t="n">
        <v>44693</v>
      </c>
      <c r="K1709">
        <f>+OPERAC[[#This Row],[cantidad]]</f>
        <v/>
      </c>
      <c r="L1709">
        <f>+OPERAC[[#This Row],[cantidad venta]]*12.027</f>
        <v/>
      </c>
    </row>
    <row r="1710">
      <c r="A1710" t="n">
        <v>6578</v>
      </c>
      <c r="B1710" s="16" t="n">
        <v>44664</v>
      </c>
      <c r="C1710" t="inlineStr">
        <is>
          <t>CPR</t>
        </is>
      </c>
      <c r="D1710" t="n">
        <v>42</v>
      </c>
      <c r="E1710">
        <f>IF(D4584&gt;0,VLOOKUP(OPERAC[[#This Row],[COD CART]],[1]!MatrizCortoLargoCyl[#All],3,0),"")</f>
        <v/>
      </c>
      <c r="F1710" t="inlineStr">
        <is>
          <t>PSQ</t>
        </is>
      </c>
      <c r="G1710" t="n">
        <v>100</v>
      </c>
      <c r="H1710" t="n">
        <v>-1243.2572181</v>
      </c>
      <c r="I1710">
        <f>-H4584/G4584</f>
        <v/>
      </c>
      <c r="J1710" s="16" t="n">
        <v>44680</v>
      </c>
      <c r="K1710">
        <f>+OPERAC[[#This Row],[cantidad]]</f>
        <v/>
      </c>
      <c r="L1710">
        <f>12.848*OPERAC[[#This Row],[cantidad venta]]</f>
        <v/>
      </c>
    </row>
    <row r="1711">
      <c r="A1711" t="n">
        <v>6578</v>
      </c>
      <c r="B1711" s="16" t="n">
        <v>44664</v>
      </c>
      <c r="C1711" t="inlineStr">
        <is>
          <t>VTA</t>
        </is>
      </c>
      <c r="D1711" t="n">
        <v>42</v>
      </c>
      <c r="E1711">
        <f>IF(D3085&gt;0,VLOOKUP(OPERAC[[#This Row],[COD CART]],[1]!MatrizCortoLargoCyl[#All],3,0),"")</f>
        <v/>
      </c>
      <c r="F1711" t="inlineStr">
        <is>
          <t>PSQ</t>
        </is>
      </c>
      <c r="G1711" t="n">
        <v>50</v>
      </c>
      <c r="H1711" t="n">
        <v>-621.6286090499999</v>
      </c>
      <c r="I1711">
        <f>-H3085/G3085</f>
        <v/>
      </c>
      <c r="J1711" s="16" t="n">
        <v>44680</v>
      </c>
      <c r="K1711">
        <f>+OPERAC[[#This Row],[cantidad]]</f>
        <v/>
      </c>
      <c r="L1711">
        <f>12.848*OPERAC[[#This Row],[cantidad venta]]</f>
        <v/>
      </c>
    </row>
    <row r="1712">
      <c r="A1712" t="n">
        <v>6578</v>
      </c>
      <c r="B1712" s="16" t="n">
        <v>44669</v>
      </c>
      <c r="C1712" t="inlineStr">
        <is>
          <t>VTA</t>
        </is>
      </c>
      <c r="D1712" t="n">
        <v>32</v>
      </c>
      <c r="E1712">
        <f>IF(D5425&gt;0,VLOOKUP(OPERAC[[#This Row],[COD CART]],[1]!MatrizCortoLargoCyl[#All],3,0),"")</f>
        <v/>
      </c>
      <c r="F1712" t="inlineStr">
        <is>
          <t>HMY</t>
        </is>
      </c>
      <c r="G1712" t="n">
        <v>400</v>
      </c>
      <c r="H1712">
        <f>-4.64*OPERAC[[#This Row],[cantidad]]</f>
        <v/>
      </c>
      <c r="I1712">
        <f>-H5425/G5425</f>
        <v/>
      </c>
      <c r="J1712" s="16" t="n">
        <v>44704</v>
      </c>
      <c r="K1712" t="n">
        <v>400</v>
      </c>
      <c r="L1712" t="n">
        <v>1467.609</v>
      </c>
    </row>
    <row r="1713">
      <c r="A1713" t="n">
        <v>6578</v>
      </c>
      <c r="B1713" s="16" t="n">
        <v>44671</v>
      </c>
      <c r="C1713" t="inlineStr">
        <is>
          <t>CPR</t>
        </is>
      </c>
      <c r="D1713" t="n">
        <v>42</v>
      </c>
      <c r="E1713">
        <f>IF(D3496&gt;0,VLOOKUP(OPERAC[[#This Row],[COD CART]],[1]!MatrizCortoLargoCyl[#All],3,0),"")</f>
        <v/>
      </c>
      <c r="F1713" t="inlineStr">
        <is>
          <t>NFLX</t>
        </is>
      </c>
      <c r="G1713" t="n">
        <v>3</v>
      </c>
      <c r="H1713" t="n">
        <v>-763.51518</v>
      </c>
      <c r="I1713">
        <f>-H3496/G3496</f>
        <v/>
      </c>
      <c r="J1713" s="16" t="n">
        <v>44693</v>
      </c>
      <c r="K1713">
        <f>+OPERAC[[#This Row],[cantidad]]</f>
        <v/>
      </c>
      <c r="L1713">
        <f>+OPERAC[[#This Row],[cantidad venta]]*169.079</f>
        <v/>
      </c>
    </row>
    <row r="1714">
      <c r="A1714" t="n">
        <v>6578</v>
      </c>
      <c r="B1714" s="16" t="n">
        <v>44671</v>
      </c>
      <c r="C1714" t="inlineStr">
        <is>
          <t>VTA</t>
        </is>
      </c>
      <c r="D1714" t="n">
        <v>42</v>
      </c>
      <c r="E1714">
        <f>IF(D3062&gt;0,VLOOKUP(OPERAC[[#This Row],[COD CART]],[1]!MatrizCortoLargoCyl[#All],3,0),"")</f>
        <v/>
      </c>
      <c r="F1714" t="inlineStr">
        <is>
          <t>TLT</t>
        </is>
      </c>
      <c r="G1714" t="n">
        <v>5</v>
      </c>
      <c r="H1714" t="n">
        <v>-612.815025</v>
      </c>
      <c r="I1714">
        <f>-H3062/G3062</f>
        <v/>
      </c>
      <c r="J1714" s="16" t="n">
        <v>44693</v>
      </c>
      <c r="K1714" t="n">
        <v>5</v>
      </c>
      <c r="L1714" t="n">
        <v>586.122</v>
      </c>
    </row>
    <row r="1715">
      <c r="A1715" t="n">
        <v>6578</v>
      </c>
      <c r="B1715" s="16" t="n">
        <v>44680</v>
      </c>
      <c r="C1715" t="inlineStr">
        <is>
          <t>CPR</t>
        </is>
      </c>
      <c r="D1715" t="n">
        <v>42</v>
      </c>
      <c r="E1715">
        <f>IF(D4734&gt;0,VLOOKUP(OPERAC[[#This Row],[COD CART]],[1]!MatrizCortoLargoCyl[#All],3,0),"")</f>
        <v/>
      </c>
      <c r="F1715" t="inlineStr">
        <is>
          <t>XLP</t>
        </is>
      </c>
      <c r="G1715" t="n">
        <v>17</v>
      </c>
      <c r="H1715" t="n">
        <v>-1350.3865425</v>
      </c>
      <c r="I1715">
        <f>-H4734/G4734</f>
        <v/>
      </c>
      <c r="J1715" s="16" t="n">
        <v>44693</v>
      </c>
      <c r="K1715">
        <f>+OPERAC[[#This Row],[cantidad]]</f>
        <v/>
      </c>
      <c r="L1715">
        <f>+OPERAC[[#This Row],[cantidad venta]]*75.648</f>
        <v/>
      </c>
    </row>
    <row r="1716">
      <c r="A1716" t="n">
        <v>6578</v>
      </c>
      <c r="B1716" s="16" t="n">
        <v>44680</v>
      </c>
      <c r="C1716" t="inlineStr">
        <is>
          <t>VTA</t>
        </is>
      </c>
      <c r="D1716" t="n">
        <v>42</v>
      </c>
      <c r="E1716">
        <f>IF(D3136&gt;0,VLOOKUP(OPERAC[[#This Row],[COD CART]],[1]!MatrizCortoLargoCyl[#All],3,0),"")</f>
        <v/>
      </c>
      <c r="F1716" t="inlineStr">
        <is>
          <t>XLP</t>
        </is>
      </c>
      <c r="G1716" t="n">
        <v>8</v>
      </c>
      <c r="H1716" t="n">
        <v>-635.4760199999999</v>
      </c>
      <c r="I1716">
        <f>-H3136/G3136</f>
        <v/>
      </c>
      <c r="J1716" s="16" t="n">
        <v>44693</v>
      </c>
      <c r="K1716">
        <f>+OPERAC[[#This Row],[cantidad]]</f>
        <v/>
      </c>
      <c r="L1716">
        <f>+OPERAC[[#This Row],[cantidad venta]]*75.648</f>
        <v/>
      </c>
    </row>
    <row r="1717">
      <c r="A1717" t="n">
        <v>6578</v>
      </c>
      <c r="B1717" s="16" t="n">
        <v>44704</v>
      </c>
      <c r="C1717" t="inlineStr">
        <is>
          <t>VTA</t>
        </is>
      </c>
      <c r="D1717" t="n">
        <v>32</v>
      </c>
      <c r="E1717">
        <f>IF(D5186&gt;0,VLOOKUP(OPERAC[[#This Row],[COD CART]],[1]!MatrizCortoLargoCyl[#All],3,0),"")</f>
        <v/>
      </c>
      <c r="F1717" t="inlineStr">
        <is>
          <t>SPWR/CYL/20,00/24-06-22</t>
        </is>
      </c>
      <c r="G1717" t="n">
        <v>100</v>
      </c>
      <c r="H1717" t="n">
        <v>-1630.078</v>
      </c>
      <c r="I1717">
        <f>-H5186/G5186</f>
        <v/>
      </c>
    </row>
    <row r="1718">
      <c r="A1718" t="n">
        <v>6578</v>
      </c>
      <c r="B1718" s="16" t="n">
        <v>44704</v>
      </c>
      <c r="C1718" t="inlineStr">
        <is>
          <t>VTA</t>
        </is>
      </c>
      <c r="D1718" t="n">
        <v>43</v>
      </c>
      <c r="E1718">
        <f>IF(D5190&gt;0,VLOOKUP(OPERAC[[#This Row],[COD CART]],[1]!MatrizCortoLargoCyl[#All],3,0),"")</f>
        <v/>
      </c>
      <c r="F1718" t="inlineStr">
        <is>
          <t>AAL/CYP/16,50-15,00/10-06-22</t>
        </is>
      </c>
      <c r="G1718" t="n">
        <v>100</v>
      </c>
      <c r="H1718">
        <f>-1623.93-16.136</f>
        <v/>
      </c>
      <c r="I1718">
        <f>-H5190/G5190</f>
        <v/>
      </c>
      <c r="J1718" s="16" t="n">
        <v>44722</v>
      </c>
      <c r="K1718" t="n">
        <v>100</v>
      </c>
      <c r="L1718" t="n">
        <v>1635.98</v>
      </c>
    </row>
    <row r="1719">
      <c r="A1719" t="n">
        <v>6578</v>
      </c>
      <c r="B1719" s="16" t="n">
        <v>44705</v>
      </c>
      <c r="C1719" t="inlineStr">
        <is>
          <t>VTA</t>
        </is>
      </c>
      <c r="D1719" t="n">
        <v>42</v>
      </c>
      <c r="E1719">
        <f>IF(D5418&gt;0,VLOOKUP(OPERAC[[#This Row],[COD CART]],[1]!MatrizCortoLargoCyl[#All],3,0),"")</f>
        <v/>
      </c>
      <c r="F1719" t="inlineStr">
        <is>
          <t>AMD</t>
        </is>
      </c>
      <c r="G1719" t="n">
        <v>20</v>
      </c>
      <c r="H1719" t="n">
        <v>-1850.0708</v>
      </c>
      <c r="I1719">
        <f>-H5418/G5418</f>
        <v/>
      </c>
      <c r="J1719" s="16" t="n">
        <v>44707</v>
      </c>
      <c r="K1719">
        <f>+OPERAC[[#This Row],[cantidad]]</f>
        <v/>
      </c>
      <c r="L1719">
        <f>+OPERAC[[#This Row],[cantidad venta]]*94.8</f>
        <v/>
      </c>
    </row>
    <row r="1720">
      <c r="A1720" t="n">
        <v>6578</v>
      </c>
      <c r="B1720" s="16" t="n">
        <v>44707</v>
      </c>
      <c r="C1720" t="inlineStr">
        <is>
          <t>CPR</t>
        </is>
      </c>
      <c r="D1720" t="n">
        <v>42</v>
      </c>
      <c r="E1720">
        <f>IF(D4475&gt;0,VLOOKUP(OPERAC[[#This Row],[COD CART]],[1]!MatrizCortoLargoCyl[#All],3,0),"")</f>
        <v/>
      </c>
      <c r="F1720" t="inlineStr">
        <is>
          <t>ET</t>
        </is>
      </c>
      <c r="G1720" t="n">
        <v>100</v>
      </c>
      <c r="H1720" t="n">
        <v>-1172.38125</v>
      </c>
      <c r="I1720">
        <f>-H4475/G4475</f>
        <v/>
      </c>
      <c r="J1720" s="16" t="n">
        <v>44712</v>
      </c>
      <c r="K1720" t="n">
        <v>100</v>
      </c>
      <c r="L1720" t="n">
        <v>1156.52</v>
      </c>
    </row>
    <row r="1721">
      <c r="A1721" t="n">
        <v>6578</v>
      </c>
      <c r="B1721" s="16" t="n">
        <v>44712</v>
      </c>
      <c r="C1721" t="inlineStr">
        <is>
          <t>CPR</t>
        </is>
      </c>
      <c r="D1721" t="n">
        <v>32</v>
      </c>
      <c r="E1721">
        <f>IF(D3249&gt;0,VLOOKUP(OPERAC[[#This Row],[COD CART]],[1]!MatrizCortoLargoCyl[#All],3,0),"")</f>
        <v/>
      </c>
      <c r="F1721" t="inlineStr">
        <is>
          <t>COTY/CYL/7,00/17-06-22</t>
        </is>
      </c>
      <c r="G1721" t="n">
        <v>100</v>
      </c>
      <c r="H1721" t="n">
        <v>-677.42</v>
      </c>
      <c r="I1721">
        <f>-H3249/G3249</f>
        <v/>
      </c>
    </row>
    <row r="1722">
      <c r="A1722" t="n">
        <v>6578</v>
      </c>
      <c r="B1722" s="16" t="n">
        <v>44712</v>
      </c>
      <c r="C1722" t="inlineStr">
        <is>
          <t>VTA</t>
        </is>
      </c>
      <c r="D1722" t="n">
        <v>39</v>
      </c>
      <c r="E1722">
        <f>IF(D1563&gt;0,VLOOKUP(OPERAC[[#This Row],[COD CART]],[1]!MatrizCortoLargoCyl[#All],3,0),"")</f>
        <v/>
      </c>
      <c r="F1722" t="inlineStr">
        <is>
          <t>ET/C/10,00/21-10-22</t>
        </is>
      </c>
      <c r="G1722" t="n">
        <v>100</v>
      </c>
      <c r="H1722" t="n">
        <v>-202.808</v>
      </c>
      <c r="I1722">
        <f>-H1563/G1563</f>
        <v/>
      </c>
    </row>
    <row r="1723">
      <c r="A1723" t="n">
        <v>6578</v>
      </c>
      <c r="B1723" s="16" t="n">
        <v>44713</v>
      </c>
      <c r="C1723" t="inlineStr">
        <is>
          <t>VTA</t>
        </is>
      </c>
      <c r="D1723" t="n">
        <v>42</v>
      </c>
      <c r="E1723">
        <f>IF(D5473&gt;0,VLOOKUP(OPERAC[[#This Row],[COD CART]],[1]!MatrizCortoLargoCyl[#All],3,0),"")</f>
        <v/>
      </c>
      <c r="F1723" t="inlineStr">
        <is>
          <t>UPST</t>
        </is>
      </c>
      <c r="G1723" t="n">
        <v>40</v>
      </c>
      <c r="H1723" t="n">
        <v>-1925.8728</v>
      </c>
      <c r="I1723">
        <f>-H5473/G5473</f>
        <v/>
      </c>
      <c r="J1723" s="16" t="n">
        <v>44714</v>
      </c>
      <c r="K1723">
        <f>+OPERAC[[#This Row],[cantidad]]</f>
        <v/>
      </c>
      <c r="L1723">
        <f>+OPERAC[[#This Row],[cantidad venta]]*49.312</f>
        <v/>
      </c>
    </row>
    <row r="1724">
      <c r="A1724" t="n">
        <v>6578</v>
      </c>
      <c r="B1724" s="16" t="n">
        <v>44718</v>
      </c>
      <c r="C1724" t="inlineStr">
        <is>
          <t>CPR</t>
        </is>
      </c>
      <c r="D1724" t="n">
        <v>42</v>
      </c>
      <c r="E1724">
        <f>IF(D5941&gt;0,VLOOKUP(OPERAC[[#This Row],[COD CART]],[1]!MatrizCortoLargoCyl[#All],3,0),"")</f>
        <v/>
      </c>
      <c r="F1724" t="inlineStr">
        <is>
          <t>KWEB</t>
        </is>
      </c>
      <c r="G1724" t="n">
        <v>100</v>
      </c>
      <c r="H1724" t="n">
        <v>-3108.3388</v>
      </c>
      <c r="I1724">
        <f>-H5941/G5941</f>
        <v/>
      </c>
    </row>
    <row r="1725">
      <c r="A1725" t="n">
        <v>6578</v>
      </c>
      <c r="B1725" s="16" t="n">
        <v>44720</v>
      </c>
      <c r="C1725" t="inlineStr">
        <is>
          <t>CPR</t>
        </is>
      </c>
      <c r="D1725" t="n">
        <v>42</v>
      </c>
      <c r="E1725">
        <f>IF(D4970&gt;0,VLOOKUP(OPERAC[[#This Row],[COD CART]],[1]!MatrizCortoLargoCyl[#All],3,0),"")</f>
        <v/>
      </c>
      <c r="F1725" t="inlineStr">
        <is>
          <t>HYDR</t>
        </is>
      </c>
      <c r="G1725" t="n">
        <v>100</v>
      </c>
      <c r="H1725" t="n">
        <v>-1512.75</v>
      </c>
      <c r="I1725">
        <f>-H4970/G4970</f>
        <v/>
      </c>
    </row>
    <row r="1726">
      <c r="A1726" t="n">
        <v>6578</v>
      </c>
      <c r="B1726" s="16" t="n">
        <v>44720</v>
      </c>
      <c r="C1726" t="inlineStr">
        <is>
          <t>VTA</t>
        </is>
      </c>
      <c r="D1726" t="n">
        <v>39</v>
      </c>
      <c r="E1726">
        <f>IF(D445&gt;0,VLOOKUP(OPERAC[[#This Row],[COD CART]],[1]!MatrizCortoLargoCyl[#All],3,0),"")</f>
        <v/>
      </c>
      <c r="F1726" t="inlineStr">
        <is>
          <t>TSLA/C/790,00/10-06-22</t>
        </is>
      </c>
      <c r="G1726" t="n">
        <v>-300</v>
      </c>
      <c r="H1726" t="n">
        <v>1041.075</v>
      </c>
      <c r="I1726">
        <f>-H445/G445</f>
        <v/>
      </c>
      <c r="J1726" s="16" t="n">
        <v>44722</v>
      </c>
      <c r="K1726">
        <f>+OPERAC[[#This Row],[cantidad]]</f>
        <v/>
      </c>
      <c r="L1726" t="n">
        <v>0</v>
      </c>
    </row>
    <row r="1727">
      <c r="A1727" t="n">
        <v>6578</v>
      </c>
      <c r="B1727" s="16" t="n">
        <v>44720</v>
      </c>
      <c r="C1727" t="inlineStr">
        <is>
          <t>VTA</t>
        </is>
      </c>
      <c r="D1727" t="n">
        <v>39</v>
      </c>
      <c r="E1727">
        <f>IF(D449&gt;0,VLOOKUP(OPERAC[[#This Row],[COD CART]],[1]!MatrizCortoLargoCyl[#All],3,0),"")</f>
        <v/>
      </c>
      <c r="F1727" t="inlineStr">
        <is>
          <t>TSLA/P/640,00/10-06-22</t>
        </is>
      </c>
      <c r="G1727" t="n">
        <v>-900</v>
      </c>
      <c r="H1727" t="n">
        <v>1026.203</v>
      </c>
      <c r="I1727">
        <f>-H449/G449</f>
        <v/>
      </c>
      <c r="J1727" s="16" t="n">
        <v>44721</v>
      </c>
      <c r="K1727" t="n">
        <v>-900</v>
      </c>
      <c r="L1727" t="n">
        <v>-317.678</v>
      </c>
    </row>
    <row r="1728">
      <c r="A1728" t="n">
        <v>6578</v>
      </c>
      <c r="B1728" s="16" t="n">
        <v>44722</v>
      </c>
      <c r="C1728" t="inlineStr">
        <is>
          <t>CPR</t>
        </is>
      </c>
      <c r="D1728" t="n">
        <v>32</v>
      </c>
      <c r="E1728">
        <f>IF(D4222&gt;0,VLOOKUP(OPERAC[[#This Row],[COD CART]],[1]!MatrizCortoLargoCyl[#All],3,0),"")</f>
        <v/>
      </c>
      <c r="F1728" t="inlineStr">
        <is>
          <t>CCL/CYL/10,50/24-06-22</t>
        </is>
      </c>
      <c r="G1728" t="n">
        <v>100</v>
      </c>
      <c r="H1728" t="n">
        <v>-1005.33</v>
      </c>
      <c r="I1728">
        <f>-H4222/G4222</f>
        <v/>
      </c>
    </row>
    <row r="1729">
      <c r="A1729" t="n">
        <v>6579</v>
      </c>
      <c r="B1729" s="16" t="n">
        <v>43908</v>
      </c>
      <c r="C1729" t="inlineStr">
        <is>
          <t>CPR</t>
        </is>
      </c>
      <c r="D1729" t="n">
        <v>41</v>
      </c>
      <c r="E1729">
        <f>IF(D6147&gt;0,VLOOKUP(OPERAC[[#This Row],[COD CART]],[1]!MatrizCortoLargoCyl[#All],3,0),"")</f>
        <v/>
      </c>
      <c r="F1729" t="inlineStr">
        <is>
          <t>BBAR</t>
        </is>
      </c>
      <c r="G1729" t="n">
        <v>1205</v>
      </c>
      <c r="H1729" t="n">
        <v>-4809.97467715</v>
      </c>
      <c r="I1729" t="n">
        <v>3.99168023</v>
      </c>
      <c r="K1729">
        <f>400+255</f>
        <v/>
      </c>
      <c r="L1729">
        <f>1331.22+824.441</f>
        <v/>
      </c>
    </row>
    <row r="1730">
      <c r="A1730" t="n">
        <v>6579</v>
      </c>
      <c r="B1730" s="16" t="n">
        <v>44032</v>
      </c>
      <c r="C1730" t="inlineStr">
        <is>
          <t>CPR</t>
        </is>
      </c>
      <c r="D1730" t="n">
        <v>41</v>
      </c>
      <c r="E1730">
        <f>IF(D5738&gt;0,VLOOKUP(OPERAC[[#This Row],[COD CART]],[1]!MatrizCortoLargoCyl[#All],3,0),"")</f>
        <v/>
      </c>
      <c r="F1730" t="inlineStr">
        <is>
          <t>YPF</t>
        </is>
      </c>
      <c r="G1730" t="n">
        <v>425</v>
      </c>
      <c r="H1730" t="n">
        <v>-2619.1625875</v>
      </c>
      <c r="I1730" t="n">
        <v>6.162735500000001</v>
      </c>
    </row>
    <row r="1731">
      <c r="A1731" t="n">
        <v>6579</v>
      </c>
      <c r="B1731" s="16" t="n">
        <v>44071</v>
      </c>
      <c r="C1731" t="inlineStr">
        <is>
          <t>VTA</t>
        </is>
      </c>
      <c r="D1731" t="n">
        <v>41</v>
      </c>
      <c r="E1731">
        <f>IF(D3030&gt;0,VLOOKUP(OPERAC[[#This Row],[COD CART]],[1]!MatrizCortoLargoCyl[#All],3,0),"")</f>
        <v/>
      </c>
      <c r="F1731" t="inlineStr">
        <is>
          <t>VIST</t>
        </is>
      </c>
      <c r="G1731" t="n">
        <v>200</v>
      </c>
      <c r="H1731" t="n">
        <v>-604</v>
      </c>
      <c r="I1731">
        <f>-H3030/G3030</f>
        <v/>
      </c>
      <c r="J1731" s="16" t="n">
        <v>44663</v>
      </c>
      <c r="K1731" t="n">
        <v>200</v>
      </c>
      <c r="L1731" t="n">
        <v>1765.98</v>
      </c>
    </row>
    <row r="1732">
      <c r="A1732" t="n">
        <v>6579</v>
      </c>
      <c r="B1732" s="16" t="n">
        <v>44075</v>
      </c>
      <c r="C1732" t="inlineStr">
        <is>
          <t>VTA</t>
        </is>
      </c>
      <c r="D1732" t="n">
        <v>41</v>
      </c>
      <c r="E1732">
        <f>IF(D5440&gt;0,VLOOKUP(OPERAC[[#This Row],[COD CART]],[1]!MatrizCortoLargoCyl[#All],3,0),"")</f>
        <v/>
      </c>
      <c r="F1732" t="inlineStr">
        <is>
          <t>BMA</t>
        </is>
      </c>
      <c r="G1732" t="n">
        <v>100</v>
      </c>
      <c r="H1732" t="n">
        <v>-1874.32</v>
      </c>
      <c r="I1732">
        <f>-H5440/G5440</f>
        <v/>
      </c>
    </row>
    <row r="1733">
      <c r="A1733" t="n">
        <v>6579</v>
      </c>
      <c r="B1733" s="16" t="n">
        <v>44362</v>
      </c>
      <c r="C1733" t="inlineStr">
        <is>
          <t>CPR</t>
        </is>
      </c>
      <c r="D1733" t="n">
        <v>41</v>
      </c>
      <c r="E1733">
        <f>IF(D3971&gt;0,VLOOKUP(OPERAC[[#This Row],[COD CART]],[1]!MatrizCortoLargoCyl[#All],3,0),"")</f>
        <v/>
      </c>
      <c r="F1733" t="inlineStr">
        <is>
          <t>JEPI</t>
        </is>
      </c>
      <c r="G1733" t="n">
        <v>15</v>
      </c>
      <c r="H1733" t="n">
        <v>-908.472</v>
      </c>
      <c r="I1733">
        <f>-H3971/G3971</f>
        <v/>
      </c>
    </row>
    <row r="1734">
      <c r="A1734" t="n">
        <v>6579</v>
      </c>
      <c r="B1734" s="16" t="n">
        <v>44362</v>
      </c>
      <c r="C1734" t="inlineStr">
        <is>
          <t>CPR</t>
        </is>
      </c>
      <c r="D1734" t="n">
        <v>41</v>
      </c>
      <c r="E1734">
        <f>IF(D4374&gt;0,VLOOKUP(OPERAC[[#This Row],[COD CART]],[1]!MatrizCortoLargoCyl[#All],3,0),"")</f>
        <v/>
      </c>
      <c r="F1734" t="inlineStr">
        <is>
          <t>MPW</t>
        </is>
      </c>
      <c r="G1734" t="n">
        <v>50</v>
      </c>
      <c r="H1734" t="n">
        <v>-1082.199</v>
      </c>
      <c r="I1734">
        <f>-H4374/G4374</f>
        <v/>
      </c>
    </row>
    <row r="1735">
      <c r="A1735" t="n">
        <v>6579</v>
      </c>
      <c r="B1735" s="16" t="n">
        <v>44489</v>
      </c>
      <c r="C1735" t="inlineStr">
        <is>
          <t>VTA</t>
        </is>
      </c>
      <c r="D1735" t="n">
        <v>43</v>
      </c>
      <c r="E1735">
        <f>IF(D2231&gt;0,VLOOKUP(OPERAC[[#This Row],[COD CART]],[1]!MatrizCortoLargoCyl[#All],3,0),"")</f>
        <v/>
      </c>
      <c r="F1735" t="inlineStr">
        <is>
          <t>SESN/CYL-PUT/1,00/19-01-24</t>
        </is>
      </c>
      <c r="G1735" t="n">
        <v>2000</v>
      </c>
      <c r="H1735">
        <f>-0.1885*OPERAC[[#This Row],[cantidad]]</f>
        <v/>
      </c>
      <c r="I1735">
        <f>-H2231/G2231</f>
        <v/>
      </c>
      <c r="J1735" s="16" t="n">
        <v>44616</v>
      </c>
      <c r="K1735" t="n">
        <v>2000</v>
      </c>
      <c r="L1735" t="n">
        <v>643.54</v>
      </c>
    </row>
    <row r="1736">
      <c r="A1736" t="n">
        <v>6579</v>
      </c>
      <c r="B1736" s="16" t="n">
        <v>44529</v>
      </c>
      <c r="C1736" t="inlineStr">
        <is>
          <t>CPR</t>
        </is>
      </c>
      <c r="D1736" t="n">
        <v>41</v>
      </c>
      <c r="E1736">
        <f>IF(D3407&gt;0,VLOOKUP(OPERAC[[#This Row],[COD CART]],[1]!MatrizCortoLargoCyl[#All],3,0),"")</f>
        <v/>
      </c>
      <c r="F1736" t="inlineStr">
        <is>
          <t>BBAR</t>
        </is>
      </c>
      <c r="G1736" t="n">
        <v>250</v>
      </c>
      <c r="H1736" t="n">
        <v>-718.946</v>
      </c>
      <c r="I1736">
        <f>-H3407/G3407</f>
        <v/>
      </c>
    </row>
    <row r="1737">
      <c r="A1737" t="n">
        <v>6579</v>
      </c>
      <c r="B1737" s="16" t="n">
        <v>44529</v>
      </c>
      <c r="C1737" t="inlineStr">
        <is>
          <t>CPR</t>
        </is>
      </c>
      <c r="D1737" t="n">
        <v>41</v>
      </c>
      <c r="E1737">
        <f>IF(D3483&gt;0,VLOOKUP(OPERAC[[#This Row],[COD CART]],[1]!MatrizCortoLargoCyl[#All],3,0),"")</f>
        <v/>
      </c>
      <c r="F1737" t="inlineStr">
        <is>
          <t>YPF</t>
        </is>
      </c>
      <c r="G1737" t="n">
        <v>220</v>
      </c>
      <c r="H1737" t="n">
        <v>-760.628</v>
      </c>
      <c r="I1737">
        <f>-H3483/G3483</f>
        <v/>
      </c>
    </row>
    <row r="1738">
      <c r="A1738" t="n">
        <v>6579</v>
      </c>
      <c r="B1738" s="16" t="n">
        <v>44529</v>
      </c>
      <c r="C1738" t="inlineStr">
        <is>
          <t>CPR</t>
        </is>
      </c>
      <c r="D1738" t="n">
        <v>41</v>
      </c>
      <c r="E1738">
        <f>IF(D3560&gt;0,VLOOKUP(OPERAC[[#This Row],[COD CART]],[1]!MatrizCortoLargoCyl[#All],3,0),"")</f>
        <v/>
      </c>
      <c r="F1738" t="inlineStr">
        <is>
          <t>CEPU</t>
        </is>
      </c>
      <c r="G1738" t="n">
        <v>250</v>
      </c>
      <c r="H1738" t="n">
        <v>-774.89</v>
      </c>
      <c r="I1738">
        <f>-H3560/G3560</f>
        <v/>
      </c>
    </row>
    <row r="1739">
      <c r="A1739" t="n">
        <v>6579</v>
      </c>
      <c r="B1739" s="16" t="n">
        <v>44531</v>
      </c>
      <c r="C1739" t="inlineStr">
        <is>
          <t>VTA</t>
        </is>
      </c>
      <c r="D1739" t="n">
        <v>39</v>
      </c>
      <c r="E1739">
        <f>IF(D467&gt;0,VLOOKUP(OPERAC[[#This Row],[COD CART]],[1]!MatrizCortoLargoCyl[#All],3,0),"")</f>
        <v/>
      </c>
      <c r="F1739" t="inlineStr">
        <is>
          <t>V/V/145,00/16-09-22</t>
        </is>
      </c>
      <c r="G1739" t="n">
        <v>-200</v>
      </c>
      <c r="H1739" t="n">
        <v>991.26</v>
      </c>
      <c r="I1739">
        <f>-H467/G467</f>
        <v/>
      </c>
      <c r="J1739" s="16" t="n">
        <v>44617</v>
      </c>
      <c r="K1739" t="n">
        <v>-200</v>
      </c>
      <c r="L1739" t="n">
        <v>-504.8</v>
      </c>
    </row>
    <row r="1740">
      <c r="A1740" t="n">
        <v>6579</v>
      </c>
      <c r="B1740" s="16" t="n">
        <v>44532</v>
      </c>
      <c r="C1740" t="inlineStr">
        <is>
          <t>VTA</t>
        </is>
      </c>
      <c r="D1740" t="n">
        <v>39</v>
      </c>
      <c r="E1740">
        <f>IF(D1082&gt;0,VLOOKUP(OPERAC[[#This Row],[COD CART]],[1]!MatrizCortoLargoCyl[#All],3,0),"")</f>
        <v/>
      </c>
      <c r="F1740" t="inlineStr">
        <is>
          <t>MELI/V/820,00/16-09-22</t>
        </is>
      </c>
      <c r="G1740" t="n">
        <v>-300</v>
      </c>
      <c r="H1740">
        <f>-0.1*OPERAC[[#This Row],[cantidad]]</f>
        <v/>
      </c>
      <c r="I1740">
        <f>-H1082/G1082</f>
        <v/>
      </c>
      <c r="J1740" s="16" t="n">
        <v>44614</v>
      </c>
      <c r="K1740" t="n">
        <v>-300</v>
      </c>
      <c r="L1740" t="n">
        <v>-30</v>
      </c>
    </row>
    <row r="1741">
      <c r="A1741" t="n">
        <v>6579</v>
      </c>
      <c r="B1741" s="16" t="n">
        <v>44536</v>
      </c>
      <c r="C1741" t="inlineStr">
        <is>
          <t>CPR</t>
        </is>
      </c>
      <c r="D1741" t="n">
        <v>43</v>
      </c>
      <c r="E1741">
        <f>IF(D4367&gt;0,VLOOKUP(OPERAC[[#This Row],[COD CART]],[1]!MatrizCortoLargoCyl[#All],3,0),"")</f>
        <v/>
      </c>
      <c r="F1741" t="inlineStr">
        <is>
          <t>NNDM/CYL-PUT/2,50/19-01-24</t>
        </is>
      </c>
      <c r="G1741" t="n">
        <v>1000</v>
      </c>
      <c r="H1741">
        <f>-1.08*OPERAC[[#This Row],[cantidad]]</f>
        <v/>
      </c>
      <c r="I1741">
        <f>-H4367/G4367</f>
        <v/>
      </c>
    </row>
    <row r="1742">
      <c r="A1742" t="n">
        <v>6579</v>
      </c>
      <c r="B1742" s="16" t="n">
        <v>44536</v>
      </c>
      <c r="C1742" t="inlineStr">
        <is>
          <t>VTA</t>
        </is>
      </c>
      <c r="D1742" t="n">
        <v>43</v>
      </c>
      <c r="E1742">
        <f>IF(D1466&gt;0,VLOOKUP(OPERAC[[#This Row],[COD CART]],[1]!MatrizCortoLargoCyl[#All],3,0),"")</f>
        <v/>
      </c>
      <c r="F1742" t="inlineStr">
        <is>
          <t>HEXO/CYL-PUT/1,00/20-01-23</t>
        </is>
      </c>
      <c r="G1742" t="n">
        <v>1000</v>
      </c>
      <c r="H1742">
        <f>-0.1671*OPERAC[[#This Row],[cantidad]]</f>
        <v/>
      </c>
      <c r="I1742">
        <f>-H1466/G1466</f>
        <v/>
      </c>
      <c r="J1742" s="16" t="n">
        <v>44600</v>
      </c>
      <c r="K1742" t="n">
        <v>1000</v>
      </c>
      <c r="L1742" t="n">
        <v>1</v>
      </c>
    </row>
    <row r="1743">
      <c r="A1743" t="n">
        <v>6579</v>
      </c>
      <c r="B1743" s="16" t="n">
        <v>44536</v>
      </c>
      <c r="C1743" t="inlineStr">
        <is>
          <t>VTA</t>
        </is>
      </c>
      <c r="D1743" t="n">
        <v>43</v>
      </c>
      <c r="E1743">
        <f>IF(D2487&gt;0,VLOOKUP(OPERAC[[#This Row],[COD CART]],[1]!MatrizCortoLargoCyl[#All],3,0),"")</f>
        <v/>
      </c>
      <c r="F1743" t="inlineStr">
        <is>
          <t>XSPA/CYL-PUT/1,50/20-01-23</t>
        </is>
      </c>
      <c r="G1743" t="n">
        <v>1000</v>
      </c>
      <c r="H1743">
        <f>-0.4462*OPERAC[[#This Row],[cantidad]]</f>
        <v/>
      </c>
      <c r="I1743">
        <f>-H2487/G2487</f>
        <v/>
      </c>
    </row>
    <row r="1744">
      <c r="A1744" t="n">
        <v>6579</v>
      </c>
      <c r="B1744" s="16" t="n">
        <v>44538</v>
      </c>
      <c r="C1744" t="inlineStr">
        <is>
          <t>VTA</t>
        </is>
      </c>
      <c r="D1744" t="n">
        <v>39</v>
      </c>
      <c r="E1744">
        <f>IF(D451&gt;0,VLOOKUP(OPERAC[[#This Row],[COD CART]],[1]!MatrizCortoLargoCyl[#All],3,0),"")</f>
        <v/>
      </c>
      <c r="F1744" t="inlineStr">
        <is>
          <t>MELI/V/880,00/21-01-22</t>
        </is>
      </c>
      <c r="G1744" t="n">
        <v>-100</v>
      </c>
      <c r="H1744" t="n">
        <v>1011.84</v>
      </c>
      <c r="I1744">
        <f>-H451/G451</f>
        <v/>
      </c>
      <c r="J1744" s="16" t="n">
        <v>44582</v>
      </c>
      <c r="K1744">
        <f>+OPERAC[[#This Row],[cantidad]]</f>
        <v/>
      </c>
      <c r="L1744" t="n">
        <v>0</v>
      </c>
    </row>
    <row r="1745">
      <c r="A1745" t="n">
        <v>6579</v>
      </c>
      <c r="B1745" s="16" t="n">
        <v>44552</v>
      </c>
      <c r="C1745" t="inlineStr">
        <is>
          <t>VTA</t>
        </is>
      </c>
      <c r="D1745" t="n">
        <v>32</v>
      </c>
      <c r="E1745">
        <f>IF(D5375&gt;0,VLOOKUP(OPERAC[[#This Row],[COD CART]],[1]!MatrizCortoLargoCyl[#All],3,0),"")</f>
        <v/>
      </c>
      <c r="F1745" t="inlineStr">
        <is>
          <t>GOLD/CYL/19,00/21-01-22</t>
        </is>
      </c>
      <c r="G1745" t="n">
        <v>100</v>
      </c>
      <c r="H1745">
        <f>-18.08*OPERAC[[#This Row],[cantidad]]</f>
        <v/>
      </c>
      <c r="I1745">
        <f>-H5375/G5375</f>
        <v/>
      </c>
      <c r="J1745" s="16" t="n">
        <v>44580</v>
      </c>
      <c r="K1745" t="n">
        <v>100</v>
      </c>
      <c r="L1745" t="n">
        <v>1876.846</v>
      </c>
    </row>
    <row r="1746">
      <c r="A1746" t="n">
        <v>6579</v>
      </c>
      <c r="B1746" s="16" t="n">
        <v>44581</v>
      </c>
      <c r="C1746" t="inlineStr">
        <is>
          <t>CPR</t>
        </is>
      </c>
      <c r="D1746" t="n">
        <v>32</v>
      </c>
      <c r="E1746">
        <f>IF(D3568&gt;0,VLOOKUP(OPERAC[[#This Row],[COD CART]],[1]!MatrizCortoLargoCyl[#All],3,0),"")</f>
        <v/>
      </c>
      <c r="F1746" t="inlineStr">
        <is>
          <t>HMY/CYL/4,00/18-02-22</t>
        </is>
      </c>
      <c r="G1746" t="n">
        <v>200</v>
      </c>
      <c r="H1746" t="n">
        <v>-774.9359920000001</v>
      </c>
      <c r="I1746">
        <f>-H3568/G3568</f>
        <v/>
      </c>
      <c r="J1746" s="16" t="n">
        <v>44610</v>
      </c>
      <c r="K1746">
        <f>+OPERAC[[#This Row],[cantidad]]</f>
        <v/>
      </c>
      <c r="L1746">
        <f>+OPERAC[[#This Row],[cantidad venta]]*3.8323</f>
        <v/>
      </c>
    </row>
    <row r="1747">
      <c r="A1747" t="n">
        <v>6579</v>
      </c>
      <c r="B1747" s="16" t="n">
        <v>44582</v>
      </c>
      <c r="C1747" t="inlineStr">
        <is>
          <t>CPR</t>
        </is>
      </c>
      <c r="D1747" t="n">
        <v>40</v>
      </c>
      <c r="E1747">
        <f>IF(D4470&gt;0,VLOOKUP(OPERAC[[#This Row],[COD CART]],[1]!MatrizCortoLargoCyl[#All],3,0),"")</f>
        <v/>
      </c>
      <c r="F1747" t="inlineStr">
        <is>
          <t>NFLX</t>
        </is>
      </c>
      <c r="G1747" t="n">
        <v>3</v>
      </c>
      <c r="H1747" t="n">
        <v>-1171.9113</v>
      </c>
      <c r="I1747">
        <f>-H4470/G4470</f>
        <v/>
      </c>
      <c r="J1747" s="16" t="n">
        <v>44593</v>
      </c>
      <c r="K1747">
        <f>+OPERAC[[#This Row],[cantidad]]</f>
        <v/>
      </c>
      <c r="L1747">
        <f>+OPERAC[[#This Row],[cantidad venta]]*448.602</f>
        <v/>
      </c>
    </row>
    <row r="1748">
      <c r="A1748" t="n">
        <v>6579</v>
      </c>
      <c r="B1748" s="16" t="n">
        <v>44582</v>
      </c>
      <c r="C1748" t="inlineStr">
        <is>
          <t>CPR</t>
        </is>
      </c>
      <c r="D1748" t="n">
        <v>40</v>
      </c>
      <c r="E1748">
        <f>IF(D6088&gt;0,VLOOKUP(OPERAC[[#This Row],[COD CART]],[1]!MatrizCortoLargoCyl[#All],3,0),"")</f>
        <v/>
      </c>
      <c r="F1748" t="inlineStr">
        <is>
          <t>ACB</t>
        </is>
      </c>
      <c r="G1748" t="n">
        <v>160</v>
      </c>
      <c r="H1748">
        <f>-25*OPERAC[[#This Row],[cantidad]]</f>
        <v/>
      </c>
      <c r="I1748">
        <f>-H6088/G6088</f>
        <v/>
      </c>
      <c r="J1748" s="16" t="n">
        <v>44585</v>
      </c>
      <c r="K1748" t="n">
        <v>160</v>
      </c>
      <c r="L1748" t="n">
        <v>647.351</v>
      </c>
    </row>
    <row r="1749">
      <c r="A1749" t="n">
        <v>6579</v>
      </c>
      <c r="B1749" s="16" t="n">
        <v>44585</v>
      </c>
      <c r="C1749" t="inlineStr">
        <is>
          <t>VTA</t>
        </is>
      </c>
      <c r="D1749" t="n">
        <v>39</v>
      </c>
      <c r="E1749">
        <f>IF(D96&gt;0,VLOOKUP(OPERAC[[#This Row],[COD CART]],[1]!MatrizCortoLargoCyl[#All],3,0),"")</f>
        <v/>
      </c>
      <c r="F1749" t="inlineStr">
        <is>
          <t>MELI/V/800,00/28-01-22</t>
        </is>
      </c>
      <c r="G1749" t="n">
        <v>-400</v>
      </c>
      <c r="H1749" t="n">
        <v>3610.88</v>
      </c>
      <c r="I1749">
        <f>-H96/G96</f>
        <v/>
      </c>
      <c r="J1749" s="16" t="n">
        <v>44589</v>
      </c>
      <c r="K1749" t="n">
        <v>-400</v>
      </c>
      <c r="L1749" t="n">
        <v>-20.16</v>
      </c>
    </row>
    <row r="1750">
      <c r="A1750" t="n">
        <v>6579</v>
      </c>
      <c r="B1750" s="16" t="n">
        <v>44586</v>
      </c>
      <c r="C1750" t="inlineStr">
        <is>
          <t>CPR</t>
        </is>
      </c>
      <c r="D1750" t="n">
        <v>43</v>
      </c>
      <c r="E1750">
        <f>IF(D2735&gt;0,VLOOKUP(OPERAC[[#This Row],[COD CART]],[1]!MatrizCortoLargoCyl[#All],3,0),"")</f>
        <v/>
      </c>
      <c r="F1750" t="inlineStr">
        <is>
          <t>GMBL/CYL-PUT/2,50/20-01-23</t>
        </is>
      </c>
      <c r="G1750" t="n">
        <v>500</v>
      </c>
      <c r="H1750" t="n">
        <v>-508.0223</v>
      </c>
      <c r="I1750">
        <f>-H2735/G2735</f>
        <v/>
      </c>
      <c r="J1750" s="16" t="n">
        <v>44636</v>
      </c>
      <c r="K1750" t="n">
        <v>500</v>
      </c>
      <c r="L1750">
        <f>-1.36*OPERAC[[#This Row],[cantidad venta]]</f>
        <v/>
      </c>
    </row>
    <row r="1751">
      <c r="A1751" t="n">
        <v>6579</v>
      </c>
      <c r="B1751" s="16" t="n">
        <v>44602</v>
      </c>
      <c r="C1751" t="inlineStr">
        <is>
          <t>CPR</t>
        </is>
      </c>
      <c r="D1751" t="n">
        <v>32</v>
      </c>
      <c r="E1751">
        <f>IF(D4493&gt;0,VLOOKUP(OPERAC[[#This Row],[COD CART]],[1]!MatrizCortoLargoCyl[#All],3,0),"")</f>
        <v/>
      </c>
      <c r="F1751" t="inlineStr">
        <is>
          <t>BIOX/CYL/12,50/18-03-22</t>
        </is>
      </c>
      <c r="G1751" t="n">
        <v>100</v>
      </c>
      <c r="H1751" t="n">
        <v>-1176</v>
      </c>
      <c r="I1751">
        <f>-H4493/G4493</f>
        <v/>
      </c>
      <c r="J1751" s="16" t="n">
        <v>44634</v>
      </c>
      <c r="K1751" t="n">
        <v>100</v>
      </c>
      <c r="L1751" t="n">
        <v>1235.48</v>
      </c>
    </row>
    <row r="1752">
      <c r="A1752" t="n">
        <v>6579</v>
      </c>
      <c r="B1752" s="16" t="n">
        <v>44608</v>
      </c>
      <c r="C1752" t="inlineStr">
        <is>
          <t>VTA</t>
        </is>
      </c>
      <c r="D1752" t="n">
        <v>40</v>
      </c>
      <c r="E1752">
        <f>IF(D2841&gt;0,VLOOKUP(OPERAC[[#This Row],[COD CART]],[1]!MatrizCortoLargoCyl[#All],3,0),"")</f>
        <v/>
      </c>
      <c r="F1752" t="inlineStr">
        <is>
          <t>NVDA</t>
        </is>
      </c>
      <c r="G1752" t="n">
        <v>2</v>
      </c>
      <c r="H1752" t="n">
        <v>-527.0279999999999</v>
      </c>
      <c r="I1752">
        <f>-H2841/G2841</f>
        <v/>
      </c>
      <c r="J1752" s="16" t="n">
        <v>44616</v>
      </c>
      <c r="K1752">
        <f>+OPERAC[[#This Row],[cantidad]]</f>
        <v/>
      </c>
      <c r="L1752">
        <f>+OPERAC[[#This Row],[cantidad venta]]*224.117</f>
        <v/>
      </c>
    </row>
    <row r="1753">
      <c r="A1753" t="n">
        <v>6579</v>
      </c>
      <c r="B1753" s="16" t="n">
        <v>44614</v>
      </c>
      <c r="C1753" t="inlineStr">
        <is>
          <t>VTA</t>
        </is>
      </c>
      <c r="D1753" t="n">
        <v>39</v>
      </c>
      <c r="E1753">
        <f>IF(D864&gt;0,VLOOKUP(OPERAC[[#This Row],[COD CART]],[1]!MatrizCortoLargoCyl[#All],3,0),"")</f>
        <v/>
      </c>
      <c r="F1753" t="inlineStr">
        <is>
          <t>MELI/V/500,00/19-01-24</t>
        </is>
      </c>
      <c r="G1753" t="n">
        <v>-3</v>
      </c>
      <c r="H1753" t="n">
        <v>199.39</v>
      </c>
      <c r="I1753">
        <f>-H864/G864</f>
        <v/>
      </c>
    </row>
    <row r="1754">
      <c r="A1754" t="n">
        <v>6579</v>
      </c>
      <c r="B1754" s="16" t="n">
        <v>44614</v>
      </c>
      <c r="C1754" t="inlineStr">
        <is>
          <t>VTA</t>
        </is>
      </c>
      <c r="D1754" t="n">
        <v>39</v>
      </c>
      <c r="E1754">
        <f>IF(D979&gt;0,VLOOKUP(OPERAC[[#This Row],[COD CART]],[1]!MatrizCortoLargoCyl[#All],3,0),"")</f>
        <v/>
      </c>
      <c r="F1754" t="inlineStr">
        <is>
          <t>MELI/V/540,00/19-01-24</t>
        </is>
      </c>
      <c r="G1754" t="n">
        <v>-1</v>
      </c>
      <c r="H1754" t="n">
        <v>76.38</v>
      </c>
      <c r="I1754">
        <f>-H979/G979</f>
        <v/>
      </c>
    </row>
    <row r="1755">
      <c r="A1755" t="n">
        <v>6579</v>
      </c>
      <c r="B1755" s="16" t="n">
        <v>44614</v>
      </c>
      <c r="C1755" t="inlineStr">
        <is>
          <t>VTA</t>
        </is>
      </c>
      <c r="D1755" t="n">
        <v>39</v>
      </c>
      <c r="E1755">
        <f>IF(D1026&gt;0,VLOOKUP(OPERAC[[#This Row],[COD CART]],[1]!MatrizCortoLargoCyl[#All],3,0),"")</f>
        <v/>
      </c>
      <c r="F1755" t="inlineStr">
        <is>
          <t>FB/V/105,00/19-01-24</t>
        </is>
      </c>
      <c r="G1755" t="n">
        <v>-10</v>
      </c>
      <c r="H1755" t="n">
        <v>53.52</v>
      </c>
      <c r="I1755">
        <f>-H1026/G1026</f>
        <v/>
      </c>
    </row>
    <row r="1756">
      <c r="A1756" t="n">
        <v>6579</v>
      </c>
      <c r="B1756" s="16" t="n">
        <v>44614</v>
      </c>
      <c r="C1756" t="inlineStr">
        <is>
          <t>VTA</t>
        </is>
      </c>
      <c r="D1756" t="n">
        <v>39</v>
      </c>
      <c r="E1756">
        <f>IF(D1172&gt;0,VLOOKUP(OPERAC[[#This Row],[COD CART]],[1]!MatrizCortoLargoCyl[#All],3,0),"")</f>
        <v/>
      </c>
      <c r="F1756" t="inlineStr">
        <is>
          <t>NFLX/V/200,00/20-01-23</t>
        </is>
      </c>
      <c r="G1756" t="n">
        <v>-2</v>
      </c>
      <c r="H1756" t="n">
        <v>12.88</v>
      </c>
      <c r="I1756">
        <f>-H1172/G1172</f>
        <v/>
      </c>
      <c r="J1756" s="16" t="n">
        <v>44617</v>
      </c>
      <c r="K1756" t="n">
        <v>-2</v>
      </c>
      <c r="L1756" t="n">
        <v>-13.7168</v>
      </c>
    </row>
    <row r="1757">
      <c r="A1757" t="n">
        <v>6579</v>
      </c>
      <c r="B1757" s="16" t="n">
        <v>44614</v>
      </c>
      <c r="C1757" t="inlineStr">
        <is>
          <t>VTA</t>
        </is>
      </c>
      <c r="D1757" t="n">
        <v>39</v>
      </c>
      <c r="E1757">
        <f>IF(D1187&gt;0,VLOOKUP(OPERAC[[#This Row],[COD CART]],[1]!MatrizCortoLargoCyl[#All],3,0),"")</f>
        <v/>
      </c>
      <c r="F1757" t="inlineStr">
        <is>
          <t>DDD/V/10,00/20-01-23</t>
        </is>
      </c>
      <c r="G1757" t="n">
        <v>-10</v>
      </c>
      <c r="H1757" t="n">
        <v>10.37</v>
      </c>
      <c r="I1757">
        <f>-H1187/G1187</f>
        <v/>
      </c>
    </row>
    <row r="1758">
      <c r="A1758" t="n">
        <v>6579</v>
      </c>
      <c r="B1758" s="16" t="n">
        <v>44616</v>
      </c>
      <c r="C1758" t="inlineStr">
        <is>
          <t>VTA</t>
        </is>
      </c>
      <c r="D1758" t="n">
        <v>32</v>
      </c>
      <c r="E1758">
        <f>IF(D5565&gt;0,VLOOKUP(OPERAC[[#This Row],[COD CART]],[1]!MatrizCortoLargoCyl[#All],3,0),"")</f>
        <v/>
      </c>
      <c r="F1758" t="inlineStr">
        <is>
          <t>PLTR/CYL/12,00/14-04-22</t>
        </is>
      </c>
      <c r="G1758" t="n">
        <v>200</v>
      </c>
      <c r="H1758" t="n">
        <v>-2105.453</v>
      </c>
      <c r="I1758">
        <f>-H5565/G5565</f>
        <v/>
      </c>
      <c r="J1758" s="16" t="n">
        <v>44643</v>
      </c>
      <c r="K1758" t="n">
        <v>200</v>
      </c>
      <c r="L1758" t="n">
        <v>2293.448</v>
      </c>
    </row>
    <row r="1759">
      <c r="A1759" t="n">
        <v>6579</v>
      </c>
      <c r="B1759" s="16" t="n">
        <v>44622</v>
      </c>
      <c r="C1759" t="inlineStr">
        <is>
          <t>CPR</t>
        </is>
      </c>
      <c r="D1759" t="n">
        <v>32</v>
      </c>
      <c r="E1759">
        <f>IF(D2574&gt;0,VLOOKUP(OPERAC[[#This Row],[COD CART]],[1]!MatrizCortoLargoCyl[#All],3,0),"")</f>
        <v/>
      </c>
      <c r="F1759" t="inlineStr">
        <is>
          <t>HMY/CYL/5,00/18-03-22</t>
        </is>
      </c>
      <c r="G1759" t="n">
        <v>100</v>
      </c>
      <c r="H1759" t="n">
        <v>-468.532</v>
      </c>
      <c r="I1759">
        <f>-H2574/G2574</f>
        <v/>
      </c>
      <c r="J1759" s="16" t="n">
        <v>44637</v>
      </c>
      <c r="K1759">
        <f>+OPERAC[[#This Row],[cantidad]]</f>
        <v/>
      </c>
      <c r="L1759">
        <f>4.85553*OPERAC[[#This Row],[cantidad venta]]</f>
        <v/>
      </c>
    </row>
    <row r="1760">
      <c r="A1760" t="n">
        <v>6579</v>
      </c>
      <c r="B1760" s="16" t="n">
        <v>44636</v>
      </c>
      <c r="C1760" t="inlineStr">
        <is>
          <t>VTA</t>
        </is>
      </c>
      <c r="D1760" t="n">
        <v>43</v>
      </c>
      <c r="E1760">
        <f>IF(D1707&gt;0,VLOOKUP(OPERAC[[#This Row],[COD CART]],[1]!MatrizCortoLargoCyl[#All],3,0),"")</f>
        <v/>
      </c>
      <c r="F1760" t="inlineStr">
        <is>
          <t>GMBL/CYL-PUT/1,00/20-01-23</t>
        </is>
      </c>
      <c r="G1760" t="n">
        <v>1500</v>
      </c>
      <c r="H1760" t="n">
        <v>-245.0829749999998</v>
      </c>
      <c r="I1760">
        <f>-H1707/G1707</f>
        <v/>
      </c>
    </row>
    <row r="1761">
      <c r="A1761" t="n">
        <v>6579</v>
      </c>
      <c r="B1761" s="16" t="n">
        <v>44637</v>
      </c>
      <c r="C1761" t="inlineStr">
        <is>
          <t>VTA</t>
        </is>
      </c>
      <c r="D1761" t="n">
        <v>43</v>
      </c>
      <c r="E1761">
        <f>IF(D1330&gt;0,VLOOKUP(OPERAC[[#This Row],[COD CART]],[1]!MatrizCortoLargoCyl[#All],3,0),"")</f>
        <v/>
      </c>
      <c r="F1761" t="inlineStr">
        <is>
          <t>GMBL/CYL-PUT/1,00/20-01-23</t>
        </is>
      </c>
      <c r="G1761" t="n">
        <v>500</v>
      </c>
      <c r="H1761" t="n">
        <v>-103.91588</v>
      </c>
      <c r="I1761">
        <f>-H1330/G1330</f>
        <v/>
      </c>
    </row>
    <row r="1762">
      <c r="A1762" t="n">
        <v>6579</v>
      </c>
      <c r="B1762" s="16" t="n">
        <v>44641</v>
      </c>
      <c r="C1762" t="inlineStr">
        <is>
          <t>VTA</t>
        </is>
      </c>
      <c r="D1762" t="n">
        <v>42</v>
      </c>
      <c r="E1762">
        <f>IF(D3154&gt;0,VLOOKUP(OPERAC[[#This Row],[COD CART]],[1]!MatrizCortoLargoCyl[#All],3,0),"")</f>
        <v/>
      </c>
      <c r="F1762" t="inlineStr">
        <is>
          <t>FB</t>
        </is>
      </c>
      <c r="G1762" t="n">
        <v>3</v>
      </c>
      <c r="H1762" t="n">
        <v>-636.4691399999999</v>
      </c>
      <c r="I1762">
        <f>-H3154/G3154</f>
        <v/>
      </c>
      <c r="J1762" s="16" t="n">
        <v>44671</v>
      </c>
      <c r="K1762">
        <f>+OPERAC[[#This Row],[cantidad]]</f>
        <v/>
      </c>
      <c r="L1762">
        <f>+OPERAC[[#This Row],[cantidad venta]]*213.173</f>
        <v/>
      </c>
    </row>
    <row r="1763">
      <c r="A1763" t="n">
        <v>6579</v>
      </c>
      <c r="B1763" s="16" t="n">
        <v>44645</v>
      </c>
      <c r="C1763" t="inlineStr">
        <is>
          <t>VTA</t>
        </is>
      </c>
      <c r="D1763" t="n">
        <v>42</v>
      </c>
      <c r="E1763">
        <f>IF(D5497&gt;0,VLOOKUP(OPERAC[[#This Row],[COD CART]],[1]!MatrizCortoLargoCyl[#All],3,0),"")</f>
        <v/>
      </c>
      <c r="F1763" t="inlineStr">
        <is>
          <t>PLUG</t>
        </is>
      </c>
      <c r="G1763" t="n">
        <v>70</v>
      </c>
      <c r="H1763" t="n">
        <v>-1955.2148</v>
      </c>
      <c r="I1763">
        <f>-H5497/G5497</f>
        <v/>
      </c>
      <c r="J1763" s="16" t="n">
        <v>44652</v>
      </c>
      <c r="K1763">
        <f>+OPERAC[[#This Row],[cantidad]]</f>
        <v/>
      </c>
      <c r="L1763">
        <f>+OPERAC[[#This Row],[cantidad venta]]*27.754</f>
        <v/>
      </c>
    </row>
    <row r="1764">
      <c r="A1764" t="n">
        <v>6579</v>
      </c>
      <c r="B1764" s="16" t="n">
        <v>44652</v>
      </c>
      <c r="C1764" t="inlineStr">
        <is>
          <t>VTA</t>
        </is>
      </c>
      <c r="D1764" t="n">
        <v>42</v>
      </c>
      <c r="E1764">
        <f>IF(D5612&gt;0,VLOOKUP(OPERAC[[#This Row],[COD CART]],[1]!MatrizCortoLargoCyl[#All],3,0),"")</f>
        <v/>
      </c>
      <c r="F1764" t="inlineStr">
        <is>
          <t>GBTC</t>
        </is>
      </c>
      <c r="G1764" t="n">
        <v>70</v>
      </c>
      <c r="H1764" t="n">
        <v>-2247.686</v>
      </c>
      <c r="I1764">
        <f>-H5612/G5612</f>
        <v/>
      </c>
      <c r="J1764" s="16" t="n">
        <v>44662</v>
      </c>
      <c r="K1764">
        <f>+OPERAC[[#This Row],[cantidad]]</f>
        <v/>
      </c>
      <c r="L1764">
        <f>27.99*OPERAC[[#This Row],[cantidad venta]]</f>
        <v/>
      </c>
    </row>
    <row r="1765">
      <c r="A1765" t="n">
        <v>6579</v>
      </c>
      <c r="B1765" s="16" t="n">
        <v>44662</v>
      </c>
      <c r="C1765" t="inlineStr">
        <is>
          <t>CPR</t>
        </is>
      </c>
      <c r="D1765" t="n">
        <v>42</v>
      </c>
      <c r="E1765">
        <f>IF(D4422&gt;0,VLOOKUP(OPERAC[[#This Row],[COD CART]],[1]!MatrizCortoLargoCyl[#All],3,0),"")</f>
        <v/>
      </c>
      <c r="F1765" t="inlineStr">
        <is>
          <t>HYDR</t>
        </is>
      </c>
      <c r="G1765" t="n">
        <v>60</v>
      </c>
      <c r="H1765" t="n">
        <v>-1114.22064</v>
      </c>
      <c r="I1765">
        <f>-H4422/G4422</f>
        <v/>
      </c>
      <c r="J1765" s="16" t="n">
        <v>44693</v>
      </c>
      <c r="K1765">
        <f>+OPERAC[[#This Row],[cantidad]]</f>
        <v/>
      </c>
      <c r="L1765">
        <f>+OPERAC[[#This Row],[cantidad venta]]*12.027</f>
        <v/>
      </c>
    </row>
    <row r="1766">
      <c r="A1766" t="n">
        <v>6579</v>
      </c>
      <c r="B1766" s="16" t="n">
        <v>44664</v>
      </c>
      <c r="C1766" t="inlineStr">
        <is>
          <t>CPR</t>
        </is>
      </c>
      <c r="D1766" t="n">
        <v>42</v>
      </c>
      <c r="E1766">
        <f>IF(D4591&gt;0,VLOOKUP(OPERAC[[#This Row],[COD CART]],[1]!MatrizCortoLargoCyl[#All],3,0),"")</f>
        <v/>
      </c>
      <c r="F1766" t="inlineStr">
        <is>
          <t>PSQ</t>
        </is>
      </c>
      <c r="G1766" t="n">
        <v>100</v>
      </c>
      <c r="H1766" t="n">
        <v>-1243.2572181</v>
      </c>
      <c r="I1766">
        <f>-H4591/G4591</f>
        <v/>
      </c>
      <c r="J1766" s="16" t="n">
        <v>44680</v>
      </c>
      <c r="K1766">
        <f>+OPERAC[[#This Row],[cantidad]]</f>
        <v/>
      </c>
      <c r="L1766">
        <f>12.848*OPERAC[[#This Row],[cantidad venta]]</f>
        <v/>
      </c>
    </row>
    <row r="1767">
      <c r="A1767" t="n">
        <v>6579</v>
      </c>
      <c r="B1767" s="16" t="n">
        <v>44669</v>
      </c>
      <c r="C1767" t="inlineStr">
        <is>
          <t>VTA</t>
        </is>
      </c>
      <c r="D1767" t="n">
        <v>32</v>
      </c>
      <c r="E1767">
        <f>IF(D5632&gt;0,VLOOKUP(OPERAC[[#This Row],[COD CART]],[1]!MatrizCortoLargoCyl[#All],3,0),"")</f>
        <v/>
      </c>
      <c r="F1767" t="inlineStr">
        <is>
          <t>HMY</t>
        </is>
      </c>
      <c r="G1767" t="n">
        <v>500</v>
      </c>
      <c r="H1767">
        <f>-4.64*OPERAC[[#This Row],[cantidad]]</f>
        <v/>
      </c>
      <c r="I1767">
        <f>-H5632/G5632</f>
        <v/>
      </c>
    </row>
    <row r="1768">
      <c r="A1768" t="n">
        <v>6579</v>
      </c>
      <c r="B1768" s="16" t="n">
        <v>44671</v>
      </c>
      <c r="C1768" t="inlineStr">
        <is>
          <t>CPR</t>
        </is>
      </c>
      <c r="D1768" t="n">
        <v>42</v>
      </c>
      <c r="E1768">
        <f>IF(D3497&gt;0,VLOOKUP(OPERAC[[#This Row],[COD CART]],[1]!MatrizCortoLargoCyl[#All],3,0),"")</f>
        <v/>
      </c>
      <c r="F1768" t="inlineStr">
        <is>
          <t>NFLX</t>
        </is>
      </c>
      <c r="G1768" t="n">
        <v>3</v>
      </c>
      <c r="H1768" t="n">
        <v>-763.51518</v>
      </c>
      <c r="I1768">
        <f>-H3497/G3497</f>
        <v/>
      </c>
      <c r="J1768" s="16" t="n">
        <v>44693</v>
      </c>
      <c r="K1768">
        <f>+OPERAC[[#This Row],[cantidad]]</f>
        <v/>
      </c>
      <c r="L1768">
        <f>+OPERAC[[#This Row],[cantidad venta]]*169.079</f>
        <v/>
      </c>
    </row>
    <row r="1769">
      <c r="A1769" t="n">
        <v>6579</v>
      </c>
      <c r="B1769" s="16" t="n">
        <v>44680</v>
      </c>
      <c r="C1769" t="inlineStr">
        <is>
          <t>CPR</t>
        </is>
      </c>
      <c r="D1769" t="n">
        <v>42</v>
      </c>
      <c r="E1769">
        <f>IF(D4735&gt;0,VLOOKUP(OPERAC[[#This Row],[COD CART]],[1]!MatrizCortoLargoCyl[#All],3,0),"")</f>
        <v/>
      </c>
      <c r="F1769" t="inlineStr">
        <is>
          <t>XLP</t>
        </is>
      </c>
      <c r="G1769" t="n">
        <v>17</v>
      </c>
      <c r="H1769" t="n">
        <v>-1350.3865425</v>
      </c>
      <c r="I1769">
        <f>-H4735/G4735</f>
        <v/>
      </c>
      <c r="J1769" s="16" t="n">
        <v>44693</v>
      </c>
      <c r="K1769">
        <f>+OPERAC[[#This Row],[cantidad]]</f>
        <v/>
      </c>
      <c r="L1769">
        <f>+OPERAC[[#This Row],[cantidad venta]]*75.648</f>
        <v/>
      </c>
    </row>
    <row r="1770">
      <c r="A1770" t="n">
        <v>6579</v>
      </c>
      <c r="B1770" s="16" t="n">
        <v>44707</v>
      </c>
      <c r="C1770" t="inlineStr">
        <is>
          <t>CPR</t>
        </is>
      </c>
      <c r="D1770" t="n">
        <v>42</v>
      </c>
      <c r="E1770">
        <f>IF(D4476&gt;0,VLOOKUP(OPERAC[[#This Row],[COD CART]],[1]!MatrizCortoLargoCyl[#All],3,0),"")</f>
        <v/>
      </c>
      <c r="F1770" t="inlineStr">
        <is>
          <t>ET</t>
        </is>
      </c>
      <c r="G1770" t="n">
        <v>100</v>
      </c>
      <c r="H1770" t="n">
        <v>-1172.38125</v>
      </c>
      <c r="I1770">
        <f>-H4476/G4476</f>
        <v/>
      </c>
      <c r="J1770" s="16" t="n">
        <v>44712</v>
      </c>
      <c r="K1770" t="n">
        <v>100</v>
      </c>
      <c r="L1770" t="n">
        <v>1156.52</v>
      </c>
    </row>
    <row r="1771">
      <c r="A1771" t="n">
        <v>6579</v>
      </c>
      <c r="B1771" s="16" t="n">
        <v>44712</v>
      </c>
      <c r="C1771" t="inlineStr">
        <is>
          <t>CPR</t>
        </is>
      </c>
      <c r="D1771" t="n">
        <v>32</v>
      </c>
      <c r="E1771">
        <f>IF(D3250&gt;0,VLOOKUP(OPERAC[[#This Row],[COD CART]],[1]!MatrizCortoLargoCyl[#All],3,0),"")</f>
        <v/>
      </c>
      <c r="F1771" t="inlineStr">
        <is>
          <t>COTY/CYL/7,00/17-06-22</t>
        </is>
      </c>
      <c r="G1771" t="n">
        <v>100</v>
      </c>
      <c r="H1771" t="n">
        <v>-677.42</v>
      </c>
      <c r="I1771">
        <f>-H3250/G3250</f>
        <v/>
      </c>
    </row>
    <row r="1772">
      <c r="A1772" t="n">
        <v>6579</v>
      </c>
      <c r="B1772" s="16" t="n">
        <v>44712</v>
      </c>
      <c r="C1772" t="inlineStr">
        <is>
          <t>VTA</t>
        </is>
      </c>
      <c r="D1772" t="n">
        <v>39</v>
      </c>
      <c r="E1772">
        <f>IF(D1564&gt;0,VLOOKUP(OPERAC[[#This Row],[COD CART]],[1]!MatrizCortoLargoCyl[#All],3,0),"")</f>
        <v/>
      </c>
      <c r="F1772" t="inlineStr">
        <is>
          <t>ET/C/10,00/21-10-22</t>
        </is>
      </c>
      <c r="G1772" t="n">
        <v>100</v>
      </c>
      <c r="H1772" t="n">
        <v>-202.808</v>
      </c>
      <c r="I1772">
        <f>-H1564/G1564</f>
        <v/>
      </c>
    </row>
    <row r="1773">
      <c r="A1773" t="n">
        <v>6579</v>
      </c>
      <c r="B1773" s="16" t="n">
        <v>44718</v>
      </c>
      <c r="C1773" t="inlineStr">
        <is>
          <t>CPR</t>
        </is>
      </c>
      <c r="D1773" t="n">
        <v>32</v>
      </c>
      <c r="E1773">
        <f>IF(D4598&gt;0,VLOOKUP(OPERAC[[#This Row],[COD CART]],[1]!MatrizCortoLargoCyl[#All],3,0),"")</f>
        <v/>
      </c>
      <c r="F1773" t="inlineStr">
        <is>
          <t>CCL/CYL/13,00/17-06-22</t>
        </is>
      </c>
      <c r="G1773" t="n">
        <v>100</v>
      </c>
      <c r="H1773" t="n">
        <v>-1255.43</v>
      </c>
      <c r="I1773">
        <f>-H4598/G4598</f>
        <v/>
      </c>
    </row>
    <row r="1774">
      <c r="A1774" t="n">
        <v>6599</v>
      </c>
      <c r="B1774" s="16" t="n">
        <v>44523</v>
      </c>
      <c r="C1774" t="inlineStr">
        <is>
          <t>VTA</t>
        </is>
      </c>
      <c r="D1774" t="n">
        <v>40</v>
      </c>
      <c r="E1774">
        <f>IF(D2831&gt;0,VLOOKUP(OPERAC[[#This Row],[COD CART]],[1]!MatrizCortoLargoCyl[#All],3,0),"")</f>
        <v/>
      </c>
      <c r="F1774" t="inlineStr">
        <is>
          <t>EDU</t>
        </is>
      </c>
      <c r="G1774" t="n">
        <v>300</v>
      </c>
      <c r="H1774">
        <f>-533.847+0.026*OPERAC[[#This Row],[cantidad]]</f>
        <v/>
      </c>
      <c r="I1774">
        <f>-H2831/G2831</f>
        <v/>
      </c>
      <c r="J1774" s="16" t="n">
        <v>44617</v>
      </c>
      <c r="K1774" t="n">
        <v>300</v>
      </c>
      <c r="L1774" t="n">
        <v>410.636</v>
      </c>
    </row>
    <row r="1775">
      <c r="A1775" t="n">
        <v>6599</v>
      </c>
      <c r="B1775" s="16" t="n">
        <v>44557</v>
      </c>
      <c r="C1775" t="inlineStr">
        <is>
          <t>VTA</t>
        </is>
      </c>
      <c r="D1775" t="n">
        <v>39</v>
      </c>
      <c r="E1775">
        <f>IF(D682&gt;0,VLOOKUP(OPERAC[[#This Row],[COD CART]],[1]!MatrizCortoLargoCyl[#All],3,0),"")</f>
        <v/>
      </c>
      <c r="F1775" t="inlineStr">
        <is>
          <t>TSLA/V/850,00/07-01-22</t>
        </is>
      </c>
      <c r="G1775" t="n">
        <v>-300</v>
      </c>
      <c r="H1775" t="n">
        <v>434.166</v>
      </c>
      <c r="I1775">
        <f>-H682/G682</f>
        <v/>
      </c>
      <c r="J1775" s="16" t="n">
        <v>44564</v>
      </c>
      <c r="K1775" t="n">
        <v>-300</v>
      </c>
      <c r="L1775" t="n">
        <v>-84.71299999999999</v>
      </c>
    </row>
    <row r="1776">
      <c r="A1776" t="n">
        <v>6599</v>
      </c>
      <c r="B1776" s="16" t="n">
        <v>44558</v>
      </c>
      <c r="C1776" t="inlineStr">
        <is>
          <t>VTA</t>
        </is>
      </c>
      <c r="D1776" t="n">
        <v>40</v>
      </c>
      <c r="E1776">
        <f>IF(D1942&gt;0,VLOOKUP(OPERAC[[#This Row],[COD CART]],[1]!MatrizCortoLargoCyl[#All],3,0),"")</f>
        <v/>
      </c>
      <c r="F1776" t="inlineStr">
        <is>
          <t>UPST</t>
        </is>
      </c>
      <c r="G1776" t="n">
        <v>2</v>
      </c>
      <c r="H1776" t="n">
        <v>-301.2004</v>
      </c>
      <c r="I1776">
        <f>-H1942/G1942</f>
        <v/>
      </c>
      <c r="J1776" s="16" t="n">
        <v>44606</v>
      </c>
      <c r="K1776">
        <f>+OPERAC[[#This Row],[cantidad]]</f>
        <v/>
      </c>
      <c r="L1776">
        <f>+OPERAC[[#This Row],[cantidad venta]]*98.994</f>
        <v/>
      </c>
    </row>
    <row r="1777">
      <c r="A1777" t="n">
        <v>6599</v>
      </c>
      <c r="B1777" s="16" t="n">
        <v>44564</v>
      </c>
      <c r="C1777" t="inlineStr">
        <is>
          <t>VTA</t>
        </is>
      </c>
      <c r="D1777" t="n">
        <v>39</v>
      </c>
      <c r="E1777">
        <f>IF(D976&gt;0,VLOOKUP(OPERAC[[#This Row],[COD CART]],[1]!MatrizCortoLargoCyl[#All],3,0),"")</f>
        <v/>
      </c>
      <c r="F1777" t="inlineStr">
        <is>
          <t>TSLA/V/975,00/07-01-22</t>
        </is>
      </c>
      <c r="G1777" t="n">
        <v>-100</v>
      </c>
      <c r="H1777" t="n">
        <v>77.2578</v>
      </c>
      <c r="I1777">
        <f>-H976/G976</f>
        <v/>
      </c>
      <c r="J1777" s="16" t="n">
        <v>44567</v>
      </c>
      <c r="K1777" t="n">
        <v>-100</v>
      </c>
      <c r="L1777" t="n">
        <v>-77.26000000000001</v>
      </c>
    </row>
    <row r="1778">
      <c r="A1778" t="n">
        <v>6599</v>
      </c>
      <c r="B1778" s="16" t="n">
        <v>44567</v>
      </c>
      <c r="C1778" t="inlineStr">
        <is>
          <t>VTA</t>
        </is>
      </c>
      <c r="D1778" t="n">
        <v>39</v>
      </c>
      <c r="E1778">
        <f>IF(D616&gt;0,VLOOKUP(OPERAC[[#This Row],[COD CART]],[1]!MatrizCortoLargoCyl[#All],3,0),"")</f>
        <v/>
      </c>
      <c r="F1778" t="inlineStr">
        <is>
          <t>TSLA/V/880,00/14-01-22</t>
        </is>
      </c>
      <c r="G1778" t="n">
        <v>-100</v>
      </c>
      <c r="H1778" t="n">
        <v>594.9337</v>
      </c>
      <c r="I1778">
        <f>-H616/G616</f>
        <v/>
      </c>
      <c r="J1778" s="16" t="n">
        <v>44571</v>
      </c>
      <c r="K1778" t="n">
        <v>-100</v>
      </c>
      <c r="L1778" t="n">
        <v>-336.3553</v>
      </c>
    </row>
    <row r="1779">
      <c r="A1779" t="n">
        <v>6599</v>
      </c>
      <c r="B1779" s="16" t="n">
        <v>44608</v>
      </c>
      <c r="C1779" t="inlineStr">
        <is>
          <t>VTA</t>
        </is>
      </c>
      <c r="D1779" t="n">
        <v>40</v>
      </c>
      <c r="E1779">
        <f>IF(D1780&gt;0,VLOOKUP(OPERAC[[#This Row],[COD CART]],[1]!MatrizCortoLargoCyl[#All],3,0),"")</f>
        <v/>
      </c>
      <c r="F1779" t="inlineStr">
        <is>
          <t>NVDA</t>
        </is>
      </c>
      <c r="G1779" t="n">
        <v>1</v>
      </c>
      <c r="H1779" t="n">
        <v>-263.514</v>
      </c>
      <c r="I1779">
        <f>-H1780/G1780</f>
        <v/>
      </c>
      <c r="J1779" s="16" t="n">
        <v>44616</v>
      </c>
      <c r="K1779">
        <f>+OPERAC[[#This Row],[cantidad]]</f>
        <v/>
      </c>
      <c r="L1779">
        <f>+OPERAC[[#This Row],[cantidad venta]]*224.117</f>
        <v/>
      </c>
    </row>
    <row r="1780">
      <c r="A1780" t="n">
        <v>6628</v>
      </c>
      <c r="B1780" s="16" t="n">
        <v>44411</v>
      </c>
      <c r="C1780" t="inlineStr">
        <is>
          <t>VTA</t>
        </is>
      </c>
      <c r="D1780" t="n">
        <v>40</v>
      </c>
      <c r="E1780">
        <f>IF(D2119&gt;0,VLOOKUP(OPERAC[[#This Row],[COD CART]],[1]!MatrizCortoLargoCyl[#All],3,0),"")</f>
        <v/>
      </c>
      <c r="F1780" t="inlineStr">
        <is>
          <t>EDU</t>
        </is>
      </c>
      <c r="G1780" t="n">
        <v>200</v>
      </c>
      <c r="H1780">
        <f>-415.482+30.334+44.287</f>
        <v/>
      </c>
      <c r="I1780">
        <f>-H2119/G2119</f>
        <v/>
      </c>
      <c r="J1780" s="16" t="n">
        <v>44606</v>
      </c>
      <c r="K1780" t="n">
        <v>200</v>
      </c>
      <c r="L1780" t="n">
        <v>293.993</v>
      </c>
    </row>
    <row r="1781">
      <c r="A1781" t="n">
        <v>6628</v>
      </c>
      <c r="B1781" s="16" t="n">
        <v>44424</v>
      </c>
      <c r="C1781" t="inlineStr">
        <is>
          <t>CPR</t>
        </is>
      </c>
      <c r="D1781" t="n">
        <v>32</v>
      </c>
      <c r="E1781">
        <f>IF(D3711&gt;0,VLOOKUP(OPERAC[[#This Row],[COD CART]],[1]!MatrizCortoLargoCyl[#All],3,0),"")</f>
        <v/>
      </c>
      <c r="F1781" t="inlineStr">
        <is>
          <t>INO/CYL/8,00/18-02-22</t>
        </is>
      </c>
      <c r="G1781" t="n">
        <v>100</v>
      </c>
      <c r="H1781">
        <f>-893.47712+16.234+7.216+11.084+14.579+4.707</f>
        <v/>
      </c>
      <c r="I1781">
        <f>-H3711/G3711</f>
        <v/>
      </c>
      <c r="J1781" s="16" t="n">
        <v>44596</v>
      </c>
      <c r="K1781" t="n">
        <v>100</v>
      </c>
      <c r="L1781">
        <f>3.665*OPERAC[[#This Row],[cantidad venta]]</f>
        <v/>
      </c>
    </row>
    <row r="1782">
      <c r="A1782" t="n">
        <v>6628</v>
      </c>
      <c r="B1782" s="16" t="n">
        <v>44487</v>
      </c>
      <c r="C1782" t="inlineStr">
        <is>
          <t>VTA</t>
        </is>
      </c>
      <c r="D1782" t="n">
        <v>40</v>
      </c>
      <c r="E1782">
        <f>IF(D5140&gt;0,VLOOKUP(OPERAC[[#This Row],[COD CART]],[1]!MatrizCortoLargoCyl[#All],3,0),"")</f>
        <v/>
      </c>
      <c r="F1782" t="inlineStr">
        <is>
          <t>MELI</t>
        </is>
      </c>
      <c r="G1782" t="n">
        <v>1</v>
      </c>
      <c r="H1782" t="n">
        <v>-1603.127</v>
      </c>
      <c r="I1782">
        <f>-H5140/G5140</f>
        <v/>
      </c>
      <c r="J1782" s="16" t="n">
        <v>44606</v>
      </c>
      <c r="K1782" t="n">
        <v>1</v>
      </c>
      <c r="L1782" t="n">
        <v>1073.609</v>
      </c>
    </row>
    <row r="1783">
      <c r="A1783" t="n">
        <v>6628</v>
      </c>
      <c r="B1783" s="16" t="n">
        <v>44494</v>
      </c>
      <c r="C1783" t="inlineStr">
        <is>
          <t>VTA</t>
        </is>
      </c>
      <c r="D1783" t="n">
        <v>40</v>
      </c>
      <c r="E1783">
        <f>IF(D2553&gt;0,VLOOKUP(OPERAC[[#This Row],[COD CART]],[1]!MatrizCortoLargoCyl[#All],3,0),"")</f>
        <v/>
      </c>
      <c r="F1783" t="inlineStr">
        <is>
          <t>YPF</t>
        </is>
      </c>
      <c r="G1783" t="n">
        <v>100</v>
      </c>
      <c r="H1783" t="n">
        <v>-465.272</v>
      </c>
      <c r="I1783">
        <f>-H2553/G2553</f>
        <v/>
      </c>
      <c r="J1783" s="16" t="n">
        <v>44606</v>
      </c>
      <c r="K1783">
        <f>+OPERAC[[#This Row],[cantidad]]</f>
        <v/>
      </c>
      <c r="L1783">
        <f>+OPERAC[[#This Row],[cantidad venta]]*4.161</f>
        <v/>
      </c>
    </row>
    <row r="1784">
      <c r="A1784" t="n">
        <v>6628</v>
      </c>
      <c r="B1784" s="16" t="n">
        <v>44523</v>
      </c>
      <c r="C1784" t="inlineStr">
        <is>
          <t>VTA</t>
        </is>
      </c>
      <c r="D1784" t="n">
        <v>32</v>
      </c>
      <c r="E1784">
        <f>IF(D3735&gt;0,VLOOKUP(OPERAC[[#This Row],[COD CART]],[1]!MatrizCortoLargoCyl[#All],3,0),"")</f>
        <v/>
      </c>
      <c r="F1784" t="inlineStr">
        <is>
          <t>TEVA/CYL/9,00/21-01-22</t>
        </is>
      </c>
      <c r="G1784" t="n">
        <v>100</v>
      </c>
      <c r="H1784">
        <f>-861.6332+18.874</f>
        <v/>
      </c>
      <c r="I1784">
        <f>-H3735/G3735</f>
        <v/>
      </c>
      <c r="J1784" s="16" t="n">
        <v>44575</v>
      </c>
      <c r="K1784" t="n">
        <v>100</v>
      </c>
      <c r="L1784" t="n">
        <v>878.913</v>
      </c>
    </row>
    <row r="1785">
      <c r="A1785" t="n">
        <v>6628</v>
      </c>
      <c r="B1785" s="16" t="n">
        <v>44531</v>
      </c>
      <c r="C1785" t="inlineStr">
        <is>
          <t>VTA</t>
        </is>
      </c>
      <c r="D1785" t="n">
        <v>39</v>
      </c>
      <c r="E1785">
        <f>IF(D716&gt;0,VLOOKUP(OPERAC[[#This Row],[COD CART]],[1]!MatrizCortoLargoCyl[#All],3,0),"")</f>
        <v/>
      </c>
      <c r="F1785" t="inlineStr">
        <is>
          <t>MELI/V/740,00/16-09-22</t>
        </is>
      </c>
      <c r="G1785" t="n">
        <v>-200</v>
      </c>
      <c r="H1785">
        <f>-2*OPERAC[[#This Row],[cantidad]]</f>
        <v/>
      </c>
      <c r="I1785">
        <f>-H716/G716</f>
        <v/>
      </c>
      <c r="J1785" s="16" t="n">
        <v>44614</v>
      </c>
      <c r="K1785">
        <f>+OPERAC[[#This Row],[cantidad]]</f>
        <v/>
      </c>
      <c r="L1785" t="n">
        <v>-400</v>
      </c>
    </row>
    <row r="1786">
      <c r="A1786" t="n">
        <v>6628</v>
      </c>
      <c r="B1786" s="16" t="n">
        <v>44532</v>
      </c>
      <c r="C1786" t="inlineStr">
        <is>
          <t>VTA</t>
        </is>
      </c>
      <c r="D1786" t="n">
        <v>32</v>
      </c>
      <c r="E1786">
        <f>IF(D3924&gt;0,VLOOKUP(OPERAC[[#This Row],[COD CART]],[1]!MatrizCortoLargoCyl[#All],3,0),"")</f>
        <v/>
      </c>
      <c r="F1786" t="inlineStr">
        <is>
          <t>COTY/CYL/10,00/18-02-22</t>
        </is>
      </c>
      <c r="G1786" t="n">
        <v>100</v>
      </c>
      <c r="H1786">
        <f>-901.599+20.838</f>
        <v/>
      </c>
      <c r="I1786">
        <f>-H3924/G3924</f>
        <v/>
      </c>
      <c r="J1786" s="16" t="n">
        <v>44608</v>
      </c>
      <c r="K1786">
        <f>+OPERAC[[#This Row],[cantidad]]</f>
        <v/>
      </c>
      <c r="L1786" t="n">
        <v>941.701</v>
      </c>
    </row>
    <row r="1787">
      <c r="A1787" t="n">
        <v>6628</v>
      </c>
      <c r="B1787" s="16" t="n">
        <v>44536</v>
      </c>
      <c r="C1787" t="inlineStr">
        <is>
          <t>VTA</t>
        </is>
      </c>
      <c r="D1787" t="n">
        <v>43</v>
      </c>
      <c r="E1787">
        <f>IF(D1647&gt;0,VLOOKUP(OPERAC[[#This Row],[COD CART]],[1]!MatrizCortoLargoCyl[#All],3,0),"")</f>
        <v/>
      </c>
      <c r="F1787" t="inlineStr">
        <is>
          <t>XSPA/CYL-PUT/1,50/20-01-23</t>
        </is>
      </c>
      <c r="G1787" t="n">
        <v>500</v>
      </c>
      <c r="H1787">
        <f>-0.4462*OPERAC[[#This Row],[cantidad]]</f>
        <v/>
      </c>
      <c r="I1787">
        <f>-H1647/G1647</f>
        <v/>
      </c>
      <c r="J1787" s="16" t="n">
        <v>44697</v>
      </c>
      <c r="K1787" t="n">
        <v>500</v>
      </c>
      <c r="L1787" t="n">
        <v>-51.58</v>
      </c>
    </row>
    <row r="1788">
      <c r="A1788" t="n">
        <v>6628</v>
      </c>
      <c r="B1788" s="16" t="n">
        <v>44536</v>
      </c>
      <c r="C1788" t="inlineStr">
        <is>
          <t>VTA</t>
        </is>
      </c>
      <c r="D1788" t="n">
        <v>43</v>
      </c>
      <c r="E1788">
        <f>IF(D2889&gt;0,VLOOKUP(OPERAC[[#This Row],[COD CART]],[1]!MatrizCortoLargoCyl[#All],3,0),"")</f>
        <v/>
      </c>
      <c r="F1788" t="inlineStr">
        <is>
          <t>NNDM/CYL-PUT/2,50/19-01-24</t>
        </is>
      </c>
      <c r="G1788" t="n">
        <v>500</v>
      </c>
      <c r="H1788">
        <f>-1.08*OPERAC[[#This Row],[cantidad]]</f>
        <v/>
      </c>
      <c r="I1788">
        <f>-H2889/G2889</f>
        <v/>
      </c>
    </row>
    <row r="1789">
      <c r="A1789" t="n">
        <v>6628</v>
      </c>
      <c r="B1789" s="16" t="n">
        <v>44539</v>
      </c>
      <c r="C1789" t="inlineStr">
        <is>
          <t>CPR</t>
        </is>
      </c>
      <c r="D1789" t="n">
        <v>40</v>
      </c>
      <c r="E1789">
        <f>IF(D4643&gt;0,VLOOKUP(OPERAC[[#This Row],[COD CART]],[1]!MatrizCortoLargoCyl[#All],3,0),"")</f>
        <v/>
      </c>
      <c r="F1789" t="inlineStr">
        <is>
          <t>ROKU</t>
        </is>
      </c>
      <c r="G1789" t="n">
        <v>5</v>
      </c>
      <c r="H1789" t="n">
        <v>-1288.6018</v>
      </c>
      <c r="I1789">
        <f>-H4643/G4643</f>
        <v/>
      </c>
      <c r="J1789" s="16" t="n">
        <v>44606</v>
      </c>
      <c r="K1789">
        <f>+OPERAC[[#This Row],[cantidad]]</f>
        <v/>
      </c>
      <c r="L1789">
        <f>+OPERAC[[#This Row],[cantidad venta]]*160.574</f>
        <v/>
      </c>
    </row>
    <row r="1790">
      <c r="A1790" t="n">
        <v>6628</v>
      </c>
      <c r="B1790" s="16" t="n">
        <v>44550</v>
      </c>
      <c r="C1790" t="inlineStr">
        <is>
          <t>VTA</t>
        </is>
      </c>
      <c r="D1790" t="n">
        <v>40</v>
      </c>
      <c r="E1790">
        <f>IF(D1917&gt;0,VLOOKUP(OPERAC[[#This Row],[COD CART]],[1]!MatrizCortoLargoCyl[#All],3,0),"")</f>
        <v/>
      </c>
      <c r="F1790" t="inlineStr">
        <is>
          <t>SMH</t>
        </is>
      </c>
      <c r="G1790" t="n">
        <v>1</v>
      </c>
      <c r="H1790" t="n">
        <v>-293.97304</v>
      </c>
      <c r="I1790">
        <f>-H1917/G1917</f>
        <v/>
      </c>
      <c r="J1790" s="16" t="n">
        <v>44574</v>
      </c>
      <c r="K1790">
        <f>+OPERAC[[#This Row],[cantidad]]</f>
        <v/>
      </c>
      <c r="L1790">
        <f>+OPERAC[[#This Row],[cantidad venta]]*306.843</f>
        <v/>
      </c>
    </row>
    <row r="1791">
      <c r="A1791" t="n">
        <v>6628</v>
      </c>
      <c r="B1791" s="16" t="n">
        <v>44552</v>
      </c>
      <c r="C1791" t="inlineStr">
        <is>
          <t>VTA</t>
        </is>
      </c>
      <c r="D1791" t="n">
        <v>32</v>
      </c>
      <c r="E1791">
        <f>IF(D2241&gt;0,VLOOKUP(OPERAC[[#This Row],[COD CART]],[1]!MatrizCortoLargoCyl[#All],3,0),"")</f>
        <v/>
      </c>
      <c r="F1791" t="inlineStr">
        <is>
          <t>HMY/CYL/4,00/21-01-22</t>
        </is>
      </c>
      <c r="G1791" t="n">
        <v>100</v>
      </c>
      <c r="H1791">
        <f>-3.8*OPERAC[[#This Row],[cantidad]]</f>
        <v/>
      </c>
      <c r="I1791">
        <f>-H2241/G2241</f>
        <v/>
      </c>
      <c r="J1791" s="16" t="n">
        <v>44580</v>
      </c>
      <c r="K1791" t="n">
        <v>100</v>
      </c>
      <c r="L1791" t="n">
        <v>393.93</v>
      </c>
    </row>
    <row r="1792">
      <c r="A1792" t="n">
        <v>6628</v>
      </c>
      <c r="B1792" s="16" t="n">
        <v>44553</v>
      </c>
      <c r="C1792" t="inlineStr">
        <is>
          <t>VTA</t>
        </is>
      </c>
      <c r="D1792" t="n">
        <v>40</v>
      </c>
      <c r="E1792">
        <f>IF(D1802&gt;0,VLOOKUP(OPERAC[[#This Row],[COD CART]],[1]!MatrizCortoLargoCyl[#All],3,0),"")</f>
        <v/>
      </c>
      <c r="F1792" t="inlineStr">
        <is>
          <t>ON</t>
        </is>
      </c>
      <c r="G1792" t="n">
        <v>4</v>
      </c>
      <c r="H1792" t="n">
        <v>-268.4544319999999</v>
      </c>
      <c r="I1792">
        <f>-H1802/G1802</f>
        <v/>
      </c>
      <c r="J1792" s="16" t="n">
        <v>44606</v>
      </c>
      <c r="K1792">
        <f>+OPERAC[[#This Row],[cantidad]]</f>
        <v/>
      </c>
      <c r="L1792">
        <f>+OPERAC[[#This Row],[cantidad venta]]*58.449</f>
        <v/>
      </c>
    </row>
    <row r="1793">
      <c r="A1793" t="n">
        <v>6628</v>
      </c>
      <c r="B1793" s="16" t="n">
        <v>44558</v>
      </c>
      <c r="C1793" t="inlineStr">
        <is>
          <t>VTA</t>
        </is>
      </c>
      <c r="D1793" t="n">
        <v>40</v>
      </c>
      <c r="E1793">
        <f>IF(D1943&gt;0,VLOOKUP(OPERAC[[#This Row],[COD CART]],[1]!MatrizCortoLargoCyl[#All],3,0),"")</f>
        <v/>
      </c>
      <c r="F1793" t="inlineStr">
        <is>
          <t>UPST</t>
        </is>
      </c>
      <c r="G1793" t="n">
        <v>2</v>
      </c>
      <c r="H1793" t="n">
        <v>-301.2004</v>
      </c>
      <c r="I1793">
        <f>-H1943/G1943</f>
        <v/>
      </c>
      <c r="J1793" s="16" t="n">
        <v>44606</v>
      </c>
      <c r="K1793">
        <f>+OPERAC[[#This Row],[cantidad]]</f>
        <v/>
      </c>
      <c r="L1793">
        <f>+OPERAC[[#This Row],[cantidad venta]]*98.994</f>
        <v/>
      </c>
    </row>
    <row r="1794">
      <c r="A1794" t="n">
        <v>6628</v>
      </c>
      <c r="B1794" s="16" t="n">
        <v>44581</v>
      </c>
      <c r="C1794" t="inlineStr">
        <is>
          <t>CPR</t>
        </is>
      </c>
      <c r="D1794" t="n">
        <v>32</v>
      </c>
      <c r="E1794">
        <f>IF(D3569&gt;0,VLOOKUP(OPERAC[[#This Row],[COD CART]],[1]!MatrizCortoLargoCyl[#All],3,0),"")</f>
        <v/>
      </c>
      <c r="F1794" t="inlineStr">
        <is>
          <t>HMY/CYL/4,00/18-02-22</t>
        </is>
      </c>
      <c r="G1794" t="n">
        <v>200</v>
      </c>
      <c r="H1794" t="n">
        <v>-774.9359920000001</v>
      </c>
      <c r="I1794">
        <f>-H3569/G3569</f>
        <v/>
      </c>
      <c r="J1794" s="16" t="n">
        <v>44610</v>
      </c>
      <c r="K1794">
        <f>+OPERAC[[#This Row],[cantidad]]</f>
        <v/>
      </c>
      <c r="L1794">
        <f>+OPERAC[[#This Row],[cantidad venta]]*3.8323</f>
        <v/>
      </c>
    </row>
    <row r="1795">
      <c r="A1795" t="n">
        <v>6628</v>
      </c>
      <c r="B1795" s="16" t="n">
        <v>44586</v>
      </c>
      <c r="C1795" t="inlineStr">
        <is>
          <t>CPR</t>
        </is>
      </c>
      <c r="D1795" t="n">
        <v>43</v>
      </c>
      <c r="E1795">
        <f>IF(D4251&gt;0,VLOOKUP(OPERAC[[#This Row],[COD CART]],[1]!MatrizCortoLargoCyl[#All],3,0),"")</f>
        <v/>
      </c>
      <c r="F1795" t="inlineStr">
        <is>
          <t>GMBL/CYL-PUT/2,50/20-01-23</t>
        </is>
      </c>
      <c r="G1795" t="n">
        <v>1000</v>
      </c>
      <c r="H1795" t="n">
        <v>-1016.0423</v>
      </c>
      <c r="I1795">
        <f>-H4251/G4251</f>
        <v/>
      </c>
      <c r="J1795" s="16" t="n">
        <v>44697</v>
      </c>
      <c r="K1795" t="n">
        <v>1000</v>
      </c>
      <c r="L1795" t="n">
        <v>-1719.026</v>
      </c>
    </row>
    <row r="1796">
      <c r="A1796" t="n">
        <v>6628</v>
      </c>
      <c r="B1796" s="16" t="n">
        <v>44596</v>
      </c>
      <c r="C1796" t="inlineStr">
        <is>
          <t>VTA</t>
        </is>
      </c>
      <c r="D1796" t="n">
        <v>39</v>
      </c>
      <c r="E1796">
        <f>IF(D780&gt;0,VLOOKUP(OPERAC[[#This Row],[COD CART]],[1]!MatrizCortoLargoCyl[#All],3,0),"")</f>
        <v/>
      </c>
      <c r="F1796" t="inlineStr">
        <is>
          <t>SMH/V/260,00/11-02-22</t>
        </is>
      </c>
      <c r="G1796" t="n">
        <v>-100</v>
      </c>
      <c r="H1796" t="n">
        <v>300.863</v>
      </c>
      <c r="I1796">
        <f>-H780/G780</f>
        <v/>
      </c>
      <c r="J1796" s="16" t="n">
        <v>44603</v>
      </c>
      <c r="K1796" t="n">
        <v>-100</v>
      </c>
      <c r="L1796" t="n">
        <v>-10</v>
      </c>
    </row>
    <row r="1797">
      <c r="A1797" t="n">
        <v>6628</v>
      </c>
      <c r="B1797" s="16" t="n">
        <v>44607</v>
      </c>
      <c r="C1797" t="inlineStr">
        <is>
          <t>VTA</t>
        </is>
      </c>
      <c r="D1797" t="n">
        <v>32</v>
      </c>
      <c r="E1797">
        <f>IF(D5027&gt;0,VLOOKUP(OPERAC[[#This Row],[COD CART]],[1]!MatrizCortoLargoCyl[#All],3,0),"")</f>
        <v/>
      </c>
      <c r="F1797" t="inlineStr">
        <is>
          <t>DDD/CYL/16,00/18-03-22</t>
        </is>
      </c>
      <c r="G1797" t="n">
        <v>100</v>
      </c>
      <c r="H1797" t="n">
        <v>-1552.775</v>
      </c>
      <c r="I1797">
        <f>-H5027/G5027</f>
        <v/>
      </c>
      <c r="J1797" s="16" t="n">
        <v>44638</v>
      </c>
      <c r="K1797" t="n">
        <v>100</v>
      </c>
      <c r="L1797">
        <f>15.866*OPERAC[[#This Row],[cantidad venta]]</f>
        <v/>
      </c>
    </row>
    <row r="1798">
      <c r="A1798" t="n">
        <v>6628</v>
      </c>
      <c r="B1798" s="16" t="n">
        <v>44607</v>
      </c>
      <c r="C1798" t="inlineStr">
        <is>
          <t>VTA</t>
        </is>
      </c>
      <c r="D1798" t="n">
        <v>32</v>
      </c>
      <c r="E1798">
        <f>IF(D5213&gt;0,VLOOKUP(OPERAC[[#This Row],[COD CART]],[1]!MatrizCortoLargoCyl[#All],3,0),"")</f>
        <v/>
      </c>
      <c r="F1798" t="inlineStr">
        <is>
          <t>F/CYL/17,00/18-03-22</t>
        </is>
      </c>
      <c r="G1798" t="n">
        <v>100</v>
      </c>
      <c r="H1798" t="n">
        <v>-1658.76</v>
      </c>
      <c r="I1798">
        <f>-H5213/G5213</f>
        <v/>
      </c>
      <c r="J1798" s="16" t="n">
        <v>44638</v>
      </c>
      <c r="K1798">
        <f>+OPERAC[[#This Row],[cantidad]]</f>
        <v/>
      </c>
      <c r="L1798">
        <f>+OPERAC[[#This Row],[cantidad venta]]*16.75</f>
        <v/>
      </c>
    </row>
    <row r="1799">
      <c r="A1799" t="n">
        <v>6628</v>
      </c>
      <c r="B1799" s="16" t="n">
        <v>44609</v>
      </c>
      <c r="C1799" t="inlineStr">
        <is>
          <t>VTA</t>
        </is>
      </c>
      <c r="D1799" t="n">
        <v>32</v>
      </c>
      <c r="E1799">
        <f>IF(D3870&gt;0,VLOOKUP(OPERAC[[#This Row],[COD CART]],[1]!MatrizCortoLargoCyl[#All],3,0),"")</f>
        <v/>
      </c>
      <c r="F1799" t="inlineStr">
        <is>
          <t>HIMX/CYL/9,00/18-03-22</t>
        </is>
      </c>
      <c r="G1799" t="n">
        <v>100</v>
      </c>
      <c r="H1799" t="n">
        <v>-869.5839999999999</v>
      </c>
      <c r="I1799">
        <f>-H3870/G3870</f>
        <v/>
      </c>
      <c r="J1799" s="16" t="n">
        <v>44622</v>
      </c>
      <c r="K1799">
        <f>+OPERAC[[#This Row],[cantidad]]</f>
        <v/>
      </c>
      <c r="L1799" t="n">
        <v>883.576</v>
      </c>
    </row>
    <row r="1800">
      <c r="A1800" t="n">
        <v>6628</v>
      </c>
      <c r="B1800" s="16" t="n">
        <v>44614</v>
      </c>
      <c r="C1800" t="inlineStr">
        <is>
          <t>VTA</t>
        </is>
      </c>
      <c r="D1800" t="n">
        <v>39</v>
      </c>
      <c r="E1800">
        <f>IF(D1005&gt;0,VLOOKUP(OPERAC[[#This Row],[COD CART]],[1]!MatrizCortoLargoCyl[#All],3,0),"")</f>
        <v/>
      </c>
      <c r="F1800" t="inlineStr">
        <is>
          <t>MELI/V/500,00/19-01-24</t>
        </is>
      </c>
      <c r="G1800" t="n">
        <v>-1</v>
      </c>
      <c r="H1800" t="n">
        <v>64.48</v>
      </c>
      <c r="I1800">
        <f>-H1005/G1005</f>
        <v/>
      </c>
    </row>
    <row r="1801">
      <c r="A1801" t="n">
        <v>6628</v>
      </c>
      <c r="B1801" s="16" t="n">
        <v>44614</v>
      </c>
      <c r="C1801" t="inlineStr">
        <is>
          <t>VTA</t>
        </is>
      </c>
      <c r="D1801" t="n">
        <v>39</v>
      </c>
      <c r="E1801">
        <f>IF(D1081&gt;0,VLOOKUP(OPERAC[[#This Row],[COD CART]],[1]!MatrizCortoLargoCyl[#All],3,0),"")</f>
        <v/>
      </c>
      <c r="F1801" t="inlineStr">
        <is>
          <t>ACB/V/5,00/20-01-23</t>
        </is>
      </c>
      <c r="G1801" t="n">
        <v>-15</v>
      </c>
      <c r="H1801" t="n">
        <v>30.39</v>
      </c>
      <c r="I1801">
        <f>-H1081/G1081</f>
        <v/>
      </c>
      <c r="J1801" s="16" t="n">
        <v>44617</v>
      </c>
      <c r="K1801" t="n">
        <v>-15</v>
      </c>
      <c r="L1801" t="n">
        <v>-32.2475</v>
      </c>
    </row>
    <row r="1802">
      <c r="A1802" t="n">
        <v>6628</v>
      </c>
      <c r="B1802" s="16" t="n">
        <v>44615</v>
      </c>
      <c r="C1802" t="inlineStr">
        <is>
          <t>VTA</t>
        </is>
      </c>
      <c r="D1802" t="n">
        <v>39</v>
      </c>
      <c r="E1802">
        <f>IF(D1076&gt;0,VLOOKUP(OPERAC[[#This Row],[COD CART]],[1]!MatrizCortoLargoCyl[#All],3,0),"")</f>
        <v/>
      </c>
      <c r="F1802" t="inlineStr">
        <is>
          <t>MELI/V/500,00/20-01-23</t>
        </is>
      </c>
      <c r="G1802" t="n">
        <v>-1</v>
      </c>
      <c r="H1802" t="n">
        <v>31.24</v>
      </c>
      <c r="I1802">
        <f>-H1076/G1076</f>
        <v/>
      </c>
      <c r="J1802" s="16" t="n">
        <v>44617</v>
      </c>
      <c r="K1802" t="n">
        <v>-1</v>
      </c>
      <c r="L1802" t="n">
        <v>-24.195</v>
      </c>
    </row>
    <row r="1803">
      <c r="A1803" t="n">
        <v>6628</v>
      </c>
      <c r="B1803" s="16" t="n">
        <v>44616</v>
      </c>
      <c r="C1803" t="inlineStr">
        <is>
          <t>VTA</t>
        </is>
      </c>
      <c r="D1803" t="n">
        <v>39</v>
      </c>
      <c r="E1803">
        <f>IF(D563&gt;0,VLOOKUP(OPERAC[[#This Row],[COD CART]],[1]!MatrizCortoLargoCyl[#All],3,0),"")</f>
        <v/>
      </c>
      <c r="F1803" t="inlineStr">
        <is>
          <t>MELI/V/850,00/25-02-22</t>
        </is>
      </c>
      <c r="G1803" t="n">
        <v>-1000</v>
      </c>
      <c r="H1803" t="n">
        <v>694.4</v>
      </c>
      <c r="I1803">
        <f>-H563/G563</f>
        <v/>
      </c>
      <c r="J1803" s="16" t="n">
        <v>44616</v>
      </c>
      <c r="K1803">
        <f>-500-500</f>
        <v/>
      </c>
      <c r="L1803">
        <f>-255.5-100.8</f>
        <v/>
      </c>
    </row>
    <row r="1804">
      <c r="A1804" t="n">
        <v>6628</v>
      </c>
      <c r="B1804" s="16" t="n">
        <v>44616</v>
      </c>
      <c r="C1804" t="inlineStr">
        <is>
          <t>VTA</t>
        </is>
      </c>
      <c r="D1804" t="n">
        <v>39</v>
      </c>
      <c r="E1804">
        <f>IF(D712&gt;0,VLOOKUP(OPERAC[[#This Row],[COD CART]],[1]!MatrizCortoLargoCyl[#All],3,0),"")</f>
        <v/>
      </c>
      <c r="F1804" t="inlineStr">
        <is>
          <t>TSLA/V/620,00/25-02-22</t>
        </is>
      </c>
      <c r="G1804" t="n">
        <v>-2000</v>
      </c>
      <c r="H1804" t="n">
        <v>402.99</v>
      </c>
      <c r="I1804">
        <f>-H712/G712</f>
        <v/>
      </c>
      <c r="J1804" s="16" t="n">
        <v>44616</v>
      </c>
      <c r="K1804" t="n">
        <v>-2000</v>
      </c>
      <c r="L1804" t="n">
        <v>-86.42</v>
      </c>
    </row>
    <row r="1805">
      <c r="A1805" t="n">
        <v>6628</v>
      </c>
      <c r="B1805" s="16" t="n">
        <v>44616</v>
      </c>
      <c r="C1805" t="inlineStr">
        <is>
          <t>VTA</t>
        </is>
      </c>
      <c r="D1805" t="n">
        <v>39</v>
      </c>
      <c r="E1805">
        <f>IF(D1052&gt;0,VLOOKUP(OPERAC[[#This Row],[COD CART]],[1]!MatrizCortoLargoCyl[#All],3,0),"")</f>
        <v/>
      </c>
      <c r="F1805" t="inlineStr">
        <is>
          <t>TSLA/V/200,00/20-01-23</t>
        </is>
      </c>
      <c r="G1805" t="n">
        <v>-10</v>
      </c>
      <c r="H1805" t="n">
        <v>41.63</v>
      </c>
      <c r="I1805">
        <f>-H1052/G1052</f>
        <v/>
      </c>
    </row>
    <row r="1806">
      <c r="A1806" t="n">
        <v>6628</v>
      </c>
      <c r="B1806" s="16" t="n">
        <v>44622</v>
      </c>
      <c r="C1806" t="inlineStr">
        <is>
          <t>CPR</t>
        </is>
      </c>
      <c r="D1806" t="n">
        <v>32</v>
      </c>
      <c r="E1806">
        <f>IF(D2575&gt;0,VLOOKUP(OPERAC[[#This Row],[COD CART]],[1]!MatrizCortoLargoCyl[#All],3,0),"")</f>
        <v/>
      </c>
      <c r="F1806" t="inlineStr">
        <is>
          <t>HMY/CYL/5,00/18-03-22</t>
        </is>
      </c>
      <c r="G1806" t="n">
        <v>100</v>
      </c>
      <c r="H1806" t="n">
        <v>-468.532</v>
      </c>
      <c r="I1806">
        <f>-H2575/G2575</f>
        <v/>
      </c>
      <c r="J1806" s="16" t="n">
        <v>44637</v>
      </c>
      <c r="K1806">
        <f>+OPERAC[[#This Row],[cantidad]]</f>
        <v/>
      </c>
      <c r="L1806">
        <f>4.85553*OPERAC[[#This Row],[cantidad venta]]</f>
        <v/>
      </c>
    </row>
    <row r="1807">
      <c r="A1807" t="n">
        <v>6628</v>
      </c>
      <c r="B1807" s="16" t="n">
        <v>44628</v>
      </c>
      <c r="C1807" t="inlineStr">
        <is>
          <t>CPR</t>
        </is>
      </c>
      <c r="D1807" t="n">
        <v>32</v>
      </c>
      <c r="E1807">
        <f>IF(D3397&gt;0,VLOOKUP(OPERAC[[#This Row],[COD CART]],[1]!MatrizCortoLargoCyl[#All],3,0),"")</f>
        <v/>
      </c>
      <c r="F1807" t="inlineStr">
        <is>
          <t>COTY/CYL/8,00/14-04-22</t>
        </is>
      </c>
      <c r="G1807" t="n">
        <v>100</v>
      </c>
      <c r="H1807" t="n">
        <v>-718.0550999999999</v>
      </c>
      <c r="I1807">
        <f>-H3397/G3397</f>
        <v/>
      </c>
      <c r="J1807" s="16" t="n">
        <v>44643</v>
      </c>
      <c r="K1807" t="n">
        <v>100</v>
      </c>
      <c r="L1807" t="n">
        <v>779.3200000000001</v>
      </c>
    </row>
    <row r="1808">
      <c r="A1808" t="n">
        <v>6628</v>
      </c>
      <c r="B1808" s="16" t="n">
        <v>44641</v>
      </c>
      <c r="C1808" t="inlineStr">
        <is>
          <t>CPR</t>
        </is>
      </c>
      <c r="D1808" t="n">
        <v>32</v>
      </c>
      <c r="E1808">
        <f>IF(D5675&gt;0,VLOOKUP(OPERAC[[#This Row],[COD CART]],[1]!MatrizCortoLargoCyl[#All],3,0),"")</f>
        <v/>
      </c>
      <c r="F1808" t="inlineStr">
        <is>
          <t>LAC/CYL/25,00/14-04-22</t>
        </is>
      </c>
      <c r="G1808" t="n">
        <v>100</v>
      </c>
      <c r="H1808" t="n">
        <v>-2453.918</v>
      </c>
      <c r="I1808">
        <f>-H5675/G5675</f>
        <v/>
      </c>
      <c r="J1808" s="16" t="n">
        <v>44644</v>
      </c>
      <c r="K1808">
        <f>+OPERAC[[#This Row],[cantidad]]</f>
        <v/>
      </c>
      <c r="L1808" t="n">
        <v>2485.061</v>
      </c>
    </row>
    <row r="1809">
      <c r="A1809" t="n">
        <v>6628</v>
      </c>
      <c r="B1809" s="16" t="n">
        <v>44641</v>
      </c>
      <c r="C1809" t="inlineStr">
        <is>
          <t>VTA</t>
        </is>
      </c>
      <c r="D1809" t="n">
        <v>42</v>
      </c>
      <c r="E1809">
        <f>IF(D2871&gt;0,VLOOKUP(OPERAC[[#This Row],[COD CART]],[1]!MatrizCortoLargoCyl[#All],3,0),"")</f>
        <v/>
      </c>
      <c r="F1809" t="inlineStr">
        <is>
          <t>SMH</t>
        </is>
      </c>
      <c r="G1809" t="n">
        <v>2</v>
      </c>
      <c r="H1809" t="n">
        <v>-537.9153000000001</v>
      </c>
      <c r="I1809">
        <f>-H2871/G2871</f>
        <v/>
      </c>
      <c r="J1809" s="16" t="n">
        <v>44663</v>
      </c>
      <c r="K1809">
        <f>+OPERAC[[#This Row],[cantidad]]</f>
        <v/>
      </c>
      <c r="L1809">
        <f>+OPERAC[[#This Row],[cantidad venta]]*238.066</f>
        <v/>
      </c>
    </row>
    <row r="1810">
      <c r="A1810" t="n">
        <v>6628</v>
      </c>
      <c r="B1810" s="16" t="n">
        <v>44641</v>
      </c>
      <c r="C1810" t="inlineStr">
        <is>
          <t>VTA</t>
        </is>
      </c>
      <c r="D1810" t="n">
        <v>42</v>
      </c>
      <c r="E1810">
        <f>IF(D2960&gt;0,VLOOKUP(OPERAC[[#This Row],[COD CART]],[1]!MatrizCortoLargoCyl[#All],3,0),"")</f>
        <v/>
      </c>
      <c r="F1810" t="inlineStr">
        <is>
          <t>JPM</t>
        </is>
      </c>
      <c r="G1810" t="n">
        <v>4</v>
      </c>
      <c r="H1810" t="n">
        <v>-561.8173600000001</v>
      </c>
      <c r="I1810">
        <f>-H2960/G2960</f>
        <v/>
      </c>
      <c r="J1810" s="16" t="n">
        <v>44664</v>
      </c>
      <c r="K1810">
        <f>+OPERAC[[#This Row],[cantidad]]</f>
        <v/>
      </c>
      <c r="L1810">
        <f>+OPERAC[[#This Row],[cantidad venta]]*125.943</f>
        <v/>
      </c>
    </row>
    <row r="1811">
      <c r="A1811" t="n">
        <v>6628</v>
      </c>
      <c r="B1811" s="16" t="n">
        <v>44641</v>
      </c>
      <c r="C1811" t="inlineStr">
        <is>
          <t>VTA</t>
        </is>
      </c>
      <c r="D1811" t="n">
        <v>42</v>
      </c>
      <c r="E1811">
        <f>IF(D3152&gt;0,VLOOKUP(OPERAC[[#This Row],[COD CART]],[1]!MatrizCortoLargoCyl[#All],3,0),"")</f>
        <v/>
      </c>
      <c r="F1811" t="inlineStr">
        <is>
          <t>FB</t>
        </is>
      </c>
      <c r="G1811" t="n">
        <v>3</v>
      </c>
      <c r="H1811" t="n">
        <v>-636.4691399999999</v>
      </c>
      <c r="I1811">
        <f>-H3152/G3152</f>
        <v/>
      </c>
      <c r="J1811" s="16" t="n">
        <v>44669</v>
      </c>
      <c r="K1811">
        <f>1+2</f>
        <v/>
      </c>
      <c r="L1811">
        <f>207.61+426.345</f>
        <v/>
      </c>
    </row>
    <row r="1812">
      <c r="A1812" t="n">
        <v>6628</v>
      </c>
      <c r="B1812" s="16" t="n">
        <v>44644</v>
      </c>
      <c r="C1812" t="inlineStr">
        <is>
          <t>CPR</t>
        </is>
      </c>
      <c r="D1812" t="n">
        <v>32</v>
      </c>
      <c r="E1812">
        <f>IF(D5929&gt;0,VLOOKUP(OPERAC[[#This Row],[COD CART]],[1]!MatrizCortoLargoCyl[#All],3,0),"")</f>
        <v/>
      </c>
      <c r="F1812" t="inlineStr">
        <is>
          <t>LAC</t>
        </is>
      </c>
      <c r="G1812" t="n">
        <v>100</v>
      </c>
      <c r="H1812">
        <f>-3262.4185+183.428</f>
        <v/>
      </c>
      <c r="I1812">
        <f>-H5929/G5929</f>
        <v/>
      </c>
      <c r="J1812" s="16" t="n">
        <v>44704</v>
      </c>
      <c r="K1812" t="n">
        <v>100</v>
      </c>
      <c r="L1812" t="n">
        <v>2441.073</v>
      </c>
    </row>
    <row r="1813">
      <c r="A1813" t="n">
        <v>6628</v>
      </c>
      <c r="B1813" s="16" t="n">
        <v>44662</v>
      </c>
      <c r="C1813" t="inlineStr">
        <is>
          <t>VTA</t>
        </is>
      </c>
      <c r="D1813" t="n">
        <v>42</v>
      </c>
      <c r="E1813">
        <f>IF(D2548&gt;0,VLOOKUP(OPERAC[[#This Row],[COD CART]],[1]!MatrizCortoLargoCyl[#All],3,0),"")</f>
        <v/>
      </c>
      <c r="F1813" t="inlineStr">
        <is>
          <t>HYDR</t>
        </is>
      </c>
      <c r="G1813" t="n">
        <v>25</v>
      </c>
      <c r="H1813" t="n">
        <v>-464.2586</v>
      </c>
      <c r="I1813">
        <f>-H2548/G2548</f>
        <v/>
      </c>
      <c r="J1813" s="16" t="n">
        <v>44693</v>
      </c>
      <c r="K1813">
        <f>+OPERAC[[#This Row],[cantidad]]</f>
        <v/>
      </c>
      <c r="L1813">
        <f>+OPERAC[[#This Row],[cantidad venta]]*12.027</f>
        <v/>
      </c>
    </row>
    <row r="1814">
      <c r="A1814" t="n">
        <v>6628</v>
      </c>
      <c r="B1814" s="16" t="n">
        <v>44664</v>
      </c>
      <c r="C1814" t="inlineStr">
        <is>
          <t>CPR</t>
        </is>
      </c>
      <c r="D1814" t="n">
        <v>42</v>
      </c>
      <c r="E1814">
        <f>IF(D2689&gt;0,VLOOKUP(OPERAC[[#This Row],[COD CART]],[1]!MatrizCortoLargoCyl[#All],3,0),"")</f>
        <v/>
      </c>
      <c r="F1814" t="inlineStr">
        <is>
          <t>AMD</t>
        </is>
      </c>
      <c r="G1814" t="n">
        <v>5</v>
      </c>
      <c r="H1814" t="n">
        <v>-493.85327265</v>
      </c>
      <c r="I1814">
        <f>-H2689/G2689</f>
        <v/>
      </c>
      <c r="J1814" s="16" t="n">
        <v>44693</v>
      </c>
      <c r="K1814" t="n">
        <v>5</v>
      </c>
      <c r="L1814" t="n">
        <v>424.587</v>
      </c>
    </row>
    <row r="1815">
      <c r="A1815" t="n">
        <v>6628</v>
      </c>
      <c r="B1815" s="16" t="n">
        <v>44664</v>
      </c>
      <c r="C1815" t="inlineStr">
        <is>
          <t>VTA</t>
        </is>
      </c>
      <c r="D1815" t="n">
        <v>42</v>
      </c>
      <c r="E1815">
        <f>IF(D1376&gt;0,VLOOKUP(OPERAC[[#This Row],[COD CART]],[1]!MatrizCortoLargoCyl[#All],3,0),"")</f>
        <v/>
      </c>
      <c r="F1815" t="inlineStr">
        <is>
          <t>PSQ</t>
        </is>
      </c>
      <c r="G1815" t="n">
        <v>10</v>
      </c>
      <c r="H1815" t="n">
        <v>-124.32572181</v>
      </c>
      <c r="I1815">
        <f>-H1376/G1376</f>
        <v/>
      </c>
      <c r="J1815" s="16" t="n">
        <v>44680</v>
      </c>
      <c r="K1815">
        <f>+OPERAC[[#This Row],[cantidad]]</f>
        <v/>
      </c>
      <c r="L1815">
        <f>12.848*OPERAC[[#This Row],[cantidad venta]]</f>
        <v/>
      </c>
    </row>
    <row r="1816">
      <c r="A1816" t="n">
        <v>6628</v>
      </c>
      <c r="B1816" s="16" t="n">
        <v>44671</v>
      </c>
      <c r="C1816" t="inlineStr">
        <is>
          <t>CPR</t>
        </is>
      </c>
      <c r="D1816" t="n">
        <v>42</v>
      </c>
      <c r="E1816">
        <f>IF(D2757&gt;0,VLOOKUP(OPERAC[[#This Row],[COD CART]],[1]!MatrizCortoLargoCyl[#All],3,0),"")</f>
        <v/>
      </c>
      <c r="F1816" t="inlineStr">
        <is>
          <t>NFLX</t>
        </is>
      </c>
      <c r="G1816" t="n">
        <v>2</v>
      </c>
      <c r="H1816" t="n">
        <v>-509.01012</v>
      </c>
      <c r="I1816">
        <f>-H2757/G2757</f>
        <v/>
      </c>
      <c r="J1816" s="16" t="n">
        <v>44693</v>
      </c>
      <c r="K1816">
        <f>+OPERAC[[#This Row],[cantidad]]</f>
        <v/>
      </c>
      <c r="L1816">
        <f>+OPERAC[[#This Row],[cantidad venta]]*169.079</f>
        <v/>
      </c>
    </row>
    <row r="1817">
      <c r="A1817" t="n">
        <v>6628</v>
      </c>
      <c r="B1817" s="16" t="n">
        <v>44680</v>
      </c>
      <c r="C1817" t="inlineStr">
        <is>
          <t>CPR</t>
        </is>
      </c>
      <c r="D1817" t="n">
        <v>32</v>
      </c>
      <c r="E1817">
        <f>IF(D4958&gt;0,VLOOKUP(OPERAC[[#This Row],[COD CART]],[1]!MatrizCortoLargoCyl[#All],3,0),"")</f>
        <v/>
      </c>
      <c r="F1817" t="inlineStr">
        <is>
          <t>COTY</t>
        </is>
      </c>
      <c r="G1817" t="n">
        <v>200</v>
      </c>
      <c r="H1817" t="n">
        <v>-1512.41</v>
      </c>
      <c r="I1817">
        <f>-H4958/G4958</f>
        <v/>
      </c>
      <c r="J1817" s="16" t="n">
        <v>44704</v>
      </c>
      <c r="K1817" t="n">
        <v>200</v>
      </c>
      <c r="L1817" t="n">
        <v>1240.367</v>
      </c>
    </row>
    <row r="1818">
      <c r="A1818" t="n">
        <v>6628</v>
      </c>
      <c r="B1818" s="16" t="n">
        <v>44680</v>
      </c>
      <c r="C1818" t="inlineStr">
        <is>
          <t>VTA</t>
        </is>
      </c>
      <c r="D1818" t="n">
        <v>42</v>
      </c>
      <c r="E1818">
        <f>IF(D1446&gt;0,VLOOKUP(OPERAC[[#This Row],[COD CART]],[1]!MatrizCortoLargoCyl[#All],3,0),"")</f>
        <v/>
      </c>
      <c r="F1818" t="inlineStr">
        <is>
          <t>XLP</t>
        </is>
      </c>
      <c r="G1818" t="n">
        <v>2</v>
      </c>
      <c r="H1818" t="n">
        <v>-158.869005</v>
      </c>
      <c r="I1818">
        <f>-H1446/G1446</f>
        <v/>
      </c>
      <c r="J1818" s="16" t="n">
        <v>44693</v>
      </c>
      <c r="K1818">
        <f>+OPERAC[[#This Row],[cantidad]]</f>
        <v/>
      </c>
      <c r="L1818">
        <f>+OPERAC[[#This Row],[cantidad venta]]*75.648</f>
        <v/>
      </c>
    </row>
    <row r="1819">
      <c r="A1819" t="n">
        <v>6628</v>
      </c>
      <c r="B1819" s="16" t="n">
        <v>44680</v>
      </c>
      <c r="C1819" t="inlineStr">
        <is>
          <t>VTA</t>
        </is>
      </c>
      <c r="D1819" t="n">
        <v>42</v>
      </c>
      <c r="E1819">
        <f>IF(D5043&gt;0,VLOOKUP(OPERAC[[#This Row],[COD CART]],[1]!MatrizCortoLargoCyl[#All],3,0),"")</f>
        <v/>
      </c>
      <c r="F1819" t="inlineStr">
        <is>
          <t>TS</t>
        </is>
      </c>
      <c r="G1819" t="n">
        <v>50</v>
      </c>
      <c r="H1819" t="n">
        <v>-1564.939875</v>
      </c>
      <c r="I1819">
        <f>-H5043/G5043</f>
        <v/>
      </c>
      <c r="J1819" s="16" t="n">
        <v>44693</v>
      </c>
      <c r="K1819">
        <f>+OPERAC[[#This Row],[cantidad]]</f>
        <v/>
      </c>
      <c r="L1819">
        <f>+OPERAC[[#This Row],[cantidad venta]]*29.07</f>
        <v/>
      </c>
    </row>
    <row r="1820">
      <c r="A1820" t="n">
        <v>6628</v>
      </c>
      <c r="B1820" s="16" t="n">
        <v>44697</v>
      </c>
      <c r="C1820" t="inlineStr">
        <is>
          <t>CPR</t>
        </is>
      </c>
      <c r="D1820" t="n">
        <v>32</v>
      </c>
      <c r="E1820">
        <f>IF(D4870&gt;0,VLOOKUP(OPERAC[[#This Row],[COD CART]],[1]!MatrizCortoLargoCyl[#All],3,0),"")</f>
        <v/>
      </c>
      <c r="F1820" t="inlineStr">
        <is>
          <t>TLRY/CYL/6,50/24-06-22</t>
        </is>
      </c>
      <c r="G1820" t="n">
        <v>300</v>
      </c>
      <c r="H1820" t="n">
        <v>-1457.798</v>
      </c>
      <c r="I1820">
        <f>-H4870/G4870</f>
        <v/>
      </c>
    </row>
    <row r="1821">
      <c r="A1821" t="n">
        <v>6628</v>
      </c>
      <c r="B1821" s="16" t="n">
        <v>44697</v>
      </c>
      <c r="C1821" t="inlineStr">
        <is>
          <t>VTA</t>
        </is>
      </c>
      <c r="D1821" t="n">
        <v>39</v>
      </c>
      <c r="E1821">
        <f>IF(D88&gt;0,VLOOKUP(OPERAC[[#This Row],[COD CART]],[1]!MatrizCortoLargoCyl[#All],3,0),"")</f>
        <v/>
      </c>
      <c r="F1821" t="inlineStr">
        <is>
          <t>TSLA/V/625,00/20-05-22</t>
        </is>
      </c>
      <c r="G1821" t="n">
        <v>-1000</v>
      </c>
      <c r="H1821" t="n">
        <v>3817.275</v>
      </c>
      <c r="I1821">
        <f>-H88/G88</f>
        <v/>
      </c>
      <c r="J1821" s="16" t="n">
        <v>44698</v>
      </c>
      <c r="K1821" t="n">
        <v>-1000</v>
      </c>
      <c r="L1821" t="n">
        <v>-1247.01</v>
      </c>
    </row>
    <row r="1822">
      <c r="A1822" t="n">
        <v>6628</v>
      </c>
      <c r="B1822" s="16" t="n">
        <v>44697</v>
      </c>
      <c r="C1822" t="inlineStr">
        <is>
          <t>VTA</t>
        </is>
      </c>
      <c r="D1822" t="n">
        <v>32</v>
      </c>
      <c r="E1822">
        <f>IF(D2003&gt;0,VLOOKUP(OPERAC[[#This Row],[COD CART]],[1]!MatrizCortoLargoCyl[#All],3,0),"")</f>
        <v/>
      </c>
      <c r="F1822" t="inlineStr">
        <is>
          <t>SOLO/CYL/2,00/24-06-22</t>
        </is>
      </c>
      <c r="G1822" t="n">
        <v>200</v>
      </c>
      <c r="H1822" t="n">
        <v>-310.28</v>
      </c>
      <c r="I1822">
        <f>-H2003/G2003</f>
        <v/>
      </c>
    </row>
    <row r="1823">
      <c r="A1823" t="n">
        <v>6628</v>
      </c>
      <c r="B1823" s="16" t="n">
        <v>44697</v>
      </c>
      <c r="C1823" t="inlineStr">
        <is>
          <t>VTA</t>
        </is>
      </c>
      <c r="D1823" t="n">
        <v>32</v>
      </c>
      <c r="E1823">
        <f>IF(D5514&gt;0,VLOOKUP(OPERAC[[#This Row],[COD CART]],[1]!MatrizCortoLargoCyl[#All],3,0),"")</f>
        <v/>
      </c>
      <c r="F1823" t="inlineStr">
        <is>
          <t>DDD/CYL/13,00/24-06-22</t>
        </is>
      </c>
      <c r="G1823" t="n">
        <v>200</v>
      </c>
      <c r="H1823" t="n">
        <v>-2010.02</v>
      </c>
      <c r="I1823">
        <f>-H5514/G5514</f>
        <v/>
      </c>
    </row>
    <row r="1824">
      <c r="A1824" t="n">
        <v>6628</v>
      </c>
      <c r="B1824" s="16" t="n">
        <v>44698</v>
      </c>
      <c r="C1824" t="inlineStr">
        <is>
          <t>VTA</t>
        </is>
      </c>
      <c r="D1824" t="n">
        <v>39</v>
      </c>
      <c r="E1824">
        <f>IF(D356&gt;0,VLOOKUP(OPERAC[[#This Row],[COD CART]],[1]!MatrizCortoLargoCyl[#All],3,0),"")</f>
        <v/>
      </c>
      <c r="F1824" t="inlineStr">
        <is>
          <t>TSLA/V/650,00/20-05-22</t>
        </is>
      </c>
      <c r="G1824" t="n">
        <v>-600</v>
      </c>
      <c r="H1824" t="n">
        <v>1249.29</v>
      </c>
      <c r="I1824">
        <f>-H356/G356</f>
        <v/>
      </c>
      <c r="J1824" s="16" t="n">
        <v>44701</v>
      </c>
      <c r="K1824" t="n">
        <v>-600</v>
      </c>
      <c r="L1824" t="n">
        <v>-3025.5</v>
      </c>
    </row>
    <row r="1825">
      <c r="A1825" t="n">
        <v>6628</v>
      </c>
      <c r="B1825" s="16" t="n">
        <v>44701</v>
      </c>
      <c r="C1825" t="inlineStr">
        <is>
          <t>VTA</t>
        </is>
      </c>
      <c r="D1825" t="n">
        <v>39</v>
      </c>
      <c r="E1825">
        <f>IF(D1078&gt;0,VLOOKUP(OPERAC[[#This Row],[COD CART]],[1]!MatrizCortoLargoCyl[#All],3,0),"")</f>
        <v/>
      </c>
      <c r="F1825" t="inlineStr">
        <is>
          <t>TSLA/P/230,00/20-01-23</t>
        </is>
      </c>
      <c r="G1825" t="n">
        <v>-3</v>
      </c>
      <c r="H1825" t="n">
        <v>31.08</v>
      </c>
      <c r="I1825">
        <f>-H1078/G1078</f>
        <v/>
      </c>
    </row>
    <row r="1826">
      <c r="A1826" t="n">
        <v>6628</v>
      </c>
      <c r="B1826" s="16" t="n">
        <v>44704</v>
      </c>
      <c r="C1826" t="inlineStr">
        <is>
          <t>CPR</t>
        </is>
      </c>
      <c r="D1826" t="n">
        <v>32</v>
      </c>
      <c r="E1826">
        <f>IF(D4636&gt;0,VLOOKUP(OPERAC[[#This Row],[COD CART]],[1]!MatrizCortoLargoCyl[#All],3,0),"")</f>
        <v/>
      </c>
      <c r="F1826" t="inlineStr">
        <is>
          <t>CLMT/CYL/16,00/17-06-22</t>
        </is>
      </c>
      <c r="G1826" t="n">
        <v>100</v>
      </c>
      <c r="H1826" t="n">
        <v>-1286.546</v>
      </c>
      <c r="I1826">
        <f>-H4636/G4636</f>
        <v/>
      </c>
    </row>
    <row r="1827">
      <c r="A1827" t="n">
        <v>6628</v>
      </c>
      <c r="B1827" s="16" t="n">
        <v>44704</v>
      </c>
      <c r="C1827" t="inlineStr">
        <is>
          <t>VTA</t>
        </is>
      </c>
      <c r="D1827" t="n">
        <v>32</v>
      </c>
      <c r="E1827">
        <f>IF(D2176&gt;0,VLOOKUP(OPERAC[[#This Row],[COD CART]],[1]!MatrizCortoLargoCyl[#All],3,0),"")</f>
        <v/>
      </c>
      <c r="F1827" t="inlineStr">
        <is>
          <t>HMY/CYL/4,00/17-06-22</t>
        </is>
      </c>
      <c r="G1827" t="n">
        <v>100</v>
      </c>
      <c r="H1827" t="n">
        <v>-364.69</v>
      </c>
      <c r="I1827">
        <f>-H2176/G2176</f>
        <v/>
      </c>
    </row>
    <row r="1828">
      <c r="A1828" t="n">
        <v>6628</v>
      </c>
      <c r="B1828" s="16" t="n">
        <v>44704</v>
      </c>
      <c r="C1828" t="inlineStr">
        <is>
          <t>VTA</t>
        </is>
      </c>
      <c r="D1828" t="n">
        <v>32</v>
      </c>
      <c r="E1828">
        <f>IF(D3080&gt;0,VLOOKUP(OPERAC[[#This Row],[COD CART]],[1]!MatrizCortoLargoCyl[#All],3,0),"")</f>
        <v/>
      </c>
      <c r="F1828" t="inlineStr">
        <is>
          <t>UUUU/CYL/8,00/17-06-22</t>
        </is>
      </c>
      <c r="G1828" t="n">
        <v>100</v>
      </c>
      <c r="H1828" t="n">
        <v>-620.987</v>
      </c>
      <c r="I1828">
        <f>-H3080/G3080</f>
        <v/>
      </c>
    </row>
    <row r="1829">
      <c r="A1829" t="n">
        <v>6628</v>
      </c>
      <c r="B1829" s="16" t="n">
        <v>44704</v>
      </c>
      <c r="C1829" t="inlineStr">
        <is>
          <t>VTA</t>
        </is>
      </c>
      <c r="D1829" t="n">
        <v>32</v>
      </c>
      <c r="E1829">
        <f>IF(D3125&gt;0,VLOOKUP(OPERAC[[#This Row],[COD CART]],[1]!MatrizCortoLargoCyl[#All],3,0),"")</f>
        <v/>
      </c>
      <c r="F1829" t="inlineStr">
        <is>
          <t>COTY/CYL/8,00/24-06-22</t>
        </is>
      </c>
      <c r="G1829" t="n">
        <v>100</v>
      </c>
      <c r="H1829" t="n">
        <v>-630.885</v>
      </c>
      <c r="I1829">
        <f>-H3125/G3125</f>
        <v/>
      </c>
    </row>
    <row r="1830">
      <c r="A1830" t="n">
        <v>6628</v>
      </c>
      <c r="B1830" s="16" t="n">
        <v>44704</v>
      </c>
      <c r="C1830" t="inlineStr">
        <is>
          <t>VTA</t>
        </is>
      </c>
      <c r="D1830" t="n">
        <v>32</v>
      </c>
      <c r="E1830">
        <f>IF(D5187&gt;0,VLOOKUP(OPERAC[[#This Row],[COD CART]],[1]!MatrizCortoLargoCyl[#All],3,0),"")</f>
        <v/>
      </c>
      <c r="F1830" t="inlineStr">
        <is>
          <t>SPWR/CYL/20,00/24-06-22</t>
        </is>
      </c>
      <c r="G1830" t="n">
        <v>100</v>
      </c>
      <c r="H1830" t="n">
        <v>-1630.078</v>
      </c>
      <c r="I1830">
        <f>-H5187/G5187</f>
        <v/>
      </c>
    </row>
    <row r="1831">
      <c r="A1831" t="n">
        <v>7493</v>
      </c>
      <c r="B1831" s="16" t="n">
        <v>44529</v>
      </c>
      <c r="C1831" t="inlineStr">
        <is>
          <t>VTA</t>
        </is>
      </c>
      <c r="D1831" t="n">
        <v>32</v>
      </c>
      <c r="E1831">
        <f>IF(D3189&gt;0,VLOOKUP(OPERAC[[#This Row],[COD CART]],[1]!MatrizCortoLargoCyl[#All],3,0),"")</f>
        <v/>
      </c>
      <c r="F1831" t="inlineStr">
        <is>
          <t>INO/CYL/8,00/18-02-22</t>
        </is>
      </c>
      <c r="G1831" t="n">
        <v>100</v>
      </c>
      <c r="H1831">
        <f>-668.68+14.579+4.707</f>
        <v/>
      </c>
      <c r="I1831">
        <f>-H3189/G3189</f>
        <v/>
      </c>
      <c r="J1831" s="16" t="n">
        <v>44596</v>
      </c>
      <c r="K1831" t="n">
        <v>100</v>
      </c>
      <c r="L1831">
        <f>3.665*OPERAC[[#This Row],[cantidad venta]]</f>
        <v/>
      </c>
    </row>
    <row r="1832">
      <c r="A1832" t="n">
        <v>7493</v>
      </c>
      <c r="B1832" s="16" t="n">
        <v>44532</v>
      </c>
      <c r="C1832" t="inlineStr">
        <is>
          <t>VTA</t>
        </is>
      </c>
      <c r="D1832" t="n">
        <v>32</v>
      </c>
      <c r="E1832">
        <f>IF(D3925&gt;0,VLOOKUP(OPERAC[[#This Row],[COD CART]],[1]!MatrizCortoLargoCyl[#All],3,0),"")</f>
        <v/>
      </c>
      <c r="F1832" t="inlineStr">
        <is>
          <t>COTY/CYL/10,00/18-02-22</t>
        </is>
      </c>
      <c r="G1832" t="n">
        <v>100</v>
      </c>
      <c r="H1832">
        <f>-901.599+20.838</f>
        <v/>
      </c>
      <c r="I1832">
        <f>-H3925/G3925</f>
        <v/>
      </c>
      <c r="J1832" s="16" t="n">
        <v>44608</v>
      </c>
      <c r="K1832">
        <f>+OPERAC[[#This Row],[cantidad]]</f>
        <v/>
      </c>
      <c r="L1832" t="n">
        <v>941.701</v>
      </c>
    </row>
    <row r="1833">
      <c r="A1833" t="n">
        <v>7493</v>
      </c>
      <c r="B1833" s="16" t="n">
        <v>44537</v>
      </c>
      <c r="C1833" t="inlineStr">
        <is>
          <t>VTA</t>
        </is>
      </c>
      <c r="D1833" t="n">
        <v>43</v>
      </c>
      <c r="E1833">
        <f>IF(D2354&gt;0,VLOOKUP(OPERAC[[#This Row],[COD CART]],[1]!MatrizCortoLargoCyl[#All],3,0),"")</f>
        <v/>
      </c>
      <c r="F1833" t="inlineStr">
        <is>
          <t>XSPA/CYL-PUT/1,50/20-01-23</t>
        </is>
      </c>
      <c r="G1833" t="n">
        <v>800</v>
      </c>
      <c r="H1833">
        <f>-0.52*OPERAC[[#This Row],[cantidad]]</f>
        <v/>
      </c>
      <c r="I1833">
        <f>-H2354/G2354</f>
        <v/>
      </c>
      <c r="J1833" s="16" t="n">
        <v>44712</v>
      </c>
      <c r="K1833" t="n">
        <v>800</v>
      </c>
      <c r="L1833" t="n">
        <v>476.42</v>
      </c>
    </row>
    <row r="1834">
      <c r="A1834" t="n">
        <v>7493</v>
      </c>
      <c r="B1834" s="16" t="n">
        <v>44539</v>
      </c>
      <c r="C1834" t="inlineStr">
        <is>
          <t>CPR</t>
        </is>
      </c>
      <c r="D1834" t="n">
        <v>40</v>
      </c>
      <c r="E1834">
        <f>IF(D4644&gt;0,VLOOKUP(OPERAC[[#This Row],[COD CART]],[1]!MatrizCortoLargoCyl[#All],3,0),"")</f>
        <v/>
      </c>
      <c r="F1834" t="inlineStr">
        <is>
          <t>ROKU</t>
        </is>
      </c>
      <c r="G1834" t="n">
        <v>5</v>
      </c>
      <c r="H1834" t="n">
        <v>-1288.6018</v>
      </c>
      <c r="I1834">
        <f>-H4644/G4644</f>
        <v/>
      </c>
      <c r="J1834" s="16" t="n">
        <v>44606</v>
      </c>
      <c r="K1834">
        <f>+OPERAC[[#This Row],[cantidad]]</f>
        <v/>
      </c>
      <c r="L1834">
        <f>+OPERAC[[#This Row],[cantidad venta]]*160.574</f>
        <v/>
      </c>
    </row>
    <row r="1835">
      <c r="A1835" t="n">
        <v>7493</v>
      </c>
      <c r="B1835" s="16" t="n">
        <v>44547</v>
      </c>
      <c r="C1835" t="inlineStr">
        <is>
          <t>CPR</t>
        </is>
      </c>
      <c r="D1835" t="n">
        <v>32</v>
      </c>
      <c r="E1835">
        <f>IF(D4414&gt;0,VLOOKUP(OPERAC[[#This Row],[COD CART]],[1]!MatrizCortoLargoCyl[#All],3,0),"")</f>
        <v/>
      </c>
      <c r="F1835" t="inlineStr">
        <is>
          <t>HIMX/CYL/12,00/21-01-22</t>
        </is>
      </c>
      <c r="G1835" t="n">
        <v>100</v>
      </c>
      <c r="H1835" t="n">
        <v>-1109.5304</v>
      </c>
      <c r="I1835">
        <f>-H4414/G4414</f>
        <v/>
      </c>
      <c r="J1835" s="16" t="n">
        <v>44575</v>
      </c>
      <c r="K1835" t="n">
        <v>100</v>
      </c>
      <c r="L1835" t="n">
        <v>1170.618</v>
      </c>
    </row>
    <row r="1836">
      <c r="A1836" t="n">
        <v>7493</v>
      </c>
      <c r="B1836" s="16" t="n">
        <v>44547</v>
      </c>
      <c r="C1836" t="inlineStr">
        <is>
          <t>VTA</t>
        </is>
      </c>
      <c r="D1836" t="n">
        <v>32</v>
      </c>
      <c r="E1836">
        <f>IF(D3784&gt;0,VLOOKUP(OPERAC[[#This Row],[COD CART]],[1]!MatrizCortoLargoCyl[#All],3,0),"")</f>
        <v/>
      </c>
      <c r="F1836" t="inlineStr">
        <is>
          <t>ARLO/CYL/9,00/18-02-22</t>
        </is>
      </c>
      <c r="G1836" t="n">
        <v>100</v>
      </c>
      <c r="H1836">
        <f>-866.74+14.88</f>
        <v/>
      </c>
      <c r="I1836">
        <f>-H3784/G3784</f>
        <v/>
      </c>
      <c r="J1836" s="16" t="n">
        <v>44607</v>
      </c>
      <c r="K1836" t="n">
        <v>100</v>
      </c>
      <c r="L1836" t="n">
        <v>875.33</v>
      </c>
    </row>
    <row r="1837">
      <c r="A1837" t="n">
        <v>7493</v>
      </c>
      <c r="B1837" s="16" t="n">
        <v>44552</v>
      </c>
      <c r="C1837" t="inlineStr">
        <is>
          <t>VTA</t>
        </is>
      </c>
      <c r="D1837" t="n">
        <v>32</v>
      </c>
      <c r="E1837">
        <f>IF(D5365&gt;0,VLOOKUP(OPERAC[[#This Row],[COD CART]],[1]!MatrizCortoLargoCyl[#All],3,0),"")</f>
        <v/>
      </c>
      <c r="F1837" t="inlineStr">
        <is>
          <t>MX</t>
        </is>
      </c>
      <c r="G1837" t="n">
        <v>100</v>
      </c>
      <c r="H1837">
        <f>-1879.692+38.986+49.6</f>
        <v/>
      </c>
      <c r="I1837">
        <f>-H5365/G5365</f>
        <v/>
      </c>
      <c r="J1837" s="16" t="n">
        <v>44643</v>
      </c>
      <c r="K1837" t="n">
        <v>100</v>
      </c>
      <c r="L1837" t="n">
        <v>1705.916</v>
      </c>
    </row>
    <row r="1838">
      <c r="A1838" t="n">
        <v>7493</v>
      </c>
      <c r="B1838" s="16" t="n">
        <v>44552</v>
      </c>
      <c r="C1838" t="inlineStr">
        <is>
          <t>VTA</t>
        </is>
      </c>
      <c r="D1838" t="n">
        <v>32</v>
      </c>
      <c r="E1838">
        <f>IF(D5376&gt;0,VLOOKUP(OPERAC[[#This Row],[COD CART]],[1]!MatrizCortoLargoCyl[#All],3,0),"")</f>
        <v/>
      </c>
      <c r="F1838" t="inlineStr">
        <is>
          <t>GOLD/CYL/19,00/21-01-22</t>
        </is>
      </c>
      <c r="G1838" t="n">
        <v>100</v>
      </c>
      <c r="H1838">
        <f>-18.08*OPERAC[[#This Row],[cantidad]]</f>
        <v/>
      </c>
      <c r="I1838">
        <f>-H5376/G5376</f>
        <v/>
      </c>
      <c r="J1838" s="16" t="n">
        <v>44580</v>
      </c>
      <c r="K1838" t="n">
        <v>100</v>
      </c>
      <c r="L1838" t="n">
        <v>1876.846</v>
      </c>
    </row>
    <row r="1839">
      <c r="A1839" t="n">
        <v>7493</v>
      </c>
      <c r="B1839" s="16" t="n">
        <v>44575</v>
      </c>
      <c r="C1839" t="inlineStr">
        <is>
          <t>VTA</t>
        </is>
      </c>
      <c r="D1839" t="n">
        <v>40</v>
      </c>
      <c r="E1839">
        <f>IF(D1992&gt;0,VLOOKUP(OPERAC[[#This Row],[COD CART]],[1]!MatrizCortoLargoCyl[#All],3,0),"")</f>
        <v/>
      </c>
      <c r="F1839" t="inlineStr">
        <is>
          <t>GBTC</t>
        </is>
      </c>
      <c r="G1839" t="n">
        <v>10</v>
      </c>
      <c r="H1839" t="n">
        <v>-308.0948</v>
      </c>
      <c r="I1839">
        <f>-H1992/G1992</f>
        <v/>
      </c>
      <c r="J1839" s="16" t="n">
        <v>44623</v>
      </c>
      <c r="K1839" t="n">
        <v>10</v>
      </c>
      <c r="L1839" t="n">
        <v>290.549</v>
      </c>
    </row>
    <row r="1840">
      <c r="A1840" t="n">
        <v>7493</v>
      </c>
      <c r="B1840" s="16" t="n">
        <v>44581</v>
      </c>
      <c r="C1840" t="inlineStr">
        <is>
          <t>CPR</t>
        </is>
      </c>
      <c r="D1840" t="n">
        <v>32</v>
      </c>
      <c r="E1840">
        <f>IF(D3570&gt;0,VLOOKUP(OPERAC[[#This Row],[COD CART]],[1]!MatrizCortoLargoCyl[#All],3,0),"")</f>
        <v/>
      </c>
      <c r="F1840" t="inlineStr">
        <is>
          <t>HMY/CYL/4,00/18-02-22</t>
        </is>
      </c>
      <c r="G1840" t="n">
        <v>200</v>
      </c>
      <c r="H1840" t="n">
        <v>-774.9359920000001</v>
      </c>
      <c r="I1840">
        <f>-H3570/G3570</f>
        <v/>
      </c>
      <c r="J1840" s="16" t="n">
        <v>44610</v>
      </c>
      <c r="K1840">
        <f>+OPERAC[[#This Row],[cantidad]]</f>
        <v/>
      </c>
      <c r="L1840">
        <f>+OPERAC[[#This Row],[cantidad venta]]*3.8323</f>
        <v/>
      </c>
    </row>
    <row r="1841">
      <c r="A1841" t="n">
        <v>7493</v>
      </c>
      <c r="B1841" s="16" t="n">
        <v>44582</v>
      </c>
      <c r="C1841" t="inlineStr">
        <is>
          <t>CPR</t>
        </is>
      </c>
      <c r="D1841" t="n">
        <v>40</v>
      </c>
      <c r="E1841">
        <f>IF(D3607&gt;0,VLOOKUP(OPERAC[[#This Row],[COD CART]],[1]!MatrizCortoLargoCyl[#All],3,0),"")</f>
        <v/>
      </c>
      <c r="F1841" t="inlineStr">
        <is>
          <t>NFLX</t>
        </is>
      </c>
      <c r="G1841" t="n">
        <v>2</v>
      </c>
      <c r="H1841" t="n">
        <v>-781.2742000000001</v>
      </c>
      <c r="I1841">
        <f>-H3607/G3607</f>
        <v/>
      </c>
      <c r="J1841" s="16" t="n">
        <v>44593</v>
      </c>
      <c r="K1841">
        <f>+OPERAC[[#This Row],[cantidad]]</f>
        <v/>
      </c>
      <c r="L1841">
        <f>+OPERAC[[#This Row],[cantidad venta]]*448.602</f>
        <v/>
      </c>
    </row>
    <row r="1842">
      <c r="A1842" t="n">
        <v>7493</v>
      </c>
      <c r="B1842" s="16" t="n">
        <v>44586</v>
      </c>
      <c r="C1842" t="inlineStr">
        <is>
          <t>CPR</t>
        </is>
      </c>
      <c r="D1842" t="n">
        <v>43</v>
      </c>
      <c r="E1842">
        <f>IF(D2736&gt;0,VLOOKUP(OPERAC[[#This Row],[COD CART]],[1]!MatrizCortoLargoCyl[#All],3,0),"")</f>
        <v/>
      </c>
      <c r="F1842" t="inlineStr">
        <is>
          <t>GMBL/CYL-PUT/2,50/20-01-23</t>
        </is>
      </c>
      <c r="G1842" t="n">
        <v>500</v>
      </c>
      <c r="H1842" t="n">
        <v>-508.0223</v>
      </c>
      <c r="I1842">
        <f>-H2736/G2736</f>
        <v/>
      </c>
      <c r="J1842" s="16" t="n">
        <v>44712</v>
      </c>
      <c r="K1842" t="n">
        <v>500</v>
      </c>
      <c r="L1842" t="n">
        <v>-889.456</v>
      </c>
    </row>
    <row r="1843">
      <c r="A1843" t="n">
        <v>7493</v>
      </c>
      <c r="B1843" s="16" t="n">
        <v>44596</v>
      </c>
      <c r="C1843" t="inlineStr">
        <is>
          <t>VTA</t>
        </is>
      </c>
      <c r="D1843" t="n">
        <v>39</v>
      </c>
      <c r="E1843">
        <f>IF(D781&gt;0,VLOOKUP(OPERAC[[#This Row],[COD CART]],[1]!MatrizCortoLargoCyl[#All],3,0),"")</f>
        <v/>
      </c>
      <c r="F1843" t="inlineStr">
        <is>
          <t>SMH/V/260,00/11-02-22</t>
        </is>
      </c>
      <c r="G1843" t="n">
        <v>-100</v>
      </c>
      <c r="H1843" t="n">
        <v>300.863</v>
      </c>
      <c r="I1843">
        <f>-H781/G781</f>
        <v/>
      </c>
      <c r="J1843" s="16" t="n">
        <v>44603</v>
      </c>
      <c r="K1843" t="n">
        <v>-100</v>
      </c>
      <c r="L1843" t="n">
        <v>-10</v>
      </c>
    </row>
    <row r="1844">
      <c r="A1844" t="n">
        <v>7493</v>
      </c>
      <c r="B1844" s="16" t="n">
        <v>44599</v>
      </c>
      <c r="C1844" t="inlineStr">
        <is>
          <t>CPR</t>
        </is>
      </c>
      <c r="D1844" t="n">
        <v>40</v>
      </c>
      <c r="E1844">
        <f>IF(D4521&gt;0,VLOOKUP(OPERAC[[#This Row],[COD CART]],[1]!MatrizCortoLargoCyl[#All],3,0),"")</f>
        <v/>
      </c>
      <c r="F1844" t="inlineStr">
        <is>
          <t>FB</t>
        </is>
      </c>
      <c r="G1844" t="n">
        <v>5</v>
      </c>
      <c r="H1844" t="n">
        <v>-1192.3</v>
      </c>
      <c r="I1844">
        <f>-H4521/G4521</f>
        <v/>
      </c>
      <c r="J1844" s="16" t="n">
        <v>44616</v>
      </c>
      <c r="K1844">
        <f>+OPERAC[[#This Row],[cantidad]]</f>
        <v/>
      </c>
      <c r="L1844">
        <f>200.299*OPERAC[[#This Row],[cantidad venta]]</f>
        <v/>
      </c>
    </row>
    <row r="1845">
      <c r="A1845" t="n">
        <v>7493</v>
      </c>
      <c r="B1845" s="16" t="n">
        <v>44602</v>
      </c>
      <c r="C1845" t="inlineStr">
        <is>
          <t>CPR</t>
        </is>
      </c>
      <c r="D1845" t="n">
        <v>32</v>
      </c>
      <c r="E1845">
        <f>IF(D4494&gt;0,VLOOKUP(OPERAC[[#This Row],[COD CART]],[1]!MatrizCortoLargoCyl[#All],3,0),"")</f>
        <v/>
      </c>
      <c r="F1845" t="inlineStr">
        <is>
          <t>BIOX/CYL/12,50/18-03-22</t>
        </is>
      </c>
      <c r="G1845" t="n">
        <v>100</v>
      </c>
      <c r="H1845" t="n">
        <v>-1176</v>
      </c>
      <c r="I1845">
        <f>-H4494/G4494</f>
        <v/>
      </c>
      <c r="J1845" s="16" t="n">
        <v>44634</v>
      </c>
      <c r="K1845" t="n">
        <v>100</v>
      </c>
      <c r="L1845" t="n">
        <v>1235.48</v>
      </c>
    </row>
    <row r="1846">
      <c r="A1846" t="n">
        <v>7493</v>
      </c>
      <c r="B1846" s="16" t="n">
        <v>44608</v>
      </c>
      <c r="C1846" t="inlineStr">
        <is>
          <t>VTA</t>
        </is>
      </c>
      <c r="D1846" t="n">
        <v>32</v>
      </c>
      <c r="E1846">
        <f>IF(D5100&gt;0,VLOOKUP(OPERAC[[#This Row],[COD CART]],[1]!MatrizCortoLargoCyl[#All],3,0),"")</f>
        <v/>
      </c>
      <c r="F1846" t="inlineStr">
        <is>
          <t>DDD/CYL/17,00/01-04-22</t>
        </is>
      </c>
      <c r="G1846" t="n">
        <v>100</v>
      </c>
      <c r="H1846">
        <f>-1629.4234+19.7+16.45</f>
        <v/>
      </c>
      <c r="I1846">
        <f>-H5100/G5100</f>
        <v/>
      </c>
      <c r="J1846" s="16" t="n">
        <v>44649</v>
      </c>
      <c r="K1846" t="n">
        <v>100</v>
      </c>
      <c r="L1846" t="n">
        <v>1661.98</v>
      </c>
    </row>
    <row r="1847">
      <c r="A1847" t="n">
        <v>7493</v>
      </c>
      <c r="B1847" s="16" t="n">
        <v>44609</v>
      </c>
      <c r="C1847" t="inlineStr">
        <is>
          <t>VTA</t>
        </is>
      </c>
      <c r="D1847" t="n">
        <v>32</v>
      </c>
      <c r="E1847">
        <f>IF(D3871&gt;0,VLOOKUP(OPERAC[[#This Row],[COD CART]],[1]!MatrizCortoLargoCyl[#All],3,0),"")</f>
        <v/>
      </c>
      <c r="F1847" t="inlineStr">
        <is>
          <t>HIMX/CYL/9,00/18-03-22</t>
        </is>
      </c>
      <c r="G1847" t="n">
        <v>100</v>
      </c>
      <c r="H1847" t="n">
        <v>-869.5839999999999</v>
      </c>
      <c r="I1847">
        <f>-H3871/G3871</f>
        <v/>
      </c>
      <c r="J1847" s="16" t="n">
        <v>44622</v>
      </c>
      <c r="K1847">
        <f>+OPERAC[[#This Row],[cantidad]]</f>
        <v/>
      </c>
      <c r="L1847" t="n">
        <v>883.576</v>
      </c>
    </row>
    <row r="1848">
      <c r="A1848" t="n">
        <v>7493</v>
      </c>
      <c r="B1848" s="16" t="n">
        <v>44616</v>
      </c>
      <c r="C1848" t="inlineStr">
        <is>
          <t>CPR</t>
        </is>
      </c>
      <c r="D1848" t="n">
        <v>32</v>
      </c>
      <c r="E1848">
        <f>IF(D3484&gt;0,VLOOKUP(OPERAC[[#This Row],[COD CART]],[1]!MatrizCortoLargoCyl[#All],3,0),"")</f>
        <v/>
      </c>
      <c r="F1848" t="inlineStr">
        <is>
          <t>TEVA/CYL/8,00/18-03-22</t>
        </is>
      </c>
      <c r="G1848" t="n">
        <v>100</v>
      </c>
      <c r="H1848" t="n">
        <v>-762.2553999999999</v>
      </c>
      <c r="I1848">
        <f>-H3484/G3484</f>
        <v/>
      </c>
      <c r="J1848" s="16" t="n">
        <v>44638</v>
      </c>
      <c r="K1848" t="n">
        <v>100</v>
      </c>
      <c r="L1848">
        <f>7.8242*OPERAC[[#This Row],[cantidad venta]]</f>
        <v/>
      </c>
    </row>
    <row r="1849">
      <c r="A1849" t="n">
        <v>7493</v>
      </c>
      <c r="B1849" s="16" t="n">
        <v>44616</v>
      </c>
      <c r="C1849" t="inlineStr">
        <is>
          <t>CPR</t>
        </is>
      </c>
      <c r="D1849" t="n">
        <v>32</v>
      </c>
      <c r="E1849">
        <f>IF(D4313&gt;0,VLOOKUP(OPERAC[[#This Row],[COD CART]],[1]!MatrizCortoLargoCyl[#All],3,0),"")</f>
        <v/>
      </c>
      <c r="F1849" t="inlineStr">
        <is>
          <t>PLTR/CYL/12,00/14-04-22</t>
        </is>
      </c>
      <c r="G1849" t="n">
        <v>100</v>
      </c>
      <c r="H1849" t="n">
        <v>-1052.7265</v>
      </c>
      <c r="I1849">
        <f>-H4313/G4313</f>
        <v/>
      </c>
      <c r="J1849" s="16" t="n">
        <v>44643</v>
      </c>
      <c r="K1849" t="n">
        <v>100</v>
      </c>
      <c r="L1849" t="n">
        <v>1146.72</v>
      </c>
    </row>
    <row r="1850">
      <c r="A1850" t="n">
        <v>7493</v>
      </c>
      <c r="B1850" s="16" t="n">
        <v>44622</v>
      </c>
      <c r="C1850" t="inlineStr">
        <is>
          <t>CPR</t>
        </is>
      </c>
      <c r="D1850" t="n">
        <v>32</v>
      </c>
      <c r="E1850">
        <f>IF(D4889&gt;0,VLOOKUP(OPERAC[[#This Row],[COD CART]],[1]!MatrizCortoLargoCyl[#All],3,0),"")</f>
        <v/>
      </c>
      <c r="F1850" t="inlineStr">
        <is>
          <t>AMC/CYL/16,00/14-04-22</t>
        </is>
      </c>
      <c r="G1850" t="n">
        <v>100</v>
      </c>
      <c r="H1850" t="n">
        <v>-1460.8686</v>
      </c>
      <c r="I1850">
        <f>-H4889/G4889</f>
        <v/>
      </c>
      <c r="J1850" s="16" t="n">
        <v>44648</v>
      </c>
      <c r="K1850">
        <f>+OPERAC[[#This Row],[cantidad]]</f>
        <v/>
      </c>
      <c r="L1850" t="n">
        <v>1581.776</v>
      </c>
    </row>
    <row r="1851">
      <c r="A1851" t="n">
        <v>7493</v>
      </c>
      <c r="B1851" s="16" t="n">
        <v>44641</v>
      </c>
      <c r="C1851" t="inlineStr">
        <is>
          <t>CPR</t>
        </is>
      </c>
      <c r="D1851" t="n">
        <v>42</v>
      </c>
      <c r="E1851">
        <f>IF(D3365&gt;0,VLOOKUP(OPERAC[[#This Row],[COD CART]],[1]!MatrizCortoLargoCyl[#All],3,0),"")</f>
        <v/>
      </c>
      <c r="F1851" t="inlineStr">
        <is>
          <t>JPM</t>
        </is>
      </c>
      <c r="G1851" t="n">
        <v>5</v>
      </c>
      <c r="H1851" t="n">
        <v>-702.2717000000001</v>
      </c>
      <c r="I1851">
        <f>-H3365/G3365</f>
        <v/>
      </c>
      <c r="J1851" s="16" t="n">
        <v>44664</v>
      </c>
      <c r="K1851">
        <f>+OPERAC[[#This Row],[cantidad]]</f>
        <v/>
      </c>
      <c r="L1851">
        <f>+OPERAC[[#This Row],[cantidad venta]]*125.943</f>
        <v/>
      </c>
    </row>
    <row r="1852">
      <c r="A1852" t="n">
        <v>7493</v>
      </c>
      <c r="B1852" s="16" t="n">
        <v>44641</v>
      </c>
      <c r="C1852" t="inlineStr">
        <is>
          <t>VTA</t>
        </is>
      </c>
      <c r="D1852" t="n">
        <v>42</v>
      </c>
      <c r="E1852">
        <f>IF(D2872&gt;0,VLOOKUP(OPERAC[[#This Row],[COD CART]],[1]!MatrizCortoLargoCyl[#All],3,0),"")</f>
        <v/>
      </c>
      <c r="F1852" t="inlineStr">
        <is>
          <t>SMH</t>
        </is>
      </c>
      <c r="G1852" t="n">
        <v>2</v>
      </c>
      <c r="H1852" t="n">
        <v>-537.9153000000001</v>
      </c>
      <c r="I1852">
        <f>-H2872/G2872</f>
        <v/>
      </c>
      <c r="J1852" s="16" t="n">
        <v>44663</v>
      </c>
      <c r="K1852">
        <f>+OPERAC[[#This Row],[cantidad]]</f>
        <v/>
      </c>
      <c r="L1852">
        <f>+OPERAC[[#This Row],[cantidad venta]]*238.066</f>
        <v/>
      </c>
    </row>
    <row r="1853">
      <c r="A1853" t="n">
        <v>7493</v>
      </c>
      <c r="B1853" s="16" t="n">
        <v>44641</v>
      </c>
      <c r="C1853" t="inlineStr">
        <is>
          <t>VTA</t>
        </is>
      </c>
      <c r="D1853" t="n">
        <v>42</v>
      </c>
      <c r="E1853">
        <f>IF(D3155&gt;0,VLOOKUP(OPERAC[[#This Row],[COD CART]],[1]!MatrizCortoLargoCyl[#All],3,0),"")</f>
        <v/>
      </c>
      <c r="F1853" t="inlineStr">
        <is>
          <t>FB</t>
        </is>
      </c>
      <c r="G1853" t="n">
        <v>3</v>
      </c>
      <c r="H1853" t="n">
        <v>-636.4691399999999</v>
      </c>
      <c r="I1853">
        <f>-H3155/G3155</f>
        <v/>
      </c>
      <c r="J1853" s="16" t="n">
        <v>44671</v>
      </c>
      <c r="K1853">
        <f>+OPERAC[[#This Row],[cantidad]]</f>
        <v/>
      </c>
      <c r="L1853">
        <f>+OPERAC[[#This Row],[cantidad venta]]*213.173</f>
        <v/>
      </c>
    </row>
    <row r="1854">
      <c r="A1854" t="n">
        <v>7493</v>
      </c>
      <c r="B1854" s="16" t="n">
        <v>44643</v>
      </c>
      <c r="C1854" t="inlineStr">
        <is>
          <t>CPR</t>
        </is>
      </c>
      <c r="D1854" t="n">
        <v>31</v>
      </c>
      <c r="E1854">
        <f>IF(D3244&gt;0,VLOOKUP(OPERAC[[#This Row],[COD CART]],[1]!MatrizCortoLargoCyl[#All],3,0),"")</f>
        <v/>
      </c>
      <c r="F1854" t="inlineStr">
        <is>
          <t>LAC</t>
        </is>
      </c>
      <c r="G1854" t="n">
        <v>20</v>
      </c>
      <c r="H1854" t="n">
        <v>-670.263968</v>
      </c>
      <c r="I1854">
        <f>-H3244/G3244</f>
        <v/>
      </c>
    </row>
    <row r="1855">
      <c r="A1855" t="n">
        <v>7493</v>
      </c>
      <c r="B1855" s="16" t="n">
        <v>44643</v>
      </c>
      <c r="C1855" t="inlineStr">
        <is>
          <t>CPR</t>
        </is>
      </c>
      <c r="D1855" t="n">
        <v>31</v>
      </c>
      <c r="E1855">
        <f>IF(D3359&gt;0,VLOOKUP(OPERAC[[#This Row],[COD CART]],[1]!MatrizCortoLargoCyl[#All],3,0),"")</f>
        <v/>
      </c>
      <c r="F1855" t="inlineStr">
        <is>
          <t>BRK B</t>
        </is>
      </c>
      <c r="G1855" t="n">
        <v>2</v>
      </c>
      <c r="H1855" t="n">
        <v>-701.3446400000001</v>
      </c>
      <c r="I1855">
        <f>-H3359/G3359</f>
        <v/>
      </c>
      <c r="J1855" s="16" t="n">
        <v>44693</v>
      </c>
      <c r="K1855" t="n">
        <v>2</v>
      </c>
      <c r="L1855" t="n">
        <v>612.523</v>
      </c>
    </row>
    <row r="1856">
      <c r="A1856" t="n">
        <v>7493</v>
      </c>
      <c r="B1856" s="16" t="n">
        <v>44643</v>
      </c>
      <c r="C1856" t="inlineStr">
        <is>
          <t>VTA</t>
        </is>
      </c>
      <c r="D1856" t="n">
        <v>32</v>
      </c>
      <c r="E1856">
        <f>IF(D5176&gt;0,VLOOKUP(OPERAC[[#This Row],[COD CART]],[1]!MatrizCortoLargoCyl[#All],3,0),"")</f>
        <v/>
      </c>
      <c r="F1856" t="inlineStr">
        <is>
          <t>AAL/CYL/18,00/14-04-22</t>
        </is>
      </c>
      <c r="G1856" t="n">
        <v>100</v>
      </c>
      <c r="H1856" t="n">
        <v>-1619.461</v>
      </c>
      <c r="I1856">
        <f>-H5176/G5176</f>
        <v/>
      </c>
      <c r="J1856" s="16" t="n">
        <v>44652</v>
      </c>
      <c r="K1856">
        <f>+OPERAC[[#This Row],[cantidad]]</f>
        <v/>
      </c>
      <c r="L1856" t="n">
        <v>1731.356</v>
      </c>
    </row>
    <row r="1857">
      <c r="A1857" t="n">
        <v>7493</v>
      </c>
      <c r="B1857" s="16" t="n">
        <v>44648</v>
      </c>
      <c r="C1857" t="inlineStr">
        <is>
          <t>VTA</t>
        </is>
      </c>
      <c r="D1857" t="n">
        <v>32</v>
      </c>
      <c r="E1857">
        <f>IF(D5126&gt;0,VLOOKUP(OPERAC[[#This Row],[COD CART]],[1]!MatrizCortoLargoCyl[#All],3,0),"")</f>
        <v/>
      </c>
      <c r="F1857" t="inlineStr">
        <is>
          <t>F/CYL/16,00/15-07-22</t>
        </is>
      </c>
      <c r="G1857" t="n">
        <v>100</v>
      </c>
      <c r="H1857">
        <f>-1616.534+11.898+10.907</f>
        <v/>
      </c>
      <c r="I1857">
        <f>-H5126/G5126</f>
        <v/>
      </c>
    </row>
    <row r="1858">
      <c r="A1858" t="n">
        <v>7493</v>
      </c>
      <c r="B1858" s="16" t="n">
        <v>44649</v>
      </c>
      <c r="C1858" t="inlineStr">
        <is>
          <t>CPR</t>
        </is>
      </c>
      <c r="D1858" t="n">
        <v>32</v>
      </c>
      <c r="E1858">
        <f>IF(D3690&gt;0,VLOOKUP(OPERAC[[#This Row],[COD CART]],[1]!MatrizCortoLargoCyl[#All],3,0),"")</f>
        <v/>
      </c>
      <c r="F1858" t="inlineStr">
        <is>
          <t>ARLO</t>
        </is>
      </c>
      <c r="G1858" t="n">
        <v>100</v>
      </c>
      <c r="H1858" t="n">
        <v>-827.412</v>
      </c>
      <c r="I1858">
        <f>-H3690/G3690</f>
        <v/>
      </c>
      <c r="J1858" s="16" t="n">
        <v>44704</v>
      </c>
      <c r="K1858" t="n">
        <v>100</v>
      </c>
      <c r="L1858" t="n">
        <v>660.627</v>
      </c>
    </row>
    <row r="1859">
      <c r="A1859" t="n">
        <v>7493</v>
      </c>
      <c r="B1859" s="16" t="n">
        <v>44655</v>
      </c>
      <c r="C1859" t="inlineStr">
        <is>
          <t>CPR</t>
        </is>
      </c>
      <c r="D1859" t="n">
        <v>42</v>
      </c>
      <c r="E1859">
        <f>IF(D2603&gt;0,VLOOKUP(OPERAC[[#This Row],[COD CART]],[1]!MatrizCortoLargoCyl[#All],3,0),"")</f>
        <v/>
      </c>
      <c r="F1859" t="inlineStr">
        <is>
          <t>ADBE</t>
        </is>
      </c>
      <c r="G1859" t="n">
        <v>1</v>
      </c>
      <c r="H1859" t="n">
        <v>-471.6204</v>
      </c>
      <c r="I1859">
        <f>-H2603/G2603</f>
        <v/>
      </c>
      <c r="J1859" s="16" t="n">
        <v>44687</v>
      </c>
      <c r="K1859">
        <f>+OPERAC[[#This Row],[cantidad]]</f>
        <v/>
      </c>
      <c r="L1859" t="n">
        <v>386.42</v>
      </c>
    </row>
    <row r="1860">
      <c r="A1860" t="n">
        <v>7493</v>
      </c>
      <c r="B1860" s="16" t="n">
        <v>44655</v>
      </c>
      <c r="C1860" t="inlineStr">
        <is>
          <t>VTA</t>
        </is>
      </c>
      <c r="D1860" t="n">
        <v>42</v>
      </c>
      <c r="E1860">
        <f>IF(D1830&gt;0,VLOOKUP(OPERAC[[#This Row],[COD CART]],[1]!MatrizCortoLargoCyl[#All],3,0),"")</f>
        <v/>
      </c>
      <c r="F1860" t="inlineStr">
        <is>
          <t>SMH</t>
        </is>
      </c>
      <c r="G1860" t="n">
        <v>1</v>
      </c>
      <c r="H1860" t="n">
        <v>-271.83544</v>
      </c>
      <c r="I1860">
        <f>-H1830/G1830</f>
        <v/>
      </c>
      <c r="J1860" s="16" t="n">
        <v>44663</v>
      </c>
      <c r="K1860">
        <f>+OPERAC[[#This Row],[cantidad]]</f>
        <v/>
      </c>
      <c r="L1860">
        <f>+OPERAC[[#This Row],[cantidad venta]]*238.066</f>
        <v/>
      </c>
    </row>
    <row r="1861">
      <c r="A1861" t="n">
        <v>7493</v>
      </c>
      <c r="B1861" s="16" t="n">
        <v>44655</v>
      </c>
      <c r="C1861" t="inlineStr">
        <is>
          <t>VTA</t>
        </is>
      </c>
      <c r="D1861" t="n">
        <v>42</v>
      </c>
      <c r="E1861">
        <f>IF(D2364&gt;0,VLOOKUP(OPERAC[[#This Row],[COD CART]],[1]!MatrizCortoLargoCyl[#All],3,0),"")</f>
        <v/>
      </c>
      <c r="F1861" t="inlineStr">
        <is>
          <t>DIS</t>
        </is>
      </c>
      <c r="G1861" t="n">
        <v>3</v>
      </c>
      <c r="H1861" t="n">
        <v>-420.27312</v>
      </c>
      <c r="I1861">
        <f>-H2364/G2364</f>
        <v/>
      </c>
      <c r="J1861" s="16" t="n">
        <v>44671</v>
      </c>
      <c r="K1861">
        <f>+OPERAC[[#This Row],[cantidad]]</f>
        <v/>
      </c>
      <c r="L1861">
        <f>+OPERAC[[#This Row],[cantidad venta]]*123.621</f>
        <v/>
      </c>
    </row>
    <row r="1862">
      <c r="A1862" t="n">
        <v>7493</v>
      </c>
      <c r="B1862" s="16" t="n">
        <v>44655</v>
      </c>
      <c r="C1862" t="inlineStr">
        <is>
          <t>VTA</t>
        </is>
      </c>
      <c r="D1862" t="n">
        <v>42</v>
      </c>
      <c r="E1862">
        <f>IF(D2920&gt;0,VLOOKUP(OPERAC[[#This Row],[COD CART]],[1]!MatrizCortoLargoCyl[#All],3,0),"")</f>
        <v/>
      </c>
      <c r="F1862" t="inlineStr">
        <is>
          <t>AMD</t>
        </is>
      </c>
      <c r="G1862" t="n">
        <v>5</v>
      </c>
      <c r="H1862" t="n">
        <v>-553.1007500000001</v>
      </c>
      <c r="I1862">
        <f>-H2920/G2920</f>
        <v/>
      </c>
      <c r="J1862" s="16" t="n">
        <v>44693</v>
      </c>
      <c r="K1862" t="n">
        <v>5</v>
      </c>
      <c r="L1862" t="n">
        <v>424.587</v>
      </c>
    </row>
    <row r="1863">
      <c r="A1863" t="n">
        <v>7493</v>
      </c>
      <c r="B1863" s="16" t="n">
        <v>44655</v>
      </c>
      <c r="C1863" t="inlineStr">
        <is>
          <t>VTA</t>
        </is>
      </c>
      <c r="D1863" t="n">
        <v>42</v>
      </c>
      <c r="E1863">
        <f>IF(D3128&gt;0,VLOOKUP(OPERAC[[#This Row],[COD CART]],[1]!MatrizCortoLargoCyl[#All],3,0),"")</f>
        <v/>
      </c>
      <c r="F1863" t="inlineStr">
        <is>
          <t>MSFT</t>
        </is>
      </c>
      <c r="G1863" t="n">
        <v>2</v>
      </c>
      <c r="H1863" t="n">
        <v>-632.77408</v>
      </c>
      <c r="I1863">
        <f>-H3128/G3128</f>
        <v/>
      </c>
      <c r="J1863" s="16" t="n">
        <v>44662</v>
      </c>
      <c r="K1863">
        <f>+OPERAC[[#This Row],[cantidad]]</f>
        <v/>
      </c>
      <c r="L1863">
        <f>287.546*OPERAC[[#This Row],[cantidad venta]]</f>
        <v/>
      </c>
    </row>
    <row r="1864">
      <c r="A1864" t="n">
        <v>7493</v>
      </c>
      <c r="B1864" s="16" t="n">
        <v>44662</v>
      </c>
      <c r="C1864" t="inlineStr">
        <is>
          <t>VTA</t>
        </is>
      </c>
      <c r="D1864" t="n">
        <v>42</v>
      </c>
      <c r="E1864">
        <f>IF(D2935&gt;0,VLOOKUP(OPERAC[[#This Row],[COD CART]],[1]!MatrizCortoLargoCyl[#All],3,0),"")</f>
        <v/>
      </c>
      <c r="F1864" t="inlineStr">
        <is>
          <t>HYDR</t>
        </is>
      </c>
      <c r="G1864" t="n">
        <v>30</v>
      </c>
      <c r="H1864" t="n">
        <v>-557.1103199999999</v>
      </c>
      <c r="I1864">
        <f>-H2935/G2935</f>
        <v/>
      </c>
      <c r="J1864" s="16" t="n">
        <v>44693</v>
      </c>
      <c r="K1864">
        <f>+OPERAC[[#This Row],[cantidad]]</f>
        <v/>
      </c>
      <c r="L1864">
        <f>+OPERAC[[#This Row],[cantidad venta]]*12.027</f>
        <v/>
      </c>
    </row>
    <row r="1865">
      <c r="A1865" t="n">
        <v>7493</v>
      </c>
      <c r="B1865" s="16" t="n">
        <v>44664</v>
      </c>
      <c r="C1865" t="inlineStr">
        <is>
          <t>VTA</t>
        </is>
      </c>
      <c r="D1865" t="n">
        <v>42</v>
      </c>
      <c r="E1865">
        <f>IF(D3086&gt;0,VLOOKUP(OPERAC[[#This Row],[COD CART]],[1]!MatrizCortoLargoCyl[#All],3,0),"")</f>
        <v/>
      </c>
      <c r="F1865" t="inlineStr">
        <is>
          <t>PSQ</t>
        </is>
      </c>
      <c r="G1865" t="n">
        <v>50</v>
      </c>
      <c r="H1865" t="n">
        <v>-621.6286090499999</v>
      </c>
      <c r="I1865">
        <f>-H3086/G3086</f>
        <v/>
      </c>
      <c r="J1865" s="16" t="n">
        <v>44680</v>
      </c>
      <c r="K1865">
        <f>+OPERAC[[#This Row],[cantidad]]</f>
        <v/>
      </c>
      <c r="L1865">
        <f>12.848*OPERAC[[#This Row],[cantidad venta]]</f>
        <v/>
      </c>
    </row>
    <row r="1866">
      <c r="A1866" t="n">
        <v>7493</v>
      </c>
      <c r="B1866" s="16" t="n">
        <v>44669</v>
      </c>
      <c r="C1866" t="inlineStr">
        <is>
          <t>VTA</t>
        </is>
      </c>
      <c r="D1866" t="n">
        <v>32</v>
      </c>
      <c r="E1866">
        <f>IF(D2525&gt;0,VLOOKUP(OPERAC[[#This Row],[COD CART]],[1]!MatrizCortoLargoCyl[#All],3,0),"")</f>
        <v/>
      </c>
      <c r="F1866" t="inlineStr">
        <is>
          <t>HMY</t>
        </is>
      </c>
      <c r="G1866" t="n">
        <v>100</v>
      </c>
      <c r="H1866">
        <f>-4.64*OPERAC[[#This Row],[cantidad]]</f>
        <v/>
      </c>
      <c r="I1866">
        <f>-H2525/G2525</f>
        <v/>
      </c>
    </row>
    <row r="1867">
      <c r="A1867" t="n">
        <v>7493</v>
      </c>
      <c r="B1867" s="16" t="n">
        <v>44671</v>
      </c>
      <c r="C1867" t="inlineStr">
        <is>
          <t>CPR</t>
        </is>
      </c>
      <c r="D1867" t="n">
        <v>42</v>
      </c>
      <c r="E1867">
        <f>IF(D3498&gt;0,VLOOKUP(OPERAC[[#This Row],[COD CART]],[1]!MatrizCortoLargoCyl[#All],3,0),"")</f>
        <v/>
      </c>
      <c r="F1867" t="inlineStr">
        <is>
          <t>NFLX</t>
        </is>
      </c>
      <c r="G1867" t="n">
        <v>3</v>
      </c>
      <c r="H1867" t="n">
        <v>-763.51518</v>
      </c>
      <c r="I1867">
        <f>-H3498/G3498</f>
        <v/>
      </c>
      <c r="J1867" s="16" t="n">
        <v>44693</v>
      </c>
      <c r="K1867">
        <f>+OPERAC[[#This Row],[cantidad]]</f>
        <v/>
      </c>
      <c r="L1867">
        <f>+OPERAC[[#This Row],[cantidad venta]]*169.079</f>
        <v/>
      </c>
    </row>
    <row r="1868">
      <c r="A1868" t="n">
        <v>7493</v>
      </c>
      <c r="B1868" s="16" t="n">
        <v>44671</v>
      </c>
      <c r="C1868" t="inlineStr">
        <is>
          <t>VTA</t>
        </is>
      </c>
      <c r="D1868" t="n">
        <v>42</v>
      </c>
      <c r="E1868">
        <f>IF(D2199&gt;0,VLOOKUP(OPERAC[[#This Row],[COD CART]],[1]!MatrizCortoLargoCyl[#All],3,0),"")</f>
        <v/>
      </c>
      <c r="F1868" t="inlineStr">
        <is>
          <t>TLT</t>
        </is>
      </c>
      <c r="G1868" t="n">
        <v>3</v>
      </c>
      <c r="H1868" t="n">
        <v>-367.689015</v>
      </c>
      <c r="I1868">
        <f>-H2199/G2199</f>
        <v/>
      </c>
      <c r="J1868" s="16" t="n">
        <v>44704</v>
      </c>
      <c r="K1868" t="n">
        <v>3</v>
      </c>
      <c r="L1868" t="n">
        <v>349.742</v>
      </c>
    </row>
    <row r="1869">
      <c r="A1869" t="n">
        <v>7493</v>
      </c>
      <c r="B1869" s="16" t="n">
        <v>44680</v>
      </c>
      <c r="C1869" t="inlineStr">
        <is>
          <t>VTA</t>
        </is>
      </c>
      <c r="D1869" t="n">
        <v>42</v>
      </c>
      <c r="E1869">
        <f>IF(D3137&gt;0,VLOOKUP(OPERAC[[#This Row],[COD CART]],[1]!MatrizCortoLargoCyl[#All],3,0),"")</f>
        <v/>
      </c>
      <c r="F1869" t="inlineStr">
        <is>
          <t>XLP</t>
        </is>
      </c>
      <c r="G1869" t="n">
        <v>8</v>
      </c>
      <c r="H1869" t="n">
        <v>-635.4760199999999</v>
      </c>
      <c r="I1869">
        <f>-H3137/G3137</f>
        <v/>
      </c>
      <c r="J1869" s="16" t="n">
        <v>44693</v>
      </c>
      <c r="K1869">
        <f>+OPERAC[[#This Row],[cantidad]]</f>
        <v/>
      </c>
      <c r="L1869">
        <f>+OPERAC[[#This Row],[cantidad venta]]*75.648</f>
        <v/>
      </c>
    </row>
    <row r="1870">
      <c r="A1870" t="n">
        <v>7493</v>
      </c>
      <c r="B1870" s="16" t="n">
        <v>44704</v>
      </c>
      <c r="C1870" t="inlineStr">
        <is>
          <t>VTA</t>
        </is>
      </c>
      <c r="D1870" t="n">
        <v>32</v>
      </c>
      <c r="E1870">
        <f>IF(D3194&gt;0,VLOOKUP(OPERAC[[#This Row],[COD CART]],[1]!MatrizCortoLargoCyl[#All],3,0),"")</f>
        <v/>
      </c>
      <c r="F1870" t="inlineStr">
        <is>
          <t>CRESY/CYL/7,50/17-06-22</t>
        </is>
      </c>
      <c r="G1870" t="n">
        <v>100</v>
      </c>
      <c r="H1870" t="n">
        <v>-650.41</v>
      </c>
      <c r="I1870">
        <f>-H3194/G3194</f>
        <v/>
      </c>
    </row>
    <row r="1871">
      <c r="A1871" t="n">
        <v>7493</v>
      </c>
      <c r="B1871" s="16" t="n">
        <v>44704</v>
      </c>
      <c r="C1871" t="inlineStr">
        <is>
          <t>VTA</t>
        </is>
      </c>
      <c r="D1871" t="n">
        <v>32</v>
      </c>
      <c r="E1871">
        <f>IF(D3858&gt;0,VLOOKUP(OPERAC[[#This Row],[COD CART]],[1]!MatrizCortoLargoCyl[#All],3,0),"")</f>
        <v/>
      </c>
      <c r="F1871" t="inlineStr">
        <is>
          <t>HIMX/CYL/9,00/10-06-22</t>
        </is>
      </c>
      <c r="G1871" t="n">
        <v>100</v>
      </c>
      <c r="H1871" t="n">
        <v>-866.7</v>
      </c>
      <c r="I1871">
        <f>-H3858/G3858</f>
        <v/>
      </c>
      <c r="J1871" s="16" t="n">
        <v>44721</v>
      </c>
      <c r="K1871" t="n">
        <v>100</v>
      </c>
      <c r="L1871" t="n">
        <v>898.25</v>
      </c>
    </row>
    <row r="1872">
      <c r="A1872" t="n">
        <v>7493</v>
      </c>
      <c r="B1872" s="16" t="n">
        <v>44706</v>
      </c>
      <c r="C1872" t="inlineStr">
        <is>
          <t>VTA</t>
        </is>
      </c>
      <c r="D1872" t="n">
        <v>39</v>
      </c>
      <c r="E1872">
        <f>IF(D115&gt;0,VLOOKUP(OPERAC[[#This Row],[COD CART]],[1]!MatrizCortoLargoCyl[#All],3,0),"")</f>
        <v/>
      </c>
      <c r="F1872" t="inlineStr">
        <is>
          <t>TSLA/P/615,00/27-05-22</t>
        </is>
      </c>
      <c r="G1872" t="n">
        <v>-1000</v>
      </c>
      <c r="H1872" t="n">
        <v>3222.375</v>
      </c>
      <c r="I1872">
        <f>-H115/G115</f>
        <v/>
      </c>
      <c r="J1872" s="16" t="n">
        <v>44707</v>
      </c>
      <c r="K1872" t="n">
        <v>-1000</v>
      </c>
      <c r="L1872" t="n">
        <v>-443.74</v>
      </c>
    </row>
    <row r="1873">
      <c r="A1873" t="n">
        <v>7493</v>
      </c>
      <c r="B1873" s="16" t="n">
        <v>44707</v>
      </c>
      <c r="C1873" t="inlineStr">
        <is>
          <t>CPR</t>
        </is>
      </c>
      <c r="D1873" t="n">
        <v>42</v>
      </c>
      <c r="E1873">
        <f>IF(D4477&gt;0,VLOOKUP(OPERAC[[#This Row],[COD CART]],[1]!MatrizCortoLargoCyl[#All],3,0),"")</f>
        <v/>
      </c>
      <c r="F1873" t="inlineStr">
        <is>
          <t>ET</t>
        </is>
      </c>
      <c r="G1873" t="n">
        <v>100</v>
      </c>
      <c r="H1873" t="n">
        <v>-1172.38125</v>
      </c>
      <c r="I1873">
        <f>-H4477/G4477</f>
        <v/>
      </c>
      <c r="J1873" s="16" t="n">
        <v>44712</v>
      </c>
      <c r="K1873" t="n">
        <v>100</v>
      </c>
      <c r="L1873" t="n">
        <v>1156.52</v>
      </c>
    </row>
    <row r="1874">
      <c r="A1874" t="n">
        <v>7493</v>
      </c>
      <c r="B1874" s="16" t="n">
        <v>44707</v>
      </c>
      <c r="C1874" t="inlineStr">
        <is>
          <t>CPR</t>
        </is>
      </c>
      <c r="D1874" t="n">
        <v>32</v>
      </c>
      <c r="E1874">
        <f>IF(D5759&gt;0,VLOOKUP(OPERAC[[#This Row],[COD CART]],[1]!MatrizCortoLargoCyl[#All],3,0),"")</f>
        <v/>
      </c>
      <c r="F1874" t="inlineStr">
        <is>
          <t>BIG/CYL/27,50/17-06-22</t>
        </is>
      </c>
      <c r="G1874" t="n">
        <v>100</v>
      </c>
      <c r="H1874" t="n">
        <v>-2636.628</v>
      </c>
      <c r="I1874">
        <f>-H5759/G5759</f>
        <v/>
      </c>
    </row>
    <row r="1875">
      <c r="A1875" t="n">
        <v>7493</v>
      </c>
      <c r="B1875" s="16" t="n">
        <v>44707</v>
      </c>
      <c r="C1875" t="inlineStr">
        <is>
          <t>VTA</t>
        </is>
      </c>
      <c r="D1875" t="n">
        <v>43</v>
      </c>
      <c r="E1875">
        <f>IF(D5287&gt;0,VLOOKUP(OPERAC[[#This Row],[COD CART]],[1]!MatrizCortoLargoCyl[#All],3,0),"")</f>
        <v/>
      </c>
      <c r="F1875" t="inlineStr">
        <is>
          <t>SPWR/CYP/17,50-15,00/17-06-22</t>
        </is>
      </c>
      <c r="G1875" t="n">
        <v>100</v>
      </c>
      <c r="H1875" t="n">
        <v>-1717.027</v>
      </c>
      <c r="I1875">
        <f>-H5287/G5287</f>
        <v/>
      </c>
    </row>
    <row r="1876">
      <c r="A1876" t="n">
        <v>7493</v>
      </c>
      <c r="B1876" s="16" t="n">
        <v>44712</v>
      </c>
      <c r="C1876" t="inlineStr">
        <is>
          <t>VTA</t>
        </is>
      </c>
      <c r="D1876" t="n">
        <v>39</v>
      </c>
      <c r="E1876">
        <f>IF(D1565&gt;0,VLOOKUP(OPERAC[[#This Row],[COD CART]],[1]!MatrizCortoLargoCyl[#All],3,0),"")</f>
        <v/>
      </c>
      <c r="F1876" t="inlineStr">
        <is>
          <t>ET/C/10,00/21-10-22</t>
        </is>
      </c>
      <c r="G1876" t="n">
        <v>100</v>
      </c>
      <c r="H1876" t="n">
        <v>-202.808</v>
      </c>
      <c r="I1876">
        <f>-H1565/G1565</f>
        <v/>
      </c>
    </row>
    <row r="1877">
      <c r="A1877" t="n">
        <v>7493</v>
      </c>
      <c r="B1877" s="16" t="n">
        <v>44721</v>
      </c>
      <c r="C1877" t="inlineStr">
        <is>
          <t>CPR</t>
        </is>
      </c>
      <c r="D1877" t="n">
        <v>32</v>
      </c>
      <c r="E1877">
        <f>IF(D4405&gt;0,VLOOKUP(OPERAC[[#This Row],[COD CART]],[1]!MatrizCortoLargoCyl[#All],3,0),"")</f>
        <v/>
      </c>
      <c r="F1877" t="inlineStr">
        <is>
          <t>CCL/CYL/11,5/17-06-22</t>
        </is>
      </c>
      <c r="G1877" t="n">
        <v>100</v>
      </c>
      <c r="H1877">
        <f>-11.066*100</f>
        <v/>
      </c>
      <c r="I1877">
        <f>-H4405/G4405</f>
        <v/>
      </c>
    </row>
    <row r="1878">
      <c r="A1878" t="n">
        <v>7860</v>
      </c>
      <c r="B1878" s="16" t="n">
        <v>44200</v>
      </c>
      <c r="C1878" t="inlineStr">
        <is>
          <t>CPR</t>
        </is>
      </c>
      <c r="D1878" t="n">
        <v>41</v>
      </c>
      <c r="E1878">
        <f>IF(D6275&gt;0,VLOOKUP(OPERAC[[#This Row],[COD CART]],[1]!MatrizCortoLargoCyl[#All],3,0),"")</f>
        <v/>
      </c>
      <c r="F1878" t="inlineStr">
        <is>
          <t>AAL</t>
        </is>
      </c>
      <c r="G1878" t="n">
        <v>500</v>
      </c>
      <c r="H1878" t="n">
        <v>-7582.7</v>
      </c>
      <c r="I1878">
        <f>-H6275/G6275</f>
        <v/>
      </c>
    </row>
    <row r="1879">
      <c r="A1879" t="n">
        <v>7867</v>
      </c>
      <c r="B1879" s="16" t="n">
        <v>44446</v>
      </c>
      <c r="C1879" t="inlineStr">
        <is>
          <t>CPR</t>
        </is>
      </c>
      <c r="D1879" t="n">
        <v>32</v>
      </c>
      <c r="E1879">
        <f>IF(D3285&gt;0,VLOOKUP(OPERAC[[#This Row],[COD CART]],[1]!MatrizCortoLargoCyl[#All],3,0),"")</f>
        <v/>
      </c>
      <c r="F1879" t="inlineStr">
        <is>
          <t>INO/CYL/8,00/18-02-22</t>
        </is>
      </c>
      <c r="G1879" t="n">
        <v>100</v>
      </c>
      <c r="H1879">
        <f>-758.932+27.502+30.172+14.579+4.707</f>
        <v/>
      </c>
      <c r="I1879">
        <f>-H3285/G3285</f>
        <v/>
      </c>
      <c r="J1879" s="16" t="n">
        <v>44585</v>
      </c>
      <c r="K1879" t="n">
        <v>100</v>
      </c>
      <c r="L1879" t="n">
        <v>350.03</v>
      </c>
    </row>
    <row r="1880">
      <c r="A1880" t="n">
        <v>7867</v>
      </c>
      <c r="B1880" s="16" t="n">
        <v>44489</v>
      </c>
      <c r="C1880" t="inlineStr">
        <is>
          <t>VTA</t>
        </is>
      </c>
      <c r="D1880" t="n">
        <v>43</v>
      </c>
      <c r="E1880">
        <f>IF(D1519&gt;0,VLOOKUP(OPERAC[[#This Row],[COD CART]],[1]!MatrizCortoLargoCyl[#All],3,0),"")</f>
        <v/>
      </c>
      <c r="F1880" t="inlineStr">
        <is>
          <t>SESN/CYL-PUT/1,00/19-01-24</t>
        </is>
      </c>
      <c r="G1880" t="n">
        <v>1000</v>
      </c>
      <c r="H1880">
        <f>-0.1885*OPERAC[[#This Row],[cantidad]]</f>
        <v/>
      </c>
      <c r="I1880">
        <f>-H1519/G1519</f>
        <v/>
      </c>
      <c r="J1880" s="16" t="n">
        <v>44615</v>
      </c>
      <c r="K1880">
        <f>560+440</f>
        <v/>
      </c>
      <c r="L1880">
        <f>280.766+49.63</f>
        <v/>
      </c>
    </row>
    <row r="1881">
      <c r="A1881" t="n">
        <v>7867</v>
      </c>
      <c r="B1881" s="16" t="n">
        <v>44511</v>
      </c>
      <c r="C1881" t="inlineStr">
        <is>
          <t>VTA</t>
        </is>
      </c>
      <c r="D1881" t="n">
        <v>31</v>
      </c>
      <c r="E1881">
        <f>IF(D1345&gt;0,VLOOKUP(OPERAC[[#This Row],[COD CART]],[1]!MatrizCortoLargoCyl[#All],3,0),"")</f>
        <v/>
      </c>
      <c r="F1881" t="inlineStr">
        <is>
          <t>IPIX</t>
        </is>
      </c>
      <c r="G1881" t="n">
        <v>1000</v>
      </c>
      <c r="H1881" t="n">
        <v>-109.99</v>
      </c>
      <c r="I1881">
        <f>-H1345/G1345</f>
        <v/>
      </c>
    </row>
    <row r="1882">
      <c r="A1882" t="n">
        <v>7867</v>
      </c>
      <c r="B1882" s="16" t="n">
        <v>44523</v>
      </c>
      <c r="C1882" t="inlineStr">
        <is>
          <t>VTA</t>
        </is>
      </c>
      <c r="D1882" t="n">
        <v>40</v>
      </c>
      <c r="E1882">
        <f>IF(D2148&gt;0,VLOOKUP(OPERAC[[#This Row],[COD CART]],[1]!MatrizCortoLargoCyl[#All],3,0),"")</f>
        <v/>
      </c>
      <c r="F1882" t="inlineStr">
        <is>
          <t>EDU</t>
        </is>
      </c>
      <c r="G1882" t="n">
        <v>200</v>
      </c>
      <c r="H1882">
        <f>-355.898+0.026*OPERAC[[#This Row],[cantidad]]</f>
        <v/>
      </c>
      <c r="I1882">
        <f>-H2148/G2148</f>
        <v/>
      </c>
      <c r="J1882" s="16" t="n">
        <v>44585</v>
      </c>
      <c r="K1882" t="n">
        <v>200</v>
      </c>
      <c r="L1882" t="n">
        <v>279.946</v>
      </c>
    </row>
    <row r="1883">
      <c r="A1883" t="n">
        <v>7867</v>
      </c>
      <c r="B1883" s="16" t="n">
        <v>44552</v>
      </c>
      <c r="C1883" t="inlineStr">
        <is>
          <t>VTA</t>
        </is>
      </c>
      <c r="D1883" t="n">
        <v>32</v>
      </c>
      <c r="E1883">
        <f>IF(D2250&gt;0,VLOOKUP(OPERAC[[#This Row],[COD CART]],[1]!MatrizCortoLargoCyl[#All],3,0),"")</f>
        <v/>
      </c>
      <c r="F1883" t="inlineStr">
        <is>
          <t>HMY/CYL/4,00/21-01-22</t>
        </is>
      </c>
      <c r="G1883" t="n">
        <v>100</v>
      </c>
      <c r="H1883">
        <f>-3.8*OPERAC[[#This Row],[cantidad]]</f>
        <v/>
      </c>
      <c r="I1883">
        <f>-H2250/G2250</f>
        <v/>
      </c>
      <c r="J1883" s="16" t="n">
        <v>44580</v>
      </c>
      <c r="K1883" t="n">
        <v>100</v>
      </c>
      <c r="L1883" t="n">
        <v>393.93</v>
      </c>
    </row>
    <row r="1884">
      <c r="A1884" t="n">
        <v>7867</v>
      </c>
      <c r="B1884" s="16" t="n">
        <v>44581</v>
      </c>
      <c r="C1884" t="inlineStr">
        <is>
          <t>CPR</t>
        </is>
      </c>
      <c r="D1884" t="n">
        <v>32</v>
      </c>
      <c r="E1884">
        <f>IF(D3571&gt;0,VLOOKUP(OPERAC[[#This Row],[COD CART]],[1]!MatrizCortoLargoCyl[#All],3,0),"")</f>
        <v/>
      </c>
      <c r="F1884" t="inlineStr">
        <is>
          <t>HMY/CYL/4,00/18-02-22</t>
        </is>
      </c>
      <c r="G1884" t="n">
        <v>200</v>
      </c>
      <c r="H1884" t="n">
        <v>-774.9359920000001</v>
      </c>
      <c r="I1884">
        <f>-H3571/G3571</f>
        <v/>
      </c>
      <c r="J1884" s="16" t="n">
        <v>44610</v>
      </c>
      <c r="K1884">
        <f>+OPERAC[[#This Row],[cantidad]]</f>
        <v/>
      </c>
      <c r="L1884">
        <f>+OPERAC[[#This Row],[cantidad venta]]*3.8323</f>
        <v/>
      </c>
    </row>
    <row r="1885">
      <c r="A1885" t="n">
        <v>7867</v>
      </c>
      <c r="B1885" s="16" t="n">
        <v>44582</v>
      </c>
      <c r="C1885" t="inlineStr">
        <is>
          <t>CPR</t>
        </is>
      </c>
      <c r="D1885" t="n">
        <v>40</v>
      </c>
      <c r="E1885">
        <f>IF(D4531&gt;0,VLOOKUP(OPERAC[[#This Row],[COD CART]],[1]!MatrizCortoLargoCyl[#All],3,0),"")</f>
        <v/>
      </c>
      <c r="F1885" t="inlineStr">
        <is>
          <t>ACB</t>
        </is>
      </c>
      <c r="G1885" t="n">
        <v>48</v>
      </c>
      <c r="H1885">
        <f>-25*OPERAC[[#This Row],[cantidad]]</f>
        <v/>
      </c>
      <c r="I1885">
        <f>-H4531/G4531</f>
        <v/>
      </c>
      <c r="J1885" s="16" t="n">
        <v>44606</v>
      </c>
      <c r="K1885" t="n">
        <v>48</v>
      </c>
      <c r="L1885" t="n">
        <v>209.363</v>
      </c>
    </row>
    <row r="1886">
      <c r="A1886" t="n">
        <v>7867</v>
      </c>
      <c r="B1886" s="16" t="n">
        <v>44585</v>
      </c>
      <c r="C1886" t="inlineStr">
        <is>
          <t>VTA</t>
        </is>
      </c>
      <c r="D1886" t="n">
        <v>39</v>
      </c>
      <c r="E1886">
        <f>IF(D264&gt;0,VLOOKUP(OPERAC[[#This Row],[COD CART]],[1]!MatrizCortoLargoCyl[#All],3,0),"")</f>
        <v/>
      </c>
      <c r="F1886" t="inlineStr">
        <is>
          <t>MELI/V/700,00/28-01-22</t>
        </is>
      </c>
      <c r="G1886" t="n">
        <v>-600</v>
      </c>
      <c r="H1886" t="n">
        <v>1696.32</v>
      </c>
      <c r="I1886">
        <f>-H264/G264</f>
        <v/>
      </c>
      <c r="J1886" s="16" t="n">
        <v>44589</v>
      </c>
      <c r="K1886" t="n">
        <v>-600</v>
      </c>
      <c r="L1886" t="n">
        <v>-30.24</v>
      </c>
    </row>
    <row r="1887">
      <c r="A1887" t="n">
        <v>7867</v>
      </c>
      <c r="B1887" s="16" t="n">
        <v>44586</v>
      </c>
      <c r="C1887" t="inlineStr">
        <is>
          <t>CPR</t>
        </is>
      </c>
      <c r="D1887" t="n">
        <v>43</v>
      </c>
      <c r="E1887">
        <f>IF(D2737&gt;0,VLOOKUP(OPERAC[[#This Row],[COD CART]],[1]!MatrizCortoLargoCyl[#All],3,0),"")</f>
        <v/>
      </c>
      <c r="F1887" t="inlineStr">
        <is>
          <t>GMBL/CYL-PUT/2,50/20-01-23</t>
        </is>
      </c>
      <c r="G1887" t="n">
        <v>500</v>
      </c>
      <c r="H1887" t="n">
        <v>-508.0223</v>
      </c>
      <c r="I1887">
        <f>-H2737/G2737</f>
        <v/>
      </c>
      <c r="J1887" s="16" t="n">
        <v>44705</v>
      </c>
      <c r="K1887" t="n">
        <v>500</v>
      </c>
      <c r="L1887" t="n">
        <v>-924.336</v>
      </c>
    </row>
    <row r="1888">
      <c r="A1888" t="n">
        <v>7867</v>
      </c>
      <c r="B1888" s="16" t="n">
        <v>44587</v>
      </c>
      <c r="C1888" t="inlineStr">
        <is>
          <t>VTA</t>
        </is>
      </c>
      <c r="D1888" t="n">
        <v>40</v>
      </c>
      <c r="E1888">
        <f>IF(D1968&gt;0,VLOOKUP(OPERAC[[#This Row],[COD CART]],[1]!MatrizCortoLargoCyl[#All],3,0),"")</f>
        <v/>
      </c>
      <c r="F1888" t="inlineStr">
        <is>
          <t>MSFT</t>
        </is>
      </c>
      <c r="G1888" t="n">
        <v>1</v>
      </c>
      <c r="H1888" t="n">
        <v>-303.41126</v>
      </c>
      <c r="I1888">
        <f>-H1968/G1968</f>
        <v/>
      </c>
      <c r="J1888" s="16" t="n">
        <v>44606</v>
      </c>
      <c r="K1888">
        <f>+OPERAC[[#This Row],[cantidad]]</f>
        <v/>
      </c>
      <c r="L1888">
        <f>+OPERAC[[#This Row],[cantidad venta]]*290.091</f>
        <v/>
      </c>
    </row>
    <row r="1889">
      <c r="A1889" t="n">
        <v>7867</v>
      </c>
      <c r="B1889" s="16" t="n">
        <v>44608</v>
      </c>
      <c r="C1889" t="inlineStr">
        <is>
          <t>VTA</t>
        </is>
      </c>
      <c r="D1889" t="n">
        <v>40</v>
      </c>
      <c r="E1889">
        <f>IF(D2842&gt;0,VLOOKUP(OPERAC[[#This Row],[COD CART]],[1]!MatrizCortoLargoCyl[#All],3,0),"")</f>
        <v/>
      </c>
      <c r="F1889" t="inlineStr">
        <is>
          <t>NVDA</t>
        </is>
      </c>
      <c r="G1889" t="n">
        <v>2</v>
      </c>
      <c r="H1889" t="n">
        <v>-527.0279999999999</v>
      </c>
      <c r="I1889">
        <f>-H2842/G2842</f>
        <v/>
      </c>
      <c r="J1889" s="16" t="n">
        <v>44616</v>
      </c>
      <c r="K1889">
        <f>+OPERAC[[#This Row],[cantidad]]</f>
        <v/>
      </c>
      <c r="L1889">
        <f>+OPERAC[[#This Row],[cantidad venta]]*224.117</f>
        <v/>
      </c>
    </row>
    <row r="1890">
      <c r="A1890" t="n">
        <v>7867</v>
      </c>
      <c r="B1890" s="16" t="n">
        <v>44616</v>
      </c>
      <c r="C1890" t="inlineStr">
        <is>
          <t>CPR</t>
        </is>
      </c>
      <c r="D1890" t="n">
        <v>32</v>
      </c>
      <c r="E1890">
        <f>IF(D3651&gt;0,VLOOKUP(OPERAC[[#This Row],[COD CART]],[1]!MatrizCortoLargoCyl[#All],3,0),"")</f>
        <v/>
      </c>
      <c r="F1890" t="inlineStr">
        <is>
          <t>COTY/CYL/8,50/18-03-22</t>
        </is>
      </c>
      <c r="G1890" t="n">
        <v>100</v>
      </c>
      <c r="H1890" t="n">
        <v>-807.1405999999999</v>
      </c>
      <c r="I1890">
        <f>-H3651/G3651</f>
        <v/>
      </c>
      <c r="J1890" s="16" t="n">
        <v>44636</v>
      </c>
      <c r="K1890" t="n">
        <v>100</v>
      </c>
      <c r="L1890" t="n">
        <v>837.58</v>
      </c>
    </row>
    <row r="1891">
      <c r="A1891" t="n">
        <v>7867</v>
      </c>
      <c r="B1891" s="16" t="n">
        <v>44616</v>
      </c>
      <c r="C1891" t="inlineStr">
        <is>
          <t>VTA</t>
        </is>
      </c>
      <c r="D1891" t="n">
        <v>32</v>
      </c>
      <c r="E1891">
        <f>IF(D2258&gt;0,VLOOKUP(OPERAC[[#This Row],[COD CART]],[1]!MatrizCortoLargoCyl[#All],3,0),"")</f>
        <v/>
      </c>
      <c r="F1891" t="inlineStr">
        <is>
          <t>HMY/CYL/4,00/18-03-22</t>
        </is>
      </c>
      <c r="G1891" t="n">
        <v>100</v>
      </c>
      <c r="H1891" t="n">
        <v>-383.705</v>
      </c>
      <c r="I1891">
        <f>-H2258/G2258</f>
        <v/>
      </c>
      <c r="J1891" s="16" t="n">
        <v>44622</v>
      </c>
      <c r="K1891" t="n">
        <v>100</v>
      </c>
      <c r="L1891" t="n">
        <v>393.95</v>
      </c>
    </row>
    <row r="1892">
      <c r="A1892" t="n">
        <v>7867</v>
      </c>
      <c r="B1892" s="16" t="n">
        <v>44622</v>
      </c>
      <c r="C1892" t="inlineStr">
        <is>
          <t>CPR</t>
        </is>
      </c>
      <c r="D1892" t="n">
        <v>32</v>
      </c>
      <c r="E1892">
        <f>IF(D2576&gt;0,VLOOKUP(OPERAC[[#This Row],[COD CART]],[1]!MatrizCortoLargoCyl[#All],3,0),"")</f>
        <v/>
      </c>
      <c r="F1892" t="inlineStr">
        <is>
          <t>HMY/CYL/5,00/18-03-22</t>
        </is>
      </c>
      <c r="G1892" t="n">
        <v>100</v>
      </c>
      <c r="H1892" t="n">
        <v>-468.532</v>
      </c>
      <c r="I1892">
        <f>-H2576/G2576</f>
        <v/>
      </c>
      <c r="J1892" s="16" t="n">
        <v>44637</v>
      </c>
      <c r="K1892">
        <f>+OPERAC[[#This Row],[cantidad]]</f>
        <v/>
      </c>
      <c r="L1892">
        <f>4.85553*OPERAC[[#This Row],[cantidad venta]]</f>
        <v/>
      </c>
    </row>
    <row r="1893">
      <c r="A1893" t="n">
        <v>7867</v>
      </c>
      <c r="B1893" s="16" t="n">
        <v>44622</v>
      </c>
      <c r="C1893" t="inlineStr">
        <is>
          <t>CPR</t>
        </is>
      </c>
      <c r="D1893" t="n">
        <v>32</v>
      </c>
      <c r="E1893">
        <f>IF(D4054&gt;0,VLOOKUP(OPERAC[[#This Row],[COD CART]],[1]!MatrizCortoLargoCyl[#All],3,0),"")</f>
        <v/>
      </c>
      <c r="F1893" t="inlineStr">
        <is>
          <t>SABR/CYL/10,00/14-04-22</t>
        </is>
      </c>
      <c r="G1893" t="n">
        <v>100</v>
      </c>
      <c r="H1893" t="n">
        <v>-928.9848000000001</v>
      </c>
      <c r="I1893">
        <f>-H4054/G4054</f>
        <v/>
      </c>
      <c r="J1893" s="16" t="n">
        <v>44649</v>
      </c>
      <c r="K1893" t="n">
        <v>100</v>
      </c>
      <c r="L1893" t="n">
        <v>982.1799999999999</v>
      </c>
    </row>
    <row r="1894">
      <c r="A1894" t="n">
        <v>7867</v>
      </c>
      <c r="B1894" s="16" t="n">
        <v>44641</v>
      </c>
      <c r="C1894" t="inlineStr">
        <is>
          <t>VTA</t>
        </is>
      </c>
      <c r="D1894" t="n">
        <v>42</v>
      </c>
      <c r="E1894">
        <f>IF(D2373&gt;0,VLOOKUP(OPERAC[[#This Row],[COD CART]],[1]!MatrizCortoLargoCyl[#All],3,0),"")</f>
        <v/>
      </c>
      <c r="F1894" t="inlineStr">
        <is>
          <t>JPM</t>
        </is>
      </c>
      <c r="G1894" t="n">
        <v>3</v>
      </c>
      <c r="H1894" t="n">
        <v>-421.3630200000001</v>
      </c>
      <c r="I1894">
        <f>-H2373/G2373</f>
        <v/>
      </c>
      <c r="J1894" s="16" t="n">
        <v>44664</v>
      </c>
      <c r="K1894">
        <f>+OPERAC[[#This Row],[cantidad]]</f>
        <v/>
      </c>
      <c r="L1894">
        <f>+OPERAC[[#This Row],[cantidad venta]]*125.943</f>
        <v/>
      </c>
    </row>
    <row r="1895">
      <c r="A1895" t="n">
        <v>7867</v>
      </c>
      <c r="B1895" s="16" t="n">
        <v>44641</v>
      </c>
      <c r="C1895" t="inlineStr">
        <is>
          <t>VTA</t>
        </is>
      </c>
      <c r="D1895" t="n">
        <v>42</v>
      </c>
      <c r="E1895">
        <f>IF(D3156&gt;0,VLOOKUP(OPERAC[[#This Row],[COD CART]],[1]!MatrizCortoLargoCyl[#All],3,0),"")</f>
        <v/>
      </c>
      <c r="F1895" t="inlineStr">
        <is>
          <t>FB</t>
        </is>
      </c>
      <c r="G1895" t="n">
        <v>3</v>
      </c>
      <c r="H1895" t="n">
        <v>-636.4691399999999</v>
      </c>
      <c r="I1895">
        <f>-H3156/G3156</f>
        <v/>
      </c>
      <c r="J1895" s="16" t="n">
        <v>44671</v>
      </c>
      <c r="K1895">
        <f>+OPERAC[[#This Row],[cantidad]]</f>
        <v/>
      </c>
      <c r="L1895">
        <f>+OPERAC[[#This Row],[cantidad venta]]*213.173</f>
        <v/>
      </c>
    </row>
    <row r="1896">
      <c r="A1896" t="n">
        <v>7867</v>
      </c>
      <c r="B1896" s="16" t="n">
        <v>44649</v>
      </c>
      <c r="C1896" t="inlineStr">
        <is>
          <t>VTA</t>
        </is>
      </c>
      <c r="D1896" t="n">
        <v>42</v>
      </c>
      <c r="E1896">
        <f>IF(D2451&gt;0,VLOOKUP(OPERAC[[#This Row],[COD CART]],[1]!MatrizCortoLargoCyl[#All],3,0),"")</f>
        <v/>
      </c>
      <c r="F1896" t="inlineStr">
        <is>
          <t>DIS</t>
        </is>
      </c>
      <c r="G1896" t="n">
        <v>3</v>
      </c>
      <c r="H1896" t="n">
        <v>-431.5500690000001</v>
      </c>
      <c r="I1896">
        <f>-H2451/G2451</f>
        <v/>
      </c>
      <c r="J1896" s="16" t="n">
        <v>44671</v>
      </c>
      <c r="K1896">
        <f>+OPERAC[[#This Row],[cantidad]]</f>
        <v/>
      </c>
      <c r="L1896">
        <f>+OPERAC[[#This Row],[cantidad venta]]*123.621</f>
        <v/>
      </c>
    </row>
    <row r="1897">
      <c r="A1897" t="n">
        <v>7867</v>
      </c>
      <c r="B1897" s="16" t="n">
        <v>44649</v>
      </c>
      <c r="C1897" t="inlineStr">
        <is>
          <t>VTA</t>
        </is>
      </c>
      <c r="D1897" t="n">
        <v>42</v>
      </c>
      <c r="E1897">
        <f>IF(D2995&gt;0,VLOOKUP(OPERAC[[#This Row],[COD CART]],[1]!MatrizCortoLargoCyl[#All],3,0),"")</f>
        <v/>
      </c>
      <c r="F1897" t="inlineStr">
        <is>
          <t>SMH</t>
        </is>
      </c>
      <c r="G1897" t="n">
        <v>2</v>
      </c>
      <c r="H1897" t="n">
        <v>-573.31816</v>
      </c>
      <c r="I1897">
        <f>-H2995/G2995</f>
        <v/>
      </c>
      <c r="J1897" s="16" t="n">
        <v>44663</v>
      </c>
      <c r="K1897">
        <f>+OPERAC[[#This Row],[cantidad]]</f>
        <v/>
      </c>
      <c r="L1897">
        <f>+OPERAC[[#This Row],[cantidad venta]]*238.066</f>
        <v/>
      </c>
    </row>
    <row r="1898">
      <c r="A1898" t="n">
        <v>7867</v>
      </c>
      <c r="B1898" s="16" t="n">
        <v>44662</v>
      </c>
      <c r="C1898" t="inlineStr">
        <is>
          <t>VTA</t>
        </is>
      </c>
      <c r="D1898" t="n">
        <v>42</v>
      </c>
      <c r="E1898">
        <f>IF(D1495&gt;0,VLOOKUP(OPERAC[[#This Row],[COD CART]],[1]!MatrizCortoLargoCyl[#All],3,0),"")</f>
        <v/>
      </c>
      <c r="F1898" t="inlineStr">
        <is>
          <t>HYDR</t>
        </is>
      </c>
      <c r="G1898" t="n">
        <v>10</v>
      </c>
      <c r="H1898" t="n">
        <v>-185.70344</v>
      </c>
      <c r="I1898">
        <f>-H1495/G1495</f>
        <v/>
      </c>
      <c r="J1898" s="16" t="n">
        <v>44693</v>
      </c>
      <c r="K1898">
        <f>+OPERAC[[#This Row],[cantidad]]</f>
        <v/>
      </c>
      <c r="L1898">
        <f>+OPERAC[[#This Row],[cantidad venta]]*12.027</f>
        <v/>
      </c>
    </row>
    <row r="1899">
      <c r="A1899" t="n">
        <v>7867</v>
      </c>
      <c r="B1899" s="16" t="n">
        <v>44664</v>
      </c>
      <c r="C1899" t="inlineStr">
        <is>
          <t>VTA</t>
        </is>
      </c>
      <c r="D1899" t="n">
        <v>42</v>
      </c>
      <c r="E1899">
        <f>IF(D1377&gt;0,VLOOKUP(OPERAC[[#This Row],[COD CART]],[1]!MatrizCortoLargoCyl[#All],3,0),"")</f>
        <v/>
      </c>
      <c r="F1899" t="inlineStr">
        <is>
          <t>PSQ</t>
        </is>
      </c>
      <c r="G1899" t="n">
        <v>10</v>
      </c>
      <c r="H1899" t="n">
        <v>-124.32572181</v>
      </c>
      <c r="I1899">
        <f>-H1377/G1377</f>
        <v/>
      </c>
      <c r="J1899" s="16" t="n">
        <v>44680</v>
      </c>
      <c r="K1899">
        <f>+OPERAC[[#This Row],[cantidad]]</f>
        <v/>
      </c>
      <c r="L1899">
        <f>12.848*OPERAC[[#This Row],[cantidad venta]]</f>
        <v/>
      </c>
    </row>
    <row r="1900">
      <c r="A1900" t="n">
        <v>7867</v>
      </c>
      <c r="B1900" s="16" t="n">
        <v>44669</v>
      </c>
      <c r="C1900" t="inlineStr">
        <is>
          <t>VTA</t>
        </is>
      </c>
      <c r="D1900" t="n">
        <v>32</v>
      </c>
      <c r="E1900">
        <f>IF(D2526&gt;0,VLOOKUP(OPERAC[[#This Row],[COD CART]],[1]!MatrizCortoLargoCyl[#All],3,0),"")</f>
        <v/>
      </c>
      <c r="F1900" t="inlineStr">
        <is>
          <t>HMY</t>
        </is>
      </c>
      <c r="G1900" t="n">
        <v>100</v>
      </c>
      <c r="H1900">
        <f>-4.64*OPERAC[[#This Row],[cantidad]]</f>
        <v/>
      </c>
      <c r="I1900">
        <f>-H2526/G2526</f>
        <v/>
      </c>
      <c r="J1900" s="16" t="n">
        <v>44712</v>
      </c>
      <c r="K1900" t="n">
        <v>100</v>
      </c>
      <c r="L1900" t="n">
        <v>360.113</v>
      </c>
    </row>
    <row r="1901">
      <c r="A1901" t="n">
        <v>7867</v>
      </c>
      <c r="B1901" s="16" t="n">
        <v>44671</v>
      </c>
      <c r="C1901" t="inlineStr">
        <is>
          <t>CPR</t>
        </is>
      </c>
      <c r="D1901" t="n">
        <v>42</v>
      </c>
      <c r="E1901">
        <f>IF(D3499&gt;0,VLOOKUP(OPERAC[[#This Row],[COD CART]],[1]!MatrizCortoLargoCyl[#All],3,0),"")</f>
        <v/>
      </c>
      <c r="F1901" t="inlineStr">
        <is>
          <t>NFLX</t>
        </is>
      </c>
      <c r="G1901" t="n">
        <v>3</v>
      </c>
      <c r="H1901" t="n">
        <v>-763.51518</v>
      </c>
      <c r="I1901">
        <f>-H3499/G3499</f>
        <v/>
      </c>
      <c r="J1901" s="16" t="n">
        <v>44693</v>
      </c>
      <c r="K1901">
        <f>+OPERAC[[#This Row],[cantidad]]</f>
        <v/>
      </c>
      <c r="L1901">
        <f>+OPERAC[[#This Row],[cantidad venta]]*169.079</f>
        <v/>
      </c>
    </row>
    <row r="1902">
      <c r="A1902" t="n">
        <v>7867</v>
      </c>
      <c r="B1902" s="16" t="n">
        <v>44671</v>
      </c>
      <c r="C1902" t="inlineStr">
        <is>
          <t>VTA</t>
        </is>
      </c>
      <c r="D1902" t="n">
        <v>42</v>
      </c>
      <c r="E1902">
        <f>IF(D2197&gt;0,VLOOKUP(OPERAC[[#This Row],[COD CART]],[1]!MatrizCortoLargoCyl[#All],3,0),"")</f>
        <v/>
      </c>
      <c r="F1902" t="inlineStr">
        <is>
          <t>TLT</t>
        </is>
      </c>
      <c r="G1902" t="n">
        <v>3</v>
      </c>
      <c r="H1902" t="n">
        <v>-367.689015</v>
      </c>
      <c r="I1902">
        <f>-H2197/G2197</f>
        <v/>
      </c>
      <c r="J1902" s="16" t="n">
        <v>44704</v>
      </c>
      <c r="K1902" t="n">
        <v>3</v>
      </c>
      <c r="L1902" t="n">
        <v>349.742</v>
      </c>
    </row>
    <row r="1903">
      <c r="A1903" t="n">
        <v>7867</v>
      </c>
      <c r="B1903" s="16" t="n">
        <v>44680</v>
      </c>
      <c r="C1903" t="inlineStr">
        <is>
          <t>VTA</t>
        </is>
      </c>
      <c r="D1903" t="n">
        <v>42</v>
      </c>
      <c r="E1903">
        <f>IF(D1447&gt;0,VLOOKUP(OPERAC[[#This Row],[COD CART]],[1]!MatrizCortoLargoCyl[#All],3,0),"")</f>
        <v/>
      </c>
      <c r="F1903" t="inlineStr">
        <is>
          <t>XLP</t>
        </is>
      </c>
      <c r="G1903" t="n">
        <v>2</v>
      </c>
      <c r="H1903" t="n">
        <v>-158.869005</v>
      </c>
      <c r="I1903">
        <f>-H1447/G1447</f>
        <v/>
      </c>
      <c r="J1903" s="16" t="n">
        <v>44693</v>
      </c>
      <c r="K1903">
        <f>+OPERAC[[#This Row],[cantidad]]</f>
        <v/>
      </c>
      <c r="L1903">
        <f>+OPERAC[[#This Row],[cantidad venta]]*75.648</f>
        <v/>
      </c>
    </row>
    <row r="1904">
      <c r="A1904" t="n">
        <v>7867</v>
      </c>
      <c r="B1904" s="16" t="n">
        <v>44707</v>
      </c>
      <c r="C1904" t="inlineStr">
        <is>
          <t>CPR</t>
        </is>
      </c>
      <c r="D1904" t="n">
        <v>42</v>
      </c>
      <c r="E1904">
        <f>IF(D4478&gt;0,VLOOKUP(OPERAC[[#This Row],[COD CART]],[1]!MatrizCortoLargoCyl[#All],3,0),"")</f>
        <v/>
      </c>
      <c r="F1904" t="inlineStr">
        <is>
          <t>ET</t>
        </is>
      </c>
      <c r="G1904" t="n">
        <v>100</v>
      </c>
      <c r="H1904" t="n">
        <v>-1172.38125</v>
      </c>
      <c r="I1904">
        <f>-H4478/G4478</f>
        <v/>
      </c>
      <c r="J1904" s="16" t="n">
        <v>44712</v>
      </c>
      <c r="K1904" t="n">
        <v>100</v>
      </c>
      <c r="L1904" t="n">
        <v>1169.474</v>
      </c>
    </row>
    <row r="1905">
      <c r="A1905" t="n">
        <v>7867</v>
      </c>
      <c r="B1905" s="16" t="n">
        <v>44708</v>
      </c>
      <c r="C1905" t="inlineStr">
        <is>
          <t>VTA</t>
        </is>
      </c>
      <c r="D1905" t="n">
        <v>42</v>
      </c>
      <c r="E1905">
        <f>IF(D2178&gt;0,VLOOKUP(OPERAC[[#This Row],[COD CART]],[1]!MatrizCortoLargoCyl[#All],3,0),"")</f>
        <v/>
      </c>
      <c r="F1905" t="inlineStr">
        <is>
          <t>ACB</t>
        </is>
      </c>
      <c r="G1905" t="n">
        <v>200</v>
      </c>
      <c r="H1905" t="n">
        <v>-365.064157761</v>
      </c>
      <c r="I1905">
        <f>-H2178/G2178</f>
        <v/>
      </c>
      <c r="J1905" s="16" t="n">
        <v>44712</v>
      </c>
      <c r="K1905" t="n">
        <v>200</v>
      </c>
      <c r="L1905" t="n">
        <v>331.161</v>
      </c>
    </row>
    <row r="1906">
      <c r="A1906" t="n">
        <v>7867</v>
      </c>
      <c r="B1906" s="16" t="n">
        <v>44712</v>
      </c>
      <c r="C1906" t="inlineStr">
        <is>
          <t>CPR</t>
        </is>
      </c>
      <c r="D1906" t="n">
        <v>32</v>
      </c>
      <c r="E1906">
        <f>IF(D3257&gt;0,VLOOKUP(OPERAC[[#This Row],[COD CART]],[1]!MatrizCortoLargoCyl[#All],3,0),"")</f>
        <v/>
      </c>
      <c r="F1906" t="inlineStr">
        <is>
          <t>COTY/CYL/7,00/17-06-22</t>
        </is>
      </c>
      <c r="G1906" t="n">
        <v>100</v>
      </c>
      <c r="H1906" t="n">
        <v>-677.42</v>
      </c>
      <c r="I1906">
        <f>-H3257/G3257</f>
        <v/>
      </c>
    </row>
    <row r="1907">
      <c r="A1907" t="n">
        <v>7867</v>
      </c>
      <c r="B1907" s="16" t="n">
        <v>44713</v>
      </c>
      <c r="C1907" t="inlineStr">
        <is>
          <t>CPR</t>
        </is>
      </c>
      <c r="D1907" t="n">
        <v>42</v>
      </c>
      <c r="E1907">
        <f>IF(D4131&gt;0,VLOOKUP(OPERAC[[#This Row],[COD CART]],[1]!MatrizCortoLargoCyl[#All],3,0),"")</f>
        <v/>
      </c>
      <c r="F1907" t="inlineStr">
        <is>
          <t>UPST</t>
        </is>
      </c>
      <c r="G1907" t="n">
        <v>20</v>
      </c>
      <c r="H1907" t="n">
        <v>-962.9363999999999</v>
      </c>
      <c r="I1907">
        <f>-H4131/G4131</f>
        <v/>
      </c>
      <c r="J1907" s="16" t="n">
        <v>44714</v>
      </c>
      <c r="K1907">
        <f>+OPERAC[[#This Row],[cantidad]]</f>
        <v/>
      </c>
      <c r="L1907">
        <f>+OPERAC[[#This Row],[cantidad venta]]*49.312</f>
        <v/>
      </c>
    </row>
    <row r="1908">
      <c r="A1908" t="n">
        <v>7867</v>
      </c>
      <c r="B1908" s="16" t="n">
        <v>44718</v>
      </c>
      <c r="C1908" t="inlineStr">
        <is>
          <t>VTA</t>
        </is>
      </c>
      <c r="D1908" t="n">
        <v>42</v>
      </c>
      <c r="E1908">
        <f>IF(D3096&gt;0,VLOOKUP(OPERAC[[#This Row],[COD CART]],[1]!MatrizCortoLargoCyl[#All],3,0),"")</f>
        <v/>
      </c>
      <c r="F1908" t="inlineStr">
        <is>
          <t>KWEB</t>
        </is>
      </c>
      <c r="G1908" t="n">
        <v>20</v>
      </c>
      <c r="H1908" t="n">
        <v>-621.66776</v>
      </c>
      <c r="I1908">
        <f>-H3096/G3096</f>
        <v/>
      </c>
    </row>
    <row r="1909">
      <c r="A1909" t="n">
        <v>7867</v>
      </c>
      <c r="B1909" s="16" t="n">
        <v>44720</v>
      </c>
      <c r="C1909" t="inlineStr">
        <is>
          <t>CPR</t>
        </is>
      </c>
      <c r="D1909" t="n">
        <v>42</v>
      </c>
      <c r="E1909">
        <f>IF(D4964&gt;0,VLOOKUP(OPERAC[[#This Row],[COD CART]],[1]!MatrizCortoLargoCyl[#All],3,0),"")</f>
        <v/>
      </c>
      <c r="F1909" t="inlineStr">
        <is>
          <t>HYDR</t>
        </is>
      </c>
      <c r="G1909" t="n">
        <v>100</v>
      </c>
      <c r="H1909" t="n">
        <v>-1512.75</v>
      </c>
      <c r="I1909">
        <f>-H4964/G4964</f>
        <v/>
      </c>
    </row>
    <row r="1910">
      <c r="A1910" t="n">
        <v>7879</v>
      </c>
      <c r="B1910" s="16" t="n">
        <v>43987</v>
      </c>
      <c r="C1910" t="inlineStr">
        <is>
          <t>CPR</t>
        </is>
      </c>
      <c r="D1910" t="n">
        <v>41</v>
      </c>
      <c r="E1910">
        <f>IF(D4469&gt;0,VLOOKUP(OPERAC[[#This Row],[COD CART]],[1]!MatrizCortoLargoCyl[#All],3,0),"")</f>
        <v/>
      </c>
      <c r="F1910" t="inlineStr">
        <is>
          <t>GBTC</t>
        </is>
      </c>
      <c r="G1910" t="n">
        <v>100</v>
      </c>
      <c r="H1910" t="n">
        <v>-1167.764</v>
      </c>
      <c r="I1910" t="n">
        <v>11.67764</v>
      </c>
      <c r="J1910" s="16" t="n">
        <v>44147</v>
      </c>
      <c r="K1910" t="n">
        <v>50</v>
      </c>
      <c r="L1910" t="n">
        <v>909.13</v>
      </c>
    </row>
    <row r="1911">
      <c r="A1911" t="n">
        <v>7879</v>
      </c>
      <c r="B1911" s="16" t="n">
        <v>44202</v>
      </c>
      <c r="C1911" t="inlineStr">
        <is>
          <t>VTA</t>
        </is>
      </c>
      <c r="D1911" t="n">
        <v>41</v>
      </c>
      <c r="E1911">
        <f>IF(D1383&gt;0,VLOOKUP(OPERAC[[#This Row],[COD CART]],[1]!MatrizCortoLargoCyl[#All],3,0),"")</f>
        <v/>
      </c>
      <c r="F1911" t="inlineStr">
        <is>
          <t>GBTC</t>
        </is>
      </c>
      <c r="G1911" t="n">
        <v>3</v>
      </c>
      <c r="H1911" t="n">
        <v>-128.17</v>
      </c>
      <c r="I1911">
        <f>-H1383/G1383</f>
        <v/>
      </c>
    </row>
    <row r="1912">
      <c r="A1912" t="n">
        <v>7879</v>
      </c>
      <c r="B1912" s="16" t="n">
        <v>44203</v>
      </c>
      <c r="C1912" t="inlineStr">
        <is>
          <t>VTA</t>
        </is>
      </c>
      <c r="D1912" t="n">
        <v>41</v>
      </c>
      <c r="E1912">
        <f>IF(D1418&gt;0,VLOOKUP(OPERAC[[#This Row],[COD CART]],[1]!MatrizCortoLargoCyl[#All],3,0),"")</f>
        <v/>
      </c>
      <c r="F1912" t="inlineStr">
        <is>
          <t>GBTC</t>
        </is>
      </c>
      <c r="G1912" t="n">
        <v>3</v>
      </c>
      <c r="H1912" t="n">
        <v>-145.78912</v>
      </c>
      <c r="I1912">
        <f>-H1418/G1418</f>
        <v/>
      </c>
    </row>
    <row r="1913">
      <c r="A1913" t="n">
        <v>7879</v>
      </c>
      <c r="B1913" s="16" t="n">
        <v>44204</v>
      </c>
      <c r="C1913" t="inlineStr">
        <is>
          <t>VTA</t>
        </is>
      </c>
      <c r="D1913" t="n">
        <v>41</v>
      </c>
      <c r="E1913">
        <f>IF(D2461&gt;0,VLOOKUP(OPERAC[[#This Row],[COD CART]],[1]!MatrizCortoLargoCyl[#All],3,0),"")</f>
        <v/>
      </c>
      <c r="F1913" t="inlineStr">
        <is>
          <t>GBTC</t>
        </is>
      </c>
      <c r="G1913" t="n">
        <v>9</v>
      </c>
      <c r="H1913" t="n">
        <v>-433.2807999999999</v>
      </c>
      <c r="I1913">
        <f>-H2461/G2461</f>
        <v/>
      </c>
    </row>
    <row r="1914">
      <c r="A1914" t="n">
        <v>7879</v>
      </c>
      <c r="B1914" s="16" t="n">
        <v>44207</v>
      </c>
      <c r="C1914" t="inlineStr">
        <is>
          <t>CPR</t>
        </is>
      </c>
      <c r="D1914" t="n">
        <v>41</v>
      </c>
      <c r="E1914">
        <f>IF(D3531&gt;0,VLOOKUP(OPERAC[[#This Row],[COD CART]],[1]!MatrizCortoLargoCyl[#All],3,0),"")</f>
        <v/>
      </c>
      <c r="F1914" t="inlineStr">
        <is>
          <t>GBTC</t>
        </is>
      </c>
      <c r="G1914" t="n">
        <v>20</v>
      </c>
      <c r="H1914" t="n">
        <v>-768.2896000000001</v>
      </c>
      <c r="I1914">
        <f>-H3531/G3531</f>
        <v/>
      </c>
    </row>
    <row r="1915">
      <c r="A1915" t="n">
        <v>7879</v>
      </c>
      <c r="B1915" s="16" t="n">
        <v>44211</v>
      </c>
      <c r="C1915" t="inlineStr">
        <is>
          <t>CPR</t>
        </is>
      </c>
      <c r="D1915" t="n">
        <v>41</v>
      </c>
      <c r="E1915">
        <f>IF(D3302&gt;0,VLOOKUP(OPERAC[[#This Row],[COD CART]],[1]!MatrizCortoLargoCyl[#All],3,0),"")</f>
        <v/>
      </c>
      <c r="F1915" t="inlineStr">
        <is>
          <t>GBTC</t>
        </is>
      </c>
      <c r="G1915" t="n">
        <v>17</v>
      </c>
      <c r="H1915" t="n">
        <v>-684.55504</v>
      </c>
      <c r="I1915">
        <f>-H3302/G3302</f>
        <v/>
      </c>
    </row>
    <row r="1916">
      <c r="A1916" t="n">
        <v>7879</v>
      </c>
      <c r="B1916" s="16" t="n">
        <v>44215</v>
      </c>
      <c r="C1916" t="inlineStr">
        <is>
          <t>VTA</t>
        </is>
      </c>
      <c r="D1916" t="n">
        <v>41</v>
      </c>
      <c r="E1916">
        <f>IF(D2336&gt;0,VLOOKUP(OPERAC[[#This Row],[COD CART]],[1]!MatrizCortoLargoCyl[#All],3,0),"")</f>
        <v/>
      </c>
      <c r="F1916" t="inlineStr">
        <is>
          <t>GBTC</t>
        </is>
      </c>
      <c r="G1916" t="n">
        <v>10</v>
      </c>
      <c r="H1916" t="n">
        <v>-408.736</v>
      </c>
      <c r="I1916">
        <f>-H2336/G2336</f>
        <v/>
      </c>
    </row>
    <row r="1917">
      <c r="A1917" t="n">
        <v>7879</v>
      </c>
      <c r="B1917" s="16" t="n">
        <v>44223</v>
      </c>
      <c r="C1917" t="inlineStr">
        <is>
          <t>CPR</t>
        </is>
      </c>
      <c r="D1917" t="n">
        <v>41</v>
      </c>
      <c r="E1917">
        <f>IF(D3993&gt;0,VLOOKUP(OPERAC[[#This Row],[COD CART]],[1]!MatrizCortoLargoCyl[#All],3,0),"")</f>
        <v/>
      </c>
      <c r="F1917" t="inlineStr">
        <is>
          <t>GBTC</t>
        </is>
      </c>
      <c r="G1917" t="n">
        <v>30</v>
      </c>
      <c r="H1917" t="n">
        <v>-913.3408000000001</v>
      </c>
      <c r="I1917">
        <f>-H3993/G3993</f>
        <v/>
      </c>
    </row>
    <row r="1918">
      <c r="A1918" t="n">
        <v>7879</v>
      </c>
      <c r="B1918" s="16" t="n">
        <v>44266</v>
      </c>
      <c r="C1918" t="inlineStr">
        <is>
          <t>VTA</t>
        </is>
      </c>
      <c r="D1918" t="n">
        <v>41</v>
      </c>
      <c r="E1918">
        <f>IF(D2350&gt;0,VLOOKUP(OPERAC[[#This Row],[COD CART]],[1]!MatrizCortoLargoCyl[#All],3,0),"")</f>
        <v/>
      </c>
      <c r="F1918" t="inlineStr">
        <is>
          <t>GBTC</t>
        </is>
      </c>
      <c r="G1918" t="n">
        <v>8</v>
      </c>
      <c r="H1918" t="n">
        <v>-412.6672</v>
      </c>
      <c r="I1918">
        <f>-H2350/G2350</f>
        <v/>
      </c>
    </row>
    <row r="1919">
      <c r="A1919" t="n">
        <v>7879</v>
      </c>
      <c r="B1919" s="16" t="n">
        <v>44446</v>
      </c>
      <c r="C1919" t="inlineStr">
        <is>
          <t>CPR</t>
        </is>
      </c>
      <c r="D1919" t="n">
        <v>32</v>
      </c>
      <c r="E1919">
        <f>IF(D3305&gt;0,VLOOKUP(OPERAC[[#This Row],[COD CART]],[1]!MatrizCortoLargoCyl[#All],3,0),"")</f>
        <v/>
      </c>
      <c r="F1919" t="inlineStr">
        <is>
          <t>INO/CYL/8,00/21-01-22</t>
        </is>
      </c>
      <c r="G1919" t="n">
        <v>100</v>
      </c>
      <c r="H1919">
        <f>-758.932+27.502+30.172+14.579</f>
        <v/>
      </c>
      <c r="I1919">
        <f>-H3305/G3305</f>
        <v/>
      </c>
      <c r="J1919" s="16" t="n">
        <v>44581</v>
      </c>
      <c r="K1919" t="n">
        <v>100</v>
      </c>
      <c r="L1919" t="n">
        <v>412.156</v>
      </c>
    </row>
    <row r="1920">
      <c r="A1920" t="n">
        <v>7879</v>
      </c>
      <c r="B1920" s="16" t="n">
        <v>44466</v>
      </c>
      <c r="C1920" t="inlineStr">
        <is>
          <t>VTA</t>
        </is>
      </c>
      <c r="D1920" t="n">
        <v>43</v>
      </c>
      <c r="E1920">
        <f>IF(D2338&gt;0,VLOOKUP(OPERAC[[#This Row],[COD CART]],[1]!MatrizCortoLargoCyl[#All],3,0),"")</f>
        <v/>
      </c>
      <c r="F1920" t="inlineStr">
        <is>
          <t>SOLO/CYL-PUT/4,00/16-09-22</t>
        </is>
      </c>
      <c r="G1920" t="n">
        <v>200</v>
      </c>
      <c r="H1920">
        <f>-594.83454+0.32*OPERAC[[#This Row],[cantidad]]+0.387*OPERAC[[#This Row],[cantidad]]+0.22*OPERAC[[#This Row],[cantidad]]</f>
        <v/>
      </c>
      <c r="I1920">
        <f>-H2338/G2338</f>
        <v/>
      </c>
    </row>
    <row r="1921">
      <c r="A1921" t="n">
        <v>7879</v>
      </c>
      <c r="B1921" s="16" t="n">
        <v>44489</v>
      </c>
      <c r="C1921" t="inlineStr">
        <is>
          <t>VTA</t>
        </is>
      </c>
      <c r="D1921" t="n">
        <v>43</v>
      </c>
      <c r="E1921">
        <f>IF(D2232&gt;0,VLOOKUP(OPERAC[[#This Row],[COD CART]],[1]!MatrizCortoLargoCyl[#All],3,0),"")</f>
        <v/>
      </c>
      <c r="F1921" t="inlineStr">
        <is>
          <t>SESN/CYL-PUT/1,00/19-01-24</t>
        </is>
      </c>
      <c r="G1921" t="n">
        <v>2000</v>
      </c>
      <c r="H1921">
        <f>-0.1885*OPERAC[[#This Row],[cantidad]]</f>
        <v/>
      </c>
      <c r="I1921">
        <f>-H2232/G2232</f>
        <v/>
      </c>
    </row>
    <row r="1922">
      <c r="A1922" t="n">
        <v>7879</v>
      </c>
      <c r="B1922" s="16" t="n">
        <v>44508</v>
      </c>
      <c r="C1922" t="inlineStr">
        <is>
          <t>CPR</t>
        </is>
      </c>
      <c r="D1922" t="n">
        <v>41</v>
      </c>
      <c r="E1922">
        <f>IF(D5828&gt;0,VLOOKUP(OPERAC[[#This Row],[COD CART]],[1]!MatrizCortoLargoCyl[#All],3,0),"")</f>
        <v/>
      </c>
      <c r="F1922" t="inlineStr">
        <is>
          <t>ETHE</t>
        </is>
      </c>
      <c r="G1922" t="n">
        <v>60</v>
      </c>
      <c r="H1922" t="n">
        <v>-2808.598</v>
      </c>
      <c r="I1922">
        <f>-H5828/G5828</f>
        <v/>
      </c>
    </row>
    <row r="1923">
      <c r="A1923" t="n">
        <v>7879</v>
      </c>
      <c r="B1923" s="16" t="n">
        <v>44523</v>
      </c>
      <c r="C1923" t="inlineStr">
        <is>
          <t>VTA</t>
        </is>
      </c>
      <c r="D1923" t="n">
        <v>40</v>
      </c>
      <c r="E1923">
        <f>IF(D2145&gt;0,VLOOKUP(OPERAC[[#This Row],[COD CART]],[1]!MatrizCortoLargoCyl[#All],3,0),"")</f>
        <v/>
      </c>
      <c r="F1923" t="inlineStr">
        <is>
          <t>EDU</t>
        </is>
      </c>
      <c r="G1923" t="n">
        <v>200</v>
      </c>
      <c r="H1923">
        <f>-355.898+0.026*OPERAC[[#This Row],[cantidad]]</f>
        <v/>
      </c>
      <c r="I1923">
        <f>-H2145/G2145</f>
        <v/>
      </c>
      <c r="J1923" s="16" t="n">
        <v>44630</v>
      </c>
      <c r="K1923" t="n">
        <v>200</v>
      </c>
      <c r="L1923" t="n">
        <v>227.331</v>
      </c>
    </row>
    <row r="1924">
      <c r="A1924" t="n">
        <v>7879</v>
      </c>
      <c r="B1924" s="16" t="n">
        <v>44581</v>
      </c>
      <c r="C1924" t="inlineStr">
        <is>
          <t>VTA</t>
        </is>
      </c>
      <c r="D1924" t="n">
        <v>39</v>
      </c>
      <c r="E1924">
        <f>IF(D737&gt;0,VLOOKUP(OPERAC[[#This Row],[COD CART]],[1]!MatrizCortoLargoCyl[#All],3,0),"")</f>
        <v/>
      </c>
      <c r="F1924" t="inlineStr">
        <is>
          <t>SMH/V/260,00/28-01-22</t>
        </is>
      </c>
      <c r="G1924" t="n">
        <v>-400</v>
      </c>
      <c r="H1924" t="n">
        <v>383.8</v>
      </c>
      <c r="I1924">
        <f>-H737/G737</f>
        <v/>
      </c>
      <c r="J1924" s="16" t="n">
        <v>44588</v>
      </c>
      <c r="K1924">
        <f>+OPERAC[[#This Row],[cantidad]]</f>
        <v/>
      </c>
      <c r="L1924">
        <f>-OPERAC[[#This Row],[importe]]</f>
        <v/>
      </c>
    </row>
    <row r="1925">
      <c r="A1925" t="n">
        <v>7879</v>
      </c>
      <c r="B1925" s="16" t="n">
        <v>44582</v>
      </c>
      <c r="C1925" t="inlineStr">
        <is>
          <t>CPR</t>
        </is>
      </c>
      <c r="D1925" t="n">
        <v>40</v>
      </c>
      <c r="E1925">
        <f>IF(D4471&gt;0,VLOOKUP(OPERAC[[#This Row],[COD CART]],[1]!MatrizCortoLargoCyl[#All],3,0),"")</f>
        <v/>
      </c>
      <c r="F1925" t="inlineStr">
        <is>
          <t>NFLX</t>
        </is>
      </c>
      <c r="G1925" t="n">
        <v>3</v>
      </c>
      <c r="H1925" t="n">
        <v>-1171.9113</v>
      </c>
      <c r="I1925">
        <f>-H4471/G4471</f>
        <v/>
      </c>
      <c r="J1925" s="16" t="n">
        <v>44593</v>
      </c>
      <c r="K1925">
        <f>+OPERAC[[#This Row],[cantidad]]</f>
        <v/>
      </c>
      <c r="L1925">
        <f>+OPERAC[[#This Row],[cantidad venta]]*448.602</f>
        <v/>
      </c>
    </row>
    <row r="1926">
      <c r="A1926" t="n">
        <v>7879</v>
      </c>
      <c r="B1926" s="16" t="n">
        <v>44585</v>
      </c>
      <c r="C1926" t="inlineStr">
        <is>
          <t>VTA</t>
        </is>
      </c>
      <c r="D1926" t="n">
        <v>41</v>
      </c>
      <c r="E1926">
        <f>IF(D3228&gt;0,VLOOKUP(OPERAC[[#This Row],[COD CART]],[1]!MatrizCortoLargoCyl[#All],3,0),"")</f>
        <v/>
      </c>
      <c r="F1926" t="inlineStr">
        <is>
          <t>ETHE</t>
        </is>
      </c>
      <c r="G1926" t="n">
        <v>40</v>
      </c>
      <c r="H1926" t="n">
        <v>-662.651</v>
      </c>
      <c r="I1926">
        <f>-H3228/G3228</f>
        <v/>
      </c>
      <c r="J1926" s="16" t="n">
        <v>44599</v>
      </c>
      <c r="K1926">
        <f>15+25</f>
        <v/>
      </c>
      <c r="L1926">
        <f>368.18+591.258</f>
        <v/>
      </c>
    </row>
    <row r="1927">
      <c r="A1927" t="n">
        <v>7879</v>
      </c>
      <c r="B1927" s="16" t="n">
        <v>44588</v>
      </c>
      <c r="C1927" t="inlineStr">
        <is>
          <t>VTA</t>
        </is>
      </c>
      <c r="D1927" t="n">
        <v>39</v>
      </c>
      <c r="E1927">
        <f>IF(D192&gt;0,VLOOKUP(OPERAC[[#This Row],[COD CART]],[1]!MatrizCortoLargoCyl[#All],3,0),"")</f>
        <v/>
      </c>
      <c r="F1927" t="inlineStr">
        <is>
          <t>SMH/V/255,00/04-02-22</t>
        </is>
      </c>
      <c r="G1927" t="n">
        <v>-300</v>
      </c>
      <c r="H1927" t="n">
        <v>2200.0335</v>
      </c>
      <c r="I1927">
        <f>-H192/G192</f>
        <v/>
      </c>
      <c r="J1927" s="16" t="n">
        <v>44596</v>
      </c>
      <c r="K1927" t="n">
        <v>-300</v>
      </c>
      <c r="L1927" t="n">
        <v>-9.614999999999998</v>
      </c>
    </row>
    <row r="1928">
      <c r="A1928" t="n">
        <v>7879</v>
      </c>
      <c r="B1928" s="16" t="n">
        <v>44599</v>
      </c>
      <c r="C1928" t="inlineStr">
        <is>
          <t>CPR</t>
        </is>
      </c>
      <c r="D1928" t="n">
        <v>40</v>
      </c>
      <c r="E1928">
        <f>IF(D4522&gt;0,VLOOKUP(OPERAC[[#This Row],[COD CART]],[1]!MatrizCortoLargoCyl[#All],3,0),"")</f>
        <v/>
      </c>
      <c r="F1928" t="inlineStr">
        <is>
          <t>FB</t>
        </is>
      </c>
      <c r="G1928" t="n">
        <v>5</v>
      </c>
      <c r="H1928" t="n">
        <v>-1192.3</v>
      </c>
      <c r="I1928">
        <f>-H4522/G4522</f>
        <v/>
      </c>
      <c r="J1928" s="16" t="n">
        <v>44616</v>
      </c>
      <c r="K1928">
        <f>+OPERAC[[#This Row],[cantidad]]</f>
        <v/>
      </c>
      <c r="L1928">
        <f>200.299*OPERAC[[#This Row],[cantidad venta]]</f>
        <v/>
      </c>
    </row>
    <row r="1929">
      <c r="A1929" t="n">
        <v>7879</v>
      </c>
      <c r="B1929" s="16" t="n">
        <v>44616</v>
      </c>
      <c r="C1929" t="inlineStr">
        <is>
          <t>CPR</t>
        </is>
      </c>
      <c r="D1929" t="n">
        <v>32</v>
      </c>
      <c r="E1929">
        <f>IF(D4314&gt;0,VLOOKUP(OPERAC[[#This Row],[COD CART]],[1]!MatrizCortoLargoCyl[#All],3,0),"")</f>
        <v/>
      </c>
      <c r="F1929" t="inlineStr">
        <is>
          <t>PLTR/CYL/12,00/14-04-22</t>
        </is>
      </c>
      <c r="G1929" t="n">
        <v>100</v>
      </c>
      <c r="H1929" t="n">
        <v>-1052.7265</v>
      </c>
      <c r="I1929">
        <f>-H4314/G4314</f>
        <v/>
      </c>
      <c r="J1929" s="16" t="n">
        <v>44643</v>
      </c>
      <c r="K1929" t="n">
        <v>100</v>
      </c>
      <c r="L1929" t="n">
        <v>1146.72</v>
      </c>
    </row>
    <row r="1930">
      <c r="A1930" t="n">
        <v>7879</v>
      </c>
      <c r="B1930" s="16" t="n">
        <v>44628</v>
      </c>
      <c r="C1930" t="inlineStr">
        <is>
          <t>VTA</t>
        </is>
      </c>
      <c r="D1930" t="n">
        <v>41</v>
      </c>
      <c r="E1930">
        <f>IF(D2301&gt;0,VLOOKUP(OPERAC[[#This Row],[COD CART]],[1]!MatrizCortoLargoCyl[#All],3,0),"")</f>
        <v/>
      </c>
      <c r="F1930" t="inlineStr">
        <is>
          <t>ETHE</t>
        </is>
      </c>
      <c r="G1930" t="n">
        <v>20</v>
      </c>
      <c r="H1930" t="n">
        <v>-401.378</v>
      </c>
      <c r="I1930">
        <f>-H2301/G2301</f>
        <v/>
      </c>
    </row>
    <row r="1931">
      <c r="A1931" t="n">
        <v>7879</v>
      </c>
      <c r="B1931" s="16" t="n">
        <v>44634</v>
      </c>
      <c r="C1931" t="inlineStr">
        <is>
          <t>VTA</t>
        </is>
      </c>
      <c r="D1931" t="n">
        <v>41</v>
      </c>
      <c r="E1931">
        <f>IF(D2062&gt;0,VLOOKUP(OPERAC[[#This Row],[COD CART]],[1]!MatrizCortoLargoCyl[#All],3,0),"")</f>
        <v/>
      </c>
      <c r="F1931" t="inlineStr">
        <is>
          <t>QQQ</t>
        </is>
      </c>
      <c r="G1931" t="n">
        <v>1</v>
      </c>
      <c r="H1931" t="n">
        <v>-325.319</v>
      </c>
      <c r="I1931">
        <f>-H2062/G2062</f>
        <v/>
      </c>
    </row>
    <row r="1932">
      <c r="A1932" t="n">
        <v>7879</v>
      </c>
      <c r="B1932" s="16" t="n">
        <v>44643</v>
      </c>
      <c r="C1932" t="inlineStr">
        <is>
          <t>VTA</t>
        </is>
      </c>
      <c r="D1932" t="n">
        <v>32</v>
      </c>
      <c r="E1932">
        <f>IF(D3811&gt;0,VLOOKUP(OPERAC[[#This Row],[COD CART]],[1]!MatrizCortoLargoCyl[#All],3,0),"")</f>
        <v/>
      </c>
      <c r="F1932" t="inlineStr">
        <is>
          <t>COTY/CYL/9,00/14-04-22</t>
        </is>
      </c>
      <c r="G1932" t="n">
        <v>100</v>
      </c>
      <c r="H1932" t="n">
        <v>-855.451</v>
      </c>
      <c r="I1932">
        <f>-H3811/G3811</f>
        <v/>
      </c>
      <c r="J1932" s="16" t="n">
        <v>44649</v>
      </c>
      <c r="K1932" t="n">
        <v>100</v>
      </c>
      <c r="L1932" t="n">
        <v>875.28</v>
      </c>
    </row>
    <row r="1933">
      <c r="A1933" t="n">
        <v>7879</v>
      </c>
      <c r="B1933" s="16" t="n">
        <v>44649</v>
      </c>
      <c r="C1933" t="inlineStr">
        <is>
          <t>VTA</t>
        </is>
      </c>
      <c r="D1933" t="n">
        <v>32</v>
      </c>
      <c r="E1933">
        <f>IF(D3222&gt;0,VLOOKUP(OPERAC[[#This Row],[COD CART]],[1]!MatrizCortoLargoCyl[#All],3,0),"")</f>
        <v/>
      </c>
      <c r="F1933" t="inlineStr">
        <is>
          <t>TLRY</t>
        </is>
      </c>
      <c r="G1933" t="n">
        <v>100</v>
      </c>
      <c r="H1933">
        <f>-672.216+9.915</f>
        <v/>
      </c>
      <c r="I1933">
        <f>-H3222/G3222</f>
        <v/>
      </c>
    </row>
    <row r="1934">
      <c r="A1934" t="n">
        <v>7879</v>
      </c>
      <c r="B1934" s="16" t="n">
        <v>44662</v>
      </c>
      <c r="C1934" t="inlineStr">
        <is>
          <t>VTA</t>
        </is>
      </c>
      <c r="D1934" t="n">
        <v>41</v>
      </c>
      <c r="E1934">
        <f>IF(D1656&gt;0,VLOOKUP(OPERAC[[#This Row],[COD CART]],[1]!MatrizCortoLargoCyl[#All],3,0),"")</f>
        <v/>
      </c>
      <c r="F1934" t="inlineStr">
        <is>
          <t>ETHE</t>
        </is>
      </c>
      <c r="G1934" t="n">
        <v>10</v>
      </c>
      <c r="H1934" t="n">
        <v>-229.413</v>
      </c>
      <c r="I1934">
        <f>-H1656/G1656</f>
        <v/>
      </c>
    </row>
    <row r="1935">
      <c r="A1935" t="n">
        <v>7879</v>
      </c>
      <c r="B1935" s="16" t="n">
        <v>44669</v>
      </c>
      <c r="C1935" t="inlineStr">
        <is>
          <t>VTA</t>
        </is>
      </c>
      <c r="D1935" t="n">
        <v>41</v>
      </c>
      <c r="E1935">
        <f>IF(D1612&gt;0,VLOOKUP(OPERAC[[#This Row],[COD CART]],[1]!MatrizCortoLargoCyl[#All],3,0),"")</f>
        <v/>
      </c>
      <c r="F1935" t="inlineStr">
        <is>
          <t>ETHE</t>
        </is>
      </c>
      <c r="G1935" t="n">
        <v>10</v>
      </c>
      <c r="H1935" t="n">
        <v>-214.205</v>
      </c>
      <c r="I1935">
        <f>-H1612/G1612</f>
        <v/>
      </c>
    </row>
    <row r="1936">
      <c r="A1936" t="n">
        <v>7879</v>
      </c>
      <c r="B1936" s="16" t="n">
        <v>44669</v>
      </c>
      <c r="C1936" t="inlineStr">
        <is>
          <t>VTA</t>
        </is>
      </c>
      <c r="D1936" t="n">
        <v>32</v>
      </c>
      <c r="E1936">
        <f>IF(D2527&gt;0,VLOOKUP(OPERAC[[#This Row],[COD CART]],[1]!MatrizCortoLargoCyl[#All],3,0),"")</f>
        <v/>
      </c>
      <c r="F1936" t="inlineStr">
        <is>
          <t>HMY</t>
        </is>
      </c>
      <c r="G1936" t="n">
        <v>100</v>
      </c>
      <c r="H1936">
        <f>-4.64*OPERAC[[#This Row],[cantidad]]</f>
        <v/>
      </c>
      <c r="I1936">
        <f>-H2527/G2527</f>
        <v/>
      </c>
    </row>
    <row r="1937">
      <c r="A1937" t="n">
        <v>7879</v>
      </c>
      <c r="B1937" s="16" t="n">
        <v>44692</v>
      </c>
      <c r="C1937" t="inlineStr">
        <is>
          <t>VTA</t>
        </is>
      </c>
      <c r="D1937" t="n">
        <v>41</v>
      </c>
      <c r="E1937">
        <f>IF(D1421&gt;0,VLOOKUP(OPERAC[[#This Row],[COD CART]],[1]!MatrizCortoLargoCyl[#All],3,0),"")</f>
        <v/>
      </c>
      <c r="F1937" t="inlineStr">
        <is>
          <t>ETHE</t>
        </is>
      </c>
      <c r="G1937" t="n">
        <v>10</v>
      </c>
      <c r="H1937" t="n">
        <v>-150.569</v>
      </c>
      <c r="I1937">
        <f>-H1421/G1421</f>
        <v/>
      </c>
    </row>
    <row r="1938">
      <c r="A1938" t="n">
        <v>7879</v>
      </c>
      <c r="B1938" s="16" t="n">
        <v>44707</v>
      </c>
      <c r="C1938" t="inlineStr">
        <is>
          <t>VTA</t>
        </is>
      </c>
      <c r="D1938" t="n">
        <v>41</v>
      </c>
      <c r="E1938">
        <f>IF(D1700&gt;0,VLOOKUP(OPERAC[[#This Row],[COD CART]],[1]!MatrizCortoLargoCyl[#All],3,0),"")</f>
        <v/>
      </c>
      <c r="F1938" t="inlineStr">
        <is>
          <t>ETHE</t>
        </is>
      </c>
      <c r="G1938" t="n">
        <v>20</v>
      </c>
      <c r="H1938" t="n">
        <v>-238.676</v>
      </c>
      <c r="I1938">
        <f>-H1700/G1700</f>
        <v/>
      </c>
    </row>
    <row r="1939">
      <c r="A1939" t="n">
        <v>7879</v>
      </c>
      <c r="B1939" s="16" t="n">
        <v>44708</v>
      </c>
      <c r="C1939" t="inlineStr">
        <is>
          <t>VTA</t>
        </is>
      </c>
      <c r="D1939" t="n">
        <v>41</v>
      </c>
      <c r="E1939">
        <f>IF(D1531&gt;0,VLOOKUP(OPERAC[[#This Row],[COD CART]],[1]!MatrizCortoLargoCyl[#All],3,0),"")</f>
        <v/>
      </c>
      <c r="F1939" t="inlineStr">
        <is>
          <t>GBTC</t>
        </is>
      </c>
      <c r="G1939" t="n">
        <v>10</v>
      </c>
      <c r="H1939" t="n">
        <v>-191.312</v>
      </c>
      <c r="I1939">
        <f>-H1531/G1531</f>
        <v/>
      </c>
    </row>
    <row r="1940">
      <c r="A1940" t="n">
        <v>7879</v>
      </c>
      <c r="B1940" s="16" t="n">
        <v>44725</v>
      </c>
      <c r="C1940" t="inlineStr">
        <is>
          <t>VTA</t>
        </is>
      </c>
      <c r="D1940" t="n">
        <v>41</v>
      </c>
      <c r="E1940">
        <f>IF(D1372&gt;0,VLOOKUP(OPERAC[[#This Row],[COD CART]],[1]!MatrizCortoLargoCyl[#All],3,0),"")</f>
        <v/>
      </c>
      <c r="F1940" t="inlineStr">
        <is>
          <t>ETHE</t>
        </is>
      </c>
      <c r="G1940" t="n">
        <v>15</v>
      </c>
      <c r="H1940" t="n">
        <v>-124.196775</v>
      </c>
      <c r="I1940">
        <f>-H1372/G1372</f>
        <v/>
      </c>
    </row>
    <row r="1941">
      <c r="A1941" t="n">
        <v>7879</v>
      </c>
      <c r="B1941" s="16" t="n">
        <v>44725</v>
      </c>
      <c r="C1941" t="inlineStr">
        <is>
          <t>VTA</t>
        </is>
      </c>
      <c r="D1941" t="n">
        <v>40</v>
      </c>
      <c r="E1941">
        <f>IF(D2016&gt;0,VLOOKUP(OPERAC[[#This Row],[COD CART]],[1]!MatrizCortoLargoCyl[#All],3,0),"")</f>
        <v/>
      </c>
      <c r="F1941" t="inlineStr">
        <is>
          <t>AMZN</t>
        </is>
      </c>
      <c r="G1941" t="n">
        <v>3</v>
      </c>
      <c r="H1941" t="n">
        <v>-312.5311245</v>
      </c>
      <c r="I1941">
        <f>-H2016/G2016</f>
        <v/>
      </c>
    </row>
    <row r="1942">
      <c r="A1942" t="n">
        <v>7879</v>
      </c>
      <c r="B1942" s="16" t="n">
        <v>44725</v>
      </c>
      <c r="C1942" t="inlineStr">
        <is>
          <t>VTA</t>
        </is>
      </c>
      <c r="D1942" t="n">
        <v>40</v>
      </c>
      <c r="E1942">
        <f>IF(D2117&gt;0,VLOOKUP(OPERAC[[#This Row],[COD CART]],[1]!MatrizCortoLargoCyl[#All],3,0),"")</f>
        <v/>
      </c>
      <c r="F1942" t="inlineStr">
        <is>
          <t>AAL</t>
        </is>
      </c>
      <c r="G1942" t="n">
        <v>25</v>
      </c>
      <c r="H1942" t="n">
        <v>-340.0662</v>
      </c>
      <c r="I1942">
        <f>-H2117/G2117</f>
        <v/>
      </c>
    </row>
    <row r="1943">
      <c r="A1943" t="n">
        <v>7879</v>
      </c>
      <c r="B1943" s="16" t="n">
        <v>44725</v>
      </c>
      <c r="C1943" t="inlineStr">
        <is>
          <t>VTA</t>
        </is>
      </c>
      <c r="D1943" t="n">
        <v>40</v>
      </c>
      <c r="E1943">
        <f>IF(D2132&gt;0,VLOOKUP(OPERAC[[#This Row],[COD CART]],[1]!MatrizCortoLargoCyl[#All],3,0),"")</f>
        <v/>
      </c>
      <c r="F1943" t="inlineStr">
        <is>
          <t>BIOX</t>
        </is>
      </c>
      <c r="G1943" t="n">
        <v>25</v>
      </c>
      <c r="H1943" t="n">
        <v>-344.150625</v>
      </c>
      <c r="I1943">
        <f>-H2132/G2132</f>
        <v/>
      </c>
    </row>
    <row r="1944">
      <c r="A1944" t="n">
        <v>7895</v>
      </c>
      <c r="B1944" s="16" t="n">
        <v>44378</v>
      </c>
      <c r="C1944" t="inlineStr">
        <is>
          <t>CPR</t>
        </is>
      </c>
      <c r="D1944" t="n">
        <v>32</v>
      </c>
      <c r="E1944">
        <f>IF(D3241&gt;0,VLOOKUP(OPERAC[[#This Row],[COD CART]],[1]!MatrizCortoLargoCyl[#All],3,0),"")</f>
        <v/>
      </c>
      <c r="F1944" t="inlineStr">
        <is>
          <t>INO</t>
        </is>
      </c>
      <c r="G1944" t="n">
        <v>100</v>
      </c>
      <c r="H1944">
        <f>-7.87*OPERAC[[#This Row],[cantidad]]+15.402+4.909+30.132+46.896+14.579+4.707+2.674</f>
        <v/>
      </c>
      <c r="I1944">
        <f>-H3241/G3241</f>
        <v/>
      </c>
      <c r="J1944" s="16" t="n">
        <v>44662</v>
      </c>
      <c r="K1944" t="n">
        <v>100</v>
      </c>
      <c r="L1944">
        <f>+OPERAC[[#This Row],[cantidad venta]]*3.154</f>
        <v/>
      </c>
    </row>
    <row r="1945">
      <c r="A1945" t="n">
        <v>7895</v>
      </c>
      <c r="B1945" s="16" t="n">
        <v>44446</v>
      </c>
      <c r="C1945" t="inlineStr">
        <is>
          <t>CPR</t>
        </is>
      </c>
      <c r="D1945" t="n">
        <v>32</v>
      </c>
      <c r="E1945">
        <f>IF(D3260&gt;0,VLOOKUP(OPERAC[[#This Row],[COD CART]],[1]!MatrizCortoLargoCyl[#All],3,0),"")</f>
        <v/>
      </c>
      <c r="F1945" t="inlineStr">
        <is>
          <t>INO</t>
        </is>
      </c>
      <c r="G1945" t="n">
        <v>100</v>
      </c>
      <c r="H1945">
        <f>-758.932+27.502+30.172+14.579+4.707+2.674</f>
        <v/>
      </c>
      <c r="I1945">
        <f>-H3260/G3260</f>
        <v/>
      </c>
      <c r="J1945" s="16" t="n">
        <v>44662</v>
      </c>
      <c r="K1945" t="n">
        <v>100</v>
      </c>
      <c r="L1945">
        <f>+OPERAC[[#This Row],[cantidad venta]]*3.154</f>
        <v/>
      </c>
    </row>
    <row r="1946">
      <c r="A1946" t="n">
        <v>7895</v>
      </c>
      <c r="B1946" s="16" t="n">
        <v>44469</v>
      </c>
      <c r="C1946" t="inlineStr">
        <is>
          <t>VTA</t>
        </is>
      </c>
      <c r="D1946" t="n">
        <v>39</v>
      </c>
      <c r="E1946">
        <f>IF(D690&gt;0,VLOOKUP(OPERAC[[#This Row],[COD CART]],[1]!MatrizCortoLargoCyl[#All],3,0),"")</f>
        <v/>
      </c>
      <c r="F1946" t="inlineStr">
        <is>
          <t>ACB/V/6,00/21-01-22</t>
        </is>
      </c>
      <c r="G1946" t="n">
        <v>-500</v>
      </c>
      <c r="H1946">
        <f>428.3725-0.5*OPERAC[[#This Row],[cantidad]]+0.51*OPERAC[[#This Row],[cantidad]]</f>
        <v/>
      </c>
      <c r="I1946">
        <f>-H690/G690</f>
        <v/>
      </c>
      <c r="J1946" s="16" t="n">
        <v>44581</v>
      </c>
      <c r="K1946">
        <f>+OPERAC[[#This Row],[cantidad]]</f>
        <v/>
      </c>
      <c r="L1946">
        <f>-OPERAC[[#This Row],[importe]]</f>
        <v/>
      </c>
    </row>
    <row r="1947">
      <c r="A1947" t="n">
        <v>7895</v>
      </c>
      <c r="B1947" s="16" t="n">
        <v>44489</v>
      </c>
      <c r="C1947" t="inlineStr">
        <is>
          <t>VTA</t>
        </is>
      </c>
      <c r="D1947" t="n">
        <v>43</v>
      </c>
      <c r="E1947">
        <f>IF(D2233&gt;0,VLOOKUP(OPERAC[[#This Row],[COD CART]],[1]!MatrizCortoLargoCyl[#All],3,0),"")</f>
        <v/>
      </c>
      <c r="F1947" t="inlineStr">
        <is>
          <t>SESN/CYL-PUT/1,00/19-01-24</t>
        </is>
      </c>
      <c r="G1947" t="n">
        <v>2000</v>
      </c>
      <c r="H1947">
        <f>-0.1885*OPERAC[[#This Row],[cantidad]]</f>
        <v/>
      </c>
      <c r="I1947">
        <f>-H2233/G2233</f>
        <v/>
      </c>
    </row>
    <row r="1948">
      <c r="A1948" t="n">
        <v>7895</v>
      </c>
      <c r="B1948" s="16" t="n">
        <v>44494</v>
      </c>
      <c r="C1948" t="inlineStr">
        <is>
          <t>CPR</t>
        </is>
      </c>
      <c r="D1948" t="n">
        <v>40</v>
      </c>
      <c r="E1948">
        <f>IF(D3706&gt;0,VLOOKUP(OPERAC[[#This Row],[COD CART]],[1]!MatrizCortoLargoCyl[#All],3,0),"")</f>
        <v/>
      </c>
      <c r="F1948" t="inlineStr">
        <is>
          <t>YPF</t>
        </is>
      </c>
      <c r="G1948" t="n">
        <v>180</v>
      </c>
      <c r="H1948" t="n">
        <v>-837.4896</v>
      </c>
      <c r="I1948">
        <f>-H3706/G3706</f>
        <v/>
      </c>
      <c r="J1948" s="16" t="n">
        <v>44606</v>
      </c>
      <c r="K1948">
        <f>+OPERAC[[#This Row],[cantidad]]</f>
        <v/>
      </c>
      <c r="L1948">
        <f>+OPERAC[[#This Row],[cantidad venta]]*4.161</f>
        <v/>
      </c>
    </row>
    <row r="1949">
      <c r="A1949" t="n">
        <v>7895</v>
      </c>
      <c r="B1949" s="16" t="n">
        <v>44511</v>
      </c>
      <c r="C1949" t="inlineStr">
        <is>
          <t>VTA</t>
        </is>
      </c>
      <c r="D1949" t="n">
        <v>31</v>
      </c>
      <c r="E1949">
        <f>IF(D1346&gt;0,VLOOKUP(OPERAC[[#This Row],[COD CART]],[1]!MatrizCortoLargoCyl[#All],3,0),"")</f>
        <v/>
      </c>
      <c r="F1949" t="inlineStr">
        <is>
          <t>IPIX</t>
        </is>
      </c>
      <c r="G1949" t="n">
        <v>1000</v>
      </c>
      <c r="H1949" t="n">
        <v>-109.99</v>
      </c>
      <c r="I1949">
        <f>-H1346/G1346</f>
        <v/>
      </c>
    </row>
    <row r="1950">
      <c r="A1950" t="n">
        <v>7895</v>
      </c>
      <c r="B1950" s="16" t="n">
        <v>44523</v>
      </c>
      <c r="C1950" t="inlineStr">
        <is>
          <t>VTA</t>
        </is>
      </c>
      <c r="D1950" t="n">
        <v>32</v>
      </c>
      <c r="E1950">
        <f>IF(D2313&gt;0,VLOOKUP(OPERAC[[#This Row],[COD CART]],[1]!MatrizCortoLargoCyl[#All],3,0),"")</f>
        <v/>
      </c>
      <c r="F1950" t="inlineStr">
        <is>
          <t>GMBL</t>
        </is>
      </c>
      <c r="G1950" t="n">
        <v>100</v>
      </c>
      <c r="H1950">
        <f>-411.931+9.067</f>
        <v/>
      </c>
      <c r="I1950">
        <f>-H2313/G2313</f>
        <v/>
      </c>
      <c r="J1950" s="16" t="n">
        <v>44662</v>
      </c>
      <c r="K1950" t="n">
        <v>100</v>
      </c>
      <c r="L1950" t="n">
        <v>75.483</v>
      </c>
    </row>
    <row r="1951">
      <c r="A1951" t="n">
        <v>7895</v>
      </c>
      <c r="B1951" s="16" t="n">
        <v>44532</v>
      </c>
      <c r="C1951" t="inlineStr">
        <is>
          <t>VTA</t>
        </is>
      </c>
      <c r="D1951" t="n">
        <v>32</v>
      </c>
      <c r="E1951">
        <f>IF(D3926&gt;0,VLOOKUP(OPERAC[[#This Row],[COD CART]],[1]!MatrizCortoLargoCyl[#All],3,0),"")</f>
        <v/>
      </c>
      <c r="F1951" t="inlineStr">
        <is>
          <t>COTY/CYL/10,00/18-02-22</t>
        </is>
      </c>
      <c r="G1951" t="n">
        <v>100</v>
      </c>
      <c r="H1951">
        <f>-901.599+20.838</f>
        <v/>
      </c>
      <c r="I1951">
        <f>-H3926/G3926</f>
        <v/>
      </c>
      <c r="J1951" s="16" t="n">
        <v>44608</v>
      </c>
      <c r="K1951">
        <f>+OPERAC[[#This Row],[cantidad]]</f>
        <v/>
      </c>
      <c r="L1951" t="n">
        <v>941.701</v>
      </c>
    </row>
    <row r="1952">
      <c r="A1952" t="n">
        <v>7895</v>
      </c>
      <c r="B1952" s="16" t="n">
        <v>44533</v>
      </c>
      <c r="C1952" t="inlineStr">
        <is>
          <t>CPR</t>
        </is>
      </c>
      <c r="D1952" t="n">
        <v>32</v>
      </c>
      <c r="E1952">
        <f>IF(D3558&gt;0,VLOOKUP(OPERAC[[#This Row],[COD CART]],[1]!MatrizCortoLargoCyl[#All],3,0),"")</f>
        <v/>
      </c>
      <c r="F1952" t="inlineStr">
        <is>
          <t>SKLZ/CYL/10,00/21-01-22</t>
        </is>
      </c>
      <c r="G1952" t="n">
        <v>100</v>
      </c>
      <c r="H1952">
        <f>-794.245+22.293</f>
        <v/>
      </c>
      <c r="I1952">
        <f>-H3558/G3558</f>
        <v/>
      </c>
      <c r="J1952" s="16" t="n">
        <v>44579</v>
      </c>
      <c r="K1952">
        <f>+OPERAC[[#This Row],[cantidad]]</f>
        <v/>
      </c>
      <c r="L1952">
        <f>+OPERAC[[#This Row],[cantidad venta]]*5.679</f>
        <v/>
      </c>
    </row>
    <row r="1953">
      <c r="A1953" t="n">
        <v>7895</v>
      </c>
      <c r="B1953" s="16" t="n">
        <v>44533</v>
      </c>
      <c r="C1953" t="inlineStr">
        <is>
          <t>CPR</t>
        </is>
      </c>
      <c r="D1953" t="n">
        <v>32</v>
      </c>
      <c r="E1953">
        <f>IF(D5737&gt;0,VLOOKUP(OPERAC[[#This Row],[COD CART]],[1]!MatrizCortoLargoCyl[#All],3,0),"")</f>
        <v/>
      </c>
      <c r="F1953" t="inlineStr">
        <is>
          <t>EDIT</t>
        </is>
      </c>
      <c r="G1953" t="n">
        <v>100</v>
      </c>
      <c r="H1953">
        <f>-2641.735+4.952+19.54</f>
        <v/>
      </c>
      <c r="I1953">
        <f>-H5737/G5737</f>
        <v/>
      </c>
      <c r="J1953" s="16" t="n">
        <v>44704</v>
      </c>
      <c r="K1953" t="n">
        <v>100</v>
      </c>
      <c r="L1953" t="n">
        <v>1090.947</v>
      </c>
    </row>
    <row r="1954">
      <c r="A1954" t="n">
        <v>7895</v>
      </c>
      <c r="B1954" s="16" t="n">
        <v>44536</v>
      </c>
      <c r="C1954" t="inlineStr">
        <is>
          <t>VTA</t>
        </is>
      </c>
      <c r="D1954" t="n">
        <v>43</v>
      </c>
      <c r="E1954">
        <f>IF(D1648&gt;0,VLOOKUP(OPERAC[[#This Row],[COD CART]],[1]!MatrizCortoLargoCyl[#All],3,0),"")</f>
        <v/>
      </c>
      <c r="F1954" t="inlineStr">
        <is>
          <t>XSPA/CYL-PUT/1,50/20-01-23</t>
        </is>
      </c>
      <c r="G1954" t="n">
        <v>500</v>
      </c>
      <c r="H1954">
        <f>-0.4462*OPERAC[[#This Row],[cantidad]]</f>
        <v/>
      </c>
      <c r="I1954">
        <f>-H1648/G1648</f>
        <v/>
      </c>
      <c r="J1954" s="16" t="n">
        <v>44712</v>
      </c>
      <c r="K1954" t="n">
        <v>500</v>
      </c>
      <c r="L1954" t="n">
        <v>297.76</v>
      </c>
    </row>
    <row r="1955">
      <c r="A1955" t="n">
        <v>7895</v>
      </c>
      <c r="B1955" s="16" t="n">
        <v>44536</v>
      </c>
      <c r="C1955" t="inlineStr">
        <is>
          <t>VTA</t>
        </is>
      </c>
      <c r="D1955" t="n">
        <v>43</v>
      </c>
      <c r="E1955">
        <f>IF(D2890&gt;0,VLOOKUP(OPERAC[[#This Row],[COD CART]],[1]!MatrizCortoLargoCyl[#All],3,0),"")</f>
        <v/>
      </c>
      <c r="F1955" t="inlineStr">
        <is>
          <t>NNDM/CYL-PUT/2,50/19-01-24</t>
        </is>
      </c>
      <c r="G1955" t="n">
        <v>500</v>
      </c>
      <c r="H1955">
        <f>-1.08*OPERAC[[#This Row],[cantidad]]</f>
        <v/>
      </c>
      <c r="I1955">
        <f>-H2890/G2890</f>
        <v/>
      </c>
    </row>
    <row r="1956">
      <c r="A1956" t="n">
        <v>7895</v>
      </c>
      <c r="B1956" s="16" t="n">
        <v>44553</v>
      </c>
      <c r="C1956" t="inlineStr">
        <is>
          <t>VTA</t>
        </is>
      </c>
      <c r="D1956" t="n">
        <v>40</v>
      </c>
      <c r="E1956">
        <f>IF(D2103&gt;0,VLOOKUP(OPERAC[[#This Row],[COD CART]],[1]!MatrizCortoLargoCyl[#All],3,0),"")</f>
        <v/>
      </c>
      <c r="F1956" t="inlineStr">
        <is>
          <t>ON</t>
        </is>
      </c>
      <c r="G1956" t="n">
        <v>5</v>
      </c>
      <c r="H1956" t="n">
        <v>-335.56804</v>
      </c>
      <c r="I1956">
        <f>-H2103/G2103</f>
        <v/>
      </c>
      <c r="J1956" s="16" t="n">
        <v>44606</v>
      </c>
      <c r="K1956">
        <f>+OPERAC[[#This Row],[cantidad]]</f>
        <v/>
      </c>
      <c r="L1956">
        <f>+OPERAC[[#This Row],[cantidad venta]]*58.449</f>
        <v/>
      </c>
    </row>
    <row r="1957">
      <c r="A1957" t="n">
        <v>7895</v>
      </c>
      <c r="B1957" s="16" t="n">
        <v>44571</v>
      </c>
      <c r="C1957" t="inlineStr">
        <is>
          <t>VTA</t>
        </is>
      </c>
      <c r="D1957" t="n">
        <v>39</v>
      </c>
      <c r="E1957">
        <f>IF(D358&gt;0,VLOOKUP(OPERAC[[#This Row],[COD CART]],[1]!MatrizCortoLargoCyl[#All],3,0),"")</f>
        <v/>
      </c>
      <c r="F1957" t="inlineStr">
        <is>
          <t>ROKU/V/165,00/14-01-22</t>
        </is>
      </c>
      <c r="G1957" t="n">
        <v>-400</v>
      </c>
      <c r="H1957" t="n">
        <v>1248.34136</v>
      </c>
      <c r="I1957">
        <f>-H358/G358</f>
        <v/>
      </c>
      <c r="J1957" s="16" t="n">
        <v>44573</v>
      </c>
      <c r="K1957" t="n">
        <v>-400</v>
      </c>
      <c r="L1957" t="n">
        <v>-236.656</v>
      </c>
    </row>
    <row r="1958">
      <c r="A1958" t="n">
        <v>7895</v>
      </c>
      <c r="B1958" s="16" t="n">
        <v>44573</v>
      </c>
      <c r="C1958" t="inlineStr">
        <is>
          <t>VTA</t>
        </is>
      </c>
      <c r="D1958" t="n">
        <v>39</v>
      </c>
      <c r="E1958">
        <f>IF(D764&gt;0,VLOOKUP(OPERAC[[#This Row],[COD CART]],[1]!MatrizCortoLargoCyl[#All],3,0),"")</f>
        <v/>
      </c>
      <c r="F1958" t="inlineStr">
        <is>
          <t>ROKU/V/170,00/21-01-22</t>
        </is>
      </c>
      <c r="G1958" t="n">
        <v>-100</v>
      </c>
      <c r="H1958" t="n">
        <v>326.96</v>
      </c>
      <c r="I1958">
        <f>-H764/G764</f>
        <v/>
      </c>
      <c r="J1958" s="16" t="n">
        <v>44582</v>
      </c>
      <c r="K1958" t="n">
        <v>-100</v>
      </c>
      <c r="L1958">
        <f>-OPERAC[[#This Row],[importe]]</f>
        <v/>
      </c>
    </row>
    <row r="1959">
      <c r="A1959" t="n">
        <v>7895</v>
      </c>
      <c r="B1959" s="16" t="n">
        <v>44579</v>
      </c>
      <c r="C1959" t="inlineStr">
        <is>
          <t>VTA</t>
        </is>
      </c>
      <c r="D1959" t="n">
        <v>39</v>
      </c>
      <c r="E1959">
        <f>IF(D704&gt;0,VLOOKUP(OPERAC[[#This Row],[COD CART]],[1]!MatrizCortoLargoCyl[#All],3,0),"")</f>
        <v/>
      </c>
      <c r="F1959" t="inlineStr">
        <is>
          <t>ACB/V/5,50/21-01-22</t>
        </is>
      </c>
      <c r="G1959" t="n">
        <v>-1300</v>
      </c>
      <c r="H1959" t="n">
        <v>415.168</v>
      </c>
      <c r="I1959">
        <f>-H704/G704</f>
        <v/>
      </c>
      <c r="J1959" s="16" t="n">
        <v>44581</v>
      </c>
      <c r="K1959">
        <f>+OPERAC[[#This Row],[cantidad]]</f>
        <v/>
      </c>
      <c r="L1959">
        <f>-OPERAC[[#This Row],[importe]]</f>
        <v/>
      </c>
    </row>
    <row r="1960">
      <c r="A1960" t="n">
        <v>7895</v>
      </c>
      <c r="B1960" s="16" t="n">
        <v>44581</v>
      </c>
      <c r="C1960" t="inlineStr">
        <is>
          <t>CPR</t>
        </is>
      </c>
      <c r="D1960" t="n">
        <v>32</v>
      </c>
      <c r="E1960">
        <f>IF(D3572&gt;0,VLOOKUP(OPERAC[[#This Row],[COD CART]],[1]!MatrizCortoLargoCyl[#All],3,0),"")</f>
        <v/>
      </c>
      <c r="F1960" t="inlineStr">
        <is>
          <t>HMY/CYL/4,00/18-02-22</t>
        </is>
      </c>
      <c r="G1960" t="n">
        <v>200</v>
      </c>
      <c r="H1960" t="n">
        <v>-774.9359920000001</v>
      </c>
      <c r="I1960">
        <f>-H3572/G3572</f>
        <v/>
      </c>
      <c r="J1960" s="16" t="n">
        <v>44610</v>
      </c>
      <c r="K1960">
        <f>+OPERAC[[#This Row],[cantidad]]</f>
        <v/>
      </c>
      <c r="L1960">
        <f>+OPERAC[[#This Row],[cantidad venta]]*3.8323</f>
        <v/>
      </c>
    </row>
    <row r="1961">
      <c r="A1961" t="n">
        <v>7895</v>
      </c>
      <c r="B1961" s="16" t="n">
        <v>44581</v>
      </c>
      <c r="C1961" t="inlineStr">
        <is>
          <t>VTA</t>
        </is>
      </c>
      <c r="D1961" t="n">
        <v>39</v>
      </c>
      <c r="E1961">
        <f>IF(D581&gt;0,VLOOKUP(OPERAC[[#This Row],[COD CART]],[1]!MatrizCortoLargoCyl[#All],3,0),"")</f>
        <v/>
      </c>
      <c r="F1961" t="inlineStr">
        <is>
          <t>ACB/V/5,50/25-02-22</t>
        </is>
      </c>
      <c r="G1961" t="n">
        <v>-800</v>
      </c>
      <c r="H1961" t="n">
        <v>656.4964</v>
      </c>
      <c r="I1961">
        <f>-H581/G581</f>
        <v/>
      </c>
      <c r="J1961" s="16" t="n">
        <v>44614</v>
      </c>
      <c r="K1961" t="n">
        <v>-800</v>
      </c>
      <c r="L1961" t="n">
        <v>-656</v>
      </c>
    </row>
    <row r="1962">
      <c r="A1962" t="n">
        <v>7895</v>
      </c>
      <c r="B1962" s="16" t="n">
        <v>44581</v>
      </c>
      <c r="C1962" t="inlineStr">
        <is>
          <t>VTA</t>
        </is>
      </c>
      <c r="D1962" t="n">
        <v>39</v>
      </c>
      <c r="E1962">
        <f>IF(D603&gt;0,VLOOKUP(OPERAC[[#This Row],[COD CART]],[1]!MatrizCortoLargoCyl[#All],3,0),"")</f>
        <v/>
      </c>
      <c r="F1962" t="inlineStr">
        <is>
          <t>ACB/V/6,00/18-02-22</t>
        </is>
      </c>
      <c r="G1962" t="n">
        <v>-500</v>
      </c>
      <c r="H1962" t="n">
        <v>604.7575000000001</v>
      </c>
      <c r="I1962">
        <f>-H603/G603</f>
        <v/>
      </c>
      <c r="J1962" s="16" t="n">
        <v>44601</v>
      </c>
      <c r="K1962" t="n">
        <v>-500</v>
      </c>
      <c r="L1962">
        <f>1.21*OPERAC[[#This Row],[cantidad venta]]</f>
        <v/>
      </c>
    </row>
    <row r="1963">
      <c r="A1963" t="n">
        <v>7895</v>
      </c>
      <c r="B1963" s="16" t="n">
        <v>44582</v>
      </c>
      <c r="C1963" t="inlineStr">
        <is>
          <t>VTA</t>
        </is>
      </c>
      <c r="D1963" t="n">
        <v>39</v>
      </c>
      <c r="E1963">
        <f>IF(D206&gt;0,VLOOKUP(OPERAC[[#This Row],[COD CART]],[1]!MatrizCortoLargoCyl[#All],3,0),"")</f>
        <v/>
      </c>
      <c r="F1963" t="inlineStr">
        <is>
          <t>ROKU/V/160,00/28-01-22</t>
        </is>
      </c>
      <c r="G1963" t="n">
        <v>-200</v>
      </c>
      <c r="H1963" t="n">
        <v>2112.7576</v>
      </c>
      <c r="I1963">
        <f>-H206/G206</f>
        <v/>
      </c>
      <c r="J1963" s="16" t="n">
        <v>44587</v>
      </c>
      <c r="K1963">
        <f>+OPERAC[[#This Row],[cantidad]]</f>
        <v/>
      </c>
      <c r="L1963">
        <f>-OPERAC[[#This Row],[importe]]</f>
        <v/>
      </c>
    </row>
    <row r="1964">
      <c r="A1964" t="n">
        <v>7895</v>
      </c>
      <c r="B1964" s="16" t="n">
        <v>44586</v>
      </c>
      <c r="C1964" t="inlineStr">
        <is>
          <t>CPR</t>
        </is>
      </c>
      <c r="D1964" t="n">
        <v>43</v>
      </c>
      <c r="E1964">
        <f>IF(D4252&gt;0,VLOOKUP(OPERAC[[#This Row],[COD CART]],[1]!MatrizCortoLargoCyl[#All],3,0),"")</f>
        <v/>
      </c>
      <c r="F1964" t="inlineStr">
        <is>
          <t>GMBL/CYL-PUT/2,50/20-01-23</t>
        </is>
      </c>
      <c r="G1964" t="n">
        <v>1000</v>
      </c>
      <c r="H1964" t="n">
        <v>-1016.0423</v>
      </c>
      <c r="I1964">
        <f>-H4252/G4252</f>
        <v/>
      </c>
      <c r="J1964" s="16" t="n">
        <v>44706</v>
      </c>
      <c r="K1964" t="n">
        <v>1000</v>
      </c>
      <c r="L1964">
        <f>-1869.59-50.43</f>
        <v/>
      </c>
    </row>
    <row r="1965">
      <c r="A1965" t="n">
        <v>7895</v>
      </c>
      <c r="B1965" s="16" t="n">
        <v>44587</v>
      </c>
      <c r="C1965" t="inlineStr">
        <is>
          <t>VTA</t>
        </is>
      </c>
      <c r="D1965" t="n">
        <v>39</v>
      </c>
      <c r="E1965">
        <f>IF(D292&gt;0,VLOOKUP(OPERAC[[#This Row],[COD CART]],[1]!MatrizCortoLargoCyl[#All],3,0),"")</f>
        <v/>
      </c>
      <c r="F1965" t="inlineStr">
        <is>
          <t>ROKU/V/155,00/04-02-22</t>
        </is>
      </c>
      <c r="G1965" t="n">
        <v>-200</v>
      </c>
      <c r="H1965" t="n">
        <v>1587.992</v>
      </c>
      <c r="I1965">
        <f>-H292/G292</f>
        <v/>
      </c>
      <c r="J1965" s="16" t="n">
        <v>44592</v>
      </c>
      <c r="K1965">
        <f>+OPERAC[[#This Row],[cantidad]]</f>
        <v/>
      </c>
      <c r="L1965" t="n">
        <v>-716.4627999999999</v>
      </c>
    </row>
    <row r="1966">
      <c r="A1966" t="n">
        <v>7895</v>
      </c>
      <c r="B1966" s="16" t="n">
        <v>44592</v>
      </c>
      <c r="C1966" t="inlineStr">
        <is>
          <t>VTA</t>
        </is>
      </c>
      <c r="D1966" t="n">
        <v>39</v>
      </c>
      <c r="E1966">
        <f>IF(D488&gt;0,VLOOKUP(OPERAC[[#This Row],[COD CART]],[1]!MatrizCortoLargoCyl[#All],3,0),"")</f>
        <v/>
      </c>
      <c r="F1966" t="inlineStr">
        <is>
          <t>ROKU/V/150,00/11-02-22</t>
        </is>
      </c>
      <c r="G1966" t="n">
        <v>-200</v>
      </c>
      <c r="H1966" t="n">
        <v>951.528</v>
      </c>
      <c r="I1966">
        <f>-H488/G488</f>
        <v/>
      </c>
      <c r="J1966" s="16" t="n">
        <v>44601</v>
      </c>
      <c r="K1966">
        <f>+OPERAC[[#This Row],[cantidad]]</f>
        <v/>
      </c>
      <c r="L1966">
        <f>0.67*OPERAC[[#This Row],[cantidad venta]]</f>
        <v/>
      </c>
    </row>
    <row r="1967">
      <c r="A1967" t="n">
        <v>7895</v>
      </c>
      <c r="B1967" s="16" t="n">
        <v>44601</v>
      </c>
      <c r="C1967" t="inlineStr">
        <is>
          <t>VTA</t>
        </is>
      </c>
      <c r="D1967" t="n">
        <v>39</v>
      </c>
      <c r="E1967">
        <f>IF(D524&gt;0,VLOOKUP(OPERAC[[#This Row],[COD CART]],[1]!MatrizCortoLargoCyl[#All],3,0),"")</f>
        <v/>
      </c>
      <c r="F1967" t="inlineStr">
        <is>
          <t>TSLA/V/805/18-02-22</t>
        </is>
      </c>
      <c r="G1967" t="n">
        <v>-300</v>
      </c>
      <c r="H1967" t="n">
        <v>860</v>
      </c>
      <c r="I1967">
        <f>-H524/G524</f>
        <v/>
      </c>
      <c r="J1967" s="16" t="n">
        <v>44607</v>
      </c>
      <c r="K1967" t="n">
        <v>-300</v>
      </c>
      <c r="L1967" t="n">
        <v>-319.498</v>
      </c>
    </row>
    <row r="1968">
      <c r="A1968" t="n">
        <v>7895</v>
      </c>
      <c r="B1968" s="16" t="n">
        <v>44607</v>
      </c>
      <c r="C1968" t="inlineStr">
        <is>
          <t>VTA</t>
        </is>
      </c>
      <c r="D1968" t="n">
        <v>39</v>
      </c>
      <c r="E1968">
        <f>IF(D877&gt;0,VLOOKUP(OPERAC[[#This Row],[COD CART]],[1]!MatrizCortoLargoCyl[#All],3,0),"")</f>
        <v/>
      </c>
      <c r="F1968" t="inlineStr">
        <is>
          <t>TSLA/V/830,00/18-02-22</t>
        </is>
      </c>
      <c r="G1968" t="n">
        <v>-100</v>
      </c>
      <c r="H1968" t="n">
        <v>192.74775</v>
      </c>
      <c r="I1968">
        <f>-H877/G877</f>
        <v/>
      </c>
      <c r="J1968" s="16" t="n">
        <v>44609</v>
      </c>
      <c r="K1968" t="n">
        <v>-100</v>
      </c>
      <c r="L1968" t="n">
        <v>-192.209</v>
      </c>
    </row>
    <row r="1969">
      <c r="A1969" t="n">
        <v>7895</v>
      </c>
      <c r="B1969" s="16" t="n">
        <v>44608</v>
      </c>
      <c r="C1969" t="inlineStr">
        <is>
          <t>VTA</t>
        </is>
      </c>
      <c r="D1969" t="n">
        <v>40</v>
      </c>
      <c r="E1969">
        <f>IF(D2843&gt;0,VLOOKUP(OPERAC[[#This Row],[COD CART]],[1]!MatrizCortoLargoCyl[#All],3,0),"")</f>
        <v/>
      </c>
      <c r="F1969" t="inlineStr">
        <is>
          <t>NVDA</t>
        </is>
      </c>
      <c r="G1969" t="n">
        <v>2</v>
      </c>
      <c r="H1969" t="n">
        <v>-527.0279999999999</v>
      </c>
      <c r="I1969">
        <f>-H2843/G2843</f>
        <v/>
      </c>
      <c r="J1969" s="16" t="n">
        <v>44616</v>
      </c>
      <c r="K1969">
        <f>+OPERAC[[#This Row],[cantidad]]</f>
        <v/>
      </c>
      <c r="L1969">
        <f>+OPERAC[[#This Row],[cantidad venta]]*224.117</f>
        <v/>
      </c>
    </row>
    <row r="1970">
      <c r="A1970" t="n">
        <v>7895</v>
      </c>
      <c r="B1970" s="16" t="n">
        <v>44609</v>
      </c>
      <c r="C1970" t="inlineStr">
        <is>
          <t>VTA</t>
        </is>
      </c>
      <c r="D1970" t="n">
        <v>32</v>
      </c>
      <c r="E1970">
        <f>IF(D3872&gt;0,VLOOKUP(OPERAC[[#This Row],[COD CART]],[1]!MatrizCortoLargoCyl[#All],3,0),"")</f>
        <v/>
      </c>
      <c r="F1970" t="inlineStr">
        <is>
          <t>HIMX/CYL/9,00/18-03-22</t>
        </is>
      </c>
      <c r="G1970" t="n">
        <v>100</v>
      </c>
      <c r="H1970" t="n">
        <v>-869.5839999999999</v>
      </c>
      <c r="I1970">
        <f>-H3872/G3872</f>
        <v/>
      </c>
      <c r="J1970" s="16" t="n">
        <v>44622</v>
      </c>
      <c r="K1970">
        <f>+OPERAC[[#This Row],[cantidad]]</f>
        <v/>
      </c>
      <c r="L1970" t="n">
        <v>883.576</v>
      </c>
    </row>
    <row r="1971">
      <c r="A1971" t="n">
        <v>7895</v>
      </c>
      <c r="B1971" s="16" t="n">
        <v>44614</v>
      </c>
      <c r="C1971" t="inlineStr">
        <is>
          <t>VTA</t>
        </is>
      </c>
      <c r="D1971" t="n">
        <v>39</v>
      </c>
      <c r="E1971">
        <f>IF(D1174&gt;0,VLOOKUP(OPERAC[[#This Row],[COD CART]],[1]!MatrizCortoLargoCyl[#All],3,0),"")</f>
        <v/>
      </c>
      <c r="F1971" t="inlineStr">
        <is>
          <t>ACB/V/4,00/20-01-23</t>
        </is>
      </c>
      <c r="G1971" t="n">
        <v>-10</v>
      </c>
      <c r="H1971" t="n">
        <v>12.86</v>
      </c>
      <c r="I1971">
        <f>-H1174/G1174</f>
        <v/>
      </c>
    </row>
    <row r="1972">
      <c r="A1972" t="n">
        <v>7895</v>
      </c>
      <c r="B1972" s="16" t="n">
        <v>44616</v>
      </c>
      <c r="C1972" t="inlineStr">
        <is>
          <t>CPR</t>
        </is>
      </c>
      <c r="D1972" t="n">
        <v>32</v>
      </c>
      <c r="E1972">
        <f>IF(D3485&gt;0,VLOOKUP(OPERAC[[#This Row],[COD CART]],[1]!MatrizCortoLargoCyl[#All],3,0),"")</f>
        <v/>
      </c>
      <c r="F1972" t="inlineStr">
        <is>
          <t>TEVA/CYL/8,00/18-03-22</t>
        </is>
      </c>
      <c r="G1972" t="n">
        <v>100</v>
      </c>
      <c r="H1972" t="n">
        <v>-762.2553999999999</v>
      </c>
      <c r="I1972">
        <f>-H3485/G3485</f>
        <v/>
      </c>
      <c r="J1972" s="16" t="n">
        <v>44638</v>
      </c>
      <c r="K1972" t="n">
        <v>100</v>
      </c>
      <c r="L1972">
        <f>7.8242*OPERAC[[#This Row],[cantidad venta]]</f>
        <v/>
      </c>
    </row>
    <row r="1973">
      <c r="A1973" t="n">
        <v>7895</v>
      </c>
      <c r="B1973" s="16" t="n">
        <v>44616</v>
      </c>
      <c r="C1973" t="inlineStr">
        <is>
          <t>VTA</t>
        </is>
      </c>
      <c r="D1973" t="n">
        <v>32</v>
      </c>
      <c r="E1973">
        <f>IF(D2259&gt;0,VLOOKUP(OPERAC[[#This Row],[COD CART]],[1]!MatrizCortoLargoCyl[#All],3,0),"")</f>
        <v/>
      </c>
      <c r="F1973" t="inlineStr">
        <is>
          <t>HMY/CYL/4,00/18-03-22</t>
        </is>
      </c>
      <c r="G1973" t="n">
        <v>100</v>
      </c>
      <c r="H1973" t="n">
        <v>-383.705</v>
      </c>
      <c r="I1973">
        <f>-H2259/G2259</f>
        <v/>
      </c>
      <c r="J1973" s="16" t="n">
        <v>44622</v>
      </c>
      <c r="K1973" t="n">
        <v>100</v>
      </c>
      <c r="L1973" t="n">
        <v>393.95</v>
      </c>
    </row>
    <row r="1974">
      <c r="A1974" t="n">
        <v>7895</v>
      </c>
      <c r="B1974" s="16" t="n">
        <v>44622</v>
      </c>
      <c r="C1974" t="inlineStr">
        <is>
          <t>CPR</t>
        </is>
      </c>
      <c r="D1974" t="n">
        <v>32</v>
      </c>
      <c r="E1974">
        <f>IF(D4048&gt;0,VLOOKUP(OPERAC[[#This Row],[COD CART]],[1]!MatrizCortoLargoCyl[#All],3,0),"")</f>
        <v/>
      </c>
      <c r="F1974" t="inlineStr">
        <is>
          <t>SABR/CYL/10,00/14-04-22</t>
        </is>
      </c>
      <c r="G1974" t="n">
        <v>100</v>
      </c>
      <c r="H1974" t="n">
        <v>-928.98</v>
      </c>
      <c r="I1974">
        <f>-H4048/G4048</f>
        <v/>
      </c>
      <c r="J1974" s="16" t="n">
        <v>44649</v>
      </c>
      <c r="K1974" t="n">
        <v>100</v>
      </c>
      <c r="L1974" t="n">
        <v>982.1799999999999</v>
      </c>
    </row>
    <row r="1975">
      <c r="A1975" t="n">
        <v>7895</v>
      </c>
      <c r="B1975" s="16" t="n">
        <v>44622</v>
      </c>
      <c r="C1975" t="inlineStr">
        <is>
          <t>CPR</t>
        </is>
      </c>
      <c r="D1975" t="n">
        <v>32</v>
      </c>
      <c r="E1975">
        <f>IF(D4080&gt;0,VLOOKUP(OPERAC[[#This Row],[COD CART]],[1]!MatrizCortoLargoCyl[#All],3,0),"")</f>
        <v/>
      </c>
      <c r="F1975" t="inlineStr">
        <is>
          <t>HMY/CYL/5,00/18-03-22</t>
        </is>
      </c>
      <c r="G1975" t="n">
        <v>200</v>
      </c>
      <c r="H1975" t="n">
        <v>-937.0640000000001</v>
      </c>
      <c r="I1975">
        <f>-H4080/G4080</f>
        <v/>
      </c>
      <c r="J1975" s="16" t="n">
        <v>44637</v>
      </c>
      <c r="K1975">
        <f>+OPERAC[[#This Row],[cantidad]]</f>
        <v/>
      </c>
      <c r="L1975">
        <f>4.85553*OPERAC[[#This Row],[cantidad venta]]</f>
        <v/>
      </c>
    </row>
    <row r="1976">
      <c r="A1976" t="n">
        <v>7895</v>
      </c>
      <c r="B1976" s="16" t="n">
        <v>44641</v>
      </c>
      <c r="C1976" t="inlineStr">
        <is>
          <t>VTA</t>
        </is>
      </c>
      <c r="D1976" t="n">
        <v>42</v>
      </c>
      <c r="E1976">
        <f>IF(D2374&gt;0,VLOOKUP(OPERAC[[#This Row],[COD CART]],[1]!MatrizCortoLargoCyl[#All],3,0),"")</f>
        <v/>
      </c>
      <c r="F1976" t="inlineStr">
        <is>
          <t>JPM</t>
        </is>
      </c>
      <c r="G1976" t="n">
        <v>3</v>
      </c>
      <c r="H1976" t="n">
        <v>-421.3630200000001</v>
      </c>
      <c r="I1976">
        <f>-H2374/G2374</f>
        <v/>
      </c>
      <c r="J1976" s="16" t="n">
        <v>44664</v>
      </c>
      <c r="K1976">
        <f>+OPERAC[[#This Row],[cantidad]]</f>
        <v/>
      </c>
      <c r="L1976">
        <f>+OPERAC[[#This Row],[cantidad venta]]*125.943</f>
        <v/>
      </c>
    </row>
    <row r="1977">
      <c r="A1977" t="n">
        <v>7895</v>
      </c>
      <c r="B1977" s="16" t="n">
        <v>44641</v>
      </c>
      <c r="C1977" t="inlineStr">
        <is>
          <t>VTA</t>
        </is>
      </c>
      <c r="D1977" t="n">
        <v>42</v>
      </c>
      <c r="E1977">
        <f>IF(D2873&gt;0,VLOOKUP(OPERAC[[#This Row],[COD CART]],[1]!MatrizCortoLargoCyl[#All],3,0),"")</f>
        <v/>
      </c>
      <c r="F1977" t="inlineStr">
        <is>
          <t>SMH</t>
        </is>
      </c>
      <c r="G1977" t="n">
        <v>2</v>
      </c>
      <c r="H1977" t="n">
        <v>-537.9153000000001</v>
      </c>
      <c r="I1977">
        <f>-H2873/G2873</f>
        <v/>
      </c>
      <c r="J1977" s="16" t="n">
        <v>44663</v>
      </c>
      <c r="K1977">
        <f>+OPERAC[[#This Row],[cantidad]]</f>
        <v/>
      </c>
      <c r="L1977">
        <f>+OPERAC[[#This Row],[cantidad venta]]*238.066</f>
        <v/>
      </c>
    </row>
    <row r="1978">
      <c r="A1978" t="n">
        <v>7895</v>
      </c>
      <c r="B1978" s="16" t="n">
        <v>44641</v>
      </c>
      <c r="C1978" t="inlineStr">
        <is>
          <t>VTA</t>
        </is>
      </c>
      <c r="D1978" t="n">
        <v>42</v>
      </c>
      <c r="E1978">
        <f>IF(D3157&gt;0,VLOOKUP(OPERAC[[#This Row],[COD CART]],[1]!MatrizCortoLargoCyl[#All],3,0),"")</f>
        <v/>
      </c>
      <c r="F1978" t="inlineStr">
        <is>
          <t>FB</t>
        </is>
      </c>
      <c r="G1978" t="n">
        <v>3</v>
      </c>
      <c r="H1978" t="n">
        <v>-636.4691399999999</v>
      </c>
      <c r="I1978">
        <f>-H3157/G3157</f>
        <v/>
      </c>
      <c r="J1978" s="16" t="n">
        <v>44671</v>
      </c>
      <c r="K1978">
        <f>+OPERAC[[#This Row],[cantidad]]</f>
        <v/>
      </c>
      <c r="L1978">
        <f>+OPERAC[[#This Row],[cantidad venta]]*213.173</f>
        <v/>
      </c>
    </row>
    <row r="1979">
      <c r="A1979" t="n">
        <v>7895</v>
      </c>
      <c r="B1979" s="16" t="n">
        <v>44649</v>
      </c>
      <c r="C1979" t="inlineStr">
        <is>
          <t>VTA</t>
        </is>
      </c>
      <c r="D1979" t="n">
        <v>32</v>
      </c>
      <c r="E1979">
        <f>IF(D5015&gt;0,VLOOKUP(OPERAC[[#This Row],[COD CART]],[1]!MatrizCortoLargoCyl[#All],3,0),"")</f>
        <v/>
      </c>
      <c r="F1979" t="inlineStr">
        <is>
          <t>LIND</t>
        </is>
      </c>
      <c r="G1979" t="n">
        <v>100</v>
      </c>
      <c r="H1979" t="n">
        <v>-1545.764</v>
      </c>
      <c r="I1979">
        <f>-H5015/G5015</f>
        <v/>
      </c>
      <c r="J1979" s="16" t="n">
        <v>44656</v>
      </c>
      <c r="K1979" t="n">
        <v>100</v>
      </c>
      <c r="L1979">
        <f>+OPERAC[[#This Row],[cantidad venta]]*15.682</f>
        <v/>
      </c>
    </row>
    <row r="1980">
      <c r="A1980" t="n">
        <v>7895</v>
      </c>
      <c r="B1980" s="16" t="n">
        <v>44656</v>
      </c>
      <c r="C1980" t="inlineStr">
        <is>
          <t>CPR</t>
        </is>
      </c>
      <c r="D1980" t="n">
        <v>32</v>
      </c>
      <c r="E1980">
        <f>IF(D2661&gt;0,VLOOKUP(OPERAC[[#This Row],[COD CART]],[1]!MatrizCortoLargoCyl[#All],3,0),"")</f>
        <v/>
      </c>
      <c r="F1980" t="inlineStr">
        <is>
          <t>HMY</t>
        </is>
      </c>
      <c r="G1980" t="n">
        <v>100</v>
      </c>
      <c r="H1980" t="n">
        <v>-487.753</v>
      </c>
      <c r="I1980">
        <f>-H2661/G2661</f>
        <v/>
      </c>
      <c r="J1980" s="16" t="n">
        <v>44669</v>
      </c>
      <c r="K1980">
        <f>+OPERAC[[#This Row],[cantidad]]</f>
        <v/>
      </c>
      <c r="L1980">
        <f>4.925*OPERAC[[#This Row],[cantidad venta]]</f>
        <v/>
      </c>
    </row>
    <row r="1981">
      <c r="A1981" t="n">
        <v>7895</v>
      </c>
      <c r="B1981" s="16" t="n">
        <v>44656</v>
      </c>
      <c r="C1981" t="inlineStr">
        <is>
          <t>CPR</t>
        </is>
      </c>
      <c r="D1981" t="n">
        <v>32</v>
      </c>
      <c r="E1981">
        <f>IF(D4065&gt;0,VLOOKUP(OPERAC[[#This Row],[COD CART]],[1]!MatrizCortoLargoCyl[#All],3,0),"")</f>
        <v/>
      </c>
      <c r="F1981" t="inlineStr">
        <is>
          <t>HIMX/CYL/10,00/10-06-22</t>
        </is>
      </c>
      <c r="G1981" t="n">
        <v>100</v>
      </c>
      <c r="H1981">
        <f>-955.798+24.788</f>
        <v/>
      </c>
      <c r="I1981">
        <f>-H4065/G4065</f>
        <v/>
      </c>
      <c r="J1981" s="16" t="n">
        <v>44721</v>
      </c>
      <c r="K1981" t="n">
        <v>100</v>
      </c>
      <c r="L1981" t="n">
        <v>985</v>
      </c>
    </row>
    <row r="1982">
      <c r="A1982" t="n">
        <v>7895</v>
      </c>
      <c r="B1982" s="16" t="n">
        <v>44662</v>
      </c>
      <c r="C1982" t="inlineStr">
        <is>
          <t>VTA</t>
        </is>
      </c>
      <c r="D1982" t="n">
        <v>42</v>
      </c>
      <c r="E1982">
        <f>IF(D3190&gt;0,VLOOKUP(OPERAC[[#This Row],[COD CART]],[1]!MatrizCortoLargoCyl[#All],3,0),"")</f>
        <v/>
      </c>
      <c r="F1982" t="inlineStr">
        <is>
          <t>HYDR</t>
        </is>
      </c>
      <c r="G1982" t="n">
        <v>35</v>
      </c>
      <c r="H1982" t="n">
        <v>-649.96204</v>
      </c>
      <c r="I1982">
        <f>-H3190/G3190</f>
        <v/>
      </c>
      <c r="J1982" s="16" t="n">
        <v>44693</v>
      </c>
      <c r="K1982">
        <f>+OPERAC[[#This Row],[cantidad]]</f>
        <v/>
      </c>
      <c r="L1982">
        <f>+OPERAC[[#This Row],[cantidad venta]]*12.027</f>
        <v/>
      </c>
    </row>
    <row r="1983">
      <c r="A1983" t="n">
        <v>7895</v>
      </c>
      <c r="B1983" s="16" t="n">
        <v>44664</v>
      </c>
      <c r="C1983" t="inlineStr">
        <is>
          <t>CPR</t>
        </is>
      </c>
      <c r="D1983" t="n">
        <v>42</v>
      </c>
      <c r="E1983">
        <f>IF(D2690&gt;0,VLOOKUP(OPERAC[[#This Row],[COD CART]],[1]!MatrizCortoLargoCyl[#All],3,0),"")</f>
        <v/>
      </c>
      <c r="F1983" t="inlineStr">
        <is>
          <t>AMD</t>
        </is>
      </c>
      <c r="G1983" t="n">
        <v>5</v>
      </c>
      <c r="H1983" t="n">
        <v>-493.85327265</v>
      </c>
      <c r="I1983">
        <f>-H2690/G2690</f>
        <v/>
      </c>
      <c r="J1983" s="16" t="n">
        <v>44693</v>
      </c>
      <c r="K1983" t="n">
        <v>5</v>
      </c>
      <c r="L1983" t="n">
        <v>424.587</v>
      </c>
    </row>
    <row r="1984">
      <c r="A1984" t="n">
        <v>7895</v>
      </c>
      <c r="B1984" s="16" t="n">
        <v>44664</v>
      </c>
      <c r="C1984" t="inlineStr">
        <is>
          <t>VTA</t>
        </is>
      </c>
      <c r="D1984" t="n">
        <v>42</v>
      </c>
      <c r="E1984">
        <f>IF(D3087&gt;0,VLOOKUP(OPERAC[[#This Row],[COD CART]],[1]!MatrizCortoLargoCyl[#All],3,0),"")</f>
        <v/>
      </c>
      <c r="F1984" t="inlineStr">
        <is>
          <t>PSQ</t>
        </is>
      </c>
      <c r="G1984" t="n">
        <v>50</v>
      </c>
      <c r="H1984" t="n">
        <v>-621.6286090499999</v>
      </c>
      <c r="I1984">
        <f>-H3087/G3087</f>
        <v/>
      </c>
      <c r="J1984" s="16" t="n">
        <v>44680</v>
      </c>
      <c r="K1984">
        <f>+OPERAC[[#This Row],[cantidad]]</f>
        <v/>
      </c>
      <c r="L1984">
        <f>12.848*OPERAC[[#This Row],[cantidad venta]]</f>
        <v/>
      </c>
    </row>
    <row r="1985">
      <c r="A1985" t="n">
        <v>7895</v>
      </c>
      <c r="B1985" s="16" t="n">
        <v>44671</v>
      </c>
      <c r="C1985" t="inlineStr">
        <is>
          <t>CPR</t>
        </is>
      </c>
      <c r="D1985" t="n">
        <v>42</v>
      </c>
      <c r="E1985">
        <f>IF(D3500&gt;0,VLOOKUP(OPERAC[[#This Row],[COD CART]],[1]!MatrizCortoLargoCyl[#All],3,0),"")</f>
        <v/>
      </c>
      <c r="F1985" t="inlineStr">
        <is>
          <t>NFLX</t>
        </is>
      </c>
      <c r="G1985" t="n">
        <v>3</v>
      </c>
      <c r="H1985" t="n">
        <v>-763.51518</v>
      </c>
      <c r="I1985">
        <f>-H3500/G3500</f>
        <v/>
      </c>
      <c r="J1985" s="16" t="n">
        <v>44693</v>
      </c>
      <c r="K1985">
        <f>+OPERAC[[#This Row],[cantidad]]</f>
        <v/>
      </c>
      <c r="L1985">
        <f>+OPERAC[[#This Row],[cantidad venta]]*169.079</f>
        <v/>
      </c>
    </row>
    <row r="1986">
      <c r="A1986" t="n">
        <v>7895</v>
      </c>
      <c r="B1986" s="16" t="n">
        <v>44680</v>
      </c>
      <c r="C1986" t="inlineStr">
        <is>
          <t>VTA</t>
        </is>
      </c>
      <c r="D1986" t="n">
        <v>42</v>
      </c>
      <c r="E1986">
        <f>IF(D3138&gt;0,VLOOKUP(OPERAC[[#This Row],[COD CART]],[1]!MatrizCortoLargoCyl[#All],3,0),"")</f>
        <v/>
      </c>
      <c r="F1986" t="inlineStr">
        <is>
          <t>XLP</t>
        </is>
      </c>
      <c r="G1986" t="n">
        <v>8</v>
      </c>
      <c r="H1986" t="n">
        <v>-635.4760199999999</v>
      </c>
      <c r="I1986">
        <f>-H3138/G3138</f>
        <v/>
      </c>
      <c r="J1986" s="16" t="n">
        <v>44693</v>
      </c>
      <c r="K1986">
        <f>+OPERAC[[#This Row],[cantidad]]</f>
        <v/>
      </c>
      <c r="L1986">
        <f>+OPERAC[[#This Row],[cantidad venta]]*75.648</f>
        <v/>
      </c>
    </row>
    <row r="1987">
      <c r="A1987" t="n">
        <v>7895</v>
      </c>
      <c r="B1987" s="16" t="n">
        <v>44704</v>
      </c>
      <c r="C1987" t="inlineStr">
        <is>
          <t>CPR</t>
        </is>
      </c>
      <c r="D1987" t="n">
        <v>43</v>
      </c>
      <c r="E1987">
        <f>IF(D4179&gt;0,VLOOKUP(OPERAC[[#This Row],[COD CART]],[1]!MatrizCortoLargoCyl[#All],3,0),"")</f>
        <v/>
      </c>
      <c r="F1987" t="inlineStr">
        <is>
          <t>PCT/CYP/7,50-6,00/20-01-23</t>
        </is>
      </c>
      <c r="G1987" t="n">
        <v>200</v>
      </c>
      <c r="H1987" t="n">
        <v>-982.46</v>
      </c>
      <c r="I1987">
        <f>-H4179/G4179</f>
        <v/>
      </c>
    </row>
    <row r="1988">
      <c r="A1988" t="n">
        <v>7895</v>
      </c>
      <c r="B1988" s="16" t="n">
        <v>44706</v>
      </c>
      <c r="C1988" t="inlineStr">
        <is>
          <t>VTA</t>
        </is>
      </c>
      <c r="D1988" t="n">
        <v>39</v>
      </c>
      <c r="E1988">
        <f>IF(D49&gt;0,VLOOKUP(OPERAC[[#This Row],[COD CART]],[1]!MatrizCortoLargoCyl[#All],3,0),"")</f>
        <v/>
      </c>
      <c r="F1988" t="inlineStr">
        <is>
          <t>BABA/P/60,00/20-01-23</t>
        </is>
      </c>
      <c r="G1988" t="n">
        <v>-900</v>
      </c>
      <c r="H1988" t="n">
        <v>5131.013</v>
      </c>
      <c r="I1988">
        <f>-H49/G49</f>
        <v/>
      </c>
    </row>
    <row r="1989">
      <c r="A1989" t="n">
        <v>7895</v>
      </c>
      <c r="B1989" s="16" t="n">
        <v>44708</v>
      </c>
      <c r="C1989" t="inlineStr">
        <is>
          <t>CPR</t>
        </is>
      </c>
      <c r="D1989" t="n">
        <v>42</v>
      </c>
      <c r="E1989">
        <f>IF(D3985&gt;0,VLOOKUP(OPERAC[[#This Row],[COD CART]],[1]!MatrizCortoLargoCyl[#All],3,0),"")</f>
        <v/>
      </c>
      <c r="F1989" t="inlineStr">
        <is>
          <t>ACB</t>
        </is>
      </c>
      <c r="G1989" t="n">
        <v>500</v>
      </c>
      <c r="H1989" t="n">
        <v>-912.6603944024999</v>
      </c>
      <c r="I1989">
        <f>-H3985/G3985</f>
        <v/>
      </c>
    </row>
    <row r="1990">
      <c r="A1990" t="n">
        <v>7895</v>
      </c>
      <c r="B1990" s="16" t="n">
        <v>44712</v>
      </c>
      <c r="C1990" t="inlineStr">
        <is>
          <t>CPR</t>
        </is>
      </c>
      <c r="D1990" t="n">
        <v>32</v>
      </c>
      <c r="E1990">
        <f>IF(D4560&gt;0,VLOOKUP(OPERAC[[#This Row],[COD CART]],[1]!MatrizCortoLargoCyl[#All],3,0),"")</f>
        <v/>
      </c>
      <c r="F1990" t="inlineStr">
        <is>
          <t>AMC/CYL/13,00/10-06-22</t>
        </is>
      </c>
      <c r="G1990" t="n">
        <v>100</v>
      </c>
      <c r="H1990" t="n">
        <v>-1232.75</v>
      </c>
      <c r="I1990">
        <f>-H4560/G4560</f>
        <v/>
      </c>
      <c r="J1990" s="16" t="n">
        <v>44722</v>
      </c>
      <c r="K1990" t="n">
        <v>100</v>
      </c>
      <c r="L1990" t="n">
        <v>1234.29</v>
      </c>
    </row>
    <row r="1991">
      <c r="A1991" t="n">
        <v>7895</v>
      </c>
      <c r="B1991" s="16" t="n">
        <v>44712</v>
      </c>
      <c r="C1991" t="inlineStr">
        <is>
          <t>CPR</t>
        </is>
      </c>
      <c r="D1991" t="n">
        <v>42</v>
      </c>
      <c r="E1991">
        <f>IF(D5874&gt;0,VLOOKUP(OPERAC[[#This Row],[COD CART]],[1]!MatrizCortoLargoCyl[#All],3,0),"")</f>
        <v/>
      </c>
      <c r="F1991" t="inlineStr">
        <is>
          <t>KWEB</t>
        </is>
      </c>
      <c r="G1991" t="n">
        <v>100</v>
      </c>
      <c r="H1991" t="n">
        <v>-2959.725</v>
      </c>
      <c r="I1991">
        <f>-H5874/G5874</f>
        <v/>
      </c>
    </row>
    <row r="1992">
      <c r="A1992" t="n">
        <v>7895</v>
      </c>
      <c r="B1992" s="16" t="n">
        <v>44721</v>
      </c>
      <c r="C1992" t="inlineStr">
        <is>
          <t>CPR</t>
        </is>
      </c>
      <c r="D1992" t="n">
        <v>32</v>
      </c>
      <c r="E1992">
        <f>IF(D4409&gt;0,VLOOKUP(OPERAC[[#This Row],[COD CART]],[1]!MatrizCortoLargoCyl[#All],3,0),"")</f>
        <v/>
      </c>
      <c r="F1992" t="inlineStr">
        <is>
          <t>CCL/CYL/11,5/17-06-22</t>
        </is>
      </c>
      <c r="G1992" t="n">
        <v>100</v>
      </c>
      <c r="H1992">
        <f>-11.066*100</f>
        <v/>
      </c>
      <c r="I1992">
        <f>-H4409/G4409</f>
        <v/>
      </c>
    </row>
    <row r="1993">
      <c r="A1993" t="n">
        <v>7895</v>
      </c>
      <c r="B1993" s="16" t="n">
        <v>44722</v>
      </c>
      <c r="C1993" t="inlineStr">
        <is>
          <t>CPR</t>
        </is>
      </c>
      <c r="D1993" t="n">
        <v>32</v>
      </c>
      <c r="E1993">
        <f>IF(D4220&gt;0,VLOOKUP(OPERAC[[#This Row],[COD CART]],[1]!MatrizCortoLargoCyl[#All],3,0),"")</f>
        <v/>
      </c>
      <c r="F1993" t="inlineStr">
        <is>
          <t>CCL/CYL/10,50/24-06-22</t>
        </is>
      </c>
      <c r="G1993" t="n">
        <v>100</v>
      </c>
      <c r="H1993" t="n">
        <v>-1005.33</v>
      </c>
      <c r="I1993">
        <f>-H4220/G4220</f>
        <v/>
      </c>
    </row>
    <row r="1994">
      <c r="A1994" t="n">
        <v>7914</v>
      </c>
      <c r="B1994" s="16" t="n">
        <v>44432</v>
      </c>
      <c r="C1994" t="inlineStr">
        <is>
          <t>VTA</t>
        </is>
      </c>
      <c r="D1994" t="n">
        <v>39</v>
      </c>
      <c r="E1994">
        <f>IF(D319&gt;0,VLOOKUP(OPERAC[[#This Row],[COD CART]],[1]!MatrizCortoLargoCyl[#All],3,0),"")</f>
        <v/>
      </c>
      <c r="F1994" t="inlineStr">
        <is>
          <t>INO/V/8,00/20-01-23</t>
        </is>
      </c>
      <c r="G1994" t="n">
        <v>-500</v>
      </c>
      <c r="H1994" t="n">
        <v>1412.17</v>
      </c>
      <c r="I1994">
        <f>-H319/G319</f>
        <v/>
      </c>
      <c r="J1994" s="16" t="n">
        <v>44573</v>
      </c>
      <c r="K1994" t="n">
        <v>-500</v>
      </c>
      <c r="L1994" t="n">
        <v>-2095.06</v>
      </c>
    </row>
    <row r="1995">
      <c r="A1995" t="n">
        <v>7914</v>
      </c>
      <c r="B1995" s="16" t="n">
        <v>44441</v>
      </c>
      <c r="C1995" t="inlineStr">
        <is>
          <t>VTA</t>
        </is>
      </c>
      <c r="D1995" t="n">
        <v>39</v>
      </c>
      <c r="E1995">
        <f>IF(D243&gt;0,VLOOKUP(OPERAC[[#This Row],[COD CART]],[1]!MatrizCortoLargoCyl[#All],3,0),"")</f>
        <v/>
      </c>
      <c r="F1995" t="inlineStr">
        <is>
          <t>DDD/V/15,00/20-01-23</t>
        </is>
      </c>
      <c r="G1995" t="n">
        <v>-1000</v>
      </c>
      <c r="H1995" t="n">
        <v>1839.647</v>
      </c>
      <c r="I1995">
        <f>-H243/G243</f>
        <v/>
      </c>
      <c r="J1995" s="16" t="n">
        <v>44573</v>
      </c>
      <c r="K1995" t="n">
        <v>-1000</v>
      </c>
      <c r="L1995" t="n">
        <v>-2442.07</v>
      </c>
    </row>
    <row r="1996">
      <c r="A1996" t="n">
        <v>7914</v>
      </c>
      <c r="B1996" s="16" t="n">
        <v>44466</v>
      </c>
      <c r="C1996" t="inlineStr">
        <is>
          <t>VTA</t>
        </is>
      </c>
      <c r="D1996" t="n">
        <v>43</v>
      </c>
      <c r="E1996">
        <f>IF(D5389&gt;0,VLOOKUP(OPERAC[[#This Row],[COD CART]],[1]!MatrizCortoLargoCyl[#All],3,0),"")</f>
        <v/>
      </c>
      <c r="F1996" t="inlineStr">
        <is>
          <t>SOLO/CYL-PUT/4,00/18-03-22</t>
        </is>
      </c>
      <c r="G1996" t="n">
        <v>800</v>
      </c>
      <c r="H1996">
        <f>-2.97*OPERAC[[#This Row],[cantidad]]+0.32*OPERAC[[#This Row],[cantidad]]+0.387*OPERAC[[#This Row],[cantidad]]</f>
        <v/>
      </c>
      <c r="I1996">
        <f>-H5389/G5389</f>
        <v/>
      </c>
      <c r="J1996" s="16" t="n">
        <v>44573</v>
      </c>
      <c r="K1996" t="n">
        <v>800</v>
      </c>
      <c r="L1996" t="n">
        <v>164.161</v>
      </c>
    </row>
    <row r="1997">
      <c r="A1997" t="n">
        <v>7914</v>
      </c>
      <c r="B1997" s="16" t="n">
        <v>44489</v>
      </c>
      <c r="C1997" t="inlineStr">
        <is>
          <t>CPR</t>
        </is>
      </c>
      <c r="D1997" t="n">
        <v>43</v>
      </c>
      <c r="E1997">
        <f>IF(D4707&gt;0,VLOOKUP(OPERAC[[#This Row],[COD CART]],[1]!MatrizCortoLargoCyl[#All],3,0),"")</f>
        <v/>
      </c>
      <c r="F1997" t="inlineStr">
        <is>
          <t>SESN/CYL-PUT/1,00/19-01-24</t>
        </is>
      </c>
      <c r="G1997" t="n">
        <v>7000</v>
      </c>
      <c r="H1997">
        <f>-0.1885*OPERAC[[#This Row],[cantidad]]</f>
        <v/>
      </c>
      <c r="I1997">
        <f>-H4707/G4707</f>
        <v/>
      </c>
      <c r="J1997" s="16" t="n">
        <v>44573</v>
      </c>
      <c r="K1997" t="n">
        <v>7000</v>
      </c>
      <c r="L1997" t="n">
        <v>2168.33</v>
      </c>
    </row>
    <row r="1998">
      <c r="A1998" t="n">
        <v>7914</v>
      </c>
      <c r="B1998" s="16" t="n">
        <v>44495</v>
      </c>
      <c r="C1998" t="inlineStr">
        <is>
          <t>VTA</t>
        </is>
      </c>
      <c r="D1998" t="n">
        <v>39</v>
      </c>
      <c r="E1998">
        <f>IF(D512&gt;0,VLOOKUP(OPERAC[[#This Row],[COD CART]],[1]!MatrizCortoLargoCyl[#All],3,0),"")</f>
        <v/>
      </c>
      <c r="F1998" t="inlineStr">
        <is>
          <t>TLRY/V/11,00/21-01-22</t>
        </is>
      </c>
      <c r="G1998" t="n">
        <v>-500</v>
      </c>
      <c r="H1998" t="n">
        <v>863.1</v>
      </c>
      <c r="I1998">
        <f>-H512/G512</f>
        <v/>
      </c>
      <c r="J1998" s="16" t="n">
        <v>44571</v>
      </c>
      <c r="K1998">
        <f>+OPERAC[[#This Row],[cantidad]]</f>
        <v/>
      </c>
      <c r="L1998">
        <f>-OPERAC[[#This Row],[importe]]</f>
        <v/>
      </c>
    </row>
    <row r="1999">
      <c r="A1999" t="n">
        <v>7914</v>
      </c>
      <c r="B1999" s="16" t="n">
        <v>44539</v>
      </c>
      <c r="C1999" t="inlineStr">
        <is>
          <t>CPR</t>
        </is>
      </c>
      <c r="D1999" t="n">
        <v>40</v>
      </c>
      <c r="E1999">
        <f>IF(D5721&gt;0,VLOOKUP(OPERAC[[#This Row],[COD CART]],[1]!MatrizCortoLargoCyl[#All],3,0),"")</f>
        <v/>
      </c>
      <c r="F1999" t="inlineStr">
        <is>
          <t>ROKU</t>
        </is>
      </c>
      <c r="G1999" t="n">
        <v>10</v>
      </c>
      <c r="H1999" t="n">
        <v>-2577.2036</v>
      </c>
      <c r="I1999">
        <f>-H5721/G5721</f>
        <v/>
      </c>
      <c r="J1999" s="16" t="n">
        <v>44573</v>
      </c>
      <c r="K1999" t="n">
        <v>10</v>
      </c>
      <c r="L1999" t="n">
        <v>1865.24</v>
      </c>
    </row>
    <row r="2000">
      <c r="A2000" t="n">
        <v>7914</v>
      </c>
      <c r="B2000" s="16" t="n">
        <v>44543</v>
      </c>
      <c r="C2000" t="inlineStr">
        <is>
          <t>CPR</t>
        </is>
      </c>
      <c r="D2000" t="n">
        <v>32</v>
      </c>
      <c r="E2000">
        <f>IF(D4110&gt;0,VLOOKUP(OPERAC[[#This Row],[COD CART]],[1]!MatrizCortoLargoCyl[#All],3,0),"")</f>
        <v/>
      </c>
      <c r="F2000" t="inlineStr">
        <is>
          <t>EDU/CYL/2,50/21-01-22</t>
        </is>
      </c>
      <c r="G2000" t="n">
        <v>400</v>
      </c>
      <c r="H2000">
        <f>-2.53*OPERAC[[#This Row],[cantidad]]+60.798</f>
        <v/>
      </c>
      <c r="I2000">
        <f>-H4110/G4110</f>
        <v/>
      </c>
      <c r="J2000" s="16" t="n">
        <v>44573</v>
      </c>
      <c r="K2000" t="n">
        <v>400</v>
      </c>
      <c r="L2000" t="n">
        <v>756.514</v>
      </c>
    </row>
    <row r="2001">
      <c r="A2001" t="n">
        <v>7914</v>
      </c>
      <c r="B2001" s="16" t="n">
        <v>44543</v>
      </c>
      <c r="C2001" t="inlineStr">
        <is>
          <t>VTA</t>
        </is>
      </c>
      <c r="D2001" t="n">
        <v>40</v>
      </c>
      <c r="E2001">
        <f>IF(D2948&gt;0,VLOOKUP(OPERAC[[#This Row],[COD CART]],[1]!MatrizCortoLargoCyl[#All],3,0),"")</f>
        <v/>
      </c>
      <c r="F2001" t="inlineStr">
        <is>
          <t>VIST</t>
        </is>
      </c>
      <c r="G2001" t="n">
        <v>100</v>
      </c>
      <c r="H2001" t="n">
        <v>-559.9400000000001</v>
      </c>
      <c r="I2001">
        <f>-H2948/G2948</f>
        <v/>
      </c>
      <c r="J2001" s="16" t="n">
        <v>44573</v>
      </c>
      <c r="K2001" t="n">
        <v>100</v>
      </c>
      <c r="L2001" t="n">
        <v>596.164</v>
      </c>
    </row>
    <row r="2002">
      <c r="A2002" t="n">
        <v>7914</v>
      </c>
      <c r="B2002" s="16" t="n">
        <v>44547</v>
      </c>
      <c r="C2002" t="inlineStr">
        <is>
          <t>VTA</t>
        </is>
      </c>
      <c r="D2002" t="n">
        <v>32</v>
      </c>
      <c r="E2002">
        <f>IF(D5319&gt;0,VLOOKUP(OPERAC[[#This Row],[COD CART]],[1]!MatrizCortoLargoCyl[#All],3,0),"")</f>
        <v/>
      </c>
      <c r="F2002" t="inlineStr">
        <is>
          <t>ARLO/CYL/9,00/21-01-22</t>
        </is>
      </c>
      <c r="G2002" t="n">
        <v>200</v>
      </c>
      <c r="H2002" t="n">
        <v>-1733.48</v>
      </c>
      <c r="I2002">
        <f>-H5319/G5319</f>
        <v/>
      </c>
      <c r="J2002" s="16" t="n">
        <v>44573</v>
      </c>
      <c r="K2002" t="n">
        <v>200</v>
      </c>
      <c r="L2002" t="n">
        <v>1769.83</v>
      </c>
    </row>
    <row r="2003">
      <c r="A2003" t="n">
        <v>7914</v>
      </c>
      <c r="B2003" s="16" t="n">
        <v>44547</v>
      </c>
      <c r="C2003" t="inlineStr">
        <is>
          <t>VTA</t>
        </is>
      </c>
      <c r="D2003" t="n">
        <v>32</v>
      </c>
      <c r="E2003">
        <f>IF(D5605&gt;0,VLOOKUP(OPERAC[[#This Row],[COD CART]],[1]!MatrizCortoLargoCyl[#All],3,0),"")</f>
        <v/>
      </c>
      <c r="F2003" t="inlineStr">
        <is>
          <t>HIMX/CYL/12,00/21-01-22</t>
        </is>
      </c>
      <c r="G2003" t="n">
        <v>200</v>
      </c>
      <c r="H2003" t="n">
        <v>-2219.0608</v>
      </c>
      <c r="I2003">
        <f>-H5605/G5605</f>
        <v/>
      </c>
      <c r="J2003" s="16" t="n">
        <v>44575</v>
      </c>
      <c r="K2003" t="n">
        <v>200</v>
      </c>
      <c r="L2003" t="n">
        <v>2341.236</v>
      </c>
    </row>
    <row r="2004">
      <c r="A2004" t="n">
        <v>7914</v>
      </c>
      <c r="B2004" s="16" t="n">
        <v>44550</v>
      </c>
      <c r="C2004" t="inlineStr">
        <is>
          <t>CPR</t>
        </is>
      </c>
      <c r="D2004" t="n">
        <v>40</v>
      </c>
      <c r="E2004">
        <f>IF(D4872&gt;0,VLOOKUP(OPERAC[[#This Row],[COD CART]],[1]!MatrizCortoLargoCyl[#All],3,0),"")</f>
        <v/>
      </c>
      <c r="F2004" t="inlineStr">
        <is>
          <t>SMH</t>
        </is>
      </c>
      <c r="G2004" t="n">
        <v>5</v>
      </c>
      <c r="H2004" t="n">
        <v>-1459.65815</v>
      </c>
      <c r="I2004">
        <f>-H4872/G4872</f>
        <v/>
      </c>
      <c r="J2004" s="16" t="n">
        <v>44573</v>
      </c>
      <c r="K2004" t="n">
        <v>5</v>
      </c>
      <c r="L2004" t="n">
        <v>1518.436</v>
      </c>
    </row>
    <row r="2005">
      <c r="A2005" t="n">
        <v>7914</v>
      </c>
      <c r="B2005" s="16" t="n">
        <v>44551</v>
      </c>
      <c r="C2005" t="inlineStr">
        <is>
          <t>CPR</t>
        </is>
      </c>
      <c r="D2005" t="n">
        <v>40</v>
      </c>
      <c r="E2005">
        <f>IF(D5922&gt;0,VLOOKUP(OPERAC[[#This Row],[COD CART]],[1]!MatrizCortoLargoCyl[#All],3,0),"")</f>
        <v/>
      </c>
      <c r="F2005" t="inlineStr">
        <is>
          <t>EDIT</t>
        </is>
      </c>
      <c r="G2005" t="n">
        <v>100</v>
      </c>
      <c r="H2005" t="n">
        <v>-3042.62</v>
      </c>
      <c r="I2005">
        <f>-H5922/G5922</f>
        <v/>
      </c>
      <c r="J2005" s="16" t="n">
        <v>44573</v>
      </c>
      <c r="K2005" t="n">
        <v>100</v>
      </c>
      <c r="L2005" t="n">
        <v>2567.258</v>
      </c>
    </row>
    <row r="2006">
      <c r="A2006" t="n">
        <v>7914</v>
      </c>
      <c r="B2006" s="16" t="n">
        <v>44552</v>
      </c>
      <c r="C2006" t="inlineStr">
        <is>
          <t>CPR</t>
        </is>
      </c>
      <c r="D2006" t="n">
        <v>32</v>
      </c>
      <c r="E2006">
        <f>IF(D4124&gt;0,VLOOKUP(OPERAC[[#This Row],[COD CART]],[1]!MatrizCortoLargoCyl[#All],3,0),"")</f>
        <v/>
      </c>
      <c r="F2006" t="inlineStr">
        <is>
          <t>TNK/CYL/10,00/18-02-22</t>
        </is>
      </c>
      <c r="G2006" t="n">
        <v>100</v>
      </c>
      <c r="H2006" t="n">
        <v>-960.434</v>
      </c>
      <c r="I2006">
        <f>-H4124/G4124</f>
        <v/>
      </c>
      <c r="J2006" s="16" t="n">
        <v>44573</v>
      </c>
      <c r="K2006" t="n">
        <v>100</v>
      </c>
      <c r="L2006" t="n">
        <v>960.35</v>
      </c>
    </row>
    <row r="2007">
      <c r="A2007" t="n">
        <v>7914</v>
      </c>
      <c r="B2007" s="16" t="n">
        <v>44552</v>
      </c>
      <c r="C2007" t="inlineStr">
        <is>
          <t>CPR</t>
        </is>
      </c>
      <c r="D2007" t="n">
        <v>32</v>
      </c>
      <c r="E2007">
        <f>IF(D4444&gt;0,VLOOKUP(OPERAC[[#This Row],[COD CART]],[1]!MatrizCortoLargoCyl[#All],3,0),"")</f>
        <v/>
      </c>
      <c r="F2007" t="inlineStr">
        <is>
          <t>HMY/CYL/4,00/21-01-22</t>
        </is>
      </c>
      <c r="G2007" t="n">
        <v>300</v>
      </c>
      <c r="H2007">
        <f>-3.8*OPERAC[[#This Row],[cantidad]]</f>
        <v/>
      </c>
      <c r="I2007">
        <f>-H4444/G4444</f>
        <v/>
      </c>
      <c r="J2007" s="16" t="n">
        <v>44580</v>
      </c>
      <c r="K2007" t="n">
        <v>300</v>
      </c>
      <c r="L2007" t="n">
        <v>1181.78</v>
      </c>
    </row>
    <row r="2008">
      <c r="A2008" t="n">
        <v>7914</v>
      </c>
      <c r="B2008" s="16" t="n">
        <v>44552</v>
      </c>
      <c r="C2008" t="inlineStr">
        <is>
          <t>CPR</t>
        </is>
      </c>
      <c r="D2008" t="n">
        <v>32</v>
      </c>
      <c r="E2008">
        <f>IF(D6052&gt;0,VLOOKUP(OPERAC[[#This Row],[COD CART]],[1]!MatrizCortoLargoCyl[#All],3,0),"")</f>
        <v/>
      </c>
      <c r="F2008" t="inlineStr">
        <is>
          <t>GOLD/CYL/19,00/21-01-22</t>
        </is>
      </c>
      <c r="G2008" t="n">
        <v>200</v>
      </c>
      <c r="H2008">
        <f>-18.08*OPERAC[[#This Row],[cantidad]]</f>
        <v/>
      </c>
      <c r="I2008">
        <f>-H6052/G6052</f>
        <v/>
      </c>
      <c r="J2008" s="16" t="n">
        <v>44580</v>
      </c>
      <c r="K2008" t="n">
        <v>200</v>
      </c>
      <c r="L2008" t="n">
        <v>3753.69</v>
      </c>
    </row>
    <row r="2009">
      <c r="A2009" t="n">
        <v>7914</v>
      </c>
      <c r="B2009" s="16" t="n">
        <v>44552</v>
      </c>
      <c r="C2009" t="inlineStr">
        <is>
          <t>VTA</t>
        </is>
      </c>
      <c r="D2009" t="n">
        <v>40</v>
      </c>
      <c r="E2009">
        <f>IF(D5442&gt;0,VLOOKUP(OPERAC[[#This Row],[COD CART]],[1]!MatrizCortoLargoCyl[#All],3,0),"")</f>
        <v/>
      </c>
      <c r="F2009" t="inlineStr">
        <is>
          <t>MX</t>
        </is>
      </c>
      <c r="G2009" t="n">
        <v>100</v>
      </c>
      <c r="H2009" t="n">
        <v>-1879.692</v>
      </c>
      <c r="I2009">
        <f>-H5442/G5442</f>
        <v/>
      </c>
      <c r="J2009" s="16" t="n">
        <v>44585</v>
      </c>
      <c r="K2009" t="n">
        <v>100</v>
      </c>
      <c r="L2009" t="n">
        <v>1679.428</v>
      </c>
    </row>
    <row r="2010">
      <c r="A2010" t="n">
        <v>7914</v>
      </c>
      <c r="B2010" s="16" t="n">
        <v>44552</v>
      </c>
      <c r="C2010" t="inlineStr">
        <is>
          <t>VTA</t>
        </is>
      </c>
      <c r="D2010" t="n">
        <v>40</v>
      </c>
      <c r="E2010">
        <f>IF(D5453&gt;0,VLOOKUP(OPERAC[[#This Row],[COD CART]],[1]!MatrizCortoLargoCyl[#All],3,0),"")</f>
        <v/>
      </c>
      <c r="F2010" t="inlineStr">
        <is>
          <t>DESP</t>
        </is>
      </c>
      <c r="G2010" t="n">
        <v>200</v>
      </c>
      <c r="H2010" t="n">
        <v>-1885.544</v>
      </c>
      <c r="I2010">
        <f>-H5453/G5453</f>
        <v/>
      </c>
      <c r="J2010" s="16" t="n">
        <v>44585</v>
      </c>
      <c r="K2010" t="n">
        <v>200</v>
      </c>
      <c r="L2010" t="n">
        <v>1824.24</v>
      </c>
    </row>
    <row r="2011">
      <c r="A2011" t="n">
        <v>7914</v>
      </c>
      <c r="B2011" s="16" t="n">
        <v>44558</v>
      </c>
      <c r="C2011" t="inlineStr">
        <is>
          <t>CPR</t>
        </is>
      </c>
      <c r="D2011" t="n">
        <v>40</v>
      </c>
      <c r="E2011">
        <f>IF(D3448&gt;0,VLOOKUP(OPERAC[[#This Row],[COD CART]],[1]!MatrizCortoLargoCyl[#All],3,0),"")</f>
        <v/>
      </c>
      <c r="F2011" t="inlineStr">
        <is>
          <t>UPST</t>
        </is>
      </c>
      <c r="G2011" t="n">
        <v>5</v>
      </c>
      <c r="H2011" t="n">
        <v>-753.001</v>
      </c>
      <c r="I2011">
        <f>-H3448/G3448</f>
        <v/>
      </c>
      <c r="J2011" s="16" t="n">
        <v>44573</v>
      </c>
      <c r="K2011" t="n">
        <v>5</v>
      </c>
      <c r="L2011" t="n">
        <v>625.051</v>
      </c>
    </row>
    <row r="2012">
      <c r="A2012" t="n">
        <v>7914</v>
      </c>
      <c r="B2012" s="16" t="n">
        <v>44571</v>
      </c>
      <c r="C2012" t="inlineStr">
        <is>
          <t>VTA</t>
        </is>
      </c>
      <c r="D2012" t="n">
        <v>39</v>
      </c>
      <c r="E2012">
        <f>IF(D40&gt;0,VLOOKUP(OPERAC[[#This Row],[COD CART]],[1]!MatrizCortoLargoCyl[#All],3,0),"")</f>
        <v/>
      </c>
      <c r="F2012" t="inlineStr">
        <is>
          <t>TSLA/V/870,00/21-01-22</t>
        </is>
      </c>
      <c r="G2012" t="n">
        <v>-1000</v>
      </c>
      <c r="H2012" t="n">
        <v>5750.937000000001</v>
      </c>
      <c r="I2012">
        <f>-H40/G40</f>
        <v/>
      </c>
      <c r="J2012" s="16" t="n">
        <v>44574</v>
      </c>
      <c r="K2012" t="n">
        <v>-1000</v>
      </c>
      <c r="L2012" t="n">
        <v>-1665.813</v>
      </c>
    </row>
    <row r="2013">
      <c r="A2013" t="n">
        <v>7914</v>
      </c>
      <c r="B2013" s="16" t="n">
        <v>44573</v>
      </c>
      <c r="C2013" t="inlineStr">
        <is>
          <t>VTA</t>
        </is>
      </c>
      <c r="D2013" t="n">
        <v>39</v>
      </c>
      <c r="E2013">
        <f>IF(D215&gt;0,VLOOKUP(OPERAC[[#This Row],[COD CART]],[1]!MatrizCortoLargoCyl[#All],3,0),"")</f>
        <v/>
      </c>
      <c r="F2013" t="inlineStr">
        <is>
          <t>TSLA/C/1200,00/14-01-22</t>
        </is>
      </c>
      <c r="G2013" t="n">
        <v>-2000</v>
      </c>
      <c r="H2013" t="n">
        <v>2067.248</v>
      </c>
      <c r="I2013">
        <f>-H215/G215</f>
        <v/>
      </c>
      <c r="J2013" s="16" t="n">
        <v>44575</v>
      </c>
      <c r="K2013" t="n">
        <v>-2000</v>
      </c>
      <c r="L2013" t="n">
        <v>0</v>
      </c>
    </row>
    <row r="2014">
      <c r="A2014" t="n">
        <v>7914</v>
      </c>
      <c r="B2014" s="16" t="n">
        <v>44573</v>
      </c>
      <c r="C2014" t="inlineStr">
        <is>
          <t>VTA</t>
        </is>
      </c>
      <c r="D2014" t="n">
        <v>39</v>
      </c>
      <c r="E2014">
        <f>IF(D254&gt;0,VLOOKUP(OPERAC[[#This Row],[COD CART]],[1]!MatrizCortoLargoCyl[#All],3,0),"")</f>
        <v/>
      </c>
      <c r="F2014" t="inlineStr">
        <is>
          <t>TSLA/V/970,00/14-01-22</t>
        </is>
      </c>
      <c r="G2014" t="n">
        <v>-2000</v>
      </c>
      <c r="H2014" t="n">
        <v>1771.72</v>
      </c>
      <c r="I2014">
        <f>-H254/G254</f>
        <v/>
      </c>
      <c r="J2014" s="16" t="n">
        <v>44575</v>
      </c>
      <c r="K2014" t="n">
        <v>-2000</v>
      </c>
      <c r="L2014" t="n">
        <v>-1017.96</v>
      </c>
    </row>
    <row r="2015">
      <c r="A2015" t="n">
        <v>7914</v>
      </c>
      <c r="B2015" s="16" t="n">
        <v>44574</v>
      </c>
      <c r="C2015" t="inlineStr">
        <is>
          <t>VTA</t>
        </is>
      </c>
      <c r="D2015" t="n">
        <v>39</v>
      </c>
      <c r="E2015">
        <f>IF(D285&gt;0,VLOOKUP(OPERAC[[#This Row],[COD CART]],[1]!MatrizCortoLargoCyl[#All],3,0),"")</f>
        <v/>
      </c>
      <c r="F2015" t="inlineStr">
        <is>
          <t>TSLA/V/900,00/21-01-22</t>
        </is>
      </c>
      <c r="G2015" t="n">
        <v>-600</v>
      </c>
      <c r="H2015" t="n">
        <v>1605.4512</v>
      </c>
      <c r="I2015">
        <f>-H285/G285</f>
        <v/>
      </c>
      <c r="J2015" s="16" t="n">
        <v>44582</v>
      </c>
      <c r="K2015">
        <f>+OPERAC[[#This Row],[cantidad]]</f>
        <v/>
      </c>
      <c r="L2015" t="n">
        <v>0</v>
      </c>
    </row>
    <row r="2016">
      <c r="A2016" t="n">
        <v>7914</v>
      </c>
      <c r="B2016" s="16" t="n">
        <v>44579</v>
      </c>
      <c r="C2016" t="inlineStr">
        <is>
          <t>VTA</t>
        </is>
      </c>
      <c r="D2016" t="n">
        <v>39</v>
      </c>
      <c r="E2016">
        <f>IF(D105&gt;0,VLOOKUP(OPERAC[[#This Row],[COD CART]],[1]!MatrizCortoLargoCyl[#All],3,0),"")</f>
        <v/>
      </c>
      <c r="F2016" t="inlineStr">
        <is>
          <t>ROKU/V/150,00/21-01-22</t>
        </is>
      </c>
      <c r="G2016" t="n">
        <v>-2000</v>
      </c>
      <c r="H2016" t="n">
        <v>3364.91</v>
      </c>
      <c r="I2016">
        <f>-H105/G105</f>
        <v/>
      </c>
      <c r="J2016" s="16" t="n">
        <v>44582</v>
      </c>
      <c r="K2016" t="n">
        <v>-2000</v>
      </c>
      <c r="L2016" t="n">
        <v>-841.23</v>
      </c>
    </row>
    <row r="2017">
      <c r="A2017" t="n">
        <v>7914</v>
      </c>
      <c r="B2017" s="16" t="n">
        <v>44579</v>
      </c>
      <c r="C2017" t="inlineStr">
        <is>
          <t>VTA</t>
        </is>
      </c>
      <c r="D2017" t="n">
        <v>39</v>
      </c>
      <c r="E2017">
        <f>IF(D275&gt;0,VLOOKUP(OPERAC[[#This Row],[COD CART]],[1]!MatrizCortoLargoCyl[#All],3,0),"")</f>
        <v/>
      </c>
      <c r="F2017" t="inlineStr">
        <is>
          <t>TSLA/V/865,00/21-01-22</t>
        </is>
      </c>
      <c r="G2017" t="n">
        <v>-1600</v>
      </c>
      <c r="H2017" t="n">
        <v>1662.336</v>
      </c>
      <c r="I2017">
        <f>-H275/G275</f>
        <v/>
      </c>
      <c r="J2017" s="16" t="n">
        <v>44582</v>
      </c>
      <c r="K2017" t="n">
        <v>-1600</v>
      </c>
      <c r="L2017" t="n">
        <v>0</v>
      </c>
    </row>
    <row r="2018">
      <c r="A2018" t="n">
        <v>7914</v>
      </c>
      <c r="B2018" s="16" t="n">
        <v>44579</v>
      </c>
      <c r="C2018" t="inlineStr">
        <is>
          <t>VTA</t>
        </is>
      </c>
      <c r="D2018" t="n">
        <v>39</v>
      </c>
      <c r="E2018">
        <f>IF(D276&gt;0,VLOOKUP(OPERAC[[#This Row],[COD CART]],[1]!MatrizCortoLargoCyl[#All],3,0),"")</f>
        <v/>
      </c>
      <c r="F2018" t="inlineStr">
        <is>
          <t>TSLA/C/1215,00/21-01-22</t>
        </is>
      </c>
      <c r="G2018" t="n">
        <v>-1600</v>
      </c>
      <c r="H2018" t="n">
        <v>1655.616</v>
      </c>
      <c r="I2018">
        <f>-H276/G276</f>
        <v/>
      </c>
      <c r="J2018" s="16" t="n">
        <v>44582</v>
      </c>
      <c r="K2018" t="n">
        <v>-1600</v>
      </c>
      <c r="L2018" t="n">
        <v>0</v>
      </c>
    </row>
    <row r="2019">
      <c r="A2019" t="n">
        <v>7914</v>
      </c>
      <c r="B2019" s="16" t="n">
        <v>44582</v>
      </c>
      <c r="C2019" t="inlineStr">
        <is>
          <t>VTA</t>
        </is>
      </c>
      <c r="D2019" t="n">
        <v>39</v>
      </c>
      <c r="E2019">
        <f>IF(D95&gt;0,VLOOKUP(OPERAC[[#This Row],[COD CART]],[1]!MatrizCortoLargoCyl[#All],3,0),"")</f>
        <v/>
      </c>
      <c r="F2019" t="inlineStr">
        <is>
          <t>ROKU/V/150,00/28-01-22</t>
        </is>
      </c>
      <c r="G2019" t="n">
        <v>-1000</v>
      </c>
      <c r="H2019" t="n">
        <v>3666.445</v>
      </c>
      <c r="I2019">
        <f>-H95/G95</f>
        <v/>
      </c>
      <c r="J2019" s="16" t="n">
        <v>44588</v>
      </c>
      <c r="K2019" t="n">
        <v>-1000</v>
      </c>
      <c r="L2019">
        <f>-OPERAC[[#This Row],[importe]]</f>
        <v/>
      </c>
    </row>
    <row r="2020">
      <c r="A2020" t="n">
        <v>7914</v>
      </c>
      <c r="B2020" s="16" t="n">
        <v>44588</v>
      </c>
      <c r="C2020" t="inlineStr">
        <is>
          <t>VTA</t>
        </is>
      </c>
      <c r="D2020" t="n">
        <v>39</v>
      </c>
      <c r="E2020">
        <f>IF(D60&gt;0,VLOOKUP(OPERAC[[#This Row],[COD CART]],[1]!MatrizCortoLargoCyl[#All],3,0),"")</f>
        <v/>
      </c>
      <c r="F2020" t="inlineStr">
        <is>
          <t>ROKU/V/150,00/04-02-22</t>
        </is>
      </c>
      <c r="G2020" t="n">
        <v>-500</v>
      </c>
      <c r="H2020" t="n">
        <v>4749.6875</v>
      </c>
      <c r="I2020">
        <f>-H60/G60</f>
        <v/>
      </c>
      <c r="J2020" s="16" t="n">
        <v>44595</v>
      </c>
      <c r="K2020" t="n">
        <v>-500</v>
      </c>
      <c r="L2020" t="n">
        <v>-2925.205</v>
      </c>
    </row>
    <row r="2021">
      <c r="A2021" t="n">
        <v>7914</v>
      </c>
      <c r="B2021" s="16" t="n">
        <v>44592</v>
      </c>
      <c r="C2021" t="inlineStr">
        <is>
          <t>VTA</t>
        </is>
      </c>
      <c r="D2021" t="n">
        <v>39</v>
      </c>
      <c r="E2021">
        <f>IF(D463&gt;0,VLOOKUP(OPERAC[[#This Row],[COD CART]],[1]!MatrizCortoLargoCyl[#All],3,0),"")</f>
        <v/>
      </c>
      <c r="F2021" t="inlineStr">
        <is>
          <t>MELI/C/1280,00/04-02-22</t>
        </is>
      </c>
      <c r="G2021" t="n">
        <v>-1000</v>
      </c>
      <c r="H2021" t="n">
        <v>992</v>
      </c>
      <c r="I2021">
        <f>-H463/G463</f>
        <v/>
      </c>
      <c r="J2021" s="16" t="n">
        <v>44596</v>
      </c>
      <c r="K2021" t="n">
        <v>-1000</v>
      </c>
      <c r="L2021" t="n">
        <v>0</v>
      </c>
    </row>
    <row r="2022">
      <c r="A2022" t="n">
        <v>7914</v>
      </c>
      <c r="B2022" s="16" t="n">
        <v>44592</v>
      </c>
      <c r="C2022" t="inlineStr">
        <is>
          <t>VTA</t>
        </is>
      </c>
      <c r="D2022" t="n">
        <v>39</v>
      </c>
      <c r="E2022">
        <f>IF(D468&gt;0,VLOOKUP(OPERAC[[#This Row],[COD CART]],[1]!MatrizCortoLargoCyl[#All],3,0),"")</f>
        <v/>
      </c>
      <c r="F2022" t="inlineStr">
        <is>
          <t>TSLA/C/1080,00/04-02-22</t>
        </is>
      </c>
      <c r="G2022" t="n">
        <v>-1000</v>
      </c>
      <c r="H2022" t="n">
        <v>989.36</v>
      </c>
      <c r="I2022">
        <f>-H468/G468</f>
        <v/>
      </c>
      <c r="J2022" s="16" t="n">
        <v>44596</v>
      </c>
      <c r="K2022" t="n">
        <v>-1000</v>
      </c>
      <c r="L2022" t="n">
        <v>0</v>
      </c>
    </row>
    <row r="2023">
      <c r="A2023" t="n">
        <v>7914</v>
      </c>
      <c r="B2023" s="16" t="n">
        <v>44593</v>
      </c>
      <c r="C2023" t="inlineStr">
        <is>
          <t>VTA</t>
        </is>
      </c>
      <c r="D2023" t="n">
        <v>39</v>
      </c>
      <c r="E2023">
        <f>IF(D208&gt;0,VLOOKUP(OPERAC[[#This Row],[COD CART]],[1]!MatrizCortoLargoCyl[#All],3,0),"")</f>
        <v/>
      </c>
      <c r="F2023" t="inlineStr">
        <is>
          <t>ADBE/V/500,00/04-02-22</t>
        </is>
      </c>
      <c r="G2023" t="n">
        <v>-2000</v>
      </c>
      <c r="H2023" t="n">
        <v>2095.16</v>
      </c>
      <c r="I2023">
        <f>-H208/G208</f>
        <v/>
      </c>
      <c r="J2023" s="16" t="n">
        <v>44596</v>
      </c>
      <c r="K2023" t="n">
        <v>-2000</v>
      </c>
      <c r="L2023" t="n">
        <v>0</v>
      </c>
    </row>
    <row r="2024">
      <c r="A2024" t="n">
        <v>7914</v>
      </c>
      <c r="B2024" s="16" t="n">
        <v>44595</v>
      </c>
      <c r="C2024" t="inlineStr">
        <is>
          <t>VTA</t>
        </is>
      </c>
      <c r="D2024" t="n">
        <v>39</v>
      </c>
      <c r="E2024">
        <f>IF(D139&gt;0,VLOOKUP(OPERAC[[#This Row],[COD CART]],[1]!MatrizCortoLargoCyl[#All],3,0),"")</f>
        <v/>
      </c>
      <c r="F2024" t="inlineStr">
        <is>
          <t>ROKU/V/145,00/11-02-22</t>
        </is>
      </c>
      <c r="G2024" t="n">
        <v>-400</v>
      </c>
      <c r="H2024" t="n">
        <v>2974.372</v>
      </c>
      <c r="I2024">
        <f>-H139/G139</f>
        <v/>
      </c>
      <c r="J2024" s="16" t="n">
        <v>44596</v>
      </c>
      <c r="K2024" t="n">
        <v>-400</v>
      </c>
      <c r="L2024" t="n">
        <v>-1775.68</v>
      </c>
    </row>
    <row r="2025">
      <c r="A2025" t="n">
        <v>7916</v>
      </c>
      <c r="B2025" s="16" t="n">
        <v>44460</v>
      </c>
      <c r="C2025" t="inlineStr">
        <is>
          <t>CPR</t>
        </is>
      </c>
      <c r="D2025" t="n">
        <v>40</v>
      </c>
      <c r="E2025">
        <f>IF(D4290&gt;0,VLOOKUP(OPERAC[[#This Row],[COD CART]],[1]!MatrizCortoLargoCyl[#All],3,0),"")</f>
        <v/>
      </c>
      <c r="F2025" t="inlineStr">
        <is>
          <t>EDU</t>
        </is>
      </c>
      <c r="G2025" t="n">
        <v>1000</v>
      </c>
      <c r="H2025">
        <f>OPERAC[[#This Row],[cantidad]]*-1.084+0.04*OPERAC[[#This Row],[cantidad]]</f>
        <v/>
      </c>
      <c r="I2025">
        <f>-H4290/G4290</f>
        <v/>
      </c>
      <c r="J2025" s="16" t="n">
        <v>44615</v>
      </c>
      <c r="K2025" t="n">
        <v>1000</v>
      </c>
      <c r="L2025" t="n">
        <v>1494.767</v>
      </c>
    </row>
    <row r="2026">
      <c r="A2026" t="n">
        <v>7916</v>
      </c>
      <c r="B2026" s="16" t="n">
        <v>44466</v>
      </c>
      <c r="C2026" t="inlineStr">
        <is>
          <t>CPR</t>
        </is>
      </c>
      <c r="D2026" t="n">
        <v>43</v>
      </c>
      <c r="E2026">
        <f>IF(D4275&gt;0,VLOOKUP(OPERAC[[#This Row],[COD CART]],[1]!MatrizCortoLargoCyl[#All],3,0),"")</f>
        <v/>
      </c>
      <c r="F2026" t="inlineStr">
        <is>
          <t>SOLO/CYL-PUT/4,00/16-09-22</t>
        </is>
      </c>
      <c r="G2026" t="n">
        <v>500</v>
      </c>
      <c r="H2026">
        <f>-1487.08635+0.32*OPERAC[[#This Row],[cantidad]]+0.387*OPERAC[[#This Row],[cantidad]]+0.22*OPERAC[[#This Row],[cantidad]]</f>
        <v/>
      </c>
      <c r="I2026">
        <f>-H4275/G4275</f>
        <v/>
      </c>
    </row>
    <row r="2027">
      <c r="A2027" t="n">
        <v>7916</v>
      </c>
      <c r="B2027" s="16" t="n">
        <v>44469</v>
      </c>
      <c r="C2027" t="inlineStr">
        <is>
          <t>VTA</t>
        </is>
      </c>
      <c r="D2027" t="n">
        <v>39</v>
      </c>
      <c r="E2027">
        <f>IF(D805&gt;0,VLOOKUP(OPERAC[[#This Row],[COD CART]],[1]!MatrizCortoLargoCyl[#All],3,0),"")</f>
        <v/>
      </c>
      <c r="F2027" t="inlineStr">
        <is>
          <t>ACB/V/6,00/21-01-22</t>
        </is>
      </c>
      <c r="G2027" t="n">
        <v>-300</v>
      </c>
      <c r="H2027">
        <f>255.207-0.5*OPERAC[[#This Row],[cantidad]]+0.51*OPERAC[[#This Row],[cantidad]]</f>
        <v/>
      </c>
      <c r="I2027">
        <f>-H805/G805</f>
        <v/>
      </c>
      <c r="J2027" s="16" t="n">
        <v>44581</v>
      </c>
      <c r="K2027">
        <f>+OPERAC[[#This Row],[cantidad]]</f>
        <v/>
      </c>
      <c r="L2027">
        <f>-OPERAC[[#This Row],[importe]]</f>
        <v/>
      </c>
    </row>
    <row r="2028">
      <c r="A2028" t="n">
        <v>7916</v>
      </c>
      <c r="B2028" s="16" t="n">
        <v>44489</v>
      </c>
      <c r="C2028" t="inlineStr">
        <is>
          <t>VTA</t>
        </is>
      </c>
      <c r="D2028" t="n">
        <v>43</v>
      </c>
      <c r="E2028">
        <f>IF(D2982&gt;0,VLOOKUP(OPERAC[[#This Row],[COD CART]],[1]!MatrizCortoLargoCyl[#All],3,0),"")</f>
        <v/>
      </c>
      <c r="F2028" t="inlineStr">
        <is>
          <t>SESN/CYL-PUT/1,00/19-01-24</t>
        </is>
      </c>
      <c r="G2028" t="n">
        <v>3000</v>
      </c>
      <c r="H2028">
        <f>-0.1885*OPERAC[[#This Row],[cantidad]]</f>
        <v/>
      </c>
      <c r="I2028">
        <f>-H2982/G2982</f>
        <v/>
      </c>
    </row>
    <row r="2029">
      <c r="A2029" t="n">
        <v>7916</v>
      </c>
      <c r="B2029" s="16" t="n">
        <v>44511</v>
      </c>
      <c r="C2029" t="inlineStr">
        <is>
          <t>VTA</t>
        </is>
      </c>
      <c r="D2029" t="n">
        <v>31</v>
      </c>
      <c r="E2029">
        <f>IF(D1635&gt;0,VLOOKUP(OPERAC[[#This Row],[COD CART]],[1]!MatrizCortoLargoCyl[#All],3,0),"")</f>
        <v/>
      </c>
      <c r="F2029" t="inlineStr">
        <is>
          <t>IPIX</t>
        </is>
      </c>
      <c r="G2029" t="n">
        <v>2000</v>
      </c>
      <c r="H2029" t="n">
        <v>-219.98</v>
      </c>
      <c r="I2029">
        <f>-H1635/G1635</f>
        <v/>
      </c>
    </row>
    <row r="2030">
      <c r="A2030" t="n">
        <v>7916</v>
      </c>
      <c r="B2030" s="16" t="n">
        <v>44523</v>
      </c>
      <c r="C2030" t="inlineStr">
        <is>
          <t>CPR</t>
        </is>
      </c>
      <c r="D2030" t="n">
        <v>32</v>
      </c>
      <c r="E2030">
        <f>IF(D3681&gt;0,VLOOKUP(OPERAC[[#This Row],[COD CART]],[1]!MatrizCortoLargoCyl[#All],3,0),"")</f>
        <v/>
      </c>
      <c r="F2030" t="inlineStr">
        <is>
          <t>GMBL/CYL/5,00/18-02-22</t>
        </is>
      </c>
      <c r="G2030" t="n">
        <v>200</v>
      </c>
      <c r="H2030" t="n">
        <v>-823.862</v>
      </c>
      <c r="I2030">
        <f>-H3681/G3681</f>
        <v/>
      </c>
      <c r="J2030" s="16" t="n">
        <v>44589</v>
      </c>
      <c r="K2030" t="n">
        <v>200</v>
      </c>
      <c r="L2030" t="n">
        <v>524.731</v>
      </c>
    </row>
    <row r="2031">
      <c r="A2031" t="n">
        <v>7916</v>
      </c>
      <c r="B2031" s="16" t="n">
        <v>44523</v>
      </c>
      <c r="C2031" t="inlineStr">
        <is>
          <t>VTA</t>
        </is>
      </c>
      <c r="D2031" t="n">
        <v>32</v>
      </c>
      <c r="E2031">
        <f>IF(D3736&gt;0,VLOOKUP(OPERAC[[#This Row],[COD CART]],[1]!MatrizCortoLargoCyl[#All],3,0),"")</f>
        <v/>
      </c>
      <c r="F2031" t="inlineStr">
        <is>
          <t>TEVA/CYL/9,00/21-01-22</t>
        </is>
      </c>
      <c r="G2031" t="n">
        <v>100</v>
      </c>
      <c r="H2031">
        <f>-861.6332+18.874</f>
        <v/>
      </c>
      <c r="I2031">
        <f>-H3736/G3736</f>
        <v/>
      </c>
      <c r="J2031" s="16" t="n">
        <v>44575</v>
      </c>
      <c r="K2031" t="n">
        <v>100</v>
      </c>
      <c r="L2031" t="n">
        <v>878.913</v>
      </c>
    </row>
    <row r="2032">
      <c r="A2032" t="n">
        <v>7916</v>
      </c>
      <c r="B2032" s="16" t="n">
        <v>44532</v>
      </c>
      <c r="C2032" t="inlineStr">
        <is>
          <t>VTA</t>
        </is>
      </c>
      <c r="D2032" t="n">
        <v>32</v>
      </c>
      <c r="E2032">
        <f>IF(D5340&gt;0,VLOOKUP(OPERAC[[#This Row],[COD CART]],[1]!MatrizCortoLargoCyl[#All],3,0),"")</f>
        <v/>
      </c>
      <c r="F2032" t="inlineStr">
        <is>
          <t>COTY/CYL/10,00/18-02-22</t>
        </is>
      </c>
      <c r="G2032" t="n">
        <v>200</v>
      </c>
      <c r="H2032">
        <f>-1803.198+41.676</f>
        <v/>
      </c>
      <c r="I2032">
        <f>-H5340/G5340</f>
        <v/>
      </c>
      <c r="J2032" s="16" t="n">
        <v>44608</v>
      </c>
      <c r="K2032">
        <f>+OPERAC[[#This Row],[cantidad]]</f>
        <v/>
      </c>
      <c r="L2032" t="n">
        <v>1889.088</v>
      </c>
    </row>
    <row r="2033">
      <c r="A2033" t="n">
        <v>7916</v>
      </c>
      <c r="B2033" s="16" t="n">
        <v>44537</v>
      </c>
      <c r="C2033" t="inlineStr">
        <is>
          <t>VTA</t>
        </is>
      </c>
      <c r="D2033" t="n">
        <v>43</v>
      </c>
      <c r="E2033">
        <f>IF(D2811&gt;0,VLOOKUP(OPERAC[[#This Row],[COD CART]],[1]!MatrizCortoLargoCyl[#All],3,0),"")</f>
        <v/>
      </c>
      <c r="F2033" t="inlineStr">
        <is>
          <t>XSPA/CYL-PUT/1,50/20-01-23</t>
        </is>
      </c>
      <c r="G2033" t="n">
        <v>1000</v>
      </c>
      <c r="H2033">
        <f>-0.52*OPERAC[[#This Row],[cantidad]]</f>
        <v/>
      </c>
      <c r="I2033">
        <f>-H2811/G2811</f>
        <v/>
      </c>
    </row>
    <row r="2034">
      <c r="A2034" t="n">
        <v>7916</v>
      </c>
      <c r="B2034" s="16" t="n">
        <v>44539</v>
      </c>
      <c r="C2034" t="inlineStr">
        <is>
          <t>CPR</t>
        </is>
      </c>
      <c r="D2034" t="n">
        <v>40</v>
      </c>
      <c r="E2034">
        <f>IF(D4645&gt;0,VLOOKUP(OPERAC[[#This Row],[COD CART]],[1]!MatrizCortoLargoCyl[#All],3,0),"")</f>
        <v/>
      </c>
      <c r="F2034" t="inlineStr">
        <is>
          <t>ROKU</t>
        </is>
      </c>
      <c r="G2034" t="n">
        <v>5</v>
      </c>
      <c r="H2034" t="n">
        <v>-1288.6018</v>
      </c>
      <c r="I2034">
        <f>-H4645/G4645</f>
        <v/>
      </c>
      <c r="J2034" s="16" t="n">
        <v>44606</v>
      </c>
      <c r="K2034">
        <f>+OPERAC[[#This Row],[cantidad]]</f>
        <v/>
      </c>
      <c r="L2034">
        <f>+OPERAC[[#This Row],[cantidad venta]]*160.574</f>
        <v/>
      </c>
    </row>
    <row r="2035">
      <c r="A2035" t="n">
        <v>7916</v>
      </c>
      <c r="B2035" s="16" t="n">
        <v>44547</v>
      </c>
      <c r="C2035" t="inlineStr">
        <is>
          <t>VTA</t>
        </is>
      </c>
      <c r="D2035" t="n">
        <v>39</v>
      </c>
      <c r="E2035">
        <f>IF(D278&gt;0,VLOOKUP(OPERAC[[#This Row],[COD CART]],[1]!MatrizCortoLargoCyl[#All],3,0),"")</f>
        <v/>
      </c>
      <c r="F2035" t="inlineStr">
        <is>
          <t>INO/V/7,00/21-01-22</t>
        </is>
      </c>
      <c r="G2035" t="n">
        <v>-1800</v>
      </c>
      <c r="H2035" t="n">
        <v>1638.792</v>
      </c>
      <c r="I2035">
        <f>-H278/G278</f>
        <v/>
      </c>
      <c r="J2035" s="16" t="n">
        <v>44580</v>
      </c>
      <c r="K2035">
        <f>+OPERAC[[#This Row],[cantidad]]</f>
        <v/>
      </c>
      <c r="L2035">
        <f>-OPERAC[[#This Row],[importe]]</f>
        <v/>
      </c>
    </row>
    <row r="2036">
      <c r="A2036" t="n">
        <v>7916</v>
      </c>
      <c r="B2036" s="16" t="n">
        <v>44547</v>
      </c>
      <c r="C2036" t="inlineStr">
        <is>
          <t>VTA</t>
        </is>
      </c>
      <c r="D2036" t="n">
        <v>32</v>
      </c>
      <c r="E2036">
        <f>IF(D3785&gt;0,VLOOKUP(OPERAC[[#This Row],[COD CART]],[1]!MatrizCortoLargoCyl[#All],3,0),"")</f>
        <v/>
      </c>
      <c r="F2036" t="inlineStr">
        <is>
          <t>ARLO/CYL/9,00/18-02-22</t>
        </is>
      </c>
      <c r="G2036" t="n">
        <v>100</v>
      </c>
      <c r="H2036">
        <f>-866.74+14.88</f>
        <v/>
      </c>
      <c r="I2036">
        <f>-H3785/G3785</f>
        <v/>
      </c>
      <c r="J2036" s="16" t="n">
        <v>44607</v>
      </c>
      <c r="K2036" t="n">
        <v>100</v>
      </c>
      <c r="L2036" t="n">
        <v>875.33</v>
      </c>
    </row>
    <row r="2037">
      <c r="A2037" t="n">
        <v>7916</v>
      </c>
      <c r="B2037" s="16" t="n">
        <v>44553</v>
      </c>
      <c r="C2037" t="inlineStr">
        <is>
          <t>VTA</t>
        </is>
      </c>
      <c r="D2037" t="n">
        <v>40</v>
      </c>
      <c r="E2037">
        <f>IF(D3032&gt;0,VLOOKUP(OPERAC[[#This Row],[COD CART]],[1]!MatrizCortoLargoCyl[#All],3,0),"")</f>
        <v/>
      </c>
      <c r="F2037" t="inlineStr">
        <is>
          <t>ON</t>
        </is>
      </c>
      <c r="G2037" t="n">
        <v>9</v>
      </c>
      <c r="H2037" t="n">
        <v>-604.0224719999999</v>
      </c>
      <c r="I2037">
        <f>-H3032/G3032</f>
        <v/>
      </c>
      <c r="J2037" s="16" t="n">
        <v>44606</v>
      </c>
      <c r="K2037">
        <f>+OPERAC[[#This Row],[cantidad]]</f>
        <v/>
      </c>
      <c r="L2037">
        <f>+OPERAC[[#This Row],[cantidad venta]]*58.449</f>
        <v/>
      </c>
    </row>
    <row r="2038">
      <c r="A2038" t="n">
        <v>7916</v>
      </c>
      <c r="B2038" s="16" t="n">
        <v>44574</v>
      </c>
      <c r="C2038" t="inlineStr">
        <is>
          <t>CPR</t>
        </is>
      </c>
      <c r="D2038" t="n">
        <v>39</v>
      </c>
      <c r="E2038">
        <f>IF(D4144&gt;0,VLOOKUP(OPERAC[[#This Row],[COD CART]],[1]!MatrizCortoLargoCyl[#All],3,0),"")</f>
        <v/>
      </c>
      <c r="F2038" t="inlineStr">
        <is>
          <t>BABA/BULL/120,0-135,0/20-05-22</t>
        </is>
      </c>
      <c r="G2038" t="n">
        <v>100</v>
      </c>
      <c r="H2038" t="n">
        <v>-965.8</v>
      </c>
      <c r="I2038">
        <f>-H4144/G4144</f>
        <v/>
      </c>
      <c r="J2038" s="16" t="n">
        <v>44701</v>
      </c>
      <c r="K2038">
        <f>+OPERAC[[#This Row],[cantidad]]</f>
        <v/>
      </c>
      <c r="L2038" t="n">
        <v>0</v>
      </c>
    </row>
    <row r="2039">
      <c r="A2039" t="n">
        <v>7916</v>
      </c>
      <c r="B2039" s="16" t="n">
        <v>44575</v>
      </c>
      <c r="C2039" t="inlineStr">
        <is>
          <t>VTA</t>
        </is>
      </c>
      <c r="D2039" t="n">
        <v>40</v>
      </c>
      <c r="E2039">
        <f>IF(D1993&gt;0,VLOOKUP(OPERAC[[#This Row],[COD CART]],[1]!MatrizCortoLargoCyl[#All],3,0),"")</f>
        <v/>
      </c>
      <c r="F2039" t="inlineStr">
        <is>
          <t>GBTC</t>
        </is>
      </c>
      <c r="G2039" t="n">
        <v>10</v>
      </c>
      <c r="H2039" t="n">
        <v>-308.0948</v>
      </c>
      <c r="I2039">
        <f>-H1993/G1993</f>
        <v/>
      </c>
      <c r="J2039" s="16" t="n">
        <v>44651</v>
      </c>
      <c r="K2039">
        <f>+OPERAC[[#This Row],[cantidad]]</f>
        <v/>
      </c>
      <c r="L2039">
        <f>+OPERAC[[#This Row],[cantidad venta]]*31.332</f>
        <v/>
      </c>
    </row>
    <row r="2040">
      <c r="A2040" t="n">
        <v>7916</v>
      </c>
      <c r="B2040" s="16" t="n">
        <v>44580</v>
      </c>
      <c r="C2040" t="inlineStr">
        <is>
          <t>VTA</t>
        </is>
      </c>
      <c r="D2040" t="n">
        <v>39</v>
      </c>
      <c r="E2040">
        <f>IF(D54&gt;0,VLOOKUP(OPERAC[[#This Row],[COD CART]],[1]!MatrizCortoLargoCyl[#All],3,0),"")</f>
        <v/>
      </c>
      <c r="F2040" t="inlineStr">
        <is>
          <t>INO/V/7,00/18-02-22</t>
        </is>
      </c>
      <c r="G2040" t="n">
        <v>-1800</v>
      </c>
      <c r="H2040" t="n">
        <v>4987.17</v>
      </c>
      <c r="I2040">
        <f>-H54/G54</f>
        <v/>
      </c>
      <c r="J2040" s="16" t="n">
        <v>44600</v>
      </c>
      <c r="K2040" t="n">
        <v>-1800</v>
      </c>
      <c r="L2040" t="n">
        <v>-4987</v>
      </c>
    </row>
    <row r="2041">
      <c r="A2041" t="n">
        <v>7916</v>
      </c>
      <c r="B2041" s="16" t="n">
        <v>44581</v>
      </c>
      <c r="C2041" t="inlineStr">
        <is>
          <t>VTA</t>
        </is>
      </c>
      <c r="D2041" t="n">
        <v>39</v>
      </c>
      <c r="E2041">
        <f>IF(D751&gt;0,VLOOKUP(OPERAC[[#This Row],[COD CART]],[1]!MatrizCortoLargoCyl[#All],3,0),"")</f>
        <v/>
      </c>
      <c r="F2041" t="inlineStr">
        <is>
          <t>ACB/V/6,00/18-02-22</t>
        </is>
      </c>
      <c r="G2041" t="n">
        <v>-300</v>
      </c>
      <c r="H2041" t="n">
        <v>362.8545</v>
      </c>
      <c r="I2041">
        <f>-H751/G751</f>
        <v/>
      </c>
      <c r="J2041" s="16" t="n">
        <v>44601</v>
      </c>
      <c r="K2041" t="n">
        <v>-300</v>
      </c>
      <c r="L2041">
        <f>1.21*OPERAC[[#This Row],[cantidad venta]]</f>
        <v/>
      </c>
    </row>
    <row r="2042">
      <c r="A2042" t="n">
        <v>7916</v>
      </c>
      <c r="B2042" s="16" t="n">
        <v>44589</v>
      </c>
      <c r="C2042" t="inlineStr">
        <is>
          <t>VTA</t>
        </is>
      </c>
      <c r="D2042" t="n">
        <v>39</v>
      </c>
      <c r="E2042">
        <f>IF(D663&gt;0,VLOOKUP(OPERAC[[#This Row],[COD CART]],[1]!MatrizCortoLargoCyl[#All],3,0),"")</f>
        <v/>
      </c>
      <c r="F2042" t="inlineStr">
        <is>
          <t>TSLA/V/680,00/04-02-22</t>
        </is>
      </c>
      <c r="G2042" t="n">
        <v>-200</v>
      </c>
      <c r="H2042" t="n">
        <v>456.317355</v>
      </c>
      <c r="I2042">
        <f>-H663/G663</f>
        <v/>
      </c>
      <c r="J2042" s="16" t="n">
        <v>44596</v>
      </c>
      <c r="K2042">
        <f>+OPERAC[[#This Row],[cantidad]]</f>
        <v/>
      </c>
      <c r="L2042" t="n">
        <v>-4.032</v>
      </c>
    </row>
    <row r="2043">
      <c r="A2043" t="n">
        <v>7916</v>
      </c>
      <c r="B2043" s="16" t="n">
        <v>44594</v>
      </c>
      <c r="C2043" t="inlineStr">
        <is>
          <t>VTA</t>
        </is>
      </c>
      <c r="D2043" t="n">
        <v>40</v>
      </c>
      <c r="E2043">
        <f>IF(D5516&gt;0,VLOOKUP(OPERAC[[#This Row],[COD CART]],[1]!MatrizCortoLargoCyl[#All],3,0),"")</f>
        <v/>
      </c>
      <c r="F2043" t="inlineStr">
        <is>
          <t>EDU</t>
        </is>
      </c>
      <c r="G2043" t="n">
        <v>1000</v>
      </c>
      <c r="H2043" t="n">
        <v>-2016</v>
      </c>
      <c r="I2043">
        <f>-H5516/G5516</f>
        <v/>
      </c>
      <c r="J2043" s="16" t="n">
        <v>44599</v>
      </c>
      <c r="K2043" t="n">
        <v>1000</v>
      </c>
      <c r="L2043" t="n">
        <v>1540</v>
      </c>
    </row>
    <row r="2044">
      <c r="A2044" t="n">
        <v>7916</v>
      </c>
      <c r="B2044" s="16" t="n">
        <v>44600</v>
      </c>
      <c r="C2044" t="inlineStr">
        <is>
          <t>VTA</t>
        </is>
      </c>
      <c r="D2044" t="n">
        <v>39</v>
      </c>
      <c r="E2044">
        <f>IF(D1014&gt;0,VLOOKUP(OPERAC[[#This Row],[COD CART]],[1]!MatrizCortoLargoCyl[#All],3,0),"")</f>
        <v/>
      </c>
      <c r="F2044" t="inlineStr">
        <is>
          <t>DDD/V/17,00/20-01-23</t>
        </is>
      </c>
      <c r="G2044" t="n">
        <v>-16</v>
      </c>
      <c r="H2044">
        <f>-3.8*OPERAC[[#This Row],[cantidad]]</f>
        <v/>
      </c>
      <c r="I2044">
        <f>-H1014/G1014</f>
        <v/>
      </c>
    </row>
    <row r="2045">
      <c r="A2045" t="n">
        <v>7916</v>
      </c>
      <c r="B2045" s="16" t="n">
        <v>44601</v>
      </c>
      <c r="C2045" t="inlineStr">
        <is>
          <t>VTA</t>
        </is>
      </c>
      <c r="D2045" t="n">
        <v>39</v>
      </c>
      <c r="E2045">
        <f>IF(D1234&gt;0,VLOOKUP(OPERAC[[#This Row],[COD CART]],[1]!MatrizCortoLargoCyl[#All],3,0),"")</f>
        <v/>
      </c>
      <c r="F2045" t="inlineStr">
        <is>
          <t>TLRY/V/8,00/14-04-22</t>
        </is>
      </c>
      <c r="G2045" t="n">
        <v>-2</v>
      </c>
      <c r="H2045">
        <f>-2.1*OPERAC[[#This Row],[cantidad]]</f>
        <v/>
      </c>
      <c r="I2045">
        <f>-H1234/G1234</f>
        <v/>
      </c>
      <c r="J2045" s="16" t="n">
        <v>44645</v>
      </c>
      <c r="K2045" t="n">
        <v>-2</v>
      </c>
      <c r="L2045" t="n">
        <v>-2.39286</v>
      </c>
    </row>
    <row r="2046">
      <c r="A2046" t="n">
        <v>7916</v>
      </c>
      <c r="B2046" s="16" t="n">
        <v>44608</v>
      </c>
      <c r="C2046" t="inlineStr">
        <is>
          <t>VTA</t>
        </is>
      </c>
      <c r="D2046" t="n">
        <v>40</v>
      </c>
      <c r="E2046">
        <f>IF(D1781&gt;0,VLOOKUP(OPERAC[[#This Row],[COD CART]],[1]!MatrizCortoLargoCyl[#All],3,0),"")</f>
        <v/>
      </c>
      <c r="F2046" t="inlineStr">
        <is>
          <t>NVDA</t>
        </is>
      </c>
      <c r="G2046" t="n">
        <v>1</v>
      </c>
      <c r="H2046" t="n">
        <v>-263.514</v>
      </c>
      <c r="I2046">
        <f>-H1781/G1781</f>
        <v/>
      </c>
      <c r="J2046" s="16" t="n">
        <v>44616</v>
      </c>
      <c r="K2046">
        <f>+OPERAC[[#This Row],[cantidad]]</f>
        <v/>
      </c>
      <c r="L2046">
        <f>+OPERAC[[#This Row],[cantidad venta]]*224.117</f>
        <v/>
      </c>
    </row>
    <row r="2047">
      <c r="A2047" t="n">
        <v>7916</v>
      </c>
      <c r="B2047" s="16" t="n">
        <v>44608</v>
      </c>
      <c r="C2047" t="inlineStr">
        <is>
          <t>VTA</t>
        </is>
      </c>
      <c r="D2047" t="n">
        <v>32</v>
      </c>
      <c r="E2047">
        <f>IF(D5101&gt;0,VLOOKUP(OPERAC[[#This Row],[COD CART]],[1]!MatrizCortoLargoCyl[#All],3,0),"")</f>
        <v/>
      </c>
      <c r="F2047" t="inlineStr">
        <is>
          <t>DDD/CYL/17,00/01-04-22</t>
        </is>
      </c>
      <c r="G2047" t="n">
        <v>100</v>
      </c>
      <c r="H2047">
        <f>-1629.4234+19.7+16.45</f>
        <v/>
      </c>
      <c r="I2047">
        <f>-H5101/G5101</f>
        <v/>
      </c>
      <c r="J2047" s="16" t="n">
        <v>44649</v>
      </c>
      <c r="K2047" t="n">
        <v>100</v>
      </c>
      <c r="L2047" t="n">
        <v>1661.98</v>
      </c>
    </row>
    <row r="2048">
      <c r="A2048" t="n">
        <v>7916</v>
      </c>
      <c r="B2048" s="16" t="n">
        <v>44609</v>
      </c>
      <c r="C2048" t="inlineStr">
        <is>
          <t>VTA</t>
        </is>
      </c>
      <c r="D2048" t="n">
        <v>32</v>
      </c>
      <c r="E2048">
        <f>IF(D5322&gt;0,VLOOKUP(OPERAC[[#This Row],[COD CART]],[1]!MatrizCortoLargoCyl[#All],3,0),"")</f>
        <v/>
      </c>
      <c r="F2048" t="inlineStr">
        <is>
          <t>HIMX/CYL/9,00/18-03-22</t>
        </is>
      </c>
      <c r="G2048" t="n">
        <v>200</v>
      </c>
      <c r="H2048" t="n">
        <v>-1739.168</v>
      </c>
      <c r="I2048">
        <f>-H5322/G5322</f>
        <v/>
      </c>
      <c r="J2048" s="16" t="n">
        <v>44622</v>
      </c>
      <c r="K2048" t="n">
        <v>200</v>
      </c>
      <c r="L2048" t="n">
        <v>1767.151</v>
      </c>
    </row>
    <row r="2049">
      <c r="A2049" t="n">
        <v>7916</v>
      </c>
      <c r="B2049" s="16" t="n">
        <v>44616</v>
      </c>
      <c r="C2049" t="inlineStr">
        <is>
          <t>CPR</t>
        </is>
      </c>
      <c r="D2049" t="n">
        <v>32</v>
      </c>
      <c r="E2049">
        <f>IF(D3292&gt;0,VLOOKUP(OPERAC[[#This Row],[COD CART]],[1]!MatrizCortoLargoCyl[#All],3,0),"")</f>
        <v/>
      </c>
      <c r="F2049" t="inlineStr">
        <is>
          <t>UUUU/CYL/8,00/18-03-22</t>
        </is>
      </c>
      <c r="G2049" t="n">
        <v>100</v>
      </c>
      <c r="H2049" t="n">
        <v>-683.826</v>
      </c>
      <c r="I2049">
        <f>-H3292/G3292</f>
        <v/>
      </c>
      <c r="J2049" s="16" t="n">
        <v>44636</v>
      </c>
      <c r="K2049">
        <f>+OPERAC[[#This Row],[cantidad]]</f>
        <v/>
      </c>
      <c r="L2049" t="n">
        <v>767.46</v>
      </c>
    </row>
    <row r="2050">
      <c r="A2050" t="n">
        <v>7916</v>
      </c>
      <c r="B2050" s="16" t="n">
        <v>44616</v>
      </c>
      <c r="C2050" t="inlineStr">
        <is>
          <t>VTA</t>
        </is>
      </c>
      <c r="D2050" t="n">
        <v>32</v>
      </c>
      <c r="E2050">
        <f>IF(D5051&gt;0,VLOOKUP(OPERAC[[#This Row],[COD CART]],[1]!MatrizCortoLargoCyl[#All],3,0),"")</f>
        <v/>
      </c>
      <c r="F2050" t="inlineStr">
        <is>
          <t>SPWR/CYL/20,00/18-03-22</t>
        </is>
      </c>
      <c r="G2050" t="n">
        <v>100</v>
      </c>
      <c r="H2050" t="n">
        <v>-1573.0928</v>
      </c>
      <c r="I2050">
        <f>-H5051/G5051</f>
        <v/>
      </c>
      <c r="J2050" s="16" t="n">
        <v>44636</v>
      </c>
      <c r="K2050" t="n">
        <v>100</v>
      </c>
      <c r="L2050" t="n">
        <v>1911.85</v>
      </c>
    </row>
    <row r="2051">
      <c r="A2051" t="n">
        <v>7916</v>
      </c>
      <c r="B2051" s="16" t="n">
        <v>44622</v>
      </c>
      <c r="C2051" t="inlineStr">
        <is>
          <t>CPR</t>
        </is>
      </c>
      <c r="D2051" t="n">
        <v>32</v>
      </c>
      <c r="E2051">
        <f>IF(D4878&gt;0,VLOOKUP(OPERAC[[#This Row],[COD CART]],[1]!MatrizCortoLargoCyl[#All],3,0),"")</f>
        <v/>
      </c>
      <c r="F2051" t="inlineStr">
        <is>
          <t>AMC/CYL/16,00/14-04-22</t>
        </is>
      </c>
      <c r="G2051" t="n">
        <v>100</v>
      </c>
      <c r="H2051" t="n">
        <v>-1460.8686</v>
      </c>
      <c r="I2051">
        <f>-H4878/G4878</f>
        <v/>
      </c>
      <c r="J2051" s="16" t="n">
        <v>44648</v>
      </c>
      <c r="K2051">
        <f>+OPERAC[[#This Row],[cantidad]]</f>
        <v/>
      </c>
      <c r="L2051" t="n">
        <v>1581.776</v>
      </c>
    </row>
    <row r="2052">
      <c r="A2052" t="n">
        <v>7916</v>
      </c>
      <c r="B2052" s="16" t="n">
        <v>44628</v>
      </c>
      <c r="C2052" t="inlineStr">
        <is>
          <t>VTA</t>
        </is>
      </c>
      <c r="D2052" t="n">
        <v>40</v>
      </c>
      <c r="E2052">
        <f>IF(D2391&gt;0,VLOOKUP(OPERAC[[#This Row],[COD CART]],[1]!MatrizCortoLargoCyl[#All],3,0),"")</f>
        <v/>
      </c>
      <c r="F2052" t="inlineStr">
        <is>
          <t>CVV</t>
        </is>
      </c>
      <c r="G2052" t="n">
        <v>100</v>
      </c>
      <c r="H2052" t="n">
        <v>-422.4488</v>
      </c>
      <c r="I2052">
        <f>-H2391/G2391</f>
        <v/>
      </c>
      <c r="J2052" s="16" t="n">
        <v>44649</v>
      </c>
      <c r="K2052">
        <f>+OPERAC[[#This Row],[cantidad]]</f>
        <v/>
      </c>
      <c r="L2052">
        <f>+OPERAC[[#This Row],[cantidad venta]]*4.459</f>
        <v/>
      </c>
    </row>
    <row r="2053">
      <c r="A2053" t="n">
        <v>7916</v>
      </c>
      <c r="B2053" s="16" t="n">
        <v>44641</v>
      </c>
      <c r="C2053" t="inlineStr">
        <is>
          <t>CPR</t>
        </is>
      </c>
      <c r="D2053" t="n">
        <v>42</v>
      </c>
      <c r="E2053">
        <f>IF(D3341&gt;0,VLOOKUP(OPERAC[[#This Row],[COD CART]],[1]!MatrizCortoLargoCyl[#All],3,0),"")</f>
        <v/>
      </c>
      <c r="F2053" t="inlineStr">
        <is>
          <t>DIS</t>
        </is>
      </c>
      <c r="G2053" t="n">
        <v>5</v>
      </c>
      <c r="H2053" t="n">
        <v>-696.356</v>
      </c>
      <c r="I2053">
        <f>-H3341/G3341</f>
        <v/>
      </c>
      <c r="J2053" s="16" t="n">
        <v>44671</v>
      </c>
      <c r="K2053">
        <f>+OPERAC[[#This Row],[cantidad]]</f>
        <v/>
      </c>
      <c r="L2053">
        <f>+OPERAC[[#This Row],[cantidad venta]]*123.621</f>
        <v/>
      </c>
    </row>
    <row r="2054">
      <c r="A2054" t="n">
        <v>7916</v>
      </c>
      <c r="B2054" s="16" t="n">
        <v>44641</v>
      </c>
      <c r="C2054" t="inlineStr">
        <is>
          <t>CPR</t>
        </is>
      </c>
      <c r="D2054" t="n">
        <v>42</v>
      </c>
      <c r="E2054">
        <f>IF(D3366&gt;0,VLOOKUP(OPERAC[[#This Row],[COD CART]],[1]!MatrizCortoLargoCyl[#All],3,0),"")</f>
        <v/>
      </c>
      <c r="F2054" t="inlineStr">
        <is>
          <t>JPM</t>
        </is>
      </c>
      <c r="G2054" t="n">
        <v>5</v>
      </c>
      <c r="H2054" t="n">
        <v>-702.2717000000001</v>
      </c>
      <c r="I2054">
        <f>-H3366/G3366</f>
        <v/>
      </c>
      <c r="J2054" s="16" t="n">
        <v>44664</v>
      </c>
      <c r="K2054">
        <f>+OPERAC[[#This Row],[cantidad]]</f>
        <v/>
      </c>
      <c r="L2054">
        <f>+OPERAC[[#This Row],[cantidad venta]]*125.943</f>
        <v/>
      </c>
    </row>
    <row r="2055">
      <c r="A2055" t="n">
        <v>7916</v>
      </c>
      <c r="B2055" s="16" t="n">
        <v>44641</v>
      </c>
      <c r="C2055" t="inlineStr">
        <is>
          <t>VTA</t>
        </is>
      </c>
      <c r="D2055" t="n">
        <v>42</v>
      </c>
      <c r="E2055">
        <f>IF(D2874&gt;0,VLOOKUP(OPERAC[[#This Row],[COD CART]],[1]!MatrizCortoLargoCyl[#All],3,0),"")</f>
        <v/>
      </c>
      <c r="F2055" t="inlineStr">
        <is>
          <t>SMH</t>
        </is>
      </c>
      <c r="G2055" t="n">
        <v>2</v>
      </c>
      <c r="H2055" t="n">
        <v>-537.9153000000001</v>
      </c>
      <c r="I2055">
        <f>-H2874/G2874</f>
        <v/>
      </c>
      <c r="J2055" s="16" t="n">
        <v>44663</v>
      </c>
      <c r="K2055">
        <f>+OPERAC[[#This Row],[cantidad]]</f>
        <v/>
      </c>
      <c r="L2055">
        <f>+OPERAC[[#This Row],[cantidad venta]]*238.066</f>
        <v/>
      </c>
    </row>
    <row r="2056">
      <c r="A2056" t="n">
        <v>7916</v>
      </c>
      <c r="B2056" s="16" t="n">
        <v>44641</v>
      </c>
      <c r="C2056" t="inlineStr">
        <is>
          <t>VTA</t>
        </is>
      </c>
      <c r="D2056" t="n">
        <v>42</v>
      </c>
      <c r="E2056">
        <f>IF(D3775&gt;0,VLOOKUP(OPERAC[[#This Row],[COD CART]],[1]!MatrizCortoLargoCyl[#All],3,0),"")</f>
        <v/>
      </c>
      <c r="F2056" t="inlineStr">
        <is>
          <t>FB</t>
        </is>
      </c>
      <c r="G2056" t="n">
        <v>4</v>
      </c>
      <c r="H2056" t="n">
        <v>-848.6255200000001</v>
      </c>
      <c r="I2056">
        <f>-H3775/G3775</f>
        <v/>
      </c>
      <c r="J2056" s="16" t="n">
        <v>44671</v>
      </c>
      <c r="K2056">
        <f>+OPERAC[[#This Row],[cantidad]]</f>
        <v/>
      </c>
      <c r="L2056">
        <f>+OPERAC[[#This Row],[cantidad venta]]*213.173</f>
        <v/>
      </c>
    </row>
    <row r="2057">
      <c r="A2057" t="n">
        <v>7916</v>
      </c>
      <c r="B2057" s="16" t="n">
        <v>44645</v>
      </c>
      <c r="C2057" t="inlineStr">
        <is>
          <t>VTA</t>
        </is>
      </c>
      <c r="D2057" t="n">
        <v>39</v>
      </c>
      <c r="E2057">
        <f>IF(D1247&gt;0,VLOOKUP(OPERAC[[#This Row],[COD CART]],[1]!MatrizCortoLargoCyl[#All],3,0),"")</f>
        <v/>
      </c>
      <c r="F2057" t="inlineStr">
        <is>
          <t>TLRY/V/6,00/16-09-22</t>
        </is>
      </c>
      <c r="G2057" t="n">
        <v>-2</v>
      </c>
      <c r="H2057" t="n">
        <v>2.0692</v>
      </c>
      <c r="I2057">
        <f>-H1247/G1247</f>
        <v/>
      </c>
    </row>
    <row r="2058">
      <c r="A2058" t="n">
        <v>7916</v>
      </c>
      <c r="B2058" s="16" t="n">
        <v>44648</v>
      </c>
      <c r="C2058" t="inlineStr">
        <is>
          <t>VTA</t>
        </is>
      </c>
      <c r="D2058" t="n">
        <v>32</v>
      </c>
      <c r="E2058">
        <f>IF(D5171&gt;0,VLOOKUP(OPERAC[[#This Row],[COD CART]],[1]!MatrizCortoLargoCyl[#All],3,0),"")</f>
        <v/>
      </c>
      <c r="F2058" t="inlineStr">
        <is>
          <t>F</t>
        </is>
      </c>
      <c r="G2058" t="n">
        <v>100</v>
      </c>
      <c r="H2058" t="n">
        <v>-1616.534</v>
      </c>
      <c r="I2058">
        <f>-H5171/G5171</f>
        <v/>
      </c>
      <c r="J2058" s="16" t="n">
        <v>44693</v>
      </c>
      <c r="K2058" t="n">
        <v>100</v>
      </c>
      <c r="L2058">
        <f>+OPERAC[[#This Row],[cantidad venta]]*12.415</f>
        <v/>
      </c>
    </row>
    <row r="2059">
      <c r="A2059" t="n">
        <v>7916</v>
      </c>
      <c r="B2059" s="16" t="n">
        <v>44649</v>
      </c>
      <c r="C2059" t="inlineStr">
        <is>
          <t>CPR</t>
        </is>
      </c>
      <c r="D2059" t="n">
        <v>42</v>
      </c>
      <c r="E2059">
        <f>IF(D2647&gt;0,VLOOKUP(OPERAC[[#This Row],[COD CART]],[1]!MatrizCortoLargoCyl[#All],3,0),"")</f>
        <v/>
      </c>
      <c r="F2059" t="inlineStr">
        <is>
          <t>CRESY</t>
        </is>
      </c>
      <c r="G2059" t="n">
        <v>60</v>
      </c>
      <c r="H2059" t="n">
        <v>-485.53104</v>
      </c>
      <c r="I2059">
        <f>-H2647/G2647</f>
        <v/>
      </c>
      <c r="J2059" s="16" t="n">
        <v>44657</v>
      </c>
      <c r="K2059">
        <f>+OPERAC[[#This Row],[cantidad]]</f>
        <v/>
      </c>
      <c r="L2059">
        <f>+OPERAC[[#This Row],[cantidad venta]]*7.664</f>
        <v/>
      </c>
    </row>
    <row r="2060">
      <c r="A2060" t="n">
        <v>7916</v>
      </c>
      <c r="B2060" s="16" t="n">
        <v>44649</v>
      </c>
      <c r="C2060" t="inlineStr">
        <is>
          <t>VTA</t>
        </is>
      </c>
      <c r="D2060" t="n">
        <v>32</v>
      </c>
      <c r="E2060">
        <f>IF(D5410&gt;0,VLOOKUP(OPERAC[[#This Row],[COD CART]],[1]!MatrizCortoLargoCyl[#All],3,0),"")</f>
        <v/>
      </c>
      <c r="F2060" t="inlineStr">
        <is>
          <t>SPWR/CYL/20,00/17-06-22</t>
        </is>
      </c>
      <c r="G2060" t="n">
        <v>100</v>
      </c>
      <c r="H2060">
        <f>-1865.225+21.813</f>
        <v/>
      </c>
      <c r="I2060">
        <f>-H5410/G5410</f>
        <v/>
      </c>
    </row>
    <row r="2061">
      <c r="A2061" t="n">
        <v>7916</v>
      </c>
      <c r="B2061" s="16" t="n">
        <v>44651</v>
      </c>
      <c r="C2061" t="inlineStr">
        <is>
          <t>VTA</t>
        </is>
      </c>
      <c r="D2061" t="n">
        <v>42</v>
      </c>
      <c r="E2061">
        <f>IF(D2123&gt;0,VLOOKUP(OPERAC[[#This Row],[COD CART]],[1]!MatrizCortoLargoCyl[#All],3,0),"")</f>
        <v/>
      </c>
      <c r="F2061" t="inlineStr">
        <is>
          <t>AMD</t>
        </is>
      </c>
      <c r="G2061" t="n">
        <v>3</v>
      </c>
      <c r="H2061" t="n">
        <v>-341.69676</v>
      </c>
      <c r="I2061">
        <f>-H2123/G2123</f>
        <v/>
      </c>
      <c r="J2061" s="16" t="n">
        <v>44693</v>
      </c>
      <c r="K2061" t="n">
        <v>3</v>
      </c>
      <c r="L2061">
        <f>+OPERAC[[#This Row],[cantidad venta]]*85.265</f>
        <v/>
      </c>
    </row>
    <row r="2062">
      <c r="A2062" t="n">
        <v>7916</v>
      </c>
      <c r="B2062" s="16" t="n">
        <v>44655</v>
      </c>
      <c r="C2062" t="inlineStr">
        <is>
          <t>VTA</t>
        </is>
      </c>
      <c r="D2062" t="n">
        <v>31</v>
      </c>
      <c r="E2062">
        <f>IF(D1907&gt;0,VLOOKUP(OPERAC[[#This Row],[COD CART]],[1]!MatrizCortoLargoCyl[#All],3,0),"")</f>
        <v/>
      </c>
      <c r="F2062" t="inlineStr">
        <is>
          <t>TEO</t>
        </is>
      </c>
      <c r="G2062" t="n">
        <v>45</v>
      </c>
      <c r="H2062" t="n">
        <v>-289.849365</v>
      </c>
      <c r="I2062">
        <f>-H1907/G1907</f>
        <v/>
      </c>
    </row>
    <row r="2063">
      <c r="A2063" t="n">
        <v>7916</v>
      </c>
      <c r="B2063" s="16" t="n">
        <v>44655</v>
      </c>
      <c r="C2063" t="inlineStr">
        <is>
          <t>VTA</t>
        </is>
      </c>
      <c r="D2063" t="n">
        <v>31</v>
      </c>
      <c r="E2063">
        <f>IF(D2137&gt;0,VLOOKUP(OPERAC[[#This Row],[COD CART]],[1]!MatrizCortoLargoCyl[#All],3,0),"")</f>
        <v/>
      </c>
      <c r="F2063" t="inlineStr">
        <is>
          <t>BRK B</t>
        </is>
      </c>
      <c r="G2063" t="n">
        <v>1</v>
      </c>
      <c r="H2063" t="n">
        <v>-348.62528</v>
      </c>
      <c r="I2063">
        <f>-H2137/G2137</f>
        <v/>
      </c>
    </row>
    <row r="2064">
      <c r="A2064" t="n">
        <v>7916</v>
      </c>
      <c r="B2064" s="16" t="n">
        <v>44655</v>
      </c>
      <c r="C2064" t="inlineStr">
        <is>
          <t>VTA</t>
        </is>
      </c>
      <c r="D2064" t="n">
        <v>31</v>
      </c>
      <c r="E2064">
        <f>IF(D2202&gt;0,VLOOKUP(OPERAC[[#This Row],[COD CART]],[1]!MatrizCortoLargoCyl[#All],3,0),"")</f>
        <v/>
      </c>
      <c r="F2064" t="inlineStr">
        <is>
          <t>BBAR</t>
        </is>
      </c>
      <c r="G2064" t="n">
        <v>100</v>
      </c>
      <c r="H2064" t="n">
        <v>-369.0248</v>
      </c>
      <c r="I2064">
        <f>-H2202/G2202</f>
        <v/>
      </c>
    </row>
    <row r="2065">
      <c r="A2065" t="n">
        <v>7916</v>
      </c>
      <c r="B2065" s="16" t="n">
        <v>44662</v>
      </c>
      <c r="C2065" t="inlineStr">
        <is>
          <t>CPR</t>
        </is>
      </c>
      <c r="D2065" t="n">
        <v>42</v>
      </c>
      <c r="E2065">
        <f>IF(D3703&gt;0,VLOOKUP(OPERAC[[#This Row],[COD CART]],[1]!MatrizCortoLargoCyl[#All],3,0),"")</f>
        <v/>
      </c>
      <c r="F2065" t="inlineStr">
        <is>
          <t>HYDR</t>
        </is>
      </c>
      <c r="G2065" t="n">
        <v>45</v>
      </c>
      <c r="H2065" t="n">
        <v>-835.66548</v>
      </c>
      <c r="I2065">
        <f>-H3703/G3703</f>
        <v/>
      </c>
      <c r="J2065" s="16" t="n">
        <v>44693</v>
      </c>
      <c r="K2065">
        <f>+OPERAC[[#This Row],[cantidad]]</f>
        <v/>
      </c>
      <c r="L2065">
        <f>+OPERAC[[#This Row],[cantidad venta]]*12.027</f>
        <v/>
      </c>
    </row>
    <row r="2066">
      <c r="A2066" t="n">
        <v>7916</v>
      </c>
      <c r="B2066" s="16" t="n">
        <v>44664</v>
      </c>
      <c r="C2066" t="inlineStr">
        <is>
          <t>CPR</t>
        </is>
      </c>
      <c r="D2066" t="n">
        <v>42</v>
      </c>
      <c r="E2066">
        <f>IF(D2691&gt;0,VLOOKUP(OPERAC[[#This Row],[COD CART]],[1]!MatrizCortoLargoCyl[#All],3,0),"")</f>
        <v/>
      </c>
      <c r="F2066" t="inlineStr">
        <is>
          <t>AMD</t>
        </is>
      </c>
      <c r="G2066" t="n">
        <v>5</v>
      </c>
      <c r="H2066" t="n">
        <v>-493.85327265</v>
      </c>
      <c r="I2066">
        <f>-H2691/G2691</f>
        <v/>
      </c>
      <c r="J2066" s="16" t="n">
        <v>44693</v>
      </c>
      <c r="K2066" t="n">
        <v>5</v>
      </c>
      <c r="L2066">
        <f>+OPERAC[[#This Row],[cantidad venta]]*85.265</f>
        <v/>
      </c>
    </row>
    <row r="2067">
      <c r="A2067" t="n">
        <v>7916</v>
      </c>
      <c r="B2067" s="16" t="n">
        <v>44664</v>
      </c>
      <c r="C2067" t="inlineStr">
        <is>
          <t>CPR</t>
        </is>
      </c>
      <c r="D2067" t="n">
        <v>42</v>
      </c>
      <c r="E2067">
        <f>IF(D4578&gt;0,VLOOKUP(OPERAC[[#This Row],[COD CART]],[1]!MatrizCortoLargoCyl[#All],3,0),"")</f>
        <v/>
      </c>
      <c r="F2067" t="inlineStr">
        <is>
          <t>PSQ</t>
        </is>
      </c>
      <c r="G2067" t="n">
        <v>100</v>
      </c>
      <c r="H2067" t="n">
        <v>-1243.2572181</v>
      </c>
      <c r="I2067">
        <f>-H4578/G4578</f>
        <v/>
      </c>
      <c r="J2067" s="16" t="n">
        <v>44680</v>
      </c>
      <c r="K2067">
        <f>+OPERAC[[#This Row],[cantidad]]</f>
        <v/>
      </c>
      <c r="L2067">
        <f>12.848*OPERAC[[#This Row],[cantidad venta]]</f>
        <v/>
      </c>
    </row>
    <row r="2068">
      <c r="A2068" t="n">
        <v>7916</v>
      </c>
      <c r="B2068" s="16" t="n">
        <v>44669</v>
      </c>
      <c r="C2068" t="inlineStr">
        <is>
          <t>VTA</t>
        </is>
      </c>
      <c r="D2068" t="n">
        <v>39</v>
      </c>
      <c r="E2068">
        <f>IF(D536&gt;0,VLOOKUP(OPERAC[[#This Row],[COD CART]],[1]!MatrizCortoLargoCyl[#All],3,0),"")</f>
        <v/>
      </c>
      <c r="F2068" t="inlineStr">
        <is>
          <t>UPST/V/80,00/22-04-22</t>
        </is>
      </c>
      <c r="G2068" t="n">
        <v>-200</v>
      </c>
      <c r="H2068" t="n">
        <v>832.86</v>
      </c>
      <c r="I2068">
        <f>-H536/G536</f>
        <v/>
      </c>
      <c r="J2068" s="16" t="n">
        <v>44673</v>
      </c>
      <c r="K2068" t="n">
        <v>-200</v>
      </c>
      <c r="L2068" t="n">
        <v>-786.63</v>
      </c>
    </row>
    <row r="2069">
      <c r="A2069" t="n">
        <v>7916</v>
      </c>
      <c r="B2069" s="16" t="n">
        <v>44671</v>
      </c>
      <c r="C2069" t="inlineStr">
        <is>
          <t>CPR</t>
        </is>
      </c>
      <c r="D2069" t="n">
        <v>42</v>
      </c>
      <c r="E2069">
        <f>IF(D3501&gt;0,VLOOKUP(OPERAC[[#This Row],[COD CART]],[1]!MatrizCortoLargoCyl[#All],3,0),"")</f>
        <v/>
      </c>
      <c r="F2069" t="inlineStr">
        <is>
          <t>NFLX</t>
        </is>
      </c>
      <c r="G2069" t="n">
        <v>3</v>
      </c>
      <c r="H2069" t="n">
        <v>-763.51518</v>
      </c>
      <c r="I2069">
        <f>-H3501/G3501</f>
        <v/>
      </c>
      <c r="J2069" s="16" t="n">
        <v>44693</v>
      </c>
      <c r="K2069">
        <f>+OPERAC[[#This Row],[cantidad]]</f>
        <v/>
      </c>
      <c r="L2069">
        <f>+OPERAC[[#This Row],[cantidad venta]]*169.079</f>
        <v/>
      </c>
    </row>
    <row r="2070">
      <c r="A2070" t="n">
        <v>7916</v>
      </c>
      <c r="B2070" s="16" t="n">
        <v>44671</v>
      </c>
      <c r="C2070" t="inlineStr">
        <is>
          <t>VTA</t>
        </is>
      </c>
      <c r="D2070" t="n">
        <v>42</v>
      </c>
      <c r="E2070">
        <f>IF(D3063&gt;0,VLOOKUP(OPERAC[[#This Row],[COD CART]],[1]!MatrizCortoLargoCyl[#All],3,0),"")</f>
        <v/>
      </c>
      <c r="F2070" t="inlineStr">
        <is>
          <t>TLT</t>
        </is>
      </c>
      <c r="G2070" t="n">
        <v>5</v>
      </c>
      <c r="H2070" t="n">
        <v>-612.815025</v>
      </c>
      <c r="I2070">
        <f>-H3063/G3063</f>
        <v/>
      </c>
      <c r="J2070" s="16" t="n">
        <v>44704</v>
      </c>
      <c r="K2070" t="n">
        <v>5</v>
      </c>
      <c r="L2070" t="n">
        <v>582.903</v>
      </c>
    </row>
    <row r="2071">
      <c r="A2071" t="n">
        <v>7916</v>
      </c>
      <c r="B2071" s="16" t="n">
        <v>44672</v>
      </c>
      <c r="C2071" t="inlineStr">
        <is>
          <t>VTA</t>
        </is>
      </c>
      <c r="D2071" t="n">
        <v>39</v>
      </c>
      <c r="E2071">
        <f>IF(D695&gt;0,VLOOKUP(OPERAC[[#This Row],[COD CART]],[1]!MatrizCortoLargoCyl[#All],3,0),"")</f>
        <v/>
      </c>
      <c r="F2071" t="inlineStr">
        <is>
          <t>UPST/V/75,00/22-04-22</t>
        </is>
      </c>
      <c r="G2071" t="n">
        <v>-200</v>
      </c>
      <c r="H2071" t="n">
        <v>416.43</v>
      </c>
      <c r="I2071">
        <f>-H695/G695</f>
        <v/>
      </c>
      <c r="J2071" s="16" t="n">
        <v>44673</v>
      </c>
      <c r="K2071" t="n">
        <v>-200</v>
      </c>
      <c r="L2071" t="n">
        <v>-423.57</v>
      </c>
    </row>
    <row r="2072">
      <c r="A2072" t="n">
        <v>7916</v>
      </c>
      <c r="B2072" s="16" t="n">
        <v>44673</v>
      </c>
      <c r="C2072" t="inlineStr">
        <is>
          <t>VTA</t>
        </is>
      </c>
      <c r="D2072" t="n">
        <v>39</v>
      </c>
      <c r="E2072">
        <f>IF(D698&gt;0,VLOOKUP(OPERAC[[#This Row],[COD CART]],[1]!MatrizCortoLargoCyl[#All],3,0),"")</f>
        <v/>
      </c>
      <c r="F2072" t="inlineStr">
        <is>
          <t>UPST/V/70,00/29-04-22</t>
        </is>
      </c>
      <c r="G2072" t="n">
        <v>-200</v>
      </c>
      <c r="H2072" t="n">
        <v>416.43</v>
      </c>
      <c r="I2072">
        <f>-H698/G698</f>
        <v/>
      </c>
      <c r="J2072" s="16" t="n">
        <v>44676</v>
      </c>
      <c r="K2072" t="n">
        <v>-200</v>
      </c>
      <c r="L2072" t="n">
        <v>-266.244</v>
      </c>
    </row>
    <row r="2073">
      <c r="A2073" t="n">
        <v>7916</v>
      </c>
      <c r="B2073" s="16" t="n">
        <v>44673</v>
      </c>
      <c r="C2073" t="inlineStr">
        <is>
          <t>VTA</t>
        </is>
      </c>
      <c r="D2073" t="n">
        <v>39</v>
      </c>
      <c r="E2073">
        <f>IF(D720&gt;0,VLOOKUP(OPERAC[[#This Row],[COD CART]],[1]!MatrizCortoLargoCyl[#All],3,0),"")</f>
        <v/>
      </c>
      <c r="F2073" t="inlineStr">
        <is>
          <t>UPST/V/68,00/29-04-22</t>
        </is>
      </c>
      <c r="G2073" t="n">
        <v>-200</v>
      </c>
      <c r="H2073" t="n">
        <v>396.6</v>
      </c>
      <c r="I2073">
        <f>-H720/G720</f>
        <v/>
      </c>
      <c r="J2073" s="16" t="n">
        <v>44679</v>
      </c>
      <c r="K2073">
        <f>+OPERAC[[#This Row],[cantidad]]</f>
        <v/>
      </c>
      <c r="L2073" t="n">
        <v>-100.85</v>
      </c>
    </row>
    <row r="2074">
      <c r="A2074" t="n">
        <v>7916</v>
      </c>
      <c r="B2074" s="16" t="n">
        <v>44676</v>
      </c>
      <c r="C2074" t="inlineStr">
        <is>
          <t>VTA</t>
        </is>
      </c>
      <c r="D2074" t="n">
        <v>39</v>
      </c>
      <c r="E2074">
        <f>IF(D820&gt;0,VLOOKUP(OPERAC[[#This Row],[COD CART]],[1]!MatrizCortoLargoCyl[#All],3,0),"")</f>
        <v/>
      </c>
      <c r="F2074" t="inlineStr">
        <is>
          <t>UPST/V/67,00/06-05-22</t>
        </is>
      </c>
      <c r="G2074" t="n">
        <v>-100</v>
      </c>
      <c r="H2074" t="n">
        <v>223.0875</v>
      </c>
      <c r="I2074">
        <f>-H820/G820</f>
        <v/>
      </c>
      <c r="J2074" s="16" t="n">
        <v>44687</v>
      </c>
      <c r="K2074">
        <f>OPERAC[[#This Row],[cantidad]]</f>
        <v/>
      </c>
      <c r="L2074" t="n">
        <v>0</v>
      </c>
    </row>
    <row r="2075">
      <c r="A2075" t="n">
        <v>7916</v>
      </c>
      <c r="B2075" s="16" t="n">
        <v>44680</v>
      </c>
      <c r="C2075" t="inlineStr">
        <is>
          <t>CPR</t>
        </is>
      </c>
      <c r="D2075" t="n">
        <v>42</v>
      </c>
      <c r="E2075">
        <f>IF(D4736&gt;0,VLOOKUP(OPERAC[[#This Row],[COD CART]],[1]!MatrizCortoLargoCyl[#All],3,0),"")</f>
        <v/>
      </c>
      <c r="F2075" t="inlineStr">
        <is>
          <t>XLP</t>
        </is>
      </c>
      <c r="G2075" t="n">
        <v>17</v>
      </c>
      <c r="H2075" t="n">
        <v>-1350.3865425</v>
      </c>
      <c r="I2075">
        <f>-H4736/G4736</f>
        <v/>
      </c>
      <c r="J2075" s="16" t="n">
        <v>44693</v>
      </c>
      <c r="K2075">
        <f>+OPERAC[[#This Row],[cantidad]]</f>
        <v/>
      </c>
      <c r="L2075">
        <f>+OPERAC[[#This Row],[cantidad venta]]*74.848</f>
        <v/>
      </c>
    </row>
    <row r="2076">
      <c r="A2076" t="n">
        <v>7916</v>
      </c>
      <c r="B2076" s="16" t="n">
        <v>44697</v>
      </c>
      <c r="C2076" t="inlineStr">
        <is>
          <t>CPR</t>
        </is>
      </c>
      <c r="D2076" t="n">
        <v>32</v>
      </c>
      <c r="E2076">
        <f>IF(D2610&gt;0,VLOOKUP(OPERAC[[#This Row],[COD CART]],[1]!MatrizCortoLargoCyl[#All],3,0),"")</f>
        <v/>
      </c>
      <c r="F2076" t="inlineStr">
        <is>
          <t>TLRY/CYL/5,50/17-06-22</t>
        </is>
      </c>
      <c r="G2076" t="n">
        <v>100</v>
      </c>
      <c r="H2076">
        <f>-484.256+11.898</f>
        <v/>
      </c>
      <c r="I2076">
        <f>-H2610/G2610</f>
        <v/>
      </c>
    </row>
    <row r="2077">
      <c r="A2077" t="n">
        <v>7916</v>
      </c>
      <c r="B2077" s="16" t="n">
        <v>44704</v>
      </c>
      <c r="C2077" t="inlineStr">
        <is>
          <t>CPR</t>
        </is>
      </c>
      <c r="D2077" t="n">
        <v>43</v>
      </c>
      <c r="E2077">
        <f>IF(D4180&gt;0,VLOOKUP(OPERAC[[#This Row],[COD CART]],[1]!MatrizCortoLargoCyl[#All],3,0),"")</f>
        <v/>
      </c>
      <c r="F2077" t="inlineStr">
        <is>
          <t>PCT/CYP/7,50-6,00/20-01-23</t>
        </is>
      </c>
      <c r="G2077" t="n">
        <v>200</v>
      </c>
      <c r="H2077" t="n">
        <v>-982.46</v>
      </c>
      <c r="I2077">
        <f>-H4180/G4180</f>
        <v/>
      </c>
    </row>
    <row r="2078">
      <c r="A2078" t="n">
        <v>7916</v>
      </c>
      <c r="B2078" s="16" t="n">
        <v>44705</v>
      </c>
      <c r="C2078" t="inlineStr">
        <is>
          <t>VTA</t>
        </is>
      </c>
      <c r="D2078" t="n">
        <v>42</v>
      </c>
      <c r="E2078">
        <f>IF(D5419&gt;0,VLOOKUP(OPERAC[[#This Row],[COD CART]],[1]!MatrizCortoLargoCyl[#All],3,0),"")</f>
        <v/>
      </c>
      <c r="F2078" t="inlineStr">
        <is>
          <t>AMD</t>
        </is>
      </c>
      <c r="G2078" t="n">
        <v>20</v>
      </c>
      <c r="H2078" t="n">
        <v>-1850.0708</v>
      </c>
      <c r="I2078">
        <f>-H5419/G5419</f>
        <v/>
      </c>
      <c r="J2078" s="16" t="n">
        <v>44707</v>
      </c>
      <c r="K2078">
        <f>+OPERAC[[#This Row],[cantidad]]</f>
        <v/>
      </c>
      <c r="L2078">
        <f>+OPERAC[[#This Row],[cantidad venta]]*94.8</f>
        <v/>
      </c>
    </row>
    <row r="2079">
      <c r="A2079" t="n">
        <v>7916</v>
      </c>
      <c r="B2079" s="16" t="n">
        <v>44708</v>
      </c>
      <c r="C2079" t="inlineStr">
        <is>
          <t>VTA</t>
        </is>
      </c>
      <c r="D2079" t="n">
        <v>42</v>
      </c>
      <c r="E2079">
        <f>IF(D2179&gt;0,VLOOKUP(OPERAC[[#This Row],[COD CART]],[1]!MatrizCortoLargoCyl[#All],3,0),"")</f>
        <v/>
      </c>
      <c r="F2079" t="inlineStr">
        <is>
          <t>ACB</t>
        </is>
      </c>
      <c r="G2079" t="n">
        <v>200</v>
      </c>
      <c r="H2079" t="n">
        <v>-365.064157761</v>
      </c>
      <c r="I2079">
        <f>-H2179/G2179</f>
        <v/>
      </c>
    </row>
    <row r="2080">
      <c r="A2080" t="n">
        <v>7916</v>
      </c>
      <c r="B2080" s="16" t="n">
        <v>44712</v>
      </c>
      <c r="C2080" t="inlineStr">
        <is>
          <t>CPR</t>
        </is>
      </c>
      <c r="D2080" t="n">
        <v>42</v>
      </c>
      <c r="E2080">
        <f>IF(D5875&gt;0,VLOOKUP(OPERAC[[#This Row],[COD CART]],[1]!MatrizCortoLargoCyl[#All],3,0),"")</f>
        <v/>
      </c>
      <c r="F2080" t="inlineStr">
        <is>
          <t>KWEB</t>
        </is>
      </c>
      <c r="G2080" t="n">
        <v>100</v>
      </c>
      <c r="H2080" t="n">
        <v>-2959.725</v>
      </c>
      <c r="I2080">
        <f>-H5875/G5875</f>
        <v/>
      </c>
    </row>
    <row r="2081">
      <c r="A2081" t="n">
        <v>7916</v>
      </c>
      <c r="B2081" s="16" t="n">
        <v>44714</v>
      </c>
      <c r="C2081" t="inlineStr">
        <is>
          <t>VTA</t>
        </is>
      </c>
      <c r="D2081" t="n">
        <v>39</v>
      </c>
      <c r="E2081">
        <f>IF(D242&gt;0,VLOOKUP(OPERAC[[#This Row],[COD CART]],[1]!MatrizCortoLargoCyl[#All],3,0),"")</f>
        <v/>
      </c>
      <c r="F2081" t="inlineStr">
        <is>
          <t>TSLA/V/685,00/03-06-22</t>
        </is>
      </c>
      <c r="G2081" t="n">
        <v>-600</v>
      </c>
      <c r="H2081" t="n">
        <v>1844.19</v>
      </c>
      <c r="I2081">
        <f>-H242/G242</f>
        <v/>
      </c>
      <c r="J2081" s="16" t="n">
        <v>44715</v>
      </c>
      <c r="K2081">
        <f>+OPERAC[[#This Row],[cantidad]]</f>
        <v/>
      </c>
      <c r="L2081" t="n">
        <v>0</v>
      </c>
    </row>
    <row r="2082">
      <c r="A2082" t="n">
        <v>7916</v>
      </c>
      <c r="B2082" s="16" t="n">
        <v>44715</v>
      </c>
      <c r="C2082" t="inlineStr">
        <is>
          <t>VTA</t>
        </is>
      </c>
      <c r="D2082" t="n">
        <v>32</v>
      </c>
      <c r="E2082">
        <f>IF(D5077&gt;0,VLOOKUP(OPERAC[[#This Row],[COD CART]],[1]!MatrizCortoLargoCyl[#All],3,0),"")</f>
        <v/>
      </c>
      <c r="F2082" t="inlineStr">
        <is>
          <t>AAL/CYL/16,50/17-06-22</t>
        </is>
      </c>
      <c r="G2082" t="n">
        <v>100</v>
      </c>
      <c r="H2082" t="n">
        <v>-1580.215</v>
      </c>
      <c r="I2082">
        <f>-H5077/G5077</f>
        <v/>
      </c>
    </row>
    <row r="2083">
      <c r="A2083" t="n">
        <v>7919</v>
      </c>
      <c r="B2083" s="16" t="n">
        <v>44319</v>
      </c>
      <c r="C2083" t="inlineStr">
        <is>
          <t>VTA</t>
        </is>
      </c>
      <c r="D2083" t="n">
        <v>41</v>
      </c>
      <c r="E2083">
        <f>IF(D1318&gt;0,VLOOKUP(OPERAC[[#This Row],[COD CART]],[1]!MatrizCortoLargoCyl[#All],3,0),"")</f>
        <v/>
      </c>
      <c r="F2083" t="inlineStr">
        <is>
          <t>GBTC</t>
        </is>
      </c>
      <c r="G2083" t="n">
        <v>2</v>
      </c>
      <c r="H2083" t="n">
        <v>-97.06272</v>
      </c>
      <c r="I2083">
        <f>-H1318/G1318</f>
        <v/>
      </c>
    </row>
    <row r="2084">
      <c r="A2084" t="n">
        <v>7919</v>
      </c>
      <c r="B2084" s="16" t="n">
        <v>44536</v>
      </c>
      <c r="C2084" t="inlineStr">
        <is>
          <t>CPR</t>
        </is>
      </c>
      <c r="D2084" t="n">
        <v>40</v>
      </c>
      <c r="E2084">
        <f>IF(D3655&gt;0,VLOOKUP(OPERAC[[#This Row],[COD CART]],[1]!MatrizCortoLargoCyl[#All],3,0),"")</f>
        <v/>
      </c>
      <c r="F2084" t="inlineStr">
        <is>
          <t>UVXY</t>
        </is>
      </c>
      <c r="G2084" t="n">
        <v>35</v>
      </c>
      <c r="H2084" t="n">
        <v>-811.2621999999999</v>
      </c>
      <c r="I2084">
        <f>-H3655/G3655</f>
        <v/>
      </c>
      <c r="J2084" s="16" t="n">
        <v>44571</v>
      </c>
      <c r="K2084">
        <f>+OPERAC[[#This Row],[cantidad]]</f>
        <v/>
      </c>
      <c r="L2084">
        <f>+OPERAC[[#This Row],[cantidad venta]]*14.135</f>
        <v/>
      </c>
    </row>
    <row r="2085">
      <c r="A2085" t="n">
        <v>7919</v>
      </c>
      <c r="B2085" s="16" t="n">
        <v>44536</v>
      </c>
      <c r="C2085" t="inlineStr">
        <is>
          <t>VTA</t>
        </is>
      </c>
      <c r="D2085" t="n">
        <v>43</v>
      </c>
      <c r="E2085">
        <f>IF(D2488&gt;0,VLOOKUP(OPERAC[[#This Row],[COD CART]],[1]!MatrizCortoLargoCyl[#All],3,0),"")</f>
        <v/>
      </c>
      <c r="F2085" t="inlineStr">
        <is>
          <t>XSPA/CYL-PUT/1,50/20-01-23</t>
        </is>
      </c>
      <c r="G2085" t="n">
        <v>1000</v>
      </c>
      <c r="H2085">
        <f>-0.4462*OPERAC[[#This Row],[cantidad]]</f>
        <v/>
      </c>
      <c r="I2085">
        <f>-H2488/G2488</f>
        <v/>
      </c>
    </row>
    <row r="2086">
      <c r="A2086" t="n">
        <v>7919</v>
      </c>
      <c r="B2086" s="16" t="n">
        <v>44558</v>
      </c>
      <c r="C2086" t="inlineStr">
        <is>
          <t>VTA</t>
        </is>
      </c>
      <c r="D2086" t="n">
        <v>40</v>
      </c>
      <c r="E2086">
        <f>IF(D1425&gt;0,VLOOKUP(OPERAC[[#This Row],[COD CART]],[1]!MatrizCortoLargoCyl[#All],3,0),"")</f>
        <v/>
      </c>
      <c r="F2086" t="inlineStr">
        <is>
          <t>UPST</t>
        </is>
      </c>
      <c r="G2086" t="n">
        <v>1</v>
      </c>
      <c r="H2086" t="n">
        <v>-150.6002</v>
      </c>
      <c r="I2086">
        <f>-H1425/G1425</f>
        <v/>
      </c>
      <c r="J2086" s="16" t="n">
        <v>44606</v>
      </c>
      <c r="K2086">
        <f>+OPERAC[[#This Row],[cantidad]]</f>
        <v/>
      </c>
      <c r="L2086">
        <f>+OPERAC[[#This Row],[cantidad venta]]*98.994</f>
        <v/>
      </c>
    </row>
    <row r="2087">
      <c r="A2087" t="n">
        <v>7919</v>
      </c>
      <c r="B2087" s="16" t="n">
        <v>44582</v>
      </c>
      <c r="C2087" t="inlineStr">
        <is>
          <t>CPR</t>
        </is>
      </c>
      <c r="D2087" t="n">
        <v>40</v>
      </c>
      <c r="E2087">
        <f>IF(D3608&gt;0,VLOOKUP(OPERAC[[#This Row],[COD CART]],[1]!MatrizCortoLargoCyl[#All],3,0),"")</f>
        <v/>
      </c>
      <c r="F2087" t="inlineStr">
        <is>
          <t>NFLX</t>
        </is>
      </c>
      <c r="G2087" t="n">
        <v>2</v>
      </c>
      <c r="H2087" t="n">
        <v>-781.2742000000001</v>
      </c>
      <c r="I2087">
        <f>-H3608/G3608</f>
        <v/>
      </c>
      <c r="J2087" s="16" t="n">
        <v>44593</v>
      </c>
      <c r="K2087">
        <f>+OPERAC[[#This Row],[cantidad]]</f>
        <v/>
      </c>
      <c r="L2087">
        <f>+OPERAC[[#This Row],[cantidad venta]]*448.602</f>
        <v/>
      </c>
    </row>
    <row r="2088">
      <c r="A2088" t="n">
        <v>7919</v>
      </c>
      <c r="B2088" s="16" t="n">
        <v>44608</v>
      </c>
      <c r="C2088" t="inlineStr">
        <is>
          <t>VTA</t>
        </is>
      </c>
      <c r="D2088" t="n">
        <v>40</v>
      </c>
      <c r="E2088">
        <f>IF(D2844&gt;0,VLOOKUP(OPERAC[[#This Row],[COD CART]],[1]!MatrizCortoLargoCyl[#All],3,0),"")</f>
        <v/>
      </c>
      <c r="F2088" t="inlineStr">
        <is>
          <t>NVDA</t>
        </is>
      </c>
      <c r="G2088" t="n">
        <v>2</v>
      </c>
      <c r="H2088" t="n">
        <v>-527.0279999999999</v>
      </c>
      <c r="I2088">
        <f>-H2844/G2844</f>
        <v/>
      </c>
      <c r="J2088" s="16" t="n">
        <v>44616</v>
      </c>
      <c r="K2088">
        <f>+OPERAC[[#This Row],[cantidad]]</f>
        <v/>
      </c>
      <c r="L2088">
        <f>+OPERAC[[#This Row],[cantidad venta]]*224.117</f>
        <v/>
      </c>
    </row>
    <row r="2089">
      <c r="A2089" t="n">
        <v>7919</v>
      </c>
      <c r="B2089" s="16" t="n">
        <v>44628</v>
      </c>
      <c r="C2089" t="inlineStr">
        <is>
          <t>VTA</t>
        </is>
      </c>
      <c r="D2089" t="n">
        <v>40</v>
      </c>
      <c r="E2089">
        <f>IF(D2392&gt;0,VLOOKUP(OPERAC[[#This Row],[COD CART]],[1]!MatrizCortoLargoCyl[#All],3,0),"")</f>
        <v/>
      </c>
      <c r="F2089" t="inlineStr">
        <is>
          <t>CVV</t>
        </is>
      </c>
      <c r="G2089" t="n">
        <v>100</v>
      </c>
      <c r="H2089" t="n">
        <v>-422.4488</v>
      </c>
      <c r="I2089">
        <f>-H2392/G2392</f>
        <v/>
      </c>
      <c r="J2089" s="16" t="n">
        <v>44649</v>
      </c>
      <c r="K2089">
        <f>+OPERAC[[#This Row],[cantidad]]</f>
        <v/>
      </c>
      <c r="L2089">
        <f>+OPERAC[[#This Row],[cantidad venta]]*4.459</f>
        <v/>
      </c>
    </row>
    <row r="2090">
      <c r="A2090" t="n">
        <v>7919</v>
      </c>
      <c r="B2090" s="16" t="n">
        <v>44641</v>
      </c>
      <c r="C2090" t="inlineStr">
        <is>
          <t>VTA</t>
        </is>
      </c>
      <c r="D2090" t="n">
        <v>42</v>
      </c>
      <c r="E2090">
        <f>IF(D2411&gt;0,VLOOKUP(OPERAC[[#This Row],[COD CART]],[1]!MatrizCortoLargoCyl[#All],3,0),"")</f>
        <v/>
      </c>
      <c r="F2090" t="inlineStr">
        <is>
          <t>FB</t>
        </is>
      </c>
      <c r="G2090" t="n">
        <v>2</v>
      </c>
      <c r="H2090" t="n">
        <v>-424.31276</v>
      </c>
      <c r="I2090">
        <f>-H2411/G2411</f>
        <v/>
      </c>
      <c r="J2090" s="16" t="n">
        <v>44671</v>
      </c>
      <c r="K2090">
        <f>+OPERAC[[#This Row],[cantidad]]</f>
        <v/>
      </c>
      <c r="L2090">
        <f>+OPERAC[[#This Row],[cantidad venta]]*213.173</f>
        <v/>
      </c>
    </row>
    <row r="2091">
      <c r="A2091" t="n">
        <v>7919</v>
      </c>
      <c r="B2091" s="16" t="n">
        <v>44649</v>
      </c>
      <c r="C2091" t="inlineStr">
        <is>
          <t>CPR</t>
        </is>
      </c>
      <c r="D2091" t="n">
        <v>42</v>
      </c>
      <c r="E2091">
        <f>IF(D2648&gt;0,VLOOKUP(OPERAC[[#This Row],[COD CART]],[1]!MatrizCortoLargoCyl[#All],3,0),"")</f>
        <v/>
      </c>
      <c r="F2091" t="inlineStr">
        <is>
          <t>CRESY</t>
        </is>
      </c>
      <c r="G2091" t="n">
        <v>60</v>
      </c>
      <c r="H2091" t="n">
        <v>-485.53104</v>
      </c>
      <c r="I2091">
        <f>-H2648/G2648</f>
        <v/>
      </c>
      <c r="J2091" s="16" t="n">
        <v>44657</v>
      </c>
      <c r="K2091">
        <f>+OPERAC[[#This Row],[cantidad]]</f>
        <v/>
      </c>
      <c r="L2091">
        <f>+OPERAC[[#This Row],[cantidad venta]]*7.664</f>
        <v/>
      </c>
    </row>
    <row r="2092">
      <c r="A2092" t="n">
        <v>7919</v>
      </c>
      <c r="B2092" s="16" t="n">
        <v>44662</v>
      </c>
      <c r="C2092" t="inlineStr">
        <is>
          <t>VTA</t>
        </is>
      </c>
      <c r="D2092" t="n">
        <v>42</v>
      </c>
      <c r="E2092">
        <f>IF(D1496&gt;0,VLOOKUP(OPERAC[[#This Row],[COD CART]],[1]!MatrizCortoLargoCyl[#All],3,0),"")</f>
        <v/>
      </c>
      <c r="F2092" t="inlineStr">
        <is>
          <t>HYDR</t>
        </is>
      </c>
      <c r="G2092" t="n">
        <v>10</v>
      </c>
      <c r="H2092" t="n">
        <v>-185.70344</v>
      </c>
      <c r="I2092">
        <f>-H1496/G1496</f>
        <v/>
      </c>
      <c r="J2092" s="16" t="n">
        <v>44693</v>
      </c>
      <c r="K2092">
        <f>+OPERAC[[#This Row],[cantidad]]</f>
        <v/>
      </c>
      <c r="L2092">
        <f>+OPERAC[[#This Row],[cantidad venta]]*12.027</f>
        <v/>
      </c>
    </row>
    <row r="2093">
      <c r="A2093" t="n">
        <v>7919</v>
      </c>
      <c r="B2093" s="16" t="n">
        <v>44671</v>
      </c>
      <c r="C2093" t="inlineStr">
        <is>
          <t>CPR</t>
        </is>
      </c>
      <c r="D2093" t="n">
        <v>42</v>
      </c>
      <c r="E2093">
        <f>IF(D2758&gt;0,VLOOKUP(OPERAC[[#This Row],[COD CART]],[1]!MatrizCortoLargoCyl[#All],3,0),"")</f>
        <v/>
      </c>
      <c r="F2093" t="inlineStr">
        <is>
          <t>NFLX</t>
        </is>
      </c>
      <c r="G2093" t="n">
        <v>2</v>
      </c>
      <c r="H2093" t="n">
        <v>-509.01012</v>
      </c>
      <c r="I2093">
        <f>-H2758/G2758</f>
        <v/>
      </c>
      <c r="J2093" s="16" t="n">
        <v>44693</v>
      </c>
      <c r="K2093">
        <f>+OPERAC[[#This Row],[cantidad]]</f>
        <v/>
      </c>
      <c r="L2093">
        <f>+OPERAC[[#This Row],[cantidad venta]]*169.079</f>
        <v/>
      </c>
    </row>
    <row r="2094">
      <c r="A2094" t="n">
        <v>7919</v>
      </c>
      <c r="B2094" s="16" t="n">
        <v>44721</v>
      </c>
      <c r="C2094" t="inlineStr">
        <is>
          <t>VTA</t>
        </is>
      </c>
      <c r="D2094" t="n">
        <v>32</v>
      </c>
      <c r="E2094">
        <f>IF(D3121&gt;0,VLOOKUP(OPERAC[[#This Row],[COD CART]],[1]!MatrizCortoLargoCyl[#All],3,0),"")</f>
        <v/>
      </c>
      <c r="F2094" t="inlineStr">
        <is>
          <t>SESN/CYL/1,00/18-11-22</t>
        </is>
      </c>
      <c r="G2094" t="n">
        <v>1000</v>
      </c>
      <c r="H2094" t="n">
        <v>-630</v>
      </c>
      <c r="I2094">
        <f>-H3121/G3121</f>
        <v/>
      </c>
    </row>
    <row r="2095">
      <c r="A2095" t="n">
        <v>7925</v>
      </c>
      <c r="B2095" s="16" t="n">
        <v>44466</v>
      </c>
      <c r="C2095" t="inlineStr">
        <is>
          <t>VTA</t>
        </is>
      </c>
      <c r="D2095" t="n">
        <v>43</v>
      </c>
      <c r="E2095">
        <f>IF(D1650&gt;0,VLOOKUP(OPERAC[[#This Row],[COD CART]],[1]!MatrizCortoLargoCyl[#All],3,0),"")</f>
        <v/>
      </c>
      <c r="F2095" t="inlineStr">
        <is>
          <t>SOLO/CYL-PUT/4,00/18-03-22</t>
        </is>
      </c>
      <c r="G2095" t="n">
        <v>100</v>
      </c>
      <c r="H2095">
        <f>-297.41727+0.32*OPERAC[[#This Row],[cantidad]]+0.387*OPERAC[[#This Row],[cantidad]]</f>
        <v/>
      </c>
      <c r="I2095">
        <f>-H1650/G1650</f>
        <v/>
      </c>
      <c r="J2095" s="16" t="n">
        <v>44624</v>
      </c>
      <c r="K2095" t="n">
        <v>100</v>
      </c>
      <c r="L2095" t="n">
        <v>-50.99</v>
      </c>
    </row>
    <row r="2096">
      <c r="A2096" t="n">
        <v>7925</v>
      </c>
      <c r="B2096" s="16" t="n">
        <v>44511</v>
      </c>
      <c r="C2096" t="inlineStr">
        <is>
          <t>VTA</t>
        </is>
      </c>
      <c r="D2096" t="n">
        <v>31</v>
      </c>
      <c r="E2096">
        <f>IF(D1347&gt;0,VLOOKUP(OPERAC[[#This Row],[COD CART]],[1]!MatrizCortoLargoCyl[#All],3,0),"")</f>
        <v/>
      </c>
      <c r="F2096" t="inlineStr">
        <is>
          <t>IPIX</t>
        </is>
      </c>
      <c r="G2096" t="n">
        <v>1000</v>
      </c>
      <c r="H2096" t="n">
        <v>-109.99</v>
      </c>
      <c r="I2096">
        <f>-H1347/G1347</f>
        <v/>
      </c>
      <c r="J2096" s="16" t="n">
        <v>44690</v>
      </c>
      <c r="K2096" t="n">
        <v>1000</v>
      </c>
      <c r="L2096" t="n">
        <v>24.788</v>
      </c>
    </row>
    <row r="2097">
      <c r="A2097" t="n">
        <v>7925</v>
      </c>
      <c r="B2097" s="16" t="n">
        <v>44523</v>
      </c>
      <c r="C2097" t="inlineStr">
        <is>
          <t>VTA</t>
        </is>
      </c>
      <c r="D2097" t="n">
        <v>32</v>
      </c>
      <c r="E2097">
        <f>IF(D3737&gt;0,VLOOKUP(OPERAC[[#This Row],[COD CART]],[1]!MatrizCortoLargoCyl[#All],3,0),"")</f>
        <v/>
      </c>
      <c r="F2097" t="inlineStr">
        <is>
          <t>TEVA/CYL/9,00/21-01-22</t>
        </is>
      </c>
      <c r="G2097" t="n">
        <v>100</v>
      </c>
      <c r="H2097">
        <f>-861.6332+18.874</f>
        <v/>
      </c>
      <c r="I2097">
        <f>-H3737/G3737</f>
        <v/>
      </c>
      <c r="J2097" s="16" t="n">
        <v>44575</v>
      </c>
      <c r="K2097" t="n">
        <v>100</v>
      </c>
      <c r="L2097" t="n">
        <v>878.913</v>
      </c>
    </row>
    <row r="2098">
      <c r="A2098" t="n">
        <v>7925</v>
      </c>
      <c r="B2098" s="16" t="n">
        <v>44531</v>
      </c>
      <c r="C2098" t="inlineStr">
        <is>
          <t>VTA</t>
        </is>
      </c>
      <c r="D2098" t="n">
        <v>39</v>
      </c>
      <c r="E2098">
        <f>IF(D1239&gt;0,VLOOKUP(OPERAC[[#This Row],[COD CART]],[1]!MatrizCortoLargoCyl[#All],3,0),"")</f>
        <v/>
      </c>
      <c r="F2098" t="inlineStr">
        <is>
          <t>MELI/V/740,00/16-09-22</t>
        </is>
      </c>
      <c r="G2098" t="n">
        <v>-2</v>
      </c>
      <c r="H2098">
        <f>-2*OPERAC[[#This Row],[cantidad]]</f>
        <v/>
      </c>
      <c r="I2098">
        <f>-H1239/G1239</f>
        <v/>
      </c>
      <c r="J2098" s="16" t="n">
        <v>44614</v>
      </c>
      <c r="K2098">
        <f>-1-1</f>
        <v/>
      </c>
      <c r="L2098">
        <f>-2-2</f>
        <v/>
      </c>
    </row>
    <row r="2099">
      <c r="A2099" t="n">
        <v>7925</v>
      </c>
      <c r="B2099" s="16" t="n">
        <v>44547</v>
      </c>
      <c r="C2099" t="inlineStr">
        <is>
          <t>VTA</t>
        </is>
      </c>
      <c r="D2099" t="n">
        <v>32</v>
      </c>
      <c r="E2099">
        <f>IF(D3786&gt;0,VLOOKUP(OPERAC[[#This Row],[COD CART]],[1]!MatrizCortoLargoCyl[#All],3,0),"")</f>
        <v/>
      </c>
      <c r="F2099" t="inlineStr">
        <is>
          <t>ARLO/CYL/9,00/18-02-22</t>
        </is>
      </c>
      <c r="G2099" t="n">
        <v>100</v>
      </c>
      <c r="H2099">
        <f>-866.74+14.88</f>
        <v/>
      </c>
      <c r="I2099">
        <f>-H3786/G3786</f>
        <v/>
      </c>
      <c r="J2099" s="16" t="n">
        <v>44607</v>
      </c>
      <c r="K2099" t="n">
        <v>100</v>
      </c>
      <c r="L2099" t="n">
        <v>875.33</v>
      </c>
    </row>
    <row r="2100">
      <c r="A2100" t="n">
        <v>7925</v>
      </c>
      <c r="B2100" s="16" t="n">
        <v>44552</v>
      </c>
      <c r="C2100" t="inlineStr">
        <is>
          <t>CPR</t>
        </is>
      </c>
      <c r="D2100" t="n">
        <v>32</v>
      </c>
      <c r="E2100">
        <f>IF(D3470&gt;0,VLOOKUP(OPERAC[[#This Row],[COD CART]],[1]!MatrizCortoLargoCyl[#All],3,0),"")</f>
        <v/>
      </c>
      <c r="F2100" t="inlineStr">
        <is>
          <t>HMY/CYL/4,00/21-01-22</t>
        </is>
      </c>
      <c r="G2100" t="n">
        <v>200</v>
      </c>
      <c r="H2100">
        <f>-3.8*OPERAC[[#This Row],[cantidad]]</f>
        <v/>
      </c>
      <c r="I2100">
        <f>-H3470/G3470</f>
        <v/>
      </c>
      <c r="J2100" s="16" t="n">
        <v>44580</v>
      </c>
      <c r="K2100" t="n">
        <v>200</v>
      </c>
      <c r="L2100" t="n">
        <v>787.86</v>
      </c>
    </row>
    <row r="2101">
      <c r="A2101" t="n">
        <v>7925</v>
      </c>
      <c r="B2101" s="16" t="n">
        <v>44553</v>
      </c>
      <c r="C2101" t="inlineStr">
        <is>
          <t>VTA</t>
        </is>
      </c>
      <c r="D2101" t="n">
        <v>40</v>
      </c>
      <c r="E2101">
        <f>IF(D1803&gt;0,VLOOKUP(OPERAC[[#This Row],[COD CART]],[1]!MatrizCortoLargoCyl[#All],3,0),"")</f>
        <v/>
      </c>
      <c r="F2101" t="inlineStr">
        <is>
          <t>ON</t>
        </is>
      </c>
      <c r="G2101" t="n">
        <v>4</v>
      </c>
      <c r="H2101" t="n">
        <v>-268.4544319999999</v>
      </c>
      <c r="I2101">
        <f>-H1803/G1803</f>
        <v/>
      </c>
      <c r="J2101" s="16" t="n">
        <v>44581</v>
      </c>
      <c r="K2101" t="n">
        <v>4</v>
      </c>
      <c r="L2101" t="n">
        <v>233.552</v>
      </c>
    </row>
    <row r="2102">
      <c r="A2102" t="n">
        <v>7925</v>
      </c>
      <c r="B2102" s="16" t="n">
        <v>44575</v>
      </c>
      <c r="C2102" t="inlineStr">
        <is>
          <t>VTA</t>
        </is>
      </c>
      <c r="D2102" t="n">
        <v>40</v>
      </c>
      <c r="E2102">
        <f>IF(D1994&gt;0,VLOOKUP(OPERAC[[#This Row],[COD CART]],[1]!MatrizCortoLargoCyl[#All],3,0),"")</f>
        <v/>
      </c>
      <c r="F2102" t="inlineStr">
        <is>
          <t>GBTC</t>
        </is>
      </c>
      <c r="G2102" t="n">
        <v>10</v>
      </c>
      <c r="H2102" t="n">
        <v>-308.0948</v>
      </c>
      <c r="I2102">
        <f>-H1994/G1994</f>
        <v/>
      </c>
      <c r="J2102" s="16" t="n">
        <v>44651</v>
      </c>
      <c r="K2102">
        <f>+OPERAC[[#This Row],[cantidad]]</f>
        <v/>
      </c>
      <c r="L2102">
        <f>+OPERAC[[#This Row],[cantidad venta]]*31.332</f>
        <v/>
      </c>
    </row>
    <row r="2103">
      <c r="A2103" t="n">
        <v>7925</v>
      </c>
      <c r="B2103" s="16" t="n">
        <v>44608</v>
      </c>
      <c r="C2103" t="inlineStr">
        <is>
          <t>VTA</t>
        </is>
      </c>
      <c r="D2103" t="n">
        <v>40</v>
      </c>
      <c r="E2103">
        <f>IF(D1782&gt;0,VLOOKUP(OPERAC[[#This Row],[COD CART]],[1]!MatrizCortoLargoCyl[#All],3,0),"")</f>
        <v/>
      </c>
      <c r="F2103" t="inlineStr">
        <is>
          <t>NVDA</t>
        </is>
      </c>
      <c r="G2103" t="n">
        <v>1</v>
      </c>
      <c r="H2103" t="n">
        <v>-263.514</v>
      </c>
      <c r="I2103">
        <f>-H1782/G1782</f>
        <v/>
      </c>
      <c r="J2103" s="16" t="n">
        <v>44616</v>
      </c>
      <c r="K2103">
        <f>+OPERAC[[#This Row],[cantidad]]</f>
        <v/>
      </c>
      <c r="L2103">
        <f>+OPERAC[[#This Row],[cantidad venta]]*224.117</f>
        <v/>
      </c>
    </row>
    <row r="2104">
      <c r="A2104" t="n">
        <v>7925</v>
      </c>
      <c r="B2104" s="16" t="n">
        <v>44614</v>
      </c>
      <c r="C2104" t="inlineStr">
        <is>
          <t>VTA</t>
        </is>
      </c>
      <c r="D2104" t="n">
        <v>39</v>
      </c>
      <c r="E2104">
        <f>IF(D1010&gt;0,VLOOKUP(OPERAC[[#This Row],[COD CART]],[1]!MatrizCortoLargoCyl[#All],3,0),"")</f>
        <v/>
      </c>
      <c r="F2104" t="inlineStr">
        <is>
          <t>ACB/V/4,00/20-01-23</t>
        </is>
      </c>
      <c r="G2104" t="n">
        <v>-50</v>
      </c>
      <c r="H2104" t="n">
        <v>64.33</v>
      </c>
      <c r="I2104">
        <f>-H1010/G1010</f>
        <v/>
      </c>
      <c r="J2104" s="16" t="n">
        <v>44628</v>
      </c>
      <c r="K2104">
        <f>-5-4-3-5-33</f>
        <v/>
      </c>
      <c r="L2104">
        <f>-8.07-6.07557-4.84-7.81588-62.56</f>
        <v/>
      </c>
    </row>
    <row r="2105">
      <c r="A2105" t="n">
        <v>7925</v>
      </c>
      <c r="B2105" s="16" t="n">
        <v>44615</v>
      </c>
      <c r="C2105" t="inlineStr">
        <is>
          <t>VTA</t>
        </is>
      </c>
      <c r="D2105" t="n">
        <v>39</v>
      </c>
      <c r="E2105">
        <f>IF(D1141&gt;0,VLOOKUP(OPERAC[[#This Row],[COD CART]],[1]!MatrizCortoLargoCyl[#All],3,0),"")</f>
        <v/>
      </c>
      <c r="F2105" t="inlineStr">
        <is>
          <t>TSLA/V/380,00/20-01-23</t>
        </is>
      </c>
      <c r="G2105" t="n">
        <v>-1</v>
      </c>
      <c r="H2105" t="n">
        <v>18.84</v>
      </c>
      <c r="I2105">
        <f>-H1141/G1141</f>
        <v/>
      </c>
    </row>
    <row r="2106">
      <c r="A2106" t="n">
        <v>7925</v>
      </c>
      <c r="B2106" s="16" t="n">
        <v>44622</v>
      </c>
      <c r="C2106" t="inlineStr">
        <is>
          <t>CPR</t>
        </is>
      </c>
      <c r="D2106" t="n">
        <v>32</v>
      </c>
      <c r="E2106">
        <f>IF(D4055&gt;0,VLOOKUP(OPERAC[[#This Row],[COD CART]],[1]!MatrizCortoLargoCyl[#All],3,0),"")</f>
        <v/>
      </c>
      <c r="F2106" t="inlineStr">
        <is>
          <t>SABR/CYL/10,00/14-04-22</t>
        </is>
      </c>
      <c r="G2106" t="n">
        <v>100</v>
      </c>
      <c r="H2106" t="n">
        <v>-928.9848000000001</v>
      </c>
      <c r="I2106">
        <f>-H4055/G4055</f>
        <v/>
      </c>
      <c r="J2106" s="16" t="n">
        <v>44649</v>
      </c>
      <c r="K2106" t="n">
        <v>100</v>
      </c>
      <c r="L2106" t="n">
        <v>982.1799999999999</v>
      </c>
    </row>
    <row r="2107">
      <c r="A2107" t="n">
        <v>7925</v>
      </c>
      <c r="B2107" s="16" t="n">
        <v>44634</v>
      </c>
      <c r="C2107" t="inlineStr">
        <is>
          <t>VTA</t>
        </is>
      </c>
      <c r="D2107" t="n">
        <v>42</v>
      </c>
      <c r="E2107">
        <f>IF(D2084&gt;0,VLOOKUP(OPERAC[[#This Row],[COD CART]],[1]!MatrizCortoLargoCyl[#All],3,0),"")</f>
        <v/>
      </c>
      <c r="F2107" t="inlineStr">
        <is>
          <t>INO</t>
        </is>
      </c>
      <c r="G2107" t="n">
        <v>100</v>
      </c>
      <c r="H2107" t="n">
        <v>-332.0816</v>
      </c>
      <c r="I2107">
        <f>-H2084/G2084</f>
        <v/>
      </c>
      <c r="J2107" s="16" t="n">
        <v>44634</v>
      </c>
      <c r="K2107" t="n">
        <v>100</v>
      </c>
      <c r="L2107" t="n">
        <v>298.8855</v>
      </c>
    </row>
    <row r="2108">
      <c r="A2108" t="n">
        <v>7925</v>
      </c>
      <c r="B2108" s="16" t="n">
        <v>44641</v>
      </c>
      <c r="C2108" t="inlineStr">
        <is>
          <t>VTA</t>
        </is>
      </c>
      <c r="D2108" t="n">
        <v>42</v>
      </c>
      <c r="E2108">
        <f>IF(D1401&gt;0,VLOOKUP(OPERAC[[#This Row],[COD CART]],[1]!MatrizCortoLargoCyl[#All],3,0),"")</f>
        <v/>
      </c>
      <c r="F2108" t="inlineStr">
        <is>
          <t>JPM</t>
        </is>
      </c>
      <c r="G2108" t="n">
        <v>1</v>
      </c>
      <c r="H2108" t="n">
        <v>-140.45434</v>
      </c>
      <c r="I2108">
        <f>-H1401/G1401</f>
        <v/>
      </c>
      <c r="J2108" s="16" t="n">
        <v>44664</v>
      </c>
      <c r="K2108">
        <f>+OPERAC[[#This Row],[cantidad]]</f>
        <v/>
      </c>
      <c r="L2108">
        <f>+OPERAC[[#This Row],[cantidad venta]]*125.943</f>
        <v/>
      </c>
    </row>
    <row r="2109">
      <c r="A2109" t="n">
        <v>7925</v>
      </c>
      <c r="B2109" s="16" t="n">
        <v>44641</v>
      </c>
      <c r="C2109" t="inlineStr">
        <is>
          <t>VTA</t>
        </is>
      </c>
      <c r="D2109" t="n">
        <v>42</v>
      </c>
      <c r="E2109">
        <f>IF(D1598&gt;0,VLOOKUP(OPERAC[[#This Row],[COD CART]],[1]!MatrizCortoLargoCyl[#All],3,0),"")</f>
        <v/>
      </c>
      <c r="F2109" t="inlineStr">
        <is>
          <t>FB</t>
        </is>
      </c>
      <c r="G2109" t="n">
        <v>1</v>
      </c>
      <c r="H2109" t="n">
        <v>-212.15638</v>
      </c>
      <c r="I2109">
        <f>-H1598/G1598</f>
        <v/>
      </c>
      <c r="J2109" s="16" t="n">
        <v>44671</v>
      </c>
      <c r="K2109">
        <f>+OPERAC[[#This Row],[cantidad]]</f>
        <v/>
      </c>
      <c r="L2109">
        <f>+OPERAC[[#This Row],[cantidad venta]]*213.173</f>
        <v/>
      </c>
    </row>
    <row r="2110">
      <c r="A2110" t="n">
        <v>7925</v>
      </c>
      <c r="B2110" s="16" t="n">
        <v>44649</v>
      </c>
      <c r="C2110" t="inlineStr">
        <is>
          <t>VTA</t>
        </is>
      </c>
      <c r="D2110" t="n">
        <v>42</v>
      </c>
      <c r="E2110">
        <f>IF(D1414&gt;0,VLOOKUP(OPERAC[[#This Row],[COD CART]],[1]!MatrizCortoLargoCyl[#All],3,0),"")</f>
        <v/>
      </c>
      <c r="F2110" t="inlineStr">
        <is>
          <t>JPM</t>
        </is>
      </c>
      <c r="G2110" t="n">
        <v>1</v>
      </c>
      <c r="H2110" t="n">
        <v>-142.38173</v>
      </c>
      <c r="I2110">
        <f>-H1414/G1414</f>
        <v/>
      </c>
      <c r="J2110" s="16" t="n">
        <v>44664</v>
      </c>
      <c r="K2110">
        <f>+OPERAC[[#This Row],[cantidad]]</f>
        <v/>
      </c>
      <c r="L2110">
        <f>+OPERAC[[#This Row],[cantidad venta]]*125.943</f>
        <v/>
      </c>
    </row>
    <row r="2111">
      <c r="A2111" t="n">
        <v>7925</v>
      </c>
      <c r="B2111" s="16" t="n">
        <v>44649</v>
      </c>
      <c r="C2111" t="inlineStr">
        <is>
          <t>VTA</t>
        </is>
      </c>
      <c r="D2111" t="n">
        <v>42</v>
      </c>
      <c r="E2111">
        <f>IF(D1668&gt;0,VLOOKUP(OPERAC[[#This Row],[COD CART]],[1]!MatrizCortoLargoCyl[#All],3,0),"")</f>
        <v/>
      </c>
      <c r="F2111" t="inlineStr">
        <is>
          <t>FB</t>
        </is>
      </c>
      <c r="G2111" t="n">
        <v>1</v>
      </c>
      <c r="H2111" t="n">
        <v>-232.63644</v>
      </c>
      <c r="I2111">
        <f>-H1668/G1668</f>
        <v/>
      </c>
      <c r="J2111" s="16" t="n">
        <v>44671</v>
      </c>
      <c r="K2111">
        <f>+OPERAC[[#This Row],[cantidad]]</f>
        <v/>
      </c>
      <c r="L2111">
        <f>+OPERAC[[#This Row],[cantidad venta]]*213.173</f>
        <v/>
      </c>
    </row>
    <row r="2112">
      <c r="A2112" t="n">
        <v>7925</v>
      </c>
      <c r="B2112" s="16" t="n">
        <v>44649</v>
      </c>
      <c r="C2112" t="inlineStr">
        <is>
          <t>VTA</t>
        </is>
      </c>
      <c r="D2112" t="n">
        <v>42</v>
      </c>
      <c r="E2112">
        <f>IF(D2996&gt;0,VLOOKUP(OPERAC[[#This Row],[COD CART]],[1]!MatrizCortoLargoCyl[#All],3,0),"")</f>
        <v/>
      </c>
      <c r="F2112" t="inlineStr">
        <is>
          <t>SMH</t>
        </is>
      </c>
      <c r="G2112" t="n">
        <v>2</v>
      </c>
      <c r="H2112" t="n">
        <v>-573.31816</v>
      </c>
      <c r="I2112">
        <f>-H2996/G2996</f>
        <v/>
      </c>
      <c r="J2112" s="16" t="n">
        <v>44663</v>
      </c>
      <c r="K2112">
        <f>+OPERAC[[#This Row],[cantidad]]</f>
        <v/>
      </c>
      <c r="L2112">
        <f>+OPERAC[[#This Row],[cantidad venta]]*238.066</f>
        <v/>
      </c>
    </row>
    <row r="2113">
      <c r="A2113" t="n">
        <v>7925</v>
      </c>
      <c r="B2113" s="16" t="n">
        <v>44651</v>
      </c>
      <c r="C2113" t="inlineStr">
        <is>
          <t>VTA</t>
        </is>
      </c>
      <c r="D2113" t="n">
        <v>42</v>
      </c>
      <c r="E2113">
        <f>IF(D2124&gt;0,VLOOKUP(OPERAC[[#This Row],[COD CART]],[1]!MatrizCortoLargoCyl[#All],3,0),"")</f>
        <v/>
      </c>
      <c r="F2113" t="inlineStr">
        <is>
          <t>AMD</t>
        </is>
      </c>
      <c r="G2113" t="n">
        <v>3</v>
      </c>
      <c r="H2113" t="n">
        <v>-341.69676</v>
      </c>
      <c r="I2113">
        <f>-H2124/G2124</f>
        <v/>
      </c>
      <c r="J2113" s="16" t="n">
        <v>44690</v>
      </c>
      <c r="K2113" t="n">
        <v>3</v>
      </c>
      <c r="L2113" t="n">
        <v>257.919</v>
      </c>
    </row>
    <row r="2114">
      <c r="A2114" t="n">
        <v>7925</v>
      </c>
      <c r="B2114" s="16" t="n">
        <v>44662</v>
      </c>
      <c r="C2114" t="inlineStr">
        <is>
          <t>VTA</t>
        </is>
      </c>
      <c r="D2114" t="n">
        <v>42</v>
      </c>
      <c r="E2114">
        <f>IF(D1300&gt;0,VLOOKUP(OPERAC[[#This Row],[COD CART]],[1]!MatrizCortoLargoCyl[#All],3,0),"")</f>
        <v/>
      </c>
      <c r="F2114" t="inlineStr">
        <is>
          <t>HYDR</t>
        </is>
      </c>
      <c r="G2114" t="n">
        <v>5</v>
      </c>
      <c r="H2114" t="n">
        <v>-92.85172000000001</v>
      </c>
      <c r="I2114">
        <f>-H1300/G1300</f>
        <v/>
      </c>
      <c r="J2114" s="16" t="n">
        <v>44690</v>
      </c>
      <c r="K2114" t="n">
        <v>5</v>
      </c>
      <c r="L2114" t="n">
        <v>65.935</v>
      </c>
    </row>
    <row r="2115">
      <c r="A2115" t="n">
        <v>7925</v>
      </c>
      <c r="B2115" s="16" t="n">
        <v>44669</v>
      </c>
      <c r="C2115" t="inlineStr">
        <is>
          <t>VTA</t>
        </is>
      </c>
      <c r="D2115" t="n">
        <v>32</v>
      </c>
      <c r="E2115">
        <f>IF(D2528&gt;0,VLOOKUP(OPERAC[[#This Row],[COD CART]],[1]!MatrizCortoLargoCyl[#All],3,0),"")</f>
        <v/>
      </c>
      <c r="F2115" t="inlineStr">
        <is>
          <t>HMY/CYL/5,00/20-05-22</t>
        </is>
      </c>
      <c r="G2115" t="n">
        <v>100</v>
      </c>
      <c r="H2115">
        <f>-4.64*OPERAC[[#This Row],[cantidad]]</f>
        <v/>
      </c>
      <c r="I2115">
        <f>-H2528/G2528</f>
        <v/>
      </c>
      <c r="J2115" s="16" t="n">
        <v>44691</v>
      </c>
      <c r="K2115" t="n">
        <v>100</v>
      </c>
      <c r="L2115" t="n">
        <v>362.889</v>
      </c>
    </row>
    <row r="2116">
      <c r="A2116" t="n">
        <v>7925</v>
      </c>
      <c r="B2116" s="16" t="n">
        <v>44671</v>
      </c>
      <c r="C2116" t="inlineStr">
        <is>
          <t>CPR</t>
        </is>
      </c>
      <c r="D2116" t="n">
        <v>42</v>
      </c>
      <c r="E2116">
        <f>IF(D2759&gt;0,VLOOKUP(OPERAC[[#This Row],[COD CART]],[1]!MatrizCortoLargoCyl[#All],3,0),"")</f>
        <v/>
      </c>
      <c r="F2116" t="inlineStr">
        <is>
          <t>NFLX</t>
        </is>
      </c>
      <c r="G2116" t="n">
        <v>2</v>
      </c>
      <c r="H2116" t="n">
        <v>-509.01012</v>
      </c>
      <c r="I2116">
        <f>-H2759/G2759</f>
        <v/>
      </c>
      <c r="J2116" s="16" t="n">
        <v>44690</v>
      </c>
      <c r="K2116" t="n">
        <v>2</v>
      </c>
      <c r="L2116" t="n">
        <v>345.379</v>
      </c>
    </row>
    <row r="2117">
      <c r="A2117" t="n">
        <v>7925</v>
      </c>
      <c r="B2117" s="16" t="n">
        <v>44690</v>
      </c>
      <c r="C2117" t="inlineStr">
        <is>
          <t>VTA</t>
        </is>
      </c>
      <c r="D2117" t="n">
        <v>39</v>
      </c>
      <c r="E2117">
        <f>IF(D926&gt;0,VLOOKUP(OPERAC[[#This Row],[COD CART]],[1]!MatrizCortoLargoCyl[#All],3,0),"")</f>
        <v/>
      </c>
      <c r="F2117" t="inlineStr">
        <is>
          <t>TSLA/V/550,00/17-06-22</t>
        </is>
      </c>
      <c r="G2117" t="n">
        <v>-10</v>
      </c>
      <c r="H2117" t="n">
        <v>114.51</v>
      </c>
      <c r="I2117">
        <f>-H926/G926</f>
        <v/>
      </c>
    </row>
    <row r="2118">
      <c r="A2118" t="n">
        <v>7925</v>
      </c>
      <c r="B2118" s="16" t="n">
        <v>44690</v>
      </c>
      <c r="C2118" t="inlineStr">
        <is>
          <t>VTA</t>
        </is>
      </c>
      <c r="D2118" t="n">
        <v>39</v>
      </c>
      <c r="E2118">
        <f>IF(D997&gt;0,VLOOKUP(OPERAC[[#This Row],[COD CART]],[1]!MatrizCortoLargoCyl[#All],3,0),"")</f>
        <v/>
      </c>
      <c r="F2118" t="inlineStr">
        <is>
          <t>TSLA/V/380,00/20-01-23</t>
        </is>
      </c>
      <c r="G2118" t="n">
        <v>-3</v>
      </c>
      <c r="H2118" t="n">
        <v>69.15000000000001</v>
      </c>
      <c r="I2118">
        <f>-H997/G997</f>
        <v/>
      </c>
    </row>
    <row r="2119">
      <c r="A2119" t="n">
        <v>7925</v>
      </c>
      <c r="B2119" s="16" t="n">
        <v>44713</v>
      </c>
      <c r="C2119" t="inlineStr">
        <is>
          <t>CPR</t>
        </is>
      </c>
      <c r="D2119" t="n">
        <v>42</v>
      </c>
      <c r="E2119">
        <f>IF(D2635&gt;0,VLOOKUP(OPERAC[[#This Row],[COD CART]],[1]!MatrizCortoLargoCyl[#All],3,0),"")</f>
        <v/>
      </c>
      <c r="F2119" t="inlineStr">
        <is>
          <t>UPST</t>
        </is>
      </c>
      <c r="G2119" t="n">
        <v>10</v>
      </c>
      <c r="H2119" t="n">
        <v>-481.4682</v>
      </c>
      <c r="I2119">
        <f>-H2635/G2635</f>
        <v/>
      </c>
      <c r="J2119" s="16" t="n">
        <v>44714</v>
      </c>
      <c r="K2119">
        <f>+OPERAC[[#This Row],[cantidad]]</f>
        <v/>
      </c>
      <c r="L2119">
        <f>+OPERAC[[#This Row],[cantidad venta]]*49.312</f>
        <v/>
      </c>
    </row>
    <row r="2120">
      <c r="A2120" t="n">
        <v>7925</v>
      </c>
      <c r="B2120" s="16" t="n">
        <v>44718</v>
      </c>
      <c r="C2120" t="inlineStr">
        <is>
          <t>CPR</t>
        </is>
      </c>
      <c r="D2120" t="n">
        <v>32</v>
      </c>
      <c r="E2120">
        <f>IF(D4599&gt;0,VLOOKUP(OPERAC[[#This Row],[COD CART]],[1]!MatrizCortoLargoCyl[#All],3,0),"")</f>
        <v/>
      </c>
      <c r="F2120" t="inlineStr">
        <is>
          <t>CCL/CYL/13,00/17-06-22</t>
        </is>
      </c>
      <c r="G2120" t="n">
        <v>100</v>
      </c>
      <c r="H2120" t="n">
        <v>-1255.43</v>
      </c>
      <c r="I2120">
        <f>-H4599/G4599</f>
        <v/>
      </c>
    </row>
    <row r="2121">
      <c r="A2121" t="n">
        <v>7939</v>
      </c>
      <c r="B2121" s="16" t="n">
        <v>44562</v>
      </c>
      <c r="C2121" t="inlineStr">
        <is>
          <t>CPR</t>
        </is>
      </c>
      <c r="D2121" t="n">
        <v>41</v>
      </c>
      <c r="E2121">
        <f>IF(D6093&gt;0,VLOOKUP(OPERAC[[#This Row],[COD CART]],[1]!MatrizCortoLargoCyl[#All],3,0),"")</f>
        <v/>
      </c>
      <c r="F2121" t="inlineStr">
        <is>
          <t>IPIX</t>
        </is>
      </c>
      <c r="G2121" t="n">
        <v>50000</v>
      </c>
      <c r="H2121">
        <f>-0.08144*OPERAC[[#This Row],[cantidad]]</f>
        <v/>
      </c>
      <c r="I2121">
        <f>-H6093/G6093</f>
        <v/>
      </c>
    </row>
    <row r="2122">
      <c r="A2122" t="n">
        <v>7939</v>
      </c>
      <c r="B2122" s="16" t="n">
        <v>44562</v>
      </c>
      <c r="C2122" t="inlineStr">
        <is>
          <t>CPR</t>
        </is>
      </c>
      <c r="D2122" t="n">
        <v>41</v>
      </c>
      <c r="E2122">
        <f>IF(D6306&gt;0,VLOOKUP(OPERAC[[#This Row],[COD CART]],[1]!MatrizCortoLargoCyl[#All],3,0),"")</f>
        <v/>
      </c>
      <c r="F2122" t="inlineStr">
        <is>
          <t>BYND</t>
        </is>
      </c>
      <c r="G2122" t="n">
        <v>150</v>
      </c>
      <c r="H2122">
        <f>-77.06*OPERAC[[#This Row],[cantidad]]</f>
        <v/>
      </c>
      <c r="I2122">
        <f>-H6306/G6306</f>
        <v/>
      </c>
    </row>
    <row r="2123">
      <c r="A2123" t="n">
        <v>7939</v>
      </c>
      <c r="B2123" s="16" t="n">
        <v>44562</v>
      </c>
      <c r="C2123" t="inlineStr">
        <is>
          <t>CPR</t>
        </is>
      </c>
      <c r="D2123" t="n">
        <v>41</v>
      </c>
      <c r="E2123">
        <f>IF(D6327&gt;0,VLOOKUP(OPERAC[[#This Row],[COD CART]],[1]!MatrizCortoLargoCyl[#All],3,0),"")</f>
        <v/>
      </c>
      <c r="F2123" t="inlineStr">
        <is>
          <t>HEXO</t>
        </is>
      </c>
      <c r="G2123" t="n">
        <v>54400</v>
      </c>
      <c r="H2123">
        <f>-OPERAC[[#This Row],[cantidad]]*1.36</f>
        <v/>
      </c>
      <c r="I2123">
        <f>-H6327/G6327</f>
        <v/>
      </c>
    </row>
    <row r="2124">
      <c r="A2124" t="n">
        <v>7939</v>
      </c>
      <c r="B2124" s="16" t="n">
        <v>44693</v>
      </c>
      <c r="C2124" t="inlineStr">
        <is>
          <t>CPR</t>
        </is>
      </c>
      <c r="D2124" t="n">
        <v>41</v>
      </c>
      <c r="E2124">
        <f>IF(D6177&gt;0,VLOOKUP(OPERAC[[#This Row],[COD CART]],[1]!MatrizCortoLargoCyl[#All],3,0),"")</f>
        <v/>
      </c>
      <c r="F2124" t="inlineStr">
        <is>
          <t>IPIX</t>
        </is>
      </c>
      <c r="G2124" t="n">
        <v>170000</v>
      </c>
      <c r="H2124" t="n">
        <v>-5115.3</v>
      </c>
      <c r="I2124">
        <f>-H6177/G6177</f>
        <v/>
      </c>
    </row>
    <row r="2125">
      <c r="A2125" t="n">
        <v>7939</v>
      </c>
      <c r="B2125" s="16" t="n">
        <v>44704</v>
      </c>
      <c r="C2125" t="inlineStr">
        <is>
          <t>CPR</t>
        </is>
      </c>
      <c r="D2125" t="n">
        <v>41</v>
      </c>
      <c r="E2125">
        <f>IF(D6321&gt;0,VLOOKUP(OPERAC[[#This Row],[COD CART]],[1]!MatrizCortoLargoCyl[#All],3,0),"")</f>
        <v/>
      </c>
      <c r="F2125" t="inlineStr">
        <is>
          <t>TLRY</t>
        </is>
      </c>
      <c r="G2125" t="n">
        <v>4000</v>
      </c>
      <c r="H2125" t="n">
        <v>-18309.2</v>
      </c>
      <c r="I2125">
        <f>-H6321/G6321</f>
        <v/>
      </c>
    </row>
    <row r="2126">
      <c r="A2126" t="n">
        <v>7939</v>
      </c>
      <c r="B2126" s="16" t="n">
        <v>44705</v>
      </c>
      <c r="C2126" t="inlineStr">
        <is>
          <t>CPR</t>
        </is>
      </c>
      <c r="D2126" t="n">
        <v>41</v>
      </c>
      <c r="E2126">
        <f>IF(D6243&gt;0,VLOOKUP(OPERAC[[#This Row],[COD CART]],[1]!MatrizCortoLargoCyl[#All],3,0),"")</f>
        <v/>
      </c>
      <c r="F2126" t="inlineStr">
        <is>
          <t>HEXO</t>
        </is>
      </c>
      <c r="G2126" t="n">
        <v>25000</v>
      </c>
      <c r="H2126" t="n">
        <v>-6470.625</v>
      </c>
      <c r="I2126">
        <f>-H6243/G6243</f>
        <v/>
      </c>
    </row>
    <row r="2127">
      <c r="A2127" t="n">
        <v>7939</v>
      </c>
      <c r="B2127" s="16" t="n">
        <v>44714</v>
      </c>
      <c r="C2127" t="inlineStr">
        <is>
          <t>VTA</t>
        </is>
      </c>
      <c r="D2127" t="n">
        <v>41</v>
      </c>
      <c r="E2127">
        <f>IF(D1259&gt;0,VLOOKUP(OPERAC[[#This Row],[COD CART]],[1]!MatrizCortoLargoCyl[#All],3,0),"")</f>
        <v/>
      </c>
      <c r="F2127" t="inlineStr">
        <is>
          <t>HEXO</t>
        </is>
      </c>
      <c r="G2127" t="n">
        <v>26</v>
      </c>
      <c r="H2127" t="n">
        <v>-6.9222</v>
      </c>
      <c r="I2127">
        <f>-H1259/G1259</f>
        <v/>
      </c>
    </row>
    <row r="2128">
      <c r="A2128" t="n">
        <v>7939</v>
      </c>
      <c r="B2128" s="16" t="n">
        <v>44715</v>
      </c>
      <c r="C2128" t="inlineStr">
        <is>
          <t>CPR</t>
        </is>
      </c>
      <c r="D2128" t="n">
        <v>41</v>
      </c>
      <c r="E2128">
        <f>IF(D6157&gt;0,VLOOKUP(OPERAC[[#This Row],[COD CART]],[1]!MatrizCortoLargoCyl[#All],3,0),"")</f>
        <v/>
      </c>
      <c r="F2128" t="inlineStr">
        <is>
          <t>HEXO</t>
        </is>
      </c>
      <c r="G2128" t="n">
        <v>20000</v>
      </c>
      <c r="H2128" t="n">
        <v>-4886.31</v>
      </c>
      <c r="I2128">
        <f>-H6157/G6157</f>
        <v/>
      </c>
    </row>
    <row r="2129">
      <c r="A2129" t="n">
        <v>7939</v>
      </c>
      <c r="B2129" s="16" t="n">
        <v>44718</v>
      </c>
      <c r="C2129" t="inlineStr">
        <is>
          <t>CPR</t>
        </is>
      </c>
      <c r="D2129" t="n">
        <v>41</v>
      </c>
      <c r="E2129">
        <f>IF(D6322&gt;0,VLOOKUP(OPERAC[[#This Row],[COD CART]],[1]!MatrizCortoLargoCyl[#All],3,0),"")</f>
        <v/>
      </c>
      <c r="F2129" t="inlineStr">
        <is>
          <t>HEXO</t>
        </is>
      </c>
      <c r="G2129" t="n">
        <v>80000</v>
      </c>
      <c r="H2129" t="n">
        <v>-19975.2</v>
      </c>
      <c r="I2129">
        <f>-H6322/G6322</f>
        <v/>
      </c>
    </row>
    <row r="2130">
      <c r="A2130" t="n">
        <v>7950</v>
      </c>
      <c r="B2130" s="16" t="n">
        <v>44680</v>
      </c>
      <c r="C2130" t="inlineStr">
        <is>
          <t>CPR</t>
        </is>
      </c>
      <c r="D2130" t="n">
        <v>31</v>
      </c>
      <c r="E2130">
        <f>IF(D3236&gt;0,VLOOKUP(OPERAC[[#This Row],[COD CART]],[1]!MatrizCortoLargoCyl[#All],3,0),"")</f>
        <v/>
      </c>
      <c r="F2130" t="inlineStr">
        <is>
          <t>TGS</t>
        </is>
      </c>
      <c r="G2130" t="n">
        <v>100</v>
      </c>
      <c r="H2130" t="n">
        <v>-664.58</v>
      </c>
      <c r="I2130">
        <f>-H3236/G3236</f>
        <v/>
      </c>
    </row>
    <row r="2131">
      <c r="A2131" t="n">
        <v>7950</v>
      </c>
      <c r="B2131" s="16" t="n">
        <v>44680</v>
      </c>
      <c r="C2131" t="inlineStr">
        <is>
          <t>CPR</t>
        </is>
      </c>
      <c r="D2131" t="n">
        <v>31</v>
      </c>
      <c r="E2131">
        <f>IF(D3438&gt;0,VLOOKUP(OPERAC[[#This Row],[COD CART]],[1]!MatrizCortoLargoCyl[#All],3,0),"")</f>
        <v/>
      </c>
      <c r="F2131" t="inlineStr">
        <is>
          <t>BMA</t>
        </is>
      </c>
      <c r="G2131" t="n">
        <v>50</v>
      </c>
      <c r="H2131" t="n">
        <v>-748.915</v>
      </c>
      <c r="I2131">
        <f>-H3438/G3438</f>
        <v/>
      </c>
    </row>
    <row r="2132">
      <c r="A2132" t="n">
        <v>7950</v>
      </c>
      <c r="B2132" s="16" t="n">
        <v>44680</v>
      </c>
      <c r="C2132" t="inlineStr">
        <is>
          <t>CPR</t>
        </is>
      </c>
      <c r="D2132" t="n">
        <v>31</v>
      </c>
      <c r="E2132">
        <f>IF(D3660&gt;0,VLOOKUP(OPERAC[[#This Row],[COD CART]],[1]!MatrizCortoLargoCyl[#All],3,0),"")</f>
        <v/>
      </c>
      <c r="F2132" t="inlineStr">
        <is>
          <t>CRESY</t>
        </is>
      </c>
      <c r="G2132" t="n">
        <v>100</v>
      </c>
      <c r="H2132" t="n">
        <v>-813.0500000000001</v>
      </c>
      <c r="I2132">
        <f>-H3660/G3660</f>
        <v/>
      </c>
    </row>
    <row r="2133">
      <c r="A2133" t="n">
        <v>7950</v>
      </c>
      <c r="B2133" s="16" t="n">
        <v>44680</v>
      </c>
      <c r="C2133" t="inlineStr">
        <is>
          <t>CPR</t>
        </is>
      </c>
      <c r="D2133" t="n">
        <v>31</v>
      </c>
      <c r="E2133">
        <f>IF(D4019&gt;0,VLOOKUP(OPERAC[[#This Row],[COD CART]],[1]!MatrizCortoLargoCyl[#All],3,0),"")</f>
        <v/>
      </c>
      <c r="F2133" t="inlineStr">
        <is>
          <t>GGAL</t>
        </is>
      </c>
      <c r="G2133" t="n">
        <v>100</v>
      </c>
      <c r="H2133" t="n">
        <v>-924.958</v>
      </c>
      <c r="I2133">
        <f>-H4019/G4019</f>
        <v/>
      </c>
    </row>
    <row r="2134">
      <c r="A2134" t="n">
        <v>7950</v>
      </c>
      <c r="B2134" s="16" t="n">
        <v>44680</v>
      </c>
      <c r="C2134" t="inlineStr">
        <is>
          <t>VTA</t>
        </is>
      </c>
      <c r="D2134" t="n">
        <v>31</v>
      </c>
      <c r="E2134">
        <f>IF(D2010&gt;0,VLOOKUP(OPERAC[[#This Row],[COD CART]],[1]!MatrizCortoLargoCyl[#All],3,0),"")</f>
        <v/>
      </c>
      <c r="F2134" t="inlineStr">
        <is>
          <t>TEO</t>
        </is>
      </c>
      <c r="G2134" t="n">
        <v>55</v>
      </c>
      <c r="H2134" t="n">
        <v>-311.6355</v>
      </c>
      <c r="I2134">
        <f>-H2010/G2010</f>
        <v/>
      </c>
    </row>
    <row r="2135">
      <c r="A2135" t="n">
        <v>7950</v>
      </c>
      <c r="B2135" s="16" t="n">
        <v>44680</v>
      </c>
      <c r="C2135" t="inlineStr">
        <is>
          <t>VTA</t>
        </is>
      </c>
      <c r="D2135" t="n">
        <v>31</v>
      </c>
      <c r="E2135">
        <f>IF(D3843&gt;0,VLOOKUP(OPERAC[[#This Row],[COD CART]],[1]!MatrizCortoLargoCyl[#All],3,0),"")</f>
        <v/>
      </c>
      <c r="F2135" t="inlineStr">
        <is>
          <t>YPF</t>
        </is>
      </c>
      <c r="G2135" t="n">
        <v>200</v>
      </c>
      <c r="H2135" t="n">
        <v>-860.116</v>
      </c>
      <c r="I2135">
        <f>-H3843/G3843</f>
        <v/>
      </c>
    </row>
    <row r="2136">
      <c r="A2136" t="n">
        <v>8066</v>
      </c>
      <c r="B2136" s="16" t="n">
        <v>44466</v>
      </c>
      <c r="C2136" t="inlineStr">
        <is>
          <t>VTA</t>
        </is>
      </c>
      <c r="D2136" t="n">
        <v>43</v>
      </c>
      <c r="E2136">
        <f>IF(D1584&gt;0,VLOOKUP(OPERAC[[#This Row],[COD CART]],[1]!MatrizCortoLargoCyl[#All],3,0),"")</f>
        <v/>
      </c>
      <c r="F2136" t="inlineStr">
        <is>
          <t>SOLO/CYL-PUT/4,00/16-09-22</t>
        </is>
      </c>
      <c r="G2136" t="n">
        <v>100</v>
      </c>
      <c r="H2136">
        <f>-297.41727+0.32*OPERAC[[#This Row],[cantidad]]+0.387*OPERAC[[#This Row],[cantidad]]+0.22*OPERAC[[#This Row],[cantidad]]</f>
        <v/>
      </c>
      <c r="I2136">
        <f>-H1584/G1584</f>
        <v/>
      </c>
      <c r="J2136" s="16" t="n">
        <v>44698</v>
      </c>
      <c r="K2136" t="n">
        <v>100</v>
      </c>
      <c r="L2136" t="n">
        <v>-92.396</v>
      </c>
    </row>
    <row r="2137">
      <c r="A2137" t="n">
        <v>8066</v>
      </c>
      <c r="B2137" s="16" t="n">
        <v>44523</v>
      </c>
      <c r="C2137" t="inlineStr">
        <is>
          <t>VTA</t>
        </is>
      </c>
      <c r="D2137" t="n">
        <v>40</v>
      </c>
      <c r="E2137">
        <f>IF(D1474&gt;0,VLOOKUP(OPERAC[[#This Row],[COD CART]],[1]!MatrizCortoLargoCyl[#All],3,0),"")</f>
        <v/>
      </c>
      <c r="F2137" t="inlineStr">
        <is>
          <t>EDU</t>
        </is>
      </c>
      <c r="G2137" t="n">
        <v>100</v>
      </c>
      <c r="H2137">
        <f>-177.949+0.026*OPERAC[[#This Row],[cantidad]]</f>
        <v/>
      </c>
      <c r="I2137">
        <f>-H1474/G1474</f>
        <v/>
      </c>
      <c r="J2137" s="16" t="n">
        <v>44615</v>
      </c>
      <c r="K2137" t="n">
        <v>100</v>
      </c>
      <c r="L2137" t="n">
        <v>149.477</v>
      </c>
    </row>
    <row r="2138">
      <c r="A2138" t="n">
        <v>8066</v>
      </c>
      <c r="B2138" s="16" t="n">
        <v>44523</v>
      </c>
      <c r="C2138" t="inlineStr">
        <is>
          <t>VTA</t>
        </is>
      </c>
      <c r="D2138" t="n">
        <v>32</v>
      </c>
      <c r="E2138">
        <f>IF(D3738&gt;0,VLOOKUP(OPERAC[[#This Row],[COD CART]],[1]!MatrizCortoLargoCyl[#All],3,0),"")</f>
        <v/>
      </c>
      <c r="F2138" t="inlineStr">
        <is>
          <t>TEVA/CYL/9,00/21-01-22</t>
        </is>
      </c>
      <c r="G2138" t="n">
        <v>100</v>
      </c>
      <c r="H2138">
        <f>-861.6332+18.874</f>
        <v/>
      </c>
      <c r="I2138">
        <f>-H3738/G3738</f>
        <v/>
      </c>
      <c r="J2138" s="16" t="n">
        <v>44575</v>
      </c>
      <c r="K2138" t="n">
        <v>100</v>
      </c>
      <c r="L2138" t="n">
        <v>878.913</v>
      </c>
    </row>
    <row r="2139">
      <c r="A2139" t="n">
        <v>8066</v>
      </c>
      <c r="B2139" s="16" t="n">
        <v>44539</v>
      </c>
      <c r="C2139" t="inlineStr">
        <is>
          <t>CPR</t>
        </is>
      </c>
      <c r="D2139" t="n">
        <v>40</v>
      </c>
      <c r="E2139">
        <f>IF(D2790&gt;0,VLOOKUP(OPERAC[[#This Row],[COD CART]],[1]!MatrizCortoLargoCyl[#All],3,0),"")</f>
        <v/>
      </c>
      <c r="F2139" t="inlineStr">
        <is>
          <t>ROKU</t>
        </is>
      </c>
      <c r="G2139" t="n">
        <v>2</v>
      </c>
      <c r="H2139" t="n">
        <v>-515.4407199999999</v>
      </c>
      <c r="I2139">
        <f>-H2790/G2790</f>
        <v/>
      </c>
      <c r="J2139" s="16" t="n">
        <v>44606</v>
      </c>
      <c r="K2139">
        <f>+OPERAC[[#This Row],[cantidad]]</f>
        <v/>
      </c>
      <c r="L2139">
        <f>+OPERAC[[#This Row],[cantidad venta]]*160.574</f>
        <v/>
      </c>
    </row>
    <row r="2140">
      <c r="A2140" t="n">
        <v>8066</v>
      </c>
      <c r="B2140" s="16" t="n">
        <v>44547</v>
      </c>
      <c r="C2140" t="inlineStr">
        <is>
          <t>VTA</t>
        </is>
      </c>
      <c r="D2140" t="n">
        <v>32</v>
      </c>
      <c r="E2140">
        <f>IF(D3787&gt;0,VLOOKUP(OPERAC[[#This Row],[COD CART]],[1]!MatrizCortoLargoCyl[#All],3,0),"")</f>
        <v/>
      </c>
      <c r="F2140" t="inlineStr">
        <is>
          <t>ARLO/CYL/9,00/18-02-22</t>
        </is>
      </c>
      <c r="G2140" t="n">
        <v>100</v>
      </c>
      <c r="H2140">
        <f>-866.74+14.88</f>
        <v/>
      </c>
      <c r="I2140">
        <f>-H3787/G3787</f>
        <v/>
      </c>
      <c r="J2140" s="16" t="n">
        <v>44607</v>
      </c>
      <c r="K2140" t="n">
        <v>100</v>
      </c>
      <c r="L2140" t="n">
        <v>875.33</v>
      </c>
    </row>
    <row r="2141">
      <c r="A2141" t="n">
        <v>8066</v>
      </c>
      <c r="B2141" s="16" t="n">
        <v>44553</v>
      </c>
      <c r="C2141" t="inlineStr">
        <is>
          <t>VTA</t>
        </is>
      </c>
      <c r="D2141" t="n">
        <v>40</v>
      </c>
      <c r="E2141">
        <f>IF(D1804&gt;0,VLOOKUP(OPERAC[[#This Row],[COD CART]],[1]!MatrizCortoLargoCyl[#All],3,0),"")</f>
        <v/>
      </c>
      <c r="F2141" t="inlineStr">
        <is>
          <t>ON</t>
        </is>
      </c>
      <c r="G2141" t="n">
        <v>4</v>
      </c>
      <c r="H2141" t="n">
        <v>-268.4544319999999</v>
      </c>
      <c r="I2141">
        <f>-H1804/G1804</f>
        <v/>
      </c>
      <c r="J2141" s="16" t="n">
        <v>44606</v>
      </c>
      <c r="K2141">
        <f>+OPERAC[[#This Row],[cantidad]]</f>
        <v/>
      </c>
      <c r="L2141">
        <f>+OPERAC[[#This Row],[cantidad venta]]*58.449</f>
        <v/>
      </c>
    </row>
    <row r="2142">
      <c r="A2142" t="n">
        <v>8066</v>
      </c>
      <c r="B2142" s="16" t="n">
        <v>44581</v>
      </c>
      <c r="C2142" t="inlineStr">
        <is>
          <t>VTA</t>
        </is>
      </c>
      <c r="D2142" t="n">
        <v>32</v>
      </c>
      <c r="E2142">
        <f>IF(D2271&gt;0,VLOOKUP(OPERAC[[#This Row],[COD CART]],[1]!MatrizCortoLargoCyl[#All],3,0),"")</f>
        <v/>
      </c>
      <c r="F2142" t="inlineStr">
        <is>
          <t>HMY/CYL/4,00/18-02-22</t>
        </is>
      </c>
      <c r="G2142" t="n">
        <v>100</v>
      </c>
      <c r="H2142" t="n">
        <v>-387.467996</v>
      </c>
      <c r="I2142">
        <f>-H2271/G2271</f>
        <v/>
      </c>
      <c r="J2142" s="16" t="n">
        <v>44610</v>
      </c>
      <c r="K2142">
        <f>+OPERAC[[#This Row],[cantidad]]</f>
        <v/>
      </c>
      <c r="L2142">
        <f>+OPERAC[[#This Row],[cantidad venta]]*3.8323</f>
        <v/>
      </c>
    </row>
    <row r="2143">
      <c r="A2143" t="n">
        <v>8066</v>
      </c>
      <c r="B2143" s="16" t="n">
        <v>44586</v>
      </c>
      <c r="C2143" t="inlineStr">
        <is>
          <t>VTA</t>
        </is>
      </c>
      <c r="D2143" t="n">
        <v>43</v>
      </c>
      <c r="E2143">
        <f>IF(D1576&gt;0,VLOOKUP(OPERAC[[#This Row],[COD CART]],[1]!MatrizCortoLargoCyl[#All],3,0),"")</f>
        <v/>
      </c>
      <c r="F2143" t="inlineStr">
        <is>
          <t>GMBL/CYL-PUT/2,50/20-01-23</t>
        </is>
      </c>
      <c r="G2143" t="n">
        <v>200</v>
      </c>
      <c r="H2143" t="n">
        <v>-203.2103000000001</v>
      </c>
      <c r="I2143">
        <f>-H1576/G1576</f>
        <v/>
      </c>
      <c r="J2143" s="16" t="n">
        <v>44636</v>
      </c>
      <c r="K2143" t="n">
        <v>200</v>
      </c>
      <c r="L2143">
        <f>-1.36*OPERAC[[#This Row],[cantidad venta]]</f>
        <v/>
      </c>
    </row>
    <row r="2144">
      <c r="A2144" t="n">
        <v>8066</v>
      </c>
      <c r="B2144" s="16" t="n">
        <v>44608</v>
      </c>
      <c r="C2144" t="inlineStr">
        <is>
          <t>VTA</t>
        </is>
      </c>
      <c r="D2144" t="n">
        <v>32</v>
      </c>
      <c r="E2144">
        <f>IF(D5102&gt;0,VLOOKUP(OPERAC[[#This Row],[COD CART]],[1]!MatrizCortoLargoCyl[#All],3,0),"")</f>
        <v/>
      </c>
      <c r="F2144" t="inlineStr">
        <is>
          <t>DDD/CYL/17,00/01-04-22</t>
        </is>
      </c>
      <c r="G2144" t="n">
        <v>100</v>
      </c>
      <c r="H2144">
        <f>-1629.4234+19.7+16.45</f>
        <v/>
      </c>
      <c r="I2144">
        <f>-H5102/G5102</f>
        <v/>
      </c>
      <c r="J2144" s="16" t="n">
        <v>44649</v>
      </c>
      <c r="K2144" t="n">
        <v>100</v>
      </c>
      <c r="L2144" t="n">
        <v>1661.98</v>
      </c>
    </row>
    <row r="2145">
      <c r="A2145" t="n">
        <v>8066</v>
      </c>
      <c r="B2145" s="16" t="n">
        <v>44622</v>
      </c>
      <c r="C2145" t="inlineStr">
        <is>
          <t>CPR</t>
        </is>
      </c>
      <c r="D2145" t="n">
        <v>32</v>
      </c>
      <c r="E2145">
        <f>IF(D2577&gt;0,VLOOKUP(OPERAC[[#This Row],[COD CART]],[1]!MatrizCortoLargoCyl[#All],3,0),"")</f>
        <v/>
      </c>
      <c r="F2145" t="inlineStr">
        <is>
          <t>HMY/CYL/5,00/18-03-22</t>
        </is>
      </c>
      <c r="G2145" t="n">
        <v>100</v>
      </c>
      <c r="H2145" t="n">
        <v>-468.532</v>
      </c>
      <c r="I2145">
        <f>-H2577/G2577</f>
        <v/>
      </c>
      <c r="J2145" s="16" t="n">
        <v>44637</v>
      </c>
      <c r="K2145">
        <f>+OPERAC[[#This Row],[cantidad]]</f>
        <v/>
      </c>
      <c r="L2145">
        <f>4.85553*OPERAC[[#This Row],[cantidad venta]]</f>
        <v/>
      </c>
    </row>
    <row r="2146">
      <c r="A2146" t="n">
        <v>8066</v>
      </c>
      <c r="B2146" s="16" t="n">
        <v>44636</v>
      </c>
      <c r="C2146" t="inlineStr">
        <is>
          <t>VTA</t>
        </is>
      </c>
      <c r="D2146" t="n">
        <v>43</v>
      </c>
      <c r="E2146">
        <f>IF(D1455&gt;0,VLOOKUP(OPERAC[[#This Row],[COD CART]],[1]!MatrizCortoLargoCyl[#All],3,0),"")</f>
        <v/>
      </c>
      <c r="F2146" t="inlineStr">
        <is>
          <t>GMBL/CYL-PUT/1,00/20-01-23</t>
        </is>
      </c>
      <c r="G2146" t="n">
        <v>1000</v>
      </c>
      <c r="H2146" t="n">
        <v>-163.3886500000001</v>
      </c>
      <c r="I2146">
        <f>-H1455/G1455</f>
        <v/>
      </c>
      <c r="J2146" s="16" t="n">
        <v>44698</v>
      </c>
      <c r="K2146" t="n">
        <v>1000</v>
      </c>
      <c r="L2146" t="n">
        <v>-300.285</v>
      </c>
    </row>
    <row r="2147">
      <c r="A2147" t="n">
        <v>8066</v>
      </c>
      <c r="B2147" s="16" t="n">
        <v>44641</v>
      </c>
      <c r="C2147" t="inlineStr">
        <is>
          <t>VTA</t>
        </is>
      </c>
      <c r="D2147" t="n">
        <v>42</v>
      </c>
      <c r="E2147">
        <f>IF(D1599&gt;0,VLOOKUP(OPERAC[[#This Row],[COD CART]],[1]!MatrizCortoLargoCyl[#All],3,0),"")</f>
        <v/>
      </c>
      <c r="F2147" t="inlineStr">
        <is>
          <t>FB</t>
        </is>
      </c>
      <c r="G2147" t="n">
        <v>1</v>
      </c>
      <c r="H2147" t="n">
        <v>-212.15638</v>
      </c>
      <c r="I2147">
        <f>-H1599/G1599</f>
        <v/>
      </c>
      <c r="J2147" s="16" t="n">
        <v>44671</v>
      </c>
      <c r="K2147">
        <f>+OPERAC[[#This Row],[cantidad]]</f>
        <v/>
      </c>
      <c r="L2147">
        <f>+OPERAC[[#This Row],[cantidad venta]]*213.173</f>
        <v/>
      </c>
    </row>
    <row r="2148">
      <c r="A2148" t="n">
        <v>8066</v>
      </c>
      <c r="B2148" s="16" t="n">
        <v>44649</v>
      </c>
      <c r="C2148" t="inlineStr">
        <is>
          <t>VTA</t>
        </is>
      </c>
      <c r="D2148" t="n">
        <v>42</v>
      </c>
      <c r="E2148">
        <f>IF(D1658&gt;0,VLOOKUP(OPERAC[[#This Row],[COD CART]],[1]!MatrizCortoLargoCyl[#All],3,0),"")</f>
        <v/>
      </c>
      <c r="F2148" t="inlineStr">
        <is>
          <t>FB</t>
        </is>
      </c>
      <c r="G2148" t="n">
        <v>1</v>
      </c>
      <c r="H2148" t="n">
        <v>-229.9994</v>
      </c>
      <c r="I2148">
        <f>-H1658/G1658</f>
        <v/>
      </c>
      <c r="J2148" s="16" t="n">
        <v>44671</v>
      </c>
      <c r="K2148">
        <f>+OPERAC[[#This Row],[cantidad]]</f>
        <v/>
      </c>
      <c r="L2148">
        <f>+OPERAC[[#This Row],[cantidad venta]]*213.173</f>
        <v/>
      </c>
    </row>
    <row r="2149">
      <c r="A2149" t="n">
        <v>8066</v>
      </c>
      <c r="B2149" s="16" t="n">
        <v>44649</v>
      </c>
      <c r="C2149" t="inlineStr">
        <is>
          <t>VTA</t>
        </is>
      </c>
      <c r="D2149" t="n">
        <v>42</v>
      </c>
      <c r="E2149">
        <f>IF(D2437&gt;0,VLOOKUP(OPERAC[[#This Row],[COD CART]],[1]!MatrizCortoLargoCyl[#All],3,0),"")</f>
        <v/>
      </c>
      <c r="F2149" t="inlineStr">
        <is>
          <t>JPM</t>
        </is>
      </c>
      <c r="G2149" t="n">
        <v>3</v>
      </c>
      <c r="H2149" t="n">
        <v>-425.7268</v>
      </c>
      <c r="I2149">
        <f>-H2437/G2437</f>
        <v/>
      </c>
      <c r="J2149" s="16" t="n">
        <v>44664</v>
      </c>
      <c r="K2149">
        <f>+OPERAC[[#This Row],[cantidad]]</f>
        <v/>
      </c>
      <c r="L2149">
        <f>+OPERAC[[#This Row],[cantidad venta]]*125.943</f>
        <v/>
      </c>
    </row>
    <row r="2150">
      <c r="A2150" t="n">
        <v>8066</v>
      </c>
      <c r="B2150" s="16" t="n">
        <v>44649</v>
      </c>
      <c r="C2150" t="inlineStr">
        <is>
          <t>VTA</t>
        </is>
      </c>
      <c r="D2150" t="n">
        <v>42</v>
      </c>
      <c r="E2150">
        <f>IF(D2447&gt;0,VLOOKUP(OPERAC[[#This Row],[COD CART]],[1]!MatrizCortoLargoCyl[#All],3,0),"")</f>
        <v/>
      </c>
      <c r="F2150" t="inlineStr">
        <is>
          <t>DIS</t>
        </is>
      </c>
      <c r="G2150" t="n">
        <v>3</v>
      </c>
      <c r="H2150" t="n">
        <v>-429.7866799999999</v>
      </c>
      <c r="I2150">
        <f>-H2447/G2447</f>
        <v/>
      </c>
      <c r="J2150" s="16" t="n">
        <v>44671</v>
      </c>
      <c r="K2150">
        <f>+OPERAC[[#This Row],[cantidad]]</f>
        <v/>
      </c>
      <c r="L2150">
        <f>+OPERAC[[#This Row],[cantidad venta]]*123.621</f>
        <v/>
      </c>
    </row>
    <row r="2151">
      <c r="A2151" t="n">
        <v>8066</v>
      </c>
      <c r="B2151" s="16" t="n">
        <v>44649</v>
      </c>
      <c r="C2151" t="inlineStr">
        <is>
          <t>VTA</t>
        </is>
      </c>
      <c r="D2151" t="n">
        <v>42</v>
      </c>
      <c r="E2151">
        <f>IF(D2972&gt;0,VLOOKUP(OPERAC[[#This Row],[COD CART]],[1]!MatrizCortoLargoCyl[#All],3,0),"")</f>
        <v/>
      </c>
      <c r="F2151" t="inlineStr">
        <is>
          <t>SMH</t>
        </is>
      </c>
      <c r="G2151" t="n">
        <v>2</v>
      </c>
      <c r="H2151" t="n">
        <v>-563.8843999999999</v>
      </c>
      <c r="I2151">
        <f>-H2972/G2972</f>
        <v/>
      </c>
      <c r="J2151" s="16" t="n">
        <v>44663</v>
      </c>
      <c r="K2151">
        <f>+OPERAC[[#This Row],[cantidad]]</f>
        <v/>
      </c>
      <c r="L2151">
        <f>+OPERAC[[#This Row],[cantidad venta]]*238.066</f>
        <v/>
      </c>
    </row>
    <row r="2152">
      <c r="A2152" t="n">
        <v>8066</v>
      </c>
      <c r="B2152" s="16" t="n">
        <v>44662</v>
      </c>
      <c r="C2152" t="inlineStr">
        <is>
          <t>VTA</t>
        </is>
      </c>
      <c r="D2152" t="n">
        <v>42</v>
      </c>
      <c r="E2152">
        <f>IF(D1497&gt;0,VLOOKUP(OPERAC[[#This Row],[COD CART]],[1]!MatrizCortoLargoCyl[#All],3,0),"")</f>
        <v/>
      </c>
      <c r="F2152" t="inlineStr">
        <is>
          <t>HYDR</t>
        </is>
      </c>
      <c r="G2152" t="n">
        <v>10</v>
      </c>
      <c r="H2152" t="n">
        <v>-185.70344</v>
      </c>
      <c r="I2152">
        <f>-H1497/G1497</f>
        <v/>
      </c>
      <c r="J2152" s="16" t="n">
        <v>44693</v>
      </c>
      <c r="K2152">
        <f>+OPERAC[[#This Row],[cantidad]]</f>
        <v/>
      </c>
      <c r="L2152">
        <f>+OPERAC[[#This Row],[cantidad venta]]*12.027</f>
        <v/>
      </c>
    </row>
    <row r="2153">
      <c r="A2153" t="n">
        <v>8066</v>
      </c>
      <c r="B2153" s="16" t="n">
        <v>44664</v>
      </c>
      <c r="C2153" t="inlineStr">
        <is>
          <t>VTA</t>
        </is>
      </c>
      <c r="D2153" t="n">
        <v>42</v>
      </c>
      <c r="E2153">
        <f>IF(D1378&gt;0,VLOOKUP(OPERAC[[#This Row],[COD CART]],[1]!MatrizCortoLargoCyl[#All],3,0),"")</f>
        <v/>
      </c>
      <c r="F2153" t="inlineStr">
        <is>
          <t>PSQ</t>
        </is>
      </c>
      <c r="G2153" t="n">
        <v>10</v>
      </c>
      <c r="H2153" t="n">
        <v>-124.32572181</v>
      </c>
      <c r="I2153">
        <f>-H1378/G1378</f>
        <v/>
      </c>
      <c r="J2153" s="16" t="n">
        <v>44680</v>
      </c>
      <c r="K2153">
        <f>+OPERAC[[#This Row],[cantidad]]</f>
        <v/>
      </c>
      <c r="L2153">
        <f>12.848*OPERAC[[#This Row],[cantidad venta]]</f>
        <v/>
      </c>
    </row>
    <row r="2154">
      <c r="A2154" t="n">
        <v>8066</v>
      </c>
      <c r="B2154" s="16" t="n">
        <v>44669</v>
      </c>
      <c r="C2154" t="inlineStr">
        <is>
          <t>VTA</t>
        </is>
      </c>
      <c r="D2154" t="n">
        <v>32</v>
      </c>
      <c r="E2154">
        <f>IF(D2499&gt;0,VLOOKUP(OPERAC[[#This Row],[COD CART]],[1]!MatrizCortoLargoCyl[#All],3,0),"")</f>
        <v/>
      </c>
      <c r="F2154" t="inlineStr">
        <is>
          <t>HMY/CYL/5,00/19-08-22</t>
        </is>
      </c>
      <c r="G2154" t="n">
        <v>100</v>
      </c>
      <c r="H2154">
        <f>-4.64*OPERAC[[#This Row],[cantidad]]+7.932</f>
        <v/>
      </c>
      <c r="I2154">
        <f>-H2499/G2499</f>
        <v/>
      </c>
    </row>
    <row r="2155">
      <c r="A2155" t="n">
        <v>8066</v>
      </c>
      <c r="B2155" s="16" t="n">
        <v>44671</v>
      </c>
      <c r="C2155" t="inlineStr">
        <is>
          <t>CPR</t>
        </is>
      </c>
      <c r="D2155" t="n">
        <v>42</v>
      </c>
      <c r="E2155">
        <f>IF(D2760&gt;0,VLOOKUP(OPERAC[[#This Row],[COD CART]],[1]!MatrizCortoLargoCyl[#All],3,0),"")</f>
        <v/>
      </c>
      <c r="F2155" t="inlineStr">
        <is>
          <t>NFLX</t>
        </is>
      </c>
      <c r="G2155" t="n">
        <v>2</v>
      </c>
      <c r="H2155" t="n">
        <v>-509.01012</v>
      </c>
      <c r="I2155">
        <f>-H2760/G2760</f>
        <v/>
      </c>
      <c r="J2155" s="16" t="n">
        <v>44693</v>
      </c>
      <c r="K2155">
        <f>+OPERAC[[#This Row],[cantidad]]</f>
        <v/>
      </c>
      <c r="L2155">
        <f>+OPERAC[[#This Row],[cantidad venta]]*169.079</f>
        <v/>
      </c>
    </row>
    <row r="2156">
      <c r="A2156" t="n">
        <v>8066</v>
      </c>
      <c r="B2156" s="16" t="n">
        <v>44671</v>
      </c>
      <c r="C2156" t="inlineStr">
        <is>
          <t>VTA</t>
        </is>
      </c>
      <c r="D2156" t="n">
        <v>42</v>
      </c>
      <c r="E2156">
        <f>IF(D2194&gt;0,VLOOKUP(OPERAC[[#This Row],[COD CART]],[1]!MatrizCortoLargoCyl[#All],3,0),"")</f>
        <v/>
      </c>
      <c r="F2156" t="inlineStr">
        <is>
          <t>TLT</t>
        </is>
      </c>
      <c r="G2156" t="n">
        <v>3</v>
      </c>
      <c r="H2156" t="n">
        <v>-367.689015</v>
      </c>
      <c r="I2156">
        <f>-H2194/G2194</f>
        <v/>
      </c>
    </row>
    <row r="2157">
      <c r="A2157" t="n">
        <v>8066</v>
      </c>
      <c r="B2157" s="16" t="n">
        <v>44680</v>
      </c>
      <c r="C2157" t="inlineStr">
        <is>
          <t>VTA</t>
        </is>
      </c>
      <c r="D2157" t="n">
        <v>42</v>
      </c>
      <c r="E2157">
        <f>IF(D1448&gt;0,VLOOKUP(OPERAC[[#This Row],[COD CART]],[1]!MatrizCortoLargoCyl[#All],3,0),"")</f>
        <v/>
      </c>
      <c r="F2157" t="inlineStr">
        <is>
          <t>XLP</t>
        </is>
      </c>
      <c r="G2157" t="n">
        <v>2</v>
      </c>
      <c r="H2157" t="n">
        <v>-158.869005</v>
      </c>
      <c r="I2157">
        <f>-H1448/G1448</f>
        <v/>
      </c>
      <c r="J2157" s="16" t="n">
        <v>44693</v>
      </c>
      <c r="K2157">
        <f>+OPERAC[[#This Row],[cantidad]]</f>
        <v/>
      </c>
      <c r="L2157">
        <f>+OPERAC[[#This Row],[cantidad venta]]*74.848</f>
        <v/>
      </c>
    </row>
    <row r="2158">
      <c r="A2158" t="n">
        <v>8066</v>
      </c>
      <c r="B2158" s="16" t="n">
        <v>44698</v>
      </c>
      <c r="C2158" t="inlineStr">
        <is>
          <t>VTA</t>
        </is>
      </c>
      <c r="D2158" t="n">
        <v>39</v>
      </c>
      <c r="E2158">
        <f>IF(D322&gt;0,VLOOKUP(OPERAC[[#This Row],[COD CART]],[1]!MatrizCortoLargoCyl[#All],3,0),"")</f>
        <v/>
      </c>
      <c r="F2158" t="inlineStr">
        <is>
          <t>TSLA/V/550,00/27-05-22</t>
        </is>
      </c>
      <c r="G2158" t="n">
        <v>-600</v>
      </c>
      <c r="H2158" t="n">
        <v>1398.015</v>
      </c>
      <c r="I2158">
        <f>-H322/G322</f>
        <v/>
      </c>
      <c r="J2158" s="16" t="n">
        <v>44706</v>
      </c>
      <c r="K2158">
        <f>+OPERAC[[#This Row],[cantidad]]</f>
        <v/>
      </c>
      <c r="L2158" t="n">
        <v>-272.295</v>
      </c>
    </row>
    <row r="2159">
      <c r="A2159" t="n">
        <v>8066</v>
      </c>
      <c r="B2159" s="16" t="n">
        <v>44698</v>
      </c>
      <c r="C2159" t="inlineStr">
        <is>
          <t>VTA</t>
        </is>
      </c>
      <c r="D2159" t="n">
        <v>32</v>
      </c>
      <c r="E2159">
        <f>IF(D2060&gt;0,VLOOKUP(OPERAC[[#This Row],[COD CART]],[1]!MatrizCortoLargoCyl[#All],3,0),"")</f>
        <v/>
      </c>
      <c r="F2159" t="inlineStr">
        <is>
          <t>SOLO/CYL/2,00/24-06-22</t>
        </is>
      </c>
      <c r="G2159" t="n">
        <v>200</v>
      </c>
      <c r="H2159" t="n">
        <v>-323.967</v>
      </c>
      <c r="I2159">
        <f>-H2060/G2060</f>
        <v/>
      </c>
    </row>
    <row r="2160">
      <c r="A2160" t="n">
        <v>8066</v>
      </c>
      <c r="B2160" s="16" t="n">
        <v>44698</v>
      </c>
      <c r="C2160" t="inlineStr">
        <is>
          <t>VTA</t>
        </is>
      </c>
      <c r="D2160" t="n">
        <v>32</v>
      </c>
      <c r="E2160">
        <f>IF(D3075&gt;0,VLOOKUP(OPERAC[[#This Row],[COD CART]],[1]!MatrizCortoLargoCyl[#All],3,0),"")</f>
        <v/>
      </c>
      <c r="F2160" t="inlineStr">
        <is>
          <t>UUUU/CYL/8,00/17-06-22</t>
        </is>
      </c>
      <c r="G2160" t="n">
        <v>100</v>
      </c>
      <c r="H2160" t="n">
        <v>-616.11</v>
      </c>
      <c r="I2160">
        <f>-H3075/G3075</f>
        <v/>
      </c>
    </row>
    <row r="2161">
      <c r="A2161" t="n">
        <v>8066</v>
      </c>
      <c r="B2161" s="16" t="n">
        <v>44698</v>
      </c>
      <c r="C2161" t="inlineStr">
        <is>
          <t>VTA</t>
        </is>
      </c>
      <c r="D2161" t="n">
        <v>32</v>
      </c>
      <c r="E2161">
        <f>IF(D3177&gt;0,VLOOKUP(OPERAC[[#This Row],[COD CART]],[1]!MatrizCortoLargoCyl[#All],3,0),"")</f>
        <v/>
      </c>
      <c r="F2161" t="inlineStr">
        <is>
          <t>COTY/CYL/8,50/01-07-22</t>
        </is>
      </c>
      <c r="G2161" t="n">
        <v>100</v>
      </c>
      <c r="H2161" t="n">
        <v>-644.551</v>
      </c>
      <c r="I2161">
        <f>-H3177/G3177</f>
        <v/>
      </c>
    </row>
    <row r="2162">
      <c r="A2162" t="n">
        <v>9195</v>
      </c>
      <c r="B2162" s="16" t="n">
        <v>44442</v>
      </c>
      <c r="C2162" t="inlineStr">
        <is>
          <t>CPR</t>
        </is>
      </c>
      <c r="D2162" t="n">
        <v>32</v>
      </c>
      <c r="E2162">
        <f>IF(D4717&gt;0,VLOOKUP(OPERAC[[#This Row],[COD CART]],[1]!MatrizCortoLargoCyl[#All],3,0),"")</f>
        <v/>
      </c>
      <c r="F2162" t="inlineStr">
        <is>
          <t>INO</t>
        </is>
      </c>
      <c r="G2162" t="n">
        <v>200</v>
      </c>
      <c r="H2162">
        <f>-1347.681+9.454+5.373</f>
        <v/>
      </c>
      <c r="I2162">
        <f>-H4717/G4717</f>
        <v/>
      </c>
      <c r="J2162" s="16" t="n">
        <v>44641</v>
      </c>
      <c r="K2162" t="n">
        <v>200</v>
      </c>
      <c r="L2162" t="n">
        <v>725.054</v>
      </c>
    </row>
    <row r="2163">
      <c r="A2163" t="n">
        <v>9195</v>
      </c>
      <c r="B2163" s="16" t="n">
        <v>44459</v>
      </c>
      <c r="C2163" t="inlineStr">
        <is>
          <t>VTA</t>
        </is>
      </c>
      <c r="D2163" t="n">
        <v>43</v>
      </c>
      <c r="E2163">
        <f>IF(D2807&gt;0,VLOOKUP(OPERAC[[#This Row],[COD CART]],[1]!MatrizCortoLargoCyl[#All],3,0),"")</f>
        <v/>
      </c>
      <c r="F2163" t="inlineStr">
        <is>
          <t>INO/CYL-PUT/7,00/21-01-22</t>
        </is>
      </c>
      <c r="G2163" t="n">
        <v>100</v>
      </c>
      <c r="H2163" t="n">
        <v>-515.45</v>
      </c>
      <c r="I2163">
        <f>-H2807/G2807</f>
        <v/>
      </c>
      <c r="J2163" s="16" t="n">
        <v>44581</v>
      </c>
      <c r="K2163" t="n">
        <v>100</v>
      </c>
      <c r="L2163" t="n">
        <v>125.796</v>
      </c>
    </row>
    <row r="2164">
      <c r="A2164" t="n">
        <v>9195</v>
      </c>
      <c r="B2164" s="16" t="n">
        <v>44459</v>
      </c>
      <c r="C2164" t="inlineStr">
        <is>
          <t>VTA</t>
        </is>
      </c>
      <c r="D2164" t="n">
        <v>40</v>
      </c>
      <c r="E2164">
        <f>IF(D3058&gt;0,VLOOKUP(OPERAC[[#This Row],[COD CART]],[1]!MatrizCortoLargoCyl[#All],3,0),"")</f>
        <v/>
      </c>
      <c r="F2164" t="inlineStr">
        <is>
          <t>EDU</t>
        </is>
      </c>
      <c r="G2164" t="n">
        <v>700</v>
      </c>
      <c r="H2164">
        <f>-639.29+0.04*OPERAC[[#This Row],[cantidad]]</f>
        <v/>
      </c>
      <c r="I2164">
        <f>-H3058/G3058</f>
        <v/>
      </c>
      <c r="J2164" s="16" t="n">
        <v>44615</v>
      </c>
      <c r="K2164" t="n">
        <v>700</v>
      </c>
      <c r="L2164">
        <f>+OPERAC[[#This Row],[cantidad venta]]*1.501</f>
        <v/>
      </c>
    </row>
    <row r="2165">
      <c r="A2165" t="n">
        <v>9195</v>
      </c>
      <c r="B2165" s="16" t="n">
        <v>44466</v>
      </c>
      <c r="C2165" t="inlineStr">
        <is>
          <t>VTA</t>
        </is>
      </c>
      <c r="D2165" t="n">
        <v>43</v>
      </c>
      <c r="E2165">
        <f>IF(D3043&gt;0,VLOOKUP(OPERAC[[#This Row],[COD CART]],[1]!MatrizCortoLargoCyl[#All],3,0),"")</f>
        <v/>
      </c>
      <c r="F2165" t="inlineStr">
        <is>
          <t>SOLO/CYL-PUT/4,00/16-09-22</t>
        </is>
      </c>
      <c r="G2165" t="n">
        <v>300</v>
      </c>
      <c r="H2165">
        <f>-883.69191+0.32*OPERAC[[#This Row],[cantidad]]+0.387*OPERAC[[#This Row],[cantidad]]+0.22*OPERAC[[#This Row],[cantidad]]</f>
        <v/>
      </c>
      <c r="I2165">
        <f>-H3043/G3043</f>
        <v/>
      </c>
    </row>
    <row r="2166">
      <c r="A2166" t="n">
        <v>9195</v>
      </c>
      <c r="B2166" s="16" t="n">
        <v>44489</v>
      </c>
      <c r="C2166" t="inlineStr">
        <is>
          <t>CPR</t>
        </is>
      </c>
      <c r="D2166" t="n">
        <v>43</v>
      </c>
      <c r="E2166">
        <f>IF(D6207&gt;0,VLOOKUP(OPERAC[[#This Row],[COD CART]],[1]!MatrizCortoLargoCyl[#All],3,0),"")</f>
        <v/>
      </c>
      <c r="F2166" t="inlineStr">
        <is>
          <t>SESN/CYL-PUT/1,00/19-01-24</t>
        </is>
      </c>
      <c r="G2166" t="n">
        <v>30000</v>
      </c>
      <c r="H2166">
        <f>-0.1885*OPERAC[[#This Row],[cantidad]]</f>
        <v/>
      </c>
      <c r="I2166">
        <f>-H6207/G6207</f>
        <v/>
      </c>
    </row>
    <row r="2167">
      <c r="A2167" t="n">
        <v>9195</v>
      </c>
      <c r="B2167" s="16" t="n">
        <v>44495</v>
      </c>
      <c r="C2167" t="inlineStr">
        <is>
          <t>VTA</t>
        </is>
      </c>
      <c r="D2167" t="n">
        <v>39</v>
      </c>
      <c r="E2167">
        <f>IF(D381&gt;0,VLOOKUP(OPERAC[[#This Row],[COD CART]],[1]!MatrizCortoLargoCyl[#All],3,0),"")</f>
        <v/>
      </c>
      <c r="F2167" t="inlineStr">
        <is>
          <t>YPF/CC10/LP7/CP3/19-01-24</t>
        </is>
      </c>
      <c r="G2167" t="n">
        <v>-500</v>
      </c>
      <c r="H2167">
        <f>-2.41*OPERAC[[#This Row],[cantidad]]</f>
        <v/>
      </c>
      <c r="I2167">
        <f>-H381/G381</f>
        <v/>
      </c>
    </row>
    <row r="2168">
      <c r="A2168" t="n">
        <v>9195</v>
      </c>
      <c r="B2168" s="16" t="n">
        <v>44509</v>
      </c>
      <c r="C2168" t="inlineStr">
        <is>
          <t>VTA</t>
        </is>
      </c>
      <c r="D2168" t="n">
        <v>39</v>
      </c>
      <c r="E2168">
        <f>IF(D1129&gt;0,VLOOKUP(OPERAC[[#This Row],[COD CART]],[1]!MatrizCortoLargoCyl[#All],3,0),"")</f>
        <v/>
      </c>
      <c r="F2168" t="inlineStr">
        <is>
          <t>TLRY/V/10,00/19-01-24</t>
        </is>
      </c>
      <c r="G2168" t="n">
        <v>-5</v>
      </c>
      <c r="H2168" t="n">
        <v>20.4055</v>
      </c>
      <c r="I2168">
        <f>-H1129/G1129</f>
        <v/>
      </c>
    </row>
    <row r="2169">
      <c r="A2169" t="n">
        <v>9195</v>
      </c>
      <c r="B2169" s="16" t="n">
        <v>44511</v>
      </c>
      <c r="C2169" t="inlineStr">
        <is>
          <t>VTA</t>
        </is>
      </c>
      <c r="D2169" t="n">
        <v>31</v>
      </c>
      <c r="E2169">
        <f>IF(D2919&gt;0,VLOOKUP(OPERAC[[#This Row],[COD CART]],[1]!MatrizCortoLargoCyl[#All],3,0),"")</f>
        <v/>
      </c>
      <c r="F2169" t="inlineStr">
        <is>
          <t>IPIX</t>
        </is>
      </c>
      <c r="G2169" t="n">
        <v>5500</v>
      </c>
      <c r="H2169" t="n">
        <v>-551.9448</v>
      </c>
      <c r="I2169">
        <f>-H2919/G2919</f>
        <v/>
      </c>
    </row>
    <row r="2170">
      <c r="A2170" t="n">
        <v>9195</v>
      </c>
      <c r="B2170" s="16" t="n">
        <v>44523</v>
      </c>
      <c r="C2170" t="inlineStr">
        <is>
          <t>VTA</t>
        </is>
      </c>
      <c r="D2170" t="n">
        <v>32</v>
      </c>
      <c r="E2170">
        <f>IF(D5136&gt;0,VLOOKUP(OPERAC[[#This Row],[COD CART]],[1]!MatrizCortoLargoCyl[#All],3,0),"")</f>
        <v/>
      </c>
      <c r="F2170" t="inlineStr">
        <is>
          <t>GMBL</t>
        </is>
      </c>
      <c r="G2170" t="n">
        <v>400</v>
      </c>
      <c r="H2170">
        <f>-1637.772+36.427</f>
        <v/>
      </c>
      <c r="I2170">
        <f>-H5136/G5136</f>
        <v/>
      </c>
      <c r="J2170" s="16" t="n">
        <v>44641</v>
      </c>
      <c r="K2170" t="n">
        <v>400</v>
      </c>
      <c r="L2170" t="n">
        <v>314.798</v>
      </c>
    </row>
    <row r="2171">
      <c r="A2171" t="n">
        <v>9195</v>
      </c>
      <c r="B2171" s="16" t="n">
        <v>44523</v>
      </c>
      <c r="C2171" t="inlineStr">
        <is>
          <t>VTA</t>
        </is>
      </c>
      <c r="D2171" t="n">
        <v>40</v>
      </c>
      <c r="E2171">
        <f>IF(D5326&gt;0,VLOOKUP(OPERAC[[#This Row],[COD CART]],[1]!MatrizCortoLargoCyl[#All],3,0),"")</f>
        <v/>
      </c>
      <c r="F2171" t="inlineStr">
        <is>
          <t>EDU</t>
        </is>
      </c>
      <c r="G2171" t="n">
        <v>1000</v>
      </c>
      <c r="H2171">
        <f>-1768.11+0.026*OPERAC[[#This Row],[cantidad]]</f>
        <v/>
      </c>
      <c r="I2171">
        <f>-H5326/G5326</f>
        <v/>
      </c>
      <c r="J2171" s="16" t="n">
        <v>44615</v>
      </c>
      <c r="K2171" t="n">
        <v>1000</v>
      </c>
      <c r="L2171">
        <f>+OPERAC[[#This Row],[cantidad venta]]*1.501</f>
        <v/>
      </c>
    </row>
    <row r="2172">
      <c r="A2172" t="n">
        <v>9195</v>
      </c>
      <c r="B2172" s="16" t="n">
        <v>44532</v>
      </c>
      <c r="C2172" t="inlineStr">
        <is>
          <t>VTA</t>
        </is>
      </c>
      <c r="D2172" t="n">
        <v>32</v>
      </c>
      <c r="E2172">
        <f>IF(D3927&gt;0,VLOOKUP(OPERAC[[#This Row],[COD CART]],[1]!MatrizCortoLargoCyl[#All],3,0),"")</f>
        <v/>
      </c>
      <c r="F2172" t="inlineStr">
        <is>
          <t>COTY/CYL/10,00/18-02-22</t>
        </is>
      </c>
      <c r="G2172" t="n">
        <v>100</v>
      </c>
      <c r="H2172">
        <f>-901.599+20.838</f>
        <v/>
      </c>
      <c r="I2172">
        <f>-H3927/G3927</f>
        <v/>
      </c>
      <c r="J2172" s="16" t="n">
        <v>44608</v>
      </c>
      <c r="K2172">
        <f>+OPERAC[[#This Row],[cantidad]]</f>
        <v/>
      </c>
      <c r="L2172" t="n">
        <v>941.701</v>
      </c>
    </row>
    <row r="2173">
      <c r="A2173" t="n">
        <v>9195</v>
      </c>
      <c r="B2173" s="16" t="n">
        <v>44536</v>
      </c>
      <c r="C2173" t="inlineStr">
        <is>
          <t>CPR</t>
        </is>
      </c>
      <c r="D2173" t="n">
        <v>43</v>
      </c>
      <c r="E2173">
        <f>IF(D3963&gt;0,VLOOKUP(OPERAC[[#This Row],[COD CART]],[1]!MatrizCortoLargoCyl[#All],3,0),"")</f>
        <v/>
      </c>
      <c r="F2173" t="inlineStr">
        <is>
          <t>XSPA/CYL-PUT/1,50/20-01-23</t>
        </is>
      </c>
      <c r="G2173" t="n">
        <v>2000</v>
      </c>
      <c r="H2173">
        <f>-0.4462*OPERAC[[#This Row],[cantidad]]</f>
        <v/>
      </c>
      <c r="I2173">
        <f>-H3963/G3963</f>
        <v/>
      </c>
    </row>
    <row r="2174">
      <c r="A2174" t="n">
        <v>9195</v>
      </c>
      <c r="B2174" s="16" t="n">
        <v>44536</v>
      </c>
      <c r="C2174" t="inlineStr">
        <is>
          <t>VTA</t>
        </is>
      </c>
      <c r="D2174" t="n">
        <v>43</v>
      </c>
      <c r="E2174">
        <f>IF(D5596&gt;0,VLOOKUP(OPERAC[[#This Row],[COD CART]],[1]!MatrizCortoLargoCyl[#All],3,0),"")</f>
        <v/>
      </c>
      <c r="F2174" t="inlineStr">
        <is>
          <t>NNDM/CYL-PUT/2,50/19-01-24</t>
        </is>
      </c>
      <c r="G2174" t="n">
        <v>2000</v>
      </c>
      <c r="H2174">
        <f>-1.08*OPERAC[[#This Row],[cantidad]]</f>
        <v/>
      </c>
      <c r="I2174">
        <f>-H5596/G5596</f>
        <v/>
      </c>
    </row>
    <row r="2175">
      <c r="A2175" t="n">
        <v>9195</v>
      </c>
      <c r="B2175" s="16" t="n">
        <v>44553</v>
      </c>
      <c r="C2175" t="inlineStr">
        <is>
          <t>CPR</t>
        </is>
      </c>
      <c r="D2175" t="n">
        <v>41</v>
      </c>
      <c r="E2175">
        <f>IF(D4362&gt;0,VLOOKUP(OPERAC[[#This Row],[COD CART]],[1]!MatrizCortoLargoCyl[#All],3,0),"")</f>
        <v/>
      </c>
      <c r="F2175" t="inlineStr">
        <is>
          <t>DIS</t>
        </is>
      </c>
      <c r="G2175" t="n">
        <v>7</v>
      </c>
      <c r="H2175" t="n">
        <v>-1078.59</v>
      </c>
      <c r="I2175">
        <f>-H4362/G4362</f>
        <v/>
      </c>
      <c r="J2175" s="16" t="n">
        <v>44636</v>
      </c>
      <c r="K2175" t="n">
        <v>7</v>
      </c>
      <c r="L2175" t="n">
        <v>958.895</v>
      </c>
    </row>
    <row r="2176">
      <c r="A2176" t="n">
        <v>9195</v>
      </c>
      <c r="B2176" s="16" t="n">
        <v>44553</v>
      </c>
      <c r="C2176" t="inlineStr">
        <is>
          <t>VTA</t>
        </is>
      </c>
      <c r="D2176" t="n">
        <v>40</v>
      </c>
      <c r="E2176">
        <f>IF(D2099&gt;0,VLOOKUP(OPERAC[[#This Row],[COD CART]],[1]!MatrizCortoLargoCyl[#All],3,0),"")</f>
        <v/>
      </c>
      <c r="F2176" t="inlineStr">
        <is>
          <t>ON</t>
        </is>
      </c>
      <c r="G2176" t="n">
        <v>5</v>
      </c>
      <c r="H2176" t="n">
        <v>-334.23652</v>
      </c>
      <c r="I2176">
        <f>-H2099/G2099</f>
        <v/>
      </c>
      <c r="J2176" s="16" t="n">
        <v>44606</v>
      </c>
      <c r="K2176">
        <f>+OPERAC[[#This Row],[cantidad]]</f>
        <v/>
      </c>
      <c r="L2176">
        <f>+OPERAC[[#This Row],[cantidad venta]]*58.449</f>
        <v/>
      </c>
    </row>
    <row r="2177">
      <c r="A2177" t="n">
        <v>9195</v>
      </c>
      <c r="B2177" s="16" t="n">
        <v>44558</v>
      </c>
      <c r="C2177" t="inlineStr">
        <is>
          <t>VTA</t>
        </is>
      </c>
      <c r="D2177" t="n">
        <v>40</v>
      </c>
      <c r="E2177">
        <f>IF(D1420&gt;0,VLOOKUP(OPERAC[[#This Row],[COD CART]],[1]!MatrizCortoLargoCyl[#All],3,0),"")</f>
        <v/>
      </c>
      <c r="F2177" t="inlineStr">
        <is>
          <t>UPST</t>
        </is>
      </c>
      <c r="G2177" t="n">
        <v>1</v>
      </c>
      <c r="H2177" t="n">
        <v>-150.0026</v>
      </c>
      <c r="I2177">
        <f>-H1420/G1420</f>
        <v/>
      </c>
      <c r="J2177" s="16" t="n">
        <v>44606</v>
      </c>
      <c r="K2177">
        <f>+OPERAC[[#This Row],[cantidad]]</f>
        <v/>
      </c>
      <c r="L2177">
        <f>+OPERAC[[#This Row],[cantidad venta]]*98.994</f>
        <v/>
      </c>
    </row>
    <row r="2178">
      <c r="A2178" t="n">
        <v>9195</v>
      </c>
      <c r="B2178" s="16" t="n">
        <v>44581</v>
      </c>
      <c r="C2178" t="inlineStr">
        <is>
          <t>VTA</t>
        </is>
      </c>
      <c r="D2178" t="n">
        <v>39</v>
      </c>
      <c r="E2178">
        <f>IF(D647&gt;0,VLOOKUP(OPERAC[[#This Row],[COD CART]],[1]!MatrizCortoLargoCyl[#All],3,0),"")</f>
        <v/>
      </c>
      <c r="F2178" t="inlineStr">
        <is>
          <t>ROKU/V/170,00/28-01-22</t>
        </is>
      </c>
      <c r="G2178" t="n">
        <v>-100</v>
      </c>
      <c r="H2178" t="n">
        <v>527.484</v>
      </c>
      <c r="I2178">
        <f>-H647/G647</f>
        <v/>
      </c>
      <c r="J2178" s="16" t="n">
        <v>44587</v>
      </c>
      <c r="K2178">
        <f>+OPERAC[[#This Row],[cantidad]]</f>
        <v/>
      </c>
      <c r="L2178">
        <f>-OPERAC[[#This Row],[importe]]</f>
        <v/>
      </c>
    </row>
    <row r="2179">
      <c r="A2179" t="n">
        <v>9195</v>
      </c>
      <c r="B2179" s="16" t="n">
        <v>44582</v>
      </c>
      <c r="C2179" t="inlineStr">
        <is>
          <t>VTA</t>
        </is>
      </c>
      <c r="D2179" t="n">
        <v>40</v>
      </c>
      <c r="E2179">
        <f>IF(D2260&gt;0,VLOOKUP(OPERAC[[#This Row],[COD CART]],[1]!MatrizCortoLargoCyl[#All],3,0),"")</f>
        <v/>
      </c>
      <c r="F2179" t="inlineStr">
        <is>
          <t>NFLX</t>
        </is>
      </c>
      <c r="G2179" t="n">
        <v>1</v>
      </c>
      <c r="H2179" t="n">
        <v>-384.50958</v>
      </c>
      <c r="I2179">
        <f>-H2260/G2260</f>
        <v/>
      </c>
      <c r="J2179" s="16" t="n">
        <v>44593</v>
      </c>
      <c r="K2179">
        <f>+OPERAC[[#This Row],[cantidad]]</f>
        <v/>
      </c>
      <c r="L2179">
        <f>+OPERAC[[#This Row],[cantidad venta]]*448.602</f>
        <v/>
      </c>
    </row>
    <row r="2180">
      <c r="A2180" t="n">
        <v>9195</v>
      </c>
      <c r="B2180" s="16" t="n">
        <v>44586</v>
      </c>
      <c r="C2180" t="inlineStr">
        <is>
          <t>VTA</t>
        </is>
      </c>
      <c r="D2180" t="n">
        <v>43</v>
      </c>
      <c r="E2180">
        <f>IF(D1904&gt;0,VLOOKUP(OPERAC[[#This Row],[COD CART]],[1]!MatrizCortoLargoCyl[#All],3,0),"")</f>
        <v/>
      </c>
      <c r="F2180" t="inlineStr">
        <is>
          <t>GMBL/CYL-PUT/2,50/20-01-23</t>
        </is>
      </c>
      <c r="G2180" t="n">
        <v>300</v>
      </c>
      <c r="H2180" t="n">
        <v>-288.8555000000001</v>
      </c>
      <c r="I2180">
        <f>-H1904/G1904</f>
        <v/>
      </c>
      <c r="J2180" s="16" t="n">
        <v>44636</v>
      </c>
      <c r="K2180" t="n">
        <v>300</v>
      </c>
      <c r="L2180">
        <f>-1.36*OPERAC[[#This Row],[cantidad venta]]</f>
        <v/>
      </c>
    </row>
    <row r="2181">
      <c r="A2181" t="n">
        <v>9195</v>
      </c>
      <c r="B2181" s="16" t="n">
        <v>44587</v>
      </c>
      <c r="C2181" t="inlineStr">
        <is>
          <t>VTA</t>
        </is>
      </c>
      <c r="D2181" t="n">
        <v>39</v>
      </c>
      <c r="E2181">
        <f>IF(D287&gt;0,VLOOKUP(OPERAC[[#This Row],[COD CART]],[1]!MatrizCortoLargoCyl[#All],3,0),"")</f>
        <v/>
      </c>
      <c r="F2181" t="inlineStr">
        <is>
          <t>ROKU/V/155,00/04-02-22</t>
        </is>
      </c>
      <c r="G2181" t="n">
        <v>-200</v>
      </c>
      <c r="H2181" t="n">
        <v>1594.3984</v>
      </c>
      <c r="I2181">
        <f>-H287/G287</f>
        <v/>
      </c>
      <c r="J2181" s="16" t="n">
        <v>44592</v>
      </c>
      <c r="K2181">
        <f>+OPERAC[[#This Row],[cantidad]]</f>
        <v/>
      </c>
      <c r="L2181" t="n">
        <v>-713.6228</v>
      </c>
    </row>
    <row r="2182">
      <c r="A2182" t="n">
        <v>9195</v>
      </c>
      <c r="B2182" s="16" t="n">
        <v>44592</v>
      </c>
      <c r="C2182" t="inlineStr">
        <is>
          <t>VTA</t>
        </is>
      </c>
      <c r="D2182" t="n">
        <v>39</v>
      </c>
      <c r="E2182">
        <f>IF(D482&gt;0,VLOOKUP(OPERAC[[#This Row],[COD CART]],[1]!MatrizCortoLargoCyl[#All],3,0),"")</f>
        <v/>
      </c>
      <c r="F2182" t="inlineStr">
        <is>
          <t>ROKU/V/150,00/11-02-22</t>
        </is>
      </c>
      <c r="G2182" t="n">
        <v>-200</v>
      </c>
      <c r="H2182" t="n">
        <v>955.3679999999999</v>
      </c>
      <c r="I2182">
        <f>-H482/G482</f>
        <v/>
      </c>
      <c r="J2182" s="16" t="n">
        <v>44601</v>
      </c>
      <c r="K2182">
        <f>+OPERAC[[#This Row],[cantidad]]</f>
        <v/>
      </c>
      <c r="L2182">
        <f>0.67*OPERAC[[#This Row],[cantidad venta]]</f>
        <v/>
      </c>
    </row>
    <row r="2183">
      <c r="A2183" t="n">
        <v>9195</v>
      </c>
      <c r="B2183" s="16" t="n">
        <v>44594</v>
      </c>
      <c r="C2183" t="inlineStr">
        <is>
          <t>CPR</t>
        </is>
      </c>
      <c r="D2183" t="n">
        <v>40</v>
      </c>
      <c r="E2183">
        <f>IF(D4814&gt;0,VLOOKUP(OPERAC[[#This Row],[COD CART]],[1]!MatrizCortoLargoCyl[#All],3,0),"")</f>
        <v/>
      </c>
      <c r="F2183" t="inlineStr">
        <is>
          <t>EDU</t>
        </is>
      </c>
      <c r="G2183" t="n">
        <v>700</v>
      </c>
      <c r="H2183" t="n">
        <v>-1405.6</v>
      </c>
      <c r="I2183">
        <f>-H4814/G4814</f>
        <v/>
      </c>
      <c r="J2183" s="16" t="n">
        <v>44599</v>
      </c>
      <c r="K2183" t="n">
        <v>700</v>
      </c>
      <c r="L2183">
        <f>1.65*700</f>
        <v/>
      </c>
    </row>
    <row r="2184">
      <c r="A2184" t="n">
        <v>9195</v>
      </c>
      <c r="B2184" s="16" t="n">
        <v>44601</v>
      </c>
      <c r="C2184" t="inlineStr">
        <is>
          <t>VTA</t>
        </is>
      </c>
      <c r="D2184" t="n">
        <v>43</v>
      </c>
      <c r="E2184">
        <f>IF(D2279&gt;0,VLOOKUP(OPERAC[[#This Row],[COD CART]],[1]!MatrizCortoLargoCyl[#All],3,0),"")</f>
        <v/>
      </c>
      <c r="F2184" t="inlineStr">
        <is>
          <t>GMBL/CYL-PUT/2,50/20-01-23</t>
        </is>
      </c>
      <c r="G2184" t="n">
        <v>300</v>
      </c>
      <c r="H2184">
        <f>-1.3*OPERAC[[#This Row],[cantidad]]</f>
        <v/>
      </c>
      <c r="I2184">
        <f>-H2279/G2279</f>
        <v/>
      </c>
      <c r="J2184" s="16" t="n">
        <v>44636</v>
      </c>
      <c r="K2184" t="n">
        <v>300</v>
      </c>
      <c r="L2184">
        <f>-1.36*OPERAC[[#This Row],[cantidad venta]]</f>
        <v/>
      </c>
    </row>
    <row r="2185">
      <c r="A2185" t="n">
        <v>9195</v>
      </c>
      <c r="B2185" s="16" t="n">
        <v>44606</v>
      </c>
      <c r="C2185" t="inlineStr">
        <is>
          <t>VTA</t>
        </is>
      </c>
      <c r="D2185" t="n">
        <v>39</v>
      </c>
      <c r="E2185">
        <f>IF(D182&gt;0,VLOOKUP(OPERAC[[#This Row],[COD CART]],[1]!MatrizCortoLargoCyl[#All],3,0),"")</f>
        <v/>
      </c>
      <c r="F2185" t="inlineStr">
        <is>
          <t>TSLA/C/950,00/18-02-22</t>
        </is>
      </c>
      <c r="G2185" t="n">
        <v>-1000</v>
      </c>
      <c r="H2185" t="n">
        <v>2238.275</v>
      </c>
      <c r="I2185">
        <f>-H182/G182</f>
        <v/>
      </c>
      <c r="J2185" s="16" t="n">
        <v>44607</v>
      </c>
      <c r="K2185" t="n">
        <v>-1000</v>
      </c>
      <c r="L2185" t="n">
        <v>-7747.83</v>
      </c>
    </row>
    <row r="2186">
      <c r="A2186" t="n">
        <v>9195</v>
      </c>
      <c r="B2186" s="16" t="n">
        <v>44606</v>
      </c>
      <c r="C2186" t="inlineStr">
        <is>
          <t>VTA</t>
        </is>
      </c>
      <c r="D2186" t="n">
        <v>39</v>
      </c>
      <c r="E2186">
        <f>IF(D218&gt;0,VLOOKUP(OPERAC[[#This Row],[COD CART]],[1]!MatrizCortoLargoCyl[#All],3,0),"")</f>
        <v/>
      </c>
      <c r="F2186" t="inlineStr">
        <is>
          <t>TSLA/V/765,00/18-02-22</t>
        </is>
      </c>
      <c r="G2186" t="n">
        <v>-1000</v>
      </c>
      <c r="H2186" t="n">
        <v>2043.739</v>
      </c>
      <c r="I2186">
        <f>-H218/G218</f>
        <v/>
      </c>
      <c r="J2186" s="16" t="n">
        <v>44607</v>
      </c>
      <c r="K2186" t="n">
        <v>-1000</v>
      </c>
      <c r="L2186" t="n">
        <v>-7724.7</v>
      </c>
    </row>
    <row r="2187">
      <c r="A2187" t="n">
        <v>9195</v>
      </c>
      <c r="B2187" s="16" t="n">
        <v>44607</v>
      </c>
      <c r="C2187" t="inlineStr">
        <is>
          <t>VTA</t>
        </is>
      </c>
      <c r="D2187" t="n">
        <v>39</v>
      </c>
      <c r="E2187">
        <f>IF(D65&gt;0,VLOOKUP(OPERAC[[#This Row],[COD CART]],[1]!MatrizCortoLargoCyl[#All],3,0),"")</f>
        <v/>
      </c>
      <c r="F2187" t="inlineStr">
        <is>
          <t>TSLA/C/965,00/18-02-22</t>
        </is>
      </c>
      <c r="G2187" t="n">
        <v>-1000</v>
      </c>
      <c r="H2187" t="n">
        <v>4728.26</v>
      </c>
      <c r="I2187">
        <f>-H65/G65</f>
        <v/>
      </c>
      <c r="J2187" s="16" t="n">
        <v>44607</v>
      </c>
      <c r="K2187" t="n">
        <v>-1000</v>
      </c>
      <c r="L2187" t="n">
        <v>-3617.09</v>
      </c>
    </row>
    <row r="2188">
      <c r="A2188" t="n">
        <v>9195</v>
      </c>
      <c r="B2188" s="16" t="n">
        <v>44607</v>
      </c>
      <c r="C2188" t="inlineStr">
        <is>
          <t>VTA</t>
        </is>
      </c>
      <c r="D2188" t="n">
        <v>39</v>
      </c>
      <c r="E2188">
        <f>IF(D129&gt;0,VLOOKUP(OPERAC[[#This Row],[COD CART]],[1]!MatrizCortoLargoCyl[#All],3,0),"")</f>
        <v/>
      </c>
      <c r="F2188" t="inlineStr">
        <is>
          <t>TSLA/V/845,00/18-02-22</t>
        </is>
      </c>
      <c r="G2188" t="n">
        <v>-1000</v>
      </c>
      <c r="H2188" t="n">
        <v>3081.185</v>
      </c>
      <c r="I2188">
        <f>-H129/G129</f>
        <v/>
      </c>
      <c r="J2188" s="16" t="n">
        <v>44608</v>
      </c>
      <c r="K2188" t="n">
        <v>-1000</v>
      </c>
      <c r="L2188" t="n">
        <v>-2562.89</v>
      </c>
    </row>
    <row r="2189">
      <c r="A2189" t="n">
        <v>9195</v>
      </c>
      <c r="B2189" s="16" t="n">
        <v>44607</v>
      </c>
      <c r="C2189" t="inlineStr">
        <is>
          <t>VTA</t>
        </is>
      </c>
      <c r="D2189" t="n">
        <v>39</v>
      </c>
      <c r="E2189">
        <f>IF(D165&gt;0,VLOOKUP(OPERAC[[#This Row],[COD CART]],[1]!MatrizCortoLargoCyl[#All],3,0),"")</f>
        <v/>
      </c>
      <c r="F2189" t="inlineStr">
        <is>
          <t>TSLA/V/840,00/18-02-22</t>
        </is>
      </c>
      <c r="G2189" t="n">
        <v>-1500</v>
      </c>
      <c r="H2189" t="n">
        <v>2454.57</v>
      </c>
      <c r="I2189">
        <f>-H165/G165</f>
        <v/>
      </c>
      <c r="J2189" s="16" t="n">
        <v>44608</v>
      </c>
      <c r="K2189" t="n">
        <v>-1500</v>
      </c>
      <c r="L2189" t="n">
        <v>-3051.12</v>
      </c>
    </row>
    <row r="2190">
      <c r="A2190" t="n">
        <v>9195</v>
      </c>
      <c r="B2190" s="16" t="n">
        <v>44607</v>
      </c>
      <c r="C2190" t="inlineStr">
        <is>
          <t>VTA</t>
        </is>
      </c>
      <c r="D2190" t="n">
        <v>39</v>
      </c>
      <c r="E2190">
        <f>IF(D251&gt;0,VLOOKUP(OPERAC[[#This Row],[COD CART]],[1]!MatrizCortoLargoCyl[#All],3,0),"")</f>
        <v/>
      </c>
      <c r="F2190" t="inlineStr">
        <is>
          <t>TSLA/C/990,00/18-02-22</t>
        </is>
      </c>
      <c r="G2190" t="n">
        <v>-1500</v>
      </c>
      <c r="H2190" t="n">
        <v>1788.72</v>
      </c>
      <c r="I2190">
        <f>-H251/G251</f>
        <v/>
      </c>
      <c r="J2190" s="16" t="n">
        <v>44608</v>
      </c>
      <c r="K2190" t="n">
        <v>-1500</v>
      </c>
      <c r="L2190" t="n">
        <v>-696.79</v>
      </c>
    </row>
    <row r="2191">
      <c r="A2191" t="n">
        <v>9195</v>
      </c>
      <c r="B2191" s="16" t="n">
        <v>44607</v>
      </c>
      <c r="C2191" t="inlineStr">
        <is>
          <t>VTA</t>
        </is>
      </c>
      <c r="D2191" t="n">
        <v>43</v>
      </c>
      <c r="E2191">
        <f>IF(D3127&gt;0,VLOOKUP(OPERAC[[#This Row],[COD CART]],[1]!MatrizCortoLargoCyl[#All],3,0),"")</f>
        <v/>
      </c>
      <c r="F2191" t="inlineStr">
        <is>
          <t>SOLO/CYL-PUT/2,00/19-01-24</t>
        </is>
      </c>
      <c r="G2191" t="n">
        <v>2500</v>
      </c>
      <c r="H2191" t="n">
        <v>-631.05</v>
      </c>
      <c r="I2191">
        <f>-H3127/G3127</f>
        <v/>
      </c>
    </row>
    <row r="2192">
      <c r="A2192" t="n">
        <v>9195</v>
      </c>
      <c r="B2192" s="16" t="n">
        <v>44608</v>
      </c>
      <c r="C2192" t="inlineStr">
        <is>
          <t>CPR</t>
        </is>
      </c>
      <c r="D2192" t="n">
        <v>40</v>
      </c>
      <c r="E2192">
        <f>IF(D4686&gt;0,VLOOKUP(OPERAC[[#This Row],[COD CART]],[1]!MatrizCortoLargoCyl[#All],3,0),"")</f>
        <v/>
      </c>
      <c r="F2192" t="inlineStr">
        <is>
          <t>NVDA</t>
        </is>
      </c>
      <c r="G2192" t="n">
        <v>5</v>
      </c>
      <c r="H2192" t="n">
        <v>-1309.743</v>
      </c>
      <c r="I2192">
        <f>-H4686/G4686</f>
        <v/>
      </c>
      <c r="J2192" s="16" t="n">
        <v>44616</v>
      </c>
      <c r="K2192">
        <f>+OPERAC[[#This Row],[cantidad]]</f>
        <v/>
      </c>
      <c r="L2192">
        <f>+OPERAC[[#This Row],[cantidad venta]]*224.117</f>
        <v/>
      </c>
    </row>
    <row r="2193">
      <c r="A2193" t="n">
        <v>9195</v>
      </c>
      <c r="B2193" s="16" t="n">
        <v>44608</v>
      </c>
      <c r="C2193" t="inlineStr">
        <is>
          <t>VTA</t>
        </is>
      </c>
      <c r="D2193" t="n">
        <v>39</v>
      </c>
      <c r="E2193">
        <f>IF(D34&gt;0,VLOOKUP(OPERAC[[#This Row],[COD CART]],[1]!MatrizCortoLargoCyl[#All],3,0),"")</f>
        <v/>
      </c>
      <c r="F2193" t="inlineStr">
        <is>
          <t>TSLA/V/795,00/25-02-22</t>
        </is>
      </c>
      <c r="G2193" t="n">
        <v>-1500</v>
      </c>
      <c r="H2193" t="n">
        <v>6214.675</v>
      </c>
      <c r="I2193">
        <f>-H34/G34</f>
        <v/>
      </c>
      <c r="J2193" s="16" t="n">
        <v>44614</v>
      </c>
      <c r="K2193" t="n">
        <v>-1500</v>
      </c>
      <c r="L2193" t="n">
        <v>-27865.035</v>
      </c>
    </row>
    <row r="2194">
      <c r="A2194" t="n">
        <v>9195</v>
      </c>
      <c r="B2194" s="16" t="n">
        <v>44614</v>
      </c>
      <c r="C2194" t="inlineStr">
        <is>
          <t>VTA</t>
        </is>
      </c>
      <c r="D2194" t="n">
        <v>39</v>
      </c>
      <c r="E2194">
        <f>IF(D798&gt;0,VLOOKUP(OPERAC[[#This Row],[COD CART]],[1]!MatrizCortoLargoCyl[#All],3,0),"")</f>
        <v/>
      </c>
      <c r="F2194" t="inlineStr">
        <is>
          <t>TSLA/V/430,00/20-01-23</t>
        </is>
      </c>
      <c r="G2194" t="n">
        <v>-10</v>
      </c>
      <c r="H2194" t="n">
        <v>258.93</v>
      </c>
      <c r="I2194">
        <f>-H798/G798</f>
        <v/>
      </c>
    </row>
    <row r="2195">
      <c r="A2195" t="n">
        <v>9195</v>
      </c>
      <c r="B2195" s="16" t="n">
        <v>44616</v>
      </c>
      <c r="C2195" t="inlineStr">
        <is>
          <t>CPR</t>
        </is>
      </c>
      <c r="D2195" t="n">
        <v>32</v>
      </c>
      <c r="E2195">
        <f>IF(D4305&gt;0,VLOOKUP(OPERAC[[#This Row],[COD CART]],[1]!MatrizCortoLargoCyl[#All],3,0),"")</f>
        <v/>
      </c>
      <c r="F2195" t="inlineStr">
        <is>
          <t>PLTR/CYL/12,00/14-04-22</t>
        </is>
      </c>
      <c r="G2195" t="n">
        <v>100</v>
      </c>
      <c r="H2195" t="n">
        <v>-1051.4672</v>
      </c>
      <c r="I2195">
        <f>-H4305/G4305</f>
        <v/>
      </c>
      <c r="J2195" s="16" t="n">
        <v>44643</v>
      </c>
      <c r="K2195" t="n">
        <v>100</v>
      </c>
      <c r="L2195" t="n">
        <v>1146.72</v>
      </c>
    </row>
    <row r="2196">
      <c r="A2196" t="n">
        <v>9195</v>
      </c>
      <c r="B2196" s="16" t="n">
        <v>44622</v>
      </c>
      <c r="C2196" t="inlineStr">
        <is>
          <t>CPR</t>
        </is>
      </c>
      <c r="D2196" t="n">
        <v>32</v>
      </c>
      <c r="E2196">
        <f>IF(D4867&gt;0,VLOOKUP(OPERAC[[#This Row],[COD CART]],[1]!MatrizCortoLargoCyl[#All],3,0),"")</f>
        <v/>
      </c>
      <c r="F2196" t="inlineStr">
        <is>
          <t>AMC/CYL/16,00/14-04-22</t>
        </is>
      </c>
      <c r="G2196" t="n">
        <v>100</v>
      </c>
      <c r="H2196" t="n">
        <v>-1451.981</v>
      </c>
      <c r="I2196">
        <f>-H4867/G4867</f>
        <v/>
      </c>
      <c r="J2196" s="16" t="n">
        <v>44648</v>
      </c>
      <c r="K2196">
        <f>+OPERAC[[#This Row],[cantidad]]</f>
        <v/>
      </c>
      <c r="L2196" t="n">
        <v>1581.776</v>
      </c>
    </row>
    <row r="2197">
      <c r="A2197" t="n">
        <v>9195</v>
      </c>
      <c r="B2197" s="16" t="n">
        <v>44636</v>
      </c>
      <c r="C2197" t="inlineStr">
        <is>
          <t>VTA</t>
        </is>
      </c>
      <c r="D2197" t="n">
        <v>43</v>
      </c>
      <c r="E2197">
        <f>IF(D2061&gt;0,VLOOKUP(OPERAC[[#This Row],[COD CART]],[1]!MatrizCortoLargoCyl[#All],3,0),"")</f>
        <v/>
      </c>
      <c r="F2197" t="inlineStr">
        <is>
          <t>GMBL/CYL-PUT/1,00/20-01-23</t>
        </is>
      </c>
      <c r="G2197" t="n">
        <v>2000</v>
      </c>
      <c r="H2197" t="n">
        <v>-324.7710400000002</v>
      </c>
      <c r="I2197">
        <f>-H2061/G2061</f>
        <v/>
      </c>
    </row>
    <row r="2198">
      <c r="A2198" t="n">
        <v>9195</v>
      </c>
      <c r="B2198" s="16" t="n">
        <v>44641</v>
      </c>
      <c r="C2198" t="inlineStr">
        <is>
          <t>CPR</t>
        </is>
      </c>
      <c r="D2198" t="n">
        <v>32</v>
      </c>
      <c r="E2198">
        <f>IF(D4108&gt;0,VLOOKUP(OPERAC[[#This Row],[COD CART]],[1]!MatrizCortoLargoCyl[#All],3,0),"")</f>
        <v/>
      </c>
      <c r="F2198" t="inlineStr">
        <is>
          <t>HMY</t>
        </is>
      </c>
      <c r="G2198" t="n">
        <v>200</v>
      </c>
      <c r="H2198" t="n">
        <v>-947.4053999999999</v>
      </c>
      <c r="I2198">
        <f>-H4108/G4108</f>
        <v/>
      </c>
      <c r="J2198" s="16" t="n">
        <v>44669</v>
      </c>
      <c r="K2198">
        <f>+OPERAC[[#This Row],[cantidad]]</f>
        <v/>
      </c>
      <c r="L2198">
        <f>4.925*OPERAC[[#This Row],[cantidad venta]]</f>
        <v/>
      </c>
    </row>
    <row r="2199">
      <c r="A2199" t="n">
        <v>9195</v>
      </c>
      <c r="B2199" s="16" t="n">
        <v>44645</v>
      </c>
      <c r="C2199" t="inlineStr">
        <is>
          <t>CPR</t>
        </is>
      </c>
      <c r="D2199" t="n">
        <v>42</v>
      </c>
      <c r="E2199">
        <f>IF(D3338&gt;0,VLOOKUP(OPERAC[[#This Row],[COD CART]],[1]!MatrizCortoLargoCyl[#All],3,0),"")</f>
        <v/>
      </c>
      <c r="F2199" t="inlineStr">
        <is>
          <t>PLUG</t>
        </is>
      </c>
      <c r="G2199" t="n">
        <v>25</v>
      </c>
      <c r="H2199" t="n">
        <v>-695.5205</v>
      </c>
      <c r="I2199">
        <f>-H3338/G3338</f>
        <v/>
      </c>
      <c r="J2199" s="16" t="n">
        <v>44652</v>
      </c>
      <c r="K2199">
        <f>+OPERAC[[#This Row],[cantidad]]</f>
        <v/>
      </c>
      <c r="L2199">
        <f>+OPERAC[[#This Row],[cantidad venta]]*27.754</f>
        <v/>
      </c>
    </row>
    <row r="2200">
      <c r="A2200" t="n">
        <v>9195</v>
      </c>
      <c r="B2200" s="16" t="n">
        <v>44648</v>
      </c>
      <c r="C2200" t="inlineStr">
        <is>
          <t>VTA</t>
        </is>
      </c>
      <c r="D2200" t="n">
        <v>32</v>
      </c>
      <c r="E2200">
        <f>IF(D5164&gt;0,VLOOKUP(OPERAC[[#This Row],[COD CART]],[1]!MatrizCortoLargoCyl[#All],3,0),"")</f>
        <v/>
      </c>
      <c r="F2200" t="inlineStr">
        <is>
          <t>F</t>
        </is>
      </c>
      <c r="G2200" t="n">
        <v>100</v>
      </c>
      <c r="H2200" t="n">
        <v>-1609.832</v>
      </c>
      <c r="I2200">
        <f>-H5164/G5164</f>
        <v/>
      </c>
      <c r="J2200" s="16" t="n">
        <v>44677</v>
      </c>
      <c r="K2200" t="n">
        <v>100</v>
      </c>
      <c r="L2200" t="n">
        <v>1497.232</v>
      </c>
    </row>
    <row r="2201">
      <c r="A2201" t="n">
        <v>9195</v>
      </c>
      <c r="B2201" s="16" t="n">
        <v>44652</v>
      </c>
      <c r="C2201" t="inlineStr">
        <is>
          <t>CPR</t>
        </is>
      </c>
      <c r="D2201" t="n">
        <v>42</v>
      </c>
      <c r="E2201">
        <f>IF(D3624&gt;0,VLOOKUP(OPERAC[[#This Row],[COD CART]],[1]!MatrizCortoLargoCyl[#All],3,0),"")</f>
        <v/>
      </c>
      <c r="F2201" t="inlineStr">
        <is>
          <t>GBTC</t>
        </is>
      </c>
      <c r="G2201" t="n">
        <v>25</v>
      </c>
      <c r="H2201" t="n">
        <v>-799.5599999999999</v>
      </c>
      <c r="I2201">
        <f>-H3624/G3624</f>
        <v/>
      </c>
      <c r="J2201" s="16" t="n">
        <v>44662</v>
      </c>
      <c r="K2201">
        <f>+OPERAC[[#This Row],[cantidad]]</f>
        <v/>
      </c>
      <c r="L2201">
        <f>27.99*OPERAC[[#This Row],[cantidad venta]]</f>
        <v/>
      </c>
    </row>
    <row r="2202">
      <c r="A2202" t="n">
        <v>9195</v>
      </c>
      <c r="B2202" s="16" t="n">
        <v>44662</v>
      </c>
      <c r="C2202" t="inlineStr">
        <is>
          <t>CPR</t>
        </is>
      </c>
      <c r="D2202" t="n">
        <v>42</v>
      </c>
      <c r="E2202">
        <f>IF(D3424&gt;0,VLOOKUP(OPERAC[[#This Row],[COD CART]],[1]!MatrizCortoLargoCyl[#All],3,0),"")</f>
        <v/>
      </c>
      <c r="F2202" t="inlineStr">
        <is>
          <t>HYDR</t>
        </is>
      </c>
      <c r="G2202" t="n">
        <v>40</v>
      </c>
      <c r="H2202" t="n">
        <v>-739.86688</v>
      </c>
      <c r="I2202">
        <f>-H3424/G3424</f>
        <v/>
      </c>
    </row>
    <row r="2203">
      <c r="A2203" t="n">
        <v>9195</v>
      </c>
      <c r="B2203" s="16" t="n">
        <v>44664</v>
      </c>
      <c r="C2203" t="inlineStr">
        <is>
          <t>VTA</t>
        </is>
      </c>
      <c r="D2203" t="n">
        <v>42</v>
      </c>
      <c r="E2203">
        <f>IF(D2002&gt;0,VLOOKUP(OPERAC[[#This Row],[COD CART]],[1]!MatrizCortoLargoCyl[#All],3,0),"")</f>
        <v/>
      </c>
      <c r="F2203" t="inlineStr">
        <is>
          <t>PSQ</t>
        </is>
      </c>
      <c r="G2203" t="n">
        <v>25</v>
      </c>
      <c r="H2203" t="n">
        <v>-309.581525925</v>
      </c>
      <c r="I2203">
        <f>-H2002/G2002</f>
        <v/>
      </c>
      <c r="J2203" s="16" t="n">
        <v>44680</v>
      </c>
      <c r="K2203">
        <f>+OPERAC[[#This Row],[cantidad]]</f>
        <v/>
      </c>
      <c r="L2203">
        <f>12.848*OPERAC[[#This Row],[cantidad venta]]</f>
        <v/>
      </c>
    </row>
    <row r="2204">
      <c r="A2204" t="n">
        <v>9195</v>
      </c>
      <c r="B2204" s="16" t="n">
        <v>44669</v>
      </c>
      <c r="C2204" t="inlineStr">
        <is>
          <t>CPR</t>
        </is>
      </c>
      <c r="D2204" t="n">
        <v>32</v>
      </c>
      <c r="E2204">
        <f>IF(D4038&gt;0,VLOOKUP(OPERAC[[#This Row],[COD CART]],[1]!MatrizCortoLargoCyl[#All],3,0),"")</f>
        <v/>
      </c>
      <c r="F2204" t="inlineStr">
        <is>
          <t>HMY</t>
        </is>
      </c>
      <c r="G2204" t="n">
        <v>200</v>
      </c>
      <c r="H2204">
        <f>-4.64*OPERAC[[#This Row],[cantidad]]</f>
        <v/>
      </c>
      <c r="I2204">
        <f>-H4038/G4038</f>
        <v/>
      </c>
    </row>
    <row r="2205">
      <c r="A2205" t="n">
        <v>9195</v>
      </c>
      <c r="B2205" s="16" t="n">
        <v>44670</v>
      </c>
      <c r="C2205" t="inlineStr">
        <is>
          <t>CPR</t>
        </is>
      </c>
      <c r="D2205" t="n">
        <v>43</v>
      </c>
      <c r="E2205">
        <f>IF(D4795&gt;0,VLOOKUP(OPERAC[[#This Row],[COD CART]],[1]!MatrizCortoLargoCyl[#All],3,0),"")</f>
        <v/>
      </c>
      <c r="F2205" t="inlineStr">
        <is>
          <t>PCT/CYL-PUT/7,50/19-01-24</t>
        </is>
      </c>
      <c r="G2205" t="n">
        <v>1000</v>
      </c>
      <c r="H2205" t="n">
        <v>-1393.44</v>
      </c>
      <c r="I2205">
        <f>-H4795/G4795</f>
        <v/>
      </c>
    </row>
    <row r="2206">
      <c r="A2206" t="n">
        <v>9195</v>
      </c>
      <c r="B2206" s="16" t="n">
        <v>44680</v>
      </c>
      <c r="C2206" t="inlineStr">
        <is>
          <t>VTA</t>
        </is>
      </c>
      <c r="D2206" t="n">
        <v>42</v>
      </c>
      <c r="E2206">
        <f>IF(D2030&gt;0,VLOOKUP(OPERAC[[#This Row],[COD CART]],[1]!MatrizCortoLargoCyl[#All],3,0),"")</f>
        <v/>
      </c>
      <c r="F2206" t="inlineStr">
        <is>
          <t>XLP</t>
        </is>
      </c>
      <c r="G2206" t="n">
        <v>4</v>
      </c>
      <c r="H2206" t="n">
        <v>-316.47777</v>
      </c>
      <c r="I2206">
        <f>-H2030/G2030</f>
        <v/>
      </c>
    </row>
    <row r="2207">
      <c r="A2207" t="n">
        <v>10079</v>
      </c>
      <c r="B2207" s="16" t="n">
        <v>44438</v>
      </c>
      <c r="C2207" t="inlineStr">
        <is>
          <t>VTA</t>
        </is>
      </c>
      <c r="D2207" t="n">
        <v>39</v>
      </c>
      <c r="E2207">
        <f>IF(D103&gt;0,VLOOKUP(OPERAC[[#This Row],[COD CART]],[1]!MatrizCortoLargoCyl[#All],3,0),"")</f>
        <v/>
      </c>
      <c r="F2207" t="inlineStr">
        <is>
          <t>EDU/V/25,00/20-01-23</t>
        </is>
      </c>
      <c r="G2207" t="n">
        <v>-3000</v>
      </c>
      <c r="H2207" t="n">
        <v>3407.4</v>
      </c>
      <c r="I2207">
        <f>-H103/G103</f>
        <v/>
      </c>
      <c r="J2207" s="16" t="n">
        <v>44614</v>
      </c>
      <c r="K2207" t="n">
        <v>-3000</v>
      </c>
      <c r="L2207" t="n">
        <v>-3951.87</v>
      </c>
    </row>
    <row r="2208">
      <c r="A2208" t="n">
        <v>10079</v>
      </c>
      <c r="B2208" s="16" t="n">
        <v>44466</v>
      </c>
      <c r="C2208" t="inlineStr">
        <is>
          <t>CPR</t>
        </is>
      </c>
      <c r="D2208" t="n">
        <v>43</v>
      </c>
      <c r="E2208">
        <f>IF(D6229&gt;0,VLOOKUP(OPERAC[[#This Row],[COD CART]],[1]!MatrizCortoLargoCyl[#All],3,0),"")</f>
        <v/>
      </c>
      <c r="F2208" t="inlineStr">
        <is>
          <t>SOLO/CYL-PUT/4,00/16-09-22</t>
        </is>
      </c>
      <c r="G2208" t="n">
        <v>3000</v>
      </c>
      <c r="H2208">
        <f>-8922.5181+0.32*OPERAC[[#This Row],[cantidad]]+0.387*OPERAC[[#This Row],[cantidad]]+0.22*OPERAC[[#This Row],[cantidad]]</f>
        <v/>
      </c>
      <c r="I2208">
        <f>-H6229/G6229</f>
        <v/>
      </c>
    </row>
    <row r="2209">
      <c r="A2209" t="n">
        <v>10079</v>
      </c>
      <c r="B2209" s="16" t="n">
        <v>44474</v>
      </c>
      <c r="C2209" t="inlineStr">
        <is>
          <t>VTA</t>
        </is>
      </c>
      <c r="D2209" t="n">
        <v>39</v>
      </c>
      <c r="E2209">
        <f>IF(D856&gt;0,VLOOKUP(OPERAC[[#This Row],[COD CART]],[1]!MatrizCortoLargoCyl[#All],3,0),"")</f>
        <v/>
      </c>
      <c r="F2209" t="inlineStr">
        <is>
          <t>NKE/V/115,00/21-01-22</t>
        </is>
      </c>
      <c r="G2209" t="n">
        <v>-200</v>
      </c>
      <c r="H2209" t="n">
        <v>199.914</v>
      </c>
      <c r="I2209">
        <f>-H856/G856</f>
        <v/>
      </c>
      <c r="J2209" s="16" t="n">
        <v>44582</v>
      </c>
      <c r="K2209">
        <f>+OPERAC[[#This Row],[cantidad]]</f>
        <v/>
      </c>
      <c r="L2209" t="n">
        <v>0</v>
      </c>
    </row>
    <row r="2210">
      <c r="A2210" t="n">
        <v>10079</v>
      </c>
      <c r="B2210" s="16" t="n">
        <v>44489</v>
      </c>
      <c r="C2210" t="inlineStr">
        <is>
          <t>CPR</t>
        </is>
      </c>
      <c r="D2210" t="n">
        <v>43</v>
      </c>
      <c r="E2210">
        <f>IF(D6059&gt;0,VLOOKUP(OPERAC[[#This Row],[COD CART]],[1]!MatrizCortoLargoCyl[#All],3,0),"")</f>
        <v/>
      </c>
      <c r="F2210" t="inlineStr">
        <is>
          <t>SESN/CYL-PUT/1,00/19-01-24</t>
        </is>
      </c>
      <c r="G2210" t="n">
        <v>20000</v>
      </c>
      <c r="H2210">
        <f>-0.1885*OPERAC[[#This Row],[cantidad]]</f>
        <v/>
      </c>
      <c r="I2210">
        <f>-H6059/G6059</f>
        <v/>
      </c>
      <c r="J2210" s="16" t="n">
        <v>44683</v>
      </c>
      <c r="K2210" t="n">
        <v>2000</v>
      </c>
      <c r="L2210">
        <f>735.693-277.338-326.754-277.338</f>
        <v/>
      </c>
    </row>
    <row r="2211">
      <c r="A2211" t="n">
        <v>10079</v>
      </c>
      <c r="B2211" s="16" t="n">
        <v>44490</v>
      </c>
      <c r="C2211" t="inlineStr">
        <is>
          <t>CPR</t>
        </is>
      </c>
      <c r="D2211" t="n">
        <v>40</v>
      </c>
      <c r="E2211">
        <f>IF(D6140&gt;0,VLOOKUP(OPERAC[[#This Row],[COD CART]],[1]!MatrizCortoLargoCyl[#All],3,0),"")</f>
        <v/>
      </c>
      <c r="F2211" t="inlineStr">
        <is>
          <t>MELI</t>
        </is>
      </c>
      <c r="G2211" t="n">
        <v>3</v>
      </c>
      <c r="H2211" t="n">
        <v>-4763.715</v>
      </c>
      <c r="I2211">
        <f>-H6140/G6140</f>
        <v/>
      </c>
      <c r="J2211" s="16" t="n">
        <v>44587</v>
      </c>
      <c r="K2211" t="n">
        <v>3</v>
      </c>
      <c r="L2211" t="n">
        <v>3044.202</v>
      </c>
    </row>
    <row r="2212">
      <c r="A2212" t="n">
        <v>10079</v>
      </c>
      <c r="B2212" s="16" t="n">
        <v>44511</v>
      </c>
      <c r="C2212" t="inlineStr">
        <is>
          <t>VTA</t>
        </is>
      </c>
      <c r="D2212" t="n">
        <v>31</v>
      </c>
      <c r="E2212">
        <f>IF(D5601&gt;0,VLOOKUP(OPERAC[[#This Row],[COD CART]],[1]!MatrizCortoLargoCyl[#All],3,0),"")</f>
        <v/>
      </c>
      <c r="F2212" t="inlineStr">
        <is>
          <t>IPIX</t>
        </is>
      </c>
      <c r="G2212" t="n">
        <v>20000</v>
      </c>
      <c r="H2212" t="n">
        <v>-2199.8</v>
      </c>
      <c r="I2212">
        <f>-H5601/G5601</f>
        <v/>
      </c>
    </row>
    <row r="2213">
      <c r="A2213" t="n">
        <v>10079</v>
      </c>
      <c r="B2213" s="16" t="n">
        <v>44531</v>
      </c>
      <c r="C2213" t="inlineStr">
        <is>
          <t>VTA</t>
        </is>
      </c>
      <c r="D2213" t="n">
        <v>39</v>
      </c>
      <c r="E2213">
        <f>IF(D717&gt;0,VLOOKUP(OPERAC[[#This Row],[COD CART]],[1]!MatrizCortoLargoCyl[#All],3,0),"")</f>
        <v/>
      </c>
      <c r="F2213" t="inlineStr">
        <is>
          <t>MELI/V/740,00/16-09-22</t>
        </is>
      </c>
      <c r="G2213" t="n">
        <v>-200</v>
      </c>
      <c r="H2213">
        <f>-2*OPERAC[[#This Row],[cantidad]]</f>
        <v/>
      </c>
      <c r="I2213">
        <f>-H717/G717</f>
        <v/>
      </c>
      <c r="J2213" s="16" t="n">
        <v>44614</v>
      </c>
      <c r="K2213">
        <f>+OPERAC[[#This Row],[cantidad]]</f>
        <v/>
      </c>
      <c r="L2213" t="n">
        <v>-400</v>
      </c>
    </row>
    <row r="2214">
      <c r="A2214" t="n">
        <v>10079</v>
      </c>
      <c r="B2214" s="16" t="n">
        <v>44532</v>
      </c>
      <c r="C2214" t="inlineStr">
        <is>
          <t>VTA</t>
        </is>
      </c>
      <c r="D2214" t="n">
        <v>32</v>
      </c>
      <c r="E2214">
        <f>IF(D5341&gt;0,VLOOKUP(OPERAC[[#This Row],[COD CART]],[1]!MatrizCortoLargoCyl[#All],3,0),"")</f>
        <v/>
      </c>
      <c r="F2214" t="inlineStr">
        <is>
          <t>COTY/CYL/10,00/18-02-22</t>
        </is>
      </c>
      <c r="G2214" t="n">
        <v>200</v>
      </c>
      <c r="H2214">
        <f>-1803.198+41.676</f>
        <v/>
      </c>
      <c r="I2214">
        <f>-H5341/G5341</f>
        <v/>
      </c>
      <c r="J2214" s="16" t="n">
        <v>44608</v>
      </c>
      <c r="K2214">
        <f>+OPERAC[[#This Row],[cantidad]]</f>
        <v/>
      </c>
      <c r="L2214" t="n">
        <v>1889.088</v>
      </c>
    </row>
    <row r="2215">
      <c r="A2215" t="n">
        <v>10079</v>
      </c>
      <c r="B2215" s="16" t="n">
        <v>44533</v>
      </c>
      <c r="C2215" t="inlineStr">
        <is>
          <t>CPR</t>
        </is>
      </c>
      <c r="D2215" t="n">
        <v>32</v>
      </c>
      <c r="E2215">
        <f>IF(D6154&gt;0,VLOOKUP(OPERAC[[#This Row],[COD CART]],[1]!MatrizCortoLargoCyl[#All],3,0),"")</f>
        <v/>
      </c>
      <c r="F2215" t="inlineStr">
        <is>
          <t>HIMX</t>
        </is>
      </c>
      <c r="G2215" t="n">
        <v>500</v>
      </c>
      <c r="H2215">
        <f>-5047.175+194.93</f>
        <v/>
      </c>
      <c r="I2215">
        <f>-H6154/G6154</f>
        <v/>
      </c>
      <c r="J2215" s="16" t="n">
        <v>44642</v>
      </c>
      <c r="K2215" t="n">
        <v>500</v>
      </c>
      <c r="L2215" t="n">
        <v>5815.49</v>
      </c>
    </row>
    <row r="2216">
      <c r="A2216" t="n">
        <v>10079</v>
      </c>
      <c r="B2216" s="16" t="n">
        <v>44533</v>
      </c>
      <c r="C2216" t="inlineStr">
        <is>
          <t>CPR</t>
        </is>
      </c>
      <c r="D2216" t="n">
        <v>32</v>
      </c>
      <c r="E2216">
        <f>IF(D6203&gt;0,VLOOKUP(OPERAC[[#This Row],[COD CART]],[1]!MatrizCortoLargoCyl[#All],3,0),"")</f>
        <v/>
      </c>
      <c r="F2216" t="inlineStr">
        <is>
          <t>SPCE/CYL/20,00/21-01-22</t>
        </is>
      </c>
      <c r="G2216" t="n">
        <v>400</v>
      </c>
      <c r="H2216" t="n">
        <v>-5468.16</v>
      </c>
      <c r="I2216">
        <f>-H6203/G6203</f>
        <v/>
      </c>
      <c r="J2216" s="16" t="n">
        <v>44579</v>
      </c>
      <c r="K2216" t="n">
        <v>400</v>
      </c>
      <c r="L2216">
        <f>+OPERAC[[#This Row],[cantidad venta]]*9.64</f>
        <v/>
      </c>
    </row>
    <row r="2217">
      <c r="A2217" t="n">
        <v>10079</v>
      </c>
      <c r="B2217" s="16" t="n">
        <v>44533</v>
      </c>
      <c r="C2217" t="inlineStr">
        <is>
          <t>CPR</t>
        </is>
      </c>
      <c r="D2217" t="n">
        <v>32</v>
      </c>
      <c r="E2217">
        <f>IF(D6278&gt;0,VLOOKUP(OPERAC[[#This Row],[COD CART]],[1]!MatrizCortoLargoCyl[#All],3,0),"")</f>
        <v/>
      </c>
      <c r="F2217" t="inlineStr">
        <is>
          <t>AAL/CYL/21,00/14-04-22</t>
        </is>
      </c>
      <c r="G2217" t="n">
        <v>500</v>
      </c>
      <c r="H2217">
        <f>-8058.32+54.74+58.82</f>
        <v/>
      </c>
      <c r="I2217">
        <f>-H6278/G6278</f>
        <v/>
      </c>
      <c r="J2217" s="16" t="n">
        <v>44664</v>
      </c>
      <c r="K2217" t="n">
        <v>500</v>
      </c>
      <c r="L2217" t="n">
        <v>9325.058000000001</v>
      </c>
    </row>
    <row r="2218">
      <c r="A2218" t="n">
        <v>10079</v>
      </c>
      <c r="B2218" s="16" t="n">
        <v>44533</v>
      </c>
      <c r="C2218" t="inlineStr">
        <is>
          <t>CPR</t>
        </is>
      </c>
      <c r="D2218" t="n">
        <v>32</v>
      </c>
      <c r="E2218">
        <f>IF(D6286&gt;0,VLOOKUP(OPERAC[[#This Row],[COD CART]],[1]!MatrizCortoLargoCyl[#All],3,0),"")</f>
        <v/>
      </c>
      <c r="F2218" t="inlineStr">
        <is>
          <t>TLRY/CYL/14,00/21-01-22</t>
        </is>
      </c>
      <c r="G2218" t="n">
        <v>1000</v>
      </c>
      <c r="H2218" t="n">
        <v>-8566.889999999999</v>
      </c>
      <c r="I2218">
        <f>-H6286/G6286</f>
        <v/>
      </c>
      <c r="J2218" s="16" t="n">
        <v>44574</v>
      </c>
      <c r="K2218" t="n">
        <v>1000</v>
      </c>
      <c r="L2218" t="n">
        <v>6988.43</v>
      </c>
    </row>
    <row r="2219">
      <c r="A2219" t="n">
        <v>10079</v>
      </c>
      <c r="B2219" s="16" t="n">
        <v>44533</v>
      </c>
      <c r="C2219" t="inlineStr">
        <is>
          <t>CPR</t>
        </is>
      </c>
      <c r="D2219" t="n">
        <v>32</v>
      </c>
      <c r="E2219">
        <f>IF(D6307&gt;0,VLOOKUP(OPERAC[[#This Row],[COD CART]],[1]!MatrizCortoLargoCyl[#All],3,0),"")</f>
        <v/>
      </c>
      <c r="F2219" t="inlineStr">
        <is>
          <t>INO/CYL/8,00/18-02-22</t>
        </is>
      </c>
      <c r="G2219" t="n">
        <v>2000</v>
      </c>
      <c r="H2219">
        <f>-11737.93+94.145</f>
        <v/>
      </c>
      <c r="I2219">
        <f>-H6307/G6307</f>
        <v/>
      </c>
      <c r="J2219" s="16" t="n">
        <v>44592</v>
      </c>
      <c r="K2219">
        <f>1100+900</f>
        <v/>
      </c>
      <c r="L2219">
        <f>4528.266+3303.194</f>
        <v/>
      </c>
    </row>
    <row r="2220">
      <c r="A2220" t="n">
        <v>10079</v>
      </c>
      <c r="B2220" s="16" t="n">
        <v>44536</v>
      </c>
      <c r="C2220" t="inlineStr">
        <is>
          <t>CPR</t>
        </is>
      </c>
      <c r="D2220" t="n">
        <v>43</v>
      </c>
      <c r="E2220">
        <f>IF(D6012&gt;0,VLOOKUP(OPERAC[[#This Row],[COD CART]],[1]!MatrizCortoLargoCyl[#All],3,0),"")</f>
        <v/>
      </c>
      <c r="F2220" t="inlineStr">
        <is>
          <t>XSPA/CYL-PUT/1,50/20-01-23</t>
        </is>
      </c>
      <c r="G2220" t="n">
        <v>7600</v>
      </c>
      <c r="H2220">
        <f>-0.4462*OPERAC[[#This Row],[cantidad]]</f>
        <v/>
      </c>
      <c r="I2220">
        <f>-H6012/G6012</f>
        <v/>
      </c>
    </row>
    <row r="2221">
      <c r="A2221" t="n">
        <v>10079</v>
      </c>
      <c r="B2221" s="16" t="n">
        <v>44536</v>
      </c>
      <c r="C2221" t="inlineStr">
        <is>
          <t>CPR</t>
        </is>
      </c>
      <c r="D2221" t="n">
        <v>43</v>
      </c>
      <c r="E2221">
        <f>IF(D6218&gt;0,VLOOKUP(OPERAC[[#This Row],[COD CART]],[1]!MatrizCortoLargoCyl[#All],3,0),"")</f>
        <v/>
      </c>
      <c r="F2221" t="inlineStr">
        <is>
          <t>NNDM/CYL-PUT/2,50/19-01-24</t>
        </is>
      </c>
      <c r="G2221" t="n">
        <v>5500</v>
      </c>
      <c r="H2221">
        <f>-1.08*OPERAC[[#This Row],[cantidad]]</f>
        <v/>
      </c>
      <c r="I2221">
        <f>-H6218/G6218</f>
        <v/>
      </c>
    </row>
    <row r="2222">
      <c r="A2222" t="n">
        <v>10079</v>
      </c>
      <c r="B2222" s="16" t="n">
        <v>44536</v>
      </c>
      <c r="C2222" t="inlineStr">
        <is>
          <t>VTA</t>
        </is>
      </c>
      <c r="D2222" t="n">
        <v>43</v>
      </c>
      <c r="E2222">
        <f>IF(D5496&gt;0,VLOOKUP(OPERAC[[#This Row],[COD CART]],[1]!MatrizCortoLargoCyl[#All],3,0),"")</f>
        <v/>
      </c>
      <c r="F2222" t="inlineStr">
        <is>
          <t>HEXO/CYL-PUT/1,00/20-01-23</t>
        </is>
      </c>
      <c r="G2222" t="n">
        <v>11700</v>
      </c>
      <c r="H2222">
        <f>-0.1671*OPERAC[[#This Row],[cantidad]]</f>
        <v/>
      </c>
      <c r="I2222">
        <f>-H5496/G5496</f>
        <v/>
      </c>
      <c r="J2222" s="16" t="n">
        <v>44687</v>
      </c>
      <c r="K2222" t="n">
        <v>5000</v>
      </c>
      <c r="L2222" t="n">
        <v>1051.98</v>
      </c>
    </row>
    <row r="2223">
      <c r="A2223" t="n">
        <v>10079</v>
      </c>
      <c r="B2223" s="16" t="n">
        <v>44550</v>
      </c>
      <c r="C2223" t="inlineStr">
        <is>
          <t>CPR</t>
        </is>
      </c>
      <c r="D2223" t="n">
        <v>40</v>
      </c>
      <c r="E2223">
        <f>IF(D4895&gt;0,VLOOKUP(OPERAC[[#This Row],[COD CART]],[1]!MatrizCortoLargoCyl[#All],3,0),"")</f>
        <v/>
      </c>
      <c r="F2223" t="inlineStr">
        <is>
          <t>SMH</t>
        </is>
      </c>
      <c r="G2223" t="n">
        <v>5</v>
      </c>
      <c r="H2223" t="n">
        <v>-1469.8652</v>
      </c>
      <c r="I2223">
        <f>-H4895/G4895</f>
        <v/>
      </c>
      <c r="J2223" s="16" t="n">
        <v>44574</v>
      </c>
      <c r="K2223">
        <f>+OPERAC[[#This Row],[cantidad]]</f>
        <v/>
      </c>
      <c r="L2223">
        <f>+OPERAC[[#This Row],[cantidad venta]]*306.843</f>
        <v/>
      </c>
    </row>
    <row r="2224">
      <c r="A2224" t="n">
        <v>10079</v>
      </c>
      <c r="B2224" s="16" t="n">
        <v>44571</v>
      </c>
      <c r="C2224" t="inlineStr">
        <is>
          <t>VTA</t>
        </is>
      </c>
      <c r="D2224" t="n">
        <v>39</v>
      </c>
      <c r="E2224">
        <f>IF(D77&gt;0,VLOOKUP(OPERAC[[#This Row],[COD CART]],[1]!MatrizCortoLargoCyl[#All],3,0),"")</f>
        <v/>
      </c>
      <c r="F2224" t="inlineStr">
        <is>
          <t>TSLA/V/870,00/21-01-22</t>
        </is>
      </c>
      <c r="G2224" t="n">
        <v>-700</v>
      </c>
      <c r="H2224" t="n">
        <v>4025.6559</v>
      </c>
      <c r="I2224">
        <f>-H77/G77</f>
        <v/>
      </c>
      <c r="J2224" s="16" t="n">
        <v>44574</v>
      </c>
      <c r="K2224" t="n">
        <v>-700</v>
      </c>
      <c r="L2224" t="n">
        <v>-1166.0691</v>
      </c>
    </row>
    <row r="2225">
      <c r="A2225" t="n">
        <v>10079</v>
      </c>
      <c r="B2225" s="16" t="n">
        <v>44574</v>
      </c>
      <c r="C2225" t="inlineStr">
        <is>
          <t>CPR</t>
        </is>
      </c>
      <c r="D2225" t="n">
        <v>32</v>
      </c>
      <c r="E2225">
        <f>IF(D6313&gt;0,VLOOKUP(OPERAC[[#This Row],[COD CART]],[1]!MatrizCortoLargoCyl[#All],3,0),"")</f>
        <v/>
      </c>
      <c r="F2225" t="inlineStr">
        <is>
          <t>BABA/CYL/140,00/14-04-22</t>
        </is>
      </c>
      <c r="G2225" t="n">
        <v>100</v>
      </c>
      <c r="H2225">
        <f>-13125.336+52.18+177.87+123.6</f>
        <v/>
      </c>
      <c r="I2225">
        <f>-H6313/G6313</f>
        <v/>
      </c>
      <c r="J2225" s="16" t="n">
        <v>44664</v>
      </c>
      <c r="K2225" t="n">
        <v>100</v>
      </c>
      <c r="L2225" t="n">
        <v>9989.362999999999</v>
      </c>
    </row>
    <row r="2226">
      <c r="A2226" t="n">
        <v>10079</v>
      </c>
      <c r="B2226" s="16" t="n">
        <v>44574</v>
      </c>
      <c r="C2226" t="inlineStr">
        <is>
          <t>VTA</t>
        </is>
      </c>
      <c r="D2226" t="n">
        <v>39</v>
      </c>
      <c r="E2226">
        <f>IF(D22&gt;0,VLOOKUP(OPERAC[[#This Row],[COD CART]],[1]!MatrizCortoLargoCyl[#All],3,0),"")</f>
        <v/>
      </c>
      <c r="F2226" t="inlineStr">
        <is>
          <t>TSLA/V/900,00/21-01-22</t>
        </is>
      </c>
      <c r="G2226" t="n">
        <v>-3000</v>
      </c>
      <c r="H2226" t="n">
        <v>8027.256</v>
      </c>
      <c r="I2226">
        <f>-H22/G22</f>
        <v/>
      </c>
      <c r="J2226" s="16" t="n">
        <v>44582</v>
      </c>
      <c r="K2226">
        <f>+OPERAC[[#This Row],[cantidad]]</f>
        <v/>
      </c>
      <c r="L2226" t="n">
        <v>0</v>
      </c>
    </row>
    <row r="2227">
      <c r="A2227" t="n">
        <v>10079</v>
      </c>
      <c r="B2227" s="16" t="n">
        <v>44574</v>
      </c>
      <c r="C2227" t="inlineStr">
        <is>
          <t>VTA</t>
        </is>
      </c>
      <c r="D2227" t="n">
        <v>39</v>
      </c>
      <c r="E2227">
        <f>IF(D5444&gt;0,VLOOKUP(OPERAC[[#This Row],[COD CART]],[1]!MatrizCortoLargoCyl[#All],3,0),"")</f>
        <v/>
      </c>
      <c r="F2227" t="inlineStr">
        <is>
          <t>BABA/BULL/120,0-135,0/20-05-22</t>
        </is>
      </c>
      <c r="G2227" t="n">
        <v>200</v>
      </c>
      <c r="H2227" t="n">
        <v>-1881.6</v>
      </c>
      <c r="I2227">
        <f>-H5444/G5444</f>
        <v/>
      </c>
      <c r="J2227" s="16" t="n">
        <v>44701</v>
      </c>
      <c r="K2227">
        <f>+OPERAC[[#This Row],[cantidad]]</f>
        <v/>
      </c>
      <c r="L2227" t="n">
        <v>0</v>
      </c>
    </row>
    <row r="2228">
      <c r="A2228" t="n">
        <v>10079</v>
      </c>
      <c r="B2228" s="16" t="n">
        <v>44579</v>
      </c>
      <c r="C2228" t="inlineStr">
        <is>
          <t>VTA</t>
        </is>
      </c>
      <c r="D2228" t="n">
        <v>39</v>
      </c>
      <c r="E2228">
        <f>IF(D82&gt;0,VLOOKUP(OPERAC[[#This Row],[COD CART]],[1]!MatrizCortoLargoCyl[#All],3,0),"")</f>
        <v/>
      </c>
      <c r="F2228" t="inlineStr">
        <is>
          <t>ROKU/V/160,00/21-01-22</t>
        </is>
      </c>
      <c r="G2228" t="n">
        <v>-2000</v>
      </c>
      <c r="H2228" t="n">
        <v>3959.32</v>
      </c>
      <c r="I2228">
        <f>-H82/G82</f>
        <v/>
      </c>
      <c r="J2228" s="16" t="n">
        <v>44582</v>
      </c>
      <c r="K2228" t="n">
        <v>-2000</v>
      </c>
      <c r="L2228">
        <f>-OPERAC[[#This Row],[importe]]</f>
        <v/>
      </c>
    </row>
    <row r="2229">
      <c r="A2229" t="n">
        <v>10079</v>
      </c>
      <c r="B2229" s="16" t="n">
        <v>44579</v>
      </c>
      <c r="C2229" t="inlineStr">
        <is>
          <t>VTA</t>
        </is>
      </c>
      <c r="D2229" t="n">
        <v>39</v>
      </c>
      <c r="E2229">
        <f>IF(D1212&gt;0,VLOOKUP(OPERAC[[#This Row],[COD CART]],[1]!MatrizCortoLargoCyl[#All],3,0),"")</f>
        <v/>
      </c>
      <c r="F2229" t="inlineStr">
        <is>
          <t>YPF/V/5,00/15-07-22</t>
        </is>
      </c>
      <c r="G2229" t="n">
        <v>-7</v>
      </c>
      <c r="H2229" t="n">
        <v>7.59</v>
      </c>
      <c r="I2229">
        <f>-H1212/G1212</f>
        <v/>
      </c>
    </row>
    <row r="2230">
      <c r="A2230" t="n">
        <v>10079</v>
      </c>
      <c r="B2230" s="16" t="n">
        <v>44579</v>
      </c>
      <c r="C2230" t="inlineStr">
        <is>
          <t>VTA</t>
        </is>
      </c>
      <c r="D2230" t="n">
        <v>39</v>
      </c>
      <c r="E2230">
        <f>IF(D1245&gt;0,VLOOKUP(OPERAC[[#This Row],[COD CART]],[1]!MatrizCortoLargoCyl[#All],3,0),"")</f>
        <v/>
      </c>
      <c r="F2230" t="inlineStr">
        <is>
          <t>YPF/V/5,00/15-07-22</t>
        </is>
      </c>
      <c r="G2230" t="n">
        <v>-3</v>
      </c>
      <c r="H2230" t="n">
        <v>3.2547</v>
      </c>
      <c r="I2230">
        <f>-H1245/G1245</f>
        <v/>
      </c>
    </row>
    <row r="2231">
      <c r="A2231" t="n">
        <v>10079</v>
      </c>
      <c r="B2231" s="16" t="n">
        <v>44582</v>
      </c>
      <c r="C2231" t="inlineStr">
        <is>
          <t>CPR</t>
        </is>
      </c>
      <c r="D2231" t="n">
        <v>40</v>
      </c>
      <c r="E2231">
        <f>IF(D6213&gt;0,VLOOKUP(OPERAC[[#This Row],[COD CART]],[1]!MatrizCortoLargoCyl[#All],3,0),"")</f>
        <v/>
      </c>
      <c r="F2231" t="inlineStr">
        <is>
          <t>NFLX</t>
        </is>
      </c>
      <c r="G2231" t="n">
        <v>15</v>
      </c>
      <c r="H2231" t="n">
        <v>-5859.5565</v>
      </c>
      <c r="I2231">
        <f>-H6213/G6213</f>
        <v/>
      </c>
      <c r="J2231" s="16" t="n">
        <v>44593</v>
      </c>
      <c r="K2231">
        <f>+OPERAC[[#This Row],[cantidad]]</f>
        <v/>
      </c>
      <c r="L2231">
        <f>+OPERAC[[#This Row],[cantidad venta]]*448.602</f>
        <v/>
      </c>
    </row>
    <row r="2232">
      <c r="A2232" t="n">
        <v>10079</v>
      </c>
      <c r="B2232" s="16" t="n">
        <v>44582</v>
      </c>
      <c r="C2232" t="inlineStr">
        <is>
          <t>VTA</t>
        </is>
      </c>
      <c r="D2232" t="n">
        <v>39</v>
      </c>
      <c r="E2232">
        <f>IF(D11&gt;0,VLOOKUP(OPERAC[[#This Row],[COD CART]],[1]!MatrizCortoLargoCyl[#All],3,0),"")</f>
        <v/>
      </c>
      <c r="F2232" t="inlineStr">
        <is>
          <t>ROKU/V/160,00/28-01-22</t>
        </is>
      </c>
      <c r="G2232" t="n">
        <v>-1100</v>
      </c>
      <c r="H2232" t="n">
        <v>11620.1668</v>
      </c>
      <c r="I2232">
        <f>-H11/G11</f>
        <v/>
      </c>
      <c r="J2232" s="16" t="n">
        <v>44587</v>
      </c>
      <c r="K2232">
        <f>+OPERAC[[#This Row],[cantidad]]</f>
        <v/>
      </c>
      <c r="L2232">
        <f>-OPERAC[[#This Row],[importe]]</f>
        <v/>
      </c>
    </row>
    <row r="2233">
      <c r="A2233" t="n">
        <v>10079</v>
      </c>
      <c r="B2233" s="16" t="n">
        <v>44586</v>
      </c>
      <c r="C2233" t="inlineStr">
        <is>
          <t>VTA</t>
        </is>
      </c>
      <c r="D2233" t="n">
        <v>43</v>
      </c>
      <c r="E2233">
        <f>IF(D5531&gt;0,VLOOKUP(OPERAC[[#This Row],[COD CART]],[1]!MatrizCortoLargoCyl[#All],3,0),"")</f>
        <v/>
      </c>
      <c r="F2233" t="inlineStr">
        <is>
          <t>GMBL/CYL-PUT/2,50/20-01-23</t>
        </is>
      </c>
      <c r="G2233" t="n">
        <v>2000</v>
      </c>
      <c r="H2233" t="n">
        <v>-2032.0823</v>
      </c>
      <c r="I2233">
        <f>-H5531/G5531</f>
        <v/>
      </c>
      <c r="J2233" s="16" t="n">
        <v>44636</v>
      </c>
      <c r="K2233" t="n">
        <v>2000</v>
      </c>
      <c r="L2233">
        <f>-1.36*OPERAC[[#This Row],[cantidad venta]]</f>
        <v/>
      </c>
    </row>
    <row r="2234">
      <c r="A2234" t="n">
        <v>10079</v>
      </c>
      <c r="B2234" s="16" t="n">
        <v>44587</v>
      </c>
      <c r="C2234" t="inlineStr">
        <is>
          <t>VTA</t>
        </is>
      </c>
      <c r="D2234" t="n">
        <v>39</v>
      </c>
      <c r="E2234">
        <f>IF(D58&gt;0,VLOOKUP(OPERAC[[#This Row],[COD CART]],[1]!MatrizCortoLargoCyl[#All],3,0),"")</f>
        <v/>
      </c>
      <c r="F2234" t="inlineStr">
        <is>
          <t>ROKU/V/155,00/04-02-22</t>
        </is>
      </c>
      <c r="G2234" t="n">
        <v>-600</v>
      </c>
      <c r="H2234" t="n">
        <v>4763.976</v>
      </c>
      <c r="I2234">
        <f>-H58/G58</f>
        <v/>
      </c>
      <c r="J2234" s="16" t="n">
        <v>44592</v>
      </c>
      <c r="K2234">
        <f>+OPERAC[[#This Row],[cantidad]]</f>
        <v/>
      </c>
      <c r="L2234" t="n">
        <v>-2149.3884</v>
      </c>
    </row>
    <row r="2235">
      <c r="A2235" t="n">
        <v>10079</v>
      </c>
      <c r="B2235" s="16" t="n">
        <v>44587</v>
      </c>
      <c r="C2235" t="inlineStr">
        <is>
          <t>VTA</t>
        </is>
      </c>
      <c r="D2235" t="n">
        <v>40</v>
      </c>
      <c r="E2235">
        <f>IF(D3047&gt;0,VLOOKUP(OPERAC[[#This Row],[COD CART]],[1]!MatrizCortoLargoCyl[#All],3,0),"")</f>
        <v/>
      </c>
      <c r="F2235" t="inlineStr">
        <is>
          <t>MSFT</t>
        </is>
      </c>
      <c r="G2235" t="n">
        <v>2</v>
      </c>
      <c r="H2235" t="n">
        <v>-606.8225200000001</v>
      </c>
      <c r="I2235">
        <f>-H3047/G3047</f>
        <v/>
      </c>
      <c r="J2235" s="16" t="n">
        <v>44606</v>
      </c>
      <c r="K2235">
        <f>+OPERAC[[#This Row],[cantidad]]</f>
        <v/>
      </c>
      <c r="L2235">
        <f>+OPERAC[[#This Row],[cantidad venta]]*290.091</f>
        <v/>
      </c>
    </row>
    <row r="2236">
      <c r="A2236" t="n">
        <v>10079</v>
      </c>
      <c r="B2236" s="16" t="n">
        <v>44592</v>
      </c>
      <c r="C2236" t="inlineStr">
        <is>
          <t>VTA</t>
        </is>
      </c>
      <c r="D2236" t="n">
        <v>39</v>
      </c>
      <c r="E2236">
        <f>IF(D29&gt;0,VLOOKUP(OPERAC[[#This Row],[COD CART]],[1]!MatrizCortoLargoCyl[#All],3,0),"")</f>
        <v/>
      </c>
      <c r="F2236" t="inlineStr">
        <is>
          <t>ROKU/V/150,00/11-02-22</t>
        </is>
      </c>
      <c r="G2236" t="n">
        <v>-1400</v>
      </c>
      <c r="H2236" t="n">
        <v>6660.696</v>
      </c>
      <c r="I2236">
        <f>-H29/G29</f>
        <v/>
      </c>
      <c r="J2236" s="16" t="n">
        <v>44601</v>
      </c>
      <c r="K2236">
        <f>+OPERAC[[#This Row],[cantidad]]</f>
        <v/>
      </c>
      <c r="L2236">
        <f>0.67*OPERAC[[#This Row],[cantidad venta]]</f>
        <v/>
      </c>
    </row>
    <row r="2237">
      <c r="A2237" t="n">
        <v>10079</v>
      </c>
      <c r="B2237" s="16" t="n">
        <v>44595</v>
      </c>
      <c r="C2237" t="inlineStr">
        <is>
          <t>VTA</t>
        </is>
      </c>
      <c r="D2237" t="n">
        <v>39</v>
      </c>
      <c r="E2237">
        <f>IF(D559&gt;0,VLOOKUP(OPERAC[[#This Row],[COD CART]],[1]!MatrizCortoLargoCyl[#All],3,0),"")</f>
        <v/>
      </c>
      <c r="F2237" t="inlineStr">
        <is>
          <t>ROKU/V/145,00/11-02-22</t>
        </is>
      </c>
      <c r="G2237" t="n">
        <v>-100</v>
      </c>
      <c r="H2237" t="n">
        <v>743.593</v>
      </c>
      <c r="I2237">
        <f>-H559/G559</f>
        <v/>
      </c>
      <c r="J2237" s="16" t="n">
        <v>44603</v>
      </c>
      <c r="K2237" t="n">
        <v>-100</v>
      </c>
      <c r="L2237" t="n">
        <v>0</v>
      </c>
    </row>
    <row r="2238">
      <c r="A2238" t="n">
        <v>10079</v>
      </c>
      <c r="B2238" s="16" t="n">
        <v>44596</v>
      </c>
      <c r="C2238" t="inlineStr">
        <is>
          <t>VTA</t>
        </is>
      </c>
      <c r="D2238" t="n">
        <v>39</v>
      </c>
      <c r="E2238">
        <f>IF(D109&gt;0,VLOOKUP(OPERAC[[#This Row],[COD CART]],[1]!MatrizCortoLargoCyl[#All],3,0),"")</f>
        <v/>
      </c>
      <c r="F2238" t="inlineStr">
        <is>
          <t>TSLA/V/760,00/11-02-22</t>
        </is>
      </c>
      <c r="G2238" t="n">
        <v>-1700</v>
      </c>
      <c r="H2238" t="n">
        <v>3283.99</v>
      </c>
      <c r="I2238">
        <f>-H109/G109</f>
        <v/>
      </c>
      <c r="J2238" s="16" t="n">
        <v>44601</v>
      </c>
      <c r="K2238" t="n">
        <v>-1700</v>
      </c>
      <c r="L2238">
        <f>0.1*OPERAC[[#This Row],[cantidad venta]]</f>
        <v/>
      </c>
    </row>
    <row r="2239">
      <c r="A2239" t="n">
        <v>10079</v>
      </c>
      <c r="B2239" s="16" t="n">
        <v>44599</v>
      </c>
      <c r="C2239" t="inlineStr">
        <is>
          <t>CPR</t>
        </is>
      </c>
      <c r="D2239" t="n">
        <v>40</v>
      </c>
      <c r="E2239">
        <f>IF(D5652&gt;0,VLOOKUP(OPERAC[[#This Row],[COD CART]],[1]!MatrizCortoLargoCyl[#All],3,0),"")</f>
        <v/>
      </c>
      <c r="F2239" t="inlineStr">
        <is>
          <t>FB</t>
        </is>
      </c>
      <c r="G2239" t="n">
        <v>10</v>
      </c>
      <c r="H2239" t="n">
        <v>-2384.6</v>
      </c>
      <c r="I2239">
        <f>-H5652/G5652</f>
        <v/>
      </c>
      <c r="J2239" s="16" t="n">
        <v>44616</v>
      </c>
      <c r="K2239">
        <f>+OPERAC[[#This Row],[cantidad]]</f>
        <v/>
      </c>
      <c r="L2239">
        <f>200.299*OPERAC[[#This Row],[cantidad venta]]</f>
        <v/>
      </c>
    </row>
    <row r="2240">
      <c r="A2240" t="n">
        <v>10079</v>
      </c>
      <c r="B2240" s="16" t="n">
        <v>44599</v>
      </c>
      <c r="C2240" t="inlineStr">
        <is>
          <t>CPR</t>
        </is>
      </c>
      <c r="D2240" t="n">
        <v>32</v>
      </c>
      <c r="E2240">
        <f>IF(D6316&gt;0,VLOOKUP(OPERAC[[#This Row],[COD CART]],[1]!MatrizCortoLargoCyl[#All],3,0),"")</f>
        <v/>
      </c>
      <c r="F2240" t="inlineStr">
        <is>
          <t>UPST/CYL/80,00/18-03-22</t>
        </is>
      </c>
      <c r="G2240" t="n">
        <v>200</v>
      </c>
      <c r="H2240">
        <f>-74.92*200</f>
        <v/>
      </c>
      <c r="I2240">
        <f>-H6316/G6316</f>
        <v/>
      </c>
      <c r="J2240" s="16" t="n">
        <v>44608</v>
      </c>
      <c r="K2240" t="n">
        <v>200</v>
      </c>
      <c r="L2240" t="n">
        <v>15912.896</v>
      </c>
    </row>
    <row r="2241">
      <c r="A2241" t="n">
        <v>10079</v>
      </c>
      <c r="B2241" s="16" t="n">
        <v>44602</v>
      </c>
      <c r="C2241" t="inlineStr">
        <is>
          <t>CPR</t>
        </is>
      </c>
      <c r="D2241" t="n">
        <v>32</v>
      </c>
      <c r="E2241">
        <f>IF(D4495&gt;0,VLOOKUP(OPERAC[[#This Row],[COD CART]],[1]!MatrizCortoLargoCyl[#All],3,0),"")</f>
        <v/>
      </c>
      <c r="F2241" t="inlineStr">
        <is>
          <t>BIOX/CYL/12,50/18-03-22</t>
        </is>
      </c>
      <c r="G2241" t="n">
        <v>100</v>
      </c>
      <c r="H2241" t="n">
        <v>-1176</v>
      </c>
      <c r="I2241">
        <f>-H4495/G4495</f>
        <v/>
      </c>
      <c r="J2241" s="16" t="n">
        <v>44634</v>
      </c>
      <c r="K2241" t="n">
        <v>100</v>
      </c>
      <c r="L2241" t="n">
        <v>1235.48</v>
      </c>
    </row>
    <row r="2242">
      <c r="A2242" t="n">
        <v>10079</v>
      </c>
      <c r="B2242" s="16" t="n">
        <v>44602</v>
      </c>
      <c r="C2242" t="inlineStr">
        <is>
          <t>CPR</t>
        </is>
      </c>
      <c r="D2242" t="n">
        <v>32</v>
      </c>
      <c r="E2242">
        <f>IF(D5770&gt;0,VLOOKUP(OPERAC[[#This Row],[COD CART]],[1]!MatrizCortoLargoCyl[#All],3,0),"")</f>
        <v/>
      </c>
      <c r="F2242" t="inlineStr">
        <is>
          <t>BIOX</t>
        </is>
      </c>
      <c r="G2242" t="n">
        <v>200</v>
      </c>
      <c r="H2242">
        <f>-2672+29.76</f>
        <v/>
      </c>
      <c r="I2242">
        <f>-H5770/G5770</f>
        <v/>
      </c>
      <c r="J2242" s="16" t="n">
        <v>44680</v>
      </c>
      <c r="K2242">
        <f>+OPERAC[[#This Row],[cantidad]]</f>
        <v/>
      </c>
      <c r="L2242">
        <f>13.688*OPERAC[[#This Row],[cantidad venta]]</f>
        <v/>
      </c>
    </row>
    <row r="2243">
      <c r="A2243" t="n">
        <v>10079</v>
      </c>
      <c r="B2243" s="16" t="n">
        <v>44608</v>
      </c>
      <c r="C2243" t="inlineStr">
        <is>
          <t>CPR</t>
        </is>
      </c>
      <c r="D2243" t="n">
        <v>40</v>
      </c>
      <c r="E2243">
        <f>IF(D5751&gt;0,VLOOKUP(OPERAC[[#This Row],[COD CART]],[1]!MatrizCortoLargoCyl[#All],3,0),"")</f>
        <v/>
      </c>
      <c r="F2243" t="inlineStr">
        <is>
          <t>NVDA</t>
        </is>
      </c>
      <c r="G2243" t="n">
        <v>10</v>
      </c>
      <c r="H2243" t="n">
        <v>-2635.14</v>
      </c>
      <c r="I2243">
        <f>-H5751/G5751</f>
        <v/>
      </c>
      <c r="J2243" s="16" t="n">
        <v>44616</v>
      </c>
      <c r="K2243">
        <f>+OPERAC[[#This Row],[cantidad]]</f>
        <v/>
      </c>
      <c r="L2243">
        <f>+OPERAC[[#This Row],[cantidad venta]]*224.117</f>
        <v/>
      </c>
    </row>
    <row r="2244">
      <c r="A2244" t="n">
        <v>10079</v>
      </c>
      <c r="B2244" s="16" t="n">
        <v>44608</v>
      </c>
      <c r="C2244" t="inlineStr">
        <is>
          <t>CPR</t>
        </is>
      </c>
      <c r="D2244" t="n">
        <v>32</v>
      </c>
      <c r="E2244">
        <f>IF(D5847&gt;0,VLOOKUP(OPERAC[[#This Row],[COD CART]],[1]!MatrizCortoLargoCyl[#All],3,0),"")</f>
        <v/>
      </c>
      <c r="F2244" t="inlineStr">
        <is>
          <t>SPWR/CYL/15,00/18-03-22</t>
        </is>
      </c>
      <c r="G2244" t="n">
        <v>200</v>
      </c>
      <c r="H2244" t="n">
        <v>-2883.624</v>
      </c>
      <c r="I2244">
        <f>-H5847/G5847</f>
        <v/>
      </c>
      <c r="J2244" s="16" t="n">
        <v>44628</v>
      </c>
      <c r="K2244" t="n">
        <v>200</v>
      </c>
      <c r="L2244" t="n">
        <v>3008.55</v>
      </c>
    </row>
    <row r="2245">
      <c r="A2245" t="n">
        <v>10079</v>
      </c>
      <c r="B2245" s="16" t="n">
        <v>44608</v>
      </c>
      <c r="C2245" t="inlineStr">
        <is>
          <t>CPR</t>
        </is>
      </c>
      <c r="D2245" t="n">
        <v>32</v>
      </c>
      <c r="E2245">
        <f>IF(D6279&gt;0,VLOOKUP(OPERAC[[#This Row],[COD CART]],[1]!MatrizCortoLargoCyl[#All],3,0),"")</f>
        <v/>
      </c>
      <c r="F2245" t="inlineStr">
        <is>
          <t>DDD/CYL/17,00/01-04-22</t>
        </is>
      </c>
      <c r="G2245" t="n">
        <v>500</v>
      </c>
      <c r="H2245">
        <f>-8147.081+98.63+82.27</f>
        <v/>
      </c>
      <c r="I2245">
        <f>-H6279/G6279</f>
        <v/>
      </c>
      <c r="J2245" s="16" t="n">
        <v>44649</v>
      </c>
      <c r="K2245" t="n">
        <v>500</v>
      </c>
      <c r="L2245" t="n">
        <v>8309.9</v>
      </c>
    </row>
    <row r="2246">
      <c r="A2246" t="n">
        <v>10079</v>
      </c>
      <c r="B2246" s="16" t="n">
        <v>44609</v>
      </c>
      <c r="C2246" t="inlineStr">
        <is>
          <t>CPR</t>
        </is>
      </c>
      <c r="D2246" t="n">
        <v>32</v>
      </c>
      <c r="E2246">
        <f>IF(D6028&gt;0,VLOOKUP(OPERAC[[#This Row],[COD CART]],[1]!MatrizCortoLargoCyl[#All],3,0),"")</f>
        <v/>
      </c>
      <c r="F2246" t="inlineStr">
        <is>
          <t>HIMX/CYL/9,00/18-03-22</t>
        </is>
      </c>
      <c r="G2246" t="n">
        <v>400</v>
      </c>
      <c r="H2246" t="n">
        <v>-3478.336</v>
      </c>
      <c r="I2246">
        <f>-H6028/G6028</f>
        <v/>
      </c>
      <c r="J2246" s="16" t="n">
        <v>44622</v>
      </c>
      <c r="K2246" t="n">
        <v>400</v>
      </c>
      <c r="L2246" t="n">
        <v>3534.3</v>
      </c>
    </row>
    <row r="2247">
      <c r="A2247" t="n">
        <v>10079</v>
      </c>
      <c r="B2247" s="16" t="n">
        <v>44609</v>
      </c>
      <c r="C2247" t="inlineStr">
        <is>
          <t>VTA</t>
        </is>
      </c>
      <c r="D2247" t="n">
        <v>39</v>
      </c>
      <c r="E2247">
        <f>IF(D149&gt;0,VLOOKUP(OPERAC[[#This Row],[COD CART]],[1]!MatrizCortoLargoCyl[#All],3,0),"")</f>
        <v/>
      </c>
      <c r="F2247" t="inlineStr">
        <is>
          <t>MELI/V/850,00/25-02-22</t>
        </is>
      </c>
      <c r="G2247" t="n">
        <v>-500</v>
      </c>
      <c r="H2247" t="n">
        <v>2777.6</v>
      </c>
      <c r="I2247">
        <f>-H149/G149</f>
        <v/>
      </c>
      <c r="J2247" s="16" t="n">
        <v>44610</v>
      </c>
      <c r="K2247" t="n">
        <v>-500</v>
      </c>
      <c r="L2247" t="n">
        <v>-12099.495</v>
      </c>
    </row>
    <row r="2248">
      <c r="A2248" t="n">
        <v>10079</v>
      </c>
      <c r="B2248" s="16" t="n">
        <v>44610</v>
      </c>
      <c r="C2248" t="inlineStr">
        <is>
          <t>VTA</t>
        </is>
      </c>
      <c r="D2248" t="n">
        <v>39</v>
      </c>
      <c r="E2248">
        <f>IF(D967&gt;0,VLOOKUP(OPERAC[[#This Row],[COD CART]],[1]!MatrizCortoLargoCyl[#All],3,0),"")</f>
        <v/>
      </c>
      <c r="F2248" t="inlineStr">
        <is>
          <t>MELI/V/540,00/16-09-22</t>
        </is>
      </c>
      <c r="G2248" t="n">
        <v>-3</v>
      </c>
      <c r="H2248" t="n">
        <v>83.31999999999999</v>
      </c>
      <c r="I2248">
        <f>-H967/G967</f>
        <v/>
      </c>
    </row>
    <row r="2249">
      <c r="A2249" t="n">
        <v>10079</v>
      </c>
      <c r="B2249" s="16" t="n">
        <v>44614</v>
      </c>
      <c r="C2249" t="inlineStr">
        <is>
          <t>VTA</t>
        </is>
      </c>
      <c r="D2249" t="n">
        <v>39</v>
      </c>
      <c r="E2249">
        <f>IF(D875&gt;0,VLOOKUP(OPERAC[[#This Row],[COD CART]],[1]!MatrizCortoLargoCyl[#All],3,0),"")</f>
        <v/>
      </c>
      <c r="F2249" t="inlineStr">
        <is>
          <t>MELI/V/500,00/19-01-24</t>
        </is>
      </c>
      <c r="G2249" t="n">
        <v>-3</v>
      </c>
      <c r="H2249" t="n">
        <v>193.44</v>
      </c>
      <c r="I2249">
        <f>-H875/G875</f>
        <v/>
      </c>
    </row>
    <row r="2250">
      <c r="A2250" t="n">
        <v>10079</v>
      </c>
      <c r="B2250" s="16" t="n">
        <v>44614</v>
      </c>
      <c r="C2250" t="inlineStr">
        <is>
          <t>VTA</t>
        </is>
      </c>
      <c r="D2250" t="n">
        <v>39</v>
      </c>
      <c r="E2250">
        <f>IF(D913&gt;0,VLOOKUP(OPERAC[[#This Row],[COD CART]],[1]!MatrizCortoLargoCyl[#All],3,0),"")</f>
        <v/>
      </c>
      <c r="F2250" t="inlineStr">
        <is>
          <t>SOLO/V/2,00/20-01-23</t>
        </is>
      </c>
      <c r="G2250" t="n">
        <v>-200</v>
      </c>
      <c r="H2250" t="n">
        <v>138.07</v>
      </c>
      <c r="I2250">
        <f>-H913/G913</f>
        <v/>
      </c>
    </row>
    <row r="2251">
      <c r="A2251" t="n">
        <v>10079</v>
      </c>
      <c r="B2251" s="16" t="n">
        <v>44614</v>
      </c>
      <c r="C2251" t="inlineStr">
        <is>
          <t>VTA</t>
        </is>
      </c>
      <c r="D2251" t="n">
        <v>39</v>
      </c>
      <c r="E2251">
        <f>IF(D923&gt;0,VLOOKUP(OPERAC[[#This Row],[COD CART]],[1]!MatrizCortoLargoCyl[#All],3,0),"")</f>
        <v/>
      </c>
      <c r="F2251" t="inlineStr">
        <is>
          <t>NFLX/V/200,00/19-01-24</t>
        </is>
      </c>
      <c r="G2251" t="n">
        <v>-10</v>
      </c>
      <c r="H2251" t="n">
        <v>124.95</v>
      </c>
      <c r="I2251">
        <f>-H923/G923</f>
        <v/>
      </c>
    </row>
    <row r="2252">
      <c r="A2252" t="n">
        <v>10079</v>
      </c>
      <c r="B2252" s="16" t="n">
        <v>44614</v>
      </c>
      <c r="C2252" t="inlineStr">
        <is>
          <t>VTA</t>
        </is>
      </c>
      <c r="D2252" t="n">
        <v>39</v>
      </c>
      <c r="E2252">
        <f>IF(D981&gt;0,VLOOKUP(OPERAC[[#This Row],[COD CART]],[1]!MatrizCortoLargoCyl[#All],3,0),"")</f>
        <v/>
      </c>
      <c r="F2252" t="inlineStr">
        <is>
          <t>MELI/V/540,00/19-01-24</t>
        </is>
      </c>
      <c r="G2252" t="n">
        <v>-1</v>
      </c>
      <c r="H2252" t="n">
        <v>76.38</v>
      </c>
      <c r="I2252">
        <f>-H981/G981</f>
        <v/>
      </c>
    </row>
    <row r="2253">
      <c r="A2253" t="n">
        <v>10079</v>
      </c>
      <c r="B2253" s="16" t="n">
        <v>44614</v>
      </c>
      <c r="C2253" t="inlineStr">
        <is>
          <t>VTA</t>
        </is>
      </c>
      <c r="D2253" t="n">
        <v>39</v>
      </c>
      <c r="E2253">
        <f>IF(D1138&gt;0,VLOOKUP(OPERAC[[#This Row],[COD CART]],[1]!MatrizCortoLargoCyl[#All],3,0),"")</f>
        <v/>
      </c>
      <c r="F2253" t="inlineStr">
        <is>
          <t>NFLX/V/200,00/20-01-23</t>
        </is>
      </c>
      <c r="G2253" t="n">
        <v>-3</v>
      </c>
      <c r="H2253" t="n">
        <v>19.33</v>
      </c>
      <c r="I2253">
        <f>-H1138/G1138</f>
        <v/>
      </c>
      <c r="J2253" s="16" t="n">
        <v>44617</v>
      </c>
      <c r="K2253" t="n">
        <v>-3</v>
      </c>
      <c r="L2253" t="n">
        <v>-20.2728</v>
      </c>
    </row>
    <row r="2254">
      <c r="A2254" t="n">
        <v>10079</v>
      </c>
      <c r="B2254" s="16" t="n">
        <v>44614</v>
      </c>
      <c r="C2254" t="inlineStr">
        <is>
          <t>VTA</t>
        </is>
      </c>
      <c r="D2254" t="n">
        <v>39</v>
      </c>
      <c r="E2254">
        <f>IF(D1176&gt;0,VLOOKUP(OPERAC[[#This Row],[COD CART]],[1]!MatrizCortoLargoCyl[#All],3,0),"")</f>
        <v/>
      </c>
      <c r="F2254" t="inlineStr">
        <is>
          <t>NFLX/V/200,00/19-01-24</t>
        </is>
      </c>
      <c r="G2254" t="n">
        <v>-1</v>
      </c>
      <c r="H2254" t="n">
        <v>12.49</v>
      </c>
      <c r="I2254">
        <f>-H1176/G1176</f>
        <v/>
      </c>
    </row>
    <row r="2255">
      <c r="A2255" t="n">
        <v>10079</v>
      </c>
      <c r="B2255" s="16" t="n">
        <v>44616</v>
      </c>
      <c r="C2255" t="inlineStr">
        <is>
          <t>CPR</t>
        </is>
      </c>
      <c r="D2255" t="n">
        <v>32</v>
      </c>
      <c r="E2255">
        <f>IF(D6190&gt;0,VLOOKUP(OPERAC[[#This Row],[COD CART]],[1]!MatrizCortoLargoCyl[#All],3,0),"")</f>
        <v/>
      </c>
      <c r="F2255" t="inlineStr">
        <is>
          <t>PLTR/CYL/12,00/14-04-22</t>
        </is>
      </c>
      <c r="G2255" t="n">
        <v>500</v>
      </c>
      <c r="H2255" t="n">
        <v>-5263.6325</v>
      </c>
      <c r="I2255">
        <f>-H6190/G6190</f>
        <v/>
      </c>
      <c r="J2255" s="16" t="n">
        <v>44643</v>
      </c>
      <c r="K2255" t="n">
        <v>500</v>
      </c>
      <c r="L2255" t="n">
        <v>5733.619</v>
      </c>
    </row>
    <row r="2256">
      <c r="A2256" t="n">
        <v>10079</v>
      </c>
      <c r="B2256" s="16" t="n">
        <v>44622</v>
      </c>
      <c r="C2256" t="inlineStr">
        <is>
          <t>CPR</t>
        </is>
      </c>
      <c r="D2256" t="n">
        <v>32</v>
      </c>
      <c r="E2256">
        <f>IF(D5858&gt;0,VLOOKUP(OPERAC[[#This Row],[COD CART]],[1]!MatrizCortoLargoCyl[#All],3,0),"")</f>
        <v/>
      </c>
      <c r="F2256" t="inlineStr">
        <is>
          <t>AMC/CYL/16,00/14-04-22</t>
        </is>
      </c>
      <c r="G2256" t="n">
        <v>200</v>
      </c>
      <c r="H2256" t="n">
        <v>-2921.7372</v>
      </c>
      <c r="I2256">
        <f>-H5858/G5858</f>
        <v/>
      </c>
      <c r="J2256" s="16" t="n">
        <v>44648</v>
      </c>
      <c r="K2256" t="n">
        <v>200</v>
      </c>
      <c r="L2256" t="n">
        <v>3163.55</v>
      </c>
    </row>
    <row r="2257">
      <c r="A2257" t="n">
        <v>10079</v>
      </c>
      <c r="B2257" s="16" t="n">
        <v>44628</v>
      </c>
      <c r="C2257" t="inlineStr">
        <is>
          <t>CPR</t>
        </is>
      </c>
      <c r="D2257" t="n">
        <v>32</v>
      </c>
      <c r="E2257">
        <f>IF(D4833&gt;0,VLOOKUP(OPERAC[[#This Row],[COD CART]],[1]!MatrizCortoLargoCyl[#All],3,0),"")</f>
        <v/>
      </c>
      <c r="F2257" t="inlineStr">
        <is>
          <t>COTY/CYL/8,00/14-04-22</t>
        </is>
      </c>
      <c r="G2257" t="n">
        <v>200</v>
      </c>
      <c r="H2257" t="n">
        <v>-1436.1102</v>
      </c>
      <c r="I2257">
        <f>-H4833/G4833</f>
        <v/>
      </c>
      <c r="J2257" s="16" t="n">
        <v>44643</v>
      </c>
      <c r="K2257" t="n">
        <v>200</v>
      </c>
      <c r="L2257" t="n">
        <v>1558.647</v>
      </c>
    </row>
    <row r="2258">
      <c r="A2258" t="n">
        <v>10079</v>
      </c>
      <c r="B2258" s="16" t="n">
        <v>44628</v>
      </c>
      <c r="C2258" t="inlineStr">
        <is>
          <t>VTA</t>
        </is>
      </c>
      <c r="D2258" t="n">
        <v>40</v>
      </c>
      <c r="E2258">
        <f>IF(D5581&gt;0,VLOOKUP(OPERAC[[#This Row],[COD CART]],[1]!MatrizCortoLargoCyl[#All],3,0),"")</f>
        <v/>
      </c>
      <c r="F2258" t="inlineStr">
        <is>
          <t>CVV</t>
        </is>
      </c>
      <c r="G2258" t="n">
        <v>500</v>
      </c>
      <c r="H2258" t="n">
        <v>-2112.244</v>
      </c>
      <c r="I2258">
        <f>-H5581/G5581</f>
        <v/>
      </c>
      <c r="J2258" s="16" t="n">
        <v>44642</v>
      </c>
      <c r="K2258" t="n">
        <v>500</v>
      </c>
      <c r="L2258" t="n">
        <v>2204.88</v>
      </c>
    </row>
    <row r="2259">
      <c r="A2259" t="n">
        <v>10079</v>
      </c>
      <c r="B2259" s="16" t="n">
        <v>44634</v>
      </c>
      <c r="C2259" t="inlineStr">
        <is>
          <t>VTA</t>
        </is>
      </c>
      <c r="D2259" t="n">
        <v>42</v>
      </c>
      <c r="E2259">
        <f>IF(D2085&gt;0,VLOOKUP(OPERAC[[#This Row],[COD CART]],[1]!MatrizCortoLargoCyl[#All],3,0),"")</f>
        <v/>
      </c>
      <c r="F2259" t="inlineStr">
        <is>
          <t>INO</t>
        </is>
      </c>
      <c r="G2259" t="n">
        <v>100</v>
      </c>
      <c r="H2259" t="n">
        <v>-332.0816</v>
      </c>
      <c r="I2259">
        <f>-H2085/G2085</f>
        <v/>
      </c>
      <c r="J2259" s="16" t="n">
        <v>44634</v>
      </c>
      <c r="K2259" t="n">
        <v>100</v>
      </c>
      <c r="L2259" t="n">
        <v>298.8855</v>
      </c>
    </row>
    <row r="2260">
      <c r="A2260" t="n">
        <v>10079</v>
      </c>
      <c r="B2260" s="16" t="n">
        <v>44636</v>
      </c>
      <c r="C2260" t="inlineStr">
        <is>
          <t>CPR</t>
        </is>
      </c>
      <c r="D2260" t="n">
        <v>43</v>
      </c>
      <c r="E2260">
        <f>IF(D4449&gt;0,VLOOKUP(OPERAC[[#This Row],[COD CART]],[1]!MatrizCortoLargoCyl[#All],3,0),"")</f>
        <v/>
      </c>
      <c r="F2260" t="inlineStr">
        <is>
          <t>GMBL/CYL-PUT/1,00/20-01-23</t>
        </is>
      </c>
      <c r="G2260" t="n">
        <v>7000</v>
      </c>
      <c r="H2260" t="n">
        <v>-1143.72055</v>
      </c>
      <c r="I2260">
        <f>-H4449/G4449</f>
        <v/>
      </c>
    </row>
    <row r="2261">
      <c r="A2261" t="n">
        <v>10079</v>
      </c>
      <c r="B2261" s="16" t="n">
        <v>44642</v>
      </c>
      <c r="C2261" t="inlineStr">
        <is>
          <t>CPR</t>
        </is>
      </c>
      <c r="D2261" t="n">
        <v>42</v>
      </c>
      <c r="E2261">
        <f>IF(D6076&gt;0,VLOOKUP(OPERAC[[#This Row],[COD CART]],[1]!MatrizCortoLargoCyl[#All],3,0),"")</f>
        <v/>
      </c>
      <c r="F2261" t="inlineStr">
        <is>
          <t>HYDR</t>
        </is>
      </c>
      <c r="G2261" t="n">
        <v>200</v>
      </c>
      <c r="H2261">
        <f>-19.39*OPERAC[[#This Row],[cantidad]]</f>
        <v/>
      </c>
      <c r="I2261">
        <f>-H6076/G6076</f>
        <v/>
      </c>
      <c r="J2261" s="16" t="n">
        <v>44693</v>
      </c>
      <c r="K2261">
        <f>+OPERAC[[#This Row],[cantidad]]</f>
        <v/>
      </c>
      <c r="L2261">
        <f>+OPERAC[[#This Row],[cantidad venta]]*12.027</f>
        <v/>
      </c>
    </row>
    <row r="2262">
      <c r="A2262" t="n">
        <v>10079</v>
      </c>
      <c r="B2262" s="16" t="n">
        <v>44643</v>
      </c>
      <c r="C2262" t="inlineStr">
        <is>
          <t>CPR</t>
        </is>
      </c>
      <c r="D2262" t="n">
        <v>42</v>
      </c>
      <c r="E2262">
        <f>IF(D4428&gt;0,VLOOKUP(OPERAC[[#This Row],[COD CART]],[1]!MatrizCortoLargoCyl[#All],3,0),"")</f>
        <v/>
      </c>
      <c r="F2262" t="inlineStr">
        <is>
          <t>DIS</t>
        </is>
      </c>
      <c r="G2262" t="n">
        <v>8</v>
      </c>
      <c r="H2262" t="n">
        <v>-1117.6172</v>
      </c>
      <c r="I2262">
        <f>-H4428/G4428</f>
        <v/>
      </c>
      <c r="J2262" s="16" t="n">
        <v>44671</v>
      </c>
      <c r="K2262">
        <f>+OPERAC[[#This Row],[cantidad]]</f>
        <v/>
      </c>
      <c r="L2262">
        <f>+OPERAC[[#This Row],[cantidad venta]]*123.621</f>
        <v/>
      </c>
    </row>
    <row r="2263">
      <c r="A2263" t="n">
        <v>10079</v>
      </c>
      <c r="B2263" s="16" t="n">
        <v>44643</v>
      </c>
      <c r="C2263" t="inlineStr">
        <is>
          <t>CPR</t>
        </is>
      </c>
      <c r="D2263" t="n">
        <v>42</v>
      </c>
      <c r="E2263">
        <f>IF(D4608&gt;0,VLOOKUP(OPERAC[[#This Row],[COD CART]],[1]!MatrizCortoLargoCyl[#All],3,0),"")</f>
        <v/>
      </c>
      <c r="F2263" t="inlineStr">
        <is>
          <t>ADBE</t>
        </is>
      </c>
      <c r="G2263" t="n">
        <v>3</v>
      </c>
      <c r="H2263" t="n">
        <v>-1263.164325</v>
      </c>
      <c r="I2263">
        <f>-H4608/G4608</f>
        <v/>
      </c>
      <c r="J2263" s="16" t="n">
        <v>44687</v>
      </c>
      <c r="K2263">
        <f>+OPERAC[[#This Row],[cantidad]]</f>
        <v/>
      </c>
      <c r="L2263" t="n">
        <v>1250.12</v>
      </c>
    </row>
    <row r="2264">
      <c r="A2264" t="n">
        <v>10079</v>
      </c>
      <c r="B2264" s="16" t="n">
        <v>44643</v>
      </c>
      <c r="C2264" t="inlineStr">
        <is>
          <t>CPR</t>
        </is>
      </c>
      <c r="D2264" t="n">
        <v>42</v>
      </c>
      <c r="E2264">
        <f>IF(D5648&gt;0,VLOOKUP(OPERAC[[#This Row],[COD CART]],[1]!MatrizCortoLargoCyl[#All],3,0),"")</f>
        <v/>
      </c>
      <c r="F2264" t="inlineStr">
        <is>
          <t>FB</t>
        </is>
      </c>
      <c r="G2264" t="n">
        <v>11</v>
      </c>
      <c r="H2264" t="n">
        <v>-2377.35586</v>
      </c>
      <c r="I2264">
        <f>-H5648/G5648</f>
        <v/>
      </c>
      <c r="J2264" s="16" t="n">
        <v>44671</v>
      </c>
      <c r="K2264">
        <f>+OPERAC[[#This Row],[cantidad]]</f>
        <v/>
      </c>
      <c r="L2264">
        <f>+OPERAC[[#This Row],[cantidad venta]]*213.173</f>
        <v/>
      </c>
    </row>
    <row r="2265">
      <c r="A2265" t="n">
        <v>10079</v>
      </c>
      <c r="B2265" s="16" t="n">
        <v>44643</v>
      </c>
      <c r="C2265" t="inlineStr">
        <is>
          <t>CPR</t>
        </is>
      </c>
      <c r="D2265" t="n">
        <v>42</v>
      </c>
      <c r="E2265">
        <f>IF(D5661&gt;0,VLOOKUP(OPERAC[[#This Row],[COD CART]],[1]!MatrizCortoLargoCyl[#All],3,0),"")</f>
        <v/>
      </c>
      <c r="F2265" t="inlineStr">
        <is>
          <t>SMH</t>
        </is>
      </c>
      <c r="G2265" t="n">
        <v>9</v>
      </c>
      <c r="H2265" t="n">
        <v>-2404.466081999999</v>
      </c>
      <c r="I2265">
        <f>-H5661/G5661</f>
        <v/>
      </c>
      <c r="J2265" s="16" t="n">
        <v>44663</v>
      </c>
      <c r="K2265">
        <f>+OPERAC[[#This Row],[cantidad]]</f>
        <v/>
      </c>
      <c r="L2265">
        <f>+OPERAC[[#This Row],[cantidad venta]]*238.066</f>
        <v/>
      </c>
    </row>
    <row r="2266">
      <c r="A2266" t="n">
        <v>10079</v>
      </c>
      <c r="B2266" s="16" t="n">
        <v>44643</v>
      </c>
      <c r="C2266" t="inlineStr">
        <is>
          <t>VTA</t>
        </is>
      </c>
      <c r="D2266" t="n">
        <v>42</v>
      </c>
      <c r="E2266">
        <f>IF(D5588&gt;0,VLOOKUP(OPERAC[[#This Row],[COD CART]],[1]!MatrizCortoLargoCyl[#All],3,0),"")</f>
        <v/>
      </c>
      <c r="F2266" t="inlineStr">
        <is>
          <t>JPM</t>
        </is>
      </c>
      <c r="G2266" t="n">
        <v>15</v>
      </c>
      <c r="H2266" t="n">
        <v>-2118.6996</v>
      </c>
      <c r="I2266">
        <f>-H5588/G5588</f>
        <v/>
      </c>
      <c r="J2266" s="16" t="n">
        <v>44664</v>
      </c>
      <c r="K2266">
        <f>+OPERAC[[#This Row],[cantidad]]</f>
        <v/>
      </c>
      <c r="L2266">
        <f>+OPERAC[[#This Row],[cantidad venta]]*125.943</f>
        <v/>
      </c>
    </row>
    <row r="2267">
      <c r="A2267" t="n">
        <v>10079</v>
      </c>
      <c r="B2267" s="16" t="n">
        <v>44648</v>
      </c>
      <c r="C2267" t="inlineStr">
        <is>
          <t>VTA</t>
        </is>
      </c>
      <c r="D2267" t="n">
        <v>42</v>
      </c>
      <c r="E2267">
        <f>IF(D2365&gt;0,VLOOKUP(OPERAC[[#This Row],[COD CART]],[1]!MatrizCortoLargoCyl[#All],3,0),"")</f>
        <v/>
      </c>
      <c r="F2267" t="inlineStr">
        <is>
          <t>JPM</t>
        </is>
      </c>
      <c r="G2267" t="n">
        <v>3</v>
      </c>
      <c r="H2267" t="n">
        <v>-420.39144</v>
      </c>
      <c r="I2267">
        <f>-H2365/G2365</f>
        <v/>
      </c>
      <c r="J2267" s="16" t="n">
        <v>44664</v>
      </c>
      <c r="K2267">
        <f>+OPERAC[[#This Row],[cantidad]]</f>
        <v/>
      </c>
      <c r="L2267">
        <f>+OPERAC[[#This Row],[cantidad venta]]*125.943</f>
        <v/>
      </c>
    </row>
    <row r="2268">
      <c r="A2268" t="n">
        <v>10079</v>
      </c>
      <c r="B2268" s="16" t="n">
        <v>44648</v>
      </c>
      <c r="C2268" t="inlineStr">
        <is>
          <t>VTA</t>
        </is>
      </c>
      <c r="D2268" t="n">
        <v>42</v>
      </c>
      <c r="E2268">
        <f>IF(D2482&gt;0,VLOOKUP(OPERAC[[#This Row],[COD CART]],[1]!MatrizCortoLargoCyl[#All],3,0),"")</f>
        <v/>
      </c>
      <c r="F2268" t="inlineStr">
        <is>
          <t>FB</t>
        </is>
      </c>
      <c r="G2268" t="n">
        <v>2</v>
      </c>
      <c r="H2268" t="n">
        <v>-444.33086</v>
      </c>
      <c r="I2268">
        <f>-H2482/G2482</f>
        <v/>
      </c>
      <c r="J2268" s="16" t="n">
        <v>44671</v>
      </c>
      <c r="K2268">
        <f>+OPERAC[[#This Row],[cantidad]]</f>
        <v/>
      </c>
      <c r="L2268">
        <f>+OPERAC[[#This Row],[cantidad venta]]*213.173</f>
        <v/>
      </c>
    </row>
    <row r="2269">
      <c r="A2269" t="n">
        <v>10079</v>
      </c>
      <c r="B2269" s="16" t="n">
        <v>44648</v>
      </c>
      <c r="C2269" t="inlineStr">
        <is>
          <t>VTA</t>
        </is>
      </c>
      <c r="D2269" t="n">
        <v>42</v>
      </c>
      <c r="E2269">
        <f>IF(D2896&gt;0,VLOOKUP(OPERAC[[#This Row],[COD CART]],[1]!MatrizCortoLargoCyl[#All],3,0),"")</f>
        <v/>
      </c>
      <c r="F2269" t="inlineStr">
        <is>
          <t>SMH</t>
        </is>
      </c>
      <c r="G2269" t="n">
        <v>2</v>
      </c>
      <c r="H2269" t="n">
        <v>-546.77392</v>
      </c>
      <c r="I2269">
        <f>-H2896/G2896</f>
        <v/>
      </c>
      <c r="J2269" s="16" t="n">
        <v>44663</v>
      </c>
      <c r="K2269">
        <f>+OPERAC[[#This Row],[cantidad]]</f>
        <v/>
      </c>
      <c r="L2269">
        <f>+OPERAC[[#This Row],[cantidad venta]]*238.066</f>
        <v/>
      </c>
    </row>
    <row r="2270">
      <c r="A2270" t="n">
        <v>10079</v>
      </c>
      <c r="B2270" s="16" t="n">
        <v>44648</v>
      </c>
      <c r="C2270" t="inlineStr">
        <is>
          <t>VTA</t>
        </is>
      </c>
      <c r="D2270" t="n">
        <v>42</v>
      </c>
      <c r="E2270">
        <f>IF(D5353&gt;0,VLOOKUP(OPERAC[[#This Row],[COD CART]],[1]!MatrizCortoLargoCyl[#All],3,0),"")</f>
        <v/>
      </c>
      <c r="F2270" t="inlineStr">
        <is>
          <t>ADBE</t>
        </is>
      </c>
      <c r="G2270" t="n">
        <v>4</v>
      </c>
      <c r="H2270" t="n">
        <v>-1765.6498</v>
      </c>
      <c r="I2270">
        <f>-H5353/G5353</f>
        <v/>
      </c>
      <c r="J2270" s="16" t="n">
        <v>44687</v>
      </c>
      <c r="K2270">
        <f>+OPERAC[[#This Row],[cantidad]]</f>
        <v/>
      </c>
      <c r="L2270" t="n">
        <v>1545.69</v>
      </c>
    </row>
    <row r="2271">
      <c r="A2271" t="n">
        <v>10079</v>
      </c>
      <c r="B2271" s="16" t="n">
        <v>44649</v>
      </c>
      <c r="C2271" t="inlineStr">
        <is>
          <t>CPR</t>
        </is>
      </c>
      <c r="D2271" t="n">
        <v>42</v>
      </c>
      <c r="E2271">
        <f>IF(D4009&gt;0,VLOOKUP(OPERAC[[#This Row],[COD CART]],[1]!MatrizCortoLargoCyl[#All],3,0),"")</f>
        <v/>
      </c>
      <c r="F2271" t="inlineStr">
        <is>
          <t>FB</t>
        </is>
      </c>
      <c r="G2271" t="n">
        <v>4</v>
      </c>
      <c r="H2271" t="n">
        <v>-919.6226</v>
      </c>
      <c r="I2271">
        <f>-H4009/G4009</f>
        <v/>
      </c>
      <c r="J2271" s="16" t="n">
        <v>44671</v>
      </c>
      <c r="K2271">
        <f>+OPERAC[[#This Row],[cantidad]]</f>
        <v/>
      </c>
      <c r="L2271">
        <f>+OPERAC[[#This Row],[cantidad venta]]*213.173</f>
        <v/>
      </c>
    </row>
    <row r="2272">
      <c r="A2272" t="n">
        <v>10079</v>
      </c>
      <c r="B2272" s="16" t="n">
        <v>44649</v>
      </c>
      <c r="C2272" t="inlineStr">
        <is>
          <t>CPR</t>
        </is>
      </c>
      <c r="D2272" t="n">
        <v>32</v>
      </c>
      <c r="E2272">
        <f>IF(D4839&gt;0,VLOOKUP(OPERAC[[#This Row],[COD CART]],[1]!MatrizCortoLargoCyl[#All],3,0),"")</f>
        <v/>
      </c>
      <c r="F2272" t="inlineStr">
        <is>
          <t>DDD</t>
        </is>
      </c>
      <c r="G2272" t="n">
        <v>100</v>
      </c>
      <c r="H2272" t="n">
        <v>-1439.859</v>
      </c>
      <c r="I2272">
        <f>-H4839/G4839</f>
        <v/>
      </c>
      <c r="J2272" s="16" t="n">
        <v>44704</v>
      </c>
      <c r="K2272" t="n">
        <v>100</v>
      </c>
      <c r="L2272">
        <f>+OPERAC[[#This Row],[cantidad venta]]*10.016</f>
        <v/>
      </c>
    </row>
    <row r="2273">
      <c r="A2273" t="n">
        <v>10079</v>
      </c>
      <c r="B2273" s="16" t="n">
        <v>44649</v>
      </c>
      <c r="C2273" t="inlineStr">
        <is>
          <t>CPR</t>
        </is>
      </c>
      <c r="D2273" t="n">
        <v>32</v>
      </c>
      <c r="E2273">
        <f>IF(D4928&gt;0,VLOOKUP(OPERAC[[#This Row],[COD CART]],[1]!MatrizCortoLargoCyl[#All],3,0),"")</f>
        <v/>
      </c>
      <c r="F2273" t="inlineStr">
        <is>
          <t>DDD</t>
        </is>
      </c>
      <c r="G2273" t="n">
        <v>100</v>
      </c>
      <c r="H2273" t="n">
        <v>-1498.949</v>
      </c>
      <c r="I2273">
        <f>-H4928/G4928</f>
        <v/>
      </c>
      <c r="J2273" s="16" t="n">
        <v>44704</v>
      </c>
      <c r="K2273" t="n">
        <v>100</v>
      </c>
      <c r="L2273">
        <f>+OPERAC[[#This Row],[cantidad venta]]*10.016</f>
        <v/>
      </c>
    </row>
    <row r="2274">
      <c r="A2274" t="n">
        <v>10079</v>
      </c>
      <c r="B2274" s="16" t="n">
        <v>44649</v>
      </c>
      <c r="C2274" t="inlineStr">
        <is>
          <t>CPR</t>
        </is>
      </c>
      <c r="D2274" t="n">
        <v>42</v>
      </c>
      <c r="E2274">
        <f>IF(D6094&gt;0,VLOOKUP(OPERAC[[#This Row],[COD CART]],[1]!MatrizCortoLargoCyl[#All],3,0),"")</f>
        <v/>
      </c>
      <c r="F2274" t="inlineStr">
        <is>
          <t>MSFT</t>
        </is>
      </c>
      <c r="G2274" t="n">
        <v>13</v>
      </c>
      <c r="H2274" t="n">
        <v>-4092.5792</v>
      </c>
      <c r="I2274">
        <f>-H6094/G6094</f>
        <v/>
      </c>
      <c r="J2274" s="16" t="n">
        <v>44662</v>
      </c>
      <c r="K2274">
        <f>+OPERAC[[#This Row],[cantidad]]</f>
        <v/>
      </c>
      <c r="L2274">
        <f>287.546*OPERAC[[#This Row],[cantidad venta]]</f>
        <v/>
      </c>
    </row>
    <row r="2275">
      <c r="A2275" t="n">
        <v>10079</v>
      </c>
      <c r="B2275" s="16" t="n">
        <v>44662</v>
      </c>
      <c r="C2275" t="inlineStr">
        <is>
          <t>CPR</t>
        </is>
      </c>
      <c r="D2275" t="n">
        <v>42</v>
      </c>
      <c r="E2275">
        <f>IF(D6123&gt;0,VLOOKUP(OPERAC[[#This Row],[COD CART]],[1]!MatrizCortoLargoCyl[#All],3,0),"")</f>
        <v/>
      </c>
      <c r="F2275" t="inlineStr">
        <is>
          <t>UPST</t>
        </is>
      </c>
      <c r="G2275" t="n">
        <v>50</v>
      </c>
      <c r="H2275" t="n">
        <v>-4570.018</v>
      </c>
      <c r="I2275">
        <f>-H6123/G6123</f>
        <v/>
      </c>
      <c r="J2275" s="16" t="n">
        <v>44671</v>
      </c>
      <c r="K2275" t="n">
        <v>50</v>
      </c>
      <c r="L2275" t="n">
        <v>4005.66</v>
      </c>
    </row>
    <row r="2276">
      <c r="A2276" t="n">
        <v>10079</v>
      </c>
      <c r="B2276" s="16" t="n">
        <v>44664</v>
      </c>
      <c r="C2276" t="inlineStr">
        <is>
          <t>CPR</t>
        </is>
      </c>
      <c r="D2276" t="n">
        <v>39</v>
      </c>
      <c r="E2276">
        <f>IF(D5647&gt;0,VLOOKUP(OPERAC[[#This Row],[COD CART]],[1]!MatrizCortoLargoCyl[#All],3,0),"")</f>
        <v/>
      </c>
      <c r="F2276" t="inlineStr">
        <is>
          <t>BABA/C/80,00/17-06-2022</t>
        </is>
      </c>
      <c r="G2276" t="n">
        <v>100</v>
      </c>
      <c r="H2276" t="n">
        <v>-2369.975</v>
      </c>
      <c r="I2276">
        <f>-H5647/G5647</f>
        <v/>
      </c>
      <c r="J2276" s="16" t="n">
        <v>44720</v>
      </c>
      <c r="K2276" t="n">
        <v>100</v>
      </c>
      <c r="L2276" t="n">
        <v>3618.975</v>
      </c>
    </row>
    <row r="2277">
      <c r="A2277" t="n">
        <v>10079</v>
      </c>
      <c r="B2277" s="16" t="n">
        <v>44664</v>
      </c>
      <c r="C2277" t="inlineStr">
        <is>
          <t>CPR</t>
        </is>
      </c>
      <c r="D2277" t="n">
        <v>39</v>
      </c>
      <c r="E2277">
        <f>IF(D6041&gt;0,VLOOKUP(OPERAC[[#This Row],[COD CART]],[1]!MatrizCortoLargoCyl[#All],3,0),"")</f>
        <v/>
      </c>
      <c r="F2277" t="inlineStr">
        <is>
          <t>AAL/C/12,00/17-06-2022</t>
        </is>
      </c>
      <c r="G2277" t="n">
        <v>500</v>
      </c>
      <c r="H2277" t="n">
        <v>-3529.75</v>
      </c>
      <c r="I2277">
        <f>-H6041/G6041</f>
        <v/>
      </c>
      <c r="J2277" s="16" t="n">
        <v>44671</v>
      </c>
      <c r="K2277" t="n">
        <v>500</v>
      </c>
      <c r="L2277" t="n">
        <v>3891.638</v>
      </c>
    </row>
    <row r="2278">
      <c r="A2278" t="n">
        <v>10079</v>
      </c>
      <c r="B2278" s="16" t="n">
        <v>44664</v>
      </c>
      <c r="C2278" t="inlineStr">
        <is>
          <t>CPR</t>
        </is>
      </c>
      <c r="D2278" t="n">
        <v>42</v>
      </c>
      <c r="E2278">
        <f>IF(D6167&gt;0,VLOOKUP(OPERAC[[#This Row],[COD CART]],[1]!MatrizCortoLargoCyl[#All],3,0),"")</f>
        <v/>
      </c>
      <c r="F2278" t="inlineStr">
        <is>
          <t>AMD</t>
        </is>
      </c>
      <c r="G2278" t="n">
        <v>50</v>
      </c>
      <c r="H2278" t="n">
        <v>-4938.532726500001</v>
      </c>
      <c r="I2278">
        <f>-H6167/G6167</f>
        <v/>
      </c>
      <c r="J2278" s="16" t="n">
        <v>44693</v>
      </c>
      <c r="K2278">
        <f>+OPERAC[[#This Row],[cantidad]]</f>
        <v/>
      </c>
      <c r="L2278">
        <f>+OPERAC[[#This Row],[cantidad venta]]*85.26</f>
        <v/>
      </c>
    </row>
    <row r="2279">
      <c r="A2279" t="n">
        <v>10079</v>
      </c>
      <c r="B2279" s="16" t="n">
        <v>44664</v>
      </c>
      <c r="C2279" t="inlineStr">
        <is>
          <t>CPR</t>
        </is>
      </c>
      <c r="D2279" t="n">
        <v>42</v>
      </c>
      <c r="E2279">
        <f>IF(D6311&gt;0,VLOOKUP(OPERAC[[#This Row],[COD CART]],[1]!MatrizCortoLargoCyl[#All],3,0),"")</f>
        <v/>
      </c>
      <c r="F2279" t="inlineStr">
        <is>
          <t>PSQ</t>
        </is>
      </c>
      <c r="G2279" t="n">
        <v>1000</v>
      </c>
      <c r="H2279" t="n">
        <v>-12432.572181</v>
      </c>
      <c r="I2279">
        <f>-H6311/G6311</f>
        <v/>
      </c>
      <c r="J2279" s="16" t="n">
        <v>44680</v>
      </c>
      <c r="K2279">
        <f>+OPERAC[[#This Row],[cantidad]]</f>
        <v/>
      </c>
      <c r="L2279">
        <f>12.848*OPERAC[[#This Row],[cantidad venta]]</f>
        <v/>
      </c>
    </row>
    <row r="2280">
      <c r="A2280" t="n">
        <v>10079</v>
      </c>
      <c r="B2280" s="16" t="n">
        <v>44669</v>
      </c>
      <c r="C2280" t="inlineStr">
        <is>
          <t>CPR</t>
        </is>
      </c>
      <c r="D2280" t="n">
        <v>32</v>
      </c>
      <c r="E2280">
        <f>IF(D6128&gt;0,VLOOKUP(OPERAC[[#This Row],[COD CART]],[1]!MatrizCortoLargoCyl[#All],3,0),"")</f>
        <v/>
      </c>
      <c r="F2280" t="inlineStr">
        <is>
          <t>HMY</t>
        </is>
      </c>
      <c r="G2280" t="n">
        <v>1000</v>
      </c>
      <c r="H2280">
        <f>-4.64*OPERAC[[#This Row],[cantidad]]</f>
        <v/>
      </c>
      <c r="I2280">
        <f>-H6128/G6128</f>
        <v/>
      </c>
    </row>
    <row r="2281">
      <c r="A2281" t="n">
        <v>10079</v>
      </c>
      <c r="B2281" s="16" t="n">
        <v>44670</v>
      </c>
      <c r="C2281" t="inlineStr">
        <is>
          <t>CPR</t>
        </is>
      </c>
      <c r="D2281" t="n">
        <v>43</v>
      </c>
      <c r="E2281">
        <f>IF(D6198&gt;0,VLOOKUP(OPERAC[[#This Row],[COD CART]],[1]!MatrizCortoLargoCyl[#All],3,0),"")</f>
        <v/>
      </c>
      <c r="F2281" t="inlineStr">
        <is>
          <t>PCT/CYL-PUT/7,50/20-01-23</t>
        </is>
      </c>
      <c r="G2281" t="n">
        <v>1500</v>
      </c>
      <c r="H2281" t="n">
        <v>-5370.344</v>
      </c>
      <c r="I2281">
        <f>-H6198/G6198</f>
        <v/>
      </c>
    </row>
    <row r="2282">
      <c r="A2282" t="n">
        <v>10079</v>
      </c>
      <c r="B2282" s="16" t="n">
        <v>44670</v>
      </c>
      <c r="C2282" t="inlineStr">
        <is>
          <t>VTA</t>
        </is>
      </c>
      <c r="D2282" t="n">
        <v>39</v>
      </c>
      <c r="E2282">
        <f>IF(D1069&gt;0,VLOOKUP(OPERAC[[#This Row],[COD CART]],[1]!MatrizCortoLargoCyl[#All],3,0),"")</f>
        <v/>
      </c>
      <c r="F2282" t="inlineStr">
        <is>
          <t>TSLA/V/400,00/20-01-23</t>
        </is>
      </c>
      <c r="G2282" t="n">
        <v>-4</v>
      </c>
      <c r="H2282" t="n">
        <v>36.4872</v>
      </c>
      <c r="I2282">
        <f>-H1069/G1069</f>
        <v/>
      </c>
    </row>
    <row r="2283">
      <c r="A2283" t="n">
        <v>10079</v>
      </c>
      <c r="B2283" s="16" t="n">
        <v>44671</v>
      </c>
      <c r="C2283" t="inlineStr">
        <is>
          <t>CPR</t>
        </is>
      </c>
      <c r="D2283" t="n">
        <v>42</v>
      </c>
      <c r="E2283">
        <f>IF(D4172&gt;0,VLOOKUP(OPERAC[[#This Row],[COD CART]],[1]!MatrizCortoLargoCyl[#All],3,0),"")</f>
        <v/>
      </c>
      <c r="F2283" t="inlineStr">
        <is>
          <t>TLT</t>
        </is>
      </c>
      <c r="G2283" t="n">
        <v>8</v>
      </c>
      <c r="H2283" t="n">
        <v>-980.50404</v>
      </c>
      <c r="I2283">
        <f>-H4172/G4172</f>
        <v/>
      </c>
      <c r="J2283" s="16" t="n">
        <v>44704</v>
      </c>
      <c r="K2283" t="n">
        <v>8</v>
      </c>
      <c r="L2283" t="n">
        <v>932.645</v>
      </c>
    </row>
    <row r="2284">
      <c r="A2284" t="n">
        <v>10079</v>
      </c>
      <c r="B2284" s="16" t="n">
        <v>44671</v>
      </c>
      <c r="C2284" t="inlineStr">
        <is>
          <t>CPR</t>
        </is>
      </c>
      <c r="D2284" t="n">
        <v>42</v>
      </c>
      <c r="E2284">
        <f>IF(D6046&gt;0,VLOOKUP(OPERAC[[#This Row],[COD CART]],[1]!MatrizCortoLargoCyl[#All],3,0),"")</f>
        <v/>
      </c>
      <c r="F2284" t="inlineStr">
        <is>
          <t>NFLX</t>
        </is>
      </c>
      <c r="G2284" t="n">
        <v>14</v>
      </c>
      <c r="H2284" t="n">
        <v>-3563.07084</v>
      </c>
      <c r="I2284">
        <f>-H6046/G6046</f>
        <v/>
      </c>
      <c r="J2284" s="16" t="n">
        <v>44693</v>
      </c>
      <c r="K2284">
        <f>+OPERAC[[#This Row],[cantidad]]</f>
        <v/>
      </c>
      <c r="L2284">
        <f>+OPERAC[[#This Row],[cantidad venta]]*169.079</f>
        <v/>
      </c>
    </row>
    <row r="2285">
      <c r="A2285" t="n">
        <v>10079</v>
      </c>
      <c r="B2285" s="16" t="n">
        <v>44676</v>
      </c>
      <c r="C2285" t="inlineStr">
        <is>
          <t>VTA</t>
        </is>
      </c>
      <c r="D2285" t="n">
        <v>39</v>
      </c>
      <c r="E2285">
        <f>IF(D50&gt;0,VLOOKUP(OPERAC[[#This Row],[COD CART]],[1]!MatrizCortoLargoCyl[#All],3,0),"")</f>
        <v/>
      </c>
      <c r="F2285" t="inlineStr">
        <is>
          <t>UPST/V/67,00/06-05-22</t>
        </is>
      </c>
      <c r="G2285" t="n">
        <v>-2300</v>
      </c>
      <c r="H2285" t="n">
        <v>5131.0125</v>
      </c>
      <c r="I2285">
        <f>-H50/G50</f>
        <v/>
      </c>
      <c r="J2285" s="16" t="n">
        <v>44687</v>
      </c>
      <c r="K2285">
        <f>OPERAC[[#This Row],[cantidad]]</f>
        <v/>
      </c>
      <c r="L2285" t="n">
        <v>0</v>
      </c>
    </row>
    <row r="2286">
      <c r="A2286" t="n">
        <v>10079</v>
      </c>
      <c r="B2286" s="16" t="n">
        <v>44680</v>
      </c>
      <c r="C2286" t="inlineStr">
        <is>
          <t>CPR</t>
        </is>
      </c>
      <c r="D2286" t="n">
        <v>42</v>
      </c>
      <c r="E2286">
        <f>IF(D5953&gt;0,VLOOKUP(OPERAC[[#This Row],[COD CART]],[1]!MatrizCortoLargoCyl[#All],3,0),"")</f>
        <v/>
      </c>
      <c r="F2286" t="inlineStr">
        <is>
          <t>TS</t>
        </is>
      </c>
      <c r="G2286" t="n">
        <v>100</v>
      </c>
      <c r="H2286" t="n">
        <v>-3129.87975</v>
      </c>
      <c r="I2286">
        <f>-H5953/G5953</f>
        <v/>
      </c>
      <c r="J2286" s="16" t="n">
        <v>44693</v>
      </c>
      <c r="K2286">
        <f>+OPERAC[[#This Row],[cantidad]]</f>
        <v/>
      </c>
      <c r="L2286">
        <f>+OPERAC[[#This Row],[cantidad venta]]*29.07</f>
        <v/>
      </c>
    </row>
    <row r="2287">
      <c r="A2287" t="n">
        <v>10079</v>
      </c>
      <c r="B2287" s="16" t="n">
        <v>44680</v>
      </c>
      <c r="C2287" t="inlineStr">
        <is>
          <t>CPR</t>
        </is>
      </c>
      <c r="D2287" t="n">
        <v>32</v>
      </c>
      <c r="E2287">
        <f>IF(D6057&gt;0,VLOOKUP(OPERAC[[#This Row],[COD CART]],[1]!MatrizCortoLargoCyl[#All],3,0),"")</f>
        <v/>
      </c>
      <c r="F2287" t="inlineStr">
        <is>
          <t>COTY/CYL/8,00/17-06-22</t>
        </is>
      </c>
      <c r="G2287" t="n">
        <v>500</v>
      </c>
      <c r="H2287">
        <f>-3781.026+34.703</f>
        <v/>
      </c>
      <c r="I2287">
        <f>-H6057/G6057</f>
        <v/>
      </c>
    </row>
    <row r="2288">
      <c r="A2288" t="n">
        <v>10079</v>
      </c>
      <c r="B2288" s="16" t="n">
        <v>44680</v>
      </c>
      <c r="C2288" t="inlineStr">
        <is>
          <t>CPR</t>
        </is>
      </c>
      <c r="D2288" t="n">
        <v>32</v>
      </c>
      <c r="E2288">
        <f>IF(D6219&gt;0,VLOOKUP(OPERAC[[#This Row],[COD CART]],[1]!MatrizCortoLargoCyl[#All],3,0),"")</f>
        <v/>
      </c>
      <c r="F2288" t="inlineStr">
        <is>
          <t>TDOC/CYL/31,00/20-05-22</t>
        </is>
      </c>
      <c r="G2288" t="n">
        <v>200</v>
      </c>
      <c r="H2288" t="n">
        <v>-5948.49</v>
      </c>
      <c r="I2288">
        <f>-H6219/G6219</f>
        <v/>
      </c>
      <c r="J2288" s="16" t="n">
        <v>44701</v>
      </c>
      <c r="K2288" t="n">
        <v>200</v>
      </c>
      <c r="L2288" t="n">
        <v>6139.197</v>
      </c>
    </row>
    <row r="2289">
      <c r="A2289" t="n">
        <v>10079</v>
      </c>
      <c r="B2289" s="16" t="n">
        <v>44680</v>
      </c>
      <c r="C2289" t="inlineStr">
        <is>
          <t>CPR</t>
        </is>
      </c>
      <c r="D2289" t="n">
        <v>42</v>
      </c>
      <c r="E2289">
        <f>IF(D6315&gt;0,VLOOKUP(OPERAC[[#This Row],[COD CART]],[1]!MatrizCortoLargoCyl[#All],3,0),"")</f>
        <v/>
      </c>
      <c r="F2289" t="inlineStr">
        <is>
          <t>XLP</t>
        </is>
      </c>
      <c r="G2289" t="n">
        <v>165</v>
      </c>
      <c r="H2289" t="n">
        <v>-13106.6929125</v>
      </c>
      <c r="I2289">
        <f>-H6315/G6315</f>
        <v/>
      </c>
      <c r="J2289" s="16" t="n">
        <v>44692</v>
      </c>
      <c r="K2289">
        <f>25+140</f>
        <v/>
      </c>
      <c r="L2289">
        <f>1895.624+10478.748</f>
        <v/>
      </c>
    </row>
    <row r="2290">
      <c r="A2290" t="n">
        <v>10079</v>
      </c>
      <c r="B2290" s="16" t="n">
        <v>44686</v>
      </c>
      <c r="C2290" t="inlineStr">
        <is>
          <t>CPR</t>
        </is>
      </c>
      <c r="D2290" t="n">
        <v>40</v>
      </c>
      <c r="E2290">
        <f>IF(D5686&gt;0,VLOOKUP(OPERAC[[#This Row],[COD CART]],[1]!MatrizCortoLargoCyl[#All],3,0),"")</f>
        <v/>
      </c>
      <c r="F2290" t="inlineStr">
        <is>
          <t>SFM</t>
        </is>
      </c>
      <c r="G2290" t="n">
        <v>100</v>
      </c>
      <c r="H2290">
        <f>-2530.83+44.618</f>
        <v/>
      </c>
      <c r="I2290">
        <f>-H5686/G5686</f>
        <v/>
      </c>
      <c r="J2290" s="16" t="n">
        <v>44707</v>
      </c>
      <c r="K2290" t="n">
        <v>100</v>
      </c>
      <c r="L2290" t="n">
        <v>2577.642</v>
      </c>
    </row>
    <row r="2291">
      <c r="A2291" t="n">
        <v>10079</v>
      </c>
      <c r="B2291" s="16" t="n">
        <v>44691</v>
      </c>
      <c r="C2291" t="inlineStr">
        <is>
          <t>CPR</t>
        </is>
      </c>
      <c r="D2291" t="n">
        <v>32</v>
      </c>
      <c r="E2291">
        <f>IF(D6003&gt;0,VLOOKUP(OPERAC[[#This Row],[COD CART]],[1]!MatrizCortoLargoCyl[#All],3,0),"")</f>
        <v/>
      </c>
      <c r="F2291" t="inlineStr">
        <is>
          <t>UPST</t>
        </is>
      </c>
      <c r="G2291" t="n">
        <v>100</v>
      </c>
      <c r="H2291" t="n">
        <v>-3321.11</v>
      </c>
      <c r="I2291">
        <f>-H6003/G6003</f>
        <v/>
      </c>
      <c r="J2291" s="16" t="n">
        <v>44701</v>
      </c>
      <c r="K2291" t="n">
        <v>100</v>
      </c>
      <c r="L2291" t="n">
        <v>4386.11</v>
      </c>
    </row>
    <row r="2292">
      <c r="A2292" t="n">
        <v>10079</v>
      </c>
      <c r="B2292" s="16" t="n">
        <v>44697</v>
      </c>
      <c r="C2292" t="inlineStr">
        <is>
          <t>CPR</t>
        </is>
      </c>
      <c r="D2292" t="n">
        <v>32</v>
      </c>
      <c r="E2292">
        <f>IF(D2611&gt;0,VLOOKUP(OPERAC[[#This Row],[COD CART]],[1]!MatrizCortoLargoCyl[#All],3,0),"")</f>
        <v/>
      </c>
      <c r="F2292" t="inlineStr">
        <is>
          <t>TLRY/CYL/5,50/17-06-22</t>
        </is>
      </c>
      <c r="G2292" t="n">
        <v>100</v>
      </c>
      <c r="H2292">
        <f>-484.256+11.898</f>
        <v/>
      </c>
      <c r="I2292">
        <f>-H2611/G2611</f>
        <v/>
      </c>
    </row>
    <row r="2293">
      <c r="A2293" t="n">
        <v>10079</v>
      </c>
      <c r="B2293" s="16" t="n">
        <v>44698</v>
      </c>
      <c r="C2293" t="inlineStr">
        <is>
          <t>CPR</t>
        </is>
      </c>
      <c r="D2293" t="n">
        <v>39</v>
      </c>
      <c r="E2293">
        <f>IF(D5708&gt;0,VLOOKUP(OPERAC[[#This Row],[COD CART]],[1]!MatrizCortoLargoCyl[#All],3,0),"")</f>
        <v/>
      </c>
      <c r="F2293" t="inlineStr">
        <is>
          <t>NTLA/C/65,00/15-07-22</t>
        </is>
      </c>
      <c r="G2293" t="n">
        <v>1000</v>
      </c>
      <c r="H2293" t="n">
        <v>-2521.25</v>
      </c>
      <c r="I2293">
        <f>-H5708/G5708</f>
        <v/>
      </c>
    </row>
    <row r="2294">
      <c r="A2294" t="n">
        <v>10079</v>
      </c>
      <c r="B2294" s="16" t="n">
        <v>44704</v>
      </c>
      <c r="C2294" t="inlineStr">
        <is>
          <t>CPR</t>
        </is>
      </c>
      <c r="D2294" t="n">
        <v>43</v>
      </c>
      <c r="E2294">
        <f>IF(D5992&gt;0,VLOOKUP(OPERAC[[#This Row],[COD CART]],[1]!MatrizCortoLargoCyl[#All],3,0),"")</f>
        <v/>
      </c>
      <c r="F2294" t="inlineStr">
        <is>
          <t>AAL/CYP/16,50-15,00/10-06-22</t>
        </is>
      </c>
      <c r="G2294" t="n">
        <v>200</v>
      </c>
      <c r="H2294">
        <f>-3247.862-32.27</f>
        <v/>
      </c>
      <c r="I2294">
        <f>-H5992/G5992</f>
        <v/>
      </c>
      <c r="J2294" s="16" t="n">
        <v>44722</v>
      </c>
      <c r="K2294" t="n">
        <v>200</v>
      </c>
      <c r="L2294" t="n">
        <v>3271.95</v>
      </c>
    </row>
    <row r="2295">
      <c r="A2295" t="n">
        <v>10079</v>
      </c>
      <c r="B2295" s="16" t="n">
        <v>44704</v>
      </c>
      <c r="C2295" t="inlineStr">
        <is>
          <t>CPR</t>
        </is>
      </c>
      <c r="D2295" t="n">
        <v>32</v>
      </c>
      <c r="E2295">
        <f>IF(D6096&gt;0,VLOOKUP(OPERAC[[#This Row],[COD CART]],[1]!MatrizCortoLargoCyl[#All],3,0),"")</f>
        <v/>
      </c>
      <c r="F2295" t="inlineStr">
        <is>
          <t>UPST/CYL/45,00/27-05-22</t>
        </is>
      </c>
      <c r="G2295" t="n">
        <v>100</v>
      </c>
      <c r="H2295" t="n">
        <v>-4126.33</v>
      </c>
      <c r="I2295">
        <f>-H6096/G6096</f>
        <v/>
      </c>
      <c r="J2295" s="16" t="n">
        <v>44708</v>
      </c>
      <c r="K2295" t="n">
        <v>100</v>
      </c>
      <c r="L2295" t="n">
        <v>4461.75</v>
      </c>
    </row>
    <row r="2296">
      <c r="A2296" t="n">
        <v>10079</v>
      </c>
      <c r="B2296" s="16" t="n">
        <v>44704</v>
      </c>
      <c r="C2296" t="inlineStr">
        <is>
          <t>CPR</t>
        </is>
      </c>
      <c r="D2296" t="n">
        <v>32</v>
      </c>
      <c r="E2296">
        <f>IF(D6187&gt;0,VLOOKUP(OPERAC[[#This Row],[COD CART]],[1]!MatrizCortoLargoCyl[#All],3,0),"")</f>
        <v/>
      </c>
      <c r="F2296" t="inlineStr">
        <is>
          <t>KWEB/CYL/28,50/03-06-22</t>
        </is>
      </c>
      <c r="G2296" t="n">
        <v>200</v>
      </c>
      <c r="H2296">
        <f>-5321.21-4.034+85.269</f>
        <v/>
      </c>
      <c r="I2296">
        <f>-H6187/G6187</f>
        <v/>
      </c>
      <c r="J2296" s="16" t="n">
        <v>44715</v>
      </c>
      <c r="K2296" t="n">
        <v>200</v>
      </c>
      <c r="L2296" t="n">
        <v>5674.35</v>
      </c>
    </row>
    <row r="2297">
      <c r="A2297" t="n">
        <v>10079</v>
      </c>
      <c r="B2297" s="16" t="n">
        <v>44704</v>
      </c>
      <c r="C2297" t="inlineStr">
        <is>
          <t>VTA</t>
        </is>
      </c>
      <c r="D2297" t="n">
        <v>32</v>
      </c>
      <c r="E2297">
        <f>IF(D3859&gt;0,VLOOKUP(OPERAC[[#This Row],[COD CART]],[1]!MatrizCortoLargoCyl[#All],3,0),"")</f>
        <v/>
      </c>
      <c r="F2297" t="inlineStr">
        <is>
          <t>HIMX/CYL/9,00/10-06-22</t>
        </is>
      </c>
      <c r="G2297" t="n">
        <v>100</v>
      </c>
      <c r="H2297" t="n">
        <v>-866.7</v>
      </c>
      <c r="I2297">
        <f>-H3859/G3859</f>
        <v/>
      </c>
      <c r="J2297" s="16" t="n">
        <v>44721</v>
      </c>
      <c r="K2297" t="n">
        <v>100</v>
      </c>
      <c r="L2297" t="n">
        <v>898.25</v>
      </c>
    </row>
    <row r="2298">
      <c r="A2298" t="n">
        <v>10079</v>
      </c>
      <c r="B2298" s="16" t="n">
        <v>44705</v>
      </c>
      <c r="C2298" t="inlineStr">
        <is>
          <t>CPR</t>
        </is>
      </c>
      <c r="D2298" t="n">
        <v>42</v>
      </c>
      <c r="E2298">
        <f>IF(D6205&gt;0,VLOOKUP(OPERAC[[#This Row],[COD CART]],[1]!MatrizCortoLargoCyl[#All],3,0),"")</f>
        <v/>
      </c>
      <c r="F2298" t="inlineStr">
        <is>
          <t>AMD</t>
        </is>
      </c>
      <c r="G2298" t="n">
        <v>60</v>
      </c>
      <c r="H2298" t="n">
        <v>-5550.2124</v>
      </c>
      <c r="I2298">
        <f>-H6205/G6205</f>
        <v/>
      </c>
      <c r="J2298" s="16" t="n">
        <v>44707</v>
      </c>
      <c r="K2298">
        <f>+OPERAC[[#This Row],[cantidad]]</f>
        <v/>
      </c>
      <c r="L2298">
        <f>+OPERAC[[#This Row],[cantidad venta]]*94.8</f>
        <v/>
      </c>
    </row>
    <row r="2299">
      <c r="A2299" t="n">
        <v>10079</v>
      </c>
      <c r="B2299" s="16" t="n">
        <v>44707</v>
      </c>
      <c r="C2299" t="inlineStr">
        <is>
          <t>CPR</t>
        </is>
      </c>
      <c r="D2299" t="n">
        <v>42</v>
      </c>
      <c r="E2299">
        <f>IF(D4479&gt;0,VLOOKUP(OPERAC[[#This Row],[COD CART]],[1]!MatrizCortoLargoCyl[#All],3,0),"")</f>
        <v/>
      </c>
      <c r="F2299" t="inlineStr">
        <is>
          <t>ET</t>
        </is>
      </c>
      <c r="G2299" t="n">
        <v>100</v>
      </c>
      <c r="H2299" t="n">
        <v>-1172.38125</v>
      </c>
      <c r="I2299">
        <f>-H4479/G4479</f>
        <v/>
      </c>
      <c r="J2299" s="16" t="n">
        <v>44712</v>
      </c>
      <c r="K2299" t="n">
        <v>100</v>
      </c>
      <c r="L2299" t="n">
        <v>1156.52</v>
      </c>
    </row>
    <row r="2300">
      <c r="A2300" t="n">
        <v>10079</v>
      </c>
      <c r="B2300" s="16" t="n">
        <v>44707</v>
      </c>
      <c r="C2300" t="inlineStr">
        <is>
          <t>CPR</t>
        </is>
      </c>
      <c r="D2300" t="n">
        <v>32</v>
      </c>
      <c r="E2300">
        <f>IF(D5760&gt;0,VLOOKUP(OPERAC[[#This Row],[COD CART]],[1]!MatrizCortoLargoCyl[#All],3,0),"")</f>
        <v/>
      </c>
      <c r="F2300" t="inlineStr">
        <is>
          <t>BIG/CYL/27,50/17-06-22</t>
        </is>
      </c>
      <c r="G2300" t="n">
        <v>100</v>
      </c>
      <c r="H2300" t="n">
        <v>-2636.628</v>
      </c>
      <c r="I2300">
        <f>-H5760/G5760</f>
        <v/>
      </c>
    </row>
    <row r="2301">
      <c r="A2301" t="n">
        <v>10079</v>
      </c>
      <c r="B2301" s="16" t="n">
        <v>44708</v>
      </c>
      <c r="C2301" t="inlineStr">
        <is>
          <t>VTA</t>
        </is>
      </c>
      <c r="D2301" t="n">
        <v>42</v>
      </c>
      <c r="E2301">
        <f>IF(D5398&gt;0,VLOOKUP(OPERAC[[#This Row],[COD CART]],[1]!MatrizCortoLargoCyl[#All],3,0),"")</f>
        <v/>
      </c>
      <c r="F2301" t="inlineStr">
        <is>
          <t>ACB</t>
        </is>
      </c>
      <c r="G2301" t="n">
        <v>1000</v>
      </c>
      <c r="H2301" t="n">
        <v>-1825.320788805</v>
      </c>
      <c r="I2301">
        <f>-H5398/G5398</f>
        <v/>
      </c>
    </row>
    <row r="2302">
      <c r="A2302" t="n">
        <v>10079</v>
      </c>
      <c r="B2302" s="16" t="n">
        <v>44712</v>
      </c>
      <c r="C2302" t="inlineStr">
        <is>
          <t>CPR</t>
        </is>
      </c>
      <c r="D2302" t="n">
        <v>32</v>
      </c>
      <c r="E2302">
        <f>IF(D5679&gt;0,VLOOKUP(OPERAC[[#This Row],[COD CART]],[1]!MatrizCortoLargoCyl[#All],3,0),"")</f>
        <v/>
      </c>
      <c r="F2302" t="inlineStr">
        <is>
          <t>AMC/CYL/13,00/10-06-22</t>
        </is>
      </c>
      <c r="G2302" t="n">
        <v>200</v>
      </c>
      <c r="H2302" t="n">
        <v>-2465.5</v>
      </c>
      <c r="I2302">
        <f>-H5679/G5679</f>
        <v/>
      </c>
      <c r="J2302" s="16" t="n">
        <v>44722</v>
      </c>
      <c r="K2302" t="n">
        <v>200</v>
      </c>
      <c r="L2302" t="n">
        <v>2468.57</v>
      </c>
    </row>
    <row r="2303">
      <c r="A2303" t="n">
        <v>10079</v>
      </c>
      <c r="B2303" s="16" t="n">
        <v>44712</v>
      </c>
      <c r="C2303" t="inlineStr">
        <is>
          <t>CPR</t>
        </is>
      </c>
      <c r="D2303" t="n">
        <v>42</v>
      </c>
      <c r="E2303">
        <f>IF(D5876&gt;0,VLOOKUP(OPERAC[[#This Row],[COD CART]],[1]!MatrizCortoLargoCyl[#All],3,0),"")</f>
        <v/>
      </c>
      <c r="F2303" t="inlineStr">
        <is>
          <t>KWEB</t>
        </is>
      </c>
      <c r="G2303" t="n">
        <v>100</v>
      </c>
      <c r="H2303" t="n">
        <v>-2959.725</v>
      </c>
      <c r="I2303">
        <f>-H5876/G5876</f>
        <v/>
      </c>
    </row>
    <row r="2304">
      <c r="A2304" t="n">
        <v>10079</v>
      </c>
      <c r="B2304" s="16" t="n">
        <v>44712</v>
      </c>
      <c r="C2304" t="inlineStr">
        <is>
          <t>CPR</t>
        </is>
      </c>
      <c r="D2304" t="n">
        <v>32</v>
      </c>
      <c r="E2304">
        <f>IF(D6293&gt;0,VLOOKUP(OPERAC[[#This Row],[COD CART]],[1]!MatrizCortoLargoCyl[#All],3,0),"")</f>
        <v/>
      </c>
      <c r="F2304" t="inlineStr">
        <is>
          <t>BABA/CYL/110,00/17-06-22</t>
        </is>
      </c>
      <c r="G2304" t="n">
        <v>100</v>
      </c>
      <c r="H2304" t="n">
        <v>-9818.709999999999</v>
      </c>
      <c r="I2304">
        <f>-H6293/G6293</f>
        <v/>
      </c>
    </row>
    <row r="2305">
      <c r="A2305" t="n">
        <v>10079</v>
      </c>
      <c r="B2305" s="16" t="n">
        <v>44712</v>
      </c>
      <c r="C2305" t="inlineStr">
        <is>
          <t>VTA</t>
        </is>
      </c>
      <c r="D2305" t="n">
        <v>39</v>
      </c>
      <c r="E2305">
        <f>IF(D1159&gt;0,VLOOKUP(OPERAC[[#This Row],[COD CART]],[1]!MatrizCortoLargoCyl[#All],3,0),"")</f>
        <v/>
      </c>
      <c r="F2305" t="inlineStr">
        <is>
          <t>MELI/V/350,00/20-01-23</t>
        </is>
      </c>
      <c r="G2305" t="n">
        <v>-1</v>
      </c>
      <c r="H2305" t="n">
        <v>15.36</v>
      </c>
      <c r="I2305">
        <f>-H1159/G1159</f>
        <v/>
      </c>
    </row>
    <row r="2306">
      <c r="A2306" t="n">
        <v>10079</v>
      </c>
      <c r="B2306" s="16" t="n">
        <v>44712</v>
      </c>
      <c r="C2306" t="inlineStr">
        <is>
          <t>VTA</t>
        </is>
      </c>
      <c r="D2306" t="n">
        <v>39</v>
      </c>
      <c r="E2306">
        <f>IF(D1566&gt;0,VLOOKUP(OPERAC[[#This Row],[COD CART]],[1]!MatrizCortoLargoCyl[#All],3,0),"")</f>
        <v/>
      </c>
      <c r="F2306" t="inlineStr">
        <is>
          <t>ET/C/10,00/21-10-22</t>
        </is>
      </c>
      <c r="G2306" t="n">
        <v>100</v>
      </c>
      <c r="H2306" t="n">
        <v>-202.808</v>
      </c>
      <c r="I2306">
        <f>-H1566/G1566</f>
        <v/>
      </c>
    </row>
    <row r="2307">
      <c r="A2307" t="n">
        <v>10079</v>
      </c>
      <c r="B2307" s="16" t="n">
        <v>44712</v>
      </c>
      <c r="C2307" t="inlineStr">
        <is>
          <t>VTA</t>
        </is>
      </c>
      <c r="D2307" t="n">
        <v>39</v>
      </c>
      <c r="E2307">
        <f>IF(D2326&gt;0,VLOOKUP(OPERAC[[#This Row],[COD CART]],[1]!MatrizCortoLargoCyl[#All],3,0),"")</f>
        <v/>
      </c>
      <c r="F2307" t="inlineStr">
        <is>
          <t>ET/C/10,00/21-10-22</t>
        </is>
      </c>
      <c r="G2307" t="n">
        <v>200</v>
      </c>
      <c r="H2307" t="n">
        <v>-405.616</v>
      </c>
      <c r="I2307">
        <f>-H2326/G2326</f>
        <v/>
      </c>
    </row>
    <row r="2308">
      <c r="A2308" t="n">
        <v>10079</v>
      </c>
      <c r="B2308" s="16" t="n">
        <v>44713</v>
      </c>
      <c r="C2308" t="inlineStr">
        <is>
          <t>CPR</t>
        </is>
      </c>
      <c r="D2308" t="n">
        <v>42</v>
      </c>
      <c r="E2308">
        <f>IF(D6148&gt;0,VLOOKUP(OPERAC[[#This Row],[COD CART]],[1]!MatrizCortoLargoCyl[#All],3,0),"")</f>
        <v/>
      </c>
      <c r="F2308" t="inlineStr">
        <is>
          <t>UPST</t>
        </is>
      </c>
      <c r="G2308" t="n">
        <v>100</v>
      </c>
      <c r="H2308" t="n">
        <v>-4814.682</v>
      </c>
      <c r="I2308">
        <f>-H6148/G6148</f>
        <v/>
      </c>
      <c r="J2308" s="16" t="n">
        <v>44714</v>
      </c>
      <c r="K2308">
        <f>+OPERAC[[#This Row],[cantidad]]</f>
        <v/>
      </c>
      <c r="L2308">
        <f>+OPERAC[[#This Row],[cantidad venta]]*49.312</f>
        <v/>
      </c>
    </row>
    <row r="2309">
      <c r="A2309" t="n">
        <v>10079</v>
      </c>
      <c r="B2309" s="16" t="n">
        <v>44715</v>
      </c>
      <c r="C2309" t="inlineStr">
        <is>
          <t>VTA</t>
        </is>
      </c>
      <c r="D2309" t="n">
        <v>32</v>
      </c>
      <c r="E2309">
        <f>IF(D5078&gt;0,VLOOKUP(OPERAC[[#This Row],[COD CART]],[1]!MatrizCortoLargoCyl[#All],3,0),"")</f>
        <v/>
      </c>
      <c r="F2309" t="inlineStr">
        <is>
          <t>AAL/CYL/16,50/17-06-22</t>
        </is>
      </c>
      <c r="G2309" t="n">
        <v>100</v>
      </c>
      <c r="H2309" t="n">
        <v>-1580.215</v>
      </c>
      <c r="I2309">
        <f>-H5078/G5078</f>
        <v/>
      </c>
    </row>
    <row r="2310">
      <c r="A2310" t="n">
        <v>10079</v>
      </c>
      <c r="B2310" s="16" t="n">
        <v>44718</v>
      </c>
      <c r="C2310" t="inlineStr">
        <is>
          <t>CPR</t>
        </is>
      </c>
      <c r="D2310" t="n">
        <v>42</v>
      </c>
      <c r="E2310">
        <f>IF(D5942&gt;0,VLOOKUP(OPERAC[[#This Row],[COD CART]],[1]!MatrizCortoLargoCyl[#All],3,0),"")</f>
        <v/>
      </c>
      <c r="F2310" t="inlineStr">
        <is>
          <t>KWEB</t>
        </is>
      </c>
      <c r="G2310" t="n">
        <v>100</v>
      </c>
      <c r="H2310" t="n">
        <v>-3108.3388</v>
      </c>
      <c r="I2310">
        <f>-H5942/G5942</f>
        <v/>
      </c>
    </row>
    <row r="2311">
      <c r="A2311" t="n">
        <v>10079</v>
      </c>
      <c r="B2311" s="16" t="n">
        <v>44718</v>
      </c>
      <c r="C2311" t="inlineStr">
        <is>
          <t>CPR</t>
        </is>
      </c>
      <c r="D2311" t="n">
        <v>42</v>
      </c>
      <c r="E2311">
        <f>IF(D6161&gt;0,VLOOKUP(OPERAC[[#This Row],[COD CART]],[1]!MatrizCortoLargoCyl[#All],3,0),"")</f>
        <v/>
      </c>
      <c r="F2311" t="inlineStr">
        <is>
          <t>UPST</t>
        </is>
      </c>
      <c r="G2311" t="n">
        <v>100</v>
      </c>
      <c r="H2311">
        <f>-4979.84+71.586</f>
        <v/>
      </c>
      <c r="I2311">
        <f>-H6161/G6161</f>
        <v/>
      </c>
    </row>
    <row r="2312">
      <c r="A2312" t="n">
        <v>10079</v>
      </c>
      <c r="B2312" s="16" t="n">
        <v>44720</v>
      </c>
      <c r="C2312" t="inlineStr">
        <is>
          <t>CPR</t>
        </is>
      </c>
      <c r="D2312" t="n">
        <v>42</v>
      </c>
      <c r="E2312">
        <f>IF(D4689&gt;0,VLOOKUP(OPERAC[[#This Row],[COD CART]],[1]!MatrizCortoLargoCyl[#All],3,0),"")</f>
        <v/>
      </c>
      <c r="F2312" t="inlineStr">
        <is>
          <t>EDIT</t>
        </is>
      </c>
      <c r="G2312" t="n">
        <v>100</v>
      </c>
      <c r="H2312" t="n">
        <v>-1316.0925</v>
      </c>
      <c r="I2312">
        <f>-H4689/G4689</f>
        <v/>
      </c>
    </row>
    <row r="2313">
      <c r="A2313" t="n">
        <v>10079</v>
      </c>
      <c r="B2313" s="16" t="n">
        <v>44720</v>
      </c>
      <c r="C2313" t="inlineStr">
        <is>
          <t>CPR</t>
        </is>
      </c>
      <c r="D2313" t="n">
        <v>42</v>
      </c>
      <c r="E2313">
        <f>IF(D6226&gt;0,VLOOKUP(OPERAC[[#This Row],[COD CART]],[1]!MatrizCortoLargoCyl[#All],3,0),"")</f>
        <v/>
      </c>
      <c r="F2313" t="inlineStr">
        <is>
          <t>HYDR</t>
        </is>
      </c>
      <c r="G2313" t="n">
        <v>400</v>
      </c>
      <c r="H2313" t="n">
        <v>-6051</v>
      </c>
      <c r="I2313">
        <f>-H6226/G6226</f>
        <v/>
      </c>
    </row>
    <row r="2314">
      <c r="A2314" t="n">
        <v>10079</v>
      </c>
      <c r="B2314" s="16" t="n">
        <v>44722</v>
      </c>
      <c r="C2314" t="inlineStr">
        <is>
          <t>VTA</t>
        </is>
      </c>
      <c r="D2314" t="n">
        <v>32</v>
      </c>
      <c r="E2314">
        <f>IF(D5515&gt;0,VLOOKUP(OPERAC[[#This Row],[COD CART]],[1]!MatrizCortoLargoCyl[#All],3,0),"")</f>
        <v/>
      </c>
      <c r="F2314" t="inlineStr">
        <is>
          <t>CCL/CYL/10,50/24-06-22</t>
        </is>
      </c>
      <c r="G2314" t="n">
        <v>200</v>
      </c>
      <c r="H2314" t="n">
        <v>-2010.66</v>
      </c>
      <c r="I2314">
        <f>-H5515/G5515</f>
        <v/>
      </c>
    </row>
    <row r="2315">
      <c r="A2315" t="n">
        <v>10079</v>
      </c>
      <c r="B2315" s="16" t="n">
        <v>44725</v>
      </c>
      <c r="C2315" t="inlineStr">
        <is>
          <t>VTA</t>
        </is>
      </c>
      <c r="D2315" t="n">
        <v>40</v>
      </c>
      <c r="E2315">
        <f>IF(D3117&gt;0,VLOOKUP(OPERAC[[#This Row],[COD CART]],[1]!MatrizCortoLargoCyl[#All],3,0),"")</f>
        <v/>
      </c>
      <c r="F2315" t="inlineStr">
        <is>
          <t>MELI</t>
        </is>
      </c>
      <c r="G2315" t="n">
        <v>1</v>
      </c>
      <c r="H2315" t="n">
        <v>-628.39635</v>
      </c>
      <c r="I2315">
        <f>-H3117/G3117</f>
        <v/>
      </c>
    </row>
    <row r="2316">
      <c r="A2316" t="n">
        <v>10079</v>
      </c>
      <c r="B2316" s="16" t="n">
        <v>44725</v>
      </c>
      <c r="C2316" t="inlineStr">
        <is>
          <t>VTA</t>
        </is>
      </c>
      <c r="D2316" t="n">
        <v>40</v>
      </c>
      <c r="E2316">
        <f>IF(D5333&gt;0,VLOOKUP(OPERAC[[#This Row],[COD CART]],[1]!MatrizCortoLargoCyl[#All],3,0),"")</f>
        <v/>
      </c>
      <c r="F2316" t="inlineStr">
        <is>
          <t>AMD</t>
        </is>
      </c>
      <c r="G2316" t="n">
        <v>20</v>
      </c>
      <c r="H2316" t="n">
        <v>-1753.88235</v>
      </c>
      <c r="I2316">
        <f>-H5333/G5333</f>
        <v/>
      </c>
    </row>
    <row r="2317">
      <c r="A2317" t="n">
        <v>11164</v>
      </c>
      <c r="B2317" s="16" t="n">
        <v>44538</v>
      </c>
      <c r="C2317" t="inlineStr">
        <is>
          <t>VTA</t>
        </is>
      </c>
      <c r="D2317" t="n">
        <v>43</v>
      </c>
      <c r="E2317">
        <f>IF(D1268&gt;0,VLOOKUP(OPERAC[[#This Row],[COD CART]],[1]!MatrizCortoLargoCyl[#All],3,0),"")</f>
        <v/>
      </c>
      <c r="F2317" t="inlineStr">
        <is>
          <t>HEXO/CYL-PUT/1,00/20-01-23</t>
        </is>
      </c>
      <c r="G2317" t="n">
        <v>200</v>
      </c>
      <c r="H2317">
        <f>-0.1886*OPERAC[[#This Row],[cantidad]]</f>
        <v/>
      </c>
      <c r="I2317">
        <f>-H1268/G1268</f>
        <v/>
      </c>
    </row>
    <row r="2318">
      <c r="A2318" t="n">
        <v>11164</v>
      </c>
      <c r="B2318" s="16" t="n">
        <v>44539</v>
      </c>
      <c r="C2318" t="inlineStr">
        <is>
          <t>CPR</t>
        </is>
      </c>
      <c r="D2318" t="n">
        <v>40</v>
      </c>
      <c r="E2318">
        <f>IF(D2791&gt;0,VLOOKUP(OPERAC[[#This Row],[COD CART]],[1]!MatrizCortoLargoCyl[#All],3,0),"")</f>
        <v/>
      </c>
      <c r="F2318" t="inlineStr">
        <is>
          <t>ROKU</t>
        </is>
      </c>
      <c r="G2318" t="n">
        <v>2</v>
      </c>
      <c r="H2318" t="n">
        <v>-515.4407199999999</v>
      </c>
      <c r="I2318">
        <f>-H2791/G2791</f>
        <v/>
      </c>
      <c r="J2318" s="16" t="n">
        <v>44606</v>
      </c>
      <c r="K2318">
        <f>+OPERAC[[#This Row],[cantidad]]</f>
        <v/>
      </c>
      <c r="L2318">
        <f>+OPERAC[[#This Row],[cantidad venta]]*160.574</f>
        <v/>
      </c>
    </row>
    <row r="2319">
      <c r="A2319" t="n">
        <v>11164</v>
      </c>
      <c r="B2319" s="16" t="n">
        <v>44581</v>
      </c>
      <c r="C2319" t="inlineStr">
        <is>
          <t>VTA</t>
        </is>
      </c>
      <c r="D2319" t="n">
        <v>32</v>
      </c>
      <c r="E2319">
        <f>IF(D2272&gt;0,VLOOKUP(OPERAC[[#This Row],[COD CART]],[1]!MatrizCortoLargoCyl[#All],3,0),"")</f>
        <v/>
      </c>
      <c r="F2319" t="inlineStr">
        <is>
          <t>HMY/CYL/4,00/18-02-22</t>
        </is>
      </c>
      <c r="G2319" t="n">
        <v>100</v>
      </c>
      <c r="H2319" t="n">
        <v>-387.467996</v>
      </c>
      <c r="I2319">
        <f>-H2272/G2272</f>
        <v/>
      </c>
      <c r="J2319" s="16" t="n">
        <v>44610</v>
      </c>
      <c r="K2319">
        <f>+OPERAC[[#This Row],[cantidad]]</f>
        <v/>
      </c>
      <c r="L2319">
        <f>+OPERAC[[#This Row],[cantidad venta]]*3.8323</f>
        <v/>
      </c>
    </row>
    <row r="2320">
      <c r="A2320" t="n">
        <v>11164</v>
      </c>
      <c r="B2320" s="16" t="n">
        <v>44622</v>
      </c>
      <c r="C2320" t="inlineStr">
        <is>
          <t>CPR</t>
        </is>
      </c>
      <c r="D2320" t="n">
        <v>32</v>
      </c>
      <c r="E2320">
        <f>IF(D2578&gt;0,VLOOKUP(OPERAC[[#This Row],[COD CART]],[1]!MatrizCortoLargoCyl[#All],3,0),"")</f>
        <v/>
      </c>
      <c r="F2320" t="inlineStr">
        <is>
          <t>HMY/CYL/5,00/18-03-22</t>
        </is>
      </c>
      <c r="G2320" t="n">
        <v>100</v>
      </c>
      <c r="H2320" t="n">
        <v>-468.532</v>
      </c>
      <c r="I2320">
        <f>-H2578/G2578</f>
        <v/>
      </c>
      <c r="J2320" s="16" t="n">
        <v>44637</v>
      </c>
      <c r="K2320">
        <f>+OPERAC[[#This Row],[cantidad]]</f>
        <v/>
      </c>
      <c r="L2320">
        <f>4.85553*OPERAC[[#This Row],[cantidad venta]]</f>
        <v/>
      </c>
    </row>
    <row r="2321">
      <c r="A2321" t="n">
        <v>11164</v>
      </c>
      <c r="B2321" s="16" t="n">
        <v>44641</v>
      </c>
      <c r="C2321" t="inlineStr">
        <is>
          <t>CPR</t>
        </is>
      </c>
      <c r="D2321" t="n">
        <v>42</v>
      </c>
      <c r="E2321">
        <f>IF(D1880&gt;0,VLOOKUP(OPERAC[[#This Row],[COD CART]],[1]!MatrizCortoLargoCyl[#All],3,0),"")</f>
        <v/>
      </c>
      <c r="F2321" t="inlineStr">
        <is>
          <t>JPM</t>
        </is>
      </c>
      <c r="G2321" t="n">
        <v>2</v>
      </c>
      <c r="H2321" t="n">
        <v>-280.9086800000001</v>
      </c>
      <c r="I2321">
        <f>-H1880/G1880</f>
        <v/>
      </c>
      <c r="J2321" s="16" t="n">
        <v>44664</v>
      </c>
      <c r="K2321">
        <f>+OPERAC[[#This Row],[cantidad]]</f>
        <v/>
      </c>
      <c r="L2321">
        <f>+OPERAC[[#This Row],[cantidad venta]]*125.943</f>
        <v/>
      </c>
    </row>
    <row r="2322">
      <c r="A2322" t="n">
        <v>11164</v>
      </c>
      <c r="B2322" s="16" t="n">
        <v>44641</v>
      </c>
      <c r="C2322" t="inlineStr">
        <is>
          <t>VTA</t>
        </is>
      </c>
      <c r="D2322" t="n">
        <v>42</v>
      </c>
      <c r="E2322">
        <f>IF(D2412&gt;0,VLOOKUP(OPERAC[[#This Row],[COD CART]],[1]!MatrizCortoLargoCyl[#All],3,0),"")</f>
        <v/>
      </c>
      <c r="F2322" t="inlineStr">
        <is>
          <t>FB</t>
        </is>
      </c>
      <c r="G2322" t="n">
        <v>2</v>
      </c>
      <c r="H2322" t="n">
        <v>-424.31276</v>
      </c>
      <c r="I2322">
        <f>-H2412/G2412</f>
        <v/>
      </c>
      <c r="J2322" s="16" t="n">
        <v>44671</v>
      </c>
      <c r="K2322">
        <f>+OPERAC[[#This Row],[cantidad]]</f>
        <v/>
      </c>
      <c r="L2322">
        <f>+OPERAC[[#This Row],[cantidad venta]]*213.173</f>
        <v/>
      </c>
    </row>
    <row r="2323">
      <c r="A2323" t="n">
        <v>11164</v>
      </c>
      <c r="B2323" s="16" t="n">
        <v>44662</v>
      </c>
      <c r="C2323" t="inlineStr">
        <is>
          <t>VTA</t>
        </is>
      </c>
      <c r="D2323" t="n">
        <v>42</v>
      </c>
      <c r="E2323">
        <f>IF(D1301&gt;0,VLOOKUP(OPERAC[[#This Row],[COD CART]],[1]!MatrizCortoLargoCyl[#All],3,0),"")</f>
        <v/>
      </c>
      <c r="F2323" t="inlineStr">
        <is>
          <t>HYDR</t>
        </is>
      </c>
      <c r="G2323" t="n">
        <v>5</v>
      </c>
      <c r="H2323" t="n">
        <v>-92.85172000000001</v>
      </c>
      <c r="I2323">
        <f>-H1301/G1301</f>
        <v/>
      </c>
      <c r="J2323" s="16" t="n">
        <v>44691</v>
      </c>
      <c r="K2323" t="n">
        <v>5</v>
      </c>
      <c r="L2323" t="n">
        <v>62.911</v>
      </c>
    </row>
    <row r="2324">
      <c r="A2324" t="n">
        <v>11164</v>
      </c>
      <c r="B2324" s="16" t="n">
        <v>44664</v>
      </c>
      <c r="C2324" t="inlineStr">
        <is>
          <t>VTA</t>
        </is>
      </c>
      <c r="D2324" t="n">
        <v>42</v>
      </c>
      <c r="E2324">
        <f>IF(D1280&gt;0,VLOOKUP(OPERAC[[#This Row],[COD CART]],[1]!MatrizCortoLargoCyl[#All],3,0),"")</f>
        <v/>
      </c>
      <c r="F2324" t="inlineStr">
        <is>
          <t>PSQ</t>
        </is>
      </c>
      <c r="G2324" t="n">
        <v>5</v>
      </c>
      <c r="H2324" t="n">
        <v>-62.162860905</v>
      </c>
      <c r="I2324">
        <f>-H1280/G1280</f>
        <v/>
      </c>
      <c r="J2324" s="16" t="n">
        <v>44680</v>
      </c>
      <c r="K2324">
        <f>+OPERAC[[#This Row],[cantidad]]</f>
        <v/>
      </c>
      <c r="L2324">
        <f>12.848*OPERAC[[#This Row],[cantidad venta]]</f>
        <v/>
      </c>
    </row>
    <row r="2325">
      <c r="A2325" t="n">
        <v>11164</v>
      </c>
      <c r="B2325" s="16" t="n">
        <v>44671</v>
      </c>
      <c r="C2325" t="inlineStr">
        <is>
          <t>CPR</t>
        </is>
      </c>
      <c r="D2325" t="n">
        <v>42</v>
      </c>
      <c r="E2325">
        <f>IF(D2761&gt;0,VLOOKUP(OPERAC[[#This Row],[COD CART]],[1]!MatrizCortoLargoCyl[#All],3,0),"")</f>
        <v/>
      </c>
      <c r="F2325" t="inlineStr">
        <is>
          <t>NFLX</t>
        </is>
      </c>
      <c r="G2325" t="n">
        <v>2</v>
      </c>
      <c r="H2325" t="n">
        <v>-509.01012</v>
      </c>
      <c r="I2325">
        <f>-H2761/G2761</f>
        <v/>
      </c>
      <c r="J2325" s="16" t="n">
        <v>44691</v>
      </c>
      <c r="K2325" t="n">
        <v>2</v>
      </c>
      <c r="L2325" t="n">
        <v>348.79</v>
      </c>
    </row>
    <row r="2326">
      <c r="A2326" t="n">
        <v>11164</v>
      </c>
      <c r="B2326" s="16" t="n">
        <v>44680</v>
      </c>
      <c r="C2326" t="inlineStr">
        <is>
          <t>VTA</t>
        </is>
      </c>
      <c r="D2326" t="n">
        <v>42</v>
      </c>
      <c r="E2326">
        <f>IF(D1285&gt;0,VLOOKUP(OPERAC[[#This Row],[COD CART]],[1]!MatrizCortoLargoCyl[#All],3,0),"")</f>
        <v/>
      </c>
      <c r="F2326" t="inlineStr">
        <is>
          <t>XLP</t>
        </is>
      </c>
      <c r="G2326" t="n">
        <v>1</v>
      </c>
      <c r="H2326" t="n">
        <v>-79.43450249999999</v>
      </c>
      <c r="I2326">
        <f>-H1285/G1285</f>
        <v/>
      </c>
      <c r="J2326" s="16" t="n">
        <v>44691</v>
      </c>
      <c r="K2326" t="n">
        <v>1</v>
      </c>
      <c r="L2326" t="n">
        <v>75.55200000000001</v>
      </c>
    </row>
    <row r="2327">
      <c r="A2327" t="n">
        <v>11164</v>
      </c>
      <c r="B2327" s="16" t="n">
        <v>44691</v>
      </c>
      <c r="C2327" t="inlineStr">
        <is>
          <t>CPR</t>
        </is>
      </c>
      <c r="D2327" t="n">
        <v>40</v>
      </c>
      <c r="E2327">
        <f>IF(D3625&gt;0,VLOOKUP(OPERAC[[#This Row],[COD CART]],[1]!MatrizCortoLargoCyl[#All],3,0),"")</f>
        <v/>
      </c>
      <c r="F2327" t="inlineStr">
        <is>
          <t>MELI</t>
        </is>
      </c>
      <c r="G2327" t="n">
        <v>1</v>
      </c>
      <c r="H2327" t="n">
        <v>-800.83</v>
      </c>
      <c r="I2327">
        <f>-H3625/G3625</f>
        <v/>
      </c>
    </row>
    <row r="2328">
      <c r="A2328" t="n">
        <v>11168</v>
      </c>
      <c r="B2328" s="16" t="n">
        <v>44411</v>
      </c>
      <c r="C2328" t="inlineStr">
        <is>
          <t>VTA</t>
        </is>
      </c>
      <c r="D2328" t="n">
        <v>32</v>
      </c>
      <c r="E2328">
        <f>IF(D3208&gt;0,VLOOKUP(OPERAC[[#This Row],[COD CART]],[1]!MatrizCortoLargoCyl[#All],3,0),"")</f>
        <v/>
      </c>
      <c r="F2328" t="inlineStr">
        <is>
          <t>INO/CYL/8,00/21-01-22</t>
        </is>
      </c>
      <c r="G2328" t="n">
        <v>100</v>
      </c>
      <c r="H2328">
        <f>172.84-873.63+30.172+14.579</f>
        <v/>
      </c>
      <c r="I2328">
        <f>-H3208/G3208</f>
        <v/>
      </c>
      <c r="J2328" s="16" t="n">
        <v>44581</v>
      </c>
      <c r="K2328" t="n">
        <v>100</v>
      </c>
      <c r="L2328" t="n">
        <v>412.156</v>
      </c>
    </row>
    <row r="2329">
      <c r="A2329" t="n">
        <v>11168</v>
      </c>
      <c r="B2329" s="16" t="n">
        <v>44466</v>
      </c>
      <c r="C2329" t="inlineStr">
        <is>
          <t>VTA</t>
        </is>
      </c>
      <c r="D2329" t="n">
        <v>43</v>
      </c>
      <c r="E2329">
        <f>IF(D1585&gt;0,VLOOKUP(OPERAC[[#This Row],[COD CART]],[1]!MatrizCortoLargoCyl[#All],3,0),"")</f>
        <v/>
      </c>
      <c r="F2329" t="inlineStr">
        <is>
          <t>SOLO/CYL-PUT/4,00/16-09-22</t>
        </is>
      </c>
      <c r="G2329" t="n">
        <v>100</v>
      </c>
      <c r="H2329">
        <f>-297.41727+0.32*OPERAC[[#This Row],[cantidad]]+0.387*OPERAC[[#This Row],[cantidad]]+0.22*OPERAC[[#This Row],[cantidad]]</f>
        <v/>
      </c>
      <c r="I2329">
        <f>-H1585/G1585</f>
        <v/>
      </c>
      <c r="J2329" s="16" t="n">
        <v>44712</v>
      </c>
      <c r="K2329" t="n">
        <v>100</v>
      </c>
      <c r="L2329" t="n">
        <v>-87.3</v>
      </c>
    </row>
    <row r="2330">
      <c r="A2330" t="n">
        <v>11168</v>
      </c>
      <c r="B2330" s="16" t="n">
        <v>44511</v>
      </c>
      <c r="C2330" t="inlineStr">
        <is>
          <t>VTA</t>
        </is>
      </c>
      <c r="D2330" t="n">
        <v>31</v>
      </c>
      <c r="E2330">
        <f>IF(D1348&gt;0,VLOOKUP(OPERAC[[#This Row],[COD CART]],[1]!MatrizCortoLargoCyl[#All],3,0),"")</f>
        <v/>
      </c>
      <c r="F2330" t="inlineStr">
        <is>
          <t>IPIX</t>
        </is>
      </c>
      <c r="G2330" t="n">
        <v>1000</v>
      </c>
      <c r="H2330" t="n">
        <v>-109.99</v>
      </c>
      <c r="I2330">
        <f>-H1348/G1348</f>
        <v/>
      </c>
    </row>
    <row r="2331">
      <c r="A2331" t="n">
        <v>11168</v>
      </c>
      <c r="B2331" s="16" t="n">
        <v>44532</v>
      </c>
      <c r="C2331" t="inlineStr">
        <is>
          <t>VTA</t>
        </is>
      </c>
      <c r="D2331" t="n">
        <v>32</v>
      </c>
      <c r="E2331">
        <f>IF(D3928&gt;0,VLOOKUP(OPERAC[[#This Row],[COD CART]],[1]!MatrizCortoLargoCyl[#All],3,0),"")</f>
        <v/>
      </c>
      <c r="F2331" t="inlineStr">
        <is>
          <t>COTY/CYL/10,00/18-02-22</t>
        </is>
      </c>
      <c r="G2331" t="n">
        <v>100</v>
      </c>
      <c r="H2331">
        <f>-901.599+20.838</f>
        <v/>
      </c>
      <c r="I2331">
        <f>-H3928/G3928</f>
        <v/>
      </c>
      <c r="J2331" s="16" t="n">
        <v>44608</v>
      </c>
      <c r="K2331">
        <f>+OPERAC[[#This Row],[cantidad]]</f>
        <v/>
      </c>
      <c r="L2331" t="n">
        <v>941.701</v>
      </c>
    </row>
    <row r="2332">
      <c r="A2332" t="n">
        <v>11168</v>
      </c>
      <c r="B2332" s="16" t="n">
        <v>44536</v>
      </c>
      <c r="C2332" t="inlineStr">
        <is>
          <t>CPR</t>
        </is>
      </c>
      <c r="D2332" t="n">
        <v>43</v>
      </c>
      <c r="E2332">
        <f>IF(D2680&gt;0,VLOOKUP(OPERAC[[#This Row],[COD CART]],[1]!MatrizCortoLargoCyl[#All],3,0),"")</f>
        <v/>
      </c>
      <c r="F2332" t="inlineStr">
        <is>
          <t>XSPA/CYL-PUT/1,50/20-01-23</t>
        </is>
      </c>
      <c r="G2332" t="n">
        <v>1100</v>
      </c>
      <c r="H2332">
        <f>-0.4462*OPERAC[[#This Row],[cantidad]]</f>
        <v/>
      </c>
      <c r="I2332">
        <f>-H2680/G2680</f>
        <v/>
      </c>
      <c r="J2332" s="16" t="n">
        <v>44712</v>
      </c>
      <c r="K2332" t="n">
        <v>1100</v>
      </c>
      <c r="L2332" t="n">
        <v>655.075</v>
      </c>
    </row>
    <row r="2333">
      <c r="A2333" t="n">
        <v>11168</v>
      </c>
      <c r="B2333" s="16" t="n">
        <v>44539</v>
      </c>
      <c r="C2333" t="inlineStr">
        <is>
          <t>CPR</t>
        </is>
      </c>
      <c r="D2333" t="n">
        <v>40</v>
      </c>
      <c r="E2333">
        <f>IF(D2792&gt;0,VLOOKUP(OPERAC[[#This Row],[COD CART]],[1]!MatrizCortoLargoCyl[#All],3,0),"")</f>
        <v/>
      </c>
      <c r="F2333" t="inlineStr">
        <is>
          <t>ROKU</t>
        </is>
      </c>
      <c r="G2333" t="n">
        <v>2</v>
      </c>
      <c r="H2333" t="n">
        <v>-515.4407199999999</v>
      </c>
      <c r="I2333">
        <f>-H2792/G2792</f>
        <v/>
      </c>
      <c r="J2333" s="16" t="n">
        <v>44606</v>
      </c>
      <c r="K2333">
        <f>+OPERAC[[#This Row],[cantidad]]</f>
        <v/>
      </c>
      <c r="L2333">
        <f>+OPERAC[[#This Row],[cantidad venta]]*160.574</f>
        <v/>
      </c>
    </row>
    <row r="2334">
      <c r="A2334" t="n">
        <v>11168</v>
      </c>
      <c r="B2334" s="16" t="n">
        <v>44543</v>
      </c>
      <c r="C2334" t="inlineStr">
        <is>
          <t>VTA</t>
        </is>
      </c>
      <c r="D2334" t="n">
        <v>40</v>
      </c>
      <c r="E2334">
        <f>IF(D2108&gt;0,VLOOKUP(OPERAC[[#This Row],[COD CART]],[1]!MatrizCortoLargoCyl[#All],3,0),"")</f>
        <v/>
      </c>
      <c r="F2334" t="inlineStr">
        <is>
          <t>VIST</t>
        </is>
      </c>
      <c r="G2334" t="n">
        <v>60</v>
      </c>
      <c r="H2334" t="n">
        <v>-335.964</v>
      </c>
      <c r="I2334">
        <f>-H2108/G2108</f>
        <v/>
      </c>
      <c r="J2334" s="16" t="n">
        <v>44574</v>
      </c>
      <c r="K2334">
        <f>+OPERAC[[#This Row],[cantidad]]</f>
        <v/>
      </c>
      <c r="L2334">
        <f>+OPERAC[[#This Row],[cantidad venta]]*6.125</f>
        <v/>
      </c>
    </row>
    <row r="2335">
      <c r="A2335" t="n">
        <v>11168</v>
      </c>
      <c r="B2335" s="16" t="n">
        <v>44552</v>
      </c>
      <c r="C2335" t="inlineStr">
        <is>
          <t>VTA</t>
        </is>
      </c>
      <c r="D2335" t="n">
        <v>32</v>
      </c>
      <c r="E2335">
        <f>IF(D5377&gt;0,VLOOKUP(OPERAC[[#This Row],[COD CART]],[1]!MatrizCortoLargoCyl[#All],3,0),"")</f>
        <v/>
      </c>
      <c r="F2335" t="inlineStr">
        <is>
          <t>GOLD/CYL/19,00/21-01-22</t>
        </is>
      </c>
      <c r="G2335" t="n">
        <v>100</v>
      </c>
      <c r="H2335">
        <f>-18.08*OPERAC[[#This Row],[cantidad]]</f>
        <v/>
      </c>
      <c r="I2335">
        <f>-H5377/G5377</f>
        <v/>
      </c>
      <c r="J2335" s="16" t="n">
        <v>44580</v>
      </c>
      <c r="K2335" t="n">
        <v>100</v>
      </c>
      <c r="L2335" t="n">
        <v>1876.846</v>
      </c>
    </row>
    <row r="2336">
      <c r="A2336" t="n">
        <v>11168</v>
      </c>
      <c r="B2336" s="16" t="n">
        <v>44553</v>
      </c>
      <c r="C2336" t="inlineStr">
        <is>
          <t>VTA</t>
        </is>
      </c>
      <c r="D2336" t="n">
        <v>40</v>
      </c>
      <c r="E2336">
        <f>IF(D1805&gt;0,VLOOKUP(OPERAC[[#This Row],[COD CART]],[1]!MatrizCortoLargoCyl[#All],3,0),"")</f>
        <v/>
      </c>
      <c r="F2336" t="inlineStr">
        <is>
          <t>ON</t>
        </is>
      </c>
      <c r="G2336" t="n">
        <v>4</v>
      </c>
      <c r="H2336" t="n">
        <v>-268.4544319999999</v>
      </c>
      <c r="I2336">
        <f>-H1805/G1805</f>
        <v/>
      </c>
      <c r="J2336" s="16" t="n">
        <v>44606</v>
      </c>
      <c r="K2336">
        <f>+OPERAC[[#This Row],[cantidad]]</f>
        <v/>
      </c>
      <c r="L2336">
        <f>+OPERAC[[#This Row],[cantidad venta]]*58.449</f>
        <v/>
      </c>
    </row>
    <row r="2337">
      <c r="A2337" t="n">
        <v>11168</v>
      </c>
      <c r="B2337" s="16" t="n">
        <v>44571</v>
      </c>
      <c r="C2337" t="inlineStr">
        <is>
          <t>VTA</t>
        </is>
      </c>
      <c r="D2337" t="n">
        <v>39</v>
      </c>
      <c r="E2337">
        <f>IF(D672&gt;0,VLOOKUP(OPERAC[[#This Row],[COD CART]],[1]!MatrizCortoLargoCyl[#All],3,0),"")</f>
        <v/>
      </c>
      <c r="F2337" t="inlineStr">
        <is>
          <t>MELI/V/850,00/14-01-22</t>
        </is>
      </c>
      <c r="G2337" t="n">
        <v>-100</v>
      </c>
      <c r="H2337" t="n">
        <v>446.4</v>
      </c>
      <c r="I2337">
        <f>-H672/G672</f>
        <v/>
      </c>
      <c r="J2337" s="16" t="n">
        <v>44575</v>
      </c>
      <c r="K2337" t="n">
        <v>-100</v>
      </c>
      <c r="L2337" t="n">
        <v>0</v>
      </c>
    </row>
    <row r="2338">
      <c r="A2338" t="n">
        <v>11168</v>
      </c>
      <c r="B2338" s="16" t="n">
        <v>44581</v>
      </c>
      <c r="C2338" t="inlineStr">
        <is>
          <t>CPR</t>
        </is>
      </c>
      <c r="D2338" t="n">
        <v>32</v>
      </c>
      <c r="E2338">
        <f>IF(D3573&gt;0,VLOOKUP(OPERAC[[#This Row],[COD CART]],[1]!MatrizCortoLargoCyl[#All],3,0),"")</f>
        <v/>
      </c>
      <c r="F2338" t="inlineStr">
        <is>
          <t>HMY/CYL/4,00/18-02-22</t>
        </is>
      </c>
      <c r="G2338" t="n">
        <v>200</v>
      </c>
      <c r="H2338" t="n">
        <v>-774.9359920000001</v>
      </c>
      <c r="I2338">
        <f>-H3573/G3573</f>
        <v/>
      </c>
      <c r="J2338" s="16" t="n">
        <v>44610</v>
      </c>
      <c r="K2338">
        <f>+OPERAC[[#This Row],[cantidad]]</f>
        <v/>
      </c>
      <c r="L2338">
        <f>+OPERAC[[#This Row],[cantidad venta]]*3.8323</f>
        <v/>
      </c>
    </row>
    <row r="2339">
      <c r="A2339" t="n">
        <v>11168</v>
      </c>
      <c r="B2339" s="16" t="n">
        <v>44581</v>
      </c>
      <c r="C2339" t="inlineStr">
        <is>
          <t>VTA</t>
        </is>
      </c>
      <c r="D2339" t="n">
        <v>39</v>
      </c>
      <c r="E2339">
        <f>IF(D738&gt;0,VLOOKUP(OPERAC[[#This Row],[COD CART]],[1]!MatrizCortoLargoCyl[#All],3,0),"")</f>
        <v/>
      </c>
      <c r="F2339" t="inlineStr">
        <is>
          <t>SMH/V/260,00/28-01-22</t>
        </is>
      </c>
      <c r="G2339" t="n">
        <v>-400</v>
      </c>
      <c r="H2339" t="n">
        <v>383.8</v>
      </c>
      <c r="I2339">
        <f>-H738/G738</f>
        <v/>
      </c>
      <c r="J2339" s="16" t="n">
        <v>44588</v>
      </c>
      <c r="K2339">
        <f>+OPERAC[[#This Row],[cantidad]]</f>
        <v/>
      </c>
      <c r="L2339">
        <f>-OPERAC[[#This Row],[importe]]</f>
        <v/>
      </c>
    </row>
    <row r="2340">
      <c r="A2340" t="n">
        <v>11168</v>
      </c>
      <c r="B2340" s="16" t="n">
        <v>44582</v>
      </c>
      <c r="C2340" t="inlineStr">
        <is>
          <t>CPR</t>
        </is>
      </c>
      <c r="D2340" t="n">
        <v>40</v>
      </c>
      <c r="E2340">
        <f>IF(D3609&gt;0,VLOOKUP(OPERAC[[#This Row],[COD CART]],[1]!MatrizCortoLargoCyl[#All],3,0),"")</f>
        <v/>
      </c>
      <c r="F2340" t="inlineStr">
        <is>
          <t>NFLX</t>
        </is>
      </c>
      <c r="G2340" t="n">
        <v>2</v>
      </c>
      <c r="H2340" t="n">
        <v>-781.2742000000001</v>
      </c>
      <c r="I2340">
        <f>-H3609/G3609</f>
        <v/>
      </c>
      <c r="J2340" s="16" t="n">
        <v>44593</v>
      </c>
      <c r="K2340">
        <f>+OPERAC[[#This Row],[cantidad]]</f>
        <v/>
      </c>
      <c r="L2340">
        <f>+OPERAC[[#This Row],[cantidad venta]]*448.602</f>
        <v/>
      </c>
    </row>
    <row r="2341">
      <c r="A2341" t="n">
        <v>11168</v>
      </c>
      <c r="B2341" s="16" t="n">
        <v>44586</v>
      </c>
      <c r="C2341" t="inlineStr">
        <is>
          <t>VTA</t>
        </is>
      </c>
      <c r="D2341" t="n">
        <v>43</v>
      </c>
      <c r="E2341">
        <f>IF(D1976&gt;0,VLOOKUP(OPERAC[[#This Row],[COD CART]],[1]!MatrizCortoLargoCyl[#All],3,0),"")</f>
        <v/>
      </c>
      <c r="F2341" t="inlineStr">
        <is>
          <t>GMBL/CYL-PUT/2,50/20-01-23</t>
        </is>
      </c>
      <c r="G2341" t="n">
        <v>300</v>
      </c>
      <c r="H2341" t="n">
        <v>-304.8143</v>
      </c>
      <c r="I2341">
        <f>-H1976/G1976</f>
        <v/>
      </c>
      <c r="J2341" s="16" t="n">
        <v>44708</v>
      </c>
      <c r="K2341" t="n">
        <v>300</v>
      </c>
      <c r="L2341" t="n">
        <v>-570.38</v>
      </c>
    </row>
    <row r="2342">
      <c r="A2342" t="n">
        <v>11168</v>
      </c>
      <c r="B2342" s="16" t="n">
        <v>44587</v>
      </c>
      <c r="C2342" t="inlineStr">
        <is>
          <t>CPR</t>
        </is>
      </c>
      <c r="D2342" t="n">
        <v>40</v>
      </c>
      <c r="E2342">
        <f>IF(D2683&gt;0,VLOOKUP(OPERAC[[#This Row],[COD CART]],[1]!MatrizCortoLargoCyl[#All],3,0),"")</f>
        <v/>
      </c>
      <c r="F2342" t="inlineStr">
        <is>
          <t>AAPL</t>
        </is>
      </c>
      <c r="G2342" t="n">
        <v>3</v>
      </c>
      <c r="H2342" t="n">
        <v>-492.16326</v>
      </c>
      <c r="I2342">
        <f>-H2683/G2683</f>
        <v/>
      </c>
      <c r="J2342" s="16" t="n">
        <v>44601</v>
      </c>
      <c r="K2342" t="n">
        <v>3</v>
      </c>
      <c r="L2342">
        <f>175.66*OPERAC[[#This Row],[cantidad venta]]</f>
        <v/>
      </c>
    </row>
    <row r="2343">
      <c r="A2343" t="n">
        <v>11168</v>
      </c>
      <c r="B2343" s="16" t="n">
        <v>44588</v>
      </c>
      <c r="C2343" t="inlineStr">
        <is>
          <t>VTA</t>
        </is>
      </c>
      <c r="D2343" t="n">
        <v>39</v>
      </c>
      <c r="E2343">
        <f>IF(D193&gt;0,VLOOKUP(OPERAC[[#This Row],[COD CART]],[1]!MatrizCortoLargoCyl[#All],3,0),"")</f>
        <v/>
      </c>
      <c r="F2343" t="inlineStr">
        <is>
          <t>SMH/V/255,00/04-02-22</t>
        </is>
      </c>
      <c r="G2343" t="n">
        <v>-300</v>
      </c>
      <c r="H2343" t="n">
        <v>2200.0335</v>
      </c>
      <c r="I2343">
        <f>-H193/G193</f>
        <v/>
      </c>
      <c r="J2343" s="16" t="n">
        <v>44596</v>
      </c>
      <c r="K2343" t="n">
        <v>-300</v>
      </c>
      <c r="L2343" t="n">
        <v>-9.614999999999998</v>
      </c>
    </row>
    <row r="2344">
      <c r="A2344" t="n">
        <v>11168</v>
      </c>
      <c r="B2344" s="16" t="n">
        <v>44599</v>
      </c>
      <c r="C2344" t="inlineStr">
        <is>
          <t>CPR</t>
        </is>
      </c>
      <c r="D2344" t="n">
        <v>40</v>
      </c>
      <c r="E2344">
        <f>IF(D4523&gt;0,VLOOKUP(OPERAC[[#This Row],[COD CART]],[1]!MatrizCortoLargoCyl[#All],3,0),"")</f>
        <v/>
      </c>
      <c r="F2344" t="inlineStr">
        <is>
          <t>FB</t>
        </is>
      </c>
      <c r="G2344" t="n">
        <v>5</v>
      </c>
      <c r="H2344" t="n">
        <v>-1192.3</v>
      </c>
      <c r="I2344">
        <f>-H4523/G4523</f>
        <v/>
      </c>
      <c r="J2344" s="16" t="n">
        <v>44616</v>
      </c>
      <c r="K2344">
        <f>+OPERAC[[#This Row],[cantidad]]</f>
        <v/>
      </c>
      <c r="L2344">
        <f>200.299*OPERAC[[#This Row],[cantidad venta]]</f>
        <v/>
      </c>
    </row>
    <row r="2345">
      <c r="A2345" t="n">
        <v>11168</v>
      </c>
      <c r="B2345" s="16" t="n">
        <v>44609</v>
      </c>
      <c r="C2345" t="inlineStr">
        <is>
          <t>VTA</t>
        </is>
      </c>
      <c r="D2345" t="n">
        <v>32</v>
      </c>
      <c r="E2345">
        <f>IF(D5276&gt;0,VLOOKUP(OPERAC[[#This Row],[COD CART]],[1]!MatrizCortoLargoCyl[#All],3,0),"")</f>
        <v/>
      </c>
      <c r="F2345" t="inlineStr">
        <is>
          <t>F</t>
        </is>
      </c>
      <c r="G2345" t="n">
        <v>100</v>
      </c>
      <c r="H2345" t="n">
        <v>-1715.2776</v>
      </c>
      <c r="I2345">
        <f>-H5276/G5276</f>
        <v/>
      </c>
      <c r="J2345" s="16" t="n">
        <v>44649</v>
      </c>
      <c r="K2345" t="n">
        <v>100</v>
      </c>
      <c r="L2345">
        <f>17.636*OPERAC[[#This Row],[cantidad venta]]</f>
        <v/>
      </c>
    </row>
    <row r="2346">
      <c r="A2346" t="n">
        <v>11168</v>
      </c>
      <c r="B2346" s="16" t="n">
        <v>44622</v>
      </c>
      <c r="C2346" t="inlineStr">
        <is>
          <t>CPR</t>
        </is>
      </c>
      <c r="D2346" t="n">
        <v>32</v>
      </c>
      <c r="E2346">
        <f>IF(D4056&gt;0,VLOOKUP(OPERAC[[#This Row],[COD CART]],[1]!MatrizCortoLargoCyl[#All],3,0),"")</f>
        <v/>
      </c>
      <c r="F2346" t="inlineStr">
        <is>
          <t>SABR/CYL/10,00/14-04-22</t>
        </is>
      </c>
      <c r="G2346" t="n">
        <v>100</v>
      </c>
      <c r="H2346" t="n">
        <v>-928.9848000000001</v>
      </c>
      <c r="I2346">
        <f>-H4056/G4056</f>
        <v/>
      </c>
      <c r="J2346" s="16" t="n">
        <v>44649</v>
      </c>
      <c r="K2346" t="n">
        <v>100</v>
      </c>
      <c r="L2346" t="n">
        <v>982.1799999999999</v>
      </c>
    </row>
    <row r="2347">
      <c r="A2347" t="n">
        <v>11168</v>
      </c>
      <c r="B2347" s="16" t="n">
        <v>44622</v>
      </c>
      <c r="C2347" t="inlineStr">
        <is>
          <t>CPR</t>
        </is>
      </c>
      <c r="D2347" t="n">
        <v>32</v>
      </c>
      <c r="E2347">
        <f>IF(D4081&gt;0,VLOOKUP(OPERAC[[#This Row],[COD CART]],[1]!MatrizCortoLargoCyl[#All],3,0),"")</f>
        <v/>
      </c>
      <c r="F2347" t="inlineStr">
        <is>
          <t>HMY/CYL/5,00/18-03-22</t>
        </is>
      </c>
      <c r="G2347" t="n">
        <v>200</v>
      </c>
      <c r="H2347" t="n">
        <v>-937.0640000000001</v>
      </c>
      <c r="I2347">
        <f>-H4081/G4081</f>
        <v/>
      </c>
      <c r="J2347" s="16" t="n">
        <v>44637</v>
      </c>
      <c r="K2347">
        <f>+OPERAC[[#This Row],[cantidad]]</f>
        <v/>
      </c>
      <c r="L2347">
        <f>4.85553*OPERAC[[#This Row],[cantidad venta]]</f>
        <v/>
      </c>
    </row>
    <row r="2348">
      <c r="A2348" t="n">
        <v>11168</v>
      </c>
      <c r="B2348" s="16" t="n">
        <v>44641</v>
      </c>
      <c r="C2348" t="inlineStr">
        <is>
          <t>VTA</t>
        </is>
      </c>
      <c r="D2348" t="n">
        <v>42</v>
      </c>
      <c r="E2348">
        <f>IF(D1821&gt;0,VLOOKUP(OPERAC[[#This Row],[COD CART]],[1]!MatrizCortoLargoCyl[#All],3,0),"")</f>
        <v/>
      </c>
      <c r="F2348" t="inlineStr">
        <is>
          <t>SMH</t>
        </is>
      </c>
      <c r="G2348" t="n">
        <v>1</v>
      </c>
      <c r="H2348" t="n">
        <v>-268.9576500000001</v>
      </c>
      <c r="I2348">
        <f>-H1821/G1821</f>
        <v/>
      </c>
      <c r="J2348" s="16" t="n">
        <v>44663</v>
      </c>
      <c r="K2348">
        <f>+OPERAC[[#This Row],[cantidad]]</f>
        <v/>
      </c>
      <c r="L2348">
        <f>+OPERAC[[#This Row],[cantidad venta]]*238.066</f>
        <v/>
      </c>
    </row>
    <row r="2349">
      <c r="A2349" t="n">
        <v>11168</v>
      </c>
      <c r="B2349" s="16" t="n">
        <v>44641</v>
      </c>
      <c r="C2349" t="inlineStr">
        <is>
          <t>VTA</t>
        </is>
      </c>
      <c r="D2349" t="n">
        <v>42</v>
      </c>
      <c r="E2349">
        <f>IF(D2375&gt;0,VLOOKUP(OPERAC[[#This Row],[COD CART]],[1]!MatrizCortoLargoCyl[#All],3,0),"")</f>
        <v/>
      </c>
      <c r="F2349" t="inlineStr">
        <is>
          <t>JPM</t>
        </is>
      </c>
      <c r="G2349" t="n">
        <v>3</v>
      </c>
      <c r="H2349" t="n">
        <v>-421.3630200000001</v>
      </c>
      <c r="I2349">
        <f>-H2375/G2375</f>
        <v/>
      </c>
      <c r="J2349" s="16" t="n">
        <v>44664</v>
      </c>
      <c r="K2349">
        <f>+OPERAC[[#This Row],[cantidad]]</f>
        <v/>
      </c>
      <c r="L2349">
        <f>+OPERAC[[#This Row],[cantidad venta]]*125.943</f>
        <v/>
      </c>
    </row>
    <row r="2350">
      <c r="A2350" t="n">
        <v>11168</v>
      </c>
      <c r="B2350" s="16" t="n">
        <v>44641</v>
      </c>
      <c r="C2350" t="inlineStr">
        <is>
          <t>VTA</t>
        </is>
      </c>
      <c r="D2350" t="n">
        <v>42</v>
      </c>
      <c r="E2350">
        <f>IF(D2413&gt;0,VLOOKUP(OPERAC[[#This Row],[COD CART]],[1]!MatrizCortoLargoCyl[#All],3,0),"")</f>
        <v/>
      </c>
      <c r="F2350" t="inlineStr">
        <is>
          <t>FB</t>
        </is>
      </c>
      <c r="G2350" t="n">
        <v>2</v>
      </c>
      <c r="H2350" t="n">
        <v>-424.31276</v>
      </c>
      <c r="I2350">
        <f>-H2413/G2413</f>
        <v/>
      </c>
      <c r="J2350" s="16" t="n">
        <v>44671</v>
      </c>
      <c r="K2350">
        <f>+OPERAC[[#This Row],[cantidad]]</f>
        <v/>
      </c>
      <c r="L2350">
        <f>+OPERAC[[#This Row],[cantidad venta]]*213.173</f>
        <v/>
      </c>
    </row>
    <row r="2351">
      <c r="A2351" t="n">
        <v>11168</v>
      </c>
      <c r="B2351" s="16" t="n">
        <v>44649</v>
      </c>
      <c r="C2351" t="inlineStr">
        <is>
          <t>VTA</t>
        </is>
      </c>
      <c r="D2351" t="n">
        <v>32</v>
      </c>
      <c r="E2351">
        <f>IF(D5016&gt;0,VLOOKUP(OPERAC[[#This Row],[COD CART]],[1]!MatrizCortoLargoCyl[#All],3,0),"")</f>
        <v/>
      </c>
      <c r="F2351" t="inlineStr">
        <is>
          <t>LIND</t>
        </is>
      </c>
      <c r="G2351" t="n">
        <v>100</v>
      </c>
      <c r="H2351" t="n">
        <v>-1545.764</v>
      </c>
      <c r="I2351">
        <f>-H5016/G5016</f>
        <v/>
      </c>
      <c r="J2351" s="16" t="n">
        <v>44656</v>
      </c>
      <c r="K2351" t="n">
        <v>100</v>
      </c>
      <c r="L2351">
        <f>+OPERAC[[#This Row],[cantidad venta]]*15.682</f>
        <v/>
      </c>
    </row>
    <row r="2352">
      <c r="A2352" t="n">
        <v>11168</v>
      </c>
      <c r="B2352" s="16" t="n">
        <v>44650</v>
      </c>
      <c r="C2352" t="inlineStr">
        <is>
          <t>VTA</t>
        </is>
      </c>
      <c r="D2352" t="n">
        <v>42</v>
      </c>
      <c r="E2352">
        <f>IF(D1664&gt;0,VLOOKUP(OPERAC[[#This Row],[COD CART]],[1]!MatrizCortoLargoCyl[#All],3,0),"")</f>
        <v/>
      </c>
      <c r="F2352" t="inlineStr">
        <is>
          <t>FB</t>
        </is>
      </c>
      <c r="G2352" t="n">
        <v>1</v>
      </c>
      <c r="H2352" t="n">
        <v>-232.46216</v>
      </c>
      <c r="I2352">
        <f>-H1664/G1664</f>
        <v/>
      </c>
      <c r="J2352" s="16" t="n">
        <v>44671</v>
      </c>
      <c r="K2352">
        <f>+OPERAC[[#This Row],[cantidad]]</f>
        <v/>
      </c>
      <c r="L2352">
        <f>+OPERAC[[#This Row],[cantidad venta]]*213.173</f>
        <v/>
      </c>
    </row>
    <row r="2353">
      <c r="A2353" t="n">
        <v>11168</v>
      </c>
      <c r="B2353" s="16" t="n">
        <v>44650</v>
      </c>
      <c r="C2353" t="inlineStr">
        <is>
          <t>VTA</t>
        </is>
      </c>
      <c r="D2353" t="n">
        <v>42</v>
      </c>
      <c r="E2353">
        <f>IF(D1887&gt;0,VLOOKUP(OPERAC[[#This Row],[COD CART]],[1]!MatrizCortoLargoCyl[#All],3,0),"")</f>
        <v/>
      </c>
      <c r="F2353" t="inlineStr">
        <is>
          <t>SMH</t>
        </is>
      </c>
      <c r="G2353" t="n">
        <v>1</v>
      </c>
      <c r="H2353" t="n">
        <v>-281.3078800000001</v>
      </c>
      <c r="I2353">
        <f>-H1887/G1887</f>
        <v/>
      </c>
      <c r="J2353" s="16" t="n">
        <v>44663</v>
      </c>
      <c r="K2353">
        <f>+OPERAC[[#This Row],[cantidad]]</f>
        <v/>
      </c>
      <c r="L2353">
        <f>+OPERAC[[#This Row],[cantidad venta]]*238.066</f>
        <v/>
      </c>
    </row>
    <row r="2354">
      <c r="A2354" t="n">
        <v>11168</v>
      </c>
      <c r="B2354" s="16" t="n">
        <v>44650</v>
      </c>
      <c r="C2354" t="inlineStr">
        <is>
          <t>VTA</t>
        </is>
      </c>
      <c r="D2354" t="n">
        <v>42</v>
      </c>
      <c r="E2354">
        <f>IF(D2561&gt;0,VLOOKUP(OPERAC[[#This Row],[COD CART]],[1]!MatrizCortoLargoCyl[#All],3,0),"")</f>
        <v/>
      </c>
      <c r="F2354" t="inlineStr">
        <is>
          <t>ADBE</t>
        </is>
      </c>
      <c r="G2354" t="n">
        <v>1</v>
      </c>
      <c r="H2354" t="n">
        <v>-466.3129</v>
      </c>
      <c r="I2354">
        <f>-H2561/G2561</f>
        <v/>
      </c>
      <c r="J2354" s="16" t="n">
        <v>44687</v>
      </c>
      <c r="K2354">
        <f>+OPERAC[[#This Row],[cantidad]]</f>
        <v/>
      </c>
      <c r="L2354" t="n">
        <v>386.42</v>
      </c>
    </row>
    <row r="2355">
      <c r="A2355" t="n">
        <v>11168</v>
      </c>
      <c r="B2355" s="16" t="n">
        <v>44656</v>
      </c>
      <c r="C2355" t="inlineStr">
        <is>
          <t>CPR</t>
        </is>
      </c>
      <c r="D2355" t="n">
        <v>32</v>
      </c>
      <c r="E2355">
        <f>IF(D2662&gt;0,VLOOKUP(OPERAC[[#This Row],[COD CART]],[1]!MatrizCortoLargoCyl[#All],3,0),"")</f>
        <v/>
      </c>
      <c r="F2355" t="inlineStr">
        <is>
          <t>HMY</t>
        </is>
      </c>
      <c r="G2355" t="n">
        <v>100</v>
      </c>
      <c r="H2355" t="n">
        <v>-487.753</v>
      </c>
      <c r="I2355">
        <f>-H2662/G2662</f>
        <v/>
      </c>
      <c r="J2355" s="16" t="n">
        <v>44669</v>
      </c>
      <c r="K2355">
        <f>+OPERAC[[#This Row],[cantidad]]</f>
        <v/>
      </c>
      <c r="L2355">
        <f>4.925*OPERAC[[#This Row],[cantidad venta]]</f>
        <v/>
      </c>
    </row>
    <row r="2356">
      <c r="A2356" t="n">
        <v>11168</v>
      </c>
      <c r="B2356" s="16" t="n">
        <v>44656</v>
      </c>
      <c r="C2356" t="inlineStr">
        <is>
          <t>CPR</t>
        </is>
      </c>
      <c r="D2356" t="n">
        <v>32</v>
      </c>
      <c r="E2356">
        <f>IF(D4066&gt;0,VLOOKUP(OPERAC[[#This Row],[COD CART]],[1]!MatrizCortoLargoCyl[#All],3,0),"")</f>
        <v/>
      </c>
      <c r="F2356" t="inlineStr">
        <is>
          <t>HIMX/CYL/10,00/10-06-22</t>
        </is>
      </c>
      <c r="G2356" t="n">
        <v>100</v>
      </c>
      <c r="H2356">
        <f>-955.798+24.788</f>
        <v/>
      </c>
      <c r="I2356">
        <f>-H4066/G4066</f>
        <v/>
      </c>
      <c r="J2356" s="16" t="n">
        <v>44721</v>
      </c>
      <c r="K2356" t="n">
        <v>100</v>
      </c>
      <c r="L2356" t="n">
        <v>985</v>
      </c>
    </row>
    <row r="2357">
      <c r="A2357" t="n">
        <v>11168</v>
      </c>
      <c r="B2357" s="16" t="n">
        <v>44662</v>
      </c>
      <c r="C2357" t="inlineStr">
        <is>
          <t>VTA</t>
        </is>
      </c>
      <c r="D2357" t="n">
        <v>42</v>
      </c>
      <c r="E2357">
        <f>IF(D2207&gt;0,VLOOKUP(OPERAC[[#This Row],[COD CART]],[1]!MatrizCortoLargoCyl[#All],3,0),"")</f>
        <v/>
      </c>
      <c r="F2357" t="inlineStr">
        <is>
          <t>HYDR</t>
        </is>
      </c>
      <c r="G2357" t="n">
        <v>20</v>
      </c>
      <c r="H2357" t="n">
        <v>-371.4068800000001</v>
      </c>
      <c r="I2357">
        <f>-H2207/G2207</f>
        <v/>
      </c>
      <c r="J2357" s="16" t="n">
        <v>44693</v>
      </c>
      <c r="K2357">
        <f>+OPERAC[[#This Row],[cantidad]]</f>
        <v/>
      </c>
      <c r="L2357">
        <f>+OPERAC[[#This Row],[cantidad venta]]*12.027</f>
        <v/>
      </c>
    </row>
    <row r="2358">
      <c r="A2358" t="n">
        <v>11168</v>
      </c>
      <c r="B2358" s="16" t="n">
        <v>44664</v>
      </c>
      <c r="C2358" t="inlineStr">
        <is>
          <t>CPR</t>
        </is>
      </c>
      <c r="D2358" t="n">
        <v>42</v>
      </c>
      <c r="E2358">
        <f>IF(D2704&gt;0,VLOOKUP(OPERAC[[#This Row],[COD CART]],[1]!MatrizCortoLargoCyl[#All],3,0),"")</f>
        <v/>
      </c>
      <c r="F2358" t="inlineStr">
        <is>
          <t>PSQ</t>
        </is>
      </c>
      <c r="G2358" t="n">
        <v>40</v>
      </c>
      <c r="H2358" t="n">
        <v>-497.30288724</v>
      </c>
      <c r="I2358">
        <f>-H2704/G2704</f>
        <v/>
      </c>
      <c r="J2358" s="16" t="n">
        <v>44680</v>
      </c>
      <c r="K2358">
        <f>+OPERAC[[#This Row],[cantidad]]</f>
        <v/>
      </c>
      <c r="L2358">
        <f>12.848*OPERAC[[#This Row],[cantidad venta]]</f>
        <v/>
      </c>
    </row>
    <row r="2359">
      <c r="A2359" t="n">
        <v>11168</v>
      </c>
      <c r="B2359" s="16" t="n">
        <v>44669</v>
      </c>
      <c r="C2359" t="inlineStr">
        <is>
          <t>VTA</t>
        </is>
      </c>
      <c r="D2359" t="n">
        <v>32</v>
      </c>
      <c r="E2359">
        <f>IF(D2529&gt;0,VLOOKUP(OPERAC[[#This Row],[COD CART]],[1]!MatrizCortoLargoCyl[#All],3,0),"")</f>
        <v/>
      </c>
      <c r="F2359" t="inlineStr">
        <is>
          <t>HMY</t>
        </is>
      </c>
      <c r="G2359" t="n">
        <v>100</v>
      </c>
      <c r="H2359">
        <f>-4.64*OPERAC[[#This Row],[cantidad]]</f>
        <v/>
      </c>
      <c r="I2359">
        <f>-H2529/G2529</f>
        <v/>
      </c>
      <c r="J2359" s="16" t="n">
        <v>44713</v>
      </c>
      <c r="K2359" t="n">
        <v>100</v>
      </c>
      <c r="L2359" t="n">
        <v>331.359</v>
      </c>
    </row>
    <row r="2360">
      <c r="A2360" t="n">
        <v>11168</v>
      </c>
      <c r="B2360" s="16" t="n">
        <v>44671</v>
      </c>
      <c r="C2360" t="inlineStr">
        <is>
          <t>CPR</t>
        </is>
      </c>
      <c r="D2360" t="n">
        <v>42</v>
      </c>
      <c r="E2360">
        <f>IF(D3502&gt;0,VLOOKUP(OPERAC[[#This Row],[COD CART]],[1]!MatrizCortoLargoCyl[#All],3,0),"")</f>
        <v/>
      </c>
      <c r="F2360" t="inlineStr">
        <is>
          <t>NFLX</t>
        </is>
      </c>
      <c r="G2360" t="n">
        <v>3</v>
      </c>
      <c r="H2360" t="n">
        <v>-763.51518</v>
      </c>
      <c r="I2360">
        <f>-H3502/G3502</f>
        <v/>
      </c>
      <c r="J2360" s="16" t="n">
        <v>44693</v>
      </c>
      <c r="K2360">
        <f>+OPERAC[[#This Row],[cantidad]]</f>
        <v/>
      </c>
      <c r="L2360">
        <f>+OPERAC[[#This Row],[cantidad venta]]*169.079</f>
        <v/>
      </c>
    </row>
    <row r="2361">
      <c r="A2361" t="n">
        <v>11168</v>
      </c>
      <c r="B2361" s="16" t="n">
        <v>44680</v>
      </c>
      <c r="C2361" t="inlineStr">
        <is>
          <t>VTA</t>
        </is>
      </c>
      <c r="D2361" t="n">
        <v>42</v>
      </c>
      <c r="E2361">
        <f>IF(D2926&gt;0,VLOOKUP(OPERAC[[#This Row],[COD CART]],[1]!MatrizCortoLargoCyl[#All],3,0),"")</f>
        <v/>
      </c>
      <c r="F2361" t="inlineStr">
        <is>
          <t>XLP</t>
        </is>
      </c>
      <c r="G2361" t="n">
        <v>7</v>
      </c>
      <c r="H2361" t="n">
        <v>-556.0415175000001</v>
      </c>
      <c r="I2361">
        <f>-H2926/G2926</f>
        <v/>
      </c>
      <c r="J2361" s="16" t="n">
        <v>44693</v>
      </c>
      <c r="K2361">
        <f>+OPERAC[[#This Row],[cantidad]]</f>
        <v/>
      </c>
      <c r="L2361">
        <f>+OPERAC[[#This Row],[cantidad venta]]*74.848</f>
        <v/>
      </c>
    </row>
    <row r="2362">
      <c r="A2362" t="n">
        <v>11168</v>
      </c>
      <c r="B2362" s="16" t="n">
        <v>44706</v>
      </c>
      <c r="C2362" t="inlineStr">
        <is>
          <t>VTA</t>
        </is>
      </c>
      <c r="D2362" t="n">
        <v>39</v>
      </c>
      <c r="E2362">
        <f>IF(D114&gt;0,VLOOKUP(OPERAC[[#This Row],[COD CART]],[1]!MatrizCortoLargoCyl[#All],3,0),"")</f>
        <v/>
      </c>
      <c r="F2362" t="inlineStr">
        <is>
          <t>TSLA/P/615,00/27-05-22</t>
        </is>
      </c>
      <c r="G2362" t="n">
        <v>-1000</v>
      </c>
      <c r="H2362" t="n">
        <v>3222.375</v>
      </c>
      <c r="I2362">
        <f>-H114/G114</f>
        <v/>
      </c>
      <c r="J2362" s="16" t="n">
        <v>44707</v>
      </c>
      <c r="K2362" t="n">
        <v>-1000</v>
      </c>
      <c r="L2362" t="n">
        <v>-443.74</v>
      </c>
    </row>
    <row r="2363">
      <c r="A2363" t="n">
        <v>11168</v>
      </c>
      <c r="B2363" s="16" t="n">
        <v>44708</v>
      </c>
      <c r="C2363" t="inlineStr">
        <is>
          <t>VTA</t>
        </is>
      </c>
      <c r="D2363" t="n">
        <v>42</v>
      </c>
      <c r="E2363">
        <f>IF(D2180&gt;0,VLOOKUP(OPERAC[[#This Row],[COD CART]],[1]!MatrizCortoLargoCyl[#All],3,0),"")</f>
        <v/>
      </c>
      <c r="F2363" t="inlineStr">
        <is>
          <t>ACB</t>
        </is>
      </c>
      <c r="G2363" t="n">
        <v>200</v>
      </c>
      <c r="H2363" t="n">
        <v>-365.064157761</v>
      </c>
      <c r="I2363">
        <f>-H2180/G2180</f>
        <v/>
      </c>
      <c r="J2363" s="16" t="n">
        <v>44713</v>
      </c>
      <c r="K2363" t="n">
        <v>200</v>
      </c>
      <c r="L2363" t="n">
        <v>301.813</v>
      </c>
    </row>
    <row r="2364">
      <c r="A2364" t="n">
        <v>11168</v>
      </c>
      <c r="B2364" s="16" t="n">
        <v>44712</v>
      </c>
      <c r="C2364" t="inlineStr">
        <is>
          <t>CPR</t>
        </is>
      </c>
      <c r="D2364" t="n">
        <v>42</v>
      </c>
      <c r="E2364">
        <f>IF(D5877&gt;0,VLOOKUP(OPERAC[[#This Row],[COD CART]],[1]!MatrizCortoLargoCyl[#All],3,0),"")</f>
        <v/>
      </c>
      <c r="F2364" t="inlineStr">
        <is>
          <t>KWEB</t>
        </is>
      </c>
      <c r="G2364" t="n">
        <v>100</v>
      </c>
      <c r="H2364" t="n">
        <v>-2959.725</v>
      </c>
      <c r="I2364">
        <f>-H5877/G5877</f>
        <v/>
      </c>
    </row>
    <row r="2365">
      <c r="A2365" t="n">
        <v>11168</v>
      </c>
      <c r="B2365" s="16" t="n">
        <v>44712</v>
      </c>
      <c r="C2365" t="inlineStr">
        <is>
          <t>VTA</t>
        </is>
      </c>
      <c r="D2365" t="n">
        <v>39</v>
      </c>
      <c r="E2365">
        <f>IF(D1555&gt;0,VLOOKUP(OPERAC[[#This Row],[COD CART]],[1]!MatrizCortoLargoCyl[#All],3,0),"")</f>
        <v/>
      </c>
      <c r="F2365" t="inlineStr">
        <is>
          <t>ET/C/10,00/21-10-22</t>
        </is>
      </c>
      <c r="G2365" t="n">
        <v>100</v>
      </c>
      <c r="H2365" t="n">
        <v>-202.808</v>
      </c>
      <c r="I2365">
        <f>-H1555/G1555</f>
        <v/>
      </c>
    </row>
    <row r="2366">
      <c r="A2366" t="n">
        <v>11168</v>
      </c>
      <c r="B2366" s="16" t="n">
        <v>44720</v>
      </c>
      <c r="C2366" t="inlineStr">
        <is>
          <t>CPR</t>
        </is>
      </c>
      <c r="D2366" t="n">
        <v>42</v>
      </c>
      <c r="E2366">
        <f>IF(D4690&gt;0,VLOOKUP(OPERAC[[#This Row],[COD CART]],[1]!MatrizCortoLargoCyl[#All],3,0),"")</f>
        <v/>
      </c>
      <c r="F2366" t="inlineStr">
        <is>
          <t>EDIT</t>
        </is>
      </c>
      <c r="G2366" t="n">
        <v>100</v>
      </c>
      <c r="H2366" t="n">
        <v>-1316.0925</v>
      </c>
      <c r="I2366">
        <f>-H4690/G4690</f>
        <v/>
      </c>
    </row>
    <row r="2367">
      <c r="A2367" t="n">
        <v>11168</v>
      </c>
      <c r="B2367" s="16" t="n">
        <v>44720</v>
      </c>
      <c r="C2367" t="inlineStr">
        <is>
          <t>CPR</t>
        </is>
      </c>
      <c r="D2367" t="n">
        <v>42</v>
      </c>
      <c r="E2367">
        <f>IF(D4965&gt;0,VLOOKUP(OPERAC[[#This Row],[COD CART]],[1]!MatrizCortoLargoCyl[#All],3,0),"")</f>
        <v/>
      </c>
      <c r="F2367" t="inlineStr">
        <is>
          <t>HYDR</t>
        </is>
      </c>
      <c r="G2367" t="n">
        <v>100</v>
      </c>
      <c r="H2367" t="n">
        <v>-1512.75</v>
      </c>
      <c r="I2367">
        <f>-H4965/G4965</f>
        <v/>
      </c>
    </row>
    <row r="2368">
      <c r="A2368" t="n">
        <v>11170</v>
      </c>
      <c r="B2368" s="16" t="n">
        <v>44446</v>
      </c>
      <c r="C2368" t="inlineStr">
        <is>
          <t>CPR</t>
        </is>
      </c>
      <c r="D2368" t="n">
        <v>32</v>
      </c>
      <c r="E2368">
        <f>IF(D3286&gt;0,VLOOKUP(OPERAC[[#This Row],[COD CART]],[1]!MatrizCortoLargoCyl[#All],3,0),"")</f>
        <v/>
      </c>
      <c r="F2368" t="inlineStr">
        <is>
          <t>INO/CYL/8,00/18-02-22</t>
        </is>
      </c>
      <c r="G2368" t="n">
        <v>100</v>
      </c>
      <c r="H2368">
        <f>-758.932+27.502+30.172+14.579+4.707</f>
        <v/>
      </c>
      <c r="I2368">
        <f>-H3286/G3286</f>
        <v/>
      </c>
      <c r="J2368" s="16" t="n">
        <v>44596</v>
      </c>
      <c r="K2368" t="n">
        <v>100</v>
      </c>
      <c r="L2368">
        <f>3.665*OPERAC[[#This Row],[cantidad venta]]</f>
        <v/>
      </c>
    </row>
    <row r="2369">
      <c r="A2369" t="n">
        <v>11170</v>
      </c>
      <c r="B2369" s="16" t="n">
        <v>44596</v>
      </c>
      <c r="C2369" t="inlineStr">
        <is>
          <t>VTA</t>
        </is>
      </c>
      <c r="D2369" t="n">
        <v>39</v>
      </c>
      <c r="E2369">
        <f>IF(D609&gt;0,VLOOKUP(OPERAC[[#This Row],[COD CART]],[1]!MatrizCortoLargoCyl[#All],3,0),"")</f>
        <v/>
      </c>
      <c r="F2369" t="inlineStr">
        <is>
          <t>SMH/V/260,00/11-02-22</t>
        </is>
      </c>
      <c r="G2369" t="n">
        <v>-200</v>
      </c>
      <c r="H2369" t="n">
        <v>601.726</v>
      </c>
      <c r="I2369">
        <f>-H609/G609</f>
        <v/>
      </c>
      <c r="J2369" s="16" t="n">
        <v>44603</v>
      </c>
      <c r="K2369" t="n">
        <v>-200</v>
      </c>
      <c r="L2369" t="n">
        <v>-20</v>
      </c>
    </row>
    <row r="2370">
      <c r="A2370" t="n">
        <v>11170</v>
      </c>
      <c r="B2370" s="16" t="n">
        <v>44609</v>
      </c>
      <c r="C2370" t="inlineStr">
        <is>
          <t>VTA</t>
        </is>
      </c>
      <c r="D2370" t="n">
        <v>32</v>
      </c>
      <c r="E2370">
        <f>IF(D3873&gt;0,VLOOKUP(OPERAC[[#This Row],[COD CART]],[1]!MatrizCortoLargoCyl[#All],3,0),"")</f>
        <v/>
      </c>
      <c r="F2370" t="inlineStr">
        <is>
          <t>HIMX/CYL/9,00/18-03-22</t>
        </is>
      </c>
      <c r="G2370" t="n">
        <v>100</v>
      </c>
      <c r="H2370" t="n">
        <v>-869.5839999999999</v>
      </c>
      <c r="I2370">
        <f>-H3873/G3873</f>
        <v/>
      </c>
      <c r="J2370" s="16" t="n">
        <v>44622</v>
      </c>
      <c r="K2370">
        <f>+OPERAC[[#This Row],[cantidad]]</f>
        <v/>
      </c>
      <c r="L2370" t="n">
        <v>883.576</v>
      </c>
    </row>
    <row r="2371">
      <c r="A2371" t="n">
        <v>11170</v>
      </c>
      <c r="B2371" s="16" t="n">
        <v>44622</v>
      </c>
      <c r="C2371" t="inlineStr">
        <is>
          <t>CPR</t>
        </is>
      </c>
      <c r="D2371" t="n">
        <v>32</v>
      </c>
      <c r="E2371">
        <f>IF(D2579&gt;0,VLOOKUP(OPERAC[[#This Row],[COD CART]],[1]!MatrizCortoLargoCyl[#All],3,0),"")</f>
        <v/>
      </c>
      <c r="F2371" t="inlineStr">
        <is>
          <t>HMY/CYL/5,00/18-03-22</t>
        </is>
      </c>
      <c r="G2371" t="n">
        <v>100</v>
      </c>
      <c r="H2371" t="n">
        <v>-468.532</v>
      </c>
      <c r="I2371">
        <f>-H2579/G2579</f>
        <v/>
      </c>
      <c r="J2371" s="16" t="n">
        <v>44637</v>
      </c>
      <c r="K2371">
        <f>+OPERAC[[#This Row],[cantidad]]</f>
        <v/>
      </c>
      <c r="L2371">
        <f>4.85553*OPERAC[[#This Row],[cantidad venta]]</f>
        <v/>
      </c>
    </row>
    <row r="2372">
      <c r="A2372" t="n">
        <v>11170</v>
      </c>
      <c r="B2372" s="16" t="n">
        <v>44634</v>
      </c>
      <c r="C2372" t="inlineStr">
        <is>
          <t>VTA</t>
        </is>
      </c>
      <c r="D2372" t="n">
        <v>42</v>
      </c>
      <c r="E2372">
        <f>IF(D2086&gt;0,VLOOKUP(OPERAC[[#This Row],[COD CART]],[1]!MatrizCortoLargoCyl[#All],3,0),"")</f>
        <v/>
      </c>
      <c r="F2372" t="inlineStr">
        <is>
          <t>INO</t>
        </is>
      </c>
      <c r="G2372" t="n">
        <v>100</v>
      </c>
      <c r="H2372" t="n">
        <v>-332.0816</v>
      </c>
      <c r="I2372">
        <f>-H2086/G2086</f>
        <v/>
      </c>
      <c r="J2372" s="16" t="n">
        <v>44634</v>
      </c>
      <c r="K2372" t="n">
        <v>100</v>
      </c>
      <c r="L2372" t="n">
        <v>298.8855</v>
      </c>
    </row>
    <row r="2373">
      <c r="A2373" t="n">
        <v>11170</v>
      </c>
      <c r="B2373" s="16" t="n">
        <v>44641</v>
      </c>
      <c r="C2373" t="inlineStr">
        <is>
          <t>VTA</t>
        </is>
      </c>
      <c r="D2373" t="n">
        <v>42</v>
      </c>
      <c r="E2373">
        <f>IF(D2376&gt;0,VLOOKUP(OPERAC[[#This Row],[COD CART]],[1]!MatrizCortoLargoCyl[#All],3,0),"")</f>
        <v/>
      </c>
      <c r="F2373" t="inlineStr">
        <is>
          <t>JPM</t>
        </is>
      </c>
      <c r="G2373" t="n">
        <v>3</v>
      </c>
      <c r="H2373" t="n">
        <v>-421.3630200000001</v>
      </c>
      <c r="I2373">
        <f>-H2376/G2376</f>
        <v/>
      </c>
      <c r="J2373" s="16" t="n">
        <v>44664</v>
      </c>
      <c r="K2373">
        <f>+OPERAC[[#This Row],[cantidad]]</f>
        <v/>
      </c>
      <c r="L2373">
        <f>+OPERAC[[#This Row],[cantidad venta]]*125.943</f>
        <v/>
      </c>
    </row>
    <row r="2374">
      <c r="A2374" t="n">
        <v>11170</v>
      </c>
      <c r="B2374" s="16" t="n">
        <v>44641</v>
      </c>
      <c r="C2374" t="inlineStr">
        <is>
          <t>VTA</t>
        </is>
      </c>
      <c r="D2374" t="n">
        <v>42</v>
      </c>
      <c r="E2374">
        <f>IF(D2414&gt;0,VLOOKUP(OPERAC[[#This Row],[COD CART]],[1]!MatrizCortoLargoCyl[#All],3,0),"")</f>
        <v/>
      </c>
      <c r="F2374" t="inlineStr">
        <is>
          <t>FB</t>
        </is>
      </c>
      <c r="G2374" t="n">
        <v>2</v>
      </c>
      <c r="H2374" t="n">
        <v>-424.31276</v>
      </c>
      <c r="I2374">
        <f>-H2414/G2414</f>
        <v/>
      </c>
      <c r="J2374" s="16" t="n">
        <v>44671</v>
      </c>
      <c r="K2374">
        <f>+OPERAC[[#This Row],[cantidad]]</f>
        <v/>
      </c>
      <c r="L2374">
        <f>+OPERAC[[#This Row],[cantidad venta]]*213.173</f>
        <v/>
      </c>
    </row>
    <row r="2375">
      <c r="A2375" t="n">
        <v>11170</v>
      </c>
      <c r="B2375" s="16" t="n">
        <v>44641</v>
      </c>
      <c r="C2375" t="inlineStr">
        <is>
          <t>VTA</t>
        </is>
      </c>
      <c r="D2375" t="n">
        <v>42</v>
      </c>
      <c r="E2375">
        <f>IF(D2875&gt;0,VLOOKUP(OPERAC[[#This Row],[COD CART]],[1]!MatrizCortoLargoCyl[#All],3,0),"")</f>
        <v/>
      </c>
      <c r="F2375" t="inlineStr">
        <is>
          <t>SMH</t>
        </is>
      </c>
      <c r="G2375" t="n">
        <v>2</v>
      </c>
      <c r="H2375" t="n">
        <v>-537.9153000000001</v>
      </c>
      <c r="I2375">
        <f>-H2875/G2875</f>
        <v/>
      </c>
      <c r="J2375" s="16" t="n">
        <v>44663</v>
      </c>
      <c r="K2375">
        <f>+OPERAC[[#This Row],[cantidad]]</f>
        <v/>
      </c>
      <c r="L2375">
        <f>+OPERAC[[#This Row],[cantidad venta]]*238.066</f>
        <v/>
      </c>
    </row>
    <row r="2376">
      <c r="A2376" t="n">
        <v>11170</v>
      </c>
      <c r="B2376" s="16" t="n">
        <v>44662</v>
      </c>
      <c r="C2376" t="inlineStr">
        <is>
          <t>VTA</t>
        </is>
      </c>
      <c r="D2376" t="n">
        <v>42</v>
      </c>
      <c r="E2376">
        <f>IF(D1302&gt;0,VLOOKUP(OPERAC[[#This Row],[COD CART]],[1]!MatrizCortoLargoCyl[#All],3,0),"")</f>
        <v/>
      </c>
      <c r="F2376" t="inlineStr">
        <is>
          <t>HYDR</t>
        </is>
      </c>
      <c r="G2376" t="n">
        <v>5</v>
      </c>
      <c r="H2376" t="n">
        <v>-92.85172000000001</v>
      </c>
      <c r="I2376">
        <f>-H1302/G1302</f>
        <v/>
      </c>
      <c r="J2376" s="16" t="n">
        <v>44691</v>
      </c>
      <c r="K2376" t="n">
        <v>5</v>
      </c>
      <c r="L2376" t="n">
        <v>62.96</v>
      </c>
    </row>
    <row r="2377">
      <c r="A2377" t="n">
        <v>11170</v>
      </c>
      <c r="B2377" s="16" t="n">
        <v>44664</v>
      </c>
      <c r="C2377" t="inlineStr">
        <is>
          <t>VTA</t>
        </is>
      </c>
      <c r="D2377" t="n">
        <v>42</v>
      </c>
      <c r="E2377">
        <f>IF(D1722&gt;0,VLOOKUP(OPERAC[[#This Row],[COD CART]],[1]!MatrizCortoLargoCyl[#All],3,0),"")</f>
        <v/>
      </c>
      <c r="F2377" t="inlineStr">
        <is>
          <t>PSQ</t>
        </is>
      </c>
      <c r="G2377" t="n">
        <v>20</v>
      </c>
      <c r="H2377" t="n">
        <v>-248.65144362</v>
      </c>
      <c r="I2377">
        <f>-H1722/G1722</f>
        <v/>
      </c>
      <c r="J2377" s="16" t="n">
        <v>44680</v>
      </c>
      <c r="K2377">
        <f>+OPERAC[[#This Row],[cantidad]]</f>
        <v/>
      </c>
      <c r="L2377">
        <f>12.848*OPERAC[[#This Row],[cantidad venta]]</f>
        <v/>
      </c>
    </row>
    <row r="2378">
      <c r="A2378" t="n">
        <v>11170</v>
      </c>
      <c r="B2378" s="16" t="n">
        <v>44669</v>
      </c>
      <c r="C2378" t="inlineStr">
        <is>
          <t>VTA</t>
        </is>
      </c>
      <c r="D2378" t="n">
        <v>32</v>
      </c>
      <c r="E2378">
        <f>IF(D2530&gt;0,VLOOKUP(OPERAC[[#This Row],[COD CART]],[1]!MatrizCortoLargoCyl[#All],3,0),"")</f>
        <v/>
      </c>
      <c r="F2378" t="inlineStr">
        <is>
          <t>HMY</t>
        </is>
      </c>
      <c r="G2378" t="n">
        <v>100</v>
      </c>
      <c r="H2378">
        <f>-4.64*OPERAC[[#This Row],[cantidad]]</f>
        <v/>
      </c>
      <c r="I2378">
        <f>-H2530/G2530</f>
        <v/>
      </c>
    </row>
    <row r="2379">
      <c r="A2379" t="n">
        <v>11170</v>
      </c>
      <c r="B2379" s="16" t="n">
        <v>44671</v>
      </c>
      <c r="C2379" t="inlineStr">
        <is>
          <t>CPR</t>
        </is>
      </c>
      <c r="D2379" t="n">
        <v>42</v>
      </c>
      <c r="E2379">
        <f>IF(D2762&gt;0,VLOOKUP(OPERAC[[#This Row],[COD CART]],[1]!MatrizCortoLargoCyl[#All],3,0),"")</f>
        <v/>
      </c>
      <c r="F2379" t="inlineStr">
        <is>
          <t>NFLX</t>
        </is>
      </c>
      <c r="G2379" t="n">
        <v>2</v>
      </c>
      <c r="H2379" t="n">
        <v>-509.01012</v>
      </c>
      <c r="I2379">
        <f>-H2762/G2762</f>
        <v/>
      </c>
      <c r="J2379" s="16" t="n">
        <v>44683</v>
      </c>
      <c r="K2379">
        <f>1+1</f>
        <v/>
      </c>
      <c r="L2379">
        <f>196.208+173.969</f>
        <v/>
      </c>
    </row>
    <row r="2380">
      <c r="A2380" t="n">
        <v>11170</v>
      </c>
      <c r="B2380" s="16" t="n">
        <v>44680</v>
      </c>
      <c r="C2380" t="inlineStr">
        <is>
          <t>VTA</t>
        </is>
      </c>
      <c r="D2380" t="n">
        <v>42</v>
      </c>
      <c r="E2380">
        <f>IF(D1684&gt;0,VLOOKUP(OPERAC[[#This Row],[COD CART]],[1]!MatrizCortoLargoCyl[#All],3,0),"")</f>
        <v/>
      </c>
      <c r="F2380" t="inlineStr">
        <is>
          <t>XLP</t>
        </is>
      </c>
      <c r="G2380" t="n">
        <v>3</v>
      </c>
      <c r="H2380" t="n">
        <v>-238.3035075</v>
      </c>
      <c r="I2380">
        <f>-H1684/G1684</f>
        <v/>
      </c>
      <c r="J2380" s="16" t="n">
        <v>44683</v>
      </c>
      <c r="K2380">
        <f>1+2</f>
        <v/>
      </c>
      <c r="L2380">
        <f>76.112+151.015</f>
        <v/>
      </c>
    </row>
    <row r="2381">
      <c r="A2381" t="n">
        <v>12022</v>
      </c>
      <c r="B2381" s="16" t="n">
        <v>44466</v>
      </c>
      <c r="C2381" t="inlineStr">
        <is>
          <t>CPR</t>
        </is>
      </c>
      <c r="D2381" t="n">
        <v>43</v>
      </c>
      <c r="E2381">
        <f>IF(D4245&gt;0,VLOOKUP(OPERAC[[#This Row],[COD CART]],[1]!MatrizCortoLargoCyl[#All],3,0),"")</f>
        <v/>
      </c>
      <c r="F2381" t="inlineStr">
        <is>
          <t>SOLO/CYL-PUT/4,00/16-09-22</t>
        </is>
      </c>
      <c r="G2381" t="n">
        <v>500</v>
      </c>
      <c r="H2381">
        <f>-1473.67085+0.32*OPERAC[[#This Row],[cantidad]]+0.387*OPERAC[[#This Row],[cantidad]]+0.22*OPERAC[[#This Row],[cantidad]]</f>
        <v/>
      </c>
      <c r="I2381">
        <f>-H4245/G4245</f>
        <v/>
      </c>
    </row>
    <row r="2382">
      <c r="A2382" t="n">
        <v>12022</v>
      </c>
      <c r="B2382" s="16" t="n">
        <v>44511</v>
      </c>
      <c r="C2382" t="inlineStr">
        <is>
          <t>VTA</t>
        </is>
      </c>
      <c r="D2382" t="n">
        <v>31</v>
      </c>
      <c r="E2382">
        <f>IF(D1349&gt;0,VLOOKUP(OPERAC[[#This Row],[COD CART]],[1]!MatrizCortoLargoCyl[#All],3,0),"")</f>
        <v/>
      </c>
      <c r="F2382" t="inlineStr">
        <is>
          <t>IPIX</t>
        </is>
      </c>
      <c r="G2382" t="n">
        <v>1000</v>
      </c>
      <c r="H2382" t="n">
        <v>-109.99</v>
      </c>
      <c r="I2382">
        <f>-H1349/G1349</f>
        <v/>
      </c>
    </row>
    <row r="2383">
      <c r="A2383" t="n">
        <v>12022</v>
      </c>
      <c r="B2383" s="16" t="n">
        <v>44523</v>
      </c>
      <c r="C2383" t="inlineStr">
        <is>
          <t>CPR</t>
        </is>
      </c>
      <c r="D2383" t="n">
        <v>32</v>
      </c>
      <c r="E2383">
        <f>IF(D3682&gt;0,VLOOKUP(OPERAC[[#This Row],[COD CART]],[1]!MatrizCortoLargoCyl[#All],3,0),"")</f>
        <v/>
      </c>
      <c r="F2383" t="inlineStr">
        <is>
          <t>GMBL/CYL/5,00/18-02-22</t>
        </is>
      </c>
      <c r="G2383" t="n">
        <v>200</v>
      </c>
      <c r="H2383" t="n">
        <v>-823.862</v>
      </c>
      <c r="I2383">
        <f>-H3682/G3682</f>
        <v/>
      </c>
      <c r="J2383" s="16" t="n">
        <v>44589</v>
      </c>
      <c r="K2383" t="n">
        <v>200</v>
      </c>
      <c r="L2383" t="n">
        <v>524.731</v>
      </c>
    </row>
    <row r="2384">
      <c r="A2384" t="n">
        <v>12022</v>
      </c>
      <c r="B2384" s="16" t="n">
        <v>44523</v>
      </c>
      <c r="C2384" t="inlineStr">
        <is>
          <t>VTA</t>
        </is>
      </c>
      <c r="D2384" t="n">
        <v>32</v>
      </c>
      <c r="E2384">
        <f>IF(D3739&gt;0,VLOOKUP(OPERAC[[#This Row],[COD CART]],[1]!MatrizCortoLargoCyl[#All],3,0),"")</f>
        <v/>
      </c>
      <c r="F2384" t="inlineStr">
        <is>
          <t>TEVA/CYL/9,00/21-01-22</t>
        </is>
      </c>
      <c r="G2384" t="n">
        <v>100</v>
      </c>
      <c r="H2384">
        <f>-861.6332+18.874</f>
        <v/>
      </c>
      <c r="I2384">
        <f>-H3739/G3739</f>
        <v/>
      </c>
      <c r="J2384" s="16" t="n">
        <v>44575</v>
      </c>
      <c r="K2384" t="n">
        <v>100</v>
      </c>
      <c r="L2384" t="n">
        <v>878.913</v>
      </c>
    </row>
    <row r="2385">
      <c r="A2385" t="n">
        <v>12022</v>
      </c>
      <c r="B2385" s="16" t="n">
        <v>44523</v>
      </c>
      <c r="C2385" t="inlineStr">
        <is>
          <t>VTA</t>
        </is>
      </c>
      <c r="D2385" t="n">
        <v>40</v>
      </c>
      <c r="E2385">
        <f>IF(D3904&gt;0,VLOOKUP(OPERAC[[#This Row],[COD CART]],[1]!MatrizCortoLargoCyl[#All],3,0),"")</f>
        <v/>
      </c>
      <c r="F2385" t="inlineStr">
        <is>
          <t>EDU</t>
        </is>
      </c>
      <c r="G2385" t="n">
        <v>500</v>
      </c>
      <c r="H2385">
        <f>-889.745+0.026*OPERAC[[#This Row],[cantidad]]</f>
        <v/>
      </c>
      <c r="I2385">
        <f>-H3904/G3904</f>
        <v/>
      </c>
      <c r="J2385" s="16" t="n">
        <v>44615</v>
      </c>
      <c r="K2385" t="n">
        <v>500</v>
      </c>
      <c r="L2385" t="n">
        <v>747.384</v>
      </c>
    </row>
    <row r="2386">
      <c r="A2386" t="n">
        <v>12022</v>
      </c>
      <c r="B2386" s="16" t="n">
        <v>44575</v>
      </c>
      <c r="C2386" t="inlineStr">
        <is>
          <t>VTA</t>
        </is>
      </c>
      <c r="D2386" t="n">
        <v>40</v>
      </c>
      <c r="E2386">
        <f>IF(D1995&gt;0,VLOOKUP(OPERAC[[#This Row],[COD CART]],[1]!MatrizCortoLargoCyl[#All],3,0),"")</f>
        <v/>
      </c>
      <c r="F2386" t="inlineStr">
        <is>
          <t>GBTC</t>
        </is>
      </c>
      <c r="G2386" t="n">
        <v>10</v>
      </c>
      <c r="H2386" t="n">
        <v>-308.0948</v>
      </c>
      <c r="I2386">
        <f>-H1995/G1995</f>
        <v/>
      </c>
      <c r="J2386" s="16" t="n">
        <v>44651</v>
      </c>
      <c r="K2386">
        <f>+OPERAC[[#This Row],[cantidad]]</f>
        <v/>
      </c>
      <c r="L2386">
        <f>+OPERAC[[#This Row],[cantidad venta]]*31.332</f>
        <v/>
      </c>
    </row>
    <row r="2387">
      <c r="A2387" t="n">
        <v>12022</v>
      </c>
      <c r="B2387" s="16" t="n">
        <v>44581</v>
      </c>
      <c r="C2387" t="inlineStr">
        <is>
          <t>VTA</t>
        </is>
      </c>
      <c r="D2387" t="n">
        <v>32</v>
      </c>
      <c r="E2387">
        <f>IF(D2273&gt;0,VLOOKUP(OPERAC[[#This Row],[COD CART]],[1]!MatrizCortoLargoCyl[#All],3,0),"")</f>
        <v/>
      </c>
      <c r="F2387" t="inlineStr">
        <is>
          <t>HMY/CYL/4,00/18-02-22</t>
        </is>
      </c>
      <c r="G2387" t="n">
        <v>100</v>
      </c>
      <c r="H2387" t="n">
        <v>-387.467996</v>
      </c>
      <c r="I2387">
        <f>-H2273/G2273</f>
        <v/>
      </c>
      <c r="J2387" s="16" t="n">
        <v>44610</v>
      </c>
      <c r="K2387">
        <f>+OPERAC[[#This Row],[cantidad]]</f>
        <v/>
      </c>
      <c r="L2387">
        <f>+OPERAC[[#This Row],[cantidad venta]]*3.8323</f>
        <v/>
      </c>
    </row>
    <row r="2388">
      <c r="A2388" t="n">
        <v>12022</v>
      </c>
      <c r="B2388" s="16" t="n">
        <v>44589</v>
      </c>
      <c r="C2388" t="inlineStr">
        <is>
          <t>VTA</t>
        </is>
      </c>
      <c r="D2388" t="n">
        <v>39</v>
      </c>
      <c r="E2388">
        <f>IF(D664&gt;0,VLOOKUP(OPERAC[[#This Row],[COD CART]],[1]!MatrizCortoLargoCyl[#All],3,0),"")</f>
        <v/>
      </c>
      <c r="F2388" t="inlineStr">
        <is>
          <t>TSLA/V/680,00/04-02-22</t>
        </is>
      </c>
      <c r="G2388" t="n">
        <v>-200</v>
      </c>
      <c r="H2388" t="n">
        <v>456.317355</v>
      </c>
      <c r="I2388">
        <f>-H664/G664</f>
        <v/>
      </c>
      <c r="J2388" s="16" t="n">
        <v>44596</v>
      </c>
      <c r="K2388">
        <f>+OPERAC[[#This Row],[cantidad]]</f>
        <v/>
      </c>
      <c r="L2388" t="n">
        <v>-4.032</v>
      </c>
    </row>
    <row r="2389">
      <c r="A2389" t="n">
        <v>12022</v>
      </c>
      <c r="B2389" s="16" t="n">
        <v>44599</v>
      </c>
      <c r="C2389" t="inlineStr">
        <is>
          <t>CPR</t>
        </is>
      </c>
      <c r="D2389" t="n">
        <v>40</v>
      </c>
      <c r="E2389">
        <f>IF(D4524&gt;0,VLOOKUP(OPERAC[[#This Row],[COD CART]],[1]!MatrizCortoLargoCyl[#All],3,0),"")</f>
        <v/>
      </c>
      <c r="F2389" t="inlineStr">
        <is>
          <t>FB</t>
        </is>
      </c>
      <c r="G2389" t="n">
        <v>5</v>
      </c>
      <c r="H2389" t="n">
        <v>-1192.3</v>
      </c>
      <c r="I2389">
        <f>-H4524/G4524</f>
        <v/>
      </c>
      <c r="J2389" s="16" t="n">
        <v>44616</v>
      </c>
      <c r="K2389">
        <f>+OPERAC[[#This Row],[cantidad]]</f>
        <v/>
      </c>
      <c r="L2389">
        <f>200.299*OPERAC[[#This Row],[cantidad venta]]</f>
        <v/>
      </c>
    </row>
    <row r="2390">
      <c r="A2390" t="n">
        <v>12022</v>
      </c>
      <c r="B2390" s="16" t="n">
        <v>44602</v>
      </c>
      <c r="C2390" t="inlineStr">
        <is>
          <t>CPR</t>
        </is>
      </c>
      <c r="D2390" t="n">
        <v>32</v>
      </c>
      <c r="E2390">
        <f>IF(D4496&gt;0,VLOOKUP(OPERAC[[#This Row],[COD CART]],[1]!MatrizCortoLargoCyl[#All],3,0),"")</f>
        <v/>
      </c>
      <c r="F2390" t="inlineStr">
        <is>
          <t>BIOX/CYL/12,50/18-03-22</t>
        </is>
      </c>
      <c r="G2390" t="n">
        <v>100</v>
      </c>
      <c r="H2390" t="n">
        <v>-1176</v>
      </c>
      <c r="I2390">
        <f>-H4496/G4496</f>
        <v/>
      </c>
      <c r="J2390" s="16" t="n">
        <v>44634</v>
      </c>
      <c r="K2390" t="n">
        <v>100</v>
      </c>
      <c r="L2390" t="n">
        <v>1235.48</v>
      </c>
    </row>
    <row r="2391">
      <c r="A2391" t="n">
        <v>12022</v>
      </c>
      <c r="B2391" s="16" t="n">
        <v>44602</v>
      </c>
      <c r="C2391" t="inlineStr">
        <is>
          <t>CPR</t>
        </is>
      </c>
      <c r="D2391" t="n">
        <v>32</v>
      </c>
      <c r="E2391">
        <f>IF(D5771&gt;0,VLOOKUP(OPERAC[[#This Row],[COD CART]],[1]!MatrizCortoLargoCyl[#All],3,0),"")</f>
        <v/>
      </c>
      <c r="F2391" t="inlineStr">
        <is>
          <t>BIOX</t>
        </is>
      </c>
      <c r="G2391" t="n">
        <v>200</v>
      </c>
      <c r="H2391">
        <f>-2672+29.76</f>
        <v/>
      </c>
      <c r="I2391">
        <f>-H5771/G5771</f>
        <v/>
      </c>
      <c r="J2391" s="16" t="n">
        <v>44680</v>
      </c>
      <c r="K2391">
        <f>+OPERAC[[#This Row],[cantidad]]</f>
        <v/>
      </c>
      <c r="L2391">
        <f>13.688*OPERAC[[#This Row],[cantidad venta]]</f>
        <v/>
      </c>
    </row>
    <row r="2392">
      <c r="A2392" t="n">
        <v>12022</v>
      </c>
      <c r="B2392" s="16" t="n">
        <v>44602</v>
      </c>
      <c r="C2392" t="inlineStr">
        <is>
          <t>VTA</t>
        </is>
      </c>
      <c r="D2392" t="n">
        <v>32</v>
      </c>
      <c r="E2392">
        <f>IF(D3830&gt;0,VLOOKUP(OPERAC[[#This Row],[COD CART]],[1]!MatrizCortoLargoCyl[#All],3,0),"")</f>
        <v/>
      </c>
      <c r="F2392" t="inlineStr">
        <is>
          <t>TEVA</t>
        </is>
      </c>
      <c r="G2392" t="n">
        <v>100</v>
      </c>
      <c r="H2392">
        <f>-8.59*OPERAC[[#This Row],[cantidad]]</f>
        <v/>
      </c>
      <c r="I2392">
        <f>-H3830/G3830</f>
        <v/>
      </c>
      <c r="J2392" s="16" t="n">
        <v>44643</v>
      </c>
      <c r="K2392">
        <f>+OPERAC[[#This Row],[cantidad]]</f>
        <v/>
      </c>
      <c r="L2392">
        <f>+OPERAC[[#This Row],[cantidad venta]]*8.051</f>
        <v/>
      </c>
    </row>
    <row r="2393">
      <c r="A2393" t="n">
        <v>12022</v>
      </c>
      <c r="B2393" s="16" t="n">
        <v>44608</v>
      </c>
      <c r="C2393" t="inlineStr">
        <is>
          <t>VTA</t>
        </is>
      </c>
      <c r="D2393" t="n">
        <v>40</v>
      </c>
      <c r="E2393">
        <f>IF(D1783&gt;0,VLOOKUP(OPERAC[[#This Row],[COD CART]],[1]!MatrizCortoLargoCyl[#All],3,0),"")</f>
        <v/>
      </c>
      <c r="F2393" t="inlineStr">
        <is>
          <t>NVDA</t>
        </is>
      </c>
      <c r="G2393" t="n">
        <v>1</v>
      </c>
      <c r="H2393" t="n">
        <v>-263.514</v>
      </c>
      <c r="I2393">
        <f>-H1783/G1783</f>
        <v/>
      </c>
      <c r="J2393" s="16" t="n">
        <v>44616</v>
      </c>
      <c r="K2393">
        <f>+OPERAC[[#This Row],[cantidad]]</f>
        <v/>
      </c>
      <c r="L2393">
        <f>+OPERAC[[#This Row],[cantidad venta]]*224.117</f>
        <v/>
      </c>
    </row>
    <row r="2394">
      <c r="A2394" t="n">
        <v>12022</v>
      </c>
      <c r="B2394" s="16" t="n">
        <v>44616</v>
      </c>
      <c r="C2394" t="inlineStr">
        <is>
          <t>VTA</t>
        </is>
      </c>
      <c r="D2394" t="n">
        <v>32</v>
      </c>
      <c r="E2394">
        <f>IF(D5566&gt;0,VLOOKUP(OPERAC[[#This Row],[COD CART]],[1]!MatrizCortoLargoCyl[#All],3,0),"")</f>
        <v/>
      </c>
      <c r="F2394" t="inlineStr">
        <is>
          <t>PLTR/CYL/12,00/14-04-22</t>
        </is>
      </c>
      <c r="G2394" t="n">
        <v>200</v>
      </c>
      <c r="H2394" t="n">
        <v>-2105.453</v>
      </c>
      <c r="I2394">
        <f>-H5566/G5566</f>
        <v/>
      </c>
      <c r="J2394" s="16" t="n">
        <v>44643</v>
      </c>
      <c r="K2394" t="n">
        <v>200</v>
      </c>
      <c r="L2394" t="n">
        <v>2293.448</v>
      </c>
    </row>
    <row r="2395">
      <c r="A2395" t="n">
        <v>12022</v>
      </c>
      <c r="B2395" s="16" t="n">
        <v>44622</v>
      </c>
      <c r="C2395" t="inlineStr">
        <is>
          <t>CPR</t>
        </is>
      </c>
      <c r="D2395" t="n">
        <v>32</v>
      </c>
      <c r="E2395">
        <f>IF(D4879&gt;0,VLOOKUP(OPERAC[[#This Row],[COD CART]],[1]!MatrizCortoLargoCyl[#All],3,0),"")</f>
        <v/>
      </c>
      <c r="F2395" t="inlineStr">
        <is>
          <t>AMC/CYL/16,00/14-04-22</t>
        </is>
      </c>
      <c r="G2395" t="n">
        <v>100</v>
      </c>
      <c r="H2395" t="n">
        <v>-1460.8686</v>
      </c>
      <c r="I2395">
        <f>-H4879/G4879</f>
        <v/>
      </c>
      <c r="J2395" s="16" t="n">
        <v>44648</v>
      </c>
      <c r="K2395">
        <f>+OPERAC[[#This Row],[cantidad]]</f>
        <v/>
      </c>
      <c r="L2395" t="n">
        <v>1581.776</v>
      </c>
    </row>
    <row r="2396">
      <c r="A2396" t="n">
        <v>12022</v>
      </c>
      <c r="B2396" s="16" t="n">
        <v>44622</v>
      </c>
      <c r="C2396" t="inlineStr">
        <is>
          <t>CPR</t>
        </is>
      </c>
      <c r="D2396" t="n">
        <v>32</v>
      </c>
      <c r="E2396">
        <f>IF(D5642&gt;0,VLOOKUP(OPERAC[[#This Row],[COD CART]],[1]!MatrizCortoLargoCyl[#All],3,0),"")</f>
        <v/>
      </c>
      <c r="F2396" t="inlineStr">
        <is>
          <t>HMY/CYL/5,00/18-03-22</t>
        </is>
      </c>
      <c r="G2396" t="n">
        <v>500</v>
      </c>
      <c r="H2396" t="n">
        <v>-2342.66</v>
      </c>
      <c r="I2396">
        <f>-H5642/G5642</f>
        <v/>
      </c>
      <c r="J2396" s="16" t="n">
        <v>44637</v>
      </c>
      <c r="K2396">
        <f>+OPERAC[[#This Row],[cantidad]]</f>
        <v/>
      </c>
      <c r="L2396">
        <f>4.85553*OPERAC[[#This Row],[cantidad venta]]</f>
        <v/>
      </c>
    </row>
    <row r="2397">
      <c r="A2397" t="n">
        <v>12022</v>
      </c>
      <c r="B2397" s="16" t="n">
        <v>44623</v>
      </c>
      <c r="C2397" t="inlineStr">
        <is>
          <t>CPR</t>
        </is>
      </c>
      <c r="D2397" t="n">
        <v>41</v>
      </c>
      <c r="E2397">
        <f>IF(D2684&gt;0,VLOOKUP(OPERAC[[#This Row],[COD CART]],[1]!MatrizCortoLargoCyl[#All],3,0),"")</f>
        <v/>
      </c>
      <c r="F2397" t="inlineStr">
        <is>
          <t>ERUS</t>
        </is>
      </c>
      <c r="G2397" t="n">
        <v>65</v>
      </c>
      <c r="H2397" t="n">
        <v>-493.383</v>
      </c>
      <c r="I2397">
        <f>-H2684/G2684</f>
        <v/>
      </c>
    </row>
    <row r="2398">
      <c r="A2398" t="n">
        <v>12022</v>
      </c>
      <c r="B2398" s="16" t="n">
        <v>44641</v>
      </c>
      <c r="C2398" t="inlineStr">
        <is>
          <t>CPR</t>
        </is>
      </c>
      <c r="D2398" t="n">
        <v>32</v>
      </c>
      <c r="E2398">
        <f>IF(D5649&gt;0,VLOOKUP(OPERAC[[#This Row],[COD CART]],[1]!MatrizCortoLargoCyl[#All],3,0),"")</f>
        <v/>
      </c>
      <c r="F2398" t="inlineStr">
        <is>
          <t>HMY</t>
        </is>
      </c>
      <c r="G2398" t="n">
        <v>500</v>
      </c>
      <c r="H2398" t="n">
        <v>-2379.5195</v>
      </c>
      <c r="I2398">
        <f>-H5649/G5649</f>
        <v/>
      </c>
      <c r="J2398" s="16" t="n">
        <v>44669</v>
      </c>
      <c r="K2398">
        <f>+OPERAC[[#This Row],[cantidad]]</f>
        <v/>
      </c>
      <c r="L2398">
        <f>4.925*OPERAC[[#This Row],[cantidad venta]]</f>
        <v/>
      </c>
    </row>
    <row r="2399">
      <c r="A2399" t="n">
        <v>12022</v>
      </c>
      <c r="B2399" s="16" t="n">
        <v>44643</v>
      </c>
      <c r="C2399" t="inlineStr">
        <is>
          <t>CPR</t>
        </is>
      </c>
      <c r="D2399" t="n">
        <v>32</v>
      </c>
      <c r="E2399">
        <f>IF(D3267&gt;0,VLOOKUP(OPERAC[[#This Row],[COD CART]],[1]!MatrizCortoLargoCyl[#All],3,0),"")</f>
        <v/>
      </c>
      <c r="F2399" t="inlineStr">
        <is>
          <t>CRESY</t>
        </is>
      </c>
      <c r="G2399" t="n">
        <v>100</v>
      </c>
      <c r="H2399" t="n">
        <v>-680.303</v>
      </c>
      <c r="I2399">
        <f>-H3267/G3267</f>
        <v/>
      </c>
      <c r="J2399" s="16" t="n">
        <v>44708</v>
      </c>
      <c r="K2399" t="n">
        <v>100</v>
      </c>
      <c r="L2399" t="n">
        <v>733.71</v>
      </c>
    </row>
    <row r="2400">
      <c r="A2400" t="n">
        <v>12022</v>
      </c>
      <c r="B2400" s="16" t="n">
        <v>44645</v>
      </c>
      <c r="C2400" t="inlineStr">
        <is>
          <t>CPR</t>
        </is>
      </c>
      <c r="D2400" t="n">
        <v>42</v>
      </c>
      <c r="E2400">
        <f>IF(D4796&gt;0,VLOOKUP(OPERAC[[#This Row],[COD CART]],[1]!MatrizCortoLargoCyl[#All],3,0),"")</f>
        <v/>
      </c>
      <c r="F2400" t="inlineStr">
        <is>
          <t>PLUG</t>
        </is>
      </c>
      <c r="G2400" t="n">
        <v>50</v>
      </c>
      <c r="H2400" t="n">
        <v>-1396.582</v>
      </c>
      <c r="I2400">
        <f>-H4796/G4796</f>
        <v/>
      </c>
      <c r="J2400" s="16" t="n">
        <v>44652</v>
      </c>
      <c r="K2400">
        <f>+OPERAC[[#This Row],[cantidad]]</f>
        <v/>
      </c>
      <c r="L2400">
        <f>+OPERAC[[#This Row],[cantidad venta]]*27.754</f>
        <v/>
      </c>
    </row>
    <row r="2401">
      <c r="A2401" t="n">
        <v>12022</v>
      </c>
      <c r="B2401" s="16" t="n">
        <v>44648</v>
      </c>
      <c r="C2401" t="inlineStr">
        <is>
          <t>VTA</t>
        </is>
      </c>
      <c r="D2401" t="n">
        <v>32</v>
      </c>
      <c r="E2401">
        <f>IF(D5172&gt;0,VLOOKUP(OPERAC[[#This Row],[COD CART]],[1]!MatrizCortoLargoCyl[#All],3,0),"")</f>
        <v/>
      </c>
      <c r="F2401" t="inlineStr">
        <is>
          <t>F</t>
        </is>
      </c>
      <c r="G2401" t="n">
        <v>100</v>
      </c>
      <c r="H2401" t="n">
        <v>-1616.534</v>
      </c>
      <c r="I2401">
        <f>-H5172/G5172</f>
        <v/>
      </c>
      <c r="J2401" s="16" t="n">
        <v>44693</v>
      </c>
      <c r="K2401" t="n">
        <v>100</v>
      </c>
      <c r="L2401">
        <f>+OPERAC[[#This Row],[cantidad venta]]*12.415</f>
        <v/>
      </c>
    </row>
    <row r="2402">
      <c r="A2402" t="n">
        <v>12022</v>
      </c>
      <c r="B2402" s="16" t="n">
        <v>44649</v>
      </c>
      <c r="C2402" t="inlineStr">
        <is>
          <t>VTA</t>
        </is>
      </c>
      <c r="D2402" t="n">
        <v>32</v>
      </c>
      <c r="E2402">
        <f>IF(D5232&gt;0,VLOOKUP(OPERAC[[#This Row],[COD CART]],[1]!MatrizCortoLargoCyl[#All],3,0),"")</f>
        <v/>
      </c>
      <c r="F2402" t="inlineStr">
        <is>
          <t>EDIT</t>
        </is>
      </c>
      <c r="G2402" t="n">
        <v>100</v>
      </c>
      <c r="H2402" t="n">
        <v>-1661.88</v>
      </c>
      <c r="I2402">
        <f>-H5232/G5232</f>
        <v/>
      </c>
    </row>
    <row r="2403">
      <c r="A2403" t="n">
        <v>12022</v>
      </c>
      <c r="B2403" s="16" t="n">
        <v>44651</v>
      </c>
      <c r="C2403" t="inlineStr">
        <is>
          <t>VTA</t>
        </is>
      </c>
      <c r="D2403" t="n">
        <v>42</v>
      </c>
      <c r="E2403">
        <f>IF(D2125&gt;0,VLOOKUP(OPERAC[[#This Row],[COD CART]],[1]!MatrizCortoLargoCyl[#All],3,0),"")</f>
        <v/>
      </c>
      <c r="F2403" t="inlineStr">
        <is>
          <t>AMD</t>
        </is>
      </c>
      <c r="G2403" t="n">
        <v>3</v>
      </c>
      <c r="H2403" t="n">
        <v>-341.69676</v>
      </c>
      <c r="I2403">
        <f>-H2125/G2125</f>
        <v/>
      </c>
      <c r="J2403" s="16" t="n">
        <v>44693</v>
      </c>
      <c r="K2403">
        <f>+OPERAC[[#This Row],[cantidad]]</f>
        <v/>
      </c>
      <c r="L2403">
        <f>+OPERAC[[#This Row],[cantidad venta]]*85.26</f>
        <v/>
      </c>
    </row>
    <row r="2404">
      <c r="A2404" t="n">
        <v>12022</v>
      </c>
      <c r="B2404" s="16" t="n">
        <v>44652</v>
      </c>
      <c r="C2404" t="inlineStr">
        <is>
          <t>VTA</t>
        </is>
      </c>
      <c r="D2404" t="n">
        <v>42</v>
      </c>
      <c r="E2404">
        <f>IF(D5145&gt;0,VLOOKUP(OPERAC[[#This Row],[COD CART]],[1]!MatrizCortoLargoCyl[#All],3,0),"")</f>
        <v/>
      </c>
      <c r="F2404" t="inlineStr">
        <is>
          <t>GBTC</t>
        </is>
      </c>
      <c r="G2404" t="n">
        <v>50</v>
      </c>
      <c r="H2404" t="n">
        <v>-1605.49</v>
      </c>
      <c r="I2404">
        <f>-H5145/G5145</f>
        <v/>
      </c>
      <c r="J2404" s="16" t="n">
        <v>44662</v>
      </c>
      <c r="K2404">
        <f>+OPERAC[[#This Row],[cantidad]]</f>
        <v/>
      </c>
      <c r="L2404">
        <f>27.99*OPERAC[[#This Row],[cantidad venta]]</f>
        <v/>
      </c>
    </row>
    <row r="2405">
      <c r="A2405" t="n">
        <v>12022</v>
      </c>
      <c r="B2405" s="16" t="n">
        <v>44662</v>
      </c>
      <c r="C2405" t="inlineStr">
        <is>
          <t>CPR</t>
        </is>
      </c>
      <c r="D2405" t="n">
        <v>42</v>
      </c>
      <c r="E2405">
        <f>IF(D3425&gt;0,VLOOKUP(OPERAC[[#This Row],[COD CART]],[1]!MatrizCortoLargoCyl[#All],3,0),"")</f>
        <v/>
      </c>
      <c r="F2405" t="inlineStr">
        <is>
          <t>HYDR</t>
        </is>
      </c>
      <c r="G2405" t="n">
        <v>40</v>
      </c>
      <c r="H2405" t="n">
        <v>-742.8137600000001</v>
      </c>
      <c r="I2405">
        <f>-H3425/G3425</f>
        <v/>
      </c>
      <c r="J2405" s="16" t="n">
        <v>44693</v>
      </c>
      <c r="K2405">
        <f>+OPERAC[[#This Row],[cantidad]]</f>
        <v/>
      </c>
      <c r="L2405">
        <f>+OPERAC[[#This Row],[cantidad venta]]*12.027</f>
        <v/>
      </c>
    </row>
    <row r="2406">
      <c r="A2406" t="n">
        <v>12022</v>
      </c>
      <c r="B2406" s="16" t="n">
        <v>44664</v>
      </c>
      <c r="C2406" t="inlineStr">
        <is>
          <t>CPR</t>
        </is>
      </c>
      <c r="D2406" t="n">
        <v>42</v>
      </c>
      <c r="E2406">
        <f>IF(D5687&gt;0,VLOOKUP(OPERAC[[#This Row],[COD CART]],[1]!MatrizCortoLargoCyl[#All],3,0),"")</f>
        <v/>
      </c>
      <c r="F2406" t="inlineStr">
        <is>
          <t>PSQ</t>
        </is>
      </c>
      <c r="G2406" t="n">
        <v>200</v>
      </c>
      <c r="H2406" t="n">
        <v>-2486.5144362</v>
      </c>
      <c r="I2406">
        <f>-H5687/G5687</f>
        <v/>
      </c>
      <c r="J2406" s="16" t="n">
        <v>44680</v>
      </c>
      <c r="K2406">
        <f>+OPERAC[[#This Row],[cantidad]]</f>
        <v/>
      </c>
      <c r="L2406">
        <f>12.848*OPERAC[[#This Row],[cantidad venta]]</f>
        <v/>
      </c>
    </row>
    <row r="2407">
      <c r="A2407" t="n">
        <v>12022</v>
      </c>
      <c r="B2407" s="16" t="n">
        <v>44669</v>
      </c>
      <c r="C2407" t="inlineStr">
        <is>
          <t>VTA</t>
        </is>
      </c>
      <c r="D2407" t="n">
        <v>32</v>
      </c>
      <c r="E2407">
        <f>IF(D5633&gt;0,VLOOKUP(OPERAC[[#This Row],[COD CART]],[1]!MatrizCortoLargoCyl[#All],3,0),"")</f>
        <v/>
      </c>
      <c r="F2407" t="inlineStr">
        <is>
          <t>HMY</t>
        </is>
      </c>
      <c r="G2407" t="n">
        <v>500</v>
      </c>
      <c r="H2407">
        <f>-4.64*OPERAC[[#This Row],[cantidad]]</f>
        <v/>
      </c>
      <c r="I2407">
        <f>-H5633/G5633</f>
        <v/>
      </c>
    </row>
    <row r="2408">
      <c r="A2408" t="n">
        <v>12022</v>
      </c>
      <c r="B2408" s="16" t="n">
        <v>44670</v>
      </c>
      <c r="C2408" t="inlineStr">
        <is>
          <t>CPR</t>
        </is>
      </c>
      <c r="D2408" t="n">
        <v>32</v>
      </c>
      <c r="E2408">
        <f>IF(D3387&gt;0,VLOOKUP(OPERAC[[#This Row],[COD CART]],[1]!MatrizCortoLargoCyl[#All],3,0),"")</f>
        <v/>
      </c>
      <c r="F2408" t="inlineStr">
        <is>
          <t>PCT/CYL/7,50/20-05-22</t>
        </is>
      </c>
      <c r="G2408" t="n">
        <v>100</v>
      </c>
      <c r="H2408" t="n">
        <v>-710.274</v>
      </c>
      <c r="I2408">
        <f>-H3387/G3387</f>
        <v/>
      </c>
      <c r="J2408" s="16" t="n">
        <v>44698</v>
      </c>
      <c r="K2408">
        <f>+OPERAC[[#This Row],[cantidad]]</f>
        <v/>
      </c>
      <c r="L2408">
        <f>7.3616*OPERAC[[#This Row],[cantidad venta]]</f>
        <v/>
      </c>
    </row>
    <row r="2409">
      <c r="A2409" t="n">
        <v>12022</v>
      </c>
      <c r="B2409" s="16" t="n">
        <v>44677</v>
      </c>
      <c r="C2409" t="inlineStr">
        <is>
          <t>CPR</t>
        </is>
      </c>
      <c r="D2409" t="n">
        <v>32</v>
      </c>
      <c r="E2409">
        <f>IF(D4452&gt;0,VLOOKUP(OPERAC[[#This Row],[COD CART]],[1]!MatrizCortoLargoCyl[#All],3,0),"")</f>
        <v/>
      </c>
      <c r="F2409" t="inlineStr">
        <is>
          <t>HMY</t>
        </is>
      </c>
      <c r="G2409" t="n">
        <v>300</v>
      </c>
      <c r="H2409">
        <f>-3.849*OPERAC[[#This Row],[cantidad]]</f>
        <v/>
      </c>
      <c r="I2409">
        <f>-H4452/G4452</f>
        <v/>
      </c>
    </row>
    <row r="2410">
      <c r="A2410" t="n">
        <v>12022</v>
      </c>
      <c r="B2410" s="16" t="n">
        <v>44680</v>
      </c>
      <c r="C2410" t="inlineStr">
        <is>
          <t>CPR</t>
        </is>
      </c>
      <c r="D2410" t="n">
        <v>32</v>
      </c>
      <c r="E2410">
        <f>IF(D4938&gt;0,VLOOKUP(OPERAC[[#This Row],[COD CART]],[1]!MatrizCortoLargoCyl[#All],3,0),"")</f>
        <v/>
      </c>
      <c r="F2410" t="inlineStr">
        <is>
          <t>COTY/CYL/8,00/24-06-22</t>
        </is>
      </c>
      <c r="G2410" t="n">
        <v>200</v>
      </c>
      <c r="H2410">
        <f>-1512.41+7.932</f>
        <v/>
      </c>
      <c r="I2410">
        <f>-H4938/G4938</f>
        <v/>
      </c>
    </row>
    <row r="2411">
      <c r="A2411" t="n">
        <v>12022</v>
      </c>
      <c r="B2411" s="16" t="n">
        <v>44680</v>
      </c>
      <c r="C2411" t="inlineStr">
        <is>
          <t>CPR</t>
        </is>
      </c>
      <c r="D2411" t="n">
        <v>42</v>
      </c>
      <c r="E2411">
        <f>IF(D5740&gt;0,VLOOKUP(OPERAC[[#This Row],[COD CART]],[1]!MatrizCortoLargoCyl[#All],3,0),"")</f>
        <v/>
      </c>
      <c r="F2411" t="inlineStr">
        <is>
          <t>XLP</t>
        </is>
      </c>
      <c r="G2411" t="n">
        <v>33</v>
      </c>
      <c r="H2411" t="n">
        <v>-2621.3385825</v>
      </c>
      <c r="I2411">
        <f>-H5740/G5740</f>
        <v/>
      </c>
      <c r="J2411" s="16" t="n">
        <v>44693</v>
      </c>
      <c r="K2411">
        <f>+OPERAC[[#This Row],[cantidad]]</f>
        <v/>
      </c>
      <c r="L2411">
        <f>+OPERAC[[#This Row],[cantidad venta]]*74.848</f>
        <v/>
      </c>
    </row>
    <row r="2412">
      <c r="A2412" t="n">
        <v>12022</v>
      </c>
      <c r="B2412" s="16" t="n">
        <v>44680</v>
      </c>
      <c r="C2412" t="inlineStr">
        <is>
          <t>CPR</t>
        </is>
      </c>
      <c r="D2412" t="n">
        <v>32</v>
      </c>
      <c r="E2412">
        <f>IF(D5893&gt;0,VLOOKUP(OPERAC[[#This Row],[COD CART]],[1]!MatrizCortoLargoCyl[#All],3,0),"")</f>
        <v/>
      </c>
      <c r="F2412" t="inlineStr">
        <is>
          <t>TDOC/CYL/31,00/20-05-22</t>
        </is>
      </c>
      <c r="G2412" t="n">
        <v>100</v>
      </c>
      <c r="H2412" t="n">
        <v>-2974.26</v>
      </c>
      <c r="I2412">
        <f>-H5893/G5893</f>
        <v/>
      </c>
      <c r="J2412" s="16" t="n">
        <v>44701</v>
      </c>
      <c r="K2412" t="n">
        <v>100</v>
      </c>
      <c r="L2412" t="n">
        <v>3069.598</v>
      </c>
    </row>
    <row r="2413">
      <c r="A2413" t="n">
        <v>12022</v>
      </c>
      <c r="B2413" s="16" t="n">
        <v>44683</v>
      </c>
      <c r="C2413" t="inlineStr">
        <is>
          <t>CPR</t>
        </is>
      </c>
      <c r="D2413" t="n">
        <v>32</v>
      </c>
      <c r="E2413">
        <f>IF(D3373&gt;0,VLOOKUP(OPERAC[[#This Row],[COD CART]],[1]!MatrizCortoLargoCyl[#All],3,0),"")</f>
        <v/>
      </c>
      <c r="F2413" t="inlineStr">
        <is>
          <t>CRESY</t>
        </is>
      </c>
      <c r="G2413" t="n">
        <v>100</v>
      </c>
      <c r="H2413" t="n">
        <v>-704.698</v>
      </c>
      <c r="I2413">
        <f>-H3373/G3373</f>
        <v/>
      </c>
      <c r="J2413" s="16" t="n">
        <v>44708</v>
      </c>
      <c r="K2413" t="n">
        <v>100</v>
      </c>
      <c r="L2413" t="n">
        <v>733.71</v>
      </c>
    </row>
    <row r="2414">
      <c r="A2414" t="n">
        <v>12022</v>
      </c>
      <c r="B2414" s="16" t="n">
        <v>44697</v>
      </c>
      <c r="C2414" t="inlineStr">
        <is>
          <t>CPR</t>
        </is>
      </c>
      <c r="D2414" t="n">
        <v>32</v>
      </c>
      <c r="E2414">
        <f>IF(D2612&gt;0,VLOOKUP(OPERAC[[#This Row],[COD CART]],[1]!MatrizCortoLargoCyl[#All],3,0),"")</f>
        <v/>
      </c>
      <c r="F2414" t="inlineStr">
        <is>
          <t>TLRY/CYL/5,50/17-06-22</t>
        </is>
      </c>
      <c r="G2414" t="n">
        <v>100</v>
      </c>
      <c r="H2414">
        <f>-484.256+11.898</f>
        <v/>
      </c>
      <c r="I2414">
        <f>-H2612/G2612</f>
        <v/>
      </c>
    </row>
    <row r="2415">
      <c r="A2415" t="n">
        <v>12022</v>
      </c>
      <c r="B2415" s="16" t="n">
        <v>44704</v>
      </c>
      <c r="C2415" t="inlineStr">
        <is>
          <t>VTA</t>
        </is>
      </c>
      <c r="D2415" t="n">
        <v>32</v>
      </c>
      <c r="E2415">
        <f>IF(D5438&gt;0,VLOOKUP(OPERAC[[#This Row],[COD CART]],[1]!MatrizCortoLargoCyl[#All],3,0),"")</f>
        <v/>
      </c>
      <c r="F2415" t="inlineStr">
        <is>
          <t>AMC/CYL/9,50/03-06-22</t>
        </is>
      </c>
      <c r="G2415" t="n">
        <v>200</v>
      </c>
      <c r="H2415" t="n">
        <v>-1867.158</v>
      </c>
      <c r="I2415">
        <f>-H5438/G5438</f>
        <v/>
      </c>
      <c r="J2415" s="16" t="n">
        <v>44715</v>
      </c>
      <c r="K2415">
        <f>+OPERAC[[#This Row],[cantidad]]</f>
        <v/>
      </c>
      <c r="L2415">
        <f>+OPERAC[[#This Row],[cantidad venta]]*9.457</f>
        <v/>
      </c>
    </row>
    <row r="2416">
      <c r="A2416" t="n">
        <v>12022</v>
      </c>
      <c r="B2416" s="16" t="n">
        <v>44705</v>
      </c>
      <c r="C2416" t="inlineStr">
        <is>
          <t>CPR</t>
        </is>
      </c>
      <c r="D2416" t="n">
        <v>42</v>
      </c>
      <c r="E2416">
        <f>IF(D5814&gt;0,VLOOKUP(OPERAC[[#This Row],[COD CART]],[1]!MatrizCortoLargoCyl[#All],3,0),"")</f>
        <v/>
      </c>
      <c r="F2416" t="inlineStr">
        <is>
          <t>AMD</t>
        </is>
      </c>
      <c r="G2416" t="n">
        <v>30</v>
      </c>
      <c r="H2416" t="n">
        <v>-2775.1062</v>
      </c>
      <c r="I2416">
        <f>-H5814/G5814</f>
        <v/>
      </c>
      <c r="J2416" s="16" t="n">
        <v>44707</v>
      </c>
      <c r="K2416">
        <f>+OPERAC[[#This Row],[cantidad]]</f>
        <v/>
      </c>
      <c r="L2416">
        <f>+OPERAC[[#This Row],[cantidad venta]]*94.8</f>
        <v/>
      </c>
    </row>
    <row r="2417">
      <c r="A2417" t="n">
        <v>12022</v>
      </c>
      <c r="B2417" s="16" t="n">
        <v>44705</v>
      </c>
      <c r="C2417" t="inlineStr">
        <is>
          <t>VTA</t>
        </is>
      </c>
      <c r="D2417" t="n">
        <v>32</v>
      </c>
      <c r="E2417">
        <f>IF(D5240&gt;0,VLOOKUP(OPERAC[[#This Row],[COD CART]],[1]!MatrizCortoLargoCyl[#All],3,0),"")</f>
        <v/>
      </c>
      <c r="F2417" t="inlineStr">
        <is>
          <t>HIMX/CYL/8,50/03-06-22</t>
        </is>
      </c>
      <c r="G2417" t="n">
        <v>200</v>
      </c>
      <c r="H2417" t="n">
        <v>-1667.72</v>
      </c>
      <c r="I2417">
        <f>-H5240/G5240</f>
        <v/>
      </c>
      <c r="J2417" s="16" t="n">
        <v>44715</v>
      </c>
      <c r="K2417">
        <f>+OPERAC[[#This Row],[cantidad]]</f>
        <v/>
      </c>
      <c r="L2417">
        <f>+OPERAC[[#This Row],[cantidad venta]]*8.462</f>
        <v/>
      </c>
    </row>
    <row r="2418">
      <c r="A2418" t="n">
        <v>12022</v>
      </c>
      <c r="B2418" s="16" t="n">
        <v>44708</v>
      </c>
      <c r="C2418" t="inlineStr">
        <is>
          <t>VTA</t>
        </is>
      </c>
      <c r="D2418" t="n">
        <v>42</v>
      </c>
      <c r="E2418">
        <f>IF(D2181&gt;0,VLOOKUP(OPERAC[[#This Row],[COD CART]],[1]!MatrizCortoLargoCyl[#All],3,0),"")</f>
        <v/>
      </c>
      <c r="F2418" t="inlineStr">
        <is>
          <t>ACB</t>
        </is>
      </c>
      <c r="G2418" t="n">
        <v>200</v>
      </c>
      <c r="H2418" t="n">
        <v>-365.064157761</v>
      </c>
      <c r="I2418">
        <f>-H2181/G2181</f>
        <v/>
      </c>
    </row>
    <row r="2419">
      <c r="A2419" t="n">
        <v>12022</v>
      </c>
      <c r="B2419" s="16" t="n">
        <v>44712</v>
      </c>
      <c r="C2419" t="inlineStr">
        <is>
          <t>CPR</t>
        </is>
      </c>
      <c r="D2419" t="n">
        <v>32</v>
      </c>
      <c r="E2419">
        <f>IF(D4561&gt;0,VLOOKUP(OPERAC[[#This Row],[COD CART]],[1]!MatrizCortoLargoCyl[#All],3,0),"")</f>
        <v/>
      </c>
      <c r="F2419" t="inlineStr">
        <is>
          <t>AMC/CYL/13,00/10-06-22</t>
        </is>
      </c>
      <c r="G2419" t="n">
        <v>100</v>
      </c>
      <c r="H2419" t="n">
        <v>-1232.75</v>
      </c>
      <c r="I2419">
        <f>-H4561/G4561</f>
        <v/>
      </c>
      <c r="J2419" s="16" t="n">
        <v>44722</v>
      </c>
      <c r="K2419" t="n">
        <v>100</v>
      </c>
      <c r="L2419" t="n">
        <v>1234.29</v>
      </c>
    </row>
    <row r="2420">
      <c r="A2420" t="n">
        <v>12022</v>
      </c>
      <c r="B2420" s="16" t="n">
        <v>44712</v>
      </c>
      <c r="C2420" t="inlineStr">
        <is>
          <t>CPR</t>
        </is>
      </c>
      <c r="D2420" t="n">
        <v>42</v>
      </c>
      <c r="E2420">
        <f>IF(D5878&gt;0,VLOOKUP(OPERAC[[#This Row],[COD CART]],[1]!MatrizCortoLargoCyl[#All],3,0),"")</f>
        <v/>
      </c>
      <c r="F2420" t="inlineStr">
        <is>
          <t>KWEB</t>
        </is>
      </c>
      <c r="G2420" t="n">
        <v>100</v>
      </c>
      <c r="H2420" t="n">
        <v>-2959.725</v>
      </c>
      <c r="I2420">
        <f>-H5878/G5878</f>
        <v/>
      </c>
    </row>
    <row r="2421">
      <c r="A2421" t="n">
        <v>12022</v>
      </c>
      <c r="B2421" s="16" t="n">
        <v>44712</v>
      </c>
      <c r="C2421" t="inlineStr">
        <is>
          <t>VTA</t>
        </is>
      </c>
      <c r="D2421" t="n">
        <v>39</v>
      </c>
      <c r="E2421">
        <f>IF(D1556&gt;0,VLOOKUP(OPERAC[[#This Row],[COD CART]],[1]!MatrizCortoLargoCyl[#All],3,0),"")</f>
        <v/>
      </c>
      <c r="F2421" t="inlineStr">
        <is>
          <t>ET/C/10,00/21-10-22</t>
        </is>
      </c>
      <c r="G2421" t="n">
        <v>100</v>
      </c>
      <c r="H2421" t="n">
        <v>-202.808</v>
      </c>
      <c r="I2421">
        <f>-H1556/G1556</f>
        <v/>
      </c>
    </row>
    <row r="2422">
      <c r="A2422" t="n">
        <v>12022</v>
      </c>
      <c r="B2422" s="16" t="n">
        <v>44713</v>
      </c>
      <c r="C2422" t="inlineStr">
        <is>
          <t>CPR</t>
        </is>
      </c>
      <c r="D2422" t="n">
        <v>42</v>
      </c>
      <c r="E2422">
        <f>IF(D4132&gt;0,VLOOKUP(OPERAC[[#This Row],[COD CART]],[1]!MatrizCortoLargoCyl[#All],3,0),"")</f>
        <v/>
      </c>
      <c r="F2422" t="inlineStr">
        <is>
          <t>UPST</t>
        </is>
      </c>
      <c r="G2422" t="n">
        <v>20</v>
      </c>
      <c r="H2422" t="n">
        <v>-962.9363999999999</v>
      </c>
      <c r="I2422">
        <f>-H4132/G4132</f>
        <v/>
      </c>
      <c r="J2422" s="16" t="n">
        <v>44714</v>
      </c>
      <c r="K2422">
        <f>+OPERAC[[#This Row],[cantidad]]</f>
        <v/>
      </c>
      <c r="L2422">
        <f>+OPERAC[[#This Row],[cantidad venta]]*49.312</f>
        <v/>
      </c>
    </row>
    <row r="2423">
      <c r="A2423" t="n">
        <v>12022</v>
      </c>
      <c r="B2423" s="16" t="n">
        <v>44715</v>
      </c>
      <c r="C2423" t="inlineStr">
        <is>
          <t>VTA</t>
        </is>
      </c>
      <c r="D2423" t="n">
        <v>32</v>
      </c>
      <c r="E2423">
        <f>IF(D5076&gt;0,VLOOKUP(OPERAC[[#This Row],[COD CART]],[1]!MatrizCortoLargoCyl[#All],3,0),"")</f>
        <v/>
      </c>
      <c r="F2423" t="inlineStr">
        <is>
          <t>AAL/CYL/16,50/17-06-22</t>
        </is>
      </c>
      <c r="G2423" t="n">
        <v>100</v>
      </c>
      <c r="H2423" t="n">
        <v>-1580.215</v>
      </c>
      <c r="I2423">
        <f>-H5076/G5076</f>
        <v/>
      </c>
    </row>
    <row r="2424">
      <c r="A2424" t="n">
        <v>12022</v>
      </c>
      <c r="B2424" s="16" t="n">
        <v>44718</v>
      </c>
      <c r="C2424" t="inlineStr">
        <is>
          <t>CPR</t>
        </is>
      </c>
      <c r="D2424" t="n">
        <v>32</v>
      </c>
      <c r="E2424">
        <f>IF(D4600&gt;0,VLOOKUP(OPERAC[[#This Row],[COD CART]],[1]!MatrizCortoLargoCyl[#All],3,0),"")</f>
        <v/>
      </c>
      <c r="F2424" t="inlineStr">
        <is>
          <t>CCL/CYL/13,00/17-06-22</t>
        </is>
      </c>
      <c r="G2424" t="n">
        <v>100</v>
      </c>
      <c r="H2424" t="n">
        <v>-1255.43</v>
      </c>
      <c r="I2424">
        <f>-H4600/G4600</f>
        <v/>
      </c>
    </row>
    <row r="2425">
      <c r="A2425" t="n">
        <v>12022</v>
      </c>
      <c r="B2425" s="16" t="n">
        <v>44720</v>
      </c>
      <c r="C2425" t="inlineStr">
        <is>
          <t>CPR</t>
        </is>
      </c>
      <c r="D2425" t="n">
        <v>42</v>
      </c>
      <c r="E2425">
        <f>IF(D4966&gt;0,VLOOKUP(OPERAC[[#This Row],[COD CART]],[1]!MatrizCortoLargoCyl[#All],3,0),"")</f>
        <v/>
      </c>
      <c r="F2425" t="inlineStr">
        <is>
          <t>HYDR</t>
        </is>
      </c>
      <c r="G2425" t="n">
        <v>100</v>
      </c>
      <c r="H2425" t="n">
        <v>-1512.75</v>
      </c>
      <c r="I2425">
        <f>-H4966/G4966</f>
        <v/>
      </c>
    </row>
    <row r="2426">
      <c r="A2426" t="n">
        <v>12022</v>
      </c>
      <c r="B2426" s="16" t="n">
        <v>44725</v>
      </c>
      <c r="C2426" t="inlineStr">
        <is>
          <t>CPR</t>
        </is>
      </c>
      <c r="D2426" t="n">
        <v>40</v>
      </c>
      <c r="E2426">
        <f>IF(D4207&gt;0,VLOOKUP(OPERAC[[#This Row],[COD CART]],[1]!MatrizCortoLargoCyl[#All],3,0),"")</f>
        <v/>
      </c>
      <c r="F2426" t="inlineStr">
        <is>
          <t>EDIT</t>
        </is>
      </c>
      <c r="G2426" t="n">
        <v>100</v>
      </c>
      <c r="H2426" t="n">
        <v>-993.8364099999999</v>
      </c>
      <c r="I2426">
        <f>-H4207/G4207</f>
        <v/>
      </c>
    </row>
    <row r="2427">
      <c r="A2427" t="n">
        <v>12022</v>
      </c>
      <c r="B2427" s="16" t="n">
        <v>44725</v>
      </c>
      <c r="C2427" t="inlineStr">
        <is>
          <t>CPR</t>
        </is>
      </c>
      <c r="D2427" t="n">
        <v>40</v>
      </c>
      <c r="E2427">
        <f>IF(D4721&gt;0,VLOOKUP(OPERAC[[#This Row],[COD CART]],[1]!MatrizCortoLargoCyl[#All],3,0),"")</f>
        <v/>
      </c>
      <c r="F2427" t="inlineStr">
        <is>
          <t>AAL</t>
        </is>
      </c>
      <c r="G2427" t="n">
        <v>100</v>
      </c>
      <c r="H2427" t="n">
        <v>-1336.56505</v>
      </c>
      <c r="I2427">
        <f>-H4721/G4721</f>
        <v/>
      </c>
    </row>
    <row r="2428">
      <c r="A2428" t="n">
        <v>12022</v>
      </c>
      <c r="B2428" s="16" t="n">
        <v>44725</v>
      </c>
      <c r="C2428" t="inlineStr">
        <is>
          <t>VTA</t>
        </is>
      </c>
      <c r="D2428" t="n">
        <v>40</v>
      </c>
      <c r="E2428">
        <f>IF(D3114&gt;0,VLOOKUP(OPERAC[[#This Row],[COD CART]],[1]!MatrizCortoLargoCyl[#All],3,0),"")</f>
        <v/>
      </c>
      <c r="F2428" t="inlineStr">
        <is>
          <t>MELI</t>
        </is>
      </c>
      <c r="G2428" t="n">
        <v>1</v>
      </c>
      <c r="H2428" t="n">
        <v>-628.39635</v>
      </c>
      <c r="I2428">
        <f>-H3114/G3114</f>
        <v/>
      </c>
    </row>
    <row r="2429">
      <c r="A2429" t="n">
        <v>12022</v>
      </c>
      <c r="B2429" s="16" t="n">
        <v>44725</v>
      </c>
      <c r="C2429" t="inlineStr">
        <is>
          <t>VTA</t>
        </is>
      </c>
      <c r="D2429" t="n">
        <v>40</v>
      </c>
      <c r="E2429">
        <f>IF(D3910&gt;0,VLOOKUP(OPERAC[[#This Row],[COD CART]],[1]!MatrizCortoLargoCyl[#All],3,0),"")</f>
        <v/>
      </c>
      <c r="F2429" t="inlineStr">
        <is>
          <t>AMD</t>
        </is>
      </c>
      <c r="G2429" t="n">
        <v>10</v>
      </c>
      <c r="H2429" t="n">
        <v>-876.9411749999999</v>
      </c>
      <c r="I2429">
        <f>-H3910/G3910</f>
        <v/>
      </c>
    </row>
    <row r="2430">
      <c r="A2430" t="n">
        <v>12611</v>
      </c>
      <c r="B2430" s="16" t="n">
        <v>44466</v>
      </c>
      <c r="C2430" t="inlineStr">
        <is>
          <t>VTA</t>
        </is>
      </c>
      <c r="D2430" t="n">
        <v>43</v>
      </c>
      <c r="E2430">
        <f>IF(D1651&gt;0,VLOOKUP(OPERAC[[#This Row],[COD CART]],[1]!MatrizCortoLargoCyl[#All],3,0),"")</f>
        <v/>
      </c>
      <c r="F2430" t="inlineStr">
        <is>
          <t>SOLO/CYL-PUT/4,00/18-03-22</t>
        </is>
      </c>
      <c r="G2430" t="n">
        <v>100</v>
      </c>
      <c r="H2430">
        <f>-297.41727+0.32*OPERAC[[#This Row],[cantidad]]+0.387*OPERAC[[#This Row],[cantidad]]</f>
        <v/>
      </c>
      <c r="I2430">
        <f>-H1651/G1651</f>
        <v/>
      </c>
      <c r="J2430" s="16" t="n">
        <v>44564</v>
      </c>
      <c r="K2430" t="n">
        <v>100</v>
      </c>
      <c r="L2430" t="n">
        <v>62.546</v>
      </c>
    </row>
    <row r="2431">
      <c r="A2431" t="n">
        <v>12611</v>
      </c>
      <c r="B2431" s="16" t="n">
        <v>44531</v>
      </c>
      <c r="C2431" t="inlineStr">
        <is>
          <t>VTA</t>
        </is>
      </c>
      <c r="D2431" t="n">
        <v>39</v>
      </c>
      <c r="E2431">
        <f>IF(D1252&gt;0,VLOOKUP(OPERAC[[#This Row],[COD CART]],[1]!MatrizCortoLargoCyl[#All],3,0),"")</f>
        <v/>
      </c>
      <c r="F2431" t="inlineStr">
        <is>
          <t>MELI/V/740,00/16-09-22</t>
        </is>
      </c>
      <c r="G2431" t="n">
        <v>-1</v>
      </c>
      <c r="H2431" t="n">
        <v>2</v>
      </c>
      <c r="I2431">
        <f>-H1252/G1252</f>
        <v/>
      </c>
    </row>
    <row r="2432">
      <c r="A2432" t="n">
        <v>12611</v>
      </c>
      <c r="B2432" s="16" t="n">
        <v>44564</v>
      </c>
      <c r="C2432" t="inlineStr">
        <is>
          <t>VTA</t>
        </is>
      </c>
      <c r="D2432" t="n">
        <v>39</v>
      </c>
      <c r="E2432">
        <f>IF(D732&gt;0,VLOOKUP(OPERAC[[#This Row],[COD CART]],[1]!MatrizCortoLargoCyl[#All],3,0),"")</f>
        <v/>
      </c>
      <c r="F2432" t="inlineStr">
        <is>
          <t>TSLA/V/975,00/07-01-22</t>
        </is>
      </c>
      <c r="G2432" t="n">
        <v>-500</v>
      </c>
      <c r="H2432" t="n">
        <v>386.289</v>
      </c>
      <c r="I2432">
        <f>-H732/G732</f>
        <v/>
      </c>
      <c r="J2432" s="16" t="n">
        <v>44567</v>
      </c>
      <c r="K2432" t="n">
        <v>-500</v>
      </c>
      <c r="L2432" t="n">
        <v>-386.29</v>
      </c>
    </row>
    <row r="2433">
      <c r="A2433" t="n">
        <v>12611</v>
      </c>
      <c r="B2433" s="16" t="n">
        <v>44567</v>
      </c>
      <c r="C2433" t="inlineStr">
        <is>
          <t>VTA</t>
        </is>
      </c>
      <c r="D2433" t="n">
        <v>39</v>
      </c>
      <c r="E2433">
        <f>IF(D138&gt;0,VLOOKUP(OPERAC[[#This Row],[COD CART]],[1]!MatrizCortoLargoCyl[#All],3,0),"")</f>
        <v/>
      </c>
      <c r="F2433" t="inlineStr">
        <is>
          <t>TSLA/V/880,00/14-01-22</t>
        </is>
      </c>
      <c r="G2433" t="n">
        <v>-500</v>
      </c>
      <c r="H2433" t="n">
        <v>2974.6685</v>
      </c>
      <c r="I2433">
        <f>-H138/G138</f>
        <v/>
      </c>
      <c r="J2433" s="16" t="n">
        <v>44571</v>
      </c>
      <c r="K2433" t="n">
        <v>-500</v>
      </c>
      <c r="L2433" t="n">
        <v>-1681.7765</v>
      </c>
    </row>
    <row r="2434">
      <c r="A2434" t="n">
        <v>12611</v>
      </c>
      <c r="B2434" s="16" t="n">
        <v>44571</v>
      </c>
      <c r="C2434" t="inlineStr">
        <is>
          <t>VTA</t>
        </is>
      </c>
      <c r="D2434" t="n">
        <v>39</v>
      </c>
      <c r="E2434">
        <f>IF(D404&gt;0,VLOOKUP(OPERAC[[#This Row],[COD CART]],[1]!MatrizCortoLargoCyl[#All],3,0),"")</f>
        <v/>
      </c>
      <c r="F2434" t="inlineStr">
        <is>
          <t>TSLA/V/870,00/21-01-22</t>
        </is>
      </c>
      <c r="G2434" t="n">
        <v>-200</v>
      </c>
      <c r="H2434" t="n">
        <v>1150.1874</v>
      </c>
      <c r="I2434">
        <f>-H404/G404</f>
        <v/>
      </c>
      <c r="J2434" s="16" t="n">
        <v>44574</v>
      </c>
      <c r="K2434" t="n">
        <v>-200</v>
      </c>
      <c r="L2434" t="n">
        <v>-333.1626</v>
      </c>
    </row>
    <row r="2435">
      <c r="A2435" t="n">
        <v>12611</v>
      </c>
      <c r="B2435" s="16" t="n">
        <v>44574</v>
      </c>
      <c r="C2435" t="inlineStr">
        <is>
          <t>VTA</t>
        </is>
      </c>
      <c r="D2435" t="n">
        <v>39</v>
      </c>
      <c r="E2435">
        <f>IF(D791&gt;0,VLOOKUP(OPERAC[[#This Row],[COD CART]],[1]!MatrizCortoLargoCyl[#All],3,0),"")</f>
        <v/>
      </c>
      <c r="F2435" t="inlineStr">
        <is>
          <t>TSLA/V/900,00/21-01-22</t>
        </is>
      </c>
      <c r="G2435" t="n">
        <v>-100</v>
      </c>
      <c r="H2435" t="n">
        <v>267.5752</v>
      </c>
      <c r="I2435">
        <f>-H791/G791</f>
        <v/>
      </c>
      <c r="J2435" s="16" t="n">
        <v>44582</v>
      </c>
      <c r="K2435">
        <f>+OPERAC[[#This Row],[cantidad]]</f>
        <v/>
      </c>
      <c r="L2435" t="n">
        <v>0</v>
      </c>
    </row>
    <row r="2436">
      <c r="A2436" t="n">
        <v>12611</v>
      </c>
      <c r="B2436" s="16" t="n">
        <v>44582</v>
      </c>
      <c r="C2436" t="inlineStr">
        <is>
          <t>CPR</t>
        </is>
      </c>
      <c r="D2436" t="n">
        <v>40</v>
      </c>
      <c r="E2436">
        <f>IF(D6222&gt;0,VLOOKUP(OPERAC[[#This Row],[COD CART]],[1]!MatrizCortoLargoCyl[#All],3,0),"")</f>
        <v/>
      </c>
      <c r="F2436" t="inlineStr">
        <is>
          <t>ACB</t>
        </is>
      </c>
      <c r="G2436" t="n">
        <v>240</v>
      </c>
      <c r="H2436">
        <f>-25*OPERAC[[#This Row],[cantidad]]</f>
        <v/>
      </c>
      <c r="I2436">
        <f>-H6222/G6222</f>
        <v/>
      </c>
      <c r="J2436" s="16" t="n">
        <v>44585</v>
      </c>
      <c r="K2436" t="n">
        <v>240</v>
      </c>
      <c r="L2436" t="n">
        <v>971.317</v>
      </c>
    </row>
    <row r="2437">
      <c r="A2437" t="n">
        <v>12611</v>
      </c>
      <c r="B2437" s="16" t="n">
        <v>44585</v>
      </c>
      <c r="C2437" t="inlineStr">
        <is>
          <t>VTA</t>
        </is>
      </c>
      <c r="D2437" t="n">
        <v>39</v>
      </c>
      <c r="E2437">
        <f>IF(D45&gt;0,VLOOKUP(OPERAC[[#This Row],[COD CART]],[1]!MatrizCortoLargoCyl[#All],3,0),"")</f>
        <v/>
      </c>
      <c r="F2437" t="inlineStr">
        <is>
          <t>MELI/V/800,00/28-01-22</t>
        </is>
      </c>
      <c r="G2437" t="n">
        <v>-600</v>
      </c>
      <c r="H2437" t="n">
        <v>5416.32</v>
      </c>
      <c r="I2437">
        <f>-H45/G45</f>
        <v/>
      </c>
      <c r="J2437" s="16" t="n">
        <v>44589</v>
      </c>
      <c r="K2437" t="n">
        <v>-600</v>
      </c>
      <c r="L2437" t="n">
        <v>-30.24</v>
      </c>
    </row>
    <row r="2438">
      <c r="A2438" t="n">
        <v>12611</v>
      </c>
      <c r="B2438" s="16" t="n">
        <v>44669</v>
      </c>
      <c r="C2438" t="inlineStr">
        <is>
          <t>CPR</t>
        </is>
      </c>
      <c r="D2438" t="n">
        <v>42</v>
      </c>
      <c r="E2438">
        <f>IF(D4340&gt;0,VLOOKUP(OPERAC[[#This Row],[COD CART]],[1]!MatrizCortoLargoCyl[#All],3,0),"")</f>
        <v/>
      </c>
      <c r="F2438" t="inlineStr">
        <is>
          <t>FB</t>
        </is>
      </c>
      <c r="G2438" t="n">
        <v>5</v>
      </c>
      <c r="H2438" t="n">
        <v>-1064.623</v>
      </c>
      <c r="I2438">
        <f>-H4340/G4340</f>
        <v/>
      </c>
      <c r="J2438" s="16" t="n">
        <v>44672</v>
      </c>
      <c r="K2438" t="n">
        <v>5</v>
      </c>
      <c r="L2438" t="n">
        <v>974.496</v>
      </c>
    </row>
    <row r="2439">
      <c r="A2439" t="n">
        <v>12611</v>
      </c>
      <c r="B2439" s="16" t="n">
        <v>44669</v>
      </c>
      <c r="C2439" t="inlineStr">
        <is>
          <t>VTA</t>
        </is>
      </c>
      <c r="D2439" t="n">
        <v>32</v>
      </c>
      <c r="E2439">
        <f>IF(D2523&gt;0,VLOOKUP(OPERAC[[#This Row],[COD CART]],[1]!MatrizCortoLargoCyl[#All],3,0),"")</f>
        <v/>
      </c>
      <c r="F2439" t="inlineStr">
        <is>
          <t>HMY</t>
        </is>
      </c>
      <c r="G2439" t="n">
        <v>100</v>
      </c>
      <c r="H2439">
        <f>-4.64*OPERAC[[#This Row],[cantidad]]</f>
        <v/>
      </c>
      <c r="I2439">
        <f>-H2523/G2523</f>
        <v/>
      </c>
    </row>
    <row r="2440">
      <c r="A2440" t="n">
        <v>12611</v>
      </c>
      <c r="B2440" s="16" t="n">
        <v>44669</v>
      </c>
      <c r="C2440" t="inlineStr">
        <is>
          <t>VTA</t>
        </is>
      </c>
      <c r="D2440" t="n">
        <v>42</v>
      </c>
      <c r="E2440">
        <f>IF(D2893&gt;0,VLOOKUP(OPERAC[[#This Row],[COD CART]],[1]!MatrizCortoLargoCyl[#All],3,0),"")</f>
        <v/>
      </c>
      <c r="F2440" t="inlineStr">
        <is>
          <t>HYDR</t>
        </is>
      </c>
      <c r="G2440" t="n">
        <v>30</v>
      </c>
      <c r="H2440" t="n">
        <v>-542.472</v>
      </c>
      <c r="I2440">
        <f>-H2893/G2893</f>
        <v/>
      </c>
      <c r="J2440" s="16" t="n">
        <v>44693</v>
      </c>
      <c r="K2440">
        <f>+OPERAC[[#This Row],[cantidad]]</f>
        <v/>
      </c>
      <c r="L2440">
        <f>+OPERAC[[#This Row],[cantidad venta]]*12.027</f>
        <v/>
      </c>
    </row>
    <row r="2441">
      <c r="A2441" t="n">
        <v>12611</v>
      </c>
      <c r="B2441" s="16" t="n">
        <v>44672</v>
      </c>
      <c r="C2441" t="inlineStr">
        <is>
          <t>CPR</t>
        </is>
      </c>
      <c r="D2441" t="n">
        <v>42</v>
      </c>
      <c r="E2441">
        <f>IF(D4346&gt;0,VLOOKUP(OPERAC[[#This Row],[COD CART]],[1]!MatrizCortoLargoCyl[#All],3,0),"")</f>
        <v/>
      </c>
      <c r="F2441" t="inlineStr">
        <is>
          <t>NFLX</t>
        </is>
      </c>
      <c r="G2441" t="n">
        <v>5</v>
      </c>
      <c r="H2441" t="n">
        <v>-1071.48</v>
      </c>
      <c r="I2441">
        <f>-H4346/G4346</f>
        <v/>
      </c>
      <c r="J2441" s="16" t="n">
        <v>44693</v>
      </c>
      <c r="K2441">
        <f>+OPERAC[[#This Row],[cantidad]]</f>
        <v/>
      </c>
      <c r="L2441">
        <f>+OPERAC[[#This Row],[cantidad venta]]*169.079</f>
        <v/>
      </c>
    </row>
    <row r="2442">
      <c r="A2442" t="n">
        <v>12611</v>
      </c>
      <c r="B2442" s="16" t="n">
        <v>44712</v>
      </c>
      <c r="C2442" t="inlineStr">
        <is>
          <t>VTA</t>
        </is>
      </c>
      <c r="D2442" t="n">
        <v>39</v>
      </c>
      <c r="E2442">
        <f>IF(D1557&gt;0,VLOOKUP(OPERAC[[#This Row],[COD CART]],[1]!MatrizCortoLargoCyl[#All],3,0),"")</f>
        <v/>
      </c>
      <c r="F2442" t="inlineStr">
        <is>
          <t>ET/C/10,00/21-10-22</t>
        </is>
      </c>
      <c r="G2442" t="n">
        <v>100</v>
      </c>
      <c r="H2442" t="n">
        <v>-202.808</v>
      </c>
      <c r="I2442">
        <f>-H1557/G1557</f>
        <v/>
      </c>
    </row>
    <row r="2443">
      <c r="A2443" t="n">
        <v>12611</v>
      </c>
      <c r="B2443" s="16" t="n">
        <v>44718</v>
      </c>
      <c r="C2443" t="inlineStr">
        <is>
          <t>VTA</t>
        </is>
      </c>
      <c r="D2443" t="n">
        <v>42</v>
      </c>
      <c r="E2443">
        <f>IF(D3097&gt;0,VLOOKUP(OPERAC[[#This Row],[COD CART]],[1]!MatrizCortoLargoCyl[#All],3,0),"")</f>
        <v/>
      </c>
      <c r="F2443" t="inlineStr">
        <is>
          <t>KWEB</t>
        </is>
      </c>
      <c r="G2443" t="n">
        <v>20</v>
      </c>
      <c r="H2443" t="n">
        <v>-621.66776</v>
      </c>
      <c r="I2443">
        <f>-H3097/G3097</f>
        <v/>
      </c>
    </row>
    <row r="2444">
      <c r="A2444" t="n">
        <v>12619</v>
      </c>
      <c r="B2444" s="16" t="n">
        <v>44424</v>
      </c>
      <c r="C2444" t="inlineStr">
        <is>
          <t>VTA</t>
        </is>
      </c>
      <c r="D2444" t="n">
        <v>39</v>
      </c>
      <c r="E2444">
        <f>IF(D785&gt;0,VLOOKUP(OPERAC[[#This Row],[COD CART]],[1]!MatrizCortoLargoCyl[#All],3,0),"")</f>
        <v/>
      </c>
      <c r="F2444" t="inlineStr">
        <is>
          <t>ACB/V/5,00/20-01-23</t>
        </is>
      </c>
      <c r="G2444" t="n">
        <v>-200</v>
      </c>
      <c r="H2444" t="n">
        <v>287.5606</v>
      </c>
      <c r="I2444">
        <f>-H785/G785</f>
        <v/>
      </c>
      <c r="J2444" s="16" t="n">
        <v>44582</v>
      </c>
      <c r="K2444" t="n">
        <v>-200</v>
      </c>
      <c r="L2444">
        <f>-OPERAC[[#This Row],[importe]]</f>
        <v/>
      </c>
    </row>
    <row r="2445">
      <c r="A2445" t="n">
        <v>12619</v>
      </c>
      <c r="B2445" s="16" t="n">
        <v>44441</v>
      </c>
      <c r="C2445" t="inlineStr">
        <is>
          <t>VTA</t>
        </is>
      </c>
      <c r="D2445" t="n">
        <v>39</v>
      </c>
      <c r="E2445">
        <f>IF(D499&gt;0,VLOOKUP(OPERAC[[#This Row],[COD CART]],[1]!MatrizCortoLargoCyl[#All],3,0),"")</f>
        <v/>
      </c>
      <c r="F2445" t="inlineStr">
        <is>
          <t>DDD/V/15,00/20-01-23</t>
        </is>
      </c>
      <c r="G2445" t="n">
        <v>-500</v>
      </c>
      <c r="H2445" t="n">
        <v>919.8235</v>
      </c>
      <c r="I2445">
        <f>-H499/G499</f>
        <v/>
      </c>
      <c r="J2445" s="16" t="n">
        <v>44582</v>
      </c>
      <c r="K2445" t="n">
        <v>-500</v>
      </c>
      <c r="L2445">
        <f>-OPERAC[[#This Row],[importe]]</f>
        <v/>
      </c>
    </row>
    <row r="2446">
      <c r="A2446" t="n">
        <v>12619</v>
      </c>
      <c r="B2446" s="16" t="n">
        <v>44523</v>
      </c>
      <c r="C2446" t="inlineStr">
        <is>
          <t>VTA</t>
        </is>
      </c>
      <c r="D2446" t="n">
        <v>32</v>
      </c>
      <c r="E2446">
        <f>IF(D2349&gt;0,VLOOKUP(OPERAC[[#This Row],[COD CART]],[1]!MatrizCortoLargoCyl[#All],3,0),"")</f>
        <v/>
      </c>
      <c r="F2446" t="inlineStr">
        <is>
          <t>GMBL/CYL/5,00/18-02-22</t>
        </is>
      </c>
      <c r="G2446" t="n">
        <v>100</v>
      </c>
      <c r="H2446" t="n">
        <v>-411.931</v>
      </c>
      <c r="I2446">
        <f>-H2349/G2349</f>
        <v/>
      </c>
      <c r="J2446" s="16" t="n">
        <v>44595</v>
      </c>
      <c r="K2446" t="n">
        <v>100</v>
      </c>
      <c r="L2446" t="n">
        <v>274.766</v>
      </c>
    </row>
    <row r="2447">
      <c r="A2447" t="n">
        <v>12619</v>
      </c>
      <c r="B2447" s="16" t="n">
        <v>44523</v>
      </c>
      <c r="C2447" t="inlineStr">
        <is>
          <t>VTA</t>
        </is>
      </c>
      <c r="D2447" t="n">
        <v>32</v>
      </c>
      <c r="E2447">
        <f>IF(D3740&gt;0,VLOOKUP(OPERAC[[#This Row],[COD CART]],[1]!MatrizCortoLargoCyl[#All],3,0),"")</f>
        <v/>
      </c>
      <c r="F2447" t="inlineStr">
        <is>
          <t>TEVA/CYL/9,00/21-01-22</t>
        </is>
      </c>
      <c r="G2447" t="n">
        <v>100</v>
      </c>
      <c r="H2447">
        <f>-861.6332+18.874</f>
        <v/>
      </c>
      <c r="I2447">
        <f>-H3740/G3740</f>
        <v/>
      </c>
      <c r="J2447" s="16" t="n">
        <v>44575</v>
      </c>
      <c r="K2447" t="n">
        <v>100</v>
      </c>
      <c r="L2447" t="n">
        <v>878.913</v>
      </c>
    </row>
    <row r="2448">
      <c r="A2448" t="n">
        <v>12619</v>
      </c>
      <c r="B2448" s="16" t="n">
        <v>44531</v>
      </c>
      <c r="C2448" t="inlineStr">
        <is>
          <t>VTA</t>
        </is>
      </c>
      <c r="D2448" t="n">
        <v>39</v>
      </c>
      <c r="E2448">
        <f>IF(D1241&gt;0,VLOOKUP(OPERAC[[#This Row],[COD CART]],[1]!MatrizCortoLargoCyl[#All],3,0),"")</f>
        <v/>
      </c>
      <c r="F2448" t="inlineStr">
        <is>
          <t>MELI/V/640,00/16-09-22</t>
        </is>
      </c>
      <c r="G2448" t="n">
        <v>-2</v>
      </c>
      <c r="H2448" t="n">
        <v>4</v>
      </c>
      <c r="I2448">
        <f>-H1241/G1241</f>
        <v/>
      </c>
    </row>
    <row r="2449">
      <c r="A2449" t="n">
        <v>12619</v>
      </c>
      <c r="B2449" s="16" t="n">
        <v>44536</v>
      </c>
      <c r="C2449" t="inlineStr">
        <is>
          <t>CPR</t>
        </is>
      </c>
      <c r="D2449" t="n">
        <v>40</v>
      </c>
      <c r="E2449">
        <f>IF(D4033&gt;0,VLOOKUP(OPERAC[[#This Row],[COD CART]],[1]!MatrizCortoLargoCyl[#All],3,0),"")</f>
        <v/>
      </c>
      <c r="F2449" t="inlineStr">
        <is>
          <t>UVXY</t>
        </is>
      </c>
      <c r="G2449" t="n">
        <v>40</v>
      </c>
      <c r="H2449" t="n">
        <v>-927.1568</v>
      </c>
      <c r="I2449">
        <f>-H4033/G4033</f>
        <v/>
      </c>
      <c r="J2449" s="16" t="n">
        <v>44571</v>
      </c>
      <c r="K2449">
        <f>+OPERAC[[#This Row],[cantidad]]</f>
        <v/>
      </c>
      <c r="L2449">
        <f>+OPERAC[[#This Row],[cantidad venta]]*14.135</f>
        <v/>
      </c>
    </row>
    <row r="2450">
      <c r="A2450" t="n">
        <v>12619</v>
      </c>
      <c r="B2450" s="16" t="n">
        <v>44538</v>
      </c>
      <c r="C2450" t="inlineStr">
        <is>
          <t>VTA</t>
        </is>
      </c>
      <c r="D2450" t="n">
        <v>39</v>
      </c>
      <c r="E2450">
        <f>IF(D452&gt;0,VLOOKUP(OPERAC[[#This Row],[COD CART]],[1]!MatrizCortoLargoCyl[#All],3,0),"")</f>
        <v/>
      </c>
      <c r="F2450" t="inlineStr">
        <is>
          <t>MELI/V/880,00/21-01-22</t>
        </is>
      </c>
      <c r="G2450" t="n">
        <v>-100</v>
      </c>
      <c r="H2450" t="n">
        <v>1011.84</v>
      </c>
      <c r="I2450">
        <f>-H452/G452</f>
        <v/>
      </c>
      <c r="J2450" s="16" t="n">
        <v>44582</v>
      </c>
      <c r="K2450">
        <f>+OPERAC[[#This Row],[cantidad]]</f>
        <v/>
      </c>
      <c r="L2450" t="n">
        <v>0</v>
      </c>
    </row>
    <row r="2451">
      <c r="A2451" t="n">
        <v>12619</v>
      </c>
      <c r="B2451" s="16" t="n">
        <v>44539</v>
      </c>
      <c r="C2451" t="inlineStr">
        <is>
          <t>CPR</t>
        </is>
      </c>
      <c r="D2451" t="n">
        <v>40</v>
      </c>
      <c r="E2451">
        <f>IF(D4646&gt;0,VLOOKUP(OPERAC[[#This Row],[COD CART]],[1]!MatrizCortoLargoCyl[#All],3,0),"")</f>
        <v/>
      </c>
      <c r="F2451" t="inlineStr">
        <is>
          <t>ROKU</t>
        </is>
      </c>
      <c r="G2451" t="n">
        <v>5</v>
      </c>
      <c r="H2451" t="n">
        <v>-1288.6018</v>
      </c>
      <c r="I2451">
        <f>-H4646/G4646</f>
        <v/>
      </c>
      <c r="J2451" s="16" t="n">
        <v>44606</v>
      </c>
      <c r="K2451">
        <f>+OPERAC[[#This Row],[cantidad]]</f>
        <v/>
      </c>
      <c r="L2451">
        <f>+OPERAC[[#This Row],[cantidad venta]]*160.574</f>
        <v/>
      </c>
    </row>
    <row r="2452">
      <c r="A2452" t="n">
        <v>12619</v>
      </c>
      <c r="B2452" s="16" t="n">
        <v>44550</v>
      </c>
      <c r="C2452" t="inlineStr">
        <is>
          <t>VTA</t>
        </is>
      </c>
      <c r="D2452" t="n">
        <v>40</v>
      </c>
      <c r="E2452">
        <f>IF(D3948&gt;0,VLOOKUP(OPERAC[[#This Row],[COD CART]],[1]!MatrizCortoLargoCyl[#All],3,0),"")</f>
        <v/>
      </c>
      <c r="F2452" t="inlineStr">
        <is>
          <t>SMH</t>
        </is>
      </c>
      <c r="G2452" t="n">
        <v>3</v>
      </c>
      <c r="H2452" t="n">
        <v>-881.9191199999999</v>
      </c>
      <c r="I2452">
        <f>-H3948/G3948</f>
        <v/>
      </c>
      <c r="J2452" s="16" t="n">
        <v>44574</v>
      </c>
      <c r="K2452">
        <f>+OPERAC[[#This Row],[cantidad]]</f>
        <v/>
      </c>
      <c r="L2452">
        <f>+OPERAC[[#This Row],[cantidad venta]]*306.843</f>
        <v/>
      </c>
    </row>
    <row r="2453">
      <c r="A2453" t="n">
        <v>12619</v>
      </c>
      <c r="B2453" s="16" t="n">
        <v>44551</v>
      </c>
      <c r="C2453" t="inlineStr">
        <is>
          <t>CPR</t>
        </is>
      </c>
      <c r="D2453" t="n">
        <v>40</v>
      </c>
      <c r="E2453">
        <f>IF(D3991&gt;0,VLOOKUP(OPERAC[[#This Row],[COD CART]],[1]!MatrizCortoLargoCyl[#All],3,0),"")</f>
        <v/>
      </c>
      <c r="F2453" t="inlineStr">
        <is>
          <t>EDIT</t>
        </is>
      </c>
      <c r="G2453" t="n">
        <v>30</v>
      </c>
      <c r="H2453" t="n">
        <v>-912.7859999999999</v>
      </c>
      <c r="I2453">
        <f>-H3991/G3991</f>
        <v/>
      </c>
      <c r="J2453" s="16" t="n">
        <v>44606</v>
      </c>
      <c r="K2453" t="n">
        <v>30</v>
      </c>
      <c r="L2453" t="n">
        <v>480.983</v>
      </c>
    </row>
    <row r="2454">
      <c r="A2454" t="n">
        <v>12619</v>
      </c>
      <c r="B2454" s="16" t="n">
        <v>44558</v>
      </c>
      <c r="C2454" t="inlineStr">
        <is>
          <t>VTA</t>
        </is>
      </c>
      <c r="D2454" t="n">
        <v>40</v>
      </c>
      <c r="E2454">
        <f>IF(D1944&gt;0,VLOOKUP(OPERAC[[#This Row],[COD CART]],[1]!MatrizCortoLargoCyl[#All],3,0),"")</f>
        <v/>
      </c>
      <c r="F2454" t="inlineStr">
        <is>
          <t>UPST</t>
        </is>
      </c>
      <c r="G2454" t="n">
        <v>2</v>
      </c>
      <c r="H2454" t="n">
        <v>-301.2004</v>
      </c>
      <c r="I2454">
        <f>-H1944/G1944</f>
        <v/>
      </c>
      <c r="J2454" s="16" t="n">
        <v>44606</v>
      </c>
      <c r="K2454">
        <f>+OPERAC[[#This Row],[cantidad]]</f>
        <v/>
      </c>
      <c r="L2454">
        <f>+OPERAC[[#This Row],[cantidad venta]]*98.994</f>
        <v/>
      </c>
    </row>
    <row r="2455">
      <c r="A2455" t="n">
        <v>12619</v>
      </c>
      <c r="B2455" s="16" t="n">
        <v>44575</v>
      </c>
      <c r="C2455" t="inlineStr">
        <is>
          <t>VTA</t>
        </is>
      </c>
      <c r="D2455" t="n">
        <v>40</v>
      </c>
      <c r="E2455">
        <f>IF(D1996&gt;0,VLOOKUP(OPERAC[[#This Row],[COD CART]],[1]!MatrizCortoLargoCyl[#All],3,0),"")</f>
        <v/>
      </c>
      <c r="F2455" t="inlineStr">
        <is>
          <t>GBTC</t>
        </is>
      </c>
      <c r="G2455" t="n">
        <v>10</v>
      </c>
      <c r="H2455" t="n">
        <v>-308.0948</v>
      </c>
      <c r="I2455">
        <f>-H1996/G1996</f>
        <v/>
      </c>
      <c r="J2455" s="16" t="n">
        <v>44651</v>
      </c>
      <c r="K2455">
        <f>+OPERAC[[#This Row],[cantidad]]</f>
        <v/>
      </c>
      <c r="L2455">
        <f>+OPERAC[[#This Row],[cantidad venta]]*31.332</f>
        <v/>
      </c>
    </row>
    <row r="2456">
      <c r="A2456" t="n">
        <v>12619</v>
      </c>
      <c r="B2456" s="16" t="n">
        <v>44581</v>
      </c>
      <c r="C2456" t="inlineStr">
        <is>
          <t>CPR</t>
        </is>
      </c>
      <c r="D2456" t="n">
        <v>32</v>
      </c>
      <c r="E2456">
        <f>IF(D3574&gt;0,VLOOKUP(OPERAC[[#This Row],[COD CART]],[1]!MatrizCortoLargoCyl[#All],3,0),"")</f>
        <v/>
      </c>
      <c r="F2456" t="inlineStr">
        <is>
          <t>HMY/CYL/4,00/18-02-22</t>
        </is>
      </c>
      <c r="G2456" t="n">
        <v>200</v>
      </c>
      <c r="H2456" t="n">
        <v>-774.9359920000001</v>
      </c>
      <c r="I2456">
        <f>-H3574/G3574</f>
        <v/>
      </c>
      <c r="J2456" s="16" t="n">
        <v>44610</v>
      </c>
      <c r="K2456">
        <f>+OPERAC[[#This Row],[cantidad]]</f>
        <v/>
      </c>
      <c r="L2456">
        <f>+OPERAC[[#This Row],[cantidad venta]]*3.8323</f>
        <v/>
      </c>
    </row>
    <row r="2457">
      <c r="A2457" t="n">
        <v>12619</v>
      </c>
      <c r="B2457" s="16" t="n">
        <v>44582</v>
      </c>
      <c r="C2457" t="inlineStr">
        <is>
          <t>CPR</t>
        </is>
      </c>
      <c r="D2457" t="n">
        <v>40</v>
      </c>
      <c r="E2457">
        <f>IF(D3610&gt;0,VLOOKUP(OPERAC[[#This Row],[COD CART]],[1]!MatrizCortoLargoCyl[#All],3,0),"")</f>
        <v/>
      </c>
      <c r="F2457" t="inlineStr">
        <is>
          <t>NFLX</t>
        </is>
      </c>
      <c r="G2457" t="n">
        <v>2</v>
      </c>
      <c r="H2457" t="n">
        <v>-781.2742000000001</v>
      </c>
      <c r="I2457">
        <f>-H3610/G3610</f>
        <v/>
      </c>
      <c r="J2457" s="16" t="n">
        <v>44593</v>
      </c>
      <c r="K2457">
        <f>+OPERAC[[#This Row],[cantidad]]</f>
        <v/>
      </c>
      <c r="L2457">
        <f>+OPERAC[[#This Row],[cantidad venta]]*448.602</f>
        <v/>
      </c>
    </row>
    <row r="2458">
      <c r="A2458" t="n">
        <v>12619</v>
      </c>
      <c r="B2458" s="16" t="n">
        <v>44582</v>
      </c>
      <c r="C2458" t="inlineStr">
        <is>
          <t>VTA</t>
        </is>
      </c>
      <c r="D2458" t="n">
        <v>39</v>
      </c>
      <c r="E2458">
        <f>IF(D155&gt;0,VLOOKUP(OPERAC[[#This Row],[COD CART]],[1]!MatrizCortoLargoCyl[#All],3,0),"")</f>
        <v/>
      </c>
      <c r="F2458" t="inlineStr">
        <is>
          <t>ROKU/V/150,00/28-01-22</t>
        </is>
      </c>
      <c r="G2458" t="n">
        <v>-700</v>
      </c>
      <c r="H2458" t="n">
        <v>2566.512</v>
      </c>
      <c r="I2458">
        <f>-H155/G155</f>
        <v/>
      </c>
      <c r="J2458" s="16" t="n">
        <v>44588</v>
      </c>
      <c r="K2458" t="n">
        <v>-700</v>
      </c>
      <c r="L2458">
        <f>-OPERAC[[#This Row],[importe]]</f>
        <v/>
      </c>
    </row>
    <row r="2459">
      <c r="A2459" t="n">
        <v>12619</v>
      </c>
      <c r="B2459" s="16" t="n">
        <v>44586</v>
      </c>
      <c r="C2459" t="inlineStr">
        <is>
          <t>CPR</t>
        </is>
      </c>
      <c r="D2459" t="n">
        <v>43</v>
      </c>
      <c r="E2459">
        <f>IF(D2738&gt;0,VLOOKUP(OPERAC[[#This Row],[COD CART]],[1]!MatrizCortoLargoCyl[#All],3,0),"")</f>
        <v/>
      </c>
      <c r="F2459" t="inlineStr">
        <is>
          <t>GMBL/CYL-PUT/2,50/20-01-23</t>
        </is>
      </c>
      <c r="G2459" t="n">
        <v>500</v>
      </c>
      <c r="H2459" t="n">
        <v>-508.0223</v>
      </c>
      <c r="I2459">
        <f>-H2738/G2738</f>
        <v/>
      </c>
      <c r="J2459" s="16" t="n">
        <v>44636</v>
      </c>
      <c r="K2459" t="n">
        <v>500</v>
      </c>
      <c r="L2459">
        <f>-1.36*OPERAC[[#This Row],[cantidad venta]]</f>
        <v/>
      </c>
    </row>
    <row r="2460">
      <c r="A2460" t="n">
        <v>12619</v>
      </c>
      <c r="B2460" s="16" t="n">
        <v>44588</v>
      </c>
      <c r="C2460" t="inlineStr">
        <is>
          <t>VTA</t>
        </is>
      </c>
      <c r="D2460" t="n">
        <v>39</v>
      </c>
      <c r="E2460">
        <f>IF(D89&gt;0,VLOOKUP(OPERAC[[#This Row],[COD CART]],[1]!MatrizCortoLargoCyl[#All],3,0),"")</f>
        <v/>
      </c>
      <c r="F2460" t="inlineStr">
        <is>
          <t>ROKU/V/150,00/04-02-22</t>
        </is>
      </c>
      <c r="G2460" t="n">
        <v>-400</v>
      </c>
      <c r="H2460" t="n">
        <v>3799.75</v>
      </c>
      <c r="I2460">
        <f>-H89/G89</f>
        <v/>
      </c>
      <c r="J2460" s="16" t="n">
        <v>44595</v>
      </c>
      <c r="K2460" t="n">
        <v>-400</v>
      </c>
      <c r="L2460" t="n">
        <v>-2340.164</v>
      </c>
    </row>
    <row r="2461">
      <c r="A2461" t="n">
        <v>12619</v>
      </c>
      <c r="B2461" s="16" t="n">
        <v>44595</v>
      </c>
      <c r="C2461" t="inlineStr">
        <is>
          <t>VTA</t>
        </is>
      </c>
      <c r="D2461" t="n">
        <v>39</v>
      </c>
      <c r="E2461">
        <f>IF(D185&gt;0,VLOOKUP(OPERAC[[#This Row],[COD CART]],[1]!MatrizCortoLargoCyl[#All],3,0),"")</f>
        <v/>
      </c>
      <c r="F2461" t="inlineStr">
        <is>
          <t>ROKU/V/145,00/11-02-22</t>
        </is>
      </c>
      <c r="G2461" t="n">
        <v>-300</v>
      </c>
      <c r="H2461" t="n">
        <v>2230.779</v>
      </c>
      <c r="I2461">
        <f>-H185/G185</f>
        <v/>
      </c>
      <c r="J2461" s="16" t="n">
        <v>44603</v>
      </c>
      <c r="K2461" t="n">
        <v>-300</v>
      </c>
      <c r="L2461" t="n">
        <v>0</v>
      </c>
    </row>
    <row r="2462">
      <c r="A2462" t="n">
        <v>12619</v>
      </c>
      <c r="B2462" s="16" t="n">
        <v>44599</v>
      </c>
      <c r="C2462" t="inlineStr">
        <is>
          <t>CPR</t>
        </is>
      </c>
      <c r="D2462" t="n">
        <v>40</v>
      </c>
      <c r="E2462">
        <f>IF(D3392&gt;0,VLOOKUP(OPERAC[[#This Row],[COD CART]],[1]!MatrizCortoLargoCyl[#All],3,0),"")</f>
        <v/>
      </c>
      <c r="F2462" t="inlineStr">
        <is>
          <t>FB</t>
        </is>
      </c>
      <c r="G2462" t="n">
        <v>3</v>
      </c>
      <c r="H2462" t="n">
        <v>-715.38</v>
      </c>
      <c r="I2462">
        <f>-H3392/G3392</f>
        <v/>
      </c>
      <c r="J2462" s="16" t="n">
        <v>44616</v>
      </c>
      <c r="K2462">
        <f>+OPERAC[[#This Row],[cantidad]]</f>
        <v/>
      </c>
      <c r="L2462">
        <f>200.299*OPERAC[[#This Row],[cantidad venta]]</f>
        <v/>
      </c>
    </row>
    <row r="2463">
      <c r="A2463" t="n">
        <v>12619</v>
      </c>
      <c r="B2463" s="16" t="n">
        <v>44602</v>
      </c>
      <c r="C2463" t="inlineStr">
        <is>
          <t>CPR</t>
        </is>
      </c>
      <c r="D2463" t="n">
        <v>32</v>
      </c>
      <c r="E2463">
        <f>IF(D4497&gt;0,VLOOKUP(OPERAC[[#This Row],[COD CART]],[1]!MatrizCortoLargoCyl[#All],3,0),"")</f>
        <v/>
      </c>
      <c r="F2463" t="inlineStr">
        <is>
          <t>BIOX/CYL/12,50/18-03-22</t>
        </is>
      </c>
      <c r="G2463" t="n">
        <v>100</v>
      </c>
      <c r="H2463" t="n">
        <v>-1176</v>
      </c>
      <c r="I2463">
        <f>-H4497/G4497</f>
        <v/>
      </c>
      <c r="J2463" s="16" t="n">
        <v>44634</v>
      </c>
      <c r="K2463" t="n">
        <v>100</v>
      </c>
      <c r="L2463" t="n">
        <v>1235.48</v>
      </c>
    </row>
    <row r="2464">
      <c r="A2464" t="n">
        <v>12619</v>
      </c>
      <c r="B2464" s="16" t="n">
        <v>44608</v>
      </c>
      <c r="C2464" t="inlineStr">
        <is>
          <t>VTA</t>
        </is>
      </c>
      <c r="D2464" t="n">
        <v>32</v>
      </c>
      <c r="E2464">
        <f>IF(D5103&gt;0,VLOOKUP(OPERAC[[#This Row],[COD CART]],[1]!MatrizCortoLargoCyl[#All],3,0),"")</f>
        <v/>
      </c>
      <c r="F2464" t="inlineStr">
        <is>
          <t>DDD/CYL/17,00/01-04-22</t>
        </is>
      </c>
      <c r="G2464" t="n">
        <v>100</v>
      </c>
      <c r="H2464">
        <f>-1629.4234+19.7+16.45</f>
        <v/>
      </c>
      <c r="I2464">
        <f>-H5103/G5103</f>
        <v/>
      </c>
      <c r="J2464" s="16" t="n">
        <v>44649</v>
      </c>
      <c r="K2464" t="n">
        <v>100</v>
      </c>
      <c r="L2464" t="n">
        <v>1661.98</v>
      </c>
    </row>
    <row r="2465">
      <c r="A2465" t="n">
        <v>12619</v>
      </c>
      <c r="B2465" s="16" t="n">
        <v>44616</v>
      </c>
      <c r="C2465" t="inlineStr">
        <is>
          <t>CPR</t>
        </is>
      </c>
      <c r="D2465" t="n">
        <v>32</v>
      </c>
      <c r="E2465">
        <f>IF(D3293&gt;0,VLOOKUP(OPERAC[[#This Row],[COD CART]],[1]!MatrizCortoLargoCyl[#All],3,0),"")</f>
        <v/>
      </c>
      <c r="F2465" t="inlineStr">
        <is>
          <t>UUUU/CYL/8,00/18-03-22</t>
        </is>
      </c>
      <c r="G2465" t="n">
        <v>100</v>
      </c>
      <c r="H2465" t="n">
        <v>-683.826</v>
      </c>
      <c r="I2465">
        <f>-H3293/G3293</f>
        <v/>
      </c>
      <c r="J2465" s="16" t="n">
        <v>44636</v>
      </c>
      <c r="K2465">
        <f>+OPERAC[[#This Row],[cantidad]]</f>
        <v/>
      </c>
      <c r="L2465" t="n">
        <v>767.46</v>
      </c>
    </row>
    <row r="2466">
      <c r="A2466" t="n">
        <v>12619</v>
      </c>
      <c r="B2466" s="16" t="n">
        <v>44628</v>
      </c>
      <c r="C2466" t="inlineStr">
        <is>
          <t>VTA</t>
        </is>
      </c>
      <c r="D2466" t="n">
        <v>40</v>
      </c>
      <c r="E2466">
        <f>IF(D2393&gt;0,VLOOKUP(OPERAC[[#This Row],[COD CART]],[1]!MatrizCortoLargoCyl[#All],3,0),"")</f>
        <v/>
      </c>
      <c r="F2466" t="inlineStr">
        <is>
          <t>CVV</t>
        </is>
      </c>
      <c r="G2466" t="n">
        <v>100</v>
      </c>
      <c r="H2466" t="n">
        <v>-422.4488</v>
      </c>
      <c r="I2466">
        <f>-H2393/G2393</f>
        <v/>
      </c>
      <c r="J2466" s="16" t="n">
        <v>44649</v>
      </c>
      <c r="K2466">
        <f>+OPERAC[[#This Row],[cantidad]]</f>
        <v/>
      </c>
      <c r="L2466">
        <f>+OPERAC[[#This Row],[cantidad venta]]*4.459</f>
        <v/>
      </c>
    </row>
    <row r="2467">
      <c r="A2467" t="n">
        <v>12619</v>
      </c>
      <c r="B2467" s="16" t="n">
        <v>44636</v>
      </c>
      <c r="C2467" t="inlineStr">
        <is>
          <t>VTA</t>
        </is>
      </c>
      <c r="D2467" t="n">
        <v>43</v>
      </c>
      <c r="E2467">
        <f>IF(D1708&gt;0,VLOOKUP(OPERAC[[#This Row],[COD CART]],[1]!MatrizCortoLargoCyl[#All],3,0),"")</f>
        <v/>
      </c>
      <c r="F2467" t="inlineStr">
        <is>
          <t>GMBL/CYL-PUT/1,00/20-01-23</t>
        </is>
      </c>
      <c r="G2467" t="n">
        <v>1500</v>
      </c>
      <c r="H2467" t="n">
        <v>-245.0829749999998</v>
      </c>
      <c r="I2467">
        <f>-H1708/G1708</f>
        <v/>
      </c>
    </row>
    <row r="2468">
      <c r="A2468" t="n">
        <v>12619</v>
      </c>
      <c r="B2468" s="16" t="n">
        <v>44637</v>
      </c>
      <c r="C2468" t="inlineStr">
        <is>
          <t>VTA</t>
        </is>
      </c>
      <c r="D2468" t="n">
        <v>43</v>
      </c>
      <c r="E2468">
        <f>IF(D1331&gt;0,VLOOKUP(OPERAC[[#This Row],[COD CART]],[1]!MatrizCortoLargoCyl[#All],3,0),"")</f>
        <v/>
      </c>
      <c r="F2468" t="inlineStr">
        <is>
          <t>GMBL/CYL-PUT/1,00/20-01-23</t>
        </is>
      </c>
      <c r="G2468" t="n">
        <v>500</v>
      </c>
      <c r="H2468" t="n">
        <v>-103.91588</v>
      </c>
      <c r="I2468">
        <f>-H1331/G1331</f>
        <v/>
      </c>
    </row>
    <row r="2469">
      <c r="A2469" t="n">
        <v>12619</v>
      </c>
      <c r="B2469" s="16" t="n">
        <v>44641</v>
      </c>
      <c r="C2469" t="inlineStr">
        <is>
          <t>VTA</t>
        </is>
      </c>
      <c r="D2469" t="n">
        <v>42</v>
      </c>
      <c r="E2469">
        <f>IF(D2377&gt;0,VLOOKUP(OPERAC[[#This Row],[COD CART]],[1]!MatrizCortoLargoCyl[#All],3,0),"")</f>
        <v/>
      </c>
      <c r="F2469" t="inlineStr">
        <is>
          <t>JPM</t>
        </is>
      </c>
      <c r="G2469" t="n">
        <v>3</v>
      </c>
      <c r="H2469" t="n">
        <v>-421.3630200000001</v>
      </c>
      <c r="I2469">
        <f>-H2377/G2377</f>
        <v/>
      </c>
      <c r="J2469" s="16" t="n">
        <v>44664</v>
      </c>
      <c r="K2469">
        <f>+OPERAC[[#This Row],[cantidad]]</f>
        <v/>
      </c>
      <c r="L2469">
        <f>+OPERAC[[#This Row],[cantidad venta]]*125.943</f>
        <v/>
      </c>
    </row>
    <row r="2470">
      <c r="A2470" t="n">
        <v>12619</v>
      </c>
      <c r="B2470" s="16" t="n">
        <v>44641</v>
      </c>
      <c r="C2470" t="inlineStr">
        <is>
          <t>VTA</t>
        </is>
      </c>
      <c r="D2470" t="n">
        <v>42</v>
      </c>
      <c r="E2470">
        <f>IF(D3159&gt;0,VLOOKUP(OPERAC[[#This Row],[COD CART]],[1]!MatrizCortoLargoCyl[#All],3,0),"")</f>
        <v/>
      </c>
      <c r="F2470" t="inlineStr">
        <is>
          <t>FB</t>
        </is>
      </c>
      <c r="G2470" t="n">
        <v>3</v>
      </c>
      <c r="H2470" t="n">
        <v>-636.4691399999999</v>
      </c>
      <c r="I2470">
        <f>-H3159/G3159</f>
        <v/>
      </c>
      <c r="J2470" s="16" t="n">
        <v>44671</v>
      </c>
      <c r="K2470">
        <f>+OPERAC[[#This Row],[cantidad]]</f>
        <v/>
      </c>
      <c r="L2470">
        <f>+OPERAC[[#This Row],[cantidad venta]]*213.173</f>
        <v/>
      </c>
    </row>
    <row r="2471">
      <c r="A2471" t="n">
        <v>12619</v>
      </c>
      <c r="B2471" s="16" t="n">
        <v>44649</v>
      </c>
      <c r="C2471" t="inlineStr">
        <is>
          <t>CPR</t>
        </is>
      </c>
      <c r="D2471" t="n">
        <v>42</v>
      </c>
      <c r="E2471">
        <f>IF(D2649&gt;0,VLOOKUP(OPERAC[[#This Row],[COD CART]],[1]!MatrizCortoLargoCyl[#All],3,0),"")</f>
        <v/>
      </c>
      <c r="F2471" t="inlineStr">
        <is>
          <t>CRESY</t>
        </is>
      </c>
      <c r="G2471" t="n">
        <v>60</v>
      </c>
      <c r="H2471" t="n">
        <v>-485.53104</v>
      </c>
      <c r="I2471">
        <f>-H2649/G2649</f>
        <v/>
      </c>
      <c r="J2471" s="16" t="n">
        <v>44657</v>
      </c>
      <c r="K2471">
        <f>+OPERAC[[#This Row],[cantidad]]</f>
        <v/>
      </c>
      <c r="L2471">
        <f>+OPERAC[[#This Row],[cantidad venta]]*7.664</f>
        <v/>
      </c>
    </row>
    <row r="2472">
      <c r="A2472" t="n">
        <v>12619</v>
      </c>
      <c r="B2472" s="16" t="n">
        <v>44649</v>
      </c>
      <c r="C2472" t="inlineStr">
        <is>
          <t>VTA</t>
        </is>
      </c>
      <c r="D2472" t="n">
        <v>32</v>
      </c>
      <c r="E2472">
        <f>IF(D5414&gt;0,VLOOKUP(OPERAC[[#This Row],[COD CART]],[1]!MatrizCortoLargoCyl[#All],3,0),"")</f>
        <v/>
      </c>
      <c r="F2472" t="inlineStr">
        <is>
          <t>SPWR</t>
        </is>
      </c>
      <c r="G2472" t="n">
        <v>100</v>
      </c>
      <c r="H2472">
        <f>-1865.225+17.847</f>
        <v/>
      </c>
      <c r="I2472">
        <f>-H5414/G5414</f>
        <v/>
      </c>
    </row>
    <row r="2473">
      <c r="A2473" t="n">
        <v>12619</v>
      </c>
      <c r="B2473" s="16" t="n">
        <v>44651</v>
      </c>
      <c r="C2473" t="inlineStr">
        <is>
          <t>VTA</t>
        </is>
      </c>
      <c r="D2473" t="n">
        <v>42</v>
      </c>
      <c r="E2473">
        <f>IF(D2126&gt;0,VLOOKUP(OPERAC[[#This Row],[COD CART]],[1]!MatrizCortoLargoCyl[#All],3,0),"")</f>
        <v/>
      </c>
      <c r="F2473" t="inlineStr">
        <is>
          <t>AMD</t>
        </is>
      </c>
      <c r="G2473" t="n">
        <v>3</v>
      </c>
      <c r="H2473" t="n">
        <v>-341.69676</v>
      </c>
      <c r="I2473">
        <f>-H2126/G2126</f>
        <v/>
      </c>
      <c r="J2473" s="16" t="n">
        <v>44693</v>
      </c>
      <c r="K2473">
        <f>+OPERAC[[#This Row],[cantidad]]</f>
        <v/>
      </c>
      <c r="L2473">
        <f>+OPERAC[[#This Row],[cantidad venta]]*85.26</f>
        <v/>
      </c>
    </row>
    <row r="2474">
      <c r="A2474" t="n">
        <v>12619</v>
      </c>
      <c r="B2474" s="16" t="n">
        <v>44662</v>
      </c>
      <c r="C2474" t="inlineStr">
        <is>
          <t>VTA</t>
        </is>
      </c>
      <c r="D2474" t="n">
        <v>42</v>
      </c>
      <c r="E2474">
        <f>IF(D1846&gt;0,VLOOKUP(OPERAC[[#This Row],[COD CART]],[1]!MatrizCortoLargoCyl[#All],3,0),"")</f>
        <v/>
      </c>
      <c r="F2474" t="inlineStr">
        <is>
          <t>HYDR</t>
        </is>
      </c>
      <c r="G2474" t="n">
        <v>15</v>
      </c>
      <c r="H2474" t="n">
        <v>-278.5551599999999</v>
      </c>
      <c r="I2474">
        <f>-H1846/G1846</f>
        <v/>
      </c>
      <c r="J2474" s="16" t="n">
        <v>44693</v>
      </c>
      <c r="K2474">
        <f>+OPERAC[[#This Row],[cantidad]]</f>
        <v/>
      </c>
      <c r="L2474">
        <f>+OPERAC[[#This Row],[cantidad venta]]*12.027</f>
        <v/>
      </c>
    </row>
    <row r="2475">
      <c r="A2475" t="n">
        <v>12619</v>
      </c>
      <c r="B2475" s="16" t="n">
        <v>44671</v>
      </c>
      <c r="C2475" t="inlineStr">
        <is>
          <t>CPR</t>
        </is>
      </c>
      <c r="D2475" t="n">
        <v>42</v>
      </c>
      <c r="E2475">
        <f>IF(D3503&gt;0,VLOOKUP(OPERAC[[#This Row],[COD CART]],[1]!MatrizCortoLargoCyl[#All],3,0),"")</f>
        <v/>
      </c>
      <c r="F2475" t="inlineStr">
        <is>
          <t>NFLX</t>
        </is>
      </c>
      <c r="G2475" t="n">
        <v>3</v>
      </c>
      <c r="H2475" t="n">
        <v>-763.51518</v>
      </c>
      <c r="I2475">
        <f>-H3503/G3503</f>
        <v/>
      </c>
      <c r="J2475" s="16" t="n">
        <v>44693</v>
      </c>
      <c r="K2475">
        <f>+OPERAC[[#This Row],[cantidad]]</f>
        <v/>
      </c>
      <c r="L2475">
        <f>+OPERAC[[#This Row],[cantidad venta]]*169.079</f>
        <v/>
      </c>
    </row>
    <row r="2476">
      <c r="A2476" t="n">
        <v>12619</v>
      </c>
      <c r="B2476" s="16" t="n">
        <v>44698</v>
      </c>
      <c r="C2476" t="inlineStr">
        <is>
          <t>VTA</t>
        </is>
      </c>
      <c r="D2476" t="n">
        <v>39</v>
      </c>
      <c r="E2476">
        <f>IF(D1745&gt;0,VLOOKUP(OPERAC[[#This Row],[COD CART]],[1]!MatrizCortoLargoCyl[#All],3,0),"")</f>
        <v/>
      </c>
      <c r="F2476" t="inlineStr">
        <is>
          <t>NTLA/C/65,00/15-07-22</t>
        </is>
      </c>
      <c r="G2476" t="n">
        <v>100</v>
      </c>
      <c r="H2476" t="n">
        <v>-252.125</v>
      </c>
      <c r="I2476">
        <f>-H1745/G1745</f>
        <v/>
      </c>
    </row>
    <row r="2477">
      <c r="A2477" t="n">
        <v>12619</v>
      </c>
      <c r="B2477" s="16" t="n">
        <v>44712</v>
      </c>
      <c r="C2477" t="inlineStr">
        <is>
          <t>CPR</t>
        </is>
      </c>
      <c r="D2477" t="n">
        <v>32</v>
      </c>
      <c r="E2477">
        <f>IF(D3337&gt;0,VLOOKUP(OPERAC[[#This Row],[COD CART]],[1]!MatrizCortoLargoCyl[#All],3,0),"")</f>
        <v/>
      </c>
      <c r="F2477" t="inlineStr">
        <is>
          <t>CRESY/CYL/7,50/17-06-22</t>
        </is>
      </c>
      <c r="G2477" t="n">
        <v>100</v>
      </c>
      <c r="H2477" t="n">
        <v>-693.075</v>
      </c>
      <c r="I2477">
        <f>-H3337/G3337</f>
        <v/>
      </c>
    </row>
    <row r="2478">
      <c r="A2478" t="n">
        <v>12619</v>
      </c>
      <c r="B2478" s="16" t="n">
        <v>44721</v>
      </c>
      <c r="C2478" t="inlineStr">
        <is>
          <t>VTA</t>
        </is>
      </c>
      <c r="D2478" t="n">
        <v>32</v>
      </c>
      <c r="E2478">
        <f>IF(D1290&gt;0,VLOOKUP(OPERAC[[#This Row],[COD CART]],[1]!MatrizCortoLargoCyl[#All],3,0),"")</f>
        <v/>
      </c>
      <c r="F2478" t="inlineStr">
        <is>
          <t>SESN/CYP/1,00/20-01-23</t>
        </is>
      </c>
      <c r="G2478" t="n">
        <v>500</v>
      </c>
      <c r="H2478">
        <f>-0.176*OPERAC[[#This Row],[cantidad]]</f>
        <v/>
      </c>
      <c r="I2478">
        <f>-H1290/G1290</f>
        <v/>
      </c>
    </row>
    <row r="2479">
      <c r="A2479" t="n">
        <v>12627</v>
      </c>
      <c r="B2479" s="16" t="n">
        <v>44277</v>
      </c>
      <c r="C2479" t="inlineStr">
        <is>
          <t>VTA</t>
        </is>
      </c>
      <c r="D2479" t="n">
        <v>39</v>
      </c>
      <c r="E2479">
        <f>IF(D1251&gt;0,VLOOKUP(OPERAC[[#This Row],[COD CART]],[1]!MatrizCortoLargoCyl[#All],3,0),"")</f>
        <v/>
      </c>
      <c r="F2479" t="inlineStr">
        <is>
          <t>TLRY1/V/10,00/20-01-23</t>
        </is>
      </c>
      <c r="G2479" t="n">
        <v>-2</v>
      </c>
      <c r="H2479" t="n">
        <v>2</v>
      </c>
      <c r="I2479">
        <f>-H1251/G1251</f>
        <v/>
      </c>
      <c r="J2479" s="16" t="n">
        <v>44628</v>
      </c>
      <c r="K2479" t="n">
        <v>-2</v>
      </c>
      <c r="L2479" t="n">
        <v>-12.49</v>
      </c>
    </row>
    <row r="2480">
      <c r="A2480" t="n">
        <v>12627</v>
      </c>
      <c r="B2480" s="16" t="n">
        <v>44340</v>
      </c>
      <c r="C2480" t="inlineStr">
        <is>
          <t>VTA</t>
        </is>
      </c>
      <c r="D2480" t="n">
        <v>39</v>
      </c>
      <c r="E2480">
        <f>IF(D1191&gt;0,VLOOKUP(OPERAC[[#This Row],[COD CART]],[1]!MatrizCortoLargoCyl[#All],3,0),"")</f>
        <v/>
      </c>
      <c r="F2480" t="inlineStr">
        <is>
          <t>SOLO/V/2,50/20-01-23</t>
        </is>
      </c>
      <c r="G2480" t="n">
        <v>-10</v>
      </c>
      <c r="H2480" t="n">
        <v>9.960000000000001</v>
      </c>
      <c r="I2480">
        <f>-H1191/G1191</f>
        <v/>
      </c>
    </row>
    <row r="2481">
      <c r="A2481" t="n">
        <v>12627</v>
      </c>
      <c r="B2481" s="16" t="n">
        <v>44378</v>
      </c>
      <c r="C2481" t="inlineStr">
        <is>
          <t>CPR</t>
        </is>
      </c>
      <c r="D2481" t="n">
        <v>32</v>
      </c>
      <c r="E2481">
        <f>IF(D3445&gt;0,VLOOKUP(OPERAC[[#This Row],[COD CART]],[1]!MatrizCortoLargoCyl[#All],3,0),"")</f>
        <v/>
      </c>
      <c r="F2481" t="inlineStr">
        <is>
          <t>INO/CYL/8,00/18-02-22</t>
        </is>
      </c>
      <c r="G2481" t="n">
        <v>100</v>
      </c>
      <c r="H2481">
        <f>-7.87*OPERAC[[#This Row],[cantidad]]+15.402+14.579+4.707</f>
        <v/>
      </c>
      <c r="I2481">
        <f>-H3445/G3445</f>
        <v/>
      </c>
      <c r="J2481" s="16" t="n">
        <v>44596</v>
      </c>
      <c r="K2481" t="n">
        <v>100</v>
      </c>
      <c r="L2481">
        <f>3.665*OPERAC[[#This Row],[cantidad venta]]</f>
        <v/>
      </c>
    </row>
    <row r="2482">
      <c r="A2482" t="n">
        <v>12627</v>
      </c>
      <c r="B2482" s="16" t="n">
        <v>44431</v>
      </c>
      <c r="C2482" t="inlineStr">
        <is>
          <t>VTA</t>
        </is>
      </c>
      <c r="D2482" t="n">
        <v>39</v>
      </c>
      <c r="E2482">
        <f>IF(D1101&gt;0,VLOOKUP(OPERAC[[#This Row],[COD CART]],[1]!MatrizCortoLargoCyl[#All],3,0),"")</f>
        <v/>
      </c>
      <c r="F2482" t="inlineStr">
        <is>
          <t>GGAL/V/10,00/20-01-23</t>
        </is>
      </c>
      <c r="G2482" t="n">
        <v>-10</v>
      </c>
      <c r="H2482" t="n">
        <v>24.8</v>
      </c>
      <c r="I2482">
        <f>-H1101/G1101</f>
        <v/>
      </c>
    </row>
    <row r="2483">
      <c r="A2483" t="n">
        <v>12627</v>
      </c>
      <c r="B2483" s="16" t="n">
        <v>44466</v>
      </c>
      <c r="C2483" t="inlineStr">
        <is>
          <t>CPR</t>
        </is>
      </c>
      <c r="D2483" t="n">
        <v>43</v>
      </c>
      <c r="E2483">
        <f>IF(D4276&gt;0,VLOOKUP(OPERAC[[#This Row],[COD CART]],[1]!MatrizCortoLargoCyl[#All],3,0),"")</f>
        <v/>
      </c>
      <c r="F2483" t="inlineStr">
        <is>
          <t>SOLO/CYL-PUT/4,00/16-09-22</t>
        </is>
      </c>
      <c r="G2483" t="n">
        <v>500</v>
      </c>
      <c r="H2483">
        <f>-1487.08635+0.32*OPERAC[[#This Row],[cantidad]]+0.387*OPERAC[[#This Row],[cantidad]]+0.22*OPERAC[[#This Row],[cantidad]]</f>
        <v/>
      </c>
      <c r="I2483">
        <f>-H4276/G4276</f>
        <v/>
      </c>
      <c r="J2483" s="16" t="n">
        <v>44566</v>
      </c>
      <c r="K2483" t="n">
        <v>100</v>
      </c>
      <c r="L2483" t="n">
        <v>28.782</v>
      </c>
    </row>
    <row r="2484">
      <c r="A2484" t="n">
        <v>12627</v>
      </c>
      <c r="B2484" s="16" t="n">
        <v>44474</v>
      </c>
      <c r="C2484" t="inlineStr">
        <is>
          <t>VTA</t>
        </is>
      </c>
      <c r="D2484" t="n">
        <v>39</v>
      </c>
      <c r="E2484">
        <f>IF(D950&gt;0,VLOOKUP(OPERAC[[#This Row],[COD CART]],[1]!MatrizCortoLargoCyl[#All],3,0),"")</f>
        <v/>
      </c>
      <c r="F2484" t="inlineStr">
        <is>
          <t>NKE/V/115,00/21-01-22</t>
        </is>
      </c>
      <c r="G2484" t="n">
        <v>-100</v>
      </c>
      <c r="H2484" t="n">
        <v>94.95699999999999</v>
      </c>
      <c r="I2484">
        <f>-H950/G950</f>
        <v/>
      </c>
      <c r="J2484" s="16" t="n">
        <v>44582</v>
      </c>
      <c r="K2484">
        <f>+OPERAC[[#This Row],[cantidad]]</f>
        <v/>
      </c>
      <c r="L2484" t="n">
        <v>0</v>
      </c>
    </row>
    <row r="2485">
      <c r="A2485" t="n">
        <v>12627</v>
      </c>
      <c r="B2485" s="16" t="n">
        <v>44489</v>
      </c>
      <c r="C2485" t="inlineStr">
        <is>
          <t>VTA</t>
        </is>
      </c>
      <c r="D2485" t="n">
        <v>43</v>
      </c>
      <c r="E2485">
        <f>IF(D5445&gt;0,VLOOKUP(OPERAC[[#This Row],[COD CART]],[1]!MatrizCortoLargoCyl[#All],3,0),"")</f>
        <v/>
      </c>
      <c r="F2485" t="inlineStr">
        <is>
          <t>SESN/CYL-PUT/1,00/19-01-24</t>
        </is>
      </c>
      <c r="G2485" t="n">
        <v>10000</v>
      </c>
      <c r="H2485">
        <f>-0.1885*OPERAC[[#This Row],[cantidad]]</f>
        <v/>
      </c>
      <c r="I2485">
        <f>-H5445/G5445</f>
        <v/>
      </c>
      <c r="J2485" s="16" t="n">
        <v>44616</v>
      </c>
      <c r="K2485" t="n">
        <v>5000</v>
      </c>
      <c r="L2485" t="n">
        <v>1608.856</v>
      </c>
    </row>
    <row r="2486">
      <c r="A2486" t="n">
        <v>12627</v>
      </c>
      <c r="B2486" s="16" t="n">
        <v>44490</v>
      </c>
      <c r="C2486" t="inlineStr">
        <is>
          <t>VTA</t>
        </is>
      </c>
      <c r="D2486" t="n">
        <v>40</v>
      </c>
      <c r="E2486">
        <f>IF(D5089&gt;0,VLOOKUP(OPERAC[[#This Row],[COD CART]],[1]!MatrizCortoLargoCyl[#All],3,0),"")</f>
        <v/>
      </c>
      <c r="F2486" t="inlineStr">
        <is>
          <t>MELI</t>
        </is>
      </c>
      <c r="G2486" t="n">
        <v>1</v>
      </c>
      <c r="H2486" t="n">
        <v>-1587.905</v>
      </c>
      <c r="I2486">
        <f>-H5089/G5089</f>
        <v/>
      </c>
      <c r="J2486" s="16" t="n">
        <v>44586</v>
      </c>
      <c r="K2486" t="n">
        <v>1</v>
      </c>
      <c r="L2486" t="n">
        <v>1019.203</v>
      </c>
    </row>
    <row r="2487">
      <c r="A2487" t="n">
        <v>12627</v>
      </c>
      <c r="B2487" s="16" t="n">
        <v>44508</v>
      </c>
      <c r="C2487" t="inlineStr">
        <is>
          <t>VTA</t>
        </is>
      </c>
      <c r="D2487" t="n">
        <v>39</v>
      </c>
      <c r="E2487">
        <f>IF(D211&gt;0,VLOOKUP(OPERAC[[#This Row],[COD CART]],[1]!MatrizCortoLargoCyl[#All],3,0),"")</f>
        <v/>
      </c>
      <c r="F2487" t="inlineStr">
        <is>
          <t>ACB/V/6,00/21-01-22</t>
        </is>
      </c>
      <c r="G2487" t="n">
        <v>-5000</v>
      </c>
      <c r="H2487">
        <f>2131.55-0.5*OPERAC[[#This Row],[cantidad]]+0.51*OPERAC[[#This Row],[cantidad]]</f>
        <v/>
      </c>
      <c r="I2487">
        <f>-H211/G211</f>
        <v/>
      </c>
      <c r="J2487" s="16" t="n">
        <v>44581</v>
      </c>
      <c r="K2487">
        <f>+OPERAC[[#This Row],[cantidad]]</f>
        <v/>
      </c>
      <c r="L2487">
        <f>-OPERAC[[#This Row],[importe]]</f>
        <v/>
      </c>
    </row>
    <row r="2488">
      <c r="A2488" t="n">
        <v>12627</v>
      </c>
      <c r="B2488" s="16" t="n">
        <v>44511</v>
      </c>
      <c r="C2488" t="inlineStr">
        <is>
          <t>CPR</t>
        </is>
      </c>
      <c r="D2488" t="n">
        <v>31</v>
      </c>
      <c r="E2488">
        <f>IF(D4381&gt;0,VLOOKUP(OPERAC[[#This Row],[COD CART]],[1]!MatrizCortoLargoCyl[#All],3,0),"")</f>
        <v/>
      </c>
      <c r="F2488" t="inlineStr">
        <is>
          <t>IPIX</t>
        </is>
      </c>
      <c r="G2488" t="n">
        <v>10000</v>
      </c>
      <c r="H2488" t="n">
        <v>-1099.9</v>
      </c>
      <c r="I2488">
        <f>-H4381/G4381</f>
        <v/>
      </c>
    </row>
    <row r="2489">
      <c r="A2489" t="n">
        <v>12627</v>
      </c>
      <c r="B2489" s="16" t="n">
        <v>44517</v>
      </c>
      <c r="C2489" t="inlineStr">
        <is>
          <t>VTA</t>
        </is>
      </c>
      <c r="D2489" t="n">
        <v>39</v>
      </c>
      <c r="E2489">
        <f>IF(D279&gt;0,VLOOKUP(OPERAC[[#This Row],[COD CART]],[1]!MatrizCortoLargoCyl[#All],3,0),"")</f>
        <v/>
      </c>
      <c r="F2489" t="inlineStr">
        <is>
          <t>YPF/V/7,00/20-01-23</t>
        </is>
      </c>
      <c r="G2489" t="n">
        <v>-500</v>
      </c>
      <c r="H2489" t="n">
        <v>1636.8</v>
      </c>
      <c r="I2489">
        <f>-H279/G279</f>
        <v/>
      </c>
    </row>
    <row r="2490">
      <c r="A2490" t="n">
        <v>12627</v>
      </c>
      <c r="B2490" s="16" t="n">
        <v>44531</v>
      </c>
      <c r="C2490" t="inlineStr">
        <is>
          <t>VTA</t>
        </is>
      </c>
      <c r="D2490" t="n">
        <v>39</v>
      </c>
      <c r="E2490">
        <f>IF(D1163&gt;0,VLOOKUP(OPERAC[[#This Row],[COD CART]],[1]!MatrizCortoLargoCyl[#All],3,0),"")</f>
        <v/>
      </c>
      <c r="F2490" t="inlineStr">
        <is>
          <t>V/V/145,00/16-09-22</t>
        </is>
      </c>
      <c r="G2490" t="n">
        <v>-3</v>
      </c>
      <c r="H2490" t="n">
        <v>14.8689</v>
      </c>
      <c r="I2490">
        <f>-H1163/G1163</f>
        <v/>
      </c>
      <c r="J2490" s="16" t="n">
        <v>44677</v>
      </c>
      <c r="K2490" t="n">
        <v>-3</v>
      </c>
      <c r="L2490" t="n">
        <v>-8.01</v>
      </c>
    </row>
    <row r="2491">
      <c r="A2491" t="n">
        <v>12627</v>
      </c>
      <c r="B2491" s="16" t="n">
        <v>44533</v>
      </c>
      <c r="C2491" t="inlineStr">
        <is>
          <t>CPR</t>
        </is>
      </c>
      <c r="D2491" t="n">
        <v>32</v>
      </c>
      <c r="E2491">
        <f>IF(D4467&gt;0,VLOOKUP(OPERAC[[#This Row],[COD CART]],[1]!MatrizCortoLargoCyl[#All],3,0),"")</f>
        <v/>
      </c>
      <c r="F2491" t="inlineStr">
        <is>
          <t>INO/CYL/8,00/18-02-22</t>
        </is>
      </c>
      <c r="G2491" t="n">
        <v>200</v>
      </c>
      <c r="H2491">
        <f>-5.87*OPERAC[[#This Row],[cantidad]]+9.414</f>
        <v/>
      </c>
      <c r="I2491">
        <f>-H4467/G4467</f>
        <v/>
      </c>
      <c r="J2491" s="16" t="n">
        <v>44596</v>
      </c>
      <c r="K2491" t="n">
        <v>200</v>
      </c>
      <c r="L2491">
        <f>3.665*OPERAC[[#This Row],[cantidad venta]]</f>
        <v/>
      </c>
    </row>
    <row r="2492">
      <c r="A2492" t="n">
        <v>12627</v>
      </c>
      <c r="B2492" s="16" t="n">
        <v>44533</v>
      </c>
      <c r="C2492" t="inlineStr">
        <is>
          <t>CPR</t>
        </is>
      </c>
      <c r="D2492" t="n">
        <v>40</v>
      </c>
      <c r="E2492">
        <f>IF(D5798&gt;0,VLOOKUP(OPERAC[[#This Row],[COD CART]],[1]!MatrizCortoLargoCyl[#All],3,0),"")</f>
        <v/>
      </c>
      <c r="F2492" t="inlineStr">
        <is>
          <t>EDIT</t>
        </is>
      </c>
      <c r="G2492" t="n">
        <v>100</v>
      </c>
      <c r="H2492">
        <f>-2692.145+4.952</f>
        <v/>
      </c>
      <c r="I2492">
        <f>-H5798/G5798</f>
        <v/>
      </c>
      <c r="J2492" s="16" t="n">
        <v>44669</v>
      </c>
      <c r="K2492" t="n">
        <v>100</v>
      </c>
      <c r="L2492" t="n">
        <v>1533.176</v>
      </c>
    </row>
    <row r="2493">
      <c r="A2493" t="n">
        <v>12627</v>
      </c>
      <c r="B2493" s="16" t="n">
        <v>44538</v>
      </c>
      <c r="C2493" t="inlineStr">
        <is>
          <t>VTA</t>
        </is>
      </c>
      <c r="D2493" t="n">
        <v>39</v>
      </c>
      <c r="E2493">
        <f>IF(D36&gt;0,VLOOKUP(OPERAC[[#This Row],[COD CART]],[1]!MatrizCortoLargoCyl[#All],3,0),"")</f>
        <v/>
      </c>
      <c r="F2493" t="inlineStr">
        <is>
          <t>MELI/V/880,00/21-01-22</t>
        </is>
      </c>
      <c r="G2493" t="n">
        <v>-600</v>
      </c>
      <c r="H2493" t="n">
        <v>6071.04</v>
      </c>
      <c r="I2493">
        <f>-H36/G36</f>
        <v/>
      </c>
      <c r="J2493" s="16" t="n">
        <v>44582</v>
      </c>
      <c r="K2493">
        <f>+OPERAC[[#This Row],[cantidad]]</f>
        <v/>
      </c>
      <c r="L2493" t="n">
        <v>0</v>
      </c>
    </row>
    <row r="2494">
      <c r="A2494" t="n">
        <v>12627</v>
      </c>
      <c r="B2494" s="16" t="n">
        <v>44539</v>
      </c>
      <c r="C2494" t="inlineStr">
        <is>
          <t>CPR</t>
        </is>
      </c>
      <c r="D2494" t="n">
        <v>40</v>
      </c>
      <c r="E2494">
        <f>IF(D4647&gt;0,VLOOKUP(OPERAC[[#This Row],[COD CART]],[1]!MatrizCortoLargoCyl[#All],3,0),"")</f>
        <v/>
      </c>
      <c r="F2494" t="inlineStr">
        <is>
          <t>ROKU</t>
        </is>
      </c>
      <c r="G2494" t="n">
        <v>5</v>
      </c>
      <c r="H2494" t="n">
        <v>-1288.6018</v>
      </c>
      <c r="I2494">
        <f>-H4647/G4647</f>
        <v/>
      </c>
      <c r="J2494" s="16" t="n">
        <v>44606</v>
      </c>
      <c r="K2494">
        <f>+OPERAC[[#This Row],[cantidad]]</f>
        <v/>
      </c>
      <c r="L2494">
        <f>+OPERAC[[#This Row],[cantidad venta]]*160.574</f>
        <v/>
      </c>
    </row>
    <row r="2495">
      <c r="A2495" t="n">
        <v>12627</v>
      </c>
      <c r="B2495" s="16" t="n">
        <v>44547</v>
      </c>
      <c r="C2495" t="inlineStr">
        <is>
          <t>VTA</t>
        </is>
      </c>
      <c r="D2495" t="n">
        <v>39</v>
      </c>
      <c r="E2495">
        <f>IF(D565&gt;0,VLOOKUP(OPERAC[[#This Row],[COD CART]],[1]!MatrizCortoLargoCyl[#All],3,0),"")</f>
        <v/>
      </c>
      <c r="F2495" t="inlineStr">
        <is>
          <t>TLRY/V/8,00/18-02-22</t>
        </is>
      </c>
      <c r="G2495" t="n">
        <v>-500</v>
      </c>
      <c r="H2495" t="n">
        <v>691.8955000000001</v>
      </c>
      <c r="I2495">
        <f>-H565/G565</f>
        <v/>
      </c>
      <c r="J2495" s="16" t="n">
        <v>44601</v>
      </c>
      <c r="K2495" t="n">
        <v>-500</v>
      </c>
      <c r="L2495">
        <f>1.38*OPERAC[[#This Row],[cantidad venta]]</f>
        <v/>
      </c>
    </row>
    <row r="2496">
      <c r="A2496" t="n">
        <v>12627</v>
      </c>
      <c r="B2496" s="16" t="n">
        <v>44553</v>
      </c>
      <c r="C2496" t="inlineStr">
        <is>
          <t>CPR</t>
        </is>
      </c>
      <c r="D2496" t="n">
        <v>40</v>
      </c>
      <c r="E2496">
        <f>IF(D3634&gt;0,VLOOKUP(OPERAC[[#This Row],[COD CART]],[1]!MatrizCortoLargoCyl[#All],3,0),"")</f>
        <v/>
      </c>
      <c r="F2496" t="inlineStr">
        <is>
          <t>ON</t>
        </is>
      </c>
      <c r="G2496" t="n">
        <v>12</v>
      </c>
      <c r="H2496" t="n">
        <v>-805.3632959999999</v>
      </c>
      <c r="I2496">
        <f>-H3634/G3634</f>
        <v/>
      </c>
      <c r="J2496" s="16" t="n">
        <v>44586</v>
      </c>
      <c r="K2496">
        <f>5+7</f>
        <v/>
      </c>
      <c r="L2496">
        <f>268.328+409.971</f>
        <v/>
      </c>
    </row>
    <row r="2497">
      <c r="A2497" t="n">
        <v>12627</v>
      </c>
      <c r="B2497" s="16" t="n">
        <v>44558</v>
      </c>
      <c r="C2497" t="inlineStr">
        <is>
          <t>VTA</t>
        </is>
      </c>
      <c r="D2497" t="n">
        <v>40</v>
      </c>
      <c r="E2497">
        <f>IF(D1426&gt;0,VLOOKUP(OPERAC[[#This Row],[COD CART]],[1]!MatrizCortoLargoCyl[#All],3,0),"")</f>
        <v/>
      </c>
      <c r="F2497" t="inlineStr">
        <is>
          <t>UPST</t>
        </is>
      </c>
      <c r="G2497" t="n">
        <v>1</v>
      </c>
      <c r="H2497" t="n">
        <v>-150.6002</v>
      </c>
      <c r="I2497">
        <f>-H1426/G1426</f>
        <v/>
      </c>
      <c r="J2497" s="16" t="n">
        <v>44606</v>
      </c>
      <c r="K2497">
        <f>+OPERAC[[#This Row],[cantidad]]</f>
        <v/>
      </c>
      <c r="L2497">
        <f>+OPERAC[[#This Row],[cantidad venta]]*98.994</f>
        <v/>
      </c>
    </row>
    <row r="2498">
      <c r="A2498" t="n">
        <v>12627</v>
      </c>
      <c r="B2498" s="16" t="n">
        <v>44566</v>
      </c>
      <c r="C2498" t="inlineStr">
        <is>
          <t>VTA</t>
        </is>
      </c>
      <c r="D2498" t="n">
        <v>39</v>
      </c>
      <c r="E2498">
        <f>IF(D744&gt;0,VLOOKUP(OPERAC[[#This Row],[COD CART]],[1]!MatrizCortoLargoCyl[#All],3,0),"")</f>
        <v/>
      </c>
      <c r="F2498" t="inlineStr">
        <is>
          <t>TSLA/V/975,00/07-01-22</t>
        </is>
      </c>
      <c r="G2498" t="n">
        <v>-1000</v>
      </c>
      <c r="H2498" t="n">
        <v>374.32</v>
      </c>
      <c r="I2498">
        <f>-H744/G744</f>
        <v/>
      </c>
      <c r="J2498" s="16" t="n">
        <v>44567</v>
      </c>
      <c r="K2498" t="n">
        <v>-1000</v>
      </c>
      <c r="L2498" t="n">
        <v>-374.32</v>
      </c>
    </row>
    <row r="2499">
      <c r="A2499" t="n">
        <v>12627</v>
      </c>
      <c r="B2499" s="16" t="n">
        <v>44567</v>
      </c>
      <c r="C2499" t="inlineStr">
        <is>
          <t>VTA</t>
        </is>
      </c>
      <c r="D2499" t="n">
        <v>39</v>
      </c>
      <c r="E2499">
        <f>IF(D38&gt;0,VLOOKUP(OPERAC[[#This Row],[COD CART]],[1]!MatrizCortoLargoCyl[#All],3,0),"")</f>
        <v/>
      </c>
      <c r="F2499" t="inlineStr">
        <is>
          <t>TSLA/V/880,00/14-01-22</t>
        </is>
      </c>
      <c r="G2499" t="n">
        <v>-1000</v>
      </c>
      <c r="H2499" t="n">
        <v>5949.337</v>
      </c>
      <c r="I2499">
        <f>-H38/G38</f>
        <v/>
      </c>
      <c r="J2499" s="16" t="n">
        <v>44571</v>
      </c>
      <c r="K2499" t="n">
        <v>-1000</v>
      </c>
      <c r="L2499" t="n">
        <v>-3363.553</v>
      </c>
    </row>
    <row r="2500">
      <c r="A2500" t="n">
        <v>12627</v>
      </c>
      <c r="B2500" s="16" t="n">
        <v>44571</v>
      </c>
      <c r="C2500" t="inlineStr">
        <is>
          <t>VTA</t>
        </is>
      </c>
      <c r="D2500" t="n">
        <v>39</v>
      </c>
      <c r="E2500">
        <f>IF(D175&gt;0,VLOOKUP(OPERAC[[#This Row],[COD CART]],[1]!MatrizCortoLargoCyl[#All],3,0),"")</f>
        <v/>
      </c>
      <c r="F2500" t="inlineStr">
        <is>
          <t>TSLA/V/870,00/21-01-22</t>
        </is>
      </c>
      <c r="G2500" t="n">
        <v>-400</v>
      </c>
      <c r="H2500" t="n">
        <v>2300.3748</v>
      </c>
      <c r="I2500">
        <f>-H175/G175</f>
        <v/>
      </c>
      <c r="J2500" s="16" t="n">
        <v>44574</v>
      </c>
      <c r="K2500" t="n">
        <v>-400</v>
      </c>
      <c r="L2500" t="n">
        <v>-666.3252</v>
      </c>
    </row>
    <row r="2501">
      <c r="A2501" t="n">
        <v>12627</v>
      </c>
      <c r="B2501" s="16" t="n">
        <v>44574</v>
      </c>
      <c r="C2501" t="inlineStr">
        <is>
          <t>CPR</t>
        </is>
      </c>
      <c r="D2501" t="n">
        <v>39</v>
      </c>
      <c r="E2501">
        <f>IF(D4143&gt;0,VLOOKUP(OPERAC[[#This Row],[COD CART]],[1]!MatrizCortoLargoCyl[#All],3,0),"")</f>
        <v/>
      </c>
      <c r="F2501" t="inlineStr">
        <is>
          <t>BABA/BULL/120,0-135,0/20-05-22</t>
        </is>
      </c>
      <c r="G2501" t="n">
        <v>100</v>
      </c>
      <c r="H2501" t="n">
        <v>-965.8</v>
      </c>
      <c r="I2501">
        <f>-H4143/G4143</f>
        <v/>
      </c>
      <c r="J2501" s="16" t="n">
        <v>44701</v>
      </c>
      <c r="K2501">
        <f>+OPERAC[[#This Row],[cantidad]]</f>
        <v/>
      </c>
      <c r="L2501" t="n">
        <v>0</v>
      </c>
    </row>
    <row r="2502">
      <c r="A2502" t="n">
        <v>12627</v>
      </c>
      <c r="B2502" s="16" t="n">
        <v>44574</v>
      </c>
      <c r="C2502" t="inlineStr">
        <is>
          <t>VTA</t>
        </is>
      </c>
      <c r="D2502" t="n">
        <v>39</v>
      </c>
      <c r="E2502">
        <f>IF(D642&gt;0,VLOOKUP(OPERAC[[#This Row],[COD CART]],[1]!MatrizCortoLargoCyl[#All],3,0),"")</f>
        <v/>
      </c>
      <c r="F2502" t="inlineStr">
        <is>
          <t>TSLA/V/900,00/21-01-22</t>
        </is>
      </c>
      <c r="G2502" t="n">
        <v>-200</v>
      </c>
      <c r="H2502" t="n">
        <v>535.1504</v>
      </c>
      <c r="I2502">
        <f>-H642/G642</f>
        <v/>
      </c>
      <c r="J2502" s="16" t="n">
        <v>44582</v>
      </c>
      <c r="K2502">
        <f>+OPERAC[[#This Row],[cantidad]]</f>
        <v/>
      </c>
      <c r="L2502" t="n">
        <v>0</v>
      </c>
    </row>
    <row r="2503">
      <c r="A2503" t="n">
        <v>12627</v>
      </c>
      <c r="B2503" s="16" t="n">
        <v>44581</v>
      </c>
      <c r="C2503" t="inlineStr">
        <is>
          <t>VTA</t>
        </is>
      </c>
      <c r="D2503" t="n">
        <v>39</v>
      </c>
      <c r="E2503">
        <f>IF(D44&gt;0,VLOOKUP(OPERAC[[#This Row],[COD CART]],[1]!MatrizCortoLargoCyl[#All],3,0),"")</f>
        <v/>
      </c>
      <c r="F2503" t="inlineStr">
        <is>
          <t>ACB/V/6,00/18-02-22</t>
        </is>
      </c>
      <c r="G2503" t="n">
        <v>-4500</v>
      </c>
      <c r="H2503" t="n">
        <v>5442.8175</v>
      </c>
      <c r="I2503">
        <f>-H44/G44</f>
        <v/>
      </c>
      <c r="J2503" s="16" t="n">
        <v>44601</v>
      </c>
      <c r="K2503" t="n">
        <v>-4500</v>
      </c>
      <c r="L2503">
        <f>1.21*OPERAC[[#This Row],[cantidad venta]]</f>
        <v/>
      </c>
    </row>
    <row r="2504">
      <c r="A2504" t="n">
        <v>12627</v>
      </c>
      <c r="B2504" s="16" t="n">
        <v>44586</v>
      </c>
      <c r="C2504" t="inlineStr">
        <is>
          <t>CPR</t>
        </is>
      </c>
      <c r="D2504" t="n">
        <v>43</v>
      </c>
      <c r="E2504">
        <f>IF(D2739&gt;0,VLOOKUP(OPERAC[[#This Row],[COD CART]],[1]!MatrizCortoLargoCyl[#All],3,0),"")</f>
        <v/>
      </c>
      <c r="F2504" t="inlineStr">
        <is>
          <t>GMBL/CYL-PUT/2,50/20-01-23</t>
        </is>
      </c>
      <c r="G2504" t="n">
        <v>500</v>
      </c>
      <c r="H2504" t="n">
        <v>-508.0223</v>
      </c>
      <c r="I2504">
        <f>-H2739/G2739</f>
        <v/>
      </c>
      <c r="J2504" s="16" t="n">
        <v>44636</v>
      </c>
      <c r="K2504" t="n">
        <v>500</v>
      </c>
      <c r="L2504">
        <f>-1.36*OPERAC[[#This Row],[cantidad venta]]</f>
        <v/>
      </c>
    </row>
    <row r="2505">
      <c r="A2505" t="n">
        <v>12627</v>
      </c>
      <c r="B2505" s="16" t="n">
        <v>44596</v>
      </c>
      <c r="C2505" t="inlineStr">
        <is>
          <t>VTA</t>
        </is>
      </c>
      <c r="D2505" t="n">
        <v>39</v>
      </c>
      <c r="E2505">
        <f>IF(D246&gt;0,VLOOKUP(OPERAC[[#This Row],[COD CART]],[1]!MatrizCortoLargoCyl[#All],3,0),"")</f>
        <v/>
      </c>
      <c r="F2505" t="inlineStr">
        <is>
          <t>SMH/V/260,00/11-02-22</t>
        </is>
      </c>
      <c r="G2505" t="n">
        <v>-600</v>
      </c>
      <c r="H2505" t="n">
        <v>1805.178</v>
      </c>
      <c r="I2505">
        <f>-H246/G246</f>
        <v/>
      </c>
      <c r="J2505" s="16" t="n">
        <v>44603</v>
      </c>
      <c r="K2505" t="n">
        <v>-600</v>
      </c>
      <c r="L2505" t="n">
        <v>-60</v>
      </c>
    </row>
    <row r="2506">
      <c r="A2506" t="n">
        <v>12627</v>
      </c>
      <c r="B2506" s="16" t="n">
        <v>44599</v>
      </c>
      <c r="C2506" t="inlineStr">
        <is>
          <t>CPR</t>
        </is>
      </c>
      <c r="D2506" t="n">
        <v>40</v>
      </c>
      <c r="E2506">
        <f>IF(D5653&gt;0,VLOOKUP(OPERAC[[#This Row],[COD CART]],[1]!MatrizCortoLargoCyl[#All],3,0),"")</f>
        <v/>
      </c>
      <c r="F2506" t="inlineStr">
        <is>
          <t>FB</t>
        </is>
      </c>
      <c r="G2506" t="n">
        <v>10</v>
      </c>
      <c r="H2506" t="n">
        <v>-2384.6</v>
      </c>
      <c r="I2506">
        <f>-H5653/G5653</f>
        <v/>
      </c>
      <c r="J2506" s="16" t="n">
        <v>44616</v>
      </c>
      <c r="K2506">
        <f>+OPERAC[[#This Row],[cantidad]]</f>
        <v/>
      </c>
      <c r="L2506">
        <f>200.299*OPERAC[[#This Row],[cantidad venta]]</f>
        <v/>
      </c>
    </row>
    <row r="2507">
      <c r="A2507" t="n">
        <v>12627</v>
      </c>
      <c r="B2507" s="16" t="n">
        <v>44601</v>
      </c>
      <c r="C2507" t="inlineStr">
        <is>
          <t>VTA</t>
        </is>
      </c>
      <c r="D2507" t="n">
        <v>39</v>
      </c>
      <c r="E2507">
        <f>IF(D1028&gt;0,VLOOKUP(OPERAC[[#This Row],[COD CART]],[1]!MatrizCortoLargoCyl[#All],3,0),"")</f>
        <v/>
      </c>
      <c r="F2507" t="inlineStr">
        <is>
          <t>TLRY/V/8,00/14-04-22</t>
        </is>
      </c>
      <c r="G2507" t="n">
        <v>-25</v>
      </c>
      <c r="H2507">
        <f>-2.1*OPERAC[[#This Row],[cantidad]]</f>
        <v/>
      </c>
      <c r="I2507">
        <f>-H1028/G1028</f>
        <v/>
      </c>
      <c r="J2507" s="16" t="n">
        <v>44645</v>
      </c>
      <c r="K2507" t="n">
        <v>-25</v>
      </c>
      <c r="L2507" t="n">
        <v>-29.91075</v>
      </c>
    </row>
    <row r="2508">
      <c r="A2508" t="n">
        <v>12627</v>
      </c>
      <c r="B2508" s="16" t="n">
        <v>44601</v>
      </c>
      <c r="C2508" t="inlineStr">
        <is>
          <t>VTA</t>
        </is>
      </c>
      <c r="D2508" t="n">
        <v>39</v>
      </c>
      <c r="E2508">
        <f>IF(D1029&gt;0,VLOOKUP(OPERAC[[#This Row],[COD CART]],[1]!MatrizCortoLargoCyl[#All],3,0),"")</f>
        <v/>
      </c>
      <c r="F2508" t="inlineStr">
        <is>
          <t>ACB/V/5,00/16-09-22</t>
        </is>
      </c>
      <c r="G2508" t="n">
        <v>-33</v>
      </c>
      <c r="H2508">
        <f>-1.56*OPERAC[[#This Row],[cantidad]]</f>
        <v/>
      </c>
      <c r="I2508">
        <f>-H1029/G1029</f>
        <v/>
      </c>
    </row>
    <row r="2509">
      <c r="A2509" t="n">
        <v>12627</v>
      </c>
      <c r="B2509" s="16" t="n">
        <v>44602</v>
      </c>
      <c r="C2509" t="inlineStr">
        <is>
          <t>CPR</t>
        </is>
      </c>
      <c r="D2509" t="n">
        <v>32</v>
      </c>
      <c r="E2509">
        <f>IF(D5772&gt;0,VLOOKUP(OPERAC[[#This Row],[COD CART]],[1]!MatrizCortoLargoCyl[#All],3,0),"")</f>
        <v/>
      </c>
      <c r="F2509" t="inlineStr">
        <is>
          <t>BIOX</t>
        </is>
      </c>
      <c r="G2509" t="n">
        <v>200</v>
      </c>
      <c r="H2509">
        <f>-2672+29.76</f>
        <v/>
      </c>
      <c r="I2509">
        <f>-H5772/G5772</f>
        <v/>
      </c>
      <c r="J2509" s="16" t="n">
        <v>44680</v>
      </c>
      <c r="K2509">
        <f>+OPERAC[[#This Row],[cantidad]]</f>
        <v/>
      </c>
      <c r="L2509">
        <f>13.688*OPERAC[[#This Row],[cantidad venta]]</f>
        <v/>
      </c>
    </row>
    <row r="2510">
      <c r="A2510" t="n">
        <v>12627</v>
      </c>
      <c r="B2510" s="16" t="n">
        <v>44608</v>
      </c>
      <c r="C2510" t="inlineStr">
        <is>
          <t>VTA</t>
        </is>
      </c>
      <c r="D2510" t="n">
        <v>40</v>
      </c>
      <c r="E2510">
        <f>IF(D2845&gt;0,VLOOKUP(OPERAC[[#This Row],[COD CART]],[1]!MatrizCortoLargoCyl[#All],3,0),"")</f>
        <v/>
      </c>
      <c r="F2510" t="inlineStr">
        <is>
          <t>NVDA</t>
        </is>
      </c>
      <c r="G2510" t="n">
        <v>2</v>
      </c>
      <c r="H2510" t="n">
        <v>-527.0279999999999</v>
      </c>
      <c r="I2510">
        <f>-H2845/G2845</f>
        <v/>
      </c>
      <c r="J2510" s="16" t="n">
        <v>44616</v>
      </c>
      <c r="K2510">
        <f>+OPERAC[[#This Row],[cantidad]]</f>
        <v/>
      </c>
      <c r="L2510">
        <f>+OPERAC[[#This Row],[cantidad venta]]*224.117</f>
        <v/>
      </c>
    </row>
    <row r="2511">
      <c r="A2511" t="n">
        <v>12627</v>
      </c>
      <c r="B2511" s="16" t="n">
        <v>44616</v>
      </c>
      <c r="C2511" t="inlineStr">
        <is>
          <t>CPR</t>
        </is>
      </c>
      <c r="D2511" t="n">
        <v>32</v>
      </c>
      <c r="E2511">
        <f>IF(D6107&gt;0,VLOOKUP(OPERAC[[#This Row],[COD CART]],[1]!MatrizCortoLargoCyl[#All],3,0),"")</f>
        <v/>
      </c>
      <c r="F2511" t="inlineStr">
        <is>
          <t>PLTR/CYL/12,00/14-04-22</t>
        </is>
      </c>
      <c r="G2511" t="n">
        <v>400</v>
      </c>
      <c r="H2511" t="n">
        <v>-4210.906</v>
      </c>
      <c r="I2511">
        <f>-H6107/G6107</f>
        <v/>
      </c>
      <c r="J2511" s="16" t="n">
        <v>44643</v>
      </c>
      <c r="K2511" t="n">
        <v>400</v>
      </c>
      <c r="L2511" t="n">
        <v>4586.895</v>
      </c>
    </row>
    <row r="2512">
      <c r="A2512" t="n">
        <v>12627</v>
      </c>
      <c r="B2512" s="16" t="n">
        <v>44616</v>
      </c>
      <c r="C2512" t="inlineStr">
        <is>
          <t>VTA</t>
        </is>
      </c>
      <c r="D2512" t="n">
        <v>39</v>
      </c>
      <c r="E2512">
        <f>IF(D1117&gt;0,VLOOKUP(OPERAC[[#This Row],[COD CART]],[1]!MatrizCortoLargoCyl[#All],3,0),"")</f>
        <v/>
      </c>
      <c r="F2512" t="inlineStr">
        <is>
          <t>SPWR/V/10,00/19-01-24</t>
        </is>
      </c>
      <c r="G2512" t="n">
        <v>-10</v>
      </c>
      <c r="H2512" t="n">
        <v>21.78</v>
      </c>
      <c r="I2512">
        <f>-H1117/G1117</f>
        <v/>
      </c>
    </row>
    <row r="2513">
      <c r="A2513" t="n">
        <v>12627</v>
      </c>
      <c r="B2513" s="16" t="n">
        <v>44635</v>
      </c>
      <c r="C2513" t="inlineStr">
        <is>
          <t>VTA</t>
        </is>
      </c>
      <c r="D2513" t="n">
        <v>39</v>
      </c>
      <c r="E2513">
        <f>IF(D548&gt;0,VLOOKUP(OPERAC[[#This Row],[COD CART]],[1]!MatrizCortoLargoCyl[#All],3,0),"")</f>
        <v/>
      </c>
      <c r="F2513" t="inlineStr">
        <is>
          <t>TSLA/V/635,00/18-03-22</t>
        </is>
      </c>
      <c r="G2513" t="n">
        <v>-2000</v>
      </c>
      <c r="H2513" t="n">
        <v>779.5700000000001</v>
      </c>
      <c r="I2513">
        <f>-H548/G548</f>
        <v/>
      </c>
      <c r="J2513" s="16" t="n">
        <v>44636</v>
      </c>
      <c r="K2513" t="n">
        <v>-2000</v>
      </c>
      <c r="L2513" t="n">
        <v>-255.9</v>
      </c>
    </row>
    <row r="2514">
      <c r="A2514" t="n">
        <v>12627</v>
      </c>
      <c r="B2514" s="16" t="n">
        <v>44635</v>
      </c>
      <c r="C2514" t="inlineStr">
        <is>
          <t>VTA</t>
        </is>
      </c>
      <c r="D2514" t="n">
        <v>39</v>
      </c>
      <c r="E2514">
        <f>IF(D589&gt;0,VLOOKUP(OPERAC[[#This Row],[COD CART]],[1]!MatrizCortoLargoCyl[#All],3,0),"")</f>
        <v/>
      </c>
      <c r="F2514" t="inlineStr">
        <is>
          <t>BABA/V/70,00/18-03-22</t>
        </is>
      </c>
      <c r="G2514" t="n">
        <v>-500</v>
      </c>
      <c r="H2514" t="n">
        <v>642.79</v>
      </c>
      <c r="I2514">
        <f>-H589/G589</f>
        <v/>
      </c>
      <c r="J2514" s="16" t="n">
        <v>44636</v>
      </c>
      <c r="K2514" t="n">
        <v>-500</v>
      </c>
      <c r="L2514" t="n">
        <v>-32.75</v>
      </c>
    </row>
    <row r="2515">
      <c r="A2515" t="n">
        <v>12627</v>
      </c>
      <c r="B2515" s="16" t="n">
        <v>44636</v>
      </c>
      <c r="C2515" t="inlineStr">
        <is>
          <t>VTA</t>
        </is>
      </c>
      <c r="D2515" t="n">
        <v>43</v>
      </c>
      <c r="E2515">
        <f>IF(D2157&gt;0,VLOOKUP(OPERAC[[#This Row],[COD CART]],[1]!MatrizCortoLargoCyl[#All],3,0),"")</f>
        <v/>
      </c>
      <c r="F2515" t="inlineStr">
        <is>
          <t>GMBL/CYL-PUT/1,00/20-01-23</t>
        </is>
      </c>
      <c r="G2515">
        <f>1500+500</f>
        <v/>
      </c>
      <c r="H2515">
        <f>-245.082975-108.049</f>
        <v/>
      </c>
      <c r="I2515">
        <f>-H2157/G2157</f>
        <v/>
      </c>
    </row>
    <row r="2516">
      <c r="A2516" t="n">
        <v>12627</v>
      </c>
      <c r="B2516" s="16" t="n">
        <v>44643</v>
      </c>
      <c r="C2516" t="inlineStr">
        <is>
          <t>CPR</t>
        </is>
      </c>
      <c r="D2516" t="n">
        <v>42</v>
      </c>
      <c r="E2516">
        <f>IF(D4343&gt;0,VLOOKUP(OPERAC[[#This Row],[COD CART]],[1]!MatrizCortoLargoCyl[#All],3,0),"")</f>
        <v/>
      </c>
      <c r="F2516" t="inlineStr">
        <is>
          <t>SMH</t>
        </is>
      </c>
      <c r="G2516" t="n">
        <v>4</v>
      </c>
      <c r="H2516" t="n">
        <v>-1068.651592</v>
      </c>
      <c r="I2516">
        <f>-H4343/G4343</f>
        <v/>
      </c>
      <c r="J2516" s="16" t="n">
        <v>44663</v>
      </c>
      <c r="K2516">
        <f>+OPERAC[[#This Row],[cantidad]]</f>
        <v/>
      </c>
      <c r="L2516">
        <f>+OPERAC[[#This Row],[cantidad venta]]*238.066</f>
        <v/>
      </c>
    </row>
    <row r="2517">
      <c r="A2517" t="n">
        <v>12627</v>
      </c>
      <c r="B2517" s="16" t="n">
        <v>44643</v>
      </c>
      <c r="C2517" t="inlineStr">
        <is>
          <t>CPR</t>
        </is>
      </c>
      <c r="D2517" t="n">
        <v>42</v>
      </c>
      <c r="E2517">
        <f>IF(D4370&gt;0,VLOOKUP(OPERAC[[#This Row],[COD CART]],[1]!MatrizCortoLargoCyl[#All],3,0),"")</f>
        <v/>
      </c>
      <c r="F2517" t="inlineStr">
        <is>
          <t>FB</t>
        </is>
      </c>
      <c r="G2517" t="n">
        <v>5</v>
      </c>
      <c r="H2517" t="n">
        <v>-1080.6163</v>
      </c>
      <c r="I2517">
        <f>-H4370/G4370</f>
        <v/>
      </c>
      <c r="J2517" s="16" t="n">
        <v>44671</v>
      </c>
      <c r="K2517">
        <f>+OPERAC[[#This Row],[cantidad]]</f>
        <v/>
      </c>
      <c r="L2517">
        <f>+OPERAC[[#This Row],[cantidad venta]]*213.173</f>
        <v/>
      </c>
    </row>
    <row r="2518">
      <c r="A2518" t="n">
        <v>12627</v>
      </c>
      <c r="B2518" s="16" t="n">
        <v>44643</v>
      </c>
      <c r="C2518" t="inlineStr">
        <is>
          <t>CPR</t>
        </is>
      </c>
      <c r="D2518" t="n">
        <v>42</v>
      </c>
      <c r="E2518">
        <f>IF(D4613&gt;0,VLOOKUP(OPERAC[[#This Row],[COD CART]],[1]!MatrizCortoLargoCyl[#All],3,0),"")</f>
        <v/>
      </c>
      <c r="F2518" t="inlineStr">
        <is>
          <t>JPM</t>
        </is>
      </c>
      <c r="G2518" t="n">
        <v>9</v>
      </c>
      <c r="H2518" t="n">
        <v>-1271.21976</v>
      </c>
      <c r="I2518">
        <f>-H4613/G4613</f>
        <v/>
      </c>
      <c r="J2518" s="16" t="n">
        <v>44664</v>
      </c>
      <c r="K2518">
        <f>+OPERAC[[#This Row],[cantidad]]</f>
        <v/>
      </c>
      <c r="L2518">
        <f>+OPERAC[[#This Row],[cantidad venta]]*125.943</f>
        <v/>
      </c>
    </row>
    <row r="2519">
      <c r="A2519" t="n">
        <v>12627</v>
      </c>
      <c r="B2519" s="16" t="n">
        <v>44643</v>
      </c>
      <c r="C2519" t="inlineStr">
        <is>
          <t>VTA</t>
        </is>
      </c>
      <c r="D2519" t="n">
        <v>42</v>
      </c>
      <c r="E2519">
        <f>IF(D3717&gt;0,VLOOKUP(OPERAC[[#This Row],[COD CART]],[1]!MatrizCortoLargoCyl[#All],3,0),"")</f>
        <v/>
      </c>
      <c r="F2519" t="inlineStr">
        <is>
          <t>ADBE</t>
        </is>
      </c>
      <c r="G2519" t="n">
        <v>2</v>
      </c>
      <c r="H2519" t="n">
        <v>-842.10955</v>
      </c>
      <c r="I2519">
        <f>-H3717/G3717</f>
        <v/>
      </c>
      <c r="J2519" s="16" t="n">
        <v>44687</v>
      </c>
      <c r="K2519">
        <f>+OPERAC[[#This Row],[cantidad]]</f>
        <v/>
      </c>
      <c r="L2519" t="n">
        <v>772.84</v>
      </c>
    </row>
    <row r="2520">
      <c r="A2520" t="n">
        <v>12627</v>
      </c>
      <c r="B2520" s="16" t="n">
        <v>44645</v>
      </c>
      <c r="C2520" t="inlineStr">
        <is>
          <t>VTA</t>
        </is>
      </c>
      <c r="D2520" t="n">
        <v>39</v>
      </c>
      <c r="E2520">
        <f>IF(D1094&gt;0,VLOOKUP(OPERAC[[#This Row],[COD CART]],[1]!MatrizCortoLargoCyl[#All],3,0),"")</f>
        <v/>
      </c>
      <c r="F2520" t="inlineStr">
        <is>
          <t>TLRY/V/6,00/16-09-22</t>
        </is>
      </c>
      <c r="G2520" t="n">
        <v>-25</v>
      </c>
      <c r="H2520" t="n">
        <v>25.865</v>
      </c>
      <c r="I2520">
        <f>-H1094/G1094</f>
        <v/>
      </c>
    </row>
    <row r="2521">
      <c r="A2521" t="n">
        <v>12627</v>
      </c>
      <c r="B2521" s="16" t="n">
        <v>44656</v>
      </c>
      <c r="C2521" t="inlineStr">
        <is>
          <t>VTA</t>
        </is>
      </c>
      <c r="D2521" t="n">
        <v>39</v>
      </c>
      <c r="E2521">
        <f>IF(D1161&gt;0,VLOOKUP(OPERAC[[#This Row],[COD CART]],[1]!MatrizCortoLargoCyl[#All],3,0),"")</f>
        <v/>
      </c>
      <c r="F2521" t="inlineStr">
        <is>
          <t>EDIT/V/17,50/20-01-23</t>
        </is>
      </c>
      <c r="G2521" t="n">
        <v>-5</v>
      </c>
      <c r="H2521" t="n">
        <v>14.88</v>
      </c>
      <c r="I2521">
        <f>-H1161/G1161</f>
        <v/>
      </c>
    </row>
    <row r="2522">
      <c r="A2522" t="n">
        <v>12627</v>
      </c>
      <c r="B2522" s="16" t="n">
        <v>44662</v>
      </c>
      <c r="C2522" t="inlineStr">
        <is>
          <t>CPR</t>
        </is>
      </c>
      <c r="D2522" t="n">
        <v>42</v>
      </c>
      <c r="E2522">
        <f>IF(D4271&gt;0,VLOOKUP(OPERAC[[#This Row],[COD CART]],[1]!MatrizCortoLargoCyl[#All],3,0),"")</f>
        <v/>
      </c>
      <c r="F2522" t="inlineStr">
        <is>
          <t>HYDR</t>
        </is>
      </c>
      <c r="G2522" t="n">
        <v>55</v>
      </c>
      <c r="H2522" t="n">
        <v>-1021.36892</v>
      </c>
      <c r="I2522">
        <f>-H4271/G4271</f>
        <v/>
      </c>
      <c r="J2522" s="16" t="n">
        <v>44693</v>
      </c>
      <c r="K2522">
        <f>+OPERAC[[#This Row],[cantidad]]</f>
        <v/>
      </c>
      <c r="L2522">
        <f>+OPERAC[[#This Row],[cantidad venta]]*12.027</f>
        <v/>
      </c>
    </row>
    <row r="2523">
      <c r="A2523" t="n">
        <v>12627</v>
      </c>
      <c r="B2523" s="16" t="n">
        <v>44664</v>
      </c>
      <c r="C2523" t="inlineStr">
        <is>
          <t>CPR</t>
        </is>
      </c>
      <c r="D2523" t="n">
        <v>42</v>
      </c>
      <c r="E2523">
        <f>IF(D4190&gt;0,VLOOKUP(OPERAC[[#This Row],[COD CART]],[1]!MatrizCortoLargoCyl[#All],3,0),"")</f>
        <v/>
      </c>
      <c r="F2523" t="inlineStr">
        <is>
          <t>AMD</t>
        </is>
      </c>
      <c r="G2523" t="n">
        <v>10</v>
      </c>
      <c r="H2523" t="n">
        <v>-987.7065453</v>
      </c>
      <c r="I2523">
        <f>-H4190/G4190</f>
        <v/>
      </c>
      <c r="J2523" s="16" t="n">
        <v>44693</v>
      </c>
      <c r="K2523">
        <f>+OPERAC[[#This Row],[cantidad]]</f>
        <v/>
      </c>
      <c r="L2523">
        <f>+OPERAC[[#This Row],[cantidad venta]]*85.26</f>
        <v/>
      </c>
    </row>
    <row r="2524">
      <c r="A2524" t="n">
        <v>12627</v>
      </c>
      <c r="B2524" s="16" t="n">
        <v>44664</v>
      </c>
      <c r="C2524" t="inlineStr">
        <is>
          <t>CPR</t>
        </is>
      </c>
      <c r="D2524" t="n">
        <v>42</v>
      </c>
      <c r="E2524">
        <f>IF(D5688&gt;0,VLOOKUP(OPERAC[[#This Row],[COD CART]],[1]!MatrizCortoLargoCyl[#All],3,0),"")</f>
        <v/>
      </c>
      <c r="F2524" t="inlineStr">
        <is>
          <t>PSQ</t>
        </is>
      </c>
      <c r="G2524" t="n">
        <v>200</v>
      </c>
      <c r="H2524" t="n">
        <v>-2486.5144362</v>
      </c>
      <c r="I2524">
        <f>-H5688/G5688</f>
        <v/>
      </c>
      <c r="J2524" s="16" t="n">
        <v>44680</v>
      </c>
      <c r="K2524">
        <f>+OPERAC[[#This Row],[cantidad]]</f>
        <v/>
      </c>
      <c r="L2524">
        <f>12.848*OPERAC[[#This Row],[cantidad venta]]</f>
        <v/>
      </c>
    </row>
    <row r="2525">
      <c r="A2525" t="n">
        <v>12627</v>
      </c>
      <c r="B2525" s="16" t="n">
        <v>44671</v>
      </c>
      <c r="C2525" t="inlineStr">
        <is>
          <t>CPR</t>
        </is>
      </c>
      <c r="D2525" t="n">
        <v>42</v>
      </c>
      <c r="E2525">
        <f>IF(D4260&gt;0,VLOOKUP(OPERAC[[#This Row],[COD CART]],[1]!MatrizCortoLargoCyl[#All],3,0),"")</f>
        <v/>
      </c>
      <c r="F2525" t="inlineStr">
        <is>
          <t>NFLX</t>
        </is>
      </c>
      <c r="G2525" t="n">
        <v>4</v>
      </c>
      <c r="H2525" t="n">
        <v>-1018.02024</v>
      </c>
      <c r="I2525">
        <f>-H4260/G4260</f>
        <v/>
      </c>
      <c r="J2525" s="16" t="n">
        <v>44693</v>
      </c>
      <c r="K2525">
        <f>+OPERAC[[#This Row],[cantidad]]</f>
        <v/>
      </c>
      <c r="L2525">
        <f>+OPERAC[[#This Row],[cantidad venta]]*169.079</f>
        <v/>
      </c>
    </row>
    <row r="2526">
      <c r="A2526" t="n">
        <v>12627</v>
      </c>
      <c r="B2526" s="16" t="n">
        <v>44677</v>
      </c>
      <c r="C2526" t="inlineStr">
        <is>
          <t>VTA</t>
        </is>
      </c>
      <c r="D2526" t="n">
        <v>39</v>
      </c>
      <c r="E2526">
        <f>IF(D552&gt;0,VLOOKUP(OPERAC[[#This Row],[COD CART]],[1]!MatrizCortoLargoCyl[#All],3,0),"")</f>
        <v/>
      </c>
      <c r="F2526" t="inlineStr">
        <is>
          <t>TSLA/V/750,00/29-04-22</t>
        </is>
      </c>
      <c r="G2526" t="n">
        <v>-300</v>
      </c>
      <c r="H2526" t="n">
        <v>773.37</v>
      </c>
      <c r="I2526">
        <f>-H552/G552</f>
        <v/>
      </c>
      <c r="J2526" s="16" t="n">
        <v>44680</v>
      </c>
      <c r="K2526" t="n">
        <v>-300</v>
      </c>
      <c r="L2526" t="n">
        <v>-12.1</v>
      </c>
    </row>
    <row r="2527">
      <c r="A2527" t="n">
        <v>12627</v>
      </c>
      <c r="B2527" s="16" t="n">
        <v>44680</v>
      </c>
      <c r="C2527" t="inlineStr">
        <is>
          <t>CPR</t>
        </is>
      </c>
      <c r="D2527" t="n">
        <v>32</v>
      </c>
      <c r="E2527">
        <f>IF(D4919&gt;0,VLOOKUP(OPERAC[[#This Row],[COD CART]],[1]!MatrizCortoLargoCyl[#All],3,0),"")</f>
        <v/>
      </c>
      <c r="F2527" t="inlineStr">
        <is>
          <t>COTY/CYL/8,00/17-06-22</t>
        </is>
      </c>
      <c r="G2527" t="n">
        <v>200</v>
      </c>
      <c r="H2527">
        <f>-1512.41+13.881</f>
        <v/>
      </c>
      <c r="I2527">
        <f>-H4919/G4919</f>
        <v/>
      </c>
    </row>
    <row r="2528">
      <c r="A2528" t="n">
        <v>12627</v>
      </c>
      <c r="B2528" s="16" t="n">
        <v>44680</v>
      </c>
      <c r="C2528" t="inlineStr">
        <is>
          <t>CPR</t>
        </is>
      </c>
      <c r="D2528" t="n">
        <v>42</v>
      </c>
      <c r="E2528">
        <f>IF(D5741&gt;0,VLOOKUP(OPERAC[[#This Row],[COD CART]],[1]!MatrizCortoLargoCyl[#All],3,0),"")</f>
        <v/>
      </c>
      <c r="F2528" t="inlineStr">
        <is>
          <t>XLP</t>
        </is>
      </c>
      <c r="G2528" t="n">
        <v>33</v>
      </c>
      <c r="H2528" t="n">
        <v>-2621.3385825</v>
      </c>
      <c r="I2528">
        <f>-H5741/G5741</f>
        <v/>
      </c>
      <c r="J2528" s="16" t="n">
        <v>44693</v>
      </c>
      <c r="K2528">
        <f>+OPERAC[[#This Row],[cantidad]]</f>
        <v/>
      </c>
      <c r="L2528">
        <f>+OPERAC[[#This Row],[cantidad venta]]*74.848</f>
        <v/>
      </c>
    </row>
    <row r="2529">
      <c r="A2529" t="n">
        <v>12627</v>
      </c>
      <c r="B2529" s="16" t="n">
        <v>44680</v>
      </c>
      <c r="C2529" t="inlineStr">
        <is>
          <t>VTA</t>
        </is>
      </c>
      <c r="D2529" t="n">
        <v>42</v>
      </c>
      <c r="E2529">
        <f>IF(D5045&gt;0,VLOOKUP(OPERAC[[#This Row],[COD CART]],[1]!MatrizCortoLargoCyl[#All],3,0),"")</f>
        <v/>
      </c>
      <c r="F2529" t="inlineStr">
        <is>
          <t>TS</t>
        </is>
      </c>
      <c r="G2529" t="n">
        <v>50</v>
      </c>
      <c r="H2529" t="n">
        <v>-1564.939875</v>
      </c>
      <c r="I2529">
        <f>-H5045/G5045</f>
        <v/>
      </c>
      <c r="J2529" s="16" t="n">
        <v>44693</v>
      </c>
      <c r="K2529">
        <f>+OPERAC[[#This Row],[cantidad]]</f>
        <v/>
      </c>
      <c r="L2529">
        <f>+OPERAC[[#This Row],[cantidad venta]]*29.07</f>
        <v/>
      </c>
    </row>
    <row r="2530">
      <c r="A2530" t="n">
        <v>12627</v>
      </c>
      <c r="B2530" s="16" t="n">
        <v>44691</v>
      </c>
      <c r="C2530" t="inlineStr">
        <is>
          <t>CPR</t>
        </is>
      </c>
      <c r="D2530" t="n">
        <v>32</v>
      </c>
      <c r="E2530">
        <f>IF(D4113&gt;0,VLOOKUP(OPERAC[[#This Row],[COD CART]],[1]!MatrizCortoLargoCyl[#All],3,0),"")</f>
        <v/>
      </c>
      <c r="F2530" t="inlineStr">
        <is>
          <t>DDD/CYL/13,00/17-06-22</t>
        </is>
      </c>
      <c r="G2530" t="n">
        <v>100</v>
      </c>
      <c r="H2530" t="n">
        <v>-952.3200000000001</v>
      </c>
      <c r="I2530">
        <f>-H4113/G4113</f>
        <v/>
      </c>
    </row>
    <row r="2531">
      <c r="A2531" t="n">
        <v>12627</v>
      </c>
      <c r="B2531" s="16" t="n">
        <v>44697</v>
      </c>
      <c r="C2531" t="inlineStr">
        <is>
          <t>CPR</t>
        </is>
      </c>
      <c r="D2531" t="n">
        <v>32</v>
      </c>
      <c r="E2531">
        <f>IF(D2613&gt;0,VLOOKUP(OPERAC[[#This Row],[COD CART]],[1]!MatrizCortoLargoCyl[#All],3,0),"")</f>
        <v/>
      </c>
      <c r="F2531" t="inlineStr">
        <is>
          <t>TLRY/CYL/5,50/17-06-22</t>
        </is>
      </c>
      <c r="G2531" t="n">
        <v>100</v>
      </c>
      <c r="H2531">
        <f>-484.256+11.898</f>
        <v/>
      </c>
      <c r="I2531">
        <f>-H2613/G2613</f>
        <v/>
      </c>
    </row>
    <row r="2532">
      <c r="A2532" t="n">
        <v>12627</v>
      </c>
      <c r="B2532" s="16" t="n">
        <v>44704</v>
      </c>
      <c r="C2532" t="inlineStr">
        <is>
          <t>CPR</t>
        </is>
      </c>
      <c r="D2532" t="n">
        <v>32</v>
      </c>
      <c r="E2532">
        <f>IF(D4637&gt;0,VLOOKUP(OPERAC[[#This Row],[COD CART]],[1]!MatrizCortoLargoCyl[#All],3,0),"")</f>
        <v/>
      </c>
      <c r="F2532" t="inlineStr">
        <is>
          <t>CLMT/CYL/16,00/17-06-22</t>
        </is>
      </c>
      <c r="G2532" t="n">
        <v>100</v>
      </c>
      <c r="H2532" t="n">
        <v>-1286.546</v>
      </c>
      <c r="I2532">
        <f>-H4637/G4637</f>
        <v/>
      </c>
    </row>
    <row r="2533">
      <c r="A2533" t="n">
        <v>12627</v>
      </c>
      <c r="B2533" s="16" t="n">
        <v>44704</v>
      </c>
      <c r="C2533" t="inlineStr">
        <is>
          <t>VTA</t>
        </is>
      </c>
      <c r="D2533" t="n">
        <v>32</v>
      </c>
      <c r="E2533">
        <f>IF(D2478&gt;0,VLOOKUP(OPERAC[[#This Row],[COD CART]],[1]!MatrizCortoLargoCyl[#All],3,0),"")</f>
        <v/>
      </c>
      <c r="F2533" t="inlineStr">
        <is>
          <t>TLRY/CYL/6,00/17-06-22</t>
        </is>
      </c>
      <c r="G2533" t="n">
        <v>100</v>
      </c>
      <c r="H2533" t="n">
        <v>-443.389</v>
      </c>
      <c r="I2533">
        <f>-H2478/G2478</f>
        <v/>
      </c>
    </row>
    <row r="2534">
      <c r="A2534" t="n">
        <v>12627</v>
      </c>
      <c r="B2534" s="16" t="n">
        <v>44707</v>
      </c>
      <c r="C2534" t="inlineStr">
        <is>
          <t>CPR</t>
        </is>
      </c>
      <c r="D2534" t="n">
        <v>42</v>
      </c>
      <c r="E2534">
        <f>IF(D4480&gt;0,VLOOKUP(OPERAC[[#This Row],[COD CART]],[1]!MatrizCortoLargoCyl[#All],3,0),"")</f>
        <v/>
      </c>
      <c r="F2534" t="inlineStr">
        <is>
          <t>ET</t>
        </is>
      </c>
      <c r="G2534" t="n">
        <v>100</v>
      </c>
      <c r="H2534" t="n">
        <v>-1172.38125</v>
      </c>
      <c r="I2534">
        <f>-H4480/G4480</f>
        <v/>
      </c>
      <c r="J2534" s="16" t="n">
        <v>44712</v>
      </c>
      <c r="K2534" t="n">
        <v>100</v>
      </c>
      <c r="L2534" t="n">
        <v>1156.52</v>
      </c>
    </row>
    <row r="2535">
      <c r="A2535" t="n">
        <v>12627</v>
      </c>
      <c r="B2535" s="16" t="n">
        <v>44708</v>
      </c>
      <c r="C2535" t="inlineStr">
        <is>
          <t>VTA</t>
        </is>
      </c>
      <c r="D2535" t="n">
        <v>42</v>
      </c>
      <c r="E2535">
        <f>IF(D2182&gt;0,VLOOKUP(OPERAC[[#This Row],[COD CART]],[1]!MatrizCortoLargoCyl[#All],3,0),"")</f>
        <v/>
      </c>
      <c r="F2535" t="inlineStr">
        <is>
          <t>ACB</t>
        </is>
      </c>
      <c r="G2535" t="n">
        <v>200</v>
      </c>
      <c r="H2535" t="n">
        <v>-365.064157761</v>
      </c>
      <c r="I2535">
        <f>-H2182/G2182</f>
        <v/>
      </c>
    </row>
    <row r="2536">
      <c r="A2536" t="n">
        <v>12627</v>
      </c>
      <c r="B2536" s="16" t="n">
        <v>44712</v>
      </c>
      <c r="C2536" t="inlineStr">
        <is>
          <t>CPR</t>
        </is>
      </c>
      <c r="D2536" t="n">
        <v>42</v>
      </c>
      <c r="E2536">
        <f>IF(D5879&gt;0,VLOOKUP(OPERAC[[#This Row],[COD CART]],[1]!MatrizCortoLargoCyl[#All],3,0),"")</f>
        <v/>
      </c>
      <c r="F2536" t="inlineStr">
        <is>
          <t>KWEB</t>
        </is>
      </c>
      <c r="G2536" t="n">
        <v>100</v>
      </c>
      <c r="H2536" t="n">
        <v>-2959.725</v>
      </c>
      <c r="I2536">
        <f>-H5879/G5879</f>
        <v/>
      </c>
    </row>
    <row r="2537">
      <c r="A2537" t="n">
        <v>12627</v>
      </c>
      <c r="B2537" s="16" t="n">
        <v>44712</v>
      </c>
      <c r="C2537" t="inlineStr">
        <is>
          <t>VTA</t>
        </is>
      </c>
      <c r="D2537" t="n">
        <v>39</v>
      </c>
      <c r="E2537">
        <f>IF(D1567&gt;0,VLOOKUP(OPERAC[[#This Row],[COD CART]],[1]!MatrizCortoLargoCyl[#All],3,0),"")</f>
        <v/>
      </c>
      <c r="F2537" t="inlineStr">
        <is>
          <t>ET/C/10,00/21-10-22</t>
        </is>
      </c>
      <c r="G2537" t="n">
        <v>100</v>
      </c>
      <c r="H2537" t="n">
        <v>-202.808</v>
      </c>
      <c r="I2537">
        <f>-H1567/G1567</f>
        <v/>
      </c>
    </row>
    <row r="2538">
      <c r="A2538" t="n">
        <v>12627</v>
      </c>
      <c r="B2538" s="16" t="n">
        <v>44721</v>
      </c>
      <c r="C2538" t="inlineStr">
        <is>
          <t>VTA</t>
        </is>
      </c>
      <c r="D2538" t="n">
        <v>32</v>
      </c>
      <c r="E2538">
        <f>IF(D3120&gt;0,VLOOKUP(OPERAC[[#This Row],[COD CART]],[1]!MatrizCortoLargoCyl[#All],3,0),"")</f>
        <v/>
      </c>
      <c r="F2538" t="inlineStr">
        <is>
          <t>SESN/CYL/1,00/18-11-22</t>
        </is>
      </c>
      <c r="G2538" t="n">
        <v>1000</v>
      </c>
      <c r="H2538" t="n">
        <v>-630</v>
      </c>
      <c r="I2538">
        <f>-H3120/G3120</f>
        <v/>
      </c>
    </row>
    <row r="2539">
      <c r="A2539" t="n">
        <v>12630</v>
      </c>
      <c r="B2539" s="16" t="n">
        <v>44236</v>
      </c>
      <c r="C2539" t="inlineStr">
        <is>
          <t>VTA</t>
        </is>
      </c>
      <c r="D2539" t="n">
        <v>41</v>
      </c>
      <c r="E2539">
        <f>IF(D1716&gt;0,VLOOKUP(OPERAC[[#This Row],[COD CART]],[1]!MatrizCortoLargoCyl[#All],3,0),"")</f>
        <v/>
      </c>
      <c r="F2539" t="inlineStr">
        <is>
          <t>MSFT</t>
        </is>
      </c>
      <c r="G2539" t="n">
        <v>1</v>
      </c>
      <c r="H2539" t="n">
        <v>-247.113</v>
      </c>
      <c r="I2539">
        <f>-H1716/G1716</f>
        <v/>
      </c>
      <c r="J2539" s="16" t="n">
        <v>44586</v>
      </c>
      <c r="K2539" t="n">
        <v>1</v>
      </c>
      <c r="L2539" t="n">
        <v>282.611</v>
      </c>
    </row>
    <row r="2540">
      <c r="A2540" t="n">
        <v>12630</v>
      </c>
      <c r="B2540" s="16" t="n">
        <v>44236</v>
      </c>
      <c r="C2540" t="inlineStr">
        <is>
          <t>VTA</t>
        </is>
      </c>
      <c r="D2540" t="n">
        <v>41</v>
      </c>
      <c r="E2540">
        <f>IF(D1840&gt;0,VLOOKUP(OPERAC[[#This Row],[COD CART]],[1]!MatrizCortoLargoCyl[#All],3,0),"")</f>
        <v/>
      </c>
      <c r="F2540" t="inlineStr">
        <is>
          <t>AAPL</t>
        </is>
      </c>
      <c r="G2540" t="n">
        <v>2</v>
      </c>
      <c r="H2540" t="n">
        <v>-277.696</v>
      </c>
      <c r="I2540">
        <f>-H1840/G1840</f>
        <v/>
      </c>
      <c r="J2540" s="16" t="n">
        <v>44586</v>
      </c>
      <c r="K2540" t="n">
        <v>2</v>
      </c>
      <c r="L2540" t="n">
        <v>309.236</v>
      </c>
    </row>
    <row r="2541">
      <c r="A2541" t="n">
        <v>12630</v>
      </c>
      <c r="B2541" s="16" t="n">
        <v>44253</v>
      </c>
      <c r="C2541" t="inlineStr">
        <is>
          <t>VTA</t>
        </is>
      </c>
      <c r="D2541" t="n">
        <v>41</v>
      </c>
      <c r="E2541">
        <f>IF(D5578&gt;0,VLOOKUP(OPERAC[[#This Row],[COD CART]],[1]!MatrizCortoLargoCyl[#All],3,0),"")</f>
        <v/>
      </c>
      <c r="F2541" t="inlineStr">
        <is>
          <t>GBTC</t>
        </is>
      </c>
      <c r="G2541" t="n">
        <v>50</v>
      </c>
      <c r="H2541" t="n">
        <v>-2106.712</v>
      </c>
      <c r="I2541">
        <f>-H5578/G5578</f>
        <v/>
      </c>
    </row>
    <row r="2542">
      <c r="A2542" t="n">
        <v>12630</v>
      </c>
      <c r="B2542" s="16" t="n">
        <v>44586</v>
      </c>
      <c r="C2542" t="inlineStr">
        <is>
          <t>VTA</t>
        </is>
      </c>
      <c r="D2542" t="n">
        <v>41</v>
      </c>
      <c r="E2542">
        <f>IF(D1655&gt;0,VLOOKUP(OPERAC[[#This Row],[COD CART]],[1]!MatrizCortoLargoCyl[#All],3,0),"")</f>
        <v/>
      </c>
      <c r="F2542" t="inlineStr">
        <is>
          <t>GBTC</t>
        </is>
      </c>
      <c r="G2542" t="n">
        <v>9</v>
      </c>
      <c r="H2542" t="n">
        <v>-228.918</v>
      </c>
      <c r="I2542">
        <f>-H1655/G1655</f>
        <v/>
      </c>
    </row>
    <row r="2543">
      <c r="A2543" t="n">
        <v>12652</v>
      </c>
      <c r="B2543" s="16" t="n">
        <v>44340</v>
      </c>
      <c r="C2543" t="inlineStr">
        <is>
          <t>VTA</t>
        </is>
      </c>
      <c r="D2543" t="n">
        <v>39</v>
      </c>
      <c r="E2543">
        <f>IF(D865&gt;0,VLOOKUP(OPERAC[[#This Row],[COD CART]],[1]!MatrizCortoLargoCyl[#All],3,0),"")</f>
        <v/>
      </c>
      <c r="F2543" t="inlineStr">
        <is>
          <t>SOLO/V/3,50/21-01-22</t>
        </is>
      </c>
      <c r="G2543" t="n">
        <v>-200</v>
      </c>
      <c r="H2543" t="n">
        <v>199.171</v>
      </c>
      <c r="I2543">
        <f>-H865/G865</f>
        <v/>
      </c>
      <c r="J2543" s="16" t="n">
        <v>44579</v>
      </c>
      <c r="K2543">
        <f>+OPERAC[[#This Row],[cantidad]]</f>
        <v/>
      </c>
      <c r="L2543">
        <f>-OPERAC[[#This Row],[importe]]</f>
        <v/>
      </c>
    </row>
    <row r="2544">
      <c r="A2544" t="n">
        <v>12652</v>
      </c>
      <c r="B2544" s="16" t="n">
        <v>44441</v>
      </c>
      <c r="C2544" t="inlineStr">
        <is>
          <t>VTA</t>
        </is>
      </c>
      <c r="D2544" t="n">
        <v>39</v>
      </c>
      <c r="E2544">
        <f>IF(D610&gt;0,VLOOKUP(OPERAC[[#This Row],[COD CART]],[1]!MatrizCortoLargoCyl[#All],3,0),"")</f>
        <v/>
      </c>
      <c r="F2544" t="inlineStr">
        <is>
          <t>EDIT/V/35,00/20-01-23</t>
        </is>
      </c>
      <c r="G2544" t="n">
        <v>-100</v>
      </c>
      <c r="H2544" t="n">
        <v>600</v>
      </c>
      <c r="I2544">
        <f>-H610/G610</f>
        <v/>
      </c>
      <c r="J2544" s="16" t="n">
        <v>44615</v>
      </c>
      <c r="K2544" t="n">
        <v>-100</v>
      </c>
      <c r="L2544" t="n">
        <v>-2168.25</v>
      </c>
    </row>
    <row r="2545">
      <c r="A2545" t="n">
        <v>12652</v>
      </c>
      <c r="B2545" s="16" t="n">
        <v>44489</v>
      </c>
      <c r="C2545" t="inlineStr">
        <is>
          <t>CPR</t>
        </is>
      </c>
      <c r="D2545" t="n">
        <v>43</v>
      </c>
      <c r="E2545">
        <f>IF(D4094&gt;0,VLOOKUP(OPERAC[[#This Row],[COD CART]],[1]!MatrizCortoLargoCyl[#All],3,0),"")</f>
        <v/>
      </c>
      <c r="F2545" t="inlineStr">
        <is>
          <t>SESN/CYL-PUT/1,00/19-01-24</t>
        </is>
      </c>
      <c r="G2545" t="n">
        <v>5000</v>
      </c>
      <c r="H2545">
        <f>-0.1885*OPERAC[[#This Row],[cantidad]]</f>
        <v/>
      </c>
      <c r="I2545">
        <f>-H4094/G4094</f>
        <v/>
      </c>
      <c r="J2545" s="16" t="n">
        <v>44557</v>
      </c>
      <c r="K2545">
        <f>1000+1000</f>
        <v/>
      </c>
      <c r="L2545">
        <f>307.1+476.118-252.125</f>
        <v/>
      </c>
    </row>
    <row r="2546">
      <c r="A2546" t="n">
        <v>12652</v>
      </c>
      <c r="B2546" s="16" t="n">
        <v>44494</v>
      </c>
      <c r="C2546" t="inlineStr">
        <is>
          <t>VTA</t>
        </is>
      </c>
      <c r="D2546" t="n">
        <v>40</v>
      </c>
      <c r="E2546">
        <f>IF(D3196&gt;0,VLOOKUP(OPERAC[[#This Row],[COD CART]],[1]!MatrizCortoLargoCyl[#All],3,0),"")</f>
        <v/>
      </c>
      <c r="F2546" t="inlineStr">
        <is>
          <t>YPF</t>
        </is>
      </c>
      <c r="G2546" t="n">
        <v>140</v>
      </c>
      <c r="H2546" t="n">
        <v>-651.3808000000001</v>
      </c>
      <c r="I2546">
        <f>-H3196/G3196</f>
        <v/>
      </c>
      <c r="J2546" s="16" t="n">
        <v>44606</v>
      </c>
      <c r="K2546">
        <f>+OPERAC[[#This Row],[cantidad]]</f>
        <v/>
      </c>
      <c r="L2546">
        <f>+OPERAC[[#This Row],[cantidad venta]]*4.161</f>
        <v/>
      </c>
    </row>
    <row r="2547">
      <c r="A2547" t="n">
        <v>12652</v>
      </c>
      <c r="B2547" s="16" t="n">
        <v>44495</v>
      </c>
      <c r="C2547" t="inlineStr">
        <is>
          <t>VTA</t>
        </is>
      </c>
      <c r="D2547" t="n">
        <v>39</v>
      </c>
      <c r="E2547">
        <f>IF(D383&gt;0,VLOOKUP(OPERAC[[#This Row],[COD CART]],[1]!MatrizCortoLargoCyl[#All],3,0),"")</f>
        <v/>
      </c>
      <c r="F2547" t="inlineStr">
        <is>
          <t>YPF/CC10/LP7/CP3/19-01-24</t>
        </is>
      </c>
      <c r="G2547" t="n">
        <v>-500</v>
      </c>
      <c r="H2547">
        <f>-2.41*OPERAC[[#This Row],[cantidad]]</f>
        <v/>
      </c>
      <c r="I2547">
        <f>-H383/G383</f>
        <v/>
      </c>
    </row>
    <row r="2548">
      <c r="A2548" t="n">
        <v>12652</v>
      </c>
      <c r="B2548" s="16" t="n">
        <v>44495</v>
      </c>
      <c r="C2548" t="inlineStr">
        <is>
          <t>VTA</t>
        </is>
      </c>
      <c r="D2548" t="n">
        <v>39</v>
      </c>
      <c r="E2548">
        <f>IF(D513&gt;0,VLOOKUP(OPERAC[[#This Row],[COD CART]],[1]!MatrizCortoLargoCyl[#All],3,0),"")</f>
        <v/>
      </c>
      <c r="F2548" t="inlineStr">
        <is>
          <t>TLRY/V/11,00/21-01-22</t>
        </is>
      </c>
      <c r="G2548" t="n">
        <v>-500</v>
      </c>
      <c r="H2548" t="n">
        <v>863.1</v>
      </c>
      <c r="I2548">
        <f>-H513/G513</f>
        <v/>
      </c>
      <c r="J2548" s="16" t="n">
        <v>44571</v>
      </c>
      <c r="K2548">
        <f>+OPERAC[[#This Row],[cantidad]]</f>
        <v/>
      </c>
      <c r="L2548">
        <f>-OPERAC[[#This Row],[importe]]</f>
        <v/>
      </c>
    </row>
    <row r="2549">
      <c r="A2549" t="n">
        <v>12652</v>
      </c>
      <c r="B2549" s="16" t="n">
        <v>44511</v>
      </c>
      <c r="C2549" t="inlineStr">
        <is>
          <t>VTA</t>
        </is>
      </c>
      <c r="D2549" t="n">
        <v>31</v>
      </c>
      <c r="E2549">
        <f>IF(D2907&gt;0,VLOOKUP(OPERAC[[#This Row],[COD CART]],[1]!MatrizCortoLargoCyl[#All],3,0),"")</f>
        <v/>
      </c>
      <c r="F2549" t="inlineStr">
        <is>
          <t>IPIX</t>
        </is>
      </c>
      <c r="G2549" t="n">
        <v>5000</v>
      </c>
      <c r="H2549" t="n">
        <v>-549.95</v>
      </c>
      <c r="I2549">
        <f>-H2907/G2907</f>
        <v/>
      </c>
    </row>
    <row r="2550">
      <c r="A2550" t="n">
        <v>12652</v>
      </c>
      <c r="B2550" s="16" t="n">
        <v>44516</v>
      </c>
      <c r="C2550" t="inlineStr">
        <is>
          <t>VTA</t>
        </is>
      </c>
      <c r="D2550" t="n">
        <v>40</v>
      </c>
      <c r="E2550">
        <f>IF(D3213&gt;0,VLOOKUP(OPERAC[[#This Row],[COD CART]],[1]!MatrizCortoLargoCyl[#All],3,0),"")</f>
        <v/>
      </c>
      <c r="F2550" t="inlineStr">
        <is>
          <t>ACB</t>
        </is>
      </c>
      <c r="G2550" t="n">
        <v>100</v>
      </c>
      <c r="H2550">
        <f>-680.27+22.293</f>
        <v/>
      </c>
      <c r="I2550">
        <f>-H3213/G3213</f>
        <v/>
      </c>
      <c r="J2550" s="16" t="n">
        <v>44606</v>
      </c>
      <c r="K2550" t="n">
        <v>100</v>
      </c>
      <c r="L2550" t="n">
        <v>437.056</v>
      </c>
    </row>
    <row r="2551">
      <c r="A2551" t="n">
        <v>12652</v>
      </c>
      <c r="B2551" s="16" t="n">
        <v>44523</v>
      </c>
      <c r="C2551" t="inlineStr">
        <is>
          <t>VTA</t>
        </is>
      </c>
      <c r="D2551" t="n">
        <v>40</v>
      </c>
      <c r="E2551">
        <f>IF(D3902&gt;0,VLOOKUP(OPERAC[[#This Row],[COD CART]],[1]!MatrizCortoLargoCyl[#All],3,0),"")</f>
        <v/>
      </c>
      <c r="F2551" t="inlineStr">
        <is>
          <t>EDU</t>
        </is>
      </c>
      <c r="G2551" t="n">
        <v>500</v>
      </c>
      <c r="H2551">
        <f>-889.745+0.026*OPERAC[[#This Row],[cantidad]]</f>
        <v/>
      </c>
      <c r="I2551">
        <f>-H3902/G3902</f>
        <v/>
      </c>
      <c r="J2551" s="16" t="n">
        <v>44630</v>
      </c>
      <c r="K2551" t="n">
        <v>500</v>
      </c>
      <c r="L2551" t="n">
        <v>568.328</v>
      </c>
    </row>
    <row r="2552">
      <c r="A2552" t="n">
        <v>12652</v>
      </c>
      <c r="B2552" s="16" t="n">
        <v>44539</v>
      </c>
      <c r="C2552" t="inlineStr">
        <is>
          <t>CPR</t>
        </is>
      </c>
      <c r="D2552" t="n">
        <v>40</v>
      </c>
      <c r="E2552">
        <f>IF(D2793&gt;0,VLOOKUP(OPERAC[[#This Row],[COD CART]],[1]!MatrizCortoLargoCyl[#All],3,0),"")</f>
        <v/>
      </c>
      <c r="F2552" t="inlineStr">
        <is>
          <t>ROKU</t>
        </is>
      </c>
      <c r="G2552" t="n">
        <v>2</v>
      </c>
      <c r="H2552" t="n">
        <v>-515.4407199999999</v>
      </c>
      <c r="I2552">
        <f>-H2793/G2793</f>
        <v/>
      </c>
      <c r="J2552" s="16" t="n">
        <v>44606</v>
      </c>
      <c r="K2552">
        <f>+OPERAC[[#This Row],[cantidad]]</f>
        <v/>
      </c>
      <c r="L2552">
        <f>+OPERAC[[#This Row],[cantidad venta]]*160.574</f>
        <v/>
      </c>
    </row>
    <row r="2553">
      <c r="A2553" t="n">
        <v>12652</v>
      </c>
      <c r="B2553" s="16" t="n">
        <v>44543</v>
      </c>
      <c r="C2553" t="inlineStr">
        <is>
          <t>VTA</t>
        </is>
      </c>
      <c r="D2553" t="n">
        <v>40</v>
      </c>
      <c r="E2553">
        <f>IF(D2109&gt;0,VLOOKUP(OPERAC[[#This Row],[COD CART]],[1]!MatrizCortoLargoCyl[#All],3,0),"")</f>
        <v/>
      </c>
      <c r="F2553" t="inlineStr">
        <is>
          <t>VIST</t>
        </is>
      </c>
      <c r="G2553" t="n">
        <v>60</v>
      </c>
      <c r="H2553" t="n">
        <v>-335.964</v>
      </c>
      <c r="I2553">
        <f>-H2109/G2109</f>
        <v/>
      </c>
      <c r="J2553" s="16" t="n">
        <v>44574</v>
      </c>
      <c r="K2553">
        <f>+OPERAC[[#This Row],[cantidad]]</f>
        <v/>
      </c>
      <c r="L2553">
        <f>+OPERAC[[#This Row],[cantidad venta]]*6.125</f>
        <v/>
      </c>
    </row>
    <row r="2554">
      <c r="A2554" t="n">
        <v>12652</v>
      </c>
      <c r="B2554" s="16" t="n">
        <v>44547</v>
      </c>
      <c r="C2554" t="inlineStr">
        <is>
          <t>VTA</t>
        </is>
      </c>
      <c r="D2554" t="n">
        <v>32</v>
      </c>
      <c r="E2554">
        <f>IF(D3788&gt;0,VLOOKUP(OPERAC[[#This Row],[COD CART]],[1]!MatrizCortoLargoCyl[#All],3,0),"")</f>
        <v/>
      </c>
      <c r="F2554" t="inlineStr">
        <is>
          <t>ARLO/CYL/9,00/18-02-22</t>
        </is>
      </c>
      <c r="G2554" t="n">
        <v>100</v>
      </c>
      <c r="H2554">
        <f>-866.74+14.88</f>
        <v/>
      </c>
      <c r="I2554">
        <f>-H3788/G3788</f>
        <v/>
      </c>
      <c r="J2554" s="16" t="n">
        <v>44607</v>
      </c>
      <c r="K2554" t="n">
        <v>100</v>
      </c>
      <c r="L2554" t="n">
        <v>875.33</v>
      </c>
    </row>
    <row r="2555">
      <c r="A2555" t="n">
        <v>12652</v>
      </c>
      <c r="B2555" s="16" t="n">
        <v>44552</v>
      </c>
      <c r="C2555" t="inlineStr">
        <is>
          <t>CPR</t>
        </is>
      </c>
      <c r="D2555" t="n">
        <v>32</v>
      </c>
      <c r="E2555">
        <f>IF(D3471&gt;0,VLOOKUP(OPERAC[[#This Row],[COD CART]],[1]!MatrizCortoLargoCyl[#All],3,0),"")</f>
        <v/>
      </c>
      <c r="F2555" t="inlineStr">
        <is>
          <t>HMY/CYL/4,00/21-01-22</t>
        </is>
      </c>
      <c r="G2555" t="n">
        <v>200</v>
      </c>
      <c r="H2555">
        <f>-3.8*OPERAC[[#This Row],[cantidad]]</f>
        <v/>
      </c>
      <c r="I2555">
        <f>-H3471/G3471</f>
        <v/>
      </c>
      <c r="J2555" s="16" t="n">
        <v>44580</v>
      </c>
      <c r="K2555" t="n">
        <v>200</v>
      </c>
      <c r="L2555" t="n">
        <v>787.86</v>
      </c>
    </row>
    <row r="2556">
      <c r="A2556" t="n">
        <v>12652</v>
      </c>
      <c r="B2556" s="16" t="n">
        <v>44553</v>
      </c>
      <c r="C2556" t="inlineStr">
        <is>
          <t>VTA</t>
        </is>
      </c>
      <c r="D2556" t="n">
        <v>40</v>
      </c>
      <c r="E2556">
        <f>IF(D1806&gt;0,VLOOKUP(OPERAC[[#This Row],[COD CART]],[1]!MatrizCortoLargoCyl[#All],3,0),"")</f>
        <v/>
      </c>
      <c r="F2556" t="inlineStr">
        <is>
          <t>ON</t>
        </is>
      </c>
      <c r="G2556" t="n">
        <v>4</v>
      </c>
      <c r="H2556" t="n">
        <v>-268.4544319999999</v>
      </c>
      <c r="I2556">
        <f>-H1806/G1806</f>
        <v/>
      </c>
      <c r="J2556" s="16" t="n">
        <v>44606</v>
      </c>
      <c r="K2556">
        <f>+OPERAC[[#This Row],[cantidad]]</f>
        <v/>
      </c>
      <c r="L2556">
        <f>+OPERAC[[#This Row],[cantidad venta]]*58.449</f>
        <v/>
      </c>
    </row>
    <row r="2557">
      <c r="A2557" t="n">
        <v>12652</v>
      </c>
      <c r="B2557" s="16" t="n">
        <v>44557</v>
      </c>
      <c r="C2557" t="inlineStr">
        <is>
          <t>CPR</t>
        </is>
      </c>
      <c r="D2557" t="n">
        <v>40</v>
      </c>
      <c r="E2557">
        <f>IF(D3546&gt;0,VLOOKUP(OPERAC[[#This Row],[COD CART]],[1]!MatrizCortoLargoCyl[#All],3,0),"")</f>
        <v/>
      </c>
      <c r="F2557" t="inlineStr">
        <is>
          <t>TLRY</t>
        </is>
      </c>
      <c r="G2557" t="n">
        <v>100</v>
      </c>
      <c r="H2557" t="n">
        <v>-771.62</v>
      </c>
      <c r="I2557">
        <f>-H3546/G3546</f>
        <v/>
      </c>
      <c r="J2557" s="16" t="n">
        <v>44585</v>
      </c>
      <c r="K2557">
        <f>+OPERAC[[#This Row],[cantidad]]</f>
        <v/>
      </c>
      <c r="L2557">
        <f>+OPERAC[[#This Row],[cantidad venta]]*5.263</f>
        <v/>
      </c>
    </row>
    <row r="2558">
      <c r="A2558" t="n">
        <v>12652</v>
      </c>
      <c r="B2558" s="16" t="n">
        <v>44558</v>
      </c>
      <c r="C2558" t="inlineStr">
        <is>
          <t>CPR</t>
        </is>
      </c>
      <c r="D2558" t="n">
        <v>40</v>
      </c>
      <c r="E2558">
        <f>IF(D3967&gt;0,VLOOKUP(OPERAC[[#This Row],[COD CART]],[1]!MatrizCortoLargoCyl[#All],3,0),"")</f>
        <v/>
      </c>
      <c r="F2558" t="inlineStr">
        <is>
          <t>UPST</t>
        </is>
      </c>
      <c r="G2558" t="n">
        <v>6</v>
      </c>
      <c r="H2558" t="n">
        <v>-903.6012000000001</v>
      </c>
      <c r="I2558">
        <f>-H3967/G3967</f>
        <v/>
      </c>
      <c r="J2558" s="16" t="n">
        <v>44606</v>
      </c>
      <c r="K2558">
        <f>+OPERAC[[#This Row],[cantidad]]</f>
        <v/>
      </c>
      <c r="L2558">
        <f>+OPERAC[[#This Row],[cantidad venta]]*98.994</f>
        <v/>
      </c>
    </row>
    <row r="2559">
      <c r="A2559" t="n">
        <v>12652</v>
      </c>
      <c r="B2559" s="16" t="n">
        <v>44571</v>
      </c>
      <c r="C2559" t="inlineStr">
        <is>
          <t>VTA</t>
        </is>
      </c>
      <c r="D2559" t="n">
        <v>39</v>
      </c>
      <c r="E2559">
        <f>IF(D405&gt;0,VLOOKUP(OPERAC[[#This Row],[COD CART]],[1]!MatrizCortoLargoCyl[#All],3,0),"")</f>
        <v/>
      </c>
      <c r="F2559" t="inlineStr">
        <is>
          <t>TSLA/V/870,00/21-01-22</t>
        </is>
      </c>
      <c r="G2559" t="n">
        <v>-200</v>
      </c>
      <c r="H2559" t="n">
        <v>1150.1874</v>
      </c>
      <c r="I2559">
        <f>-H405/G405</f>
        <v/>
      </c>
      <c r="J2559" s="16" t="n">
        <v>44574</v>
      </c>
      <c r="K2559" t="n">
        <v>-200</v>
      </c>
      <c r="L2559" t="n">
        <v>-333.1626</v>
      </c>
    </row>
    <row r="2560">
      <c r="A2560" t="n">
        <v>12652</v>
      </c>
      <c r="B2560" s="16" t="n">
        <v>44574</v>
      </c>
      <c r="C2560" t="inlineStr">
        <is>
          <t>VTA</t>
        </is>
      </c>
      <c r="D2560" t="n">
        <v>39</v>
      </c>
      <c r="E2560">
        <f>IF(D792&gt;0,VLOOKUP(OPERAC[[#This Row],[COD CART]],[1]!MatrizCortoLargoCyl[#All],3,0),"")</f>
        <v/>
      </c>
      <c r="F2560" t="inlineStr">
        <is>
          <t>TSLA/V/900,00/21-01-22</t>
        </is>
      </c>
      <c r="G2560" t="n">
        <v>-100</v>
      </c>
      <c r="H2560" t="n">
        <v>267.5752</v>
      </c>
      <c r="I2560">
        <f>-H792/G792</f>
        <v/>
      </c>
      <c r="J2560" s="16" t="n">
        <v>44582</v>
      </c>
      <c r="K2560">
        <f>+OPERAC[[#This Row],[cantidad]]</f>
        <v/>
      </c>
      <c r="L2560" t="n">
        <v>0</v>
      </c>
    </row>
    <row r="2561">
      <c r="A2561" t="n">
        <v>12652</v>
      </c>
      <c r="B2561" s="16" t="n">
        <v>44579</v>
      </c>
      <c r="C2561" t="inlineStr">
        <is>
          <t>VTA</t>
        </is>
      </c>
      <c r="D2561" t="n">
        <v>39</v>
      </c>
      <c r="E2561">
        <f>IF(D788&gt;0,VLOOKUP(OPERAC[[#This Row],[COD CART]],[1]!MatrizCortoLargoCyl[#All],3,0),"")</f>
        <v/>
      </c>
      <c r="F2561" t="inlineStr">
        <is>
          <t>SOLO/V/3,50/25-02-22</t>
        </is>
      </c>
      <c r="G2561" t="n">
        <v>-200</v>
      </c>
      <c r="H2561" t="n">
        <v>276.37148</v>
      </c>
      <c r="I2561">
        <f>-H788/G788</f>
        <v/>
      </c>
      <c r="J2561" s="16" t="n">
        <v>44608</v>
      </c>
      <c r="K2561">
        <f>+OPERAC[[#This Row],[cantidad]]</f>
        <v/>
      </c>
      <c r="L2561" t="n">
        <v>-279.008</v>
      </c>
    </row>
    <row r="2562">
      <c r="A2562" t="n">
        <v>12652</v>
      </c>
      <c r="B2562" s="16" t="n">
        <v>44581</v>
      </c>
      <c r="C2562" t="inlineStr">
        <is>
          <t>CPR</t>
        </is>
      </c>
      <c r="D2562" t="n">
        <v>32</v>
      </c>
      <c r="E2562">
        <f>IF(D3575&gt;0,VLOOKUP(OPERAC[[#This Row],[COD CART]],[1]!MatrizCortoLargoCyl[#All],3,0),"")</f>
        <v/>
      </c>
      <c r="F2562" t="inlineStr">
        <is>
          <t>HMY/CYL/4,00/18-02-22</t>
        </is>
      </c>
      <c r="G2562" t="n">
        <v>200</v>
      </c>
      <c r="H2562" t="n">
        <v>-774.9359920000001</v>
      </c>
      <c r="I2562">
        <f>-H3575/G3575</f>
        <v/>
      </c>
      <c r="J2562" s="16" t="n">
        <v>44610</v>
      </c>
      <c r="K2562">
        <f>+OPERAC[[#This Row],[cantidad]]</f>
        <v/>
      </c>
      <c r="L2562">
        <f>+OPERAC[[#This Row],[cantidad venta]]*3.8323</f>
        <v/>
      </c>
    </row>
    <row r="2563">
      <c r="A2563" t="n">
        <v>12652</v>
      </c>
      <c r="B2563" s="16" t="n">
        <v>44585</v>
      </c>
      <c r="C2563" t="inlineStr">
        <is>
          <t>VTA</t>
        </is>
      </c>
      <c r="D2563" t="n">
        <v>39</v>
      </c>
      <c r="E2563">
        <f>IF(D847&gt;0,VLOOKUP(OPERAC[[#This Row],[COD CART]],[1]!MatrizCortoLargoCyl[#All],3,0),"")</f>
        <v/>
      </c>
      <c r="F2563" t="inlineStr">
        <is>
          <t>TSLA/C/1200,00/28-01-22</t>
        </is>
      </c>
      <c r="G2563" t="n">
        <v>-200</v>
      </c>
      <c r="H2563" t="n">
        <v>201.84</v>
      </c>
      <c r="I2563">
        <f>-H847/G847</f>
        <v/>
      </c>
      <c r="J2563" s="16" t="n">
        <v>44589</v>
      </c>
      <c r="K2563" t="n">
        <v>-200</v>
      </c>
      <c r="L2563" t="n">
        <v>0</v>
      </c>
    </row>
    <row r="2564">
      <c r="A2564" t="n">
        <v>12652</v>
      </c>
      <c r="B2564" s="16" t="n">
        <v>44586</v>
      </c>
      <c r="C2564" t="inlineStr">
        <is>
          <t>CPR</t>
        </is>
      </c>
      <c r="D2564" t="n">
        <v>43</v>
      </c>
      <c r="E2564">
        <f>IF(D2740&gt;0,VLOOKUP(OPERAC[[#This Row],[COD CART]],[1]!MatrizCortoLargoCyl[#All],3,0),"")</f>
        <v/>
      </c>
      <c r="F2564" t="inlineStr">
        <is>
          <t>GMBL/CYL-PUT/2,50/20-01-23</t>
        </is>
      </c>
      <c r="G2564" t="n">
        <v>500</v>
      </c>
      <c r="H2564" t="n">
        <v>-508.0223</v>
      </c>
      <c r="I2564">
        <f>-H2740/G2740</f>
        <v/>
      </c>
      <c r="J2564" s="16" t="n">
        <v>44636</v>
      </c>
      <c r="K2564" t="n">
        <v>500</v>
      </c>
      <c r="L2564">
        <f>-1.36*OPERAC[[#This Row],[cantidad venta]]</f>
        <v/>
      </c>
    </row>
    <row r="2565">
      <c r="A2565" t="n">
        <v>12652</v>
      </c>
      <c r="B2565" s="16" t="n">
        <v>44587</v>
      </c>
      <c r="C2565" t="inlineStr">
        <is>
          <t>VTA</t>
        </is>
      </c>
      <c r="D2565" t="n">
        <v>40</v>
      </c>
      <c r="E2565">
        <f>IF(D2070&gt;0,VLOOKUP(OPERAC[[#This Row],[COD CART]],[1]!MatrizCortoLargoCyl[#All],3,0),"")</f>
        <v/>
      </c>
      <c r="F2565" t="inlineStr">
        <is>
          <t>AAPL</t>
        </is>
      </c>
      <c r="G2565" t="n">
        <v>2</v>
      </c>
      <c r="H2565" t="n">
        <v>-328.10884</v>
      </c>
      <c r="I2565">
        <f>-H2070/G2070</f>
        <v/>
      </c>
      <c r="J2565" s="16" t="n">
        <v>44601</v>
      </c>
      <c r="K2565" t="n">
        <v>2</v>
      </c>
      <c r="L2565">
        <f>175.66*OPERAC[[#This Row],[cantidad venta]]</f>
        <v/>
      </c>
    </row>
    <row r="2566">
      <c r="A2566" t="n">
        <v>12652</v>
      </c>
      <c r="B2566" s="16" t="n">
        <v>44587</v>
      </c>
      <c r="C2566" t="inlineStr">
        <is>
          <t>VTA</t>
        </is>
      </c>
      <c r="D2566" t="n">
        <v>40</v>
      </c>
      <c r="E2566">
        <f>IF(D3048&gt;0,VLOOKUP(OPERAC[[#This Row],[COD CART]],[1]!MatrizCortoLargoCyl[#All],3,0),"")</f>
        <v/>
      </c>
      <c r="F2566" t="inlineStr">
        <is>
          <t>MSFT</t>
        </is>
      </c>
      <c r="G2566" t="n">
        <v>2</v>
      </c>
      <c r="H2566" t="n">
        <v>-606.8225200000001</v>
      </c>
      <c r="I2566">
        <f>-H3048/G3048</f>
        <v/>
      </c>
      <c r="J2566" s="16" t="n">
        <v>44606</v>
      </c>
      <c r="K2566">
        <f>+OPERAC[[#This Row],[cantidad]]</f>
        <v/>
      </c>
      <c r="L2566">
        <f>+OPERAC[[#This Row],[cantidad venta]]*290.091</f>
        <v/>
      </c>
    </row>
    <row r="2567">
      <c r="A2567" t="n">
        <v>12652</v>
      </c>
      <c r="B2567" s="16" t="n">
        <v>44607</v>
      </c>
      <c r="C2567" t="inlineStr">
        <is>
          <t>VTA</t>
        </is>
      </c>
      <c r="D2567" t="n">
        <v>32</v>
      </c>
      <c r="E2567">
        <f>IF(D5028&gt;0,VLOOKUP(OPERAC[[#This Row],[COD CART]],[1]!MatrizCortoLargoCyl[#All],3,0),"")</f>
        <v/>
      </c>
      <c r="F2567" t="inlineStr">
        <is>
          <t>DDD/CYL/16,00/18-03-22</t>
        </is>
      </c>
      <c r="G2567" t="n">
        <v>100</v>
      </c>
      <c r="H2567" t="n">
        <v>-1552.775</v>
      </c>
      <c r="I2567">
        <f>-H5028/G5028</f>
        <v/>
      </c>
      <c r="J2567" s="16" t="n">
        <v>44638</v>
      </c>
      <c r="K2567" t="n">
        <v>100</v>
      </c>
      <c r="L2567">
        <f>15.866*OPERAC[[#This Row],[cantidad venta]]</f>
        <v/>
      </c>
    </row>
    <row r="2568">
      <c r="A2568" t="n">
        <v>12652</v>
      </c>
      <c r="B2568" s="16" t="n">
        <v>44607</v>
      </c>
      <c r="C2568" t="inlineStr">
        <is>
          <t>VTA</t>
        </is>
      </c>
      <c r="D2568" t="n">
        <v>32</v>
      </c>
      <c r="E2568">
        <f>IF(D5214&gt;0,VLOOKUP(OPERAC[[#This Row],[COD CART]],[1]!MatrizCortoLargoCyl[#All],3,0),"")</f>
        <v/>
      </c>
      <c r="F2568" t="inlineStr">
        <is>
          <t>F/CYL/17,00/18-03-22</t>
        </is>
      </c>
      <c r="G2568" t="n">
        <v>100</v>
      </c>
      <c r="H2568" t="n">
        <v>-1658.76</v>
      </c>
      <c r="I2568">
        <f>-H5214/G5214</f>
        <v/>
      </c>
      <c r="J2568" s="16" t="n">
        <v>44638</v>
      </c>
      <c r="K2568">
        <f>+OPERAC[[#This Row],[cantidad]]</f>
        <v/>
      </c>
      <c r="L2568">
        <f>+OPERAC[[#This Row],[cantidad venta]]*16.75</f>
        <v/>
      </c>
    </row>
    <row r="2569">
      <c r="A2569" t="n">
        <v>12652</v>
      </c>
      <c r="B2569" s="16" t="n">
        <v>44608</v>
      </c>
      <c r="C2569" t="inlineStr">
        <is>
          <t>VTA</t>
        </is>
      </c>
      <c r="D2569" t="n">
        <v>39</v>
      </c>
      <c r="E2569">
        <f>IF(D892&gt;0,VLOOKUP(OPERAC[[#This Row],[COD CART]],[1]!MatrizCortoLargoCyl[#All],3,0),"")</f>
        <v/>
      </c>
      <c r="F2569" t="inlineStr">
        <is>
          <t>SOLO/V/3,00/18-03-22</t>
        </is>
      </c>
      <c r="G2569" t="n">
        <v>-200</v>
      </c>
      <c r="H2569" t="n">
        <v>171.008</v>
      </c>
      <c r="I2569">
        <f>-H892/G892</f>
        <v/>
      </c>
      <c r="J2569" s="16" t="n">
        <v>44614</v>
      </c>
      <c r="K2569">
        <f>-100-100</f>
        <v/>
      </c>
      <c r="L2569">
        <f>-111.279-111.63</f>
        <v/>
      </c>
    </row>
    <row r="2570">
      <c r="A2570" t="n">
        <v>12652</v>
      </c>
      <c r="B2570" s="16" t="n">
        <v>44608</v>
      </c>
      <c r="C2570" t="inlineStr">
        <is>
          <t>VTA</t>
        </is>
      </c>
      <c r="D2570" t="n">
        <v>40</v>
      </c>
      <c r="E2570">
        <f>IF(D2846&gt;0,VLOOKUP(OPERAC[[#This Row],[COD CART]],[1]!MatrizCortoLargoCyl[#All],3,0),"")</f>
        <v/>
      </c>
      <c r="F2570" t="inlineStr">
        <is>
          <t>NVDA</t>
        </is>
      </c>
      <c r="G2570" t="n">
        <v>2</v>
      </c>
      <c r="H2570" t="n">
        <v>-527.0279999999999</v>
      </c>
      <c r="I2570">
        <f>-H2846/G2846</f>
        <v/>
      </c>
      <c r="J2570" s="16" t="n">
        <v>44616</v>
      </c>
      <c r="K2570">
        <f>+OPERAC[[#This Row],[cantidad]]</f>
        <v/>
      </c>
      <c r="L2570">
        <f>+OPERAC[[#This Row],[cantidad venta]]*224.117</f>
        <v/>
      </c>
    </row>
    <row r="2571">
      <c r="A2571" t="n">
        <v>12652</v>
      </c>
      <c r="B2571" s="16" t="n">
        <v>44616</v>
      </c>
      <c r="C2571" t="inlineStr">
        <is>
          <t>CPR</t>
        </is>
      </c>
      <c r="D2571" t="n">
        <v>32</v>
      </c>
      <c r="E2571">
        <f>IF(D4315&gt;0,VLOOKUP(OPERAC[[#This Row],[COD CART]],[1]!MatrizCortoLargoCyl[#All],3,0),"")</f>
        <v/>
      </c>
      <c r="F2571" t="inlineStr">
        <is>
          <t>PLTR/CYL/12,00/14-04-22</t>
        </is>
      </c>
      <c r="G2571" t="n">
        <v>100</v>
      </c>
      <c r="H2571" t="n">
        <v>-1052.7265</v>
      </c>
      <c r="I2571">
        <f>-H4315/G4315</f>
        <v/>
      </c>
      <c r="J2571" s="16" t="n">
        <v>44643</v>
      </c>
      <c r="K2571" t="n">
        <v>100</v>
      </c>
      <c r="L2571" t="n">
        <v>1146.72</v>
      </c>
    </row>
    <row r="2572">
      <c r="A2572" t="n">
        <v>12652</v>
      </c>
      <c r="B2572" s="16" t="n">
        <v>44616</v>
      </c>
      <c r="C2572" t="inlineStr">
        <is>
          <t>VTA</t>
        </is>
      </c>
      <c r="D2572" t="n">
        <v>39</v>
      </c>
      <c r="E2572">
        <f>IF(D1136&gt;0,VLOOKUP(OPERAC[[#This Row],[COD CART]],[1]!MatrizCortoLargoCyl[#All],3,0),"")</f>
        <v/>
      </c>
      <c r="F2572" t="inlineStr">
        <is>
          <t>SPWR/V/10,00/19-01-24</t>
        </is>
      </c>
      <c r="G2572" t="n">
        <v>-9</v>
      </c>
      <c r="H2572" t="n">
        <v>19.6</v>
      </c>
      <c r="I2572">
        <f>-H1136/G1136</f>
        <v/>
      </c>
    </row>
    <row r="2573">
      <c r="A2573" t="n">
        <v>12652</v>
      </c>
      <c r="B2573" s="16" t="n">
        <v>44634</v>
      </c>
      <c r="C2573" t="inlineStr">
        <is>
          <t>VTA</t>
        </is>
      </c>
      <c r="D2573" t="n">
        <v>42</v>
      </c>
      <c r="E2573">
        <f>IF(D2087&gt;0,VLOOKUP(OPERAC[[#This Row],[COD CART]],[1]!MatrizCortoLargoCyl[#All],3,0),"")</f>
        <v/>
      </c>
      <c r="F2573" t="inlineStr">
        <is>
          <t>INO</t>
        </is>
      </c>
      <c r="G2573" t="n">
        <v>100</v>
      </c>
      <c r="H2573" t="n">
        <v>-332.0816</v>
      </c>
      <c r="I2573">
        <f>-H2087/G2087</f>
        <v/>
      </c>
      <c r="J2573" s="16" t="n">
        <v>44634</v>
      </c>
      <c r="K2573" t="n">
        <v>100</v>
      </c>
      <c r="L2573" t="n">
        <v>298.8855</v>
      </c>
    </row>
    <row r="2574">
      <c r="A2574" t="n">
        <v>12652</v>
      </c>
      <c r="B2574" s="16" t="n">
        <v>44636</v>
      </c>
      <c r="C2574" t="inlineStr">
        <is>
          <t>VTA</t>
        </is>
      </c>
      <c r="D2574" t="n">
        <v>43</v>
      </c>
      <c r="E2574">
        <f>IF(D1709&gt;0,VLOOKUP(OPERAC[[#This Row],[COD CART]],[1]!MatrizCortoLargoCyl[#All],3,0),"")</f>
        <v/>
      </c>
      <c r="F2574" t="inlineStr">
        <is>
          <t>GMBL/CYL-PUT/1,00/20-01-23</t>
        </is>
      </c>
      <c r="G2574" t="n">
        <v>1500</v>
      </c>
      <c r="H2574" t="n">
        <v>-245.0829749999998</v>
      </c>
      <c r="I2574">
        <f>-H1709/G1709</f>
        <v/>
      </c>
    </row>
    <row r="2575">
      <c r="A2575" t="n">
        <v>12652</v>
      </c>
      <c r="B2575" s="16" t="n">
        <v>44637</v>
      </c>
      <c r="C2575" t="inlineStr">
        <is>
          <t>VTA</t>
        </is>
      </c>
      <c r="D2575" t="n">
        <v>43</v>
      </c>
      <c r="E2575">
        <f>IF(D1332&gt;0,VLOOKUP(OPERAC[[#This Row],[COD CART]],[1]!MatrizCortoLargoCyl[#All],3,0),"")</f>
        <v/>
      </c>
      <c r="F2575" t="inlineStr">
        <is>
          <t>GMBL/CYL-PUT/1,00/20-01-23</t>
        </is>
      </c>
      <c r="G2575" t="n">
        <v>500</v>
      </c>
      <c r="H2575" t="n">
        <v>-103.91588</v>
      </c>
      <c r="I2575">
        <f>-H1332/G1332</f>
        <v/>
      </c>
    </row>
    <row r="2576">
      <c r="A2576" t="n">
        <v>12652</v>
      </c>
      <c r="B2576" s="16" t="n">
        <v>44641</v>
      </c>
      <c r="C2576" t="inlineStr">
        <is>
          <t>CPR</t>
        </is>
      </c>
      <c r="D2576" t="n">
        <v>42</v>
      </c>
      <c r="E2576">
        <f>IF(D3645&gt;0,VLOOKUP(OPERAC[[#This Row],[COD CART]],[1]!MatrizCortoLargoCyl[#All],3,0),"")</f>
        <v/>
      </c>
      <c r="F2576" t="inlineStr">
        <is>
          <t>SMH</t>
        </is>
      </c>
      <c r="G2576" t="n">
        <v>3</v>
      </c>
      <c r="H2576" t="n">
        <v>-806.8729500000001</v>
      </c>
      <c r="I2576">
        <f>-H3645/G3645</f>
        <v/>
      </c>
      <c r="J2576" s="16" t="n">
        <v>44648</v>
      </c>
      <c r="K2576" t="n">
        <v>3</v>
      </c>
      <c r="L2576">
        <f>270.33*OPERAC[[#This Row],[cantidad venta]]</f>
        <v/>
      </c>
    </row>
    <row r="2577">
      <c r="A2577" t="n">
        <v>12652</v>
      </c>
      <c r="B2577" s="16" t="n">
        <v>44641</v>
      </c>
      <c r="C2577" t="inlineStr">
        <is>
          <t>CPR</t>
        </is>
      </c>
      <c r="D2577" t="n">
        <v>42</v>
      </c>
      <c r="E2577">
        <f>IF(D4161&gt;0,VLOOKUP(OPERAC[[#This Row],[COD CART]],[1]!MatrizCortoLargoCyl[#All],3,0),"")</f>
        <v/>
      </c>
      <c r="F2577" t="inlineStr">
        <is>
          <t>DIS</t>
        </is>
      </c>
      <c r="G2577" t="n">
        <v>7</v>
      </c>
      <c r="H2577" t="n">
        <v>-974.8984</v>
      </c>
      <c r="I2577">
        <f>-H4161/G4161</f>
        <v/>
      </c>
      <c r="J2577" s="16" t="n">
        <v>44648</v>
      </c>
      <c r="K2577" t="n">
        <v>7</v>
      </c>
      <c r="L2577" t="n">
        <v>956.889</v>
      </c>
    </row>
    <row r="2578">
      <c r="A2578" t="n">
        <v>12652</v>
      </c>
      <c r="B2578" s="16" t="n">
        <v>44641</v>
      </c>
      <c r="C2578" t="inlineStr">
        <is>
          <t>CPR</t>
        </is>
      </c>
      <c r="D2578" t="n">
        <v>42</v>
      </c>
      <c r="E2578">
        <f>IF(D4182&gt;0,VLOOKUP(OPERAC[[#This Row],[COD CART]],[1]!MatrizCortoLargoCyl[#All],3,0),"")</f>
        <v/>
      </c>
      <c r="F2578" t="inlineStr">
        <is>
          <t>JPM</t>
        </is>
      </c>
      <c r="G2578" t="n">
        <v>7</v>
      </c>
      <c r="H2578" t="n">
        <v>-983.18038</v>
      </c>
      <c r="I2578">
        <f>-H4182/G4182</f>
        <v/>
      </c>
      <c r="J2578" s="16" t="n">
        <v>44648</v>
      </c>
      <c r="K2578" t="n">
        <v>7</v>
      </c>
      <c r="L2578" t="n">
        <v>959.627</v>
      </c>
    </row>
    <row r="2579">
      <c r="A2579" t="n">
        <v>12652</v>
      </c>
      <c r="B2579" s="16" t="n">
        <v>44641</v>
      </c>
      <c r="C2579" t="inlineStr">
        <is>
          <t>VTA</t>
        </is>
      </c>
      <c r="D2579" t="n">
        <v>42</v>
      </c>
      <c r="E2579">
        <f>IF(D3772&gt;0,VLOOKUP(OPERAC[[#This Row],[COD CART]],[1]!MatrizCortoLargoCyl[#All],3,0),"")</f>
        <v/>
      </c>
      <c r="F2579" t="inlineStr">
        <is>
          <t>FB</t>
        </is>
      </c>
      <c r="G2579" t="n">
        <v>4</v>
      </c>
      <c r="H2579" t="n">
        <v>-848.6255200000001</v>
      </c>
      <c r="I2579">
        <f>-H3772/G3772</f>
        <v/>
      </c>
      <c r="J2579" s="16" t="n">
        <v>44648</v>
      </c>
      <c r="K2579" t="n">
        <v>4</v>
      </c>
      <c r="L2579" t="n">
        <v>881.08</v>
      </c>
    </row>
    <row r="2580">
      <c r="A2580" t="n">
        <v>12652</v>
      </c>
      <c r="B2580" s="16" t="n">
        <v>44643</v>
      </c>
      <c r="C2580" t="inlineStr">
        <is>
          <t>VTA</t>
        </is>
      </c>
      <c r="D2580" t="n">
        <v>42</v>
      </c>
      <c r="E2580">
        <f>IF(D1791&gt;0,VLOOKUP(OPERAC[[#This Row],[COD CART]],[1]!MatrizCortoLargoCyl[#All],3,0),"")</f>
        <v/>
      </c>
      <c r="F2580" t="inlineStr">
        <is>
          <t>SMH</t>
        </is>
      </c>
      <c r="G2580" t="n">
        <v>1</v>
      </c>
      <c r="H2580" t="n">
        <v>-267.162898</v>
      </c>
      <c r="I2580">
        <f>-H1791/G1791</f>
        <v/>
      </c>
      <c r="J2580" s="16" t="n">
        <v>44648</v>
      </c>
      <c r="K2580" t="n">
        <v>1</v>
      </c>
      <c r="L2580">
        <f>270.33*OPERAC[[#This Row],[cantidad venta]]</f>
        <v/>
      </c>
    </row>
    <row r="2581">
      <c r="A2581" t="n">
        <v>12652</v>
      </c>
      <c r="B2581" s="16" t="n">
        <v>44643</v>
      </c>
      <c r="C2581" t="inlineStr">
        <is>
          <t>VTA</t>
        </is>
      </c>
      <c r="D2581" t="n">
        <v>42</v>
      </c>
      <c r="E2581">
        <f>IF(D3718&gt;0,VLOOKUP(OPERAC[[#This Row],[COD CART]],[1]!MatrizCortoLargoCyl[#All],3,0),"")</f>
        <v/>
      </c>
      <c r="F2581" t="inlineStr">
        <is>
          <t>ADBE</t>
        </is>
      </c>
      <c r="G2581" t="n">
        <v>2</v>
      </c>
      <c r="H2581" t="n">
        <v>-842.10955</v>
      </c>
      <c r="I2581">
        <f>-H3718/G3718</f>
        <v/>
      </c>
      <c r="J2581" s="16" t="n">
        <v>44648</v>
      </c>
      <c r="K2581" t="n">
        <v>2</v>
      </c>
      <c r="L2581" t="n">
        <v>871.942</v>
      </c>
    </row>
    <row r="2582">
      <c r="A2582" t="n">
        <v>12652</v>
      </c>
      <c r="B2582" s="16" t="n">
        <v>44662</v>
      </c>
      <c r="C2582" t="inlineStr">
        <is>
          <t>CPR</t>
        </is>
      </c>
      <c r="D2582" t="n">
        <v>42</v>
      </c>
      <c r="E2582">
        <f>IF(D1847&gt;0,VLOOKUP(OPERAC[[#This Row],[COD CART]],[1]!MatrizCortoLargoCyl[#All],3,0),"")</f>
        <v/>
      </c>
      <c r="F2582" t="inlineStr">
        <is>
          <t>HYDR</t>
        </is>
      </c>
      <c r="G2582" t="n">
        <v>15</v>
      </c>
      <c r="H2582" t="n">
        <v>-278.5551599999999</v>
      </c>
      <c r="I2582">
        <f>-H1847/G1847</f>
        <v/>
      </c>
      <c r="J2582" s="16" t="n">
        <v>44693</v>
      </c>
      <c r="K2582">
        <f>+OPERAC[[#This Row],[cantidad]]</f>
        <v/>
      </c>
      <c r="L2582">
        <f>+OPERAC[[#This Row],[cantidad venta]]*12.027</f>
        <v/>
      </c>
    </row>
    <row r="2583">
      <c r="A2583" t="n">
        <v>12652</v>
      </c>
      <c r="B2583" s="16" t="n">
        <v>44664</v>
      </c>
      <c r="C2583" t="inlineStr">
        <is>
          <t>VTA</t>
        </is>
      </c>
      <c r="D2583" t="n">
        <v>42</v>
      </c>
      <c r="E2583">
        <f>IF(D2290&gt;0,VLOOKUP(OPERAC[[#This Row],[COD CART]],[1]!MatrizCortoLargoCyl[#All],3,0),"")</f>
        <v/>
      </c>
      <c r="F2583" t="inlineStr">
        <is>
          <t>AMD</t>
        </is>
      </c>
      <c r="G2583" t="n">
        <v>4</v>
      </c>
      <c r="H2583" t="n">
        <v>-395.08261812</v>
      </c>
      <c r="I2583">
        <f>-H2290/G2290</f>
        <v/>
      </c>
      <c r="J2583" s="16" t="n">
        <v>44693</v>
      </c>
      <c r="K2583">
        <f>+OPERAC[[#This Row],[cantidad]]</f>
        <v/>
      </c>
      <c r="L2583">
        <f>+OPERAC[[#This Row],[cantidad venta]]*85.26</f>
        <v/>
      </c>
    </row>
    <row r="2584">
      <c r="A2584" t="n">
        <v>12652</v>
      </c>
      <c r="B2584" s="16" t="n">
        <v>44669</v>
      </c>
      <c r="C2584" t="inlineStr">
        <is>
          <t>VTA</t>
        </is>
      </c>
      <c r="D2584" t="n">
        <v>39</v>
      </c>
      <c r="E2584">
        <f>IF(D562&gt;0,VLOOKUP(OPERAC[[#This Row],[COD CART]],[1]!MatrizCortoLargoCyl[#All],3,0),"")</f>
        <v/>
      </c>
      <c r="F2584" t="inlineStr">
        <is>
          <t>UPST/V/80,00/22-04-22</t>
        </is>
      </c>
      <c r="G2584" t="n">
        <v>-200</v>
      </c>
      <c r="H2584" t="n">
        <v>733.71</v>
      </c>
      <c r="I2584">
        <f>-H562/G562</f>
        <v/>
      </c>
      <c r="J2584" s="16" t="n">
        <v>44673</v>
      </c>
      <c r="K2584" t="n">
        <v>-200</v>
      </c>
      <c r="L2584" t="n">
        <v>-786.63</v>
      </c>
    </row>
    <row r="2585">
      <c r="A2585" t="n">
        <v>12652</v>
      </c>
      <c r="B2585" s="16" t="n">
        <v>44672</v>
      </c>
      <c r="C2585" t="inlineStr">
        <is>
          <t>VTA</t>
        </is>
      </c>
      <c r="D2585" t="n">
        <v>39</v>
      </c>
      <c r="E2585">
        <f>IF(D696&gt;0,VLOOKUP(OPERAC[[#This Row],[COD CART]],[1]!MatrizCortoLargoCyl[#All],3,0),"")</f>
        <v/>
      </c>
      <c r="F2585" t="inlineStr">
        <is>
          <t>UPST/V/75,00/22-04-22</t>
        </is>
      </c>
      <c r="G2585" t="n">
        <v>-200</v>
      </c>
      <c r="H2585" t="n">
        <v>416.43</v>
      </c>
      <c r="I2585">
        <f>-H696/G696</f>
        <v/>
      </c>
      <c r="J2585" s="16" t="n">
        <v>44673</v>
      </c>
      <c r="K2585" t="n">
        <v>-200</v>
      </c>
      <c r="L2585" t="n">
        <v>-423.57</v>
      </c>
    </row>
    <row r="2586">
      <c r="A2586" t="n">
        <v>12652</v>
      </c>
      <c r="B2586" s="16" t="n">
        <v>44673</v>
      </c>
      <c r="C2586" t="inlineStr">
        <is>
          <t>VTA</t>
        </is>
      </c>
      <c r="D2586" t="n">
        <v>39</v>
      </c>
      <c r="E2586">
        <f>IF(D699&gt;0,VLOOKUP(OPERAC[[#This Row],[COD CART]],[1]!MatrizCortoLargoCyl[#All],3,0),"")</f>
        <v/>
      </c>
      <c r="F2586" t="inlineStr">
        <is>
          <t>UPST/V/70,00/29-04-22</t>
        </is>
      </c>
      <c r="G2586" t="n">
        <v>-200</v>
      </c>
      <c r="H2586" t="n">
        <v>416.43</v>
      </c>
      <c r="I2586">
        <f>-H699/G699</f>
        <v/>
      </c>
      <c r="J2586" s="16" t="n">
        <v>44676</v>
      </c>
      <c r="K2586" t="n">
        <v>-200</v>
      </c>
      <c r="L2586" t="n">
        <v>-266.244</v>
      </c>
    </row>
    <row r="2587">
      <c r="A2587" t="n">
        <v>12652</v>
      </c>
      <c r="B2587" s="16" t="n">
        <v>44673</v>
      </c>
      <c r="C2587" t="inlineStr">
        <is>
          <t>VTA</t>
        </is>
      </c>
      <c r="D2587" t="n">
        <v>39</v>
      </c>
      <c r="E2587">
        <f>IF(D721&gt;0,VLOOKUP(OPERAC[[#This Row],[COD CART]],[1]!MatrizCortoLargoCyl[#All],3,0),"")</f>
        <v/>
      </c>
      <c r="F2587" t="inlineStr">
        <is>
          <t>UPST/V/68,00/29-04-22</t>
        </is>
      </c>
      <c r="G2587" t="n">
        <v>-200</v>
      </c>
      <c r="H2587" t="n">
        <v>396.6</v>
      </c>
      <c r="I2587">
        <f>-H721/G721</f>
        <v/>
      </c>
      <c r="J2587" s="16" t="n">
        <v>44679</v>
      </c>
      <c r="K2587">
        <f>+OPERAC[[#This Row],[cantidad]]</f>
        <v/>
      </c>
      <c r="L2587" t="n">
        <v>-100.85</v>
      </c>
    </row>
    <row r="2588">
      <c r="A2588" t="n">
        <v>12652</v>
      </c>
      <c r="B2588" s="16" t="n">
        <v>44676</v>
      </c>
      <c r="C2588" t="inlineStr">
        <is>
          <t>VTA</t>
        </is>
      </c>
      <c r="D2588" t="n">
        <v>39</v>
      </c>
      <c r="E2588">
        <f>IF(D821&gt;0,VLOOKUP(OPERAC[[#This Row],[COD CART]],[1]!MatrizCortoLargoCyl[#All],3,0),"")</f>
        <v/>
      </c>
      <c r="F2588" t="inlineStr">
        <is>
          <t>UPST/V/67,00/06-05-22</t>
        </is>
      </c>
      <c r="G2588" t="n">
        <v>-100</v>
      </c>
      <c r="H2588" t="n">
        <v>223.0875</v>
      </c>
      <c r="I2588">
        <f>-H821/G821</f>
        <v/>
      </c>
      <c r="J2588" s="16" t="n">
        <v>44687</v>
      </c>
      <c r="K2588">
        <f>OPERAC[[#This Row],[cantidad]]</f>
        <v/>
      </c>
      <c r="L2588" t="n">
        <v>0</v>
      </c>
    </row>
    <row r="2589">
      <c r="A2589" t="n">
        <v>12652</v>
      </c>
      <c r="B2589" s="16" t="n">
        <v>44705</v>
      </c>
      <c r="C2589" t="inlineStr">
        <is>
          <t>VTA</t>
        </is>
      </c>
      <c r="D2589" t="n">
        <v>42</v>
      </c>
      <c r="E2589">
        <f>IF(D5420&gt;0,VLOOKUP(OPERAC[[#This Row],[COD CART]],[1]!MatrizCortoLargoCyl[#All],3,0),"")</f>
        <v/>
      </c>
      <c r="F2589" t="inlineStr">
        <is>
          <t>AMD</t>
        </is>
      </c>
      <c r="G2589" t="n">
        <v>20</v>
      </c>
      <c r="H2589" t="n">
        <v>-1850.0708</v>
      </c>
      <c r="I2589">
        <f>-H5420/G5420</f>
        <v/>
      </c>
      <c r="J2589" s="16" t="n">
        <v>44707</v>
      </c>
      <c r="K2589">
        <f>+OPERAC[[#This Row],[cantidad]]</f>
        <v/>
      </c>
      <c r="L2589">
        <f>+OPERAC[[#This Row],[cantidad venta]]*94.8</f>
        <v/>
      </c>
    </row>
    <row r="2590">
      <c r="A2590" t="n">
        <v>12652</v>
      </c>
      <c r="B2590" s="16" t="n">
        <v>44708</v>
      </c>
      <c r="C2590" t="inlineStr">
        <is>
          <t>VTA</t>
        </is>
      </c>
      <c r="D2590" t="n">
        <v>42</v>
      </c>
      <c r="E2590">
        <f>IF(D2183&gt;0,VLOOKUP(OPERAC[[#This Row],[COD CART]],[1]!MatrizCortoLargoCyl[#All],3,0),"")</f>
        <v/>
      </c>
      <c r="F2590" t="inlineStr">
        <is>
          <t>ACB</t>
        </is>
      </c>
      <c r="G2590" t="n">
        <v>200</v>
      </c>
      <c r="H2590" t="n">
        <v>-365.064157761</v>
      </c>
      <c r="I2590">
        <f>-H2183/G2183</f>
        <v/>
      </c>
    </row>
    <row r="2591">
      <c r="A2591" t="n">
        <v>12652</v>
      </c>
      <c r="B2591" s="16" t="n">
        <v>44712</v>
      </c>
      <c r="C2591" t="inlineStr">
        <is>
          <t>CPR</t>
        </is>
      </c>
      <c r="D2591" t="n">
        <v>32</v>
      </c>
      <c r="E2591">
        <f>IF(D4562&gt;0,VLOOKUP(OPERAC[[#This Row],[COD CART]],[1]!MatrizCortoLargoCyl[#All],3,0),"")</f>
        <v/>
      </c>
      <c r="F2591" t="inlineStr">
        <is>
          <t>AMC/CYL/13,00/10-06-22</t>
        </is>
      </c>
      <c r="G2591" t="n">
        <v>100</v>
      </c>
      <c r="H2591" t="n">
        <v>-1232.75</v>
      </c>
      <c r="I2591">
        <f>-H4562/G4562</f>
        <v/>
      </c>
      <c r="J2591" s="16" t="n">
        <v>44722</v>
      </c>
      <c r="K2591" t="n">
        <v>100</v>
      </c>
      <c r="L2591" t="n">
        <v>1234.29</v>
      </c>
    </row>
    <row r="2592">
      <c r="A2592" t="n">
        <v>12652</v>
      </c>
      <c r="B2592" s="16" t="n">
        <v>44712</v>
      </c>
      <c r="C2592" t="inlineStr">
        <is>
          <t>CPR</t>
        </is>
      </c>
      <c r="D2592" t="n">
        <v>42</v>
      </c>
      <c r="E2592">
        <f>IF(D5880&gt;0,VLOOKUP(OPERAC[[#This Row],[COD CART]],[1]!MatrizCortoLargoCyl[#All],3,0),"")</f>
        <v/>
      </c>
      <c r="F2592" t="inlineStr">
        <is>
          <t>KWEB</t>
        </is>
      </c>
      <c r="G2592" t="n">
        <v>100</v>
      </c>
      <c r="H2592" t="n">
        <v>-2959.725</v>
      </c>
      <c r="I2592">
        <f>-H5880/G5880</f>
        <v/>
      </c>
    </row>
    <row r="2593">
      <c r="A2593" t="n">
        <v>12652</v>
      </c>
      <c r="B2593" s="16" t="n">
        <v>44722</v>
      </c>
      <c r="C2593" t="inlineStr">
        <is>
          <t>VTA</t>
        </is>
      </c>
      <c r="D2593" t="n">
        <v>32</v>
      </c>
      <c r="E2593">
        <f>IF(D3748&gt;0,VLOOKUP(OPERAC[[#This Row],[COD CART]],[1]!MatrizCortoLargoCyl[#All],3,0),"")</f>
        <v/>
      </c>
      <c r="F2593" t="inlineStr">
        <is>
          <t>NNOX/CYL/9,00/17-06-22</t>
        </is>
      </c>
      <c r="G2593" t="n">
        <v>100</v>
      </c>
      <c r="H2593" t="n">
        <v>-844.8390000000001</v>
      </c>
      <c r="I2593">
        <f>-H3748/G3748</f>
        <v/>
      </c>
    </row>
    <row r="2594">
      <c r="A2594" t="n">
        <v>12655</v>
      </c>
      <c r="B2594" s="16" t="n">
        <v>44469</v>
      </c>
      <c r="C2594" t="inlineStr">
        <is>
          <t>VTA</t>
        </is>
      </c>
      <c r="D2594" t="n">
        <v>39</v>
      </c>
      <c r="E2594">
        <f>IF(D806&gt;0,VLOOKUP(OPERAC[[#This Row],[COD CART]],[1]!MatrizCortoLargoCyl[#All],3,0),"")</f>
        <v/>
      </c>
      <c r="F2594" t="inlineStr">
        <is>
          <t>ACB/V/6,00/21-01-22</t>
        </is>
      </c>
      <c r="G2594" t="n">
        <v>-300</v>
      </c>
      <c r="H2594">
        <f>255.207-0.5*OPERAC[[#This Row],[cantidad]]+0.51*OPERAC[[#This Row],[cantidad]]</f>
        <v/>
      </c>
      <c r="I2594">
        <f>-H806/G806</f>
        <v/>
      </c>
      <c r="J2594" s="16" t="n">
        <v>44581</v>
      </c>
      <c r="K2594">
        <f>+OPERAC[[#This Row],[cantidad]]</f>
        <v/>
      </c>
      <c r="L2594">
        <f>-OPERAC[[#This Row],[importe]]</f>
        <v/>
      </c>
    </row>
    <row r="2595">
      <c r="A2595" t="n">
        <v>12655</v>
      </c>
      <c r="B2595" s="16" t="n">
        <v>44487</v>
      </c>
      <c r="C2595" t="inlineStr">
        <is>
          <t>VTA</t>
        </is>
      </c>
      <c r="D2595" t="n">
        <v>40</v>
      </c>
      <c r="E2595">
        <f>IF(D5141&gt;0,VLOOKUP(OPERAC[[#This Row],[COD CART]],[1]!MatrizCortoLargoCyl[#All],3,0),"")</f>
        <v/>
      </c>
      <c r="F2595" t="inlineStr">
        <is>
          <t>MELI</t>
        </is>
      </c>
      <c r="G2595" t="n">
        <v>1</v>
      </c>
      <c r="H2595" t="n">
        <v>-1603.127</v>
      </c>
      <c r="I2595">
        <f>-H5141/G5141</f>
        <v/>
      </c>
      <c r="J2595" s="16" t="n">
        <v>44606</v>
      </c>
      <c r="K2595" t="n">
        <v>1</v>
      </c>
      <c r="L2595" t="n">
        <v>1073.609</v>
      </c>
    </row>
    <row r="2596">
      <c r="A2596" t="n">
        <v>12655</v>
      </c>
      <c r="B2596" s="16" t="n">
        <v>44489</v>
      </c>
      <c r="C2596" t="inlineStr">
        <is>
          <t>VTA</t>
        </is>
      </c>
      <c r="D2596" t="n">
        <v>43</v>
      </c>
      <c r="E2596">
        <f>IF(D2983&gt;0,VLOOKUP(OPERAC[[#This Row],[COD CART]],[1]!MatrizCortoLargoCyl[#All],3,0),"")</f>
        <v/>
      </c>
      <c r="F2596" t="inlineStr">
        <is>
          <t>SESN/CYL-PUT/1,00/19-01-24</t>
        </is>
      </c>
      <c r="G2596" t="n">
        <v>3000</v>
      </c>
      <c r="H2596">
        <f>-0.1885*OPERAC[[#This Row],[cantidad]]</f>
        <v/>
      </c>
      <c r="I2596">
        <f>-H2983/G2983</f>
        <v/>
      </c>
      <c r="J2596" s="16" t="n">
        <v>44551</v>
      </c>
      <c r="K2596" t="n">
        <v>1500</v>
      </c>
      <c r="L2596" t="n">
        <v>-584.23</v>
      </c>
    </row>
    <row r="2597">
      <c r="A2597" t="n">
        <v>12655</v>
      </c>
      <c r="B2597" s="16" t="n">
        <v>44495</v>
      </c>
      <c r="C2597" t="inlineStr">
        <is>
          <t>VTA</t>
        </is>
      </c>
      <c r="D2597" t="n">
        <v>39</v>
      </c>
      <c r="E2597">
        <f>IF(D382&gt;0,VLOOKUP(OPERAC[[#This Row],[COD CART]],[1]!MatrizCortoLargoCyl[#All],3,0),"")</f>
        <v/>
      </c>
      <c r="F2597" t="inlineStr">
        <is>
          <t>YPF/CC10/LP7/CP3/19-01-24</t>
        </is>
      </c>
      <c r="G2597" t="n">
        <v>-500</v>
      </c>
      <c r="H2597">
        <f>-2.41*OPERAC[[#This Row],[cantidad]]</f>
        <v/>
      </c>
      <c r="I2597">
        <f>-H382/G382</f>
        <v/>
      </c>
    </row>
    <row r="2598">
      <c r="A2598" t="n">
        <v>12655</v>
      </c>
      <c r="B2598" s="16" t="n">
        <v>44495</v>
      </c>
      <c r="C2598" t="inlineStr">
        <is>
          <t>VTA</t>
        </is>
      </c>
      <c r="D2598" t="n">
        <v>39</v>
      </c>
      <c r="E2598">
        <f>IF(D514&gt;0,VLOOKUP(OPERAC[[#This Row],[COD CART]],[1]!MatrizCortoLargoCyl[#All],3,0),"")</f>
        <v/>
      </c>
      <c r="F2598" t="inlineStr">
        <is>
          <t>TLRY/V/11,00/21-01-22</t>
        </is>
      </c>
      <c r="G2598" t="n">
        <v>-500</v>
      </c>
      <c r="H2598" t="n">
        <v>863.1</v>
      </c>
      <c r="I2598">
        <f>-H514/G514</f>
        <v/>
      </c>
      <c r="J2598" s="16" t="n">
        <v>44571</v>
      </c>
      <c r="K2598">
        <f>+OPERAC[[#This Row],[cantidad]]</f>
        <v/>
      </c>
      <c r="L2598">
        <f>-OPERAC[[#This Row],[importe]]</f>
        <v/>
      </c>
    </row>
    <row r="2599">
      <c r="A2599" t="n">
        <v>12655</v>
      </c>
      <c r="B2599" s="16" t="n">
        <v>44511</v>
      </c>
      <c r="C2599" t="inlineStr">
        <is>
          <t>CPR</t>
        </is>
      </c>
      <c r="D2599" t="n">
        <v>31</v>
      </c>
      <c r="E2599">
        <f>IF(D4382&gt;0,VLOOKUP(OPERAC[[#This Row],[COD CART]],[1]!MatrizCortoLargoCyl[#All],3,0),"")</f>
        <v/>
      </c>
      <c r="F2599" t="inlineStr">
        <is>
          <t>IPIX</t>
        </is>
      </c>
      <c r="G2599" t="n">
        <v>10000</v>
      </c>
      <c r="H2599" t="n">
        <v>-1099.9</v>
      </c>
      <c r="I2599">
        <f>-H4382/G4382</f>
        <v/>
      </c>
    </row>
    <row r="2600">
      <c r="A2600" t="n">
        <v>12655</v>
      </c>
      <c r="B2600" s="16" t="n">
        <v>44523</v>
      </c>
      <c r="C2600" t="inlineStr">
        <is>
          <t>VTA</t>
        </is>
      </c>
      <c r="D2600" t="n">
        <v>40</v>
      </c>
      <c r="E2600">
        <f>IF(D3903&gt;0,VLOOKUP(OPERAC[[#This Row],[COD CART]],[1]!MatrizCortoLargoCyl[#All],3,0),"")</f>
        <v/>
      </c>
      <c r="F2600" t="inlineStr">
        <is>
          <t>EDU</t>
        </is>
      </c>
      <c r="G2600" t="n">
        <v>500</v>
      </c>
      <c r="H2600">
        <f>-889.745+0.026*OPERAC[[#This Row],[cantidad]]</f>
        <v/>
      </c>
      <c r="I2600">
        <f>-H3903/G3903</f>
        <v/>
      </c>
      <c r="J2600" s="16" t="n">
        <v>44630</v>
      </c>
      <c r="K2600" t="n">
        <v>500</v>
      </c>
      <c r="L2600" t="n">
        <v>568.328</v>
      </c>
    </row>
    <row r="2601">
      <c r="A2601" t="n">
        <v>12655</v>
      </c>
      <c r="B2601" s="16" t="n">
        <v>44532</v>
      </c>
      <c r="C2601" t="inlineStr">
        <is>
          <t>VTA</t>
        </is>
      </c>
      <c r="D2601" t="n">
        <v>32</v>
      </c>
      <c r="E2601">
        <f>IF(D3929&gt;0,VLOOKUP(OPERAC[[#This Row],[COD CART]],[1]!MatrizCortoLargoCyl[#All],3,0),"")</f>
        <v/>
      </c>
      <c r="F2601" t="inlineStr">
        <is>
          <t>COTY/CYL/10,00/18-02-22</t>
        </is>
      </c>
      <c r="G2601" t="n">
        <v>100</v>
      </c>
      <c r="H2601">
        <f>-901.599+20.838</f>
        <v/>
      </c>
      <c r="I2601">
        <f>-H3929/G3929</f>
        <v/>
      </c>
      <c r="J2601" s="16" t="n">
        <v>44608</v>
      </c>
      <c r="K2601">
        <f>+OPERAC[[#This Row],[cantidad]]</f>
        <v/>
      </c>
      <c r="L2601" t="n">
        <v>941.701</v>
      </c>
    </row>
    <row r="2602">
      <c r="A2602" t="n">
        <v>12655</v>
      </c>
      <c r="B2602" s="16" t="n">
        <v>44533</v>
      </c>
      <c r="C2602" t="inlineStr">
        <is>
          <t>CPR</t>
        </is>
      </c>
      <c r="D2602" t="n">
        <v>32</v>
      </c>
      <c r="E2602">
        <f>IF(D3523&gt;0,VLOOKUP(OPERAC[[#This Row],[COD CART]],[1]!MatrizCortoLargoCyl[#All],3,0),"")</f>
        <v/>
      </c>
      <c r="F2602" t="inlineStr">
        <is>
          <t>GMBL/CYL/5,00/21-01-22</t>
        </is>
      </c>
      <c r="G2602" t="n">
        <v>200</v>
      </c>
      <c r="H2602">
        <f>-3.83*OPERAC[[#This Row],[cantidad]]</f>
        <v/>
      </c>
      <c r="I2602">
        <f>-H3523/G3523</f>
        <v/>
      </c>
      <c r="J2602" s="16" t="n">
        <v>44574</v>
      </c>
      <c r="K2602" t="n">
        <v>200</v>
      </c>
      <c r="L2602" t="n">
        <v>675.9109999999999</v>
      </c>
    </row>
    <row r="2603">
      <c r="A2603" t="n">
        <v>12655</v>
      </c>
      <c r="B2603" s="16" t="n">
        <v>44533</v>
      </c>
      <c r="C2603" t="inlineStr">
        <is>
          <t>CPR</t>
        </is>
      </c>
      <c r="D2603" t="n">
        <v>32</v>
      </c>
      <c r="E2603">
        <f>IF(D5637&gt;0,VLOOKUP(OPERAC[[#This Row],[COD CART]],[1]!MatrizCortoLargoCyl[#All],3,0),"")</f>
        <v/>
      </c>
      <c r="F2603" t="inlineStr">
        <is>
          <t>INO/CYL/8,00/18-02-22</t>
        </is>
      </c>
      <c r="G2603" t="n">
        <v>400</v>
      </c>
      <c r="H2603">
        <f>-5.87*OPERAC[[#This Row],[cantidad]]+18.829</f>
        <v/>
      </c>
      <c r="I2603">
        <f>-H5637/G5637</f>
        <v/>
      </c>
      <c r="J2603" s="16" t="n">
        <v>44595</v>
      </c>
      <c r="K2603">
        <f>300+100</f>
        <v/>
      </c>
      <c r="L2603">
        <f>1070.708+366.629</f>
        <v/>
      </c>
    </row>
    <row r="2604">
      <c r="A2604" t="n">
        <v>12655</v>
      </c>
      <c r="B2604" s="16" t="n">
        <v>44533</v>
      </c>
      <c r="C2604" t="inlineStr">
        <is>
          <t>VTA</t>
        </is>
      </c>
      <c r="D2604" t="n">
        <v>32</v>
      </c>
      <c r="E2604">
        <f>IF(D5505&gt;0,VLOOKUP(OPERAC[[#This Row],[COD CART]],[1]!MatrizCortoLargoCyl[#All],3,0),"")</f>
        <v/>
      </c>
      <c r="F2604" t="inlineStr">
        <is>
          <t>HIMX/CYL/12,00/21-01-22</t>
        </is>
      </c>
      <c r="G2604" t="n">
        <v>200</v>
      </c>
      <c r="H2604">
        <f>-9.9*OPERAC[[#This Row],[cantidad]]</f>
        <v/>
      </c>
      <c r="I2604">
        <f>-H5505/G5505</f>
        <v/>
      </c>
      <c r="J2604" s="16" t="n">
        <v>44575</v>
      </c>
      <c r="K2604" t="n">
        <v>200</v>
      </c>
      <c r="L2604" t="n">
        <v>2341.236</v>
      </c>
    </row>
    <row r="2605">
      <c r="A2605" t="n">
        <v>12655</v>
      </c>
      <c r="B2605" s="16" t="n">
        <v>44536</v>
      </c>
      <c r="C2605" t="inlineStr">
        <is>
          <t>CPR</t>
        </is>
      </c>
      <c r="D2605" t="n">
        <v>43</v>
      </c>
      <c r="E2605">
        <f>IF(D4368&gt;0,VLOOKUP(OPERAC[[#This Row],[COD CART]],[1]!MatrizCortoLargoCyl[#All],3,0),"")</f>
        <v/>
      </c>
      <c r="F2605" t="inlineStr">
        <is>
          <t>NNDM/CYL-PUT/2,50/19-01-24</t>
        </is>
      </c>
      <c r="G2605" t="n">
        <v>1000</v>
      </c>
      <c r="H2605">
        <f>-1.08*OPERAC[[#This Row],[cantidad]]</f>
        <v/>
      </c>
      <c r="I2605">
        <f>-H4368/G4368</f>
        <v/>
      </c>
    </row>
    <row r="2606">
      <c r="A2606" t="n">
        <v>12655</v>
      </c>
      <c r="B2606" s="16" t="n">
        <v>44536</v>
      </c>
      <c r="C2606" t="inlineStr">
        <is>
          <t>VTA</t>
        </is>
      </c>
      <c r="D2606" t="n">
        <v>43</v>
      </c>
      <c r="E2606">
        <f>IF(D2097&gt;0,VLOOKUP(OPERAC[[#This Row],[COD CART]],[1]!MatrizCortoLargoCyl[#All],3,0),"")</f>
        <v/>
      </c>
      <c r="F2606" t="inlineStr">
        <is>
          <t>HEXO/CYL-PUT/1,00/20-01-23</t>
        </is>
      </c>
      <c r="G2606" t="n">
        <v>2000</v>
      </c>
      <c r="H2606">
        <f>-0.1671*OPERAC[[#This Row],[cantidad]]</f>
        <v/>
      </c>
      <c r="I2606">
        <f>-H2097/G2097</f>
        <v/>
      </c>
    </row>
    <row r="2607">
      <c r="A2607" t="n">
        <v>12655</v>
      </c>
      <c r="B2607" s="16" t="n">
        <v>44536</v>
      </c>
      <c r="C2607" t="inlineStr">
        <is>
          <t>VTA</t>
        </is>
      </c>
      <c r="D2607" t="n">
        <v>43</v>
      </c>
      <c r="E2607">
        <f>IF(D3006&gt;0,VLOOKUP(OPERAC[[#This Row],[COD CART]],[1]!MatrizCortoLargoCyl[#All],3,0),"")</f>
        <v/>
      </c>
      <c r="F2607" t="inlineStr">
        <is>
          <t>XSPA/CYL-PUT/1,50/20-01-23</t>
        </is>
      </c>
      <c r="G2607" t="n">
        <v>1300</v>
      </c>
      <c r="H2607">
        <f>-0.4462*OPERAC[[#This Row],[cantidad]]</f>
        <v/>
      </c>
      <c r="I2607">
        <f>-H3006/G3006</f>
        <v/>
      </c>
    </row>
    <row r="2608">
      <c r="A2608" t="n">
        <v>12655</v>
      </c>
      <c r="B2608" s="16" t="n">
        <v>44547</v>
      </c>
      <c r="C2608" t="inlineStr">
        <is>
          <t>VTA</t>
        </is>
      </c>
      <c r="D2608" t="n">
        <v>32</v>
      </c>
      <c r="E2608">
        <f>IF(D3789&gt;0,VLOOKUP(OPERAC[[#This Row],[COD CART]],[1]!MatrizCortoLargoCyl[#All],3,0),"")</f>
        <v/>
      </c>
      <c r="F2608" t="inlineStr">
        <is>
          <t>ARLO/CYL/9,00/18-02-22</t>
        </is>
      </c>
      <c r="G2608" t="n">
        <v>100</v>
      </c>
      <c r="H2608">
        <f>-866.74+14.88</f>
        <v/>
      </c>
      <c r="I2608">
        <f>-H3789/G3789</f>
        <v/>
      </c>
      <c r="J2608" s="16" t="n">
        <v>44607</v>
      </c>
      <c r="K2608" t="n">
        <v>100</v>
      </c>
      <c r="L2608" t="n">
        <v>875.33</v>
      </c>
    </row>
    <row r="2609">
      <c r="A2609" t="n">
        <v>12655</v>
      </c>
      <c r="B2609" s="16" t="n">
        <v>44571</v>
      </c>
      <c r="C2609" t="inlineStr">
        <is>
          <t>VTA</t>
        </is>
      </c>
      <c r="D2609" t="n">
        <v>39</v>
      </c>
      <c r="E2609">
        <f>IF(D406&gt;0,VLOOKUP(OPERAC[[#This Row],[COD CART]],[1]!MatrizCortoLargoCyl[#All],3,0),"")</f>
        <v/>
      </c>
      <c r="F2609" t="inlineStr">
        <is>
          <t>TSLA/V/870,00/21-01-22</t>
        </is>
      </c>
      <c r="G2609" t="n">
        <v>-200</v>
      </c>
      <c r="H2609" t="n">
        <v>1150.1874</v>
      </c>
      <c r="I2609">
        <f>-H406/G406</f>
        <v/>
      </c>
      <c r="J2609" s="16" t="n">
        <v>44574</v>
      </c>
      <c r="K2609" t="n">
        <v>-200</v>
      </c>
      <c r="L2609" t="n">
        <v>-333.1626</v>
      </c>
    </row>
    <row r="2610">
      <c r="A2610" t="n">
        <v>12655</v>
      </c>
      <c r="B2610" s="16" t="n">
        <v>44574</v>
      </c>
      <c r="C2610" t="inlineStr">
        <is>
          <t>VTA</t>
        </is>
      </c>
      <c r="D2610" t="n">
        <v>39</v>
      </c>
      <c r="E2610">
        <f>IF(D790&gt;0,VLOOKUP(OPERAC[[#This Row],[COD CART]],[1]!MatrizCortoLargoCyl[#All],3,0),"")</f>
        <v/>
      </c>
      <c r="F2610" t="inlineStr">
        <is>
          <t>ROKU/V/150,00/14-01-22</t>
        </is>
      </c>
      <c r="G2610" t="n">
        <v>-2000</v>
      </c>
      <c r="H2610" t="n">
        <v>274.6</v>
      </c>
      <c r="I2610">
        <f>-H790/G790</f>
        <v/>
      </c>
      <c r="J2610" s="16" t="n">
        <v>44575</v>
      </c>
      <c r="K2610" t="n">
        <v>-2000</v>
      </c>
      <c r="L2610" t="n">
        <v>0</v>
      </c>
    </row>
    <row r="2611">
      <c r="A2611" t="n">
        <v>12655</v>
      </c>
      <c r="B2611" s="16" t="n">
        <v>44574</v>
      </c>
      <c r="C2611" t="inlineStr">
        <is>
          <t>VTA</t>
        </is>
      </c>
      <c r="D2611" t="n">
        <v>39</v>
      </c>
      <c r="E2611">
        <f>IF(D793&gt;0,VLOOKUP(OPERAC[[#This Row],[COD CART]],[1]!MatrizCortoLargoCyl[#All],3,0),"")</f>
        <v/>
      </c>
      <c r="F2611" t="inlineStr">
        <is>
          <t>TSLA/V/900,00/21-01-22</t>
        </is>
      </c>
      <c r="G2611" t="n">
        <v>-100</v>
      </c>
      <c r="H2611" t="n">
        <v>267.5752</v>
      </c>
      <c r="I2611">
        <f>-H793/G793</f>
        <v/>
      </c>
      <c r="J2611" s="16" t="n">
        <v>44582</v>
      </c>
      <c r="K2611">
        <f>+OPERAC[[#This Row],[cantidad]]</f>
        <v/>
      </c>
      <c r="L2611" t="n">
        <v>0</v>
      </c>
    </row>
    <row r="2612">
      <c r="A2612" t="n">
        <v>12655</v>
      </c>
      <c r="B2612" s="16" t="n">
        <v>44575</v>
      </c>
      <c r="C2612" t="inlineStr">
        <is>
          <t>CPR</t>
        </is>
      </c>
      <c r="D2612" t="n">
        <v>40</v>
      </c>
      <c r="E2612">
        <f>IF(D3542&gt;0,VLOOKUP(OPERAC[[#This Row],[COD CART]],[1]!MatrizCortoLargoCyl[#All],3,0),"")</f>
        <v/>
      </c>
      <c r="F2612" t="inlineStr">
        <is>
          <t>GBTC</t>
        </is>
      </c>
      <c r="G2612" t="n">
        <v>25</v>
      </c>
      <c r="H2612" t="n">
        <v>-770.237</v>
      </c>
      <c r="I2612">
        <f>-H3542/G3542</f>
        <v/>
      </c>
      <c r="J2612" s="16" t="n">
        <v>44651</v>
      </c>
      <c r="K2612">
        <f>+OPERAC[[#This Row],[cantidad]]</f>
        <v/>
      </c>
      <c r="L2612">
        <f>+OPERAC[[#This Row],[cantidad venta]]*31.332</f>
        <v/>
      </c>
    </row>
    <row r="2613">
      <c r="A2613" t="n">
        <v>12655</v>
      </c>
      <c r="B2613" s="16" t="n">
        <v>44581</v>
      </c>
      <c r="C2613" t="inlineStr">
        <is>
          <t>VTA</t>
        </is>
      </c>
      <c r="D2613" t="n">
        <v>39</v>
      </c>
      <c r="E2613">
        <f>IF(D752&gt;0,VLOOKUP(OPERAC[[#This Row],[COD CART]],[1]!MatrizCortoLargoCyl[#All],3,0),"")</f>
        <v/>
      </c>
      <c r="F2613" t="inlineStr">
        <is>
          <t>ACB/V/6,00/18-02-22</t>
        </is>
      </c>
      <c r="G2613" t="n">
        <v>-300</v>
      </c>
      <c r="H2613" t="n">
        <v>362.8545</v>
      </c>
      <c r="I2613">
        <f>-H752/G752</f>
        <v/>
      </c>
      <c r="J2613" s="16" t="n">
        <v>44601</v>
      </c>
      <c r="K2613" t="n">
        <v>-300</v>
      </c>
      <c r="L2613">
        <f>1.21*OPERAC[[#This Row],[cantidad venta]]</f>
        <v/>
      </c>
    </row>
    <row r="2614">
      <c r="A2614" t="n">
        <v>12655</v>
      </c>
      <c r="B2614" s="16" t="n">
        <v>44582</v>
      </c>
      <c r="C2614" t="inlineStr">
        <is>
          <t>VTA</t>
        </is>
      </c>
      <c r="D2614" t="n">
        <v>40</v>
      </c>
      <c r="E2614">
        <f>IF(D5039&gt;0,VLOOKUP(OPERAC[[#This Row],[COD CART]],[1]!MatrizCortoLargoCyl[#All],3,0),"")</f>
        <v/>
      </c>
      <c r="F2614" t="inlineStr">
        <is>
          <t>NFLX</t>
        </is>
      </c>
      <c r="G2614" t="n">
        <v>4</v>
      </c>
      <c r="H2614" t="n">
        <v>-1562.5484</v>
      </c>
      <c r="I2614">
        <f>-H5039/G5039</f>
        <v/>
      </c>
      <c r="J2614" s="16" t="n">
        <v>44593</v>
      </c>
      <c r="K2614">
        <f>+OPERAC[[#This Row],[cantidad]]</f>
        <v/>
      </c>
      <c r="L2614">
        <f>+OPERAC[[#This Row],[cantidad venta]]*448.602</f>
        <v/>
      </c>
    </row>
    <row r="2615">
      <c r="A2615" t="n">
        <v>12655</v>
      </c>
      <c r="B2615" s="16" t="n">
        <v>44586</v>
      </c>
      <c r="C2615" t="inlineStr">
        <is>
          <t>CPR</t>
        </is>
      </c>
      <c r="D2615" t="n">
        <v>43</v>
      </c>
      <c r="E2615">
        <f>IF(D2741&gt;0,VLOOKUP(OPERAC[[#This Row],[COD CART]],[1]!MatrizCortoLargoCyl[#All],3,0),"")</f>
        <v/>
      </c>
      <c r="F2615" t="inlineStr">
        <is>
          <t>GMBL/CYL-PUT/2,50/20-01-23</t>
        </is>
      </c>
      <c r="G2615" t="n">
        <v>500</v>
      </c>
      <c r="H2615" t="n">
        <v>-508.0223</v>
      </c>
      <c r="I2615">
        <f>-H2741/G2741</f>
        <v/>
      </c>
      <c r="J2615" s="16" t="n">
        <v>44636</v>
      </c>
      <c r="K2615" t="n">
        <v>500</v>
      </c>
      <c r="L2615">
        <f>-1.36*OPERAC[[#This Row],[cantidad venta]]</f>
        <v/>
      </c>
    </row>
    <row r="2616">
      <c r="A2616" t="n">
        <v>12655</v>
      </c>
      <c r="B2616" s="16" t="n">
        <v>44587</v>
      </c>
      <c r="C2616" t="inlineStr">
        <is>
          <t>VTA</t>
        </is>
      </c>
      <c r="D2616" t="n">
        <v>40</v>
      </c>
      <c r="E2616">
        <f>IF(D1969&gt;0,VLOOKUP(OPERAC[[#This Row],[COD CART]],[1]!MatrizCortoLargoCyl[#All],3,0),"")</f>
        <v/>
      </c>
      <c r="F2616" t="inlineStr">
        <is>
          <t>MSFT</t>
        </is>
      </c>
      <c r="G2616" t="n">
        <v>1</v>
      </c>
      <c r="H2616" t="n">
        <v>-303.41126</v>
      </c>
      <c r="I2616">
        <f>-H1969/G1969</f>
        <v/>
      </c>
      <c r="J2616" s="16" t="n">
        <v>44606</v>
      </c>
      <c r="K2616">
        <f>+OPERAC[[#This Row],[cantidad]]</f>
        <v/>
      </c>
      <c r="L2616">
        <f>+OPERAC[[#This Row],[cantidad venta]]*290.091</f>
        <v/>
      </c>
    </row>
    <row r="2617">
      <c r="A2617" t="n">
        <v>12655</v>
      </c>
      <c r="B2617" s="16" t="n">
        <v>44595</v>
      </c>
      <c r="C2617" t="inlineStr">
        <is>
          <t>VTA</t>
        </is>
      </c>
      <c r="D2617" t="n">
        <v>39</v>
      </c>
      <c r="E2617">
        <f>IF(D308&gt;0,VLOOKUP(OPERAC[[#This Row],[COD CART]],[1]!MatrizCortoLargoCyl[#All],3,0),"")</f>
        <v/>
      </c>
      <c r="F2617" t="inlineStr">
        <is>
          <t>ROKU/V/145,00/11-02-22</t>
        </is>
      </c>
      <c r="G2617" t="n">
        <v>-200</v>
      </c>
      <c r="H2617" t="n">
        <v>1487.186</v>
      </c>
      <c r="I2617">
        <f>-H308/G308</f>
        <v/>
      </c>
      <c r="J2617" s="16" t="n">
        <v>44603</v>
      </c>
      <c r="K2617" t="n">
        <v>-200</v>
      </c>
      <c r="L2617" t="n">
        <v>0</v>
      </c>
    </row>
    <row r="2618">
      <c r="A2618" t="n">
        <v>12655</v>
      </c>
      <c r="B2618" s="16" t="n">
        <v>44596</v>
      </c>
      <c r="C2618" t="inlineStr">
        <is>
          <t>VTA</t>
        </is>
      </c>
      <c r="D2618" t="n">
        <v>39</v>
      </c>
      <c r="E2618">
        <f>IF(D727&gt;0,VLOOKUP(OPERAC[[#This Row],[COD CART]],[1]!MatrizCortoLargoCyl[#All],3,0),"")</f>
        <v/>
      </c>
      <c r="F2618" t="inlineStr">
        <is>
          <t>MELI/V/850,00/11-02-22</t>
        </is>
      </c>
      <c r="G2618" t="n">
        <v>-100</v>
      </c>
      <c r="H2618" t="n">
        <v>390</v>
      </c>
      <c r="I2618">
        <f>-H727/G727</f>
        <v/>
      </c>
      <c r="J2618" s="16" t="n">
        <v>44603</v>
      </c>
      <c r="K2618" t="n">
        <v>-100</v>
      </c>
      <c r="L2618" t="n">
        <v>0</v>
      </c>
    </row>
    <row r="2619">
      <c r="A2619" t="n">
        <v>12655</v>
      </c>
      <c r="B2619" s="16" t="n">
        <v>44599</v>
      </c>
      <c r="C2619" t="inlineStr">
        <is>
          <t>CPR</t>
        </is>
      </c>
      <c r="D2619" t="n">
        <v>40</v>
      </c>
      <c r="E2619">
        <f>IF(D4525&gt;0,VLOOKUP(OPERAC[[#This Row],[COD CART]],[1]!MatrizCortoLargoCyl[#All],3,0),"")</f>
        <v/>
      </c>
      <c r="F2619" t="inlineStr">
        <is>
          <t>FB</t>
        </is>
      </c>
      <c r="G2619" t="n">
        <v>5</v>
      </c>
      <c r="H2619" t="n">
        <v>-1192.3</v>
      </c>
      <c r="I2619">
        <f>-H4525/G4525</f>
        <v/>
      </c>
      <c r="J2619" s="16" t="n">
        <v>44616</v>
      </c>
      <c r="K2619">
        <f>+OPERAC[[#This Row],[cantidad]]</f>
        <v/>
      </c>
      <c r="L2619">
        <f>200.299*OPERAC[[#This Row],[cantidad venta]]</f>
        <v/>
      </c>
    </row>
    <row r="2620">
      <c r="A2620" t="n">
        <v>12655</v>
      </c>
      <c r="B2620" s="16" t="n">
        <v>44601</v>
      </c>
      <c r="C2620" t="inlineStr">
        <is>
          <t>VTA</t>
        </is>
      </c>
      <c r="D2620" t="n">
        <v>39</v>
      </c>
      <c r="E2620">
        <f>IF(D1232&gt;0,VLOOKUP(OPERAC[[#This Row],[COD CART]],[1]!MatrizCortoLargoCyl[#All],3,0),"")</f>
        <v/>
      </c>
      <c r="F2620" t="inlineStr">
        <is>
          <t>ACB/V/5,00/16-09-22</t>
        </is>
      </c>
      <c r="G2620" t="n">
        <v>-3</v>
      </c>
      <c r="H2620">
        <f>-1.56*OPERAC[[#This Row],[cantidad]]</f>
        <v/>
      </c>
      <c r="I2620">
        <f>-H1232/G1232</f>
        <v/>
      </c>
    </row>
    <row r="2621">
      <c r="A2621" t="n">
        <v>12655</v>
      </c>
      <c r="B2621" s="16" t="n">
        <v>44602</v>
      </c>
      <c r="C2621" t="inlineStr">
        <is>
          <t>CPR</t>
        </is>
      </c>
      <c r="D2621" t="n">
        <v>32</v>
      </c>
      <c r="E2621">
        <f>IF(D5773&gt;0,VLOOKUP(OPERAC[[#This Row],[COD CART]],[1]!MatrizCortoLargoCyl[#All],3,0),"")</f>
        <v/>
      </c>
      <c r="F2621" t="inlineStr">
        <is>
          <t>BIOX</t>
        </is>
      </c>
      <c r="G2621" t="n">
        <v>200</v>
      </c>
      <c r="H2621">
        <f>-2672+29.76</f>
        <v/>
      </c>
      <c r="I2621">
        <f>-H5773/G5773</f>
        <v/>
      </c>
      <c r="J2621" s="16" t="n">
        <v>44669</v>
      </c>
      <c r="K2621">
        <f>100+100</f>
        <v/>
      </c>
      <c r="L2621">
        <f>1189.8+1209.63</f>
        <v/>
      </c>
    </row>
    <row r="2622">
      <c r="A2622" t="n">
        <v>12655</v>
      </c>
      <c r="B2622" s="16" t="n">
        <v>44602</v>
      </c>
      <c r="C2622" t="inlineStr">
        <is>
          <t>VTA</t>
        </is>
      </c>
      <c r="D2622" t="n">
        <v>32</v>
      </c>
      <c r="E2622">
        <f>IF(D5304&gt;0,VLOOKUP(OPERAC[[#This Row],[COD CART]],[1]!MatrizCortoLargoCyl[#All],3,0),"")</f>
        <v/>
      </c>
      <c r="F2622" t="inlineStr">
        <is>
          <t>TEVA</t>
        </is>
      </c>
      <c r="G2622" t="n">
        <v>200</v>
      </c>
      <c r="H2622">
        <f>-8.59*OPERAC[[#This Row],[cantidad]]</f>
        <v/>
      </c>
      <c r="I2622">
        <f>-H5304/G5304</f>
        <v/>
      </c>
      <c r="J2622" s="16" t="n">
        <v>44643</v>
      </c>
      <c r="K2622">
        <f>+OPERAC[[#This Row],[cantidad]]</f>
        <v/>
      </c>
      <c r="L2622">
        <f>+OPERAC[[#This Row],[cantidad venta]]*8.051</f>
        <v/>
      </c>
    </row>
    <row r="2623">
      <c r="A2623" t="n">
        <v>12655</v>
      </c>
      <c r="B2623" s="16" t="n">
        <v>44608</v>
      </c>
      <c r="C2623" t="inlineStr">
        <is>
          <t>VTA</t>
        </is>
      </c>
      <c r="D2623" t="n">
        <v>32</v>
      </c>
      <c r="E2623">
        <f>IF(D5104&gt;0,VLOOKUP(OPERAC[[#This Row],[COD CART]],[1]!MatrizCortoLargoCyl[#All],3,0),"")</f>
        <v/>
      </c>
      <c r="F2623" t="inlineStr">
        <is>
          <t>DDD/CYL/17,00/01-04-22</t>
        </is>
      </c>
      <c r="G2623" t="n">
        <v>100</v>
      </c>
      <c r="H2623">
        <f>-1629.4234+19.7+16.45</f>
        <v/>
      </c>
      <c r="I2623">
        <f>-H5104/G5104</f>
        <v/>
      </c>
      <c r="J2623" s="16" t="n">
        <v>44649</v>
      </c>
      <c r="K2623" t="n">
        <v>100</v>
      </c>
      <c r="L2623" t="n">
        <v>1661.98</v>
      </c>
    </row>
    <row r="2624">
      <c r="A2624" t="n">
        <v>12655</v>
      </c>
      <c r="B2624" s="16" t="n">
        <v>44609</v>
      </c>
      <c r="C2624" t="inlineStr">
        <is>
          <t>VTA</t>
        </is>
      </c>
      <c r="D2624" t="n">
        <v>32</v>
      </c>
      <c r="E2624">
        <f>IF(D3874&gt;0,VLOOKUP(OPERAC[[#This Row],[COD CART]],[1]!MatrizCortoLargoCyl[#All],3,0),"")</f>
        <v/>
      </c>
      <c r="F2624" t="inlineStr">
        <is>
          <t>HIMX/CYL/9,00/18-03-22</t>
        </is>
      </c>
      <c r="G2624" t="n">
        <v>100</v>
      </c>
      <c r="H2624" t="n">
        <v>-869.5839999999999</v>
      </c>
      <c r="I2624">
        <f>-H3874/G3874</f>
        <v/>
      </c>
      <c r="J2624" s="16" t="n">
        <v>44622</v>
      </c>
      <c r="K2624">
        <f>+OPERAC[[#This Row],[cantidad]]</f>
        <v/>
      </c>
      <c r="L2624" t="n">
        <v>883.576</v>
      </c>
    </row>
    <row r="2625">
      <c r="A2625" t="n">
        <v>12655</v>
      </c>
      <c r="B2625" s="16" t="n">
        <v>44616</v>
      </c>
      <c r="C2625" t="inlineStr">
        <is>
          <t>CPR</t>
        </is>
      </c>
      <c r="D2625" t="n">
        <v>32</v>
      </c>
      <c r="E2625">
        <f>IF(D4316&gt;0,VLOOKUP(OPERAC[[#This Row],[COD CART]],[1]!MatrizCortoLargoCyl[#All],3,0),"")</f>
        <v/>
      </c>
      <c r="F2625" t="inlineStr">
        <is>
          <t>PLTR/CYL/12,00/14-04-22</t>
        </is>
      </c>
      <c r="G2625" t="n">
        <v>100</v>
      </c>
      <c r="H2625" t="n">
        <v>-1052.7265</v>
      </c>
      <c r="I2625">
        <f>-H4316/G4316</f>
        <v/>
      </c>
      <c r="J2625" s="16" t="n">
        <v>44643</v>
      </c>
      <c r="K2625" t="n">
        <v>100</v>
      </c>
      <c r="L2625" t="n">
        <v>1146.72</v>
      </c>
    </row>
    <row r="2626">
      <c r="A2626" t="n">
        <v>12655</v>
      </c>
      <c r="B2626" s="16" t="n">
        <v>44622</v>
      </c>
      <c r="C2626" t="inlineStr">
        <is>
          <t>CPR</t>
        </is>
      </c>
      <c r="D2626" t="n">
        <v>32</v>
      </c>
      <c r="E2626">
        <f>IF(D4049&gt;0,VLOOKUP(OPERAC[[#This Row],[COD CART]],[1]!MatrizCortoLargoCyl[#All],3,0),"")</f>
        <v/>
      </c>
      <c r="F2626" t="inlineStr">
        <is>
          <t>SABR/CYL/10,00/14-04-22</t>
        </is>
      </c>
      <c r="G2626" t="n">
        <v>100</v>
      </c>
      <c r="H2626" t="n">
        <v>-928.98</v>
      </c>
      <c r="I2626">
        <f>-H4049/G4049</f>
        <v/>
      </c>
      <c r="J2626" s="16" t="n">
        <v>44649</v>
      </c>
      <c r="K2626" t="n">
        <v>100</v>
      </c>
      <c r="L2626" t="n">
        <v>982.1799999999999</v>
      </c>
    </row>
    <row r="2627">
      <c r="A2627" t="n">
        <v>12655</v>
      </c>
      <c r="B2627" s="16" t="n">
        <v>44634</v>
      </c>
      <c r="C2627" t="inlineStr">
        <is>
          <t>CPR</t>
        </is>
      </c>
      <c r="D2627" t="n">
        <v>42</v>
      </c>
      <c r="E2627">
        <f>IF(D3230&gt;0,VLOOKUP(OPERAC[[#This Row],[COD CART]],[1]!MatrizCortoLargoCyl[#All],3,0),"")</f>
        <v/>
      </c>
      <c r="F2627" t="inlineStr">
        <is>
          <t>INO</t>
        </is>
      </c>
      <c r="G2627" t="n">
        <v>200</v>
      </c>
      <c r="H2627" t="n">
        <v>-664.1632</v>
      </c>
      <c r="I2627">
        <f>-H3230/G3230</f>
        <v/>
      </c>
      <c r="J2627" s="16" t="n">
        <v>44634</v>
      </c>
      <c r="K2627" t="n">
        <v>200</v>
      </c>
      <c r="L2627" t="n">
        <v>597.771</v>
      </c>
    </row>
    <row r="2628">
      <c r="A2628" t="n">
        <v>12655</v>
      </c>
      <c r="B2628" s="16" t="n">
        <v>44636</v>
      </c>
      <c r="C2628" t="inlineStr">
        <is>
          <t>VTA</t>
        </is>
      </c>
      <c r="D2628" t="n">
        <v>43</v>
      </c>
      <c r="E2628">
        <f>IF(D2068&gt;0,VLOOKUP(OPERAC[[#This Row],[COD CART]],[1]!MatrizCortoLargoCyl[#All],3,0),"")</f>
        <v/>
      </c>
      <c r="F2628" t="inlineStr">
        <is>
          <t>GMBL/CYL-PUT/1,00/20-01-23</t>
        </is>
      </c>
      <c r="G2628" t="n">
        <v>2000</v>
      </c>
      <c r="H2628" t="n">
        <v>-326.7773000000002</v>
      </c>
      <c r="I2628">
        <f>-H2068/G2068</f>
        <v/>
      </c>
    </row>
    <row r="2629">
      <c r="A2629" t="n">
        <v>12655</v>
      </c>
      <c r="B2629" s="16" t="n">
        <v>44643</v>
      </c>
      <c r="C2629" t="inlineStr">
        <is>
          <t>CPR</t>
        </is>
      </c>
      <c r="D2629" t="n">
        <v>32</v>
      </c>
      <c r="E2629">
        <f>IF(D4708&gt;0,VLOOKUP(OPERAC[[#This Row],[COD CART]],[1]!MatrizCortoLargoCyl[#All],3,0),"")</f>
        <v/>
      </c>
      <c r="F2629" t="inlineStr">
        <is>
          <t>CRESY/CYL/7,50/17-06-22</t>
        </is>
      </c>
      <c r="G2629" t="n">
        <v>200</v>
      </c>
      <c r="H2629">
        <f>-1360.6+39.66</f>
        <v/>
      </c>
      <c r="I2629">
        <f>-H4708/G4708</f>
        <v/>
      </c>
    </row>
    <row r="2630">
      <c r="A2630" t="n">
        <v>12655</v>
      </c>
      <c r="B2630" s="16" t="n">
        <v>44643</v>
      </c>
      <c r="C2630" t="inlineStr">
        <is>
          <t>VTA</t>
        </is>
      </c>
      <c r="D2630" t="n">
        <v>42</v>
      </c>
      <c r="E2630">
        <f>IF(D2403&gt;0,VLOOKUP(OPERAC[[#This Row],[COD CART]],[1]!MatrizCortoLargoCyl[#All],3,0),"")</f>
        <v/>
      </c>
      <c r="F2630" t="inlineStr">
        <is>
          <t>JPM</t>
        </is>
      </c>
      <c r="G2630" t="n">
        <v>3</v>
      </c>
      <c r="H2630" t="n">
        <v>-423.73992</v>
      </c>
      <c r="I2630">
        <f>-H2403/G2403</f>
        <v/>
      </c>
      <c r="J2630" s="16" t="n">
        <v>44664</v>
      </c>
      <c r="K2630">
        <f>+OPERAC[[#This Row],[cantidad]]</f>
        <v/>
      </c>
      <c r="L2630">
        <f>+OPERAC[[#This Row],[cantidad venta]]*125.943</f>
        <v/>
      </c>
    </row>
    <row r="2631">
      <c r="A2631" t="n">
        <v>12655</v>
      </c>
      <c r="B2631" s="16" t="n">
        <v>44643</v>
      </c>
      <c r="C2631" t="inlineStr">
        <is>
          <t>VTA</t>
        </is>
      </c>
      <c r="D2631" t="n">
        <v>42</v>
      </c>
      <c r="E2631">
        <f>IF(D2454&gt;0,VLOOKUP(OPERAC[[#This Row],[COD CART]],[1]!MatrizCortoLargoCyl[#All],3,0),"")</f>
        <v/>
      </c>
      <c r="F2631" t="inlineStr">
        <is>
          <t>FB</t>
        </is>
      </c>
      <c r="G2631" t="n">
        <v>2</v>
      </c>
      <c r="H2631" t="n">
        <v>-432.24652</v>
      </c>
      <c r="I2631">
        <f>-H2454/G2454</f>
        <v/>
      </c>
      <c r="J2631" s="16" t="n">
        <v>44671</v>
      </c>
      <c r="K2631">
        <f>+OPERAC[[#This Row],[cantidad]]</f>
        <v/>
      </c>
      <c r="L2631">
        <f>+OPERAC[[#This Row],[cantidad venta]]*213.173</f>
        <v/>
      </c>
    </row>
    <row r="2632">
      <c r="A2632" t="n">
        <v>12655</v>
      </c>
      <c r="B2632" s="16" t="n">
        <v>44645</v>
      </c>
      <c r="C2632" t="inlineStr">
        <is>
          <t>CPR</t>
        </is>
      </c>
      <c r="D2632" t="n">
        <v>42</v>
      </c>
      <c r="E2632">
        <f>IF(D1860&gt;0,VLOOKUP(OPERAC[[#This Row],[COD CART]],[1]!MatrizCortoLargoCyl[#All],3,0),"")</f>
        <v/>
      </c>
      <c r="F2632" t="inlineStr">
        <is>
          <t>PLUG</t>
        </is>
      </c>
      <c r="G2632" t="n">
        <v>10</v>
      </c>
      <c r="H2632" t="n">
        <v>-279.3164</v>
      </c>
      <c r="I2632">
        <f>-H1860/G1860</f>
        <v/>
      </c>
      <c r="J2632" s="16" t="n">
        <v>44652</v>
      </c>
      <c r="K2632">
        <f>+OPERAC[[#This Row],[cantidad]]</f>
        <v/>
      </c>
      <c r="L2632">
        <f>+OPERAC[[#This Row],[cantidad venta]]*27.754</f>
        <v/>
      </c>
    </row>
    <row r="2633">
      <c r="A2633" t="n">
        <v>12655</v>
      </c>
      <c r="B2633" s="16" t="n">
        <v>44649</v>
      </c>
      <c r="C2633" t="inlineStr">
        <is>
          <t>CPR</t>
        </is>
      </c>
      <c r="D2633" t="n">
        <v>42</v>
      </c>
      <c r="E2633">
        <f>IF(D2597&gt;0,VLOOKUP(OPERAC[[#This Row],[COD CART]],[1]!MatrizCortoLargoCyl[#All],3,0),"")</f>
        <v/>
      </c>
      <c r="F2633" t="inlineStr">
        <is>
          <t>ADBE</t>
        </is>
      </c>
      <c r="G2633" t="n">
        <v>1</v>
      </c>
      <c r="H2633" t="n">
        <v>-469.95584</v>
      </c>
      <c r="I2633">
        <f>-H2597/G2597</f>
        <v/>
      </c>
      <c r="J2633" s="16" t="n">
        <v>44687</v>
      </c>
      <c r="K2633">
        <f>+OPERAC[[#This Row],[cantidad]]</f>
        <v/>
      </c>
      <c r="L2633" t="n">
        <v>386.42</v>
      </c>
    </row>
    <row r="2634">
      <c r="A2634" t="n">
        <v>12655</v>
      </c>
      <c r="B2634" s="16" t="n">
        <v>44649</v>
      </c>
      <c r="C2634" t="inlineStr">
        <is>
          <t>CPR</t>
        </is>
      </c>
      <c r="D2634" t="n">
        <v>32</v>
      </c>
      <c r="E2634">
        <f>IF(D4929&gt;0,VLOOKUP(OPERAC[[#This Row],[COD CART]],[1]!MatrizCortoLargoCyl[#All],3,0),"")</f>
        <v/>
      </c>
      <c r="F2634" t="inlineStr">
        <is>
          <t>DDD</t>
        </is>
      </c>
      <c r="G2634" t="n">
        <v>100</v>
      </c>
      <c r="H2634" t="n">
        <v>-1498.949</v>
      </c>
      <c r="I2634">
        <f>-H4929/G4929</f>
        <v/>
      </c>
    </row>
    <row r="2635">
      <c r="A2635" t="n">
        <v>12655</v>
      </c>
      <c r="B2635" s="16" t="n">
        <v>44649</v>
      </c>
      <c r="C2635" t="inlineStr">
        <is>
          <t>VTA</t>
        </is>
      </c>
      <c r="D2635" t="n">
        <v>42</v>
      </c>
      <c r="E2635">
        <f>IF(D2997&gt;0,VLOOKUP(OPERAC[[#This Row],[COD CART]],[1]!MatrizCortoLargoCyl[#All],3,0),"")</f>
        <v/>
      </c>
      <c r="F2635" t="inlineStr">
        <is>
          <t>SMH</t>
        </is>
      </c>
      <c r="G2635" t="n">
        <v>2</v>
      </c>
      <c r="H2635" t="n">
        <v>-573.31816</v>
      </c>
      <c r="I2635">
        <f>-H2997/G2997</f>
        <v/>
      </c>
      <c r="J2635" s="16" t="n">
        <v>44663</v>
      </c>
      <c r="K2635">
        <f>+OPERAC[[#This Row],[cantidad]]</f>
        <v/>
      </c>
      <c r="L2635">
        <f>+OPERAC[[#This Row],[cantidad venta]]*238.066</f>
        <v/>
      </c>
    </row>
    <row r="2636">
      <c r="A2636" t="n">
        <v>12655</v>
      </c>
      <c r="B2636" s="16" t="n">
        <v>44651</v>
      </c>
      <c r="C2636" t="inlineStr">
        <is>
          <t>CPR</t>
        </is>
      </c>
      <c r="D2636" t="n">
        <v>42</v>
      </c>
      <c r="E2636">
        <f>IF(D3623&gt;0,VLOOKUP(OPERAC[[#This Row],[COD CART]],[1]!MatrizCortoLargoCyl[#All],3,0),"")</f>
        <v/>
      </c>
      <c r="F2636" t="inlineStr">
        <is>
          <t>AMD</t>
        </is>
      </c>
      <c r="G2636" t="n">
        <v>7</v>
      </c>
      <c r="H2636" t="n">
        <v>-797.2924399999999</v>
      </c>
      <c r="I2636">
        <f>-H3623/G3623</f>
        <v/>
      </c>
      <c r="J2636" s="16" t="n">
        <v>44693</v>
      </c>
      <c r="K2636">
        <f>+OPERAC[[#This Row],[cantidad]]</f>
        <v/>
      </c>
      <c r="L2636">
        <f>+OPERAC[[#This Row],[cantidad venta]]*85.26</f>
        <v/>
      </c>
    </row>
    <row r="2637">
      <c r="A2637" t="n">
        <v>12655</v>
      </c>
      <c r="B2637" s="16" t="n">
        <v>44652</v>
      </c>
      <c r="C2637" t="inlineStr">
        <is>
          <t>VTA</t>
        </is>
      </c>
      <c r="D2637" t="n">
        <v>42</v>
      </c>
      <c r="E2637">
        <f>IF(D2041&gt;0,VLOOKUP(OPERAC[[#This Row],[COD CART]],[1]!MatrizCortoLargoCyl[#All],3,0),"")</f>
        <v/>
      </c>
      <c r="F2637" t="inlineStr">
        <is>
          <t>GBTC</t>
        </is>
      </c>
      <c r="G2637" t="n">
        <v>10</v>
      </c>
      <c r="H2637" t="n">
        <v>-321.098</v>
      </c>
      <c r="I2637">
        <f>-H2041/G2041</f>
        <v/>
      </c>
      <c r="J2637" s="16" t="n">
        <v>44662</v>
      </c>
      <c r="K2637">
        <f>+OPERAC[[#This Row],[cantidad]]</f>
        <v/>
      </c>
      <c r="L2637">
        <f>27.99*OPERAC[[#This Row],[cantidad venta]]</f>
        <v/>
      </c>
    </row>
    <row r="2638">
      <c r="A2638" t="n">
        <v>12655</v>
      </c>
      <c r="B2638" s="16" t="n">
        <v>44662</v>
      </c>
      <c r="C2638" t="inlineStr">
        <is>
          <t>CPR</t>
        </is>
      </c>
      <c r="D2638" t="n">
        <v>42</v>
      </c>
      <c r="E2638">
        <f>IF(D4043&gt;0,VLOOKUP(OPERAC[[#This Row],[COD CART]],[1]!MatrizCortoLargoCyl[#All],3,0),"")</f>
        <v/>
      </c>
      <c r="F2638" t="inlineStr">
        <is>
          <t>HYDR</t>
        </is>
      </c>
      <c r="G2638" t="n">
        <v>50</v>
      </c>
      <c r="H2638" t="n">
        <v>-928.5172</v>
      </c>
      <c r="I2638">
        <f>-H4043/G4043</f>
        <v/>
      </c>
      <c r="J2638" s="16" t="n">
        <v>44693</v>
      </c>
      <c r="K2638">
        <f>+OPERAC[[#This Row],[cantidad]]</f>
        <v/>
      </c>
      <c r="L2638">
        <f>+OPERAC[[#This Row],[cantidad venta]]*12.027</f>
        <v/>
      </c>
    </row>
    <row r="2639">
      <c r="A2639" t="n">
        <v>12655</v>
      </c>
      <c r="B2639" s="16" t="n">
        <v>44663</v>
      </c>
      <c r="C2639" t="inlineStr">
        <is>
          <t>CPR</t>
        </is>
      </c>
      <c r="D2639" t="n">
        <v>31</v>
      </c>
      <c r="E2639">
        <f>IF(D4126&gt;0,VLOOKUP(OPERAC[[#This Row],[COD CART]],[1]!MatrizCortoLargoCyl[#All],3,0),"")</f>
        <v/>
      </c>
      <c r="F2639" t="inlineStr">
        <is>
          <t>HYDR</t>
        </is>
      </c>
      <c r="G2639" t="n">
        <v>51</v>
      </c>
      <c r="H2639" t="n">
        <v>-961.8295999999999</v>
      </c>
      <c r="I2639">
        <f>-H4126/G4126</f>
        <v/>
      </c>
      <c r="J2639" s="16" t="n">
        <v>44693</v>
      </c>
      <c r="K2639">
        <f>+OPERAC[[#This Row],[cantidad]]</f>
        <v/>
      </c>
      <c r="L2639">
        <f>+OPERAC[[#This Row],[cantidad venta]]*12.027</f>
        <v/>
      </c>
    </row>
    <row r="2640">
      <c r="A2640" t="n">
        <v>12655</v>
      </c>
      <c r="B2640" s="16" t="n">
        <v>44663</v>
      </c>
      <c r="C2640" t="inlineStr">
        <is>
          <t>VTA</t>
        </is>
      </c>
      <c r="D2640" t="n">
        <v>31</v>
      </c>
      <c r="E2640">
        <f>IF(D3026&gt;0,VLOOKUP(OPERAC[[#This Row],[COD CART]],[1]!MatrizCortoLargoCyl[#All],3,0),"")</f>
        <v/>
      </c>
      <c r="F2640" t="inlineStr">
        <is>
          <t>BBAR</t>
        </is>
      </c>
      <c r="G2640" t="n">
        <v>180</v>
      </c>
      <c r="H2640" t="n">
        <v>-601.3163999999999</v>
      </c>
      <c r="I2640">
        <f>-H3026/G3026</f>
        <v/>
      </c>
    </row>
    <row r="2641">
      <c r="A2641" t="n">
        <v>12655</v>
      </c>
      <c r="B2641" s="16" t="n">
        <v>44663</v>
      </c>
      <c r="C2641" t="inlineStr">
        <is>
          <t>VTA</t>
        </is>
      </c>
      <c r="D2641" t="n">
        <v>31</v>
      </c>
      <c r="E2641">
        <f>IF(D3044&gt;0,VLOOKUP(OPERAC[[#This Row],[COD CART]],[1]!MatrizCortoLargoCyl[#All],3,0),"")</f>
        <v/>
      </c>
      <c r="F2641" t="inlineStr">
        <is>
          <t>CRESY</t>
        </is>
      </c>
      <c r="G2641" t="n">
        <v>72</v>
      </c>
      <c r="H2641" t="n">
        <v>-605.7838400000001</v>
      </c>
      <c r="I2641">
        <f>-H3044/G3044</f>
        <v/>
      </c>
    </row>
    <row r="2642">
      <c r="A2642" t="n">
        <v>12655</v>
      </c>
      <c r="B2642" s="16" t="n">
        <v>44663</v>
      </c>
      <c r="C2642" t="inlineStr">
        <is>
          <t>VTA</t>
        </is>
      </c>
      <c r="D2642" t="n">
        <v>31</v>
      </c>
      <c r="E2642">
        <f>IF(D3052&gt;0,VLOOKUP(OPERAC[[#This Row],[COD CART]],[1]!MatrizCortoLargoCyl[#All],3,0),"")</f>
        <v/>
      </c>
      <c r="F2642" t="inlineStr">
        <is>
          <t>TGS</t>
        </is>
      </c>
      <c r="G2642" t="n">
        <v>84</v>
      </c>
      <c r="H2642" t="n">
        <v>-607.5982399999999</v>
      </c>
      <c r="I2642">
        <f>-H3052/G3052</f>
        <v/>
      </c>
    </row>
    <row r="2643">
      <c r="A2643" t="n">
        <v>12655</v>
      </c>
      <c r="B2643" s="16" t="n">
        <v>44663</v>
      </c>
      <c r="C2643" t="inlineStr">
        <is>
          <t>VTA</t>
        </is>
      </c>
      <c r="D2643" t="n">
        <v>31</v>
      </c>
      <c r="E2643">
        <f>IF(D3055&gt;0,VLOOKUP(OPERAC[[#This Row],[COD CART]],[1]!MatrizCortoLargoCyl[#All],3,0),"")</f>
        <v/>
      </c>
      <c r="F2643" t="inlineStr">
        <is>
          <t>TEO</t>
        </is>
      </c>
      <c r="G2643" t="n">
        <v>96</v>
      </c>
      <c r="H2643" t="n">
        <v>-610.1383999999999</v>
      </c>
      <c r="I2643">
        <f>-H3055/G3055</f>
        <v/>
      </c>
    </row>
    <row r="2644">
      <c r="A2644" t="n">
        <v>12655</v>
      </c>
      <c r="B2644" s="16" t="n">
        <v>44663</v>
      </c>
      <c r="C2644" t="inlineStr">
        <is>
          <t>VTA</t>
        </is>
      </c>
      <c r="D2644" t="n">
        <v>31</v>
      </c>
      <c r="E2644">
        <f>IF(D3069&gt;0,VLOOKUP(OPERAC[[#This Row],[COD CART]],[1]!MatrizCortoLargoCyl[#All],3,0),"")</f>
        <v/>
      </c>
      <c r="F2644" t="inlineStr">
        <is>
          <t>GGAL</t>
        </is>
      </c>
      <c r="G2644" t="n">
        <v>60</v>
      </c>
      <c r="H2644" t="n">
        <v>-613.1624</v>
      </c>
      <c r="I2644">
        <f>-H3069/G3069</f>
        <v/>
      </c>
    </row>
    <row r="2645">
      <c r="A2645" t="n">
        <v>12655</v>
      </c>
      <c r="B2645" s="16" t="n">
        <v>44664</v>
      </c>
      <c r="C2645" t="inlineStr">
        <is>
          <t>CPR</t>
        </is>
      </c>
      <c r="D2645" t="n">
        <v>42</v>
      </c>
      <c r="E2645">
        <f>IF(D5689&gt;0,VLOOKUP(OPERAC[[#This Row],[COD CART]],[1]!MatrizCortoLargoCyl[#All],3,0),"")</f>
        <v/>
      </c>
      <c r="F2645" t="inlineStr">
        <is>
          <t>PSQ</t>
        </is>
      </c>
      <c r="G2645" t="n">
        <v>200</v>
      </c>
      <c r="H2645" t="n">
        <v>-2486.5144362</v>
      </c>
      <c r="I2645">
        <f>-H5689/G5689</f>
        <v/>
      </c>
      <c r="J2645" s="16" t="n">
        <v>44669</v>
      </c>
      <c r="K2645">
        <f>100+100</f>
        <v/>
      </c>
      <c r="L2645">
        <f>1230.452+1284.84</f>
        <v/>
      </c>
    </row>
    <row r="2646">
      <c r="A2646" t="n">
        <v>12655</v>
      </c>
      <c r="B2646" s="16" t="n">
        <v>44671</v>
      </c>
      <c r="C2646" t="inlineStr">
        <is>
          <t>CPR</t>
        </is>
      </c>
      <c r="D2646" t="n">
        <v>42</v>
      </c>
      <c r="E2646">
        <f>IF(D2763&gt;0,VLOOKUP(OPERAC[[#This Row],[COD CART]],[1]!MatrizCortoLargoCyl[#All],3,0),"")</f>
        <v/>
      </c>
      <c r="F2646" t="inlineStr">
        <is>
          <t>NFLX</t>
        </is>
      </c>
      <c r="G2646" t="n">
        <v>2</v>
      </c>
      <c r="H2646" t="n">
        <v>-509.01012</v>
      </c>
      <c r="I2646">
        <f>-H2763/G2763</f>
        <v/>
      </c>
      <c r="J2646" s="16" t="n">
        <v>44693</v>
      </c>
      <c r="K2646">
        <f>+OPERAC[[#This Row],[cantidad]]</f>
        <v/>
      </c>
      <c r="L2646">
        <f>+OPERAC[[#This Row],[cantidad venta]]*169.079</f>
        <v/>
      </c>
    </row>
    <row r="2647">
      <c r="A2647" t="n">
        <v>12655</v>
      </c>
      <c r="B2647" s="16" t="n">
        <v>44680</v>
      </c>
      <c r="C2647" t="inlineStr">
        <is>
          <t>CPR</t>
        </is>
      </c>
      <c r="D2647" t="n">
        <v>42</v>
      </c>
      <c r="E2647">
        <f>IF(D4737&gt;0,VLOOKUP(OPERAC[[#This Row],[COD CART]],[1]!MatrizCortoLargoCyl[#All],3,0),"")</f>
        <v/>
      </c>
      <c r="F2647" t="inlineStr">
        <is>
          <t>XLP</t>
        </is>
      </c>
      <c r="G2647" t="n">
        <v>17</v>
      </c>
      <c r="H2647" t="n">
        <v>-1350.3865425</v>
      </c>
      <c r="I2647">
        <f>-H4737/G4737</f>
        <v/>
      </c>
      <c r="J2647" s="16" t="n">
        <v>44693</v>
      </c>
      <c r="K2647">
        <f>+OPERAC[[#This Row],[cantidad]]</f>
        <v/>
      </c>
      <c r="L2647">
        <f>+OPERAC[[#This Row],[cantidad venta]]*74.848</f>
        <v/>
      </c>
    </row>
    <row r="2648">
      <c r="A2648" t="n">
        <v>12655</v>
      </c>
      <c r="B2648" s="16" t="n">
        <v>44698</v>
      </c>
      <c r="C2648" t="inlineStr">
        <is>
          <t>CPR</t>
        </is>
      </c>
      <c r="D2648" t="n">
        <v>39</v>
      </c>
      <c r="E2648">
        <f>IF(D2725&gt;0,VLOOKUP(OPERAC[[#This Row],[COD CART]],[1]!MatrizCortoLargoCyl[#All],3,0),"")</f>
        <v/>
      </c>
      <c r="F2648" t="inlineStr">
        <is>
          <t>NTLA/C/65,00/15-07-22</t>
        </is>
      </c>
      <c r="G2648" t="n">
        <v>200</v>
      </c>
      <c r="H2648" t="n">
        <v>-504.25</v>
      </c>
      <c r="I2648">
        <f>-H2725/G2725</f>
        <v/>
      </c>
    </row>
    <row r="2649">
      <c r="A2649" t="n">
        <v>12655</v>
      </c>
      <c r="B2649" s="16" t="n">
        <v>44705</v>
      </c>
      <c r="C2649" t="inlineStr">
        <is>
          <t>CPR</t>
        </is>
      </c>
      <c r="D2649" t="n">
        <v>42</v>
      </c>
      <c r="E2649">
        <f>IF(D4021&gt;0,VLOOKUP(OPERAC[[#This Row],[COD CART]],[1]!MatrizCortoLargoCyl[#All],3,0),"")</f>
        <v/>
      </c>
      <c r="F2649" t="inlineStr">
        <is>
          <t>AMD</t>
        </is>
      </c>
      <c r="G2649" t="n">
        <v>10</v>
      </c>
      <c r="H2649" t="n">
        <v>-925.0354</v>
      </c>
      <c r="I2649">
        <f>-H4021/G4021</f>
        <v/>
      </c>
      <c r="J2649" s="16" t="n">
        <v>44707</v>
      </c>
      <c r="K2649">
        <f>+OPERAC[[#This Row],[cantidad]]</f>
        <v/>
      </c>
      <c r="L2649">
        <f>+OPERAC[[#This Row],[cantidad venta]]*94.8</f>
        <v/>
      </c>
    </row>
    <row r="2650">
      <c r="A2650" t="n">
        <v>12655</v>
      </c>
      <c r="B2650" s="16" t="n">
        <v>44708</v>
      </c>
      <c r="C2650" t="inlineStr">
        <is>
          <t>VTA</t>
        </is>
      </c>
      <c r="D2650" t="n">
        <v>42</v>
      </c>
      <c r="E2650">
        <f>IF(D2184&gt;0,VLOOKUP(OPERAC[[#This Row],[COD CART]],[1]!MatrizCortoLargoCyl[#All],3,0),"")</f>
        <v/>
      </c>
      <c r="F2650" t="inlineStr">
        <is>
          <t>ACB</t>
        </is>
      </c>
      <c r="G2650" t="n">
        <v>200</v>
      </c>
      <c r="H2650" t="n">
        <v>-365.064157761</v>
      </c>
      <c r="I2650">
        <f>-H2184/G2184</f>
        <v/>
      </c>
    </row>
    <row r="2651">
      <c r="A2651" t="n">
        <v>12655</v>
      </c>
      <c r="B2651" s="16" t="n">
        <v>44712</v>
      </c>
      <c r="C2651" t="inlineStr">
        <is>
          <t>CPR</t>
        </is>
      </c>
      <c r="D2651" t="n">
        <v>42</v>
      </c>
      <c r="E2651">
        <f>IF(D5881&gt;0,VLOOKUP(OPERAC[[#This Row],[COD CART]],[1]!MatrizCortoLargoCyl[#All],3,0),"")</f>
        <v/>
      </c>
      <c r="F2651" t="inlineStr">
        <is>
          <t>KWEB</t>
        </is>
      </c>
      <c r="G2651" t="n">
        <v>100</v>
      </c>
      <c r="H2651" t="n">
        <v>-2959.725</v>
      </c>
      <c r="I2651">
        <f>-H5881/G5881</f>
        <v/>
      </c>
    </row>
    <row r="2652">
      <c r="A2652" t="n">
        <v>12655</v>
      </c>
      <c r="B2652" s="16" t="n">
        <v>44721</v>
      </c>
      <c r="C2652" t="inlineStr">
        <is>
          <t>VTA</t>
        </is>
      </c>
      <c r="D2652" t="n">
        <v>32</v>
      </c>
      <c r="E2652">
        <f>IF(D1785&gt;0,VLOOKUP(OPERAC[[#This Row],[COD CART]],[1]!MatrizCortoLargoCyl[#All],3,0),"")</f>
        <v/>
      </c>
      <c r="F2652" t="inlineStr">
        <is>
          <t>SESN/CYP/1,00/20-01-23</t>
        </is>
      </c>
      <c r="G2652" t="n">
        <v>1500</v>
      </c>
      <c r="H2652">
        <f>-0.176*OPERAC[[#This Row],[cantidad]]</f>
        <v/>
      </c>
      <c r="I2652">
        <f>-H1785/G1785</f>
        <v/>
      </c>
    </row>
    <row r="2653">
      <c r="A2653" t="n">
        <v>12662</v>
      </c>
      <c r="B2653" s="16" t="n">
        <v>44447</v>
      </c>
      <c r="C2653" t="inlineStr">
        <is>
          <t>CPR</t>
        </is>
      </c>
      <c r="D2653" t="n">
        <v>32</v>
      </c>
      <c r="E2653">
        <f>IF(D4554&gt;0,VLOOKUP(OPERAC[[#This Row],[COD CART]],[1]!MatrizCortoLargoCyl[#All],3,0),"")</f>
        <v/>
      </c>
      <c r="F2653" t="inlineStr">
        <is>
          <t>NNDM/CYL/7,50/21-01-22</t>
        </is>
      </c>
      <c r="G2653" t="n">
        <v>200</v>
      </c>
      <c r="H2653">
        <f>-1261.74+21.568+15.912</f>
        <v/>
      </c>
      <c r="I2653">
        <f>-H4554/G4554</f>
        <v/>
      </c>
      <c r="J2653" s="16" t="n">
        <v>44551</v>
      </c>
      <c r="K2653">
        <f>100+100</f>
        <v/>
      </c>
      <c r="L2653">
        <f>405.51+385.13</f>
        <v/>
      </c>
    </row>
    <row r="2654">
      <c r="A2654" t="n">
        <v>12662</v>
      </c>
      <c r="B2654" s="16" t="n">
        <v>44449</v>
      </c>
      <c r="C2654" t="inlineStr">
        <is>
          <t>VTA</t>
        </is>
      </c>
      <c r="D2654" t="n">
        <v>32</v>
      </c>
      <c r="E2654">
        <f>IF(D5592&gt;0,VLOOKUP(OPERAC[[#This Row],[COD CART]],[1]!MatrizCortoLargoCyl[#All],3,0),"")</f>
        <v/>
      </c>
      <c r="F2654" t="inlineStr">
        <is>
          <t>INO/CYL/8,00/18-02-22</t>
        </is>
      </c>
      <c r="G2654" t="n">
        <v>300</v>
      </c>
      <c r="H2654">
        <f>-2435.82+73.625+70.604+90.516+43.736+14.122</f>
        <v/>
      </c>
      <c r="I2654">
        <f>-H5592/G5592</f>
        <v/>
      </c>
      <c r="J2654" s="16" t="n">
        <v>44596</v>
      </c>
      <c r="K2654" t="n">
        <v>300</v>
      </c>
      <c r="L2654">
        <f>3.665*OPERAC[[#This Row],[cantidad venta]]</f>
        <v/>
      </c>
    </row>
    <row r="2655">
      <c r="A2655" t="n">
        <v>12662</v>
      </c>
      <c r="B2655" s="16" t="n">
        <v>44462</v>
      </c>
      <c r="C2655" t="inlineStr">
        <is>
          <t>CPR</t>
        </is>
      </c>
      <c r="D2655" t="n">
        <v>43</v>
      </c>
      <c r="E2655">
        <f>IF(D2641&gt;0,VLOOKUP(OPERAC[[#This Row],[COD CART]],[1]!MatrizCortoLargoCyl[#All],3,0),"")</f>
        <v/>
      </c>
      <c r="F2655" t="inlineStr">
        <is>
          <t>SOLO/CYL-PUT/4,00/16-09-22</t>
        </is>
      </c>
      <c r="G2655" t="n">
        <v>300</v>
      </c>
      <c r="H2655">
        <f>OPERAC[[#This Row],[cantidad]]*-2.54+0.32*OPERAC[[#This Row],[cantidad]]+0.387*OPERAC[[#This Row],[cantidad]]+0.22*OPERAC[[#This Row],[cantidad]]</f>
        <v/>
      </c>
      <c r="I2655">
        <f>-H2641/G2641</f>
        <v/>
      </c>
      <c r="J2655" s="16" t="n">
        <v>44551</v>
      </c>
      <c r="K2655" t="n">
        <v>200</v>
      </c>
      <c r="L2655">
        <f>+OPERAC[[#This Row],[cantidad venta]]*0.65175</f>
        <v/>
      </c>
    </row>
    <row r="2656">
      <c r="A2656" t="n">
        <v>12662</v>
      </c>
      <c r="B2656" s="16" t="n">
        <v>44469</v>
      </c>
      <c r="C2656" t="inlineStr">
        <is>
          <t>VTA</t>
        </is>
      </c>
      <c r="D2656" t="n">
        <v>39</v>
      </c>
      <c r="E2656">
        <f>IF(D691&gt;0,VLOOKUP(OPERAC[[#This Row],[COD CART]],[1]!MatrizCortoLargoCyl[#All],3,0),"")</f>
        <v/>
      </c>
      <c r="F2656" t="inlineStr">
        <is>
          <t>ACB/V/6,00/21-01-22</t>
        </is>
      </c>
      <c r="G2656" t="n">
        <v>-500</v>
      </c>
      <c r="H2656">
        <f>428.3725-0.5*OPERAC[[#This Row],[cantidad]]+0.51*OPERAC[[#This Row],[cantidad]]</f>
        <v/>
      </c>
      <c r="I2656">
        <f>-H691/G691</f>
        <v/>
      </c>
      <c r="J2656" s="16" t="n">
        <v>44581</v>
      </c>
      <c r="K2656">
        <f>+OPERAC[[#This Row],[cantidad]]</f>
        <v/>
      </c>
      <c r="L2656">
        <f>-OPERAC[[#This Row],[importe]]</f>
        <v/>
      </c>
    </row>
    <row r="2657">
      <c r="A2657" t="n">
        <v>12662</v>
      </c>
      <c r="B2657" s="16" t="n">
        <v>44523</v>
      </c>
      <c r="C2657" t="inlineStr">
        <is>
          <t>VTA</t>
        </is>
      </c>
      <c r="D2657" t="n">
        <v>32</v>
      </c>
      <c r="E2657">
        <f>IF(D3741&gt;0,VLOOKUP(OPERAC[[#This Row],[COD CART]],[1]!MatrizCortoLargoCyl[#All],3,0),"")</f>
        <v/>
      </c>
      <c r="F2657" t="inlineStr">
        <is>
          <t>TEVA/CYL/9,00/21-01-22</t>
        </is>
      </c>
      <c r="G2657" t="n">
        <v>100</v>
      </c>
      <c r="H2657">
        <f>-861.6332+18.874</f>
        <v/>
      </c>
      <c r="I2657">
        <f>-H3741/G3741</f>
        <v/>
      </c>
      <c r="J2657" s="16" t="n">
        <v>44575</v>
      </c>
      <c r="K2657" t="n">
        <v>100</v>
      </c>
      <c r="L2657" t="n">
        <v>878.913</v>
      </c>
    </row>
    <row r="2658">
      <c r="A2658" t="n">
        <v>12662</v>
      </c>
      <c r="B2658" s="16" t="n">
        <v>44532</v>
      </c>
      <c r="C2658" t="inlineStr">
        <is>
          <t>VTA</t>
        </is>
      </c>
      <c r="D2658" t="n">
        <v>32</v>
      </c>
      <c r="E2658">
        <f>IF(D3930&gt;0,VLOOKUP(OPERAC[[#This Row],[COD CART]],[1]!MatrizCortoLargoCyl[#All],3,0),"")</f>
        <v/>
      </c>
      <c r="F2658" t="inlineStr">
        <is>
          <t>COTY/CYL/10,00/18-02-22</t>
        </is>
      </c>
      <c r="G2658" t="n">
        <v>100</v>
      </c>
      <c r="H2658">
        <f>-901.599+20.838</f>
        <v/>
      </c>
      <c r="I2658">
        <f>-H3930/G3930</f>
        <v/>
      </c>
      <c r="J2658" s="16" t="n">
        <v>44608</v>
      </c>
      <c r="K2658">
        <f>+OPERAC[[#This Row],[cantidad]]</f>
        <v/>
      </c>
      <c r="L2658" t="n">
        <v>941.701</v>
      </c>
    </row>
    <row r="2659">
      <c r="A2659" t="n">
        <v>12662</v>
      </c>
      <c r="B2659" s="16" t="n">
        <v>44539</v>
      </c>
      <c r="C2659" t="inlineStr">
        <is>
          <t>CPR</t>
        </is>
      </c>
      <c r="D2659" t="n">
        <v>40</v>
      </c>
      <c r="E2659">
        <f>IF(D2794&gt;0,VLOOKUP(OPERAC[[#This Row],[COD CART]],[1]!MatrizCortoLargoCyl[#All],3,0),"")</f>
        <v/>
      </c>
      <c r="F2659" t="inlineStr">
        <is>
          <t>ROKU</t>
        </is>
      </c>
      <c r="G2659" t="n">
        <v>2</v>
      </c>
      <c r="H2659" t="n">
        <v>-515.4407199999999</v>
      </c>
      <c r="I2659">
        <f>-H2794/G2794</f>
        <v/>
      </c>
      <c r="J2659" s="16" t="n">
        <v>44606</v>
      </c>
      <c r="K2659">
        <f>+OPERAC[[#This Row],[cantidad]]</f>
        <v/>
      </c>
      <c r="L2659">
        <f>+OPERAC[[#This Row],[cantidad venta]]*160.574</f>
        <v/>
      </c>
    </row>
    <row r="2660">
      <c r="A2660" t="n">
        <v>12662</v>
      </c>
      <c r="B2660" s="16" t="n">
        <v>44547</v>
      </c>
      <c r="C2660" t="inlineStr">
        <is>
          <t>VTA</t>
        </is>
      </c>
      <c r="D2660" t="n">
        <v>32</v>
      </c>
      <c r="E2660">
        <f>IF(D3790&gt;0,VLOOKUP(OPERAC[[#This Row],[COD CART]],[1]!MatrizCortoLargoCyl[#All],3,0),"")</f>
        <v/>
      </c>
      <c r="F2660" t="inlineStr">
        <is>
          <t>ARLO/CYL/9,00/18-02-22</t>
        </is>
      </c>
      <c r="G2660" t="n">
        <v>100</v>
      </c>
      <c r="H2660">
        <f>-866.74+14.88</f>
        <v/>
      </c>
      <c r="I2660">
        <f>-H3790/G3790</f>
        <v/>
      </c>
      <c r="J2660" s="16" t="n">
        <v>44607</v>
      </c>
      <c r="K2660" t="n">
        <v>100</v>
      </c>
      <c r="L2660" t="n">
        <v>875.33</v>
      </c>
    </row>
    <row r="2661">
      <c r="A2661" t="n">
        <v>12662</v>
      </c>
      <c r="B2661" s="16" t="n">
        <v>44552</v>
      </c>
      <c r="C2661" t="inlineStr">
        <is>
          <t>CPR</t>
        </is>
      </c>
      <c r="D2661" t="n">
        <v>32</v>
      </c>
      <c r="E2661">
        <f>IF(D3472&gt;0,VLOOKUP(OPERAC[[#This Row],[COD CART]],[1]!MatrizCortoLargoCyl[#All],3,0),"")</f>
        <v/>
      </c>
      <c r="F2661" t="inlineStr">
        <is>
          <t>HMY/CYL/4,00/21-01-22</t>
        </is>
      </c>
      <c r="G2661" t="n">
        <v>200</v>
      </c>
      <c r="H2661">
        <f>-3.8*OPERAC[[#This Row],[cantidad]]</f>
        <v/>
      </c>
      <c r="I2661">
        <f>-H3472/G3472</f>
        <v/>
      </c>
      <c r="J2661" s="16" t="n">
        <v>44580</v>
      </c>
      <c r="K2661" t="n">
        <v>200</v>
      </c>
      <c r="L2661" t="n">
        <v>787.86</v>
      </c>
    </row>
    <row r="2662">
      <c r="A2662" t="n">
        <v>12662</v>
      </c>
      <c r="B2662" s="16" t="n">
        <v>44553</v>
      </c>
      <c r="C2662" t="inlineStr">
        <is>
          <t>VTA</t>
        </is>
      </c>
      <c r="D2662" t="n">
        <v>40</v>
      </c>
      <c r="E2662">
        <f>IF(D1807&gt;0,VLOOKUP(OPERAC[[#This Row],[COD CART]],[1]!MatrizCortoLargoCyl[#All],3,0),"")</f>
        <v/>
      </c>
      <c r="F2662" t="inlineStr">
        <is>
          <t>ON</t>
        </is>
      </c>
      <c r="G2662" t="n">
        <v>4</v>
      </c>
      <c r="H2662" t="n">
        <v>-268.4544319999999</v>
      </c>
      <c r="I2662">
        <f>-H1807/G1807</f>
        <v/>
      </c>
      <c r="J2662" s="16" t="n">
        <v>44606</v>
      </c>
      <c r="K2662">
        <f>+OPERAC[[#This Row],[cantidad]]</f>
        <v/>
      </c>
      <c r="L2662">
        <f>+OPERAC[[#This Row],[cantidad venta]]*58.449</f>
        <v/>
      </c>
    </row>
    <row r="2663">
      <c r="A2663" t="n">
        <v>12662</v>
      </c>
      <c r="B2663" s="16" t="n">
        <v>44557</v>
      </c>
      <c r="C2663" t="inlineStr">
        <is>
          <t>CPR</t>
        </is>
      </c>
      <c r="D2663" t="n">
        <v>40</v>
      </c>
      <c r="E2663">
        <f>IF(D3547&gt;0,VLOOKUP(OPERAC[[#This Row],[COD CART]],[1]!MatrizCortoLargoCyl[#All],3,0),"")</f>
        <v/>
      </c>
      <c r="F2663" t="inlineStr">
        <is>
          <t>TLRY</t>
        </is>
      </c>
      <c r="G2663" t="n">
        <v>100</v>
      </c>
      <c r="H2663" t="n">
        <v>-771.62</v>
      </c>
      <c r="I2663">
        <f>-H3547/G3547</f>
        <v/>
      </c>
      <c r="J2663" s="16" t="n">
        <v>44585</v>
      </c>
      <c r="K2663">
        <f>+OPERAC[[#This Row],[cantidad]]</f>
        <v/>
      </c>
      <c r="L2663">
        <f>+OPERAC[[#This Row],[cantidad venta]]*5.263</f>
        <v/>
      </c>
    </row>
    <row r="2664">
      <c r="A2664" t="n">
        <v>12662</v>
      </c>
      <c r="B2664" s="16" t="n">
        <v>44558</v>
      </c>
      <c r="C2664" t="inlineStr">
        <is>
          <t>VTA</t>
        </is>
      </c>
      <c r="D2664" t="n">
        <v>40</v>
      </c>
      <c r="E2664">
        <f>IF(D1427&gt;0,VLOOKUP(OPERAC[[#This Row],[COD CART]],[1]!MatrizCortoLargoCyl[#All],3,0),"")</f>
        <v/>
      </c>
      <c r="F2664" t="inlineStr">
        <is>
          <t>UPST</t>
        </is>
      </c>
      <c r="G2664" t="n">
        <v>1</v>
      </c>
      <c r="H2664" t="n">
        <v>-150.6002</v>
      </c>
      <c r="I2664">
        <f>-H1427/G1427</f>
        <v/>
      </c>
      <c r="J2664" s="16" t="n">
        <v>44606</v>
      </c>
      <c r="K2664">
        <f>+OPERAC[[#This Row],[cantidad]]</f>
        <v/>
      </c>
      <c r="L2664">
        <f>+OPERAC[[#This Row],[cantidad venta]]*98.994</f>
        <v/>
      </c>
    </row>
    <row r="2665">
      <c r="A2665" t="n">
        <v>12662</v>
      </c>
      <c r="B2665" s="16" t="n">
        <v>44575</v>
      </c>
      <c r="C2665" t="inlineStr">
        <is>
          <t>VTA</t>
        </is>
      </c>
      <c r="D2665" t="n">
        <v>40</v>
      </c>
      <c r="E2665">
        <f>IF(D1997&gt;0,VLOOKUP(OPERAC[[#This Row],[COD CART]],[1]!MatrizCortoLargoCyl[#All],3,0),"")</f>
        <v/>
      </c>
      <c r="F2665" t="inlineStr">
        <is>
          <t>GBTC</t>
        </is>
      </c>
      <c r="G2665" t="n">
        <v>10</v>
      </c>
      <c r="H2665" t="n">
        <v>-308.0948</v>
      </c>
      <c r="I2665">
        <f>-H1997/G1997</f>
        <v/>
      </c>
      <c r="J2665" s="16" t="n">
        <v>44651</v>
      </c>
      <c r="K2665">
        <f>+OPERAC[[#This Row],[cantidad]]</f>
        <v/>
      </c>
      <c r="L2665">
        <f>+OPERAC[[#This Row],[cantidad venta]]*31.332</f>
        <v/>
      </c>
    </row>
    <row r="2666">
      <c r="A2666" t="n">
        <v>12662</v>
      </c>
      <c r="B2666" s="16" t="n">
        <v>44581</v>
      </c>
      <c r="C2666" t="inlineStr">
        <is>
          <t>CPR</t>
        </is>
      </c>
      <c r="D2666" t="n">
        <v>32</v>
      </c>
      <c r="E2666">
        <f>IF(D3576&gt;0,VLOOKUP(OPERAC[[#This Row],[COD CART]],[1]!MatrizCortoLargoCyl[#All],3,0),"")</f>
        <v/>
      </c>
      <c r="F2666" t="inlineStr">
        <is>
          <t>HMY/CYL/4,00/18-02-22</t>
        </is>
      </c>
      <c r="G2666" t="n">
        <v>200</v>
      </c>
      <c r="H2666" t="n">
        <v>-774.9359920000001</v>
      </c>
      <c r="I2666">
        <f>-H3576/G3576</f>
        <v/>
      </c>
      <c r="J2666" s="16" t="n">
        <v>44610</v>
      </c>
      <c r="K2666">
        <f>+OPERAC[[#This Row],[cantidad]]</f>
        <v/>
      </c>
      <c r="L2666">
        <f>+OPERAC[[#This Row],[cantidad venta]]*3.8323</f>
        <v/>
      </c>
    </row>
    <row r="2667">
      <c r="A2667" t="n">
        <v>12662</v>
      </c>
      <c r="B2667" s="16" t="n">
        <v>44581</v>
      </c>
      <c r="C2667" t="inlineStr">
        <is>
          <t>VTA</t>
        </is>
      </c>
      <c r="D2667" t="n">
        <v>39</v>
      </c>
      <c r="E2667">
        <f>IF(D604&gt;0,VLOOKUP(OPERAC[[#This Row],[COD CART]],[1]!MatrizCortoLargoCyl[#All],3,0),"")</f>
        <v/>
      </c>
      <c r="F2667" t="inlineStr">
        <is>
          <t>ACB/V/6,00/18-02-22</t>
        </is>
      </c>
      <c r="G2667" t="n">
        <v>-500</v>
      </c>
      <c r="H2667" t="n">
        <v>604.7575000000001</v>
      </c>
      <c r="I2667">
        <f>-H604/G604</f>
        <v/>
      </c>
      <c r="J2667" s="16" t="n">
        <v>44601</v>
      </c>
      <c r="K2667" t="n">
        <v>-500</v>
      </c>
      <c r="L2667">
        <f>1.21*OPERAC[[#This Row],[cantidad venta]]</f>
        <v/>
      </c>
    </row>
    <row r="2668">
      <c r="A2668" t="n">
        <v>12662</v>
      </c>
      <c r="B2668" s="16" t="n">
        <v>44582</v>
      </c>
      <c r="C2668" t="inlineStr">
        <is>
          <t>CPR</t>
        </is>
      </c>
      <c r="D2668" t="n">
        <v>40</v>
      </c>
      <c r="E2668">
        <f>IF(D3611&gt;0,VLOOKUP(OPERAC[[#This Row],[COD CART]],[1]!MatrizCortoLargoCyl[#All],3,0),"")</f>
        <v/>
      </c>
      <c r="F2668" t="inlineStr">
        <is>
          <t>NFLX</t>
        </is>
      </c>
      <c r="G2668" t="n">
        <v>2</v>
      </c>
      <c r="H2668" t="n">
        <v>-781.2742000000001</v>
      </c>
      <c r="I2668">
        <f>-H3611/G3611</f>
        <v/>
      </c>
      <c r="J2668" s="16" t="n">
        <v>44593</v>
      </c>
      <c r="K2668">
        <f>+OPERAC[[#This Row],[cantidad]]</f>
        <v/>
      </c>
      <c r="L2668">
        <f>+OPERAC[[#This Row],[cantidad venta]]*448.602</f>
        <v/>
      </c>
    </row>
    <row r="2669">
      <c r="A2669" t="n">
        <v>12662</v>
      </c>
      <c r="B2669" s="16" t="n">
        <v>44585</v>
      </c>
      <c r="C2669" t="inlineStr">
        <is>
          <t>VTA</t>
        </is>
      </c>
      <c r="D2669" t="n">
        <v>39</v>
      </c>
      <c r="E2669">
        <f>IF(D848&gt;0,VLOOKUP(OPERAC[[#This Row],[COD CART]],[1]!MatrizCortoLargoCyl[#All],3,0),"")</f>
        <v/>
      </c>
      <c r="F2669" t="inlineStr">
        <is>
          <t>TSLA/C/1200,00/28-01-22</t>
        </is>
      </c>
      <c r="G2669" t="n">
        <v>-200</v>
      </c>
      <c r="H2669" t="n">
        <v>201.84</v>
      </c>
      <c r="I2669">
        <f>-H848/G848</f>
        <v/>
      </c>
      <c r="J2669" s="16" t="n">
        <v>44589</v>
      </c>
      <c r="K2669" t="n">
        <v>-200</v>
      </c>
      <c r="L2669" t="n">
        <v>0</v>
      </c>
    </row>
    <row r="2670">
      <c r="A2670" t="n">
        <v>12662</v>
      </c>
      <c r="B2670" s="16" t="n">
        <v>44586</v>
      </c>
      <c r="C2670" t="inlineStr">
        <is>
          <t>VTA</t>
        </is>
      </c>
      <c r="D2670" t="n">
        <v>43</v>
      </c>
      <c r="E2670">
        <f>IF(D5348&gt;0,VLOOKUP(OPERAC[[#This Row],[COD CART]],[1]!MatrizCortoLargoCyl[#All],3,0),"")</f>
        <v/>
      </c>
      <c r="F2670" t="inlineStr">
        <is>
          <t>GMBL</t>
        </is>
      </c>
      <c r="G2670">
        <f>500+500</f>
        <v/>
      </c>
      <c r="H2670">
        <f>-508.0223-1255</f>
        <v/>
      </c>
      <c r="I2670">
        <f>-H5348/G5348</f>
        <v/>
      </c>
      <c r="J2670" s="16" t="n">
        <v>44714</v>
      </c>
      <c r="K2670" t="n">
        <v>1000</v>
      </c>
      <c r="L2670" t="n">
        <v>397.096</v>
      </c>
    </row>
    <row r="2671">
      <c r="A2671" t="n">
        <v>12662</v>
      </c>
      <c r="B2671" s="16" t="n">
        <v>44587</v>
      </c>
      <c r="C2671" t="inlineStr">
        <is>
          <t>VTA</t>
        </is>
      </c>
      <c r="D2671" t="n">
        <v>40</v>
      </c>
      <c r="E2671">
        <f>IF(D3049&gt;0,VLOOKUP(OPERAC[[#This Row],[COD CART]],[1]!MatrizCortoLargoCyl[#All],3,0),"")</f>
        <v/>
      </c>
      <c r="F2671" t="inlineStr">
        <is>
          <t>MSFT</t>
        </is>
      </c>
      <c r="G2671" t="n">
        <v>2</v>
      </c>
      <c r="H2671" t="n">
        <v>-606.8225200000001</v>
      </c>
      <c r="I2671">
        <f>-H3049/G3049</f>
        <v/>
      </c>
      <c r="J2671" s="16" t="n">
        <v>44606</v>
      </c>
      <c r="K2671">
        <f>+OPERAC[[#This Row],[cantidad]]</f>
        <v/>
      </c>
      <c r="L2671">
        <f>+OPERAC[[#This Row],[cantidad venta]]*290.091</f>
        <v/>
      </c>
    </row>
    <row r="2672">
      <c r="A2672" t="n">
        <v>12662</v>
      </c>
      <c r="B2672" s="16" t="n">
        <v>44596</v>
      </c>
      <c r="C2672" t="inlineStr">
        <is>
          <t>VTA</t>
        </is>
      </c>
      <c r="D2672" t="n">
        <v>39</v>
      </c>
      <c r="E2672">
        <f>IF(D398&gt;0,VLOOKUP(OPERAC[[#This Row],[COD CART]],[1]!MatrizCortoLargoCyl[#All],3,0),"")</f>
        <v/>
      </c>
      <c r="F2672" t="inlineStr">
        <is>
          <t>MELI/V/850,00/11-02-22</t>
        </is>
      </c>
      <c r="G2672" t="n">
        <v>-300</v>
      </c>
      <c r="H2672" t="n">
        <v>1190</v>
      </c>
      <c r="I2672">
        <f>-H398/G398</f>
        <v/>
      </c>
      <c r="J2672" s="16" t="n">
        <v>44603</v>
      </c>
      <c r="K2672" t="n">
        <v>-300</v>
      </c>
      <c r="L2672" t="n">
        <v>0</v>
      </c>
    </row>
    <row r="2673">
      <c r="A2673" t="n">
        <v>12662</v>
      </c>
      <c r="B2673" s="16" t="n">
        <v>44599</v>
      </c>
      <c r="C2673" t="inlineStr">
        <is>
          <t>CPR</t>
        </is>
      </c>
      <c r="D2673" t="n">
        <v>40</v>
      </c>
      <c r="E2673">
        <f>IF(D4508&gt;0,VLOOKUP(OPERAC[[#This Row],[COD CART]],[1]!MatrizCortoLargoCyl[#All],3,0),"")</f>
        <v/>
      </c>
      <c r="F2673" t="inlineStr">
        <is>
          <t>FB</t>
        </is>
      </c>
      <c r="G2673" t="n">
        <v>5</v>
      </c>
      <c r="H2673" t="n">
        <v>-1192.3</v>
      </c>
      <c r="I2673">
        <f>-H4508/G4508</f>
        <v/>
      </c>
      <c r="J2673" s="16" t="n">
        <v>44616</v>
      </c>
      <c r="K2673">
        <f>+OPERAC[[#This Row],[cantidad]]</f>
        <v/>
      </c>
      <c r="L2673">
        <f>200.299*OPERAC[[#This Row],[cantidad venta]]</f>
        <v/>
      </c>
    </row>
    <row r="2674">
      <c r="A2674" t="n">
        <v>12662</v>
      </c>
      <c r="B2674" s="16" t="n">
        <v>44601</v>
      </c>
      <c r="C2674" t="inlineStr">
        <is>
          <t>VTA</t>
        </is>
      </c>
      <c r="D2674" t="n">
        <v>39</v>
      </c>
      <c r="E2674">
        <f>IF(D1197&gt;0,VLOOKUP(OPERAC[[#This Row],[COD CART]],[1]!MatrizCortoLargoCyl[#All],3,0),"")</f>
        <v/>
      </c>
      <c r="F2674" t="inlineStr">
        <is>
          <t>ACB/V/5,00/16-09-22</t>
        </is>
      </c>
      <c r="G2674" t="n">
        <v>-6</v>
      </c>
      <c r="H2674">
        <f>-1.56*OPERAC[[#This Row],[cantidad]]</f>
        <v/>
      </c>
      <c r="I2674">
        <f>-H1197/G1197</f>
        <v/>
      </c>
    </row>
    <row r="2675">
      <c r="A2675" t="n">
        <v>12662</v>
      </c>
      <c r="B2675" s="16" t="n">
        <v>44602</v>
      </c>
      <c r="C2675" t="inlineStr">
        <is>
          <t>CPR</t>
        </is>
      </c>
      <c r="D2675" t="n">
        <v>32</v>
      </c>
      <c r="E2675">
        <f>IF(D5774&gt;0,VLOOKUP(OPERAC[[#This Row],[COD CART]],[1]!MatrizCortoLargoCyl[#All],3,0),"")</f>
        <v/>
      </c>
      <c r="F2675" t="inlineStr">
        <is>
          <t>BIOX</t>
        </is>
      </c>
      <c r="G2675" t="n">
        <v>200</v>
      </c>
      <c r="H2675">
        <f>-2672+29.76</f>
        <v/>
      </c>
      <c r="I2675">
        <f>-H5774/G5774</f>
        <v/>
      </c>
      <c r="J2675" s="16" t="n">
        <v>44669</v>
      </c>
      <c r="K2675">
        <f>100+100</f>
        <v/>
      </c>
      <c r="L2675">
        <f>1189.8+1368.847</f>
        <v/>
      </c>
    </row>
    <row r="2676">
      <c r="A2676" t="n">
        <v>12662</v>
      </c>
      <c r="B2676" s="16" t="n">
        <v>44608</v>
      </c>
      <c r="C2676" t="inlineStr">
        <is>
          <t>VTA</t>
        </is>
      </c>
      <c r="D2676" t="n">
        <v>32</v>
      </c>
      <c r="E2676">
        <f>IF(D5105&gt;0,VLOOKUP(OPERAC[[#This Row],[COD CART]],[1]!MatrizCortoLargoCyl[#All],3,0),"")</f>
        <v/>
      </c>
      <c r="F2676" t="inlineStr">
        <is>
          <t>DDD/CYL/17,00/01-04-22</t>
        </is>
      </c>
      <c r="G2676" t="n">
        <v>100</v>
      </c>
      <c r="H2676">
        <f>-1629.4234+19.7+16.45</f>
        <v/>
      </c>
      <c r="I2676">
        <f>-H5105/G5105</f>
        <v/>
      </c>
      <c r="J2676" s="16" t="n">
        <v>44649</v>
      </c>
      <c r="K2676" t="n">
        <v>100</v>
      </c>
      <c r="L2676" t="n">
        <v>1661.98</v>
      </c>
    </row>
    <row r="2677">
      <c r="A2677" t="n">
        <v>12662</v>
      </c>
      <c r="B2677" s="16" t="n">
        <v>44616</v>
      </c>
      <c r="C2677" t="inlineStr">
        <is>
          <t>CPR</t>
        </is>
      </c>
      <c r="D2677" t="n">
        <v>32</v>
      </c>
      <c r="E2677">
        <f>IF(D3294&gt;0,VLOOKUP(OPERAC[[#This Row],[COD CART]],[1]!MatrizCortoLargoCyl[#All],3,0),"")</f>
        <v/>
      </c>
      <c r="F2677" t="inlineStr">
        <is>
          <t>UUUU/CYL/8,00/18-03-22</t>
        </is>
      </c>
      <c r="G2677" t="n">
        <v>100</v>
      </c>
      <c r="H2677" t="n">
        <v>-683.826</v>
      </c>
      <c r="I2677">
        <f>-H3294/G3294</f>
        <v/>
      </c>
      <c r="J2677" s="16" t="n">
        <v>44636</v>
      </c>
      <c r="K2677">
        <f>+OPERAC[[#This Row],[cantidad]]</f>
        <v/>
      </c>
      <c r="L2677" t="n">
        <v>767.46</v>
      </c>
    </row>
    <row r="2678">
      <c r="A2678" t="n">
        <v>12662</v>
      </c>
      <c r="B2678" s="16" t="n">
        <v>44616</v>
      </c>
      <c r="C2678" t="inlineStr">
        <is>
          <t>VTA</t>
        </is>
      </c>
      <c r="D2678" t="n">
        <v>32</v>
      </c>
      <c r="E2678">
        <f>IF(D5567&gt;0,VLOOKUP(OPERAC[[#This Row],[COD CART]],[1]!MatrizCortoLargoCyl[#All],3,0),"")</f>
        <v/>
      </c>
      <c r="F2678" t="inlineStr">
        <is>
          <t>PLTR/CYL/12,00/14-04-22</t>
        </is>
      </c>
      <c r="G2678" t="n">
        <v>200</v>
      </c>
      <c r="H2678" t="n">
        <v>-2105.453</v>
      </c>
      <c r="I2678">
        <f>-H5567/G5567</f>
        <v/>
      </c>
      <c r="J2678" s="16" t="n">
        <v>44643</v>
      </c>
      <c r="K2678" t="n">
        <v>200</v>
      </c>
      <c r="L2678" t="n">
        <v>2293.448</v>
      </c>
    </row>
    <row r="2679">
      <c r="A2679" t="n">
        <v>12662</v>
      </c>
      <c r="B2679" s="16" t="n">
        <v>44641</v>
      </c>
      <c r="C2679" t="inlineStr">
        <is>
          <t>VTA</t>
        </is>
      </c>
      <c r="D2679" t="n">
        <v>42</v>
      </c>
      <c r="E2679">
        <f>IF(D2378&gt;0,VLOOKUP(OPERAC[[#This Row],[COD CART]],[1]!MatrizCortoLargoCyl[#All],3,0),"")</f>
        <v/>
      </c>
      <c r="F2679" t="inlineStr">
        <is>
          <t>JPM</t>
        </is>
      </c>
      <c r="G2679" t="n">
        <v>3</v>
      </c>
      <c r="H2679" t="n">
        <v>-421.3630200000001</v>
      </c>
      <c r="I2679">
        <f>-H2378/G2378</f>
        <v/>
      </c>
      <c r="J2679" s="16" t="n">
        <v>44664</v>
      </c>
      <c r="K2679">
        <f>+OPERAC[[#This Row],[cantidad]]</f>
        <v/>
      </c>
      <c r="L2679">
        <f>+OPERAC[[#This Row],[cantidad venta]]*125.943</f>
        <v/>
      </c>
    </row>
    <row r="2680">
      <c r="A2680" t="n">
        <v>12662</v>
      </c>
      <c r="B2680" s="16" t="n">
        <v>44641</v>
      </c>
      <c r="C2680" t="inlineStr">
        <is>
          <t>VTA</t>
        </is>
      </c>
      <c r="D2680" t="n">
        <v>42</v>
      </c>
      <c r="E2680">
        <f>IF(D2415&gt;0,VLOOKUP(OPERAC[[#This Row],[COD CART]],[1]!MatrizCortoLargoCyl[#All],3,0),"")</f>
        <v/>
      </c>
      <c r="F2680" t="inlineStr">
        <is>
          <t>FB</t>
        </is>
      </c>
      <c r="G2680" t="n">
        <v>2</v>
      </c>
      <c r="H2680" t="n">
        <v>-424.31276</v>
      </c>
      <c r="I2680">
        <f>-H2415/G2415</f>
        <v/>
      </c>
      <c r="J2680" s="16" t="n">
        <v>44671</v>
      </c>
      <c r="K2680">
        <f>+OPERAC[[#This Row],[cantidad]]</f>
        <v/>
      </c>
      <c r="L2680">
        <f>+OPERAC[[#This Row],[cantidad venta]]*213.173</f>
        <v/>
      </c>
    </row>
    <row r="2681">
      <c r="A2681" t="n">
        <v>12662</v>
      </c>
      <c r="B2681" s="16" t="n">
        <v>44643</v>
      </c>
      <c r="C2681" t="inlineStr">
        <is>
          <t>VTA</t>
        </is>
      </c>
      <c r="D2681" t="n">
        <v>32</v>
      </c>
      <c r="E2681">
        <f>IF(D5197&gt;0,VLOOKUP(OPERAC[[#This Row],[COD CART]],[1]!MatrizCortoLargoCyl[#All],3,0),"")</f>
        <v/>
      </c>
      <c r="F2681" t="inlineStr">
        <is>
          <t>EDIT/CYL/17,00/14-04-22</t>
        </is>
      </c>
      <c r="G2681" t="n">
        <v>100</v>
      </c>
      <c r="H2681" t="n">
        <v>-1650.54</v>
      </c>
      <c r="I2681">
        <f>-H5197/G5197</f>
        <v/>
      </c>
      <c r="J2681" s="16" t="n">
        <v>44648</v>
      </c>
      <c r="K2681" t="n">
        <v>100</v>
      </c>
      <c r="L2681">
        <f>-202.298+1898.018</f>
        <v/>
      </c>
    </row>
    <row r="2682">
      <c r="A2682" t="n">
        <v>12662</v>
      </c>
      <c r="B2682" s="16" t="n">
        <v>44645</v>
      </c>
      <c r="C2682" t="inlineStr">
        <is>
          <t>VTA</t>
        </is>
      </c>
      <c r="D2682" t="n">
        <v>42</v>
      </c>
      <c r="E2682">
        <f>IF(D2942&gt;0,VLOOKUP(OPERAC[[#This Row],[COD CART]],[1]!MatrizCortoLargoCyl[#All],3,0),"")</f>
        <v/>
      </c>
      <c r="F2682" t="inlineStr">
        <is>
          <t>PLUG</t>
        </is>
      </c>
      <c r="G2682" t="n">
        <v>20</v>
      </c>
      <c r="H2682" t="n">
        <v>-558.6328</v>
      </c>
      <c r="I2682">
        <f>-H2942/G2942</f>
        <v/>
      </c>
      <c r="J2682" s="16" t="n">
        <v>44652</v>
      </c>
      <c r="K2682">
        <f>+OPERAC[[#This Row],[cantidad]]</f>
        <v/>
      </c>
      <c r="L2682">
        <f>+OPERAC[[#This Row],[cantidad venta]]*27.754</f>
        <v/>
      </c>
    </row>
    <row r="2683">
      <c r="A2683" t="n">
        <v>12662</v>
      </c>
      <c r="B2683" s="16" t="n">
        <v>44649</v>
      </c>
      <c r="C2683" t="inlineStr">
        <is>
          <t>CPR</t>
        </is>
      </c>
      <c r="D2683" t="n">
        <v>32</v>
      </c>
      <c r="E2683">
        <f>IF(D4930&gt;0,VLOOKUP(OPERAC[[#This Row],[COD CART]],[1]!MatrizCortoLargoCyl[#All],3,0),"")</f>
        <v/>
      </c>
      <c r="F2683" t="inlineStr">
        <is>
          <t>DDD</t>
        </is>
      </c>
      <c r="G2683" t="n">
        <v>100</v>
      </c>
      <c r="H2683" t="n">
        <v>-1498.949</v>
      </c>
      <c r="I2683">
        <f>-H4930/G4930</f>
        <v/>
      </c>
    </row>
    <row r="2684">
      <c r="A2684" t="n">
        <v>12662</v>
      </c>
      <c r="B2684" s="16" t="n">
        <v>44649</v>
      </c>
      <c r="C2684" t="inlineStr">
        <is>
          <t>VTA</t>
        </is>
      </c>
      <c r="D2684" t="n">
        <v>32</v>
      </c>
      <c r="E2684">
        <f>IF(D5233&gt;0,VLOOKUP(OPERAC[[#This Row],[COD CART]],[1]!MatrizCortoLargoCyl[#All],3,0),"")</f>
        <v/>
      </c>
      <c r="F2684" t="inlineStr">
        <is>
          <t>EDIT</t>
        </is>
      </c>
      <c r="G2684" t="n">
        <v>100</v>
      </c>
      <c r="H2684" t="n">
        <v>-1661.88</v>
      </c>
      <c r="I2684">
        <f>-H5233/G5233</f>
        <v/>
      </c>
    </row>
    <row r="2685">
      <c r="A2685" t="n">
        <v>12662</v>
      </c>
      <c r="B2685" s="16" t="n">
        <v>44651</v>
      </c>
      <c r="C2685" t="inlineStr">
        <is>
          <t>VTA</t>
        </is>
      </c>
      <c r="D2685" t="n">
        <v>42</v>
      </c>
      <c r="E2685">
        <f>IF(D2127&gt;0,VLOOKUP(OPERAC[[#This Row],[COD CART]],[1]!MatrizCortoLargoCyl[#All],3,0),"")</f>
        <v/>
      </c>
      <c r="F2685" t="inlineStr">
        <is>
          <t>AMD</t>
        </is>
      </c>
      <c r="G2685" t="n">
        <v>3</v>
      </c>
      <c r="H2685" t="n">
        <v>-341.69676</v>
      </c>
      <c r="I2685">
        <f>-H2127/G2127</f>
        <v/>
      </c>
      <c r="J2685" s="16" t="n">
        <v>44693</v>
      </c>
      <c r="K2685">
        <f>+OPERAC[[#This Row],[cantidad]]</f>
        <v/>
      </c>
      <c r="L2685">
        <f>+OPERAC[[#This Row],[cantidad venta]]*85.26</f>
        <v/>
      </c>
    </row>
    <row r="2686">
      <c r="A2686" t="n">
        <v>12662</v>
      </c>
      <c r="B2686" s="16" t="n">
        <v>44652</v>
      </c>
      <c r="C2686" t="inlineStr">
        <is>
          <t>VTA</t>
        </is>
      </c>
      <c r="D2686" t="n">
        <v>42</v>
      </c>
      <c r="E2686">
        <f>IF(D3172&gt;0,VLOOKUP(OPERAC[[#This Row],[COD CART]],[1]!MatrizCortoLargoCyl[#All],3,0),"")</f>
        <v/>
      </c>
      <c r="F2686" t="inlineStr">
        <is>
          <t>GBTC</t>
        </is>
      </c>
      <c r="G2686" t="n">
        <v>20</v>
      </c>
      <c r="H2686" t="n">
        <v>-642.196</v>
      </c>
      <c r="I2686">
        <f>-H3172/G3172</f>
        <v/>
      </c>
      <c r="J2686" s="16" t="n">
        <v>44662</v>
      </c>
      <c r="K2686">
        <f>+OPERAC[[#This Row],[cantidad]]</f>
        <v/>
      </c>
      <c r="L2686">
        <f>27.99*OPERAC[[#This Row],[cantidad venta]]</f>
        <v/>
      </c>
    </row>
    <row r="2687">
      <c r="A2687" t="n">
        <v>12662</v>
      </c>
      <c r="B2687" s="16" t="n">
        <v>44662</v>
      </c>
      <c r="C2687" t="inlineStr">
        <is>
          <t>VTA</t>
        </is>
      </c>
      <c r="D2687" t="n">
        <v>42</v>
      </c>
      <c r="E2687">
        <f>IF(D2549&gt;0,VLOOKUP(OPERAC[[#This Row],[COD CART]],[1]!MatrizCortoLargoCyl[#All],3,0),"")</f>
        <v/>
      </c>
      <c r="F2687" t="inlineStr">
        <is>
          <t>HYDR</t>
        </is>
      </c>
      <c r="G2687" t="n">
        <v>25</v>
      </c>
      <c r="H2687" t="n">
        <v>-464.2586</v>
      </c>
      <c r="I2687">
        <f>-H2549/G2549</f>
        <v/>
      </c>
      <c r="J2687" s="16" t="n">
        <v>44693</v>
      </c>
      <c r="K2687">
        <f>+OPERAC[[#This Row],[cantidad]]</f>
        <v/>
      </c>
      <c r="L2687">
        <f>+OPERAC[[#This Row],[cantidad venta]]*12.027</f>
        <v/>
      </c>
    </row>
    <row r="2688">
      <c r="A2688" t="n">
        <v>12662</v>
      </c>
      <c r="B2688" s="16" t="n">
        <v>44664</v>
      </c>
      <c r="C2688" t="inlineStr">
        <is>
          <t>CPR</t>
        </is>
      </c>
      <c r="D2688" t="n">
        <v>42</v>
      </c>
      <c r="E2688">
        <f>IF(D4579&gt;0,VLOOKUP(OPERAC[[#This Row],[COD CART]],[1]!MatrizCortoLargoCyl[#All],3,0),"")</f>
        <v/>
      </c>
      <c r="F2688" t="inlineStr">
        <is>
          <t>PSQ</t>
        </is>
      </c>
      <c r="G2688" t="n">
        <v>100</v>
      </c>
      <c r="H2688" t="n">
        <v>-1243.2572181</v>
      </c>
      <c r="I2688">
        <f>-H4579/G4579</f>
        <v/>
      </c>
      <c r="J2688" s="16" t="n">
        <v>44680</v>
      </c>
      <c r="K2688">
        <f>+OPERAC[[#This Row],[cantidad]]</f>
        <v/>
      </c>
      <c r="L2688">
        <f>12.848*OPERAC[[#This Row],[cantidad venta]]</f>
        <v/>
      </c>
    </row>
    <row r="2689">
      <c r="A2689" t="n">
        <v>12662</v>
      </c>
      <c r="B2689" s="16" t="n">
        <v>44671</v>
      </c>
      <c r="C2689" t="inlineStr">
        <is>
          <t>CPR</t>
        </is>
      </c>
      <c r="D2689" t="n">
        <v>42</v>
      </c>
      <c r="E2689">
        <f>IF(D2764&gt;0,VLOOKUP(OPERAC[[#This Row],[COD CART]],[1]!MatrizCortoLargoCyl[#All],3,0),"")</f>
        <v/>
      </c>
      <c r="F2689" t="inlineStr">
        <is>
          <t>NFLX</t>
        </is>
      </c>
      <c r="G2689" t="n">
        <v>2</v>
      </c>
      <c r="H2689" t="n">
        <v>-509.01012</v>
      </c>
      <c r="I2689">
        <f>-H2764/G2764</f>
        <v/>
      </c>
      <c r="J2689" s="16" t="n">
        <v>44693</v>
      </c>
      <c r="K2689">
        <f>+OPERAC[[#This Row],[cantidad]]</f>
        <v/>
      </c>
      <c r="L2689">
        <f>+OPERAC[[#This Row],[cantidad venta]]*169.079</f>
        <v/>
      </c>
    </row>
    <row r="2690">
      <c r="A2690" t="n">
        <v>12662</v>
      </c>
      <c r="B2690" s="16" t="n">
        <v>44680</v>
      </c>
      <c r="C2690" t="inlineStr">
        <is>
          <t>CPR</t>
        </is>
      </c>
      <c r="D2690" t="n">
        <v>42</v>
      </c>
      <c r="E2690">
        <f>IF(D4738&gt;0,VLOOKUP(OPERAC[[#This Row],[COD CART]],[1]!MatrizCortoLargoCyl[#All],3,0),"")</f>
        <v/>
      </c>
      <c r="F2690" t="inlineStr">
        <is>
          <t>XLP</t>
        </is>
      </c>
      <c r="G2690" t="n">
        <v>17</v>
      </c>
      <c r="H2690" t="n">
        <v>-1350.3865425</v>
      </c>
      <c r="I2690">
        <f>-H4738/G4738</f>
        <v/>
      </c>
      <c r="J2690" s="16" t="n">
        <v>44693</v>
      </c>
      <c r="K2690">
        <f>+OPERAC[[#This Row],[cantidad]]</f>
        <v/>
      </c>
      <c r="L2690">
        <f>+OPERAC[[#This Row],[cantidad venta]]*74.848</f>
        <v/>
      </c>
    </row>
    <row r="2691">
      <c r="A2691" t="n">
        <v>12662</v>
      </c>
      <c r="B2691" s="16" t="n">
        <v>44680</v>
      </c>
      <c r="C2691" t="inlineStr">
        <is>
          <t>CPR</t>
        </is>
      </c>
      <c r="D2691" t="n">
        <v>32</v>
      </c>
      <c r="E2691">
        <f>IF(D4940&gt;0,VLOOKUP(OPERAC[[#This Row],[COD CART]],[1]!MatrizCortoLargoCyl[#All],3,0),"")</f>
        <v/>
      </c>
      <c r="F2691" t="inlineStr">
        <is>
          <t>COTY/CYL/8,00/24-06-22</t>
        </is>
      </c>
      <c r="G2691" t="n">
        <v>200</v>
      </c>
      <c r="H2691">
        <f>-1512.41+7.932</f>
        <v/>
      </c>
      <c r="I2691">
        <f>-H4940/G4940</f>
        <v/>
      </c>
    </row>
    <row r="2692">
      <c r="A2692" t="n">
        <v>12662</v>
      </c>
      <c r="B2692" s="16" t="n">
        <v>44705</v>
      </c>
      <c r="C2692" t="inlineStr">
        <is>
          <t>CPR</t>
        </is>
      </c>
      <c r="D2692" t="n">
        <v>42</v>
      </c>
      <c r="E2692">
        <f>IF(D4022&gt;0,VLOOKUP(OPERAC[[#This Row],[COD CART]],[1]!MatrizCortoLargoCyl[#All],3,0),"")</f>
        <v/>
      </c>
      <c r="F2692" t="inlineStr">
        <is>
          <t>AMD</t>
        </is>
      </c>
      <c r="G2692" t="n">
        <v>10</v>
      </c>
      <c r="H2692" t="n">
        <v>-925.0354</v>
      </c>
      <c r="I2692">
        <f>-H4022/G4022</f>
        <v/>
      </c>
      <c r="J2692" s="16" t="n">
        <v>44707</v>
      </c>
      <c r="K2692">
        <f>+OPERAC[[#This Row],[cantidad]]</f>
        <v/>
      </c>
      <c r="L2692">
        <f>+OPERAC[[#This Row],[cantidad venta]]*94.8</f>
        <v/>
      </c>
    </row>
    <row r="2693">
      <c r="A2693" t="n">
        <v>12662</v>
      </c>
      <c r="B2693" s="16" t="n">
        <v>44708</v>
      </c>
      <c r="C2693" t="inlineStr">
        <is>
          <t>VTA</t>
        </is>
      </c>
      <c r="D2693" t="n">
        <v>42</v>
      </c>
      <c r="E2693">
        <f>IF(D2185&gt;0,VLOOKUP(OPERAC[[#This Row],[COD CART]],[1]!MatrizCortoLargoCyl[#All],3,0),"")</f>
        <v/>
      </c>
      <c r="F2693" t="inlineStr">
        <is>
          <t>ACB</t>
        </is>
      </c>
      <c r="G2693" t="n">
        <v>200</v>
      </c>
      <c r="H2693" t="n">
        <v>-365.064157761</v>
      </c>
      <c r="I2693">
        <f>-H2185/G2185</f>
        <v/>
      </c>
    </row>
    <row r="2694">
      <c r="A2694" t="n">
        <v>12662</v>
      </c>
      <c r="B2694" s="16" t="n">
        <v>44712</v>
      </c>
      <c r="C2694" t="inlineStr">
        <is>
          <t>CPR</t>
        </is>
      </c>
      <c r="D2694" t="n">
        <v>32</v>
      </c>
      <c r="E2694">
        <f>IF(D3336&gt;0,VLOOKUP(OPERAC[[#This Row],[COD CART]],[1]!MatrizCortoLargoCyl[#All],3,0),"")</f>
        <v/>
      </c>
      <c r="F2694" t="inlineStr">
        <is>
          <t>CRESY/CYL/7,50/17-06-22</t>
        </is>
      </c>
      <c r="G2694" t="n">
        <v>100</v>
      </c>
      <c r="H2694" t="n">
        <v>-693.075</v>
      </c>
      <c r="I2694">
        <f>-H3336/G3336</f>
        <v/>
      </c>
    </row>
    <row r="2695">
      <c r="A2695" t="n">
        <v>12662</v>
      </c>
      <c r="B2695" s="16" t="n">
        <v>44714</v>
      </c>
      <c r="C2695" t="inlineStr">
        <is>
          <t>CPR</t>
        </is>
      </c>
      <c r="D2695" t="n">
        <v>32</v>
      </c>
      <c r="E2695">
        <f>IF(D4526&gt;0,VLOOKUP(OPERAC[[#This Row],[COD CART]],[1]!MatrizCortoLargoCyl[#All],3,0),"")</f>
        <v/>
      </c>
      <c r="F2695" t="inlineStr">
        <is>
          <t>AMC/CYL/17,00/15-07-22</t>
        </is>
      </c>
      <c r="G2695" t="n">
        <v>100</v>
      </c>
      <c r="H2695" t="n">
        <v>-1192.365</v>
      </c>
      <c r="I2695">
        <f>-H4526/G4526</f>
        <v/>
      </c>
    </row>
    <row r="2696">
      <c r="A2696" t="n">
        <v>12662</v>
      </c>
      <c r="B2696" s="16" t="n">
        <v>44714</v>
      </c>
      <c r="C2696" t="inlineStr">
        <is>
          <t>CPR</t>
        </is>
      </c>
      <c r="D2696" t="n">
        <v>32</v>
      </c>
      <c r="E2696">
        <f>IF(D4766&gt;0,VLOOKUP(OPERAC[[#This Row],[COD CART]],[1]!MatrizCortoLargoCyl[#All],3,0),"")</f>
        <v/>
      </c>
      <c r="F2696" t="inlineStr">
        <is>
          <t>CCL/CYL/17,50/15-07-22</t>
        </is>
      </c>
      <c r="G2696" t="n">
        <v>100</v>
      </c>
      <c r="H2696" t="n">
        <v>-1379.65</v>
      </c>
      <c r="I2696">
        <f>-H4766/G4766</f>
        <v/>
      </c>
    </row>
    <row r="2697">
      <c r="A2697" t="n">
        <v>12671</v>
      </c>
      <c r="B2697" s="16" t="n">
        <v>44237</v>
      </c>
      <c r="C2697" t="inlineStr">
        <is>
          <t>VTA</t>
        </is>
      </c>
      <c r="D2697" t="n">
        <v>39</v>
      </c>
      <c r="E2697">
        <f>IF(D1248&gt;0,VLOOKUP(OPERAC[[#This Row],[COD CART]],[1]!MatrizCortoLargoCyl[#All],3,0),"")</f>
        <v/>
      </c>
      <c r="F2697" t="inlineStr">
        <is>
          <t>TLRY1/V/10,00/20-01-23</t>
        </is>
      </c>
      <c r="G2697" t="n">
        <v>-2</v>
      </c>
      <c r="H2697" t="n">
        <v>2</v>
      </c>
      <c r="I2697">
        <f>-H1248/G1248</f>
        <v/>
      </c>
    </row>
    <row r="2698">
      <c r="A2698" t="n">
        <v>12671</v>
      </c>
      <c r="B2698" s="16" t="n">
        <v>44462</v>
      </c>
      <c r="C2698" t="inlineStr">
        <is>
          <t>VTA</t>
        </is>
      </c>
      <c r="D2698" t="n">
        <v>43</v>
      </c>
      <c r="E2698">
        <f>IF(D2051&gt;0,VLOOKUP(OPERAC[[#This Row],[COD CART]],[1]!MatrizCortoLargoCyl[#All],3,0),"")</f>
        <v/>
      </c>
      <c r="F2698" t="inlineStr">
        <is>
          <t>SOLO/CYL-PUT/4,00/16-09-22</t>
        </is>
      </c>
      <c r="G2698" t="n">
        <v>200</v>
      </c>
      <c r="H2698">
        <f>OPERAC[[#This Row],[cantidad]]*-2.54+0.32*OPERAC[[#This Row],[cantidad]]+0.387*OPERAC[[#This Row],[cantidad]]+0.22*OPERAC[[#This Row],[cantidad]]</f>
        <v/>
      </c>
      <c r="I2698">
        <f>-H2051/G2051</f>
        <v/>
      </c>
      <c r="J2698" s="16" t="n">
        <v>44551</v>
      </c>
      <c r="K2698" t="n">
        <v>100</v>
      </c>
      <c r="L2698">
        <f>+OPERAC[[#This Row],[cantidad venta]]*0.65175</f>
        <v/>
      </c>
    </row>
    <row r="2699">
      <c r="A2699" t="n">
        <v>12671</v>
      </c>
      <c r="B2699" s="16" t="n">
        <v>44489</v>
      </c>
      <c r="C2699" t="inlineStr">
        <is>
          <t>VTA</t>
        </is>
      </c>
      <c r="D2699" t="n">
        <v>43</v>
      </c>
      <c r="E2699">
        <f>IF(D1520&gt;0,VLOOKUP(OPERAC[[#This Row],[COD CART]],[1]!MatrizCortoLargoCyl[#All],3,0),"")</f>
        <v/>
      </c>
      <c r="F2699" t="inlineStr">
        <is>
          <t>SESN/CYL-PUT/1,00/19-01-24</t>
        </is>
      </c>
      <c r="G2699" t="n">
        <v>1000</v>
      </c>
      <c r="H2699">
        <f>-0.1885*OPERAC[[#This Row],[cantidad]]</f>
        <v/>
      </c>
      <c r="I2699">
        <f>-H1520/G1520</f>
        <v/>
      </c>
    </row>
    <row r="2700">
      <c r="A2700" t="n">
        <v>12671</v>
      </c>
      <c r="B2700" s="16" t="n">
        <v>44494</v>
      </c>
      <c r="C2700" t="inlineStr">
        <is>
          <t>VTA</t>
        </is>
      </c>
      <c r="D2700" t="n">
        <v>40</v>
      </c>
      <c r="E2700">
        <f>IF(D2359&gt;0,VLOOKUP(OPERAC[[#This Row],[COD CART]],[1]!MatrizCortoLargoCyl[#All],3,0),"")</f>
        <v/>
      </c>
      <c r="F2700" t="inlineStr">
        <is>
          <t>YPF</t>
        </is>
      </c>
      <c r="G2700" t="n">
        <v>90</v>
      </c>
      <c r="H2700" t="n">
        <v>-418.7448</v>
      </c>
      <c r="I2700">
        <f>-H2359/G2359</f>
        <v/>
      </c>
      <c r="J2700" s="16" t="n">
        <v>44606</v>
      </c>
      <c r="K2700">
        <f>+OPERAC[[#This Row],[cantidad]]</f>
        <v/>
      </c>
      <c r="L2700">
        <f>+OPERAC[[#This Row],[cantidad venta]]*4.161</f>
        <v/>
      </c>
    </row>
    <row r="2701">
      <c r="A2701" t="n">
        <v>12671</v>
      </c>
      <c r="B2701" s="16" t="n">
        <v>44495</v>
      </c>
      <c r="C2701" t="inlineStr">
        <is>
          <t>VTA</t>
        </is>
      </c>
      <c r="D2701" t="n">
        <v>39</v>
      </c>
      <c r="E2701">
        <f>IF(D515&gt;0,VLOOKUP(OPERAC[[#This Row],[COD CART]],[1]!MatrizCortoLargoCyl[#All],3,0),"")</f>
        <v/>
      </c>
      <c r="F2701" t="inlineStr">
        <is>
          <t>TLRY/V/11,00/21-01-22</t>
        </is>
      </c>
      <c r="G2701" t="n">
        <v>-500</v>
      </c>
      <c r="H2701" t="n">
        <v>863.1</v>
      </c>
      <c r="I2701">
        <f>-H515/G515</f>
        <v/>
      </c>
      <c r="J2701" s="16" t="n">
        <v>44571</v>
      </c>
      <c r="K2701">
        <f>+OPERAC[[#This Row],[cantidad]]</f>
        <v/>
      </c>
      <c r="L2701">
        <f>-OPERAC[[#This Row],[importe]]</f>
        <v/>
      </c>
    </row>
    <row r="2702">
      <c r="A2702" t="n">
        <v>12671</v>
      </c>
      <c r="B2702" s="16" t="n">
        <v>44511</v>
      </c>
      <c r="C2702" t="inlineStr">
        <is>
          <t>VTA</t>
        </is>
      </c>
      <c r="D2702" t="n">
        <v>31</v>
      </c>
      <c r="E2702">
        <f>IF(D1350&gt;0,VLOOKUP(OPERAC[[#This Row],[COD CART]],[1]!MatrizCortoLargoCyl[#All],3,0),"")</f>
        <v/>
      </c>
      <c r="F2702" t="inlineStr">
        <is>
          <t>IPIX</t>
        </is>
      </c>
      <c r="G2702" t="n">
        <v>1000</v>
      </c>
      <c r="H2702" t="n">
        <v>-109.99</v>
      </c>
      <c r="I2702">
        <f>-H1350/G1350</f>
        <v/>
      </c>
    </row>
    <row r="2703">
      <c r="A2703" t="n">
        <v>12671</v>
      </c>
      <c r="B2703" s="16" t="n">
        <v>44523</v>
      </c>
      <c r="C2703" t="inlineStr">
        <is>
          <t>VTA</t>
        </is>
      </c>
      <c r="D2703" t="n">
        <v>32</v>
      </c>
      <c r="E2703">
        <f>IF(D2314&gt;0,VLOOKUP(OPERAC[[#This Row],[COD CART]],[1]!MatrizCortoLargoCyl[#All],3,0),"")</f>
        <v/>
      </c>
      <c r="F2703" t="inlineStr">
        <is>
          <t>GMBL/CYL/5,00/18-03-22</t>
        </is>
      </c>
      <c r="G2703" t="n">
        <v>100</v>
      </c>
      <c r="H2703">
        <f>-411.931+9.067</f>
        <v/>
      </c>
      <c r="I2703">
        <f>-H2314/G2314</f>
        <v/>
      </c>
      <c r="J2703" s="16" t="n">
        <v>44630</v>
      </c>
      <c r="K2703" t="n">
        <v>100</v>
      </c>
      <c r="L2703" t="n">
        <v>72.19</v>
      </c>
    </row>
    <row r="2704">
      <c r="A2704" t="n">
        <v>12671</v>
      </c>
      <c r="B2704" s="16" t="n">
        <v>44523</v>
      </c>
      <c r="C2704" t="inlineStr">
        <is>
          <t>VTA</t>
        </is>
      </c>
      <c r="D2704" t="n">
        <v>40</v>
      </c>
      <c r="E2704">
        <f>IF(D2832&gt;0,VLOOKUP(OPERAC[[#This Row],[COD CART]],[1]!MatrizCortoLargoCyl[#All],3,0),"")</f>
        <v/>
      </c>
      <c r="F2704" t="inlineStr">
        <is>
          <t>EDU</t>
        </is>
      </c>
      <c r="G2704" t="n">
        <v>300</v>
      </c>
      <c r="H2704">
        <f>-533.847+0.026*OPERAC[[#This Row],[cantidad]]</f>
        <v/>
      </c>
      <c r="I2704">
        <f>-H2832/G2832</f>
        <v/>
      </c>
      <c r="J2704" s="16" t="n">
        <v>44630</v>
      </c>
      <c r="K2704" t="n">
        <v>300</v>
      </c>
      <c r="L2704" t="n">
        <v>345.863</v>
      </c>
    </row>
    <row r="2705">
      <c r="A2705" t="n">
        <v>12671</v>
      </c>
      <c r="B2705" s="16" t="n">
        <v>44539</v>
      </c>
      <c r="C2705" t="inlineStr">
        <is>
          <t>VTA</t>
        </is>
      </c>
      <c r="D2705" t="n">
        <v>40</v>
      </c>
      <c r="E2705">
        <f>IF(D1762&gt;0,VLOOKUP(OPERAC[[#This Row],[COD CART]],[1]!MatrizCortoLargoCyl[#All],3,0),"")</f>
        <v/>
      </c>
      <c r="F2705" t="inlineStr">
        <is>
          <t>ROKU</t>
        </is>
      </c>
      <c r="G2705" t="n">
        <v>1</v>
      </c>
      <c r="H2705" t="n">
        <v>-257.72036</v>
      </c>
      <c r="I2705">
        <f>-H1762/G1762</f>
        <v/>
      </c>
      <c r="J2705" s="16" t="n">
        <v>44606</v>
      </c>
      <c r="K2705">
        <f>+OPERAC[[#This Row],[cantidad]]</f>
        <v/>
      </c>
      <c r="L2705">
        <f>+OPERAC[[#This Row],[cantidad venta]]*160.574</f>
        <v/>
      </c>
    </row>
    <row r="2706">
      <c r="A2706" t="n">
        <v>12671</v>
      </c>
      <c r="B2706" s="16" t="n">
        <v>44552</v>
      </c>
      <c r="C2706" t="inlineStr">
        <is>
          <t>VTA</t>
        </is>
      </c>
      <c r="D2706" t="n">
        <v>32</v>
      </c>
      <c r="E2706">
        <f>IF(D2242&gt;0,VLOOKUP(OPERAC[[#This Row],[COD CART]],[1]!MatrizCortoLargoCyl[#All],3,0),"")</f>
        <v/>
      </c>
      <c r="F2706" t="inlineStr">
        <is>
          <t>HMY/CYL/4,00/21-01-22</t>
        </is>
      </c>
      <c r="G2706" t="n">
        <v>100</v>
      </c>
      <c r="H2706">
        <f>-3.8*OPERAC[[#This Row],[cantidad]]</f>
        <v/>
      </c>
      <c r="I2706">
        <f>-H2242/G2242</f>
        <v/>
      </c>
      <c r="J2706" s="16" t="n">
        <v>44580</v>
      </c>
      <c r="K2706" t="n">
        <v>100</v>
      </c>
      <c r="L2706" t="n">
        <v>393.93</v>
      </c>
    </row>
    <row r="2707">
      <c r="A2707" t="n">
        <v>12671</v>
      </c>
      <c r="B2707" s="16" t="n">
        <v>44552</v>
      </c>
      <c r="C2707" t="inlineStr">
        <is>
          <t>VTA</t>
        </is>
      </c>
      <c r="D2707" t="n">
        <v>32</v>
      </c>
      <c r="E2707">
        <f>IF(D5378&gt;0,VLOOKUP(OPERAC[[#This Row],[COD CART]],[1]!MatrizCortoLargoCyl[#All],3,0),"")</f>
        <v/>
      </c>
      <c r="F2707" t="inlineStr">
        <is>
          <t>GOLD/CYL/19,00/21-01-22</t>
        </is>
      </c>
      <c r="G2707" t="n">
        <v>100</v>
      </c>
      <c r="H2707">
        <f>-18.08*OPERAC[[#This Row],[cantidad]]</f>
        <v/>
      </c>
      <c r="I2707">
        <f>-H5378/G5378</f>
        <v/>
      </c>
      <c r="J2707" s="16" t="n">
        <v>44575</v>
      </c>
      <c r="K2707" t="n">
        <v>100</v>
      </c>
      <c r="L2707" t="n">
        <v>1829.47</v>
      </c>
    </row>
    <row r="2708">
      <c r="A2708" t="n">
        <v>12671</v>
      </c>
      <c r="B2708" s="16" t="n">
        <v>44553</v>
      </c>
      <c r="C2708" t="inlineStr">
        <is>
          <t>VTA</t>
        </is>
      </c>
      <c r="D2708" t="n">
        <v>40</v>
      </c>
      <c r="E2708">
        <f>IF(D1808&gt;0,VLOOKUP(OPERAC[[#This Row],[COD CART]],[1]!MatrizCortoLargoCyl[#All],3,0),"")</f>
        <v/>
      </c>
      <c r="F2708" t="inlineStr">
        <is>
          <t>ON</t>
        </is>
      </c>
      <c r="G2708" t="n">
        <v>4</v>
      </c>
      <c r="H2708" t="n">
        <v>-268.4544319999999</v>
      </c>
      <c r="I2708">
        <f>-H1808/G1808</f>
        <v/>
      </c>
      <c r="J2708" s="16" t="n">
        <v>44606</v>
      </c>
      <c r="K2708">
        <f>+OPERAC[[#This Row],[cantidad]]</f>
        <v/>
      </c>
      <c r="L2708">
        <f>+OPERAC[[#This Row],[cantidad venta]]*58.449</f>
        <v/>
      </c>
    </row>
    <row r="2709">
      <c r="A2709" t="n">
        <v>12671</v>
      </c>
      <c r="B2709" s="16" t="n">
        <v>44581</v>
      </c>
      <c r="C2709" t="inlineStr">
        <is>
          <t>CPR</t>
        </is>
      </c>
      <c r="D2709" t="n">
        <v>32</v>
      </c>
      <c r="E2709">
        <f>IF(D3577&gt;0,VLOOKUP(OPERAC[[#This Row],[COD CART]],[1]!MatrizCortoLargoCyl[#All],3,0),"")</f>
        <v/>
      </c>
      <c r="F2709" t="inlineStr">
        <is>
          <t>HMY/CYL/4,00/18-02-22</t>
        </is>
      </c>
      <c r="G2709" t="n">
        <v>200</v>
      </c>
      <c r="H2709" t="n">
        <v>-774.9359920000001</v>
      </c>
      <c r="I2709">
        <f>-H3577/G3577</f>
        <v/>
      </c>
      <c r="J2709" s="16" t="n">
        <v>44610</v>
      </c>
      <c r="K2709">
        <f>+OPERAC[[#This Row],[cantidad]]</f>
        <v/>
      </c>
      <c r="L2709">
        <f>+OPERAC[[#This Row],[cantidad venta]]*3.8323</f>
        <v/>
      </c>
    </row>
    <row r="2710">
      <c r="A2710" t="n">
        <v>12671</v>
      </c>
      <c r="B2710" s="16" t="n">
        <v>44601</v>
      </c>
      <c r="C2710" t="inlineStr">
        <is>
          <t>VTA</t>
        </is>
      </c>
      <c r="D2710" t="n">
        <v>39</v>
      </c>
      <c r="E2710">
        <f>IF(D1123&gt;0,VLOOKUP(OPERAC[[#This Row],[COD CART]],[1]!MatrizCortoLargoCyl[#All],3,0),"")</f>
        <v/>
      </c>
      <c r="F2710" t="inlineStr">
        <is>
          <t>TLRY/V/8,00/14-04-22</t>
        </is>
      </c>
      <c r="G2710" t="n">
        <v>-10</v>
      </c>
      <c r="H2710">
        <f>-2.1*OPERAC[[#This Row],[cantidad]]</f>
        <v/>
      </c>
      <c r="I2710">
        <f>-H1123/G1123</f>
        <v/>
      </c>
      <c r="J2710" s="16" t="n">
        <v>44630</v>
      </c>
      <c r="K2710" t="n">
        <v>-10</v>
      </c>
      <c r="L2710" t="n">
        <v>-28.19</v>
      </c>
    </row>
    <row r="2711">
      <c r="A2711" t="n">
        <v>12671</v>
      </c>
      <c r="B2711" s="16" t="n">
        <v>44602</v>
      </c>
      <c r="C2711" t="inlineStr">
        <is>
          <t>VTA</t>
        </is>
      </c>
      <c r="D2711" t="n">
        <v>32</v>
      </c>
      <c r="E2711">
        <f>IF(D3831&gt;0,VLOOKUP(OPERAC[[#This Row],[COD CART]],[1]!MatrizCortoLargoCyl[#All],3,0),"")</f>
        <v/>
      </c>
      <c r="F2711" t="inlineStr">
        <is>
          <t>TEVA</t>
        </is>
      </c>
      <c r="G2711" t="n">
        <v>100</v>
      </c>
      <c r="H2711">
        <f>-8.59*OPERAC[[#This Row],[cantidad]]</f>
        <v/>
      </c>
      <c r="I2711">
        <f>-H3831/G3831</f>
        <v/>
      </c>
      <c r="J2711" s="16" t="n">
        <v>44643</v>
      </c>
      <c r="K2711">
        <f>+OPERAC[[#This Row],[cantidad]]</f>
        <v/>
      </c>
      <c r="L2711">
        <f>+OPERAC[[#This Row],[cantidad venta]]*8.051</f>
        <v/>
      </c>
    </row>
    <row r="2712">
      <c r="A2712" t="n">
        <v>12671</v>
      </c>
      <c r="B2712" s="16" t="n">
        <v>44607</v>
      </c>
      <c r="C2712" t="inlineStr">
        <is>
          <t>VTA</t>
        </is>
      </c>
      <c r="D2712" t="n">
        <v>39</v>
      </c>
      <c r="E2712">
        <f>IF(D433&gt;0,VLOOKUP(OPERAC[[#This Row],[COD CART]],[1]!MatrizCortoLargoCyl[#All],3,0),"")</f>
        <v/>
      </c>
      <c r="F2712" t="inlineStr">
        <is>
          <t>TSLA/V/820,00/18-02-22</t>
        </is>
      </c>
      <c r="G2712" t="n">
        <v>-700</v>
      </c>
      <c r="H2712" t="n">
        <v>1049.88</v>
      </c>
      <c r="I2712">
        <f>-H433/G433</f>
        <v/>
      </c>
      <c r="J2712" s="16" t="n">
        <v>44609</v>
      </c>
      <c r="K2712" t="n">
        <v>-700</v>
      </c>
      <c r="L2712" t="n">
        <v>-298.235</v>
      </c>
    </row>
    <row r="2713">
      <c r="A2713" t="n">
        <v>12671</v>
      </c>
      <c r="B2713" s="16" t="n">
        <v>44607</v>
      </c>
      <c r="C2713" t="inlineStr">
        <is>
          <t>VTA</t>
        </is>
      </c>
      <c r="D2713" t="n">
        <v>32</v>
      </c>
      <c r="E2713">
        <f>IF(D5084&gt;0,VLOOKUP(OPERAC[[#This Row],[COD CART]],[1]!MatrizCortoLargoCyl[#All],3,0),"")</f>
        <v/>
      </c>
      <c r="F2713" t="inlineStr">
        <is>
          <t>DDD/CYL/17,00/01-04-22</t>
        </is>
      </c>
      <c r="G2713" t="n">
        <v>100</v>
      </c>
      <c r="H2713">
        <f>-1620.23+19.7+16.45</f>
        <v/>
      </c>
      <c r="I2713">
        <f>-H5084/G5084</f>
        <v/>
      </c>
      <c r="J2713" s="16" t="n">
        <v>44649</v>
      </c>
      <c r="K2713" t="n">
        <v>100</v>
      </c>
      <c r="L2713" t="n">
        <v>1661.98</v>
      </c>
    </row>
    <row r="2714">
      <c r="A2714" t="n">
        <v>12671</v>
      </c>
      <c r="B2714" s="16" t="n">
        <v>44608</v>
      </c>
      <c r="C2714" t="inlineStr">
        <is>
          <t>VTA</t>
        </is>
      </c>
      <c r="D2714" t="n">
        <v>40</v>
      </c>
      <c r="E2714">
        <f>IF(D2847&gt;0,VLOOKUP(OPERAC[[#This Row],[COD CART]],[1]!MatrizCortoLargoCyl[#All],3,0),"")</f>
        <v/>
      </c>
      <c r="F2714" t="inlineStr">
        <is>
          <t>NVDA</t>
        </is>
      </c>
      <c r="G2714" t="n">
        <v>2</v>
      </c>
      <c r="H2714" t="n">
        <v>-527.0279999999999</v>
      </c>
      <c r="I2714">
        <f>-H2847/G2847</f>
        <v/>
      </c>
      <c r="J2714" s="16" t="n">
        <v>44616</v>
      </c>
      <c r="K2714">
        <f>+OPERAC[[#This Row],[cantidad]]</f>
        <v/>
      </c>
      <c r="L2714">
        <f>+OPERAC[[#This Row],[cantidad venta]]*224.117</f>
        <v/>
      </c>
    </row>
    <row r="2715">
      <c r="A2715" t="n">
        <v>12671</v>
      </c>
      <c r="B2715" s="16" t="n">
        <v>44609</v>
      </c>
      <c r="C2715" t="inlineStr">
        <is>
          <t>VTA</t>
        </is>
      </c>
      <c r="D2715" t="n">
        <v>32</v>
      </c>
      <c r="E2715">
        <f>IF(D3875&gt;0,VLOOKUP(OPERAC[[#This Row],[COD CART]],[1]!MatrizCortoLargoCyl[#All],3,0),"")</f>
        <v/>
      </c>
      <c r="F2715" t="inlineStr">
        <is>
          <t>HIMX/CYL/9,00/18-03-22</t>
        </is>
      </c>
      <c r="G2715" t="n">
        <v>100</v>
      </c>
      <c r="H2715" t="n">
        <v>-869.5839999999999</v>
      </c>
      <c r="I2715">
        <f>-H3875/G3875</f>
        <v/>
      </c>
      <c r="J2715" s="16" t="n">
        <v>44622</v>
      </c>
      <c r="K2715">
        <f>+OPERAC[[#This Row],[cantidad]]</f>
        <v/>
      </c>
      <c r="L2715" t="n">
        <v>883.576</v>
      </c>
    </row>
    <row r="2716">
      <c r="A2716" t="n">
        <v>12671</v>
      </c>
      <c r="B2716" s="16" t="n">
        <v>44622</v>
      </c>
      <c r="C2716" t="inlineStr">
        <is>
          <t>CPR</t>
        </is>
      </c>
      <c r="D2716" t="n">
        <v>32</v>
      </c>
      <c r="E2716">
        <f>IF(D4030&gt;0,VLOOKUP(OPERAC[[#This Row],[COD CART]],[1]!MatrizCortoLargoCyl[#All],3,0),"")</f>
        <v/>
      </c>
      <c r="F2716" t="inlineStr">
        <is>
          <t>SABR/CYL/10,00/14-04-22</t>
        </is>
      </c>
      <c r="G2716" t="n">
        <v>100</v>
      </c>
      <c r="H2716" t="n">
        <v>-926.7385999999999</v>
      </c>
      <c r="I2716">
        <f>-H4030/G4030</f>
        <v/>
      </c>
      <c r="J2716" s="16" t="n">
        <v>44649</v>
      </c>
      <c r="K2716" t="n">
        <v>100</v>
      </c>
      <c r="L2716" t="n">
        <v>982.1799999999999</v>
      </c>
    </row>
    <row r="2717">
      <c r="A2717" t="n">
        <v>12671</v>
      </c>
      <c r="B2717" s="16" t="n">
        <v>44628</v>
      </c>
      <c r="C2717" t="inlineStr">
        <is>
          <t>CPR</t>
        </is>
      </c>
      <c r="D2717" t="n">
        <v>32</v>
      </c>
      <c r="E2717">
        <f>IF(D3395&gt;0,VLOOKUP(OPERAC[[#This Row],[COD CART]],[1]!MatrizCortoLargoCyl[#All],3,0),"")</f>
        <v/>
      </c>
      <c r="F2717" t="inlineStr">
        <is>
          <t>COTY/CYL/8,00/14-04-22</t>
        </is>
      </c>
      <c r="G2717" t="n">
        <v>100</v>
      </c>
      <c r="H2717" t="n">
        <v>-716.4416999999999</v>
      </c>
      <c r="I2717">
        <f>-H3395/G3395</f>
        <v/>
      </c>
      <c r="J2717" s="16" t="n">
        <v>44643</v>
      </c>
      <c r="K2717" t="n">
        <v>100</v>
      </c>
      <c r="L2717" t="n">
        <v>779.3200000000001</v>
      </c>
    </row>
    <row r="2718">
      <c r="A2718" t="n">
        <v>12671</v>
      </c>
      <c r="B2718" s="16" t="n">
        <v>44628</v>
      </c>
      <c r="C2718" t="inlineStr">
        <is>
          <t>VTA</t>
        </is>
      </c>
      <c r="D2718" t="n">
        <v>40</v>
      </c>
      <c r="E2718">
        <f>IF(D2386&gt;0,VLOOKUP(OPERAC[[#This Row],[COD CART]],[1]!MatrizCortoLargoCyl[#All],3,0),"")</f>
        <v/>
      </c>
      <c r="F2718" t="inlineStr">
        <is>
          <t>CVV</t>
        </is>
      </c>
      <c r="G2718" t="n">
        <v>100</v>
      </c>
      <c r="H2718" t="n">
        <v>-421.6116</v>
      </c>
      <c r="I2718">
        <f>-H2386/G2386</f>
        <v/>
      </c>
      <c r="J2718" s="16" t="n">
        <v>44649</v>
      </c>
      <c r="K2718">
        <f>+OPERAC[[#This Row],[cantidad]]</f>
        <v/>
      </c>
      <c r="L2718">
        <f>+OPERAC[[#This Row],[cantidad venta]]*4.459</f>
        <v/>
      </c>
    </row>
    <row r="2719">
      <c r="A2719" t="n">
        <v>12671</v>
      </c>
      <c r="B2719" s="16" t="n">
        <v>44634</v>
      </c>
      <c r="C2719" t="inlineStr">
        <is>
          <t>VTA</t>
        </is>
      </c>
      <c r="D2719" t="n">
        <v>42</v>
      </c>
      <c r="E2719">
        <f>IF(D2075&gt;0,VLOOKUP(OPERAC[[#This Row],[COD CART]],[1]!MatrizCortoLargoCyl[#All],3,0),"")</f>
        <v/>
      </c>
      <c r="F2719" t="inlineStr">
        <is>
          <t>INO</t>
        </is>
      </c>
      <c r="G2719" t="n">
        <v>100</v>
      </c>
      <c r="H2719" t="n">
        <v>-331.4237</v>
      </c>
      <c r="I2719">
        <f>-H2075/G2075</f>
        <v/>
      </c>
      <c r="J2719" s="16" t="n">
        <v>44634</v>
      </c>
      <c r="K2719" t="n">
        <v>100</v>
      </c>
      <c r="L2719" t="n">
        <v>298.8855</v>
      </c>
    </row>
    <row r="2720">
      <c r="A2720" t="n">
        <v>12671</v>
      </c>
      <c r="B2720" s="16" t="n">
        <v>44637</v>
      </c>
      <c r="C2720" t="inlineStr">
        <is>
          <t>VTA</t>
        </is>
      </c>
      <c r="D2720" t="n">
        <v>39</v>
      </c>
      <c r="E2720">
        <f>IF(D633&gt;0,VLOOKUP(OPERAC[[#This Row],[COD CART]],[1]!MatrizCortoLargoCyl[#All],3,0),"")</f>
        <v/>
      </c>
      <c r="F2720" t="inlineStr">
        <is>
          <t>TSLA/V/765,00/18-03-22</t>
        </is>
      </c>
      <c r="G2720" t="n">
        <v>-600</v>
      </c>
      <c r="H2720" t="n">
        <v>564.9480000000001</v>
      </c>
      <c r="I2720">
        <f>-H633/G633</f>
        <v/>
      </c>
      <c r="J2720" s="16" t="n">
        <v>44638</v>
      </c>
      <c r="K2720" t="n">
        <v>-600</v>
      </c>
      <c r="L2720" t="n">
        <v>-118.884</v>
      </c>
    </row>
    <row r="2721">
      <c r="A2721" t="n">
        <v>12671</v>
      </c>
      <c r="B2721" s="16" t="n">
        <v>44641</v>
      </c>
      <c r="C2721" t="inlineStr">
        <is>
          <t>CPR</t>
        </is>
      </c>
      <c r="D2721" t="n">
        <v>42</v>
      </c>
      <c r="E2721">
        <f>IF(D1876&gt;0,VLOOKUP(OPERAC[[#This Row],[COD CART]],[1]!MatrizCortoLargoCyl[#All],3,0),"")</f>
        <v/>
      </c>
      <c r="F2721" t="inlineStr">
        <is>
          <t>JPM</t>
        </is>
      </c>
      <c r="G2721" t="n">
        <v>2</v>
      </c>
      <c r="H2721" t="n">
        <v>-280.3513600000001</v>
      </c>
      <c r="I2721">
        <f>-H1876/G1876</f>
        <v/>
      </c>
      <c r="J2721" s="16" t="n">
        <v>44664</v>
      </c>
      <c r="K2721">
        <f>+OPERAC[[#This Row],[cantidad]]</f>
        <v/>
      </c>
      <c r="L2721">
        <f>+OPERAC[[#This Row],[cantidad venta]]*125.943</f>
        <v/>
      </c>
    </row>
    <row r="2722">
      <c r="A2722" t="n">
        <v>12671</v>
      </c>
      <c r="B2722" s="16" t="n">
        <v>44641</v>
      </c>
      <c r="C2722" t="inlineStr">
        <is>
          <t>VTA</t>
        </is>
      </c>
      <c r="D2722" t="n">
        <v>42</v>
      </c>
      <c r="E2722">
        <f>IF(D2401&gt;0,VLOOKUP(OPERAC[[#This Row],[COD CART]],[1]!MatrizCortoLargoCyl[#All],3,0),"")</f>
        <v/>
      </c>
      <c r="F2722" t="inlineStr">
        <is>
          <t>FB</t>
        </is>
      </c>
      <c r="G2722" t="n">
        <v>2</v>
      </c>
      <c r="H2722" t="n">
        <v>-423.47092</v>
      </c>
      <c r="I2722">
        <f>-H2401/G2401</f>
        <v/>
      </c>
      <c r="J2722" s="16" t="n">
        <v>44671</v>
      </c>
      <c r="K2722">
        <f>+OPERAC[[#This Row],[cantidad]]</f>
        <v/>
      </c>
      <c r="L2722">
        <f>+OPERAC[[#This Row],[cantidad venta]]*213.173</f>
        <v/>
      </c>
    </row>
    <row r="2723">
      <c r="A2723" t="n">
        <v>12671</v>
      </c>
      <c r="B2723" s="16" t="n">
        <v>44641</v>
      </c>
      <c r="C2723" t="inlineStr">
        <is>
          <t>VTA</t>
        </is>
      </c>
      <c r="D2723" t="n">
        <v>42</v>
      </c>
      <c r="E2723">
        <f>IF(D2864&gt;0,VLOOKUP(OPERAC[[#This Row],[COD CART]],[1]!MatrizCortoLargoCyl[#All],3,0),"")</f>
        <v/>
      </c>
      <c r="F2723" t="inlineStr">
        <is>
          <t>SMH</t>
        </is>
      </c>
      <c r="G2723" t="n">
        <v>2</v>
      </c>
      <c r="H2723" t="n">
        <v>-536.8481</v>
      </c>
      <c r="I2723">
        <f>-H2864/G2864</f>
        <v/>
      </c>
      <c r="J2723" s="16" t="n">
        <v>44663</v>
      </c>
      <c r="K2723">
        <f>+OPERAC[[#This Row],[cantidad]]</f>
        <v/>
      </c>
      <c r="L2723">
        <f>+OPERAC[[#This Row],[cantidad venta]]*238.066</f>
        <v/>
      </c>
    </row>
    <row r="2724">
      <c r="A2724" t="n">
        <v>12671</v>
      </c>
      <c r="B2724" s="16" t="n">
        <v>44643</v>
      </c>
      <c r="C2724" t="inlineStr">
        <is>
          <t>VTA</t>
        </is>
      </c>
      <c r="D2724" t="n">
        <v>32</v>
      </c>
      <c r="E2724">
        <f>IF(D3219&gt;0,VLOOKUP(OPERAC[[#This Row],[COD CART]],[1]!MatrizCortoLargoCyl[#All],3,0),"")</f>
        <v/>
      </c>
      <c r="F2724" t="inlineStr">
        <is>
          <t>CRESY/CYL/7,50/17-06-22</t>
        </is>
      </c>
      <c r="G2724" t="n">
        <v>100</v>
      </c>
      <c r="H2724">
        <f>-680.303+19.87</f>
        <v/>
      </c>
      <c r="I2724">
        <f>-H3219/G3219</f>
        <v/>
      </c>
    </row>
    <row r="2725">
      <c r="A2725" t="n">
        <v>12671</v>
      </c>
      <c r="B2725" s="16" t="n">
        <v>44645</v>
      </c>
      <c r="C2725" t="inlineStr">
        <is>
          <t>CPR</t>
        </is>
      </c>
      <c r="D2725" t="n">
        <v>42</v>
      </c>
      <c r="E2725">
        <f>IF(D1856&gt;0,VLOOKUP(OPERAC[[#This Row],[COD CART]],[1]!MatrizCortoLargoCyl[#All],3,0),"")</f>
        <v/>
      </c>
      <c r="F2725" t="inlineStr">
        <is>
          <t>PLUG</t>
        </is>
      </c>
      <c r="G2725" t="n">
        <v>10</v>
      </c>
      <c r="H2725" t="n">
        <v>-278.7623</v>
      </c>
      <c r="I2725">
        <f>-H1856/G1856</f>
        <v/>
      </c>
      <c r="J2725" s="16" t="n">
        <v>44652</v>
      </c>
      <c r="K2725">
        <f>+OPERAC[[#This Row],[cantidad]]</f>
        <v/>
      </c>
      <c r="L2725">
        <f>+OPERAC[[#This Row],[cantidad venta]]*27.754</f>
        <v/>
      </c>
    </row>
    <row r="2726">
      <c r="A2726" t="n">
        <v>12671</v>
      </c>
      <c r="B2726" s="16" t="n">
        <v>44649</v>
      </c>
      <c r="C2726" t="inlineStr">
        <is>
          <t>CPR</t>
        </is>
      </c>
      <c r="D2726" t="n">
        <v>42</v>
      </c>
      <c r="E2726">
        <f>IF(D2642&gt;0,VLOOKUP(OPERAC[[#This Row],[COD CART]],[1]!MatrizCortoLargoCyl[#All],3,0),"")</f>
        <v/>
      </c>
      <c r="F2726" t="inlineStr">
        <is>
          <t>CRESY</t>
        </is>
      </c>
      <c r="G2726" t="n">
        <v>60</v>
      </c>
      <c r="H2726" t="n">
        <v>-484.56828</v>
      </c>
      <c r="I2726">
        <f>-H2642/G2642</f>
        <v/>
      </c>
      <c r="J2726" s="16" t="n">
        <v>44657</v>
      </c>
      <c r="K2726">
        <f>+OPERAC[[#This Row],[cantidad]]</f>
        <v/>
      </c>
      <c r="L2726">
        <f>+OPERAC[[#This Row],[cantidad venta]]*7.664</f>
        <v/>
      </c>
    </row>
    <row r="2727">
      <c r="A2727" t="n">
        <v>12671</v>
      </c>
      <c r="B2727" s="16" t="n">
        <v>44649</v>
      </c>
      <c r="C2727" t="inlineStr">
        <is>
          <t>CPR</t>
        </is>
      </c>
      <c r="D2727" t="n">
        <v>32</v>
      </c>
      <c r="E2727">
        <f>IF(D4824&gt;0,VLOOKUP(OPERAC[[#This Row],[COD CART]],[1]!MatrizCortoLargoCyl[#All],3,0),"")</f>
        <v/>
      </c>
      <c r="F2727" t="inlineStr">
        <is>
          <t>DDD/CYL/15,00/15-07-22</t>
        </is>
      </c>
      <c r="G2727" t="n">
        <v>100</v>
      </c>
      <c r="H2727">
        <f>-1439.859+14.9</f>
        <v/>
      </c>
      <c r="I2727">
        <f>-H4824/G4824</f>
        <v/>
      </c>
    </row>
    <row r="2728">
      <c r="A2728" t="n">
        <v>12671</v>
      </c>
      <c r="B2728" s="16" t="n">
        <v>44649</v>
      </c>
      <c r="C2728" t="inlineStr">
        <is>
          <t>VTA</t>
        </is>
      </c>
      <c r="D2728" t="n">
        <v>32</v>
      </c>
      <c r="E2728">
        <f>IF(D5010&gt;0,VLOOKUP(OPERAC[[#This Row],[COD CART]],[1]!MatrizCortoLargoCyl[#All],3,0),"")</f>
        <v/>
      </c>
      <c r="F2728" t="inlineStr">
        <is>
          <t>LIND</t>
        </is>
      </c>
      <c r="G2728" t="n">
        <v>100</v>
      </c>
      <c r="H2728" t="n">
        <v>-1542.698</v>
      </c>
      <c r="I2728">
        <f>-H5010/G5010</f>
        <v/>
      </c>
      <c r="J2728" s="16" t="n">
        <v>44656</v>
      </c>
      <c r="K2728" t="n">
        <v>100</v>
      </c>
      <c r="L2728">
        <f>+OPERAC[[#This Row],[cantidad venta]]*15.682</f>
        <v/>
      </c>
    </row>
    <row r="2729">
      <c r="A2729" t="n">
        <v>12671</v>
      </c>
      <c r="B2729" s="16" t="n">
        <v>44652</v>
      </c>
      <c r="C2729" t="inlineStr">
        <is>
          <t>VTA</t>
        </is>
      </c>
      <c r="D2729" t="n">
        <v>42</v>
      </c>
      <c r="E2729">
        <f>IF(D2038&gt;0,VLOOKUP(OPERAC[[#This Row],[COD CART]],[1]!MatrizCortoLargoCyl[#All],3,0),"")</f>
        <v/>
      </c>
      <c r="F2729" t="inlineStr">
        <is>
          <t>GBTC</t>
        </is>
      </c>
      <c r="G2729" t="n">
        <v>10</v>
      </c>
      <c r="H2729" t="n">
        <v>-320.461</v>
      </c>
      <c r="I2729">
        <f>-H2038/G2038</f>
        <v/>
      </c>
      <c r="J2729" s="16" t="n">
        <v>44662</v>
      </c>
      <c r="K2729">
        <f>+OPERAC[[#This Row],[cantidad]]</f>
        <v/>
      </c>
      <c r="L2729">
        <f>27.99*OPERAC[[#This Row],[cantidad venta]]</f>
        <v/>
      </c>
    </row>
    <row r="2730">
      <c r="A2730" t="n">
        <v>12671</v>
      </c>
      <c r="B2730" s="16" t="n">
        <v>44656</v>
      </c>
      <c r="C2730" t="inlineStr">
        <is>
          <t>CPR</t>
        </is>
      </c>
      <c r="D2730" t="n">
        <v>32</v>
      </c>
      <c r="E2730">
        <f>IF(D2663&gt;0,VLOOKUP(OPERAC[[#This Row],[COD CART]],[1]!MatrizCortoLargoCyl[#All],3,0),"")</f>
        <v/>
      </c>
      <c r="F2730" t="inlineStr">
        <is>
          <t>HMY</t>
        </is>
      </c>
      <c r="G2730" t="n">
        <v>100</v>
      </c>
      <c r="H2730" t="n">
        <v>-487.753</v>
      </c>
      <c r="I2730">
        <f>-H2663/G2663</f>
        <v/>
      </c>
      <c r="J2730" s="16" t="n">
        <v>44669</v>
      </c>
      <c r="K2730">
        <f>+OPERAC[[#This Row],[cantidad]]</f>
        <v/>
      </c>
      <c r="L2730">
        <f>4.925*OPERAC[[#This Row],[cantidad venta]]</f>
        <v/>
      </c>
    </row>
    <row r="2731">
      <c r="A2731" t="n">
        <v>12671</v>
      </c>
      <c r="B2731" s="16" t="n">
        <v>44656</v>
      </c>
      <c r="C2731" t="inlineStr">
        <is>
          <t>CPR</t>
        </is>
      </c>
      <c r="D2731" t="n">
        <v>32</v>
      </c>
      <c r="E2731">
        <f>IF(D4067&gt;0,VLOOKUP(OPERAC[[#This Row],[COD CART]],[1]!MatrizCortoLargoCyl[#All],3,0),"")</f>
        <v/>
      </c>
      <c r="F2731" t="inlineStr">
        <is>
          <t>HIMX/CYL/10,00/10-06-22</t>
        </is>
      </c>
      <c r="G2731" t="n">
        <v>100</v>
      </c>
      <c r="H2731">
        <f>-955.798+24.788</f>
        <v/>
      </c>
      <c r="I2731">
        <f>-H4067/G4067</f>
        <v/>
      </c>
      <c r="J2731" s="16" t="n">
        <v>44721</v>
      </c>
      <c r="K2731" t="n">
        <v>100</v>
      </c>
      <c r="L2731" t="n">
        <v>985</v>
      </c>
    </row>
    <row r="2732">
      <c r="A2732" t="n">
        <v>12671</v>
      </c>
      <c r="B2732" s="16" t="n">
        <v>44662</v>
      </c>
      <c r="C2732" t="inlineStr">
        <is>
          <t>CPR</t>
        </is>
      </c>
      <c r="D2732" t="n">
        <v>42</v>
      </c>
      <c r="E2732">
        <f>IF(D3982&gt;0,VLOOKUP(OPERAC[[#This Row],[COD CART]],[1]!MatrizCortoLargoCyl[#All],3,0),"")</f>
        <v/>
      </c>
      <c r="F2732" t="inlineStr">
        <is>
          <t>UPST</t>
        </is>
      </c>
      <c r="G2732" t="n">
        <v>10</v>
      </c>
      <c r="H2732" t="n">
        <v>-912.1902</v>
      </c>
      <c r="I2732">
        <f>-H3982/G3982</f>
        <v/>
      </c>
      <c r="J2732" s="16" t="n">
        <v>44693</v>
      </c>
      <c r="K2732" t="n">
        <v>10</v>
      </c>
      <c r="L2732" t="n">
        <v>307.44</v>
      </c>
    </row>
    <row r="2733">
      <c r="A2733" t="n">
        <v>12671</v>
      </c>
      <c r="B2733" s="16" t="n">
        <v>44662</v>
      </c>
      <c r="C2733" t="inlineStr">
        <is>
          <t>VTA</t>
        </is>
      </c>
      <c r="D2733" t="n">
        <v>42</v>
      </c>
      <c r="E2733">
        <f>IF(D2203&gt;0,VLOOKUP(OPERAC[[#This Row],[COD CART]],[1]!MatrizCortoLargoCyl[#All],3,0),"")</f>
        <v/>
      </c>
      <c r="F2733" t="inlineStr">
        <is>
          <t>HYDR</t>
        </is>
      </c>
      <c r="G2733" t="n">
        <v>20</v>
      </c>
      <c r="H2733" t="n">
        <v>-370.67016</v>
      </c>
      <c r="I2733">
        <f>-H2203/G2203</f>
        <v/>
      </c>
      <c r="J2733" s="16" t="n">
        <v>44693</v>
      </c>
      <c r="K2733">
        <f>+OPERAC[[#This Row],[cantidad]]</f>
        <v/>
      </c>
      <c r="L2733">
        <f>+OPERAC[[#This Row],[cantidad venta]]*12.027</f>
        <v/>
      </c>
    </row>
    <row r="2734">
      <c r="A2734" t="n">
        <v>12671</v>
      </c>
      <c r="B2734" s="16" t="n">
        <v>44664</v>
      </c>
      <c r="C2734" t="inlineStr">
        <is>
          <t>VTA</t>
        </is>
      </c>
      <c r="D2734" t="n">
        <v>42</v>
      </c>
      <c r="E2734">
        <f>IF(D2289&gt;0,VLOOKUP(OPERAC[[#This Row],[COD CART]],[1]!MatrizCortoLargoCyl[#All],3,0),"")</f>
        <v/>
      </c>
      <c r="F2734" t="inlineStr">
        <is>
          <t>AMD</t>
        </is>
      </c>
      <c r="G2734" t="n">
        <v>4</v>
      </c>
      <c r="H2734" t="n">
        <v>-394.29911268</v>
      </c>
      <c r="I2734">
        <f>-H2289/G2289</f>
        <v/>
      </c>
      <c r="J2734" s="16" t="n">
        <v>44693</v>
      </c>
      <c r="K2734">
        <f>+OPERAC[[#This Row],[cantidad]]</f>
        <v/>
      </c>
      <c r="L2734">
        <f>+OPERAC[[#This Row],[cantidad venta]]*85.26</f>
        <v/>
      </c>
    </row>
    <row r="2735">
      <c r="A2735" t="n">
        <v>12671</v>
      </c>
      <c r="B2735" s="16" t="n">
        <v>44664</v>
      </c>
      <c r="C2735" t="inlineStr">
        <is>
          <t>VTA</t>
        </is>
      </c>
      <c r="D2735" t="n">
        <v>42</v>
      </c>
      <c r="E2735">
        <f>IF(D3078&gt;0,VLOOKUP(OPERAC[[#This Row],[COD CART]],[1]!MatrizCortoLargoCyl[#All],3,0),"")</f>
        <v/>
      </c>
      <c r="F2735" t="inlineStr">
        <is>
          <t>PSQ</t>
        </is>
      </c>
      <c r="G2735" t="n">
        <v>50</v>
      </c>
      <c r="H2735" t="n">
        <v>-620.3958304499999</v>
      </c>
      <c r="I2735">
        <f>-H3078/G3078</f>
        <v/>
      </c>
      <c r="J2735" s="16" t="n">
        <v>44680</v>
      </c>
      <c r="K2735">
        <f>+OPERAC[[#This Row],[cantidad]]</f>
        <v/>
      </c>
      <c r="L2735">
        <f>12.848*OPERAC[[#This Row],[cantidad venta]]</f>
        <v/>
      </c>
    </row>
    <row r="2736">
      <c r="A2736" t="n">
        <v>12671</v>
      </c>
      <c r="B2736" s="16" t="n">
        <v>44669</v>
      </c>
      <c r="C2736" t="inlineStr">
        <is>
          <t>VTA</t>
        </is>
      </c>
      <c r="D2736" t="n">
        <v>32</v>
      </c>
      <c r="E2736">
        <f>IF(D2531&gt;0,VLOOKUP(OPERAC[[#This Row],[COD CART]],[1]!MatrizCortoLargoCyl[#All],3,0),"")</f>
        <v/>
      </c>
      <c r="F2736" t="inlineStr">
        <is>
          <t>HMY</t>
        </is>
      </c>
      <c r="G2736" t="n">
        <v>100</v>
      </c>
      <c r="H2736">
        <f>-4.64*OPERAC[[#This Row],[cantidad]]</f>
        <v/>
      </c>
      <c r="I2736">
        <f>-H2531/G2531</f>
        <v/>
      </c>
    </row>
    <row r="2737">
      <c r="A2737" t="n">
        <v>12671</v>
      </c>
      <c r="B2737" s="16" t="n">
        <v>44671</v>
      </c>
      <c r="C2737" t="inlineStr">
        <is>
          <t>CPR</t>
        </is>
      </c>
      <c r="D2737" t="n">
        <v>42</v>
      </c>
      <c r="E2737">
        <f>IF(D2732&gt;0,VLOOKUP(OPERAC[[#This Row],[COD CART]],[1]!MatrizCortoLargoCyl[#All],3,0),"")</f>
        <v/>
      </c>
      <c r="F2737" t="inlineStr">
        <is>
          <t>NFLX</t>
        </is>
      </c>
      <c r="G2737" t="n">
        <v>2</v>
      </c>
      <c r="H2737" t="n">
        <v>-508.00068</v>
      </c>
      <c r="I2737">
        <f>-H2732/G2732</f>
        <v/>
      </c>
      <c r="J2737" s="16" t="n">
        <v>44693</v>
      </c>
      <c r="K2737">
        <f>+OPERAC[[#This Row],[cantidad]]</f>
        <v/>
      </c>
      <c r="L2737">
        <f>+OPERAC[[#This Row],[cantidad venta]]*169.079</f>
        <v/>
      </c>
    </row>
    <row r="2738">
      <c r="A2738" t="n">
        <v>12671</v>
      </c>
      <c r="B2738" s="16" t="n">
        <v>44680</v>
      </c>
      <c r="C2738" t="inlineStr">
        <is>
          <t>VTA</t>
        </is>
      </c>
      <c r="D2738" t="n">
        <v>42</v>
      </c>
      <c r="E2738">
        <f>IF(D3131&gt;0,VLOOKUP(OPERAC[[#This Row],[COD CART]],[1]!MatrizCortoLargoCyl[#All],3,0),"")</f>
        <v/>
      </c>
      <c r="F2738" t="inlineStr">
        <is>
          <t>XLP</t>
        </is>
      </c>
      <c r="G2738" t="n">
        <v>8</v>
      </c>
      <c r="H2738" t="n">
        <v>-634.21578</v>
      </c>
      <c r="I2738">
        <f>-H3131/G3131</f>
        <v/>
      </c>
      <c r="J2738" s="16" t="n">
        <v>44693</v>
      </c>
      <c r="K2738">
        <f>+OPERAC[[#This Row],[cantidad]]</f>
        <v/>
      </c>
      <c r="L2738">
        <f>+OPERAC[[#This Row],[cantidad venta]]*74.848</f>
        <v/>
      </c>
    </row>
    <row r="2739">
      <c r="A2739" t="n">
        <v>12671</v>
      </c>
      <c r="B2739" s="16" t="n">
        <v>44705</v>
      </c>
      <c r="C2739" t="inlineStr">
        <is>
          <t>CPR</t>
        </is>
      </c>
      <c r="D2739" t="n">
        <v>42</v>
      </c>
      <c r="E2739">
        <f>IF(D4023&gt;0,VLOOKUP(OPERAC[[#This Row],[COD CART]],[1]!MatrizCortoLargoCyl[#All],3,0),"")</f>
        <v/>
      </c>
      <c r="F2739" t="inlineStr">
        <is>
          <t>AMD</t>
        </is>
      </c>
      <c r="G2739" t="n">
        <v>10</v>
      </c>
      <c r="H2739" t="n">
        <v>-925.0354</v>
      </c>
      <c r="I2739">
        <f>-H4023/G4023</f>
        <v/>
      </c>
      <c r="J2739" s="16" t="n">
        <v>44707</v>
      </c>
      <c r="K2739">
        <f>+OPERAC[[#This Row],[cantidad]]</f>
        <v/>
      </c>
      <c r="L2739">
        <f>+OPERAC[[#This Row],[cantidad venta]]*94.8</f>
        <v/>
      </c>
    </row>
    <row r="2740">
      <c r="A2740" t="n">
        <v>12671</v>
      </c>
      <c r="B2740" s="16" t="n">
        <v>44705</v>
      </c>
      <c r="C2740" t="inlineStr">
        <is>
          <t>CPR</t>
        </is>
      </c>
      <c r="D2740" t="n">
        <v>42</v>
      </c>
      <c r="E2740">
        <f>IF(D4024&gt;0,VLOOKUP(OPERAC[[#This Row],[COD CART]],[1]!MatrizCortoLargoCyl[#All],3,0),"")</f>
        <v/>
      </c>
      <c r="F2740" t="inlineStr">
        <is>
          <t>AMD</t>
        </is>
      </c>
      <c r="G2740" t="n">
        <v>10</v>
      </c>
      <c r="H2740" t="n">
        <v>-925.0354</v>
      </c>
      <c r="I2740">
        <f>-H4024/G4024</f>
        <v/>
      </c>
      <c r="J2740" s="16" t="n">
        <v>44707</v>
      </c>
      <c r="K2740">
        <f>+OPERAC[[#This Row],[cantidad]]</f>
        <v/>
      </c>
      <c r="L2740">
        <f>+OPERAC[[#This Row],[cantidad venta]]*94.8</f>
        <v/>
      </c>
    </row>
    <row r="2741">
      <c r="A2741" t="n">
        <v>12671</v>
      </c>
      <c r="B2741" s="16" t="n">
        <v>44708</v>
      </c>
      <c r="C2741" t="inlineStr">
        <is>
          <t>VTA</t>
        </is>
      </c>
      <c r="D2741" t="n">
        <v>42</v>
      </c>
      <c r="E2741">
        <f>IF(D2173&gt;0,VLOOKUP(OPERAC[[#This Row],[COD CART]],[1]!MatrizCortoLargoCyl[#All],3,0),"")</f>
        <v/>
      </c>
      <c r="F2741" t="inlineStr">
        <is>
          <t>ACB</t>
        </is>
      </c>
      <c r="G2741" t="n">
        <v>200</v>
      </c>
      <c r="H2741" t="n">
        <v>-364.340183229</v>
      </c>
      <c r="I2741">
        <f>-H2173/G2173</f>
        <v/>
      </c>
    </row>
    <row r="2742">
      <c r="A2742" t="n">
        <v>12671</v>
      </c>
      <c r="B2742" s="16" t="n">
        <v>44712</v>
      </c>
      <c r="C2742" t="inlineStr">
        <is>
          <t>CPR</t>
        </is>
      </c>
      <c r="D2742" t="n">
        <v>32</v>
      </c>
      <c r="E2742">
        <f>IF(D4563&gt;0,VLOOKUP(OPERAC[[#This Row],[COD CART]],[1]!MatrizCortoLargoCyl[#All],3,0),"")</f>
        <v/>
      </c>
      <c r="F2742" t="inlineStr">
        <is>
          <t>AMC/CYL/13,00/10-06-22</t>
        </is>
      </c>
      <c r="G2742" t="n">
        <v>100</v>
      </c>
      <c r="H2742" t="n">
        <v>-1232.75</v>
      </c>
      <c r="I2742">
        <f>-H4563/G4563</f>
        <v/>
      </c>
      <c r="J2742" s="16" t="n">
        <v>44722</v>
      </c>
      <c r="K2742" t="n">
        <v>100</v>
      </c>
      <c r="L2742" t="n">
        <v>1234.29</v>
      </c>
    </row>
    <row r="2743">
      <c r="A2743" t="n">
        <v>12671</v>
      </c>
      <c r="B2743" s="16" t="n">
        <v>44712</v>
      </c>
      <c r="C2743" t="inlineStr">
        <is>
          <t>VTA</t>
        </is>
      </c>
      <c r="D2743" t="n">
        <v>39</v>
      </c>
      <c r="E2743">
        <f>IF(D1558&gt;0,VLOOKUP(OPERAC[[#This Row],[COD CART]],[1]!MatrizCortoLargoCyl[#All],3,0),"")</f>
        <v/>
      </c>
      <c r="F2743" t="inlineStr">
        <is>
          <t>ET/C/10,00/21-10-22</t>
        </is>
      </c>
      <c r="G2743" t="n">
        <v>100</v>
      </c>
      <c r="H2743" t="n">
        <v>-202.808</v>
      </c>
      <c r="I2743">
        <f>-H1558/G1558</f>
        <v/>
      </c>
    </row>
    <row r="2744">
      <c r="A2744" t="n">
        <v>12671</v>
      </c>
      <c r="B2744" s="16" t="n">
        <v>44715</v>
      </c>
      <c r="C2744" t="inlineStr">
        <is>
          <t>VTA</t>
        </is>
      </c>
      <c r="D2744" t="n">
        <v>32</v>
      </c>
      <c r="E2744">
        <f>IF(D5075&gt;0,VLOOKUP(OPERAC[[#This Row],[COD CART]],[1]!MatrizCortoLargoCyl[#All],3,0),"")</f>
        <v/>
      </c>
      <c r="F2744" t="inlineStr">
        <is>
          <t>AAL/CYL/16,50/17-06-22</t>
        </is>
      </c>
      <c r="G2744" t="n">
        <v>100</v>
      </c>
      <c r="H2744" t="n">
        <v>-1580.215</v>
      </c>
      <c r="I2744">
        <f>-H5075/G5075</f>
        <v/>
      </c>
    </row>
    <row r="2745">
      <c r="A2745" t="n">
        <v>12671</v>
      </c>
      <c r="B2745" s="16" t="n">
        <v>44721</v>
      </c>
      <c r="C2745" t="inlineStr">
        <is>
          <t>CPR</t>
        </is>
      </c>
      <c r="D2745" t="n">
        <v>32</v>
      </c>
      <c r="E2745">
        <f>IF(D4408&gt;0,VLOOKUP(OPERAC[[#This Row],[COD CART]],[1]!MatrizCortoLargoCyl[#All],3,0),"")</f>
        <v/>
      </c>
      <c r="F2745" t="inlineStr">
        <is>
          <t>CCL/CYL/11,5/17-06-22</t>
        </is>
      </c>
      <c r="G2745" t="n">
        <v>100</v>
      </c>
      <c r="H2745">
        <f>-11.066*100</f>
        <v/>
      </c>
      <c r="I2745">
        <f>-H4408/G4408</f>
        <v/>
      </c>
    </row>
    <row r="2746">
      <c r="A2746" t="n">
        <v>12671</v>
      </c>
      <c r="B2746" s="16" t="n">
        <v>44721</v>
      </c>
      <c r="C2746" t="inlineStr">
        <is>
          <t>VTA</t>
        </is>
      </c>
      <c r="D2746" t="n">
        <v>32</v>
      </c>
      <c r="E2746">
        <f>IF(D1479&gt;0,VLOOKUP(OPERAC[[#This Row],[COD CART]],[1]!MatrizCortoLargoCyl[#All],3,0),"")</f>
        <v/>
      </c>
      <c r="F2746" t="inlineStr">
        <is>
          <t>SESN/CYP/1,00/20-01-23</t>
        </is>
      </c>
      <c r="G2746" t="n">
        <v>1000</v>
      </c>
      <c r="H2746">
        <f>-0.176*OPERAC[[#This Row],[cantidad]]</f>
        <v/>
      </c>
      <c r="I2746">
        <f>-H1479/G1479</f>
        <v/>
      </c>
    </row>
    <row r="2747">
      <c r="A2747" t="n">
        <v>12671</v>
      </c>
      <c r="B2747" s="16" t="n">
        <v>44722</v>
      </c>
      <c r="C2747" t="inlineStr">
        <is>
          <t>VTA</t>
        </is>
      </c>
      <c r="D2747" t="n">
        <v>32</v>
      </c>
      <c r="E2747">
        <f>IF(D3749&gt;0,VLOOKUP(OPERAC[[#This Row],[COD CART]],[1]!MatrizCortoLargoCyl[#All],3,0),"")</f>
        <v/>
      </c>
      <c r="F2747" t="inlineStr">
        <is>
          <t>NNOX/CYL/9,00/17-06-22</t>
        </is>
      </c>
      <c r="G2747" t="n">
        <v>100</v>
      </c>
      <c r="H2747" t="n">
        <v>-844.8390000000001</v>
      </c>
      <c r="I2747">
        <f>-H3749/G3749</f>
        <v/>
      </c>
    </row>
    <row r="2748">
      <c r="A2748" t="n">
        <v>12671</v>
      </c>
      <c r="B2748" s="16" t="n">
        <v>44725</v>
      </c>
      <c r="C2748" t="inlineStr">
        <is>
          <t>VTA</t>
        </is>
      </c>
      <c r="D2748" t="n">
        <v>40</v>
      </c>
      <c r="E2748">
        <f>IF(D3111&gt;0,VLOOKUP(OPERAC[[#This Row],[COD CART]],[1]!MatrizCortoLargoCyl[#All],3,0),"")</f>
        <v/>
      </c>
      <c r="F2748" t="inlineStr">
        <is>
          <t>MELI</t>
        </is>
      </c>
      <c r="G2748" t="n">
        <v>1</v>
      </c>
      <c r="H2748" t="n">
        <v>-627.1501500000001</v>
      </c>
      <c r="I2748">
        <f>-H3111/G3111</f>
        <v/>
      </c>
    </row>
    <row r="2749">
      <c r="A2749" t="n">
        <v>12672</v>
      </c>
      <c r="B2749" s="16" t="n">
        <v>44237</v>
      </c>
      <c r="C2749" t="inlineStr">
        <is>
          <t>VTA</t>
        </is>
      </c>
      <c r="D2749" t="n">
        <v>39</v>
      </c>
      <c r="E2749">
        <f>IF(D1236&gt;0,VLOOKUP(OPERAC[[#This Row],[COD CART]],[1]!MatrizCortoLargoCyl[#All],3,0),"")</f>
        <v/>
      </c>
      <c r="F2749" t="inlineStr">
        <is>
          <t>TLRY1/V/10,00/20-01-23</t>
        </is>
      </c>
      <c r="G2749" t="n">
        <v>-4</v>
      </c>
      <c r="H2749" t="n">
        <v>4</v>
      </c>
      <c r="I2749">
        <f>-H1236/G1236</f>
        <v/>
      </c>
    </row>
    <row r="2750">
      <c r="A2750" t="n">
        <v>12672</v>
      </c>
      <c r="B2750" s="16" t="n">
        <v>44466</v>
      </c>
      <c r="C2750" t="inlineStr">
        <is>
          <t>VTA</t>
        </is>
      </c>
      <c r="D2750" t="n">
        <v>43</v>
      </c>
      <c r="E2750">
        <f>IF(D2339&gt;0,VLOOKUP(OPERAC[[#This Row],[COD CART]],[1]!MatrizCortoLargoCyl[#All],3,0),"")</f>
        <v/>
      </c>
      <c r="F2750" t="inlineStr">
        <is>
          <t>SOLO/CYL-PUT/4,00/16-09-22</t>
        </is>
      </c>
      <c r="G2750" t="n">
        <v>200</v>
      </c>
      <c r="H2750">
        <f>-594.83454+0.32*OPERAC[[#This Row],[cantidad]]+0.387*OPERAC[[#This Row],[cantidad]]+0.22*OPERAC[[#This Row],[cantidad]]</f>
        <v/>
      </c>
      <c r="I2750">
        <f>-H2339/G2339</f>
        <v/>
      </c>
    </row>
    <row r="2751">
      <c r="A2751" t="n">
        <v>12672</v>
      </c>
      <c r="B2751" s="16" t="n">
        <v>44487</v>
      </c>
      <c r="C2751" t="inlineStr">
        <is>
          <t>VTA</t>
        </is>
      </c>
      <c r="D2751" t="n">
        <v>40</v>
      </c>
      <c r="E2751">
        <f>IF(D5142&gt;0,VLOOKUP(OPERAC[[#This Row],[COD CART]],[1]!MatrizCortoLargoCyl[#All],3,0),"")</f>
        <v/>
      </c>
      <c r="F2751" t="inlineStr">
        <is>
          <t>MELI</t>
        </is>
      </c>
      <c r="G2751" t="n">
        <v>1</v>
      </c>
      <c r="H2751" t="n">
        <v>-1603.127</v>
      </c>
      <c r="I2751">
        <f>-H5142/G5142</f>
        <v/>
      </c>
      <c r="J2751" s="16" t="n">
        <v>44606</v>
      </c>
      <c r="K2751" t="n">
        <v>1</v>
      </c>
      <c r="L2751" t="n">
        <v>1073.609</v>
      </c>
    </row>
    <row r="2752">
      <c r="A2752" t="n">
        <v>12672</v>
      </c>
      <c r="B2752" s="16" t="n">
        <v>44489</v>
      </c>
      <c r="C2752" t="inlineStr">
        <is>
          <t>VTA</t>
        </is>
      </c>
      <c r="D2752" t="n">
        <v>43</v>
      </c>
      <c r="E2752">
        <f>IF(D1311&gt;0,VLOOKUP(OPERAC[[#This Row],[COD CART]],[1]!MatrizCortoLargoCyl[#All],3,0),"")</f>
        <v/>
      </c>
      <c r="F2752" t="inlineStr">
        <is>
          <t>SESN/CYL-PUT/1,00/19-01-24</t>
        </is>
      </c>
      <c r="G2752" t="n">
        <v>500</v>
      </c>
      <c r="H2752">
        <f>-0.1885*OPERAC[[#This Row],[cantidad]]</f>
        <v/>
      </c>
      <c r="I2752">
        <f>-H1311/G1311</f>
        <v/>
      </c>
    </row>
    <row r="2753">
      <c r="A2753" t="n">
        <v>12672</v>
      </c>
      <c r="B2753" s="16" t="n">
        <v>44511</v>
      </c>
      <c r="C2753" t="inlineStr">
        <is>
          <t>VTA</t>
        </is>
      </c>
      <c r="D2753" t="n">
        <v>31</v>
      </c>
      <c r="E2753">
        <f>IF(D1351&gt;0,VLOOKUP(OPERAC[[#This Row],[COD CART]],[1]!MatrizCortoLargoCyl[#All],3,0),"")</f>
        <v/>
      </c>
      <c r="F2753" t="inlineStr">
        <is>
          <t>IPIX</t>
        </is>
      </c>
      <c r="G2753" t="n">
        <v>1000</v>
      </c>
      <c r="H2753" t="n">
        <v>-109.99</v>
      </c>
      <c r="I2753">
        <f>-H1351/G1351</f>
        <v/>
      </c>
    </row>
    <row r="2754">
      <c r="A2754" t="n">
        <v>12672</v>
      </c>
      <c r="B2754" s="16" t="n">
        <v>44533</v>
      </c>
      <c r="C2754" t="inlineStr">
        <is>
          <t>CPR</t>
        </is>
      </c>
      <c r="D2754" t="n">
        <v>32</v>
      </c>
      <c r="E2754">
        <f>IF(D5837&gt;0,VLOOKUP(OPERAC[[#This Row],[COD CART]],[1]!MatrizCortoLargoCyl[#All],3,0),"")</f>
        <v/>
      </c>
      <c r="F2754" t="inlineStr">
        <is>
          <t>INO/CYL/7,00/21-01-22</t>
        </is>
      </c>
      <c r="G2754" t="n">
        <v>500</v>
      </c>
      <c r="H2754" t="n">
        <v>-2849.49</v>
      </c>
      <c r="I2754">
        <f>-H5837/G5837</f>
        <v/>
      </c>
      <c r="J2754" s="16" t="n">
        <v>44581</v>
      </c>
      <c r="K2754" t="n">
        <v>500</v>
      </c>
      <c r="L2754" t="n">
        <v>2131.712</v>
      </c>
    </row>
    <row r="2755">
      <c r="A2755" t="n">
        <v>12672</v>
      </c>
      <c r="B2755" s="16" t="n">
        <v>44533</v>
      </c>
      <c r="C2755" t="inlineStr">
        <is>
          <t>VTA</t>
        </is>
      </c>
      <c r="D2755" t="n">
        <v>32</v>
      </c>
      <c r="E2755">
        <f>IF(D5506&gt;0,VLOOKUP(OPERAC[[#This Row],[COD CART]],[1]!MatrizCortoLargoCyl[#All],3,0),"")</f>
        <v/>
      </c>
      <c r="F2755" t="inlineStr">
        <is>
          <t>HIMX/CYL/12,00/21-01-22</t>
        </is>
      </c>
      <c r="G2755" t="n">
        <v>200</v>
      </c>
      <c r="H2755">
        <f>-9.9*OPERAC[[#This Row],[cantidad]]</f>
        <v/>
      </c>
      <c r="I2755">
        <f>-H5506/G5506</f>
        <v/>
      </c>
      <c r="J2755" s="16" t="n">
        <v>44575</v>
      </c>
      <c r="K2755" t="n">
        <v>200</v>
      </c>
      <c r="L2755" t="n">
        <v>2341.236</v>
      </c>
    </row>
    <row r="2756">
      <c r="A2756" t="n">
        <v>12672</v>
      </c>
      <c r="B2756" s="16" t="n">
        <v>44539</v>
      </c>
      <c r="C2756" t="inlineStr">
        <is>
          <t>VTA</t>
        </is>
      </c>
      <c r="D2756" t="n">
        <v>40</v>
      </c>
      <c r="E2756">
        <f>IF(D1763&gt;0,VLOOKUP(OPERAC[[#This Row],[COD CART]],[1]!MatrizCortoLargoCyl[#All],3,0),"")</f>
        <v/>
      </c>
      <c r="F2756" t="inlineStr">
        <is>
          <t>ROKU</t>
        </is>
      </c>
      <c r="G2756" t="n">
        <v>1</v>
      </c>
      <c r="H2756" t="n">
        <v>-257.72036</v>
      </c>
      <c r="I2756">
        <f>-H1763/G1763</f>
        <v/>
      </c>
      <c r="J2756" s="16" t="n">
        <v>44606</v>
      </c>
      <c r="K2756">
        <f>+OPERAC[[#This Row],[cantidad]]</f>
        <v/>
      </c>
      <c r="L2756">
        <f>+OPERAC[[#This Row],[cantidad venta]]*160.574</f>
        <v/>
      </c>
    </row>
    <row r="2757">
      <c r="A2757" t="n">
        <v>12672</v>
      </c>
      <c r="B2757" s="16" t="n">
        <v>44553</v>
      </c>
      <c r="C2757" t="inlineStr">
        <is>
          <t>VTA</t>
        </is>
      </c>
      <c r="D2757" t="n">
        <v>40</v>
      </c>
      <c r="E2757">
        <f>IF(D1809&gt;0,VLOOKUP(OPERAC[[#This Row],[COD CART]],[1]!MatrizCortoLargoCyl[#All],3,0),"")</f>
        <v/>
      </c>
      <c r="F2757" t="inlineStr">
        <is>
          <t>ON</t>
        </is>
      </c>
      <c r="G2757" t="n">
        <v>4</v>
      </c>
      <c r="H2757" t="n">
        <v>-268.4544319999999</v>
      </c>
      <c r="I2757">
        <f>-H1809/G1809</f>
        <v/>
      </c>
      <c r="J2757" s="16" t="n">
        <v>44606</v>
      </c>
      <c r="K2757">
        <f>+OPERAC[[#This Row],[cantidad]]</f>
        <v/>
      </c>
      <c r="L2757">
        <f>+OPERAC[[#This Row],[cantidad venta]]*58.449</f>
        <v/>
      </c>
    </row>
    <row r="2758">
      <c r="A2758" t="n">
        <v>12672</v>
      </c>
      <c r="B2758" s="16" t="n">
        <v>44557</v>
      </c>
      <c r="C2758" t="inlineStr">
        <is>
          <t>CPR</t>
        </is>
      </c>
      <c r="D2758" t="n">
        <v>40</v>
      </c>
      <c r="E2758">
        <f>IF(D3548&gt;0,VLOOKUP(OPERAC[[#This Row],[COD CART]],[1]!MatrizCortoLargoCyl[#All],3,0),"")</f>
        <v/>
      </c>
      <c r="F2758" t="inlineStr">
        <is>
          <t>TLRY</t>
        </is>
      </c>
      <c r="G2758" t="n">
        <v>100</v>
      </c>
      <c r="H2758" t="n">
        <v>-771.62</v>
      </c>
      <c r="I2758">
        <f>-H3548/G3548</f>
        <v/>
      </c>
      <c r="J2758" s="16" t="n">
        <v>44585</v>
      </c>
      <c r="K2758">
        <f>+OPERAC[[#This Row],[cantidad]]</f>
        <v/>
      </c>
      <c r="L2758">
        <f>+OPERAC[[#This Row],[cantidad venta]]*5.263</f>
        <v/>
      </c>
    </row>
    <row r="2759">
      <c r="A2759" t="n">
        <v>12672</v>
      </c>
      <c r="B2759" s="16" t="n">
        <v>44558</v>
      </c>
      <c r="C2759" t="inlineStr">
        <is>
          <t>VTA</t>
        </is>
      </c>
      <c r="D2759" t="n">
        <v>40</v>
      </c>
      <c r="E2759">
        <f>IF(D1428&gt;0,VLOOKUP(OPERAC[[#This Row],[COD CART]],[1]!MatrizCortoLargoCyl[#All],3,0),"")</f>
        <v/>
      </c>
      <c r="F2759" t="inlineStr">
        <is>
          <t>UPST</t>
        </is>
      </c>
      <c r="G2759" t="n">
        <v>1</v>
      </c>
      <c r="H2759" t="n">
        <v>-150.6002</v>
      </c>
      <c r="I2759">
        <f>-H1428/G1428</f>
        <v/>
      </c>
      <c r="J2759" s="16" t="n">
        <v>44606</v>
      </c>
      <c r="K2759">
        <f>+OPERAC[[#This Row],[cantidad]]</f>
        <v/>
      </c>
      <c r="L2759">
        <f>+OPERAC[[#This Row],[cantidad venta]]*98.994</f>
        <v/>
      </c>
    </row>
    <row r="2760">
      <c r="A2760" t="n">
        <v>12672</v>
      </c>
      <c r="B2760" s="16" t="n">
        <v>44560</v>
      </c>
      <c r="C2760" t="inlineStr">
        <is>
          <t>VTA</t>
        </is>
      </c>
      <c r="D2760" t="n">
        <v>39</v>
      </c>
      <c r="E2760">
        <f>IF(D340&gt;0,VLOOKUP(OPERAC[[#This Row],[COD CART]],[1]!MatrizCortoLargoCyl[#All],3,0),"")</f>
        <v/>
      </c>
      <c r="F2760" t="inlineStr">
        <is>
          <t>ACB/V/6,00/07-01-22</t>
        </is>
      </c>
      <c r="G2760" t="n">
        <v>-2800</v>
      </c>
      <c r="H2760" t="n">
        <v>1341.802</v>
      </c>
      <c r="I2760">
        <f>-H340/G340</f>
        <v/>
      </c>
      <c r="J2760" s="16" t="n">
        <v>44567</v>
      </c>
      <c r="K2760" t="n">
        <v>-2800</v>
      </c>
      <c r="L2760" t="n">
        <v>-1341.8</v>
      </c>
    </row>
    <row r="2761">
      <c r="A2761" t="n">
        <v>12672</v>
      </c>
      <c r="B2761" s="16" t="n">
        <v>44567</v>
      </c>
      <c r="C2761" t="inlineStr">
        <is>
          <t>VTA</t>
        </is>
      </c>
      <c r="D2761" t="n">
        <v>39</v>
      </c>
      <c r="E2761">
        <f>IF(D253&gt;0,VLOOKUP(OPERAC[[#This Row],[COD CART]],[1]!MatrizCortoLargoCyl[#All],3,0),"")</f>
        <v/>
      </c>
      <c r="F2761" t="inlineStr">
        <is>
          <t>ACB/V/6,00/14-01-22</t>
        </is>
      </c>
      <c r="G2761" t="n">
        <v>-2800</v>
      </c>
      <c r="H2761" t="n">
        <v>1780.8308</v>
      </c>
      <c r="I2761">
        <f>-H253/G253</f>
        <v/>
      </c>
      <c r="J2761" s="16" t="n">
        <v>44574</v>
      </c>
      <c r="K2761">
        <f>+OPERAC[[#This Row],[cantidad]]</f>
        <v/>
      </c>
      <c r="L2761" t="n">
        <v>-1295.05</v>
      </c>
    </row>
    <row r="2762">
      <c r="A2762" t="n">
        <v>12672</v>
      </c>
      <c r="B2762" s="16" t="n">
        <v>44574</v>
      </c>
      <c r="C2762" t="inlineStr">
        <is>
          <t>VTA</t>
        </is>
      </c>
      <c r="D2762" t="n">
        <v>39</v>
      </c>
      <c r="E2762">
        <f>IF(D334&gt;0,VLOOKUP(OPERAC[[#This Row],[COD CART]],[1]!MatrizCortoLargoCyl[#All],3,0),"")</f>
        <v/>
      </c>
      <c r="F2762" t="inlineStr">
        <is>
          <t>ACB/V/6,00/21-01-22</t>
        </is>
      </c>
      <c r="G2762" t="n">
        <v>-2800</v>
      </c>
      <c r="H2762" t="n">
        <v>1363.827</v>
      </c>
      <c r="I2762">
        <f>-H334/G334</f>
        <v/>
      </c>
      <c r="J2762" s="16" t="n">
        <v>44581</v>
      </c>
      <c r="K2762">
        <f>+OPERAC[[#This Row],[cantidad]]</f>
        <v/>
      </c>
      <c r="L2762">
        <f>-OPERAC[[#This Row],[importe]]</f>
        <v/>
      </c>
    </row>
    <row r="2763">
      <c r="A2763" t="n">
        <v>12672</v>
      </c>
      <c r="B2763" s="16" t="n">
        <v>44581</v>
      </c>
      <c r="C2763" t="inlineStr">
        <is>
          <t>CPR</t>
        </is>
      </c>
      <c r="D2763" t="n">
        <v>32</v>
      </c>
      <c r="E2763">
        <f>IF(D3578&gt;0,VLOOKUP(OPERAC[[#This Row],[COD CART]],[1]!MatrizCortoLargoCyl[#All],3,0),"")</f>
        <v/>
      </c>
      <c r="F2763" t="inlineStr">
        <is>
          <t>HMY/CYL/4,00/18-02-22</t>
        </is>
      </c>
      <c r="G2763" t="n">
        <v>200</v>
      </c>
      <c r="H2763" t="n">
        <v>-774.9359920000001</v>
      </c>
      <c r="I2763">
        <f>-H3578/G3578</f>
        <v/>
      </c>
      <c r="J2763" s="16" t="n">
        <v>44610</v>
      </c>
      <c r="K2763">
        <f>+OPERAC[[#This Row],[cantidad]]</f>
        <v/>
      </c>
      <c r="L2763">
        <f>+OPERAC[[#This Row],[cantidad venta]]*3.8323</f>
        <v/>
      </c>
    </row>
    <row r="2764">
      <c r="A2764" t="n">
        <v>12672</v>
      </c>
      <c r="B2764" s="16" t="n">
        <v>44581</v>
      </c>
      <c r="C2764" t="inlineStr">
        <is>
          <t>VTA</t>
        </is>
      </c>
      <c r="D2764" t="n">
        <v>39</v>
      </c>
      <c r="E2764">
        <f>IF(D134&gt;0,VLOOKUP(OPERAC[[#This Row],[COD CART]],[1]!MatrizCortoLargoCyl[#All],3,0),"")</f>
        <v/>
      </c>
      <c r="F2764" t="inlineStr">
        <is>
          <t>ACB/V/6,00/18-02-22</t>
        </is>
      </c>
      <c r="G2764" t="n">
        <v>-2500</v>
      </c>
      <c r="H2764" t="n">
        <v>3023.7875</v>
      </c>
      <c r="I2764">
        <f>-H134/G134</f>
        <v/>
      </c>
      <c r="J2764" s="16" t="n">
        <v>44601</v>
      </c>
      <c r="K2764" t="n">
        <v>-2500</v>
      </c>
      <c r="L2764">
        <f>1.21*OPERAC[[#This Row],[cantidad venta]]</f>
        <v/>
      </c>
    </row>
    <row r="2765">
      <c r="A2765" t="n">
        <v>12672</v>
      </c>
      <c r="B2765" s="16" t="n">
        <v>44581</v>
      </c>
      <c r="C2765" t="inlineStr">
        <is>
          <t>VTA</t>
        </is>
      </c>
      <c r="D2765" t="n">
        <v>39</v>
      </c>
      <c r="E2765">
        <f>IF(D363&gt;0,VLOOKUP(OPERAC[[#This Row],[COD CART]],[1]!MatrizCortoLargoCyl[#All],3,0),"")</f>
        <v/>
      </c>
      <c r="F2765" t="inlineStr">
        <is>
          <t>ACB/V/5,50/25-02-22</t>
        </is>
      </c>
      <c r="G2765" t="n">
        <v>-1500</v>
      </c>
      <c r="H2765" t="n">
        <v>1230.93075</v>
      </c>
      <c r="I2765">
        <f>-H363/G363</f>
        <v/>
      </c>
      <c r="J2765" s="16" t="n">
        <v>44614</v>
      </c>
      <c r="K2765" t="n">
        <v>-1500</v>
      </c>
      <c r="L2765" t="n">
        <v>-1230</v>
      </c>
    </row>
    <row r="2766">
      <c r="A2766" t="n">
        <v>12672</v>
      </c>
      <c r="B2766" s="16" t="n">
        <v>44582</v>
      </c>
      <c r="C2766" t="inlineStr">
        <is>
          <t>CPR</t>
        </is>
      </c>
      <c r="D2766" t="n">
        <v>40</v>
      </c>
      <c r="E2766">
        <f>IF(D3612&gt;0,VLOOKUP(OPERAC[[#This Row],[COD CART]],[1]!MatrizCortoLargoCyl[#All],3,0),"")</f>
        <v/>
      </c>
      <c r="F2766" t="inlineStr">
        <is>
          <t>NFLX</t>
        </is>
      </c>
      <c r="G2766" t="n">
        <v>2</v>
      </c>
      <c r="H2766" t="n">
        <v>-781.2742000000001</v>
      </c>
      <c r="I2766">
        <f>-H3612/G3612</f>
        <v/>
      </c>
      <c r="J2766" s="16" t="n">
        <v>44593</v>
      </c>
      <c r="K2766">
        <f>+OPERAC[[#This Row],[cantidad]]</f>
        <v/>
      </c>
      <c r="L2766">
        <f>+OPERAC[[#This Row],[cantidad venta]]*448.602</f>
        <v/>
      </c>
    </row>
    <row r="2767">
      <c r="A2767" t="n">
        <v>12672</v>
      </c>
      <c r="B2767" s="16" t="n">
        <v>44585</v>
      </c>
      <c r="C2767" t="inlineStr">
        <is>
          <t>VTA</t>
        </is>
      </c>
      <c r="D2767" t="n">
        <v>39</v>
      </c>
      <c r="E2767">
        <f>IF(D849&gt;0,VLOOKUP(OPERAC[[#This Row],[COD CART]],[1]!MatrizCortoLargoCyl[#All],3,0),"")</f>
        <v/>
      </c>
      <c r="F2767" t="inlineStr">
        <is>
          <t>TSLA/C/1200,00/28-01-22</t>
        </is>
      </c>
      <c r="G2767" t="n">
        <v>-200</v>
      </c>
      <c r="H2767" t="n">
        <v>201.84</v>
      </c>
      <c r="I2767">
        <f>-H849/G849</f>
        <v/>
      </c>
      <c r="J2767" s="16" t="n">
        <v>44589</v>
      </c>
      <c r="K2767" t="n">
        <v>-200</v>
      </c>
      <c r="L2767" t="n">
        <v>0</v>
      </c>
    </row>
    <row r="2768">
      <c r="A2768" t="n">
        <v>12672</v>
      </c>
      <c r="B2768" s="16" t="n">
        <v>44586</v>
      </c>
      <c r="C2768" t="inlineStr">
        <is>
          <t>CPR</t>
        </is>
      </c>
      <c r="D2768" t="n">
        <v>43</v>
      </c>
      <c r="E2768">
        <f>IF(D6038&gt;0,VLOOKUP(OPERAC[[#This Row],[COD CART]],[1]!MatrizCortoLargoCyl[#All],3,0),"")</f>
        <v/>
      </c>
      <c r="F2768" t="inlineStr">
        <is>
          <t>GMBL</t>
        </is>
      </c>
      <c r="G2768">
        <f>1000+1000</f>
        <v/>
      </c>
      <c r="H2768">
        <f>-1016.0423-2510</f>
        <v/>
      </c>
      <c r="I2768">
        <f>-H6038/G6038</f>
        <v/>
      </c>
      <c r="J2768" s="16" t="n">
        <v>44714</v>
      </c>
      <c r="K2768" t="n">
        <v>2000</v>
      </c>
      <c r="L2768" t="n">
        <v>794.192</v>
      </c>
    </row>
    <row r="2769">
      <c r="A2769" t="n">
        <v>12672</v>
      </c>
      <c r="B2769" s="16" t="n">
        <v>44587</v>
      </c>
      <c r="C2769" t="inlineStr">
        <is>
          <t>CPR</t>
        </is>
      </c>
      <c r="D2769" t="n">
        <v>40</v>
      </c>
      <c r="E2769">
        <f>IF(D3669&gt;0,VLOOKUP(OPERAC[[#This Row],[COD CART]],[1]!MatrizCortoLargoCyl[#All],3,0),"")</f>
        <v/>
      </c>
      <c r="F2769" t="inlineStr">
        <is>
          <t>AAPL</t>
        </is>
      </c>
      <c r="G2769" t="n">
        <v>5</v>
      </c>
      <c r="H2769" t="n">
        <v>-820.2721</v>
      </c>
      <c r="I2769">
        <f>-H3669/G3669</f>
        <v/>
      </c>
      <c r="J2769" s="16" t="n">
        <v>44601</v>
      </c>
      <c r="K2769" t="n">
        <v>5</v>
      </c>
      <c r="L2769">
        <f>175.66*OPERAC[[#This Row],[cantidad venta]]</f>
        <v/>
      </c>
    </row>
    <row r="2770">
      <c r="A2770" t="n">
        <v>12672</v>
      </c>
      <c r="B2770" s="16" t="n">
        <v>44587</v>
      </c>
      <c r="C2770" t="inlineStr">
        <is>
          <t>CPR</t>
        </is>
      </c>
      <c r="D2770" t="n">
        <v>40</v>
      </c>
      <c r="E2770">
        <f>IF(D4979&gt;0,VLOOKUP(OPERAC[[#This Row],[COD CART]],[1]!MatrizCortoLargoCyl[#All],3,0),"")</f>
        <v/>
      </c>
      <c r="F2770" t="inlineStr">
        <is>
          <t>MSFT</t>
        </is>
      </c>
      <c r="G2770" t="n">
        <v>5</v>
      </c>
      <c r="H2770" t="n">
        <v>-1517.0563</v>
      </c>
      <c r="I2770">
        <f>-H4979/G4979</f>
        <v/>
      </c>
      <c r="J2770" s="16" t="n">
        <v>44606</v>
      </c>
      <c r="K2770">
        <f>+OPERAC[[#This Row],[cantidad]]</f>
        <v/>
      </c>
      <c r="L2770">
        <f>+OPERAC[[#This Row],[cantidad venta]]*290.091</f>
        <v/>
      </c>
    </row>
    <row r="2771">
      <c r="A2771" t="n">
        <v>12672</v>
      </c>
      <c r="B2771" s="16" t="n">
        <v>44599</v>
      </c>
      <c r="C2771" t="inlineStr">
        <is>
          <t>CPR</t>
        </is>
      </c>
      <c r="D2771" t="n">
        <v>40</v>
      </c>
      <c r="E2771">
        <f>IF(D4507&gt;0,VLOOKUP(OPERAC[[#This Row],[COD CART]],[1]!MatrizCortoLargoCyl[#All],3,0),"")</f>
        <v/>
      </c>
      <c r="F2771" t="inlineStr">
        <is>
          <t>FB</t>
        </is>
      </c>
      <c r="G2771" t="n">
        <v>5</v>
      </c>
      <c r="H2771" t="n">
        <v>-1192.3</v>
      </c>
      <c r="I2771">
        <f>-H4507/G4507</f>
        <v/>
      </c>
      <c r="J2771" s="16" t="n">
        <v>44616</v>
      </c>
      <c r="K2771">
        <f>+OPERAC[[#This Row],[cantidad]]</f>
        <v/>
      </c>
      <c r="L2771">
        <f>200.299*OPERAC[[#This Row],[cantidad venta]]</f>
        <v/>
      </c>
    </row>
    <row r="2772">
      <c r="A2772" t="n">
        <v>12672</v>
      </c>
      <c r="B2772" s="16" t="n">
        <v>44601</v>
      </c>
      <c r="C2772" t="inlineStr">
        <is>
          <t>VTA</t>
        </is>
      </c>
      <c r="D2772" t="n">
        <v>39</v>
      </c>
      <c r="E2772">
        <f>IF(D70&gt;0,VLOOKUP(OPERAC[[#This Row],[COD CART]],[1]!MatrizCortoLargoCyl[#All],3,0),"")</f>
        <v/>
      </c>
      <c r="F2772" t="inlineStr">
        <is>
          <t>TSLA/V/825/18-02-22</t>
        </is>
      </c>
      <c r="G2772" t="n">
        <v>-1000</v>
      </c>
      <c r="H2772" t="n">
        <v>4350</v>
      </c>
      <c r="I2772">
        <f>-H70/G70</f>
        <v/>
      </c>
      <c r="J2772" s="16" t="n">
        <v>44606</v>
      </c>
      <c r="K2772" t="n">
        <v>-1000</v>
      </c>
      <c r="L2772" t="n">
        <v>-6541.69</v>
      </c>
    </row>
    <row r="2773">
      <c r="A2773" t="n">
        <v>12672</v>
      </c>
      <c r="B2773" s="16" t="n">
        <v>44602</v>
      </c>
      <c r="C2773" t="inlineStr">
        <is>
          <t>CPR</t>
        </is>
      </c>
      <c r="D2773" t="n">
        <v>32</v>
      </c>
      <c r="E2773">
        <f>IF(D5808&gt;0,VLOOKUP(OPERAC[[#This Row],[COD CART]],[1]!MatrizCortoLargoCyl[#All],3,0),"")</f>
        <v/>
      </c>
      <c r="F2773" t="inlineStr">
        <is>
          <t>BIOX</t>
        </is>
      </c>
      <c r="G2773" t="n">
        <v>200</v>
      </c>
      <c r="H2773">
        <f>-2672+29.76+19.83-193.63+72.5</f>
        <v/>
      </c>
      <c r="I2773">
        <f>-H5808/G5808</f>
        <v/>
      </c>
      <c r="J2773" s="16" t="n">
        <v>44715</v>
      </c>
      <c r="K2773" t="n">
        <v>200</v>
      </c>
      <c r="L2773" t="n">
        <v>3019.118</v>
      </c>
    </row>
    <row r="2774">
      <c r="A2774" t="n">
        <v>12672</v>
      </c>
      <c r="B2774" s="16" t="n">
        <v>44606</v>
      </c>
      <c r="C2774" t="inlineStr">
        <is>
          <t>VTA</t>
        </is>
      </c>
      <c r="D2774" t="n">
        <v>39</v>
      </c>
      <c r="E2774">
        <f>IF(D33&gt;0,VLOOKUP(OPERAC[[#This Row],[COD CART]],[1]!MatrizCortoLargoCyl[#All],3,0),"")</f>
        <v/>
      </c>
      <c r="F2774" t="inlineStr">
        <is>
          <t>TSLA/V/805/18-02-22</t>
        </is>
      </c>
      <c r="G2774" t="n">
        <v>-1600</v>
      </c>
      <c r="H2774" t="n">
        <v>6324.744</v>
      </c>
      <c r="I2774">
        <f>-H33/G33</f>
        <v/>
      </c>
      <c r="J2774" s="16" t="n">
        <v>44607</v>
      </c>
      <c r="K2774" t="n">
        <v>-1600</v>
      </c>
      <c r="L2774" t="n">
        <v>-1703.988</v>
      </c>
    </row>
    <row r="2775">
      <c r="A2775" t="n">
        <v>12672</v>
      </c>
      <c r="B2775" s="16" t="n">
        <v>44607</v>
      </c>
      <c r="C2775" t="inlineStr">
        <is>
          <t>VTA</t>
        </is>
      </c>
      <c r="D2775" t="n">
        <v>39</v>
      </c>
      <c r="E2775">
        <f>IF(D300&gt;0,VLOOKUP(OPERAC[[#This Row],[COD CART]],[1]!MatrizCortoLargoCyl[#All],3,0),"")</f>
        <v/>
      </c>
      <c r="F2775" t="inlineStr">
        <is>
          <t>TSLA/V/830,00/18-02-22</t>
        </is>
      </c>
      <c r="G2775" t="n">
        <v>-800</v>
      </c>
      <c r="H2775" t="n">
        <v>1541.982</v>
      </c>
      <c r="I2775">
        <f>-H300/G300</f>
        <v/>
      </c>
      <c r="J2775" s="16" t="n">
        <v>44609</v>
      </c>
      <c r="K2775" t="n">
        <v>-800</v>
      </c>
      <c r="L2775" t="n">
        <v>-1537.672</v>
      </c>
    </row>
    <row r="2776">
      <c r="A2776" t="n">
        <v>12672</v>
      </c>
      <c r="B2776" s="16" t="n">
        <v>44607</v>
      </c>
      <c r="C2776" t="inlineStr">
        <is>
          <t>VTA</t>
        </is>
      </c>
      <c r="D2776" t="n">
        <v>32</v>
      </c>
      <c r="E2776">
        <f>IF(D5029&gt;0,VLOOKUP(OPERAC[[#This Row],[COD CART]],[1]!MatrizCortoLargoCyl[#All],3,0),"")</f>
        <v/>
      </c>
      <c r="F2776" t="inlineStr">
        <is>
          <t>DDD/CYL/16,00/18-03-22</t>
        </is>
      </c>
      <c r="G2776" t="n">
        <v>100</v>
      </c>
      <c r="H2776" t="n">
        <v>-1552.775</v>
      </c>
      <c r="I2776">
        <f>-H5029/G5029</f>
        <v/>
      </c>
      <c r="J2776" s="16" t="n">
        <v>44638</v>
      </c>
      <c r="K2776" t="n">
        <v>100</v>
      </c>
      <c r="L2776">
        <f>15.866*OPERAC[[#This Row],[cantidad venta]]</f>
        <v/>
      </c>
    </row>
    <row r="2777">
      <c r="A2777" t="n">
        <v>12672</v>
      </c>
      <c r="B2777" s="16" t="n">
        <v>44608</v>
      </c>
      <c r="C2777" t="inlineStr">
        <is>
          <t>CPR</t>
        </is>
      </c>
      <c r="D2777" t="n">
        <v>40</v>
      </c>
      <c r="E2777">
        <f>IF(D4695&gt;0,VLOOKUP(OPERAC[[#This Row],[COD CART]],[1]!MatrizCortoLargoCyl[#All],3,0),"")</f>
        <v/>
      </c>
      <c r="F2777" t="inlineStr">
        <is>
          <t>NVDA</t>
        </is>
      </c>
      <c r="G2777" t="n">
        <v>5</v>
      </c>
      <c r="H2777" t="n">
        <v>-1317.57</v>
      </c>
      <c r="I2777">
        <f>-H4695/G4695</f>
        <v/>
      </c>
      <c r="J2777" s="16" t="n">
        <v>44616</v>
      </c>
      <c r="K2777">
        <f>+OPERAC[[#This Row],[cantidad]]</f>
        <v/>
      </c>
      <c r="L2777">
        <f>+OPERAC[[#This Row],[cantidad venta]]*224.117</f>
        <v/>
      </c>
    </row>
    <row r="2778">
      <c r="A2778" t="n">
        <v>12672</v>
      </c>
      <c r="B2778" s="16" t="n">
        <v>44610</v>
      </c>
      <c r="C2778" t="inlineStr">
        <is>
          <t>VTA</t>
        </is>
      </c>
      <c r="D2778" t="n">
        <v>39</v>
      </c>
      <c r="E2778">
        <f>IF(D1086&gt;0,VLOOKUP(OPERAC[[#This Row],[COD CART]],[1]!MatrizCortoLargoCyl[#All],3,0),"")</f>
        <v/>
      </c>
      <c r="F2778" t="inlineStr">
        <is>
          <t>MELI/V/540,00/16-09-22</t>
        </is>
      </c>
      <c r="G2778" t="n">
        <v>-1</v>
      </c>
      <c r="H2778" t="n">
        <v>27.77</v>
      </c>
      <c r="I2778">
        <f>-H1086/G1086</f>
        <v/>
      </c>
    </row>
    <row r="2779">
      <c r="A2779" t="n">
        <v>12672</v>
      </c>
      <c r="B2779" s="16" t="n">
        <v>44616</v>
      </c>
      <c r="C2779" t="inlineStr">
        <is>
          <t>VTA</t>
        </is>
      </c>
      <c r="D2779" t="n">
        <v>32</v>
      </c>
      <c r="E2779">
        <f>IF(D5568&gt;0,VLOOKUP(OPERAC[[#This Row],[COD CART]],[1]!MatrizCortoLargoCyl[#All],3,0),"")</f>
        <v/>
      </c>
      <c r="F2779" t="inlineStr">
        <is>
          <t>PLTR/CYL/12,00/14-04-22</t>
        </is>
      </c>
      <c r="G2779" t="n">
        <v>200</v>
      </c>
      <c r="H2779" t="n">
        <v>-2105.453</v>
      </c>
      <c r="I2779">
        <f>-H5568/G5568</f>
        <v/>
      </c>
      <c r="J2779" s="16" t="n">
        <v>44643</v>
      </c>
      <c r="K2779" t="n">
        <v>200</v>
      </c>
      <c r="L2779" t="n">
        <v>2293.448</v>
      </c>
    </row>
    <row r="2780">
      <c r="A2780" t="n">
        <v>12672</v>
      </c>
      <c r="B2780" s="16" t="n">
        <v>44641</v>
      </c>
      <c r="C2780" t="inlineStr">
        <is>
          <t>VTA</t>
        </is>
      </c>
      <c r="D2780" t="n">
        <v>42</v>
      </c>
      <c r="E2780">
        <f>IF(D2416&gt;0,VLOOKUP(OPERAC[[#This Row],[COD CART]],[1]!MatrizCortoLargoCyl[#All],3,0),"")</f>
        <v/>
      </c>
      <c r="F2780" t="inlineStr">
        <is>
          <t>FB</t>
        </is>
      </c>
      <c r="G2780" t="n">
        <v>2</v>
      </c>
      <c r="H2780" t="n">
        <v>-424.31276</v>
      </c>
      <c r="I2780">
        <f>-H2416/G2416</f>
        <v/>
      </c>
      <c r="J2780" s="16" t="n">
        <v>44671</v>
      </c>
      <c r="K2780">
        <f>+OPERAC[[#This Row],[cantidad]]</f>
        <v/>
      </c>
      <c r="L2780">
        <f>+OPERAC[[#This Row],[cantidad venta]]*213.173</f>
        <v/>
      </c>
    </row>
    <row r="2781">
      <c r="A2781" t="n">
        <v>12672</v>
      </c>
      <c r="B2781" s="16" t="n">
        <v>44641</v>
      </c>
      <c r="C2781" t="inlineStr">
        <is>
          <t>VTA</t>
        </is>
      </c>
      <c r="D2781" t="n">
        <v>42</v>
      </c>
      <c r="E2781">
        <f>IF(D2876&gt;0,VLOOKUP(OPERAC[[#This Row],[COD CART]],[1]!MatrizCortoLargoCyl[#All],3,0),"")</f>
        <v/>
      </c>
      <c r="F2781" t="inlineStr">
        <is>
          <t>SMH</t>
        </is>
      </c>
      <c r="G2781" t="n">
        <v>2</v>
      </c>
      <c r="H2781" t="n">
        <v>-537.9153000000001</v>
      </c>
      <c r="I2781">
        <f>-H2876/G2876</f>
        <v/>
      </c>
      <c r="J2781" s="16" t="n">
        <v>44663</v>
      </c>
      <c r="K2781">
        <f>+OPERAC[[#This Row],[cantidad]]</f>
        <v/>
      </c>
      <c r="L2781">
        <f>+OPERAC[[#This Row],[cantidad venta]]*238.066</f>
        <v/>
      </c>
    </row>
    <row r="2782">
      <c r="A2782" t="n">
        <v>12672</v>
      </c>
      <c r="B2782" s="16" t="n">
        <v>44641</v>
      </c>
      <c r="C2782" t="inlineStr">
        <is>
          <t>VTA</t>
        </is>
      </c>
      <c r="D2782" t="n">
        <v>42</v>
      </c>
      <c r="E2782">
        <f>IF(D2961&gt;0,VLOOKUP(OPERAC[[#This Row],[COD CART]],[1]!MatrizCortoLargoCyl[#All],3,0),"")</f>
        <v/>
      </c>
      <c r="F2782" t="inlineStr">
        <is>
          <t>JPM</t>
        </is>
      </c>
      <c r="G2782" t="n">
        <v>4</v>
      </c>
      <c r="H2782" t="n">
        <v>-561.8173600000001</v>
      </c>
      <c r="I2782">
        <f>-H2961/G2961</f>
        <v/>
      </c>
      <c r="J2782" s="16" t="n">
        <v>44664</v>
      </c>
      <c r="K2782">
        <f>+OPERAC[[#This Row],[cantidad]]</f>
        <v/>
      </c>
      <c r="L2782">
        <f>+OPERAC[[#This Row],[cantidad venta]]*125.943</f>
        <v/>
      </c>
    </row>
    <row r="2783">
      <c r="A2783" t="n">
        <v>12672</v>
      </c>
      <c r="B2783" s="16" t="n">
        <v>44643</v>
      </c>
      <c r="C2783" t="inlineStr">
        <is>
          <t>CPR</t>
        </is>
      </c>
      <c r="D2783" t="n">
        <v>42</v>
      </c>
      <c r="E2783">
        <f>IF(D3354&gt;0,VLOOKUP(OPERAC[[#This Row],[COD CART]],[1]!MatrizCortoLargoCyl[#All],3,0),"")</f>
        <v/>
      </c>
      <c r="F2783" t="inlineStr">
        <is>
          <t>DIS</t>
        </is>
      </c>
      <c r="G2783" t="n">
        <v>5</v>
      </c>
      <c r="H2783" t="n">
        <v>-698.51075</v>
      </c>
      <c r="I2783">
        <f>-H3354/G3354</f>
        <v/>
      </c>
      <c r="J2783" s="16" t="n">
        <v>44671</v>
      </c>
      <c r="K2783">
        <f>+OPERAC[[#This Row],[cantidad]]</f>
        <v/>
      </c>
      <c r="L2783">
        <f>+OPERAC[[#This Row],[cantidad venta]]*123.621</f>
        <v/>
      </c>
    </row>
    <row r="2784">
      <c r="A2784" t="n">
        <v>12672</v>
      </c>
      <c r="B2784" s="16" t="n">
        <v>44643</v>
      </c>
      <c r="C2784" t="inlineStr">
        <is>
          <t>VTA</t>
        </is>
      </c>
      <c r="D2784" t="n">
        <v>42</v>
      </c>
      <c r="E2784">
        <f>IF(D1619&gt;0,VLOOKUP(OPERAC[[#This Row],[COD CART]],[1]!MatrizCortoLargoCyl[#All],3,0),"")</f>
        <v/>
      </c>
      <c r="F2784" t="inlineStr">
        <is>
          <t>FB</t>
        </is>
      </c>
      <c r="G2784" t="n">
        <v>1</v>
      </c>
      <c r="H2784" t="n">
        <v>-216.12326</v>
      </c>
      <c r="I2784">
        <f>-H1619/G1619</f>
        <v/>
      </c>
      <c r="J2784" s="16" t="n">
        <v>44671</v>
      </c>
      <c r="K2784">
        <f>+OPERAC[[#This Row],[cantidad]]</f>
        <v/>
      </c>
      <c r="L2784">
        <f>+OPERAC[[#This Row],[cantidad venta]]*213.173</f>
        <v/>
      </c>
    </row>
    <row r="2785">
      <c r="A2785" t="n">
        <v>12672</v>
      </c>
      <c r="B2785" s="16" t="n">
        <v>44643</v>
      </c>
      <c r="C2785" t="inlineStr">
        <is>
          <t>VTA</t>
        </is>
      </c>
      <c r="D2785" t="n">
        <v>42</v>
      </c>
      <c r="E2785">
        <f>IF(D1792&gt;0,VLOOKUP(OPERAC[[#This Row],[COD CART]],[1]!MatrizCortoLargoCyl[#All],3,0),"")</f>
        <v/>
      </c>
      <c r="F2785" t="inlineStr">
        <is>
          <t>SMH</t>
        </is>
      </c>
      <c r="G2785" t="n">
        <v>1</v>
      </c>
      <c r="H2785" t="n">
        <v>-267.162898</v>
      </c>
      <c r="I2785">
        <f>-H1792/G1792</f>
        <v/>
      </c>
      <c r="J2785" s="16" t="n">
        <v>44663</v>
      </c>
      <c r="K2785">
        <f>+OPERAC[[#This Row],[cantidad]]</f>
        <v/>
      </c>
      <c r="L2785">
        <f>+OPERAC[[#This Row],[cantidad venta]]*238.066</f>
        <v/>
      </c>
    </row>
    <row r="2786">
      <c r="A2786" t="n">
        <v>12672</v>
      </c>
      <c r="B2786" s="16" t="n">
        <v>44643</v>
      </c>
      <c r="C2786" t="inlineStr">
        <is>
          <t>VTA</t>
        </is>
      </c>
      <c r="D2786" t="n">
        <v>42</v>
      </c>
      <c r="E2786">
        <f>IF(D1890&gt;0,VLOOKUP(OPERAC[[#This Row],[COD CART]],[1]!MatrizCortoLargoCyl[#All],3,0),"")</f>
        <v/>
      </c>
      <c r="F2786" t="inlineStr">
        <is>
          <t>JPM</t>
        </is>
      </c>
      <c r="G2786" t="n">
        <v>2</v>
      </c>
      <c r="H2786" t="n">
        <v>-282.49328</v>
      </c>
      <c r="I2786">
        <f>-H1890/G1890</f>
        <v/>
      </c>
      <c r="J2786" s="16" t="n">
        <v>44664</v>
      </c>
      <c r="K2786">
        <f>+OPERAC[[#This Row],[cantidad]]</f>
        <v/>
      </c>
      <c r="L2786">
        <f>+OPERAC[[#This Row],[cantidad venta]]*125.943</f>
        <v/>
      </c>
    </row>
    <row r="2787">
      <c r="A2787" t="n">
        <v>12672</v>
      </c>
      <c r="B2787" s="16" t="n">
        <v>44643</v>
      </c>
      <c r="C2787" t="inlineStr">
        <is>
          <t>VTA</t>
        </is>
      </c>
      <c r="D2787" t="n">
        <v>42</v>
      </c>
      <c r="E2787">
        <f>IF(D3719&gt;0,VLOOKUP(OPERAC[[#This Row],[COD CART]],[1]!MatrizCortoLargoCyl[#All],3,0),"")</f>
        <v/>
      </c>
      <c r="F2787" t="inlineStr">
        <is>
          <t>ADBE</t>
        </is>
      </c>
      <c r="G2787" t="n">
        <v>2</v>
      </c>
      <c r="H2787" t="n">
        <v>-842.10955</v>
      </c>
      <c r="I2787">
        <f>-H3719/G3719</f>
        <v/>
      </c>
      <c r="J2787" s="16" t="n">
        <v>44669</v>
      </c>
      <c r="K2787" t="n">
        <v>2</v>
      </c>
      <c r="L2787" t="n">
        <v>838.095</v>
      </c>
    </row>
    <row r="2788">
      <c r="A2788" t="n">
        <v>12672</v>
      </c>
      <c r="B2788" s="16" t="n">
        <v>44662</v>
      </c>
      <c r="C2788" t="inlineStr">
        <is>
          <t>VTA</t>
        </is>
      </c>
      <c r="D2788" t="n">
        <v>42</v>
      </c>
      <c r="E2788">
        <f>IF(D2936&gt;0,VLOOKUP(OPERAC[[#This Row],[COD CART]],[1]!MatrizCortoLargoCyl[#All],3,0),"")</f>
        <v/>
      </c>
      <c r="F2788" t="inlineStr">
        <is>
          <t>HYDR</t>
        </is>
      </c>
      <c r="G2788" t="n">
        <v>30</v>
      </c>
      <c r="H2788" t="n">
        <v>-557.1103199999999</v>
      </c>
      <c r="I2788">
        <f>-H2936/G2936</f>
        <v/>
      </c>
      <c r="J2788" s="16" t="n">
        <v>44693</v>
      </c>
      <c r="K2788">
        <f>+OPERAC[[#This Row],[cantidad]]</f>
        <v/>
      </c>
      <c r="L2788">
        <f>+OPERAC[[#This Row],[cantidad venta]]*12.027</f>
        <v/>
      </c>
    </row>
    <row r="2789">
      <c r="A2789" t="n">
        <v>12672</v>
      </c>
      <c r="B2789" s="16" t="n">
        <v>44664</v>
      </c>
      <c r="C2789" t="inlineStr">
        <is>
          <t>CPR</t>
        </is>
      </c>
      <c r="D2789" t="n">
        <v>42</v>
      </c>
      <c r="E2789">
        <f>IF(D4580&gt;0,VLOOKUP(OPERAC[[#This Row],[COD CART]],[1]!MatrizCortoLargoCyl[#All],3,0),"")</f>
        <v/>
      </c>
      <c r="F2789" t="inlineStr">
        <is>
          <t>PSQ</t>
        </is>
      </c>
      <c r="G2789" t="n">
        <v>100</v>
      </c>
      <c r="H2789" t="n">
        <v>-1243.2572181</v>
      </c>
      <c r="I2789">
        <f>-H4580/G4580</f>
        <v/>
      </c>
      <c r="J2789" s="16" t="n">
        <v>44680</v>
      </c>
      <c r="K2789">
        <f>+OPERAC[[#This Row],[cantidad]]</f>
        <v/>
      </c>
      <c r="L2789">
        <f>12.848*OPERAC[[#This Row],[cantidad venta]]</f>
        <v/>
      </c>
    </row>
    <row r="2790">
      <c r="A2790" t="n">
        <v>12672</v>
      </c>
      <c r="B2790" s="16" t="n">
        <v>44664</v>
      </c>
      <c r="C2790" t="inlineStr">
        <is>
          <t>VTA</t>
        </is>
      </c>
      <c r="D2790" t="n">
        <v>42</v>
      </c>
      <c r="E2790">
        <f>IF(D2291&gt;0,VLOOKUP(OPERAC[[#This Row],[COD CART]],[1]!MatrizCortoLargoCyl[#All],3,0),"")</f>
        <v/>
      </c>
      <c r="F2790" t="inlineStr">
        <is>
          <t>AMD</t>
        </is>
      </c>
      <c r="G2790" t="n">
        <v>4</v>
      </c>
      <c r="H2790" t="n">
        <v>-395.08261812</v>
      </c>
      <c r="I2790">
        <f>-H2291/G2291</f>
        <v/>
      </c>
      <c r="J2790" s="16" t="n">
        <v>44693</v>
      </c>
      <c r="K2790">
        <f>+OPERAC[[#This Row],[cantidad]]</f>
        <v/>
      </c>
      <c r="L2790">
        <f>+OPERAC[[#This Row],[cantidad venta]]*85.26</f>
        <v/>
      </c>
    </row>
    <row r="2791">
      <c r="A2791" t="n">
        <v>12672</v>
      </c>
      <c r="B2791" s="16" t="n">
        <v>44671</v>
      </c>
      <c r="C2791" t="inlineStr">
        <is>
          <t>CPR</t>
        </is>
      </c>
      <c r="D2791" t="n">
        <v>42</v>
      </c>
      <c r="E2791">
        <f>IF(D3504&gt;0,VLOOKUP(OPERAC[[#This Row],[COD CART]],[1]!MatrizCortoLargoCyl[#All],3,0),"")</f>
        <v/>
      </c>
      <c r="F2791" t="inlineStr">
        <is>
          <t>NFLX</t>
        </is>
      </c>
      <c r="G2791" t="n">
        <v>3</v>
      </c>
      <c r="H2791" t="n">
        <v>-763.51518</v>
      </c>
      <c r="I2791">
        <f>-H3504/G3504</f>
        <v/>
      </c>
      <c r="J2791" s="16" t="n">
        <v>44693</v>
      </c>
      <c r="K2791">
        <f>+OPERAC[[#This Row],[cantidad]]</f>
        <v/>
      </c>
      <c r="L2791">
        <f>+OPERAC[[#This Row],[cantidad venta]]*169.079</f>
        <v/>
      </c>
    </row>
    <row r="2792">
      <c r="A2792" t="n">
        <v>12672</v>
      </c>
      <c r="B2792" s="16" t="n">
        <v>44671</v>
      </c>
      <c r="C2792" t="inlineStr">
        <is>
          <t>VTA</t>
        </is>
      </c>
      <c r="D2792" t="n">
        <v>42</v>
      </c>
      <c r="E2792">
        <f>IF(D3065&gt;0,VLOOKUP(OPERAC[[#This Row],[COD CART]],[1]!MatrizCortoLargoCyl[#All],3,0),"")</f>
        <v/>
      </c>
      <c r="F2792" t="inlineStr">
        <is>
          <t>TLT</t>
        </is>
      </c>
      <c r="G2792" t="n">
        <v>5</v>
      </c>
      <c r="H2792" t="n">
        <v>-612.815025</v>
      </c>
      <c r="I2792">
        <f>-H3065/G3065</f>
        <v/>
      </c>
    </row>
    <row r="2793">
      <c r="A2793" t="n">
        <v>12672</v>
      </c>
      <c r="B2793" s="16" t="n">
        <v>44680</v>
      </c>
      <c r="C2793" t="inlineStr">
        <is>
          <t>CPR</t>
        </is>
      </c>
      <c r="D2793" t="n">
        <v>42</v>
      </c>
      <c r="E2793">
        <f>IF(D4739&gt;0,VLOOKUP(OPERAC[[#This Row],[COD CART]],[1]!MatrizCortoLargoCyl[#All],3,0),"")</f>
        <v/>
      </c>
      <c r="F2793" t="inlineStr">
        <is>
          <t>XLP</t>
        </is>
      </c>
      <c r="G2793" t="n">
        <v>17</v>
      </c>
      <c r="H2793" t="n">
        <v>-1350.3865425</v>
      </c>
      <c r="I2793">
        <f>-H4739/G4739</f>
        <v/>
      </c>
      <c r="J2793" s="16" t="n">
        <v>44693</v>
      </c>
      <c r="K2793">
        <f>+OPERAC[[#This Row],[cantidad]]</f>
        <v/>
      </c>
      <c r="L2793">
        <f>+OPERAC[[#This Row],[cantidad venta]]*74.848</f>
        <v/>
      </c>
    </row>
    <row r="2794">
      <c r="A2794" t="n">
        <v>12672</v>
      </c>
      <c r="B2794" s="16" t="n">
        <v>44697</v>
      </c>
      <c r="C2794" t="inlineStr">
        <is>
          <t>CPR</t>
        </is>
      </c>
      <c r="D2794" t="n">
        <v>32</v>
      </c>
      <c r="E2794">
        <f>IF(D2614&gt;0,VLOOKUP(OPERAC[[#This Row],[COD CART]],[1]!MatrizCortoLargoCyl[#All],3,0),"")</f>
        <v/>
      </c>
      <c r="F2794" t="inlineStr">
        <is>
          <t>TLRY/CYL/5,50/17-06-22</t>
        </is>
      </c>
      <c r="G2794" t="n">
        <v>100</v>
      </c>
      <c r="H2794">
        <f>-484.256+11.898</f>
        <v/>
      </c>
      <c r="I2794">
        <f>-H2614/G2614</f>
        <v/>
      </c>
    </row>
    <row r="2795">
      <c r="A2795" t="n">
        <v>12672</v>
      </c>
      <c r="B2795" s="16" t="n">
        <v>44698</v>
      </c>
      <c r="C2795" t="inlineStr">
        <is>
          <t>VTA</t>
        </is>
      </c>
      <c r="D2795" t="n">
        <v>39</v>
      </c>
      <c r="E2795">
        <f>IF(D1744&gt;0,VLOOKUP(OPERAC[[#This Row],[COD CART]],[1]!MatrizCortoLargoCyl[#All],3,0),"")</f>
        <v/>
      </c>
      <c r="F2795" t="inlineStr">
        <is>
          <t>NTLA/C/65,00/15-07-22</t>
        </is>
      </c>
      <c r="G2795" t="n">
        <v>100</v>
      </c>
      <c r="H2795" t="n">
        <v>-252.125</v>
      </c>
      <c r="I2795">
        <f>-H1744/G1744</f>
        <v/>
      </c>
    </row>
    <row r="2796">
      <c r="A2796" t="n">
        <v>12672</v>
      </c>
      <c r="B2796" s="16" t="n">
        <v>44708</v>
      </c>
      <c r="C2796" t="inlineStr">
        <is>
          <t>VTA</t>
        </is>
      </c>
      <c r="D2796" t="n">
        <v>42</v>
      </c>
      <c r="E2796">
        <f>IF(D2186&gt;0,VLOOKUP(OPERAC[[#This Row],[COD CART]],[1]!MatrizCortoLargoCyl[#All],3,0),"")</f>
        <v/>
      </c>
      <c r="F2796" t="inlineStr">
        <is>
          <t>ACB</t>
        </is>
      </c>
      <c r="G2796" t="n">
        <v>200</v>
      </c>
      <c r="H2796" t="n">
        <v>-365.064157761</v>
      </c>
      <c r="I2796">
        <f>-H2186/G2186</f>
        <v/>
      </c>
    </row>
    <row r="2797">
      <c r="A2797" t="n">
        <v>12672</v>
      </c>
      <c r="B2797" s="16" t="n">
        <v>44714</v>
      </c>
      <c r="C2797" t="inlineStr">
        <is>
          <t>VTA</t>
        </is>
      </c>
      <c r="D2797" t="n">
        <v>39</v>
      </c>
      <c r="E2797">
        <f>IF(D71&gt;0,VLOOKUP(OPERAC[[#This Row],[COD CART]],[1]!MatrizCortoLargoCyl[#All],3,0),"")</f>
        <v/>
      </c>
      <c r="F2797" t="inlineStr">
        <is>
          <t>TSLA/V/685,00/03-06-22</t>
        </is>
      </c>
      <c r="G2797" t="n">
        <v>-1400</v>
      </c>
      <c r="H2797" t="n">
        <v>4303.11</v>
      </c>
      <c r="I2797">
        <f>-H71/G71</f>
        <v/>
      </c>
      <c r="J2797" s="16" t="n">
        <v>44715</v>
      </c>
      <c r="K2797">
        <f>+OPERAC[[#This Row],[cantidad]]</f>
        <v/>
      </c>
      <c r="L2797" t="n">
        <v>0</v>
      </c>
    </row>
    <row r="2798">
      <c r="A2798" t="n">
        <v>12672</v>
      </c>
      <c r="B2798" s="16" t="n">
        <v>44715</v>
      </c>
      <c r="C2798" t="inlineStr">
        <is>
          <t>VTA</t>
        </is>
      </c>
      <c r="D2798" t="n">
        <v>32</v>
      </c>
      <c r="E2798">
        <f>IF(D5074&gt;0,VLOOKUP(OPERAC[[#This Row],[COD CART]],[1]!MatrizCortoLargoCyl[#All],3,0),"")</f>
        <v/>
      </c>
      <c r="F2798" t="inlineStr">
        <is>
          <t>AAL/CYL/16,50/17-06-22</t>
        </is>
      </c>
      <c r="G2798" t="n">
        <v>100</v>
      </c>
      <c r="H2798" t="n">
        <v>-1580.215</v>
      </c>
      <c r="I2798">
        <f>-H5074/G5074</f>
        <v/>
      </c>
    </row>
    <row r="2799">
      <c r="A2799" t="n">
        <v>12672</v>
      </c>
      <c r="B2799" s="16" t="n">
        <v>44718</v>
      </c>
      <c r="C2799" t="inlineStr">
        <is>
          <t>CPR</t>
        </is>
      </c>
      <c r="D2799" t="n">
        <v>42</v>
      </c>
      <c r="E2799">
        <f>IF(D5943&gt;0,VLOOKUP(OPERAC[[#This Row],[COD CART]],[1]!MatrizCortoLargoCyl[#All],3,0),"")</f>
        <v/>
      </c>
      <c r="F2799" t="inlineStr">
        <is>
          <t>KWEB</t>
        </is>
      </c>
      <c r="G2799" t="n">
        <v>100</v>
      </c>
      <c r="H2799" t="n">
        <v>-3108.3388</v>
      </c>
      <c r="I2799">
        <f>-H5943/G5943</f>
        <v/>
      </c>
    </row>
    <row r="2800">
      <c r="A2800" t="n">
        <v>12672</v>
      </c>
      <c r="B2800" s="16" t="n">
        <v>44720</v>
      </c>
      <c r="C2800" t="inlineStr">
        <is>
          <t>CPR</t>
        </is>
      </c>
      <c r="D2800" t="n">
        <v>42</v>
      </c>
      <c r="E2800">
        <f>IF(D4967&gt;0,VLOOKUP(OPERAC[[#This Row],[COD CART]],[1]!MatrizCortoLargoCyl[#All],3,0),"")</f>
        <v/>
      </c>
      <c r="F2800" t="inlineStr">
        <is>
          <t>HYDR</t>
        </is>
      </c>
      <c r="G2800" t="n">
        <v>100</v>
      </c>
      <c r="H2800" t="n">
        <v>-1512.75</v>
      </c>
      <c r="I2800">
        <f>-H4967/G4967</f>
        <v/>
      </c>
    </row>
    <row r="2801">
      <c r="A2801" t="n">
        <v>12674</v>
      </c>
      <c r="B2801" s="16" t="n">
        <v>44441</v>
      </c>
      <c r="C2801" t="inlineStr">
        <is>
          <t>VTA</t>
        </is>
      </c>
      <c r="D2801" t="n">
        <v>39</v>
      </c>
      <c r="E2801">
        <f>IF(D1224&gt;0,VLOOKUP(OPERAC[[#This Row],[COD CART]],[1]!MatrizCortoLargoCyl[#All],3,0),"")</f>
        <v/>
      </c>
      <c r="F2801" t="inlineStr">
        <is>
          <t>EDIT/V/35,00/20-01-23</t>
        </is>
      </c>
      <c r="G2801" t="n">
        <v>-1</v>
      </c>
      <c r="H2801" t="n">
        <v>6</v>
      </c>
      <c r="I2801">
        <f>-H1224/G1224</f>
        <v/>
      </c>
      <c r="J2801" s="16" t="n">
        <v>44642</v>
      </c>
      <c r="K2801" t="n">
        <v>-1</v>
      </c>
      <c r="L2801" t="n">
        <v>-18.1545</v>
      </c>
    </row>
    <row r="2802">
      <c r="A2802" t="n">
        <v>12674</v>
      </c>
      <c r="B2802" s="16" t="n">
        <v>44446</v>
      </c>
      <c r="C2802" t="inlineStr">
        <is>
          <t>CPR</t>
        </is>
      </c>
      <c r="D2802" t="n">
        <v>32</v>
      </c>
      <c r="E2802">
        <f>IF(D3287&gt;0,VLOOKUP(OPERAC[[#This Row],[COD CART]],[1]!MatrizCortoLargoCyl[#All],3,0),"")</f>
        <v/>
      </c>
      <c r="F2802" t="inlineStr">
        <is>
          <t>INO/CYL/8,00/18-02-22</t>
        </is>
      </c>
      <c r="G2802" t="n">
        <v>100</v>
      </c>
      <c r="H2802">
        <f>-758.932+27.502+30.172+14.579+4.707</f>
        <v/>
      </c>
      <c r="I2802">
        <f>-H3287/G3287</f>
        <v/>
      </c>
      <c r="J2802" s="16" t="n">
        <v>44596</v>
      </c>
      <c r="K2802" t="n">
        <v>100</v>
      </c>
      <c r="L2802">
        <f>3.665*OPERAC[[#This Row],[cantidad venta]]</f>
        <v/>
      </c>
    </row>
    <row r="2803">
      <c r="A2803" t="n">
        <v>12674</v>
      </c>
      <c r="B2803" s="16" t="n">
        <v>44466</v>
      </c>
      <c r="C2803" t="inlineStr">
        <is>
          <t>VTA</t>
        </is>
      </c>
      <c r="D2803" t="n">
        <v>43</v>
      </c>
      <c r="E2803">
        <f>IF(D1586&gt;0,VLOOKUP(OPERAC[[#This Row],[COD CART]],[1]!MatrizCortoLargoCyl[#All],3,0),"")</f>
        <v/>
      </c>
      <c r="F2803" t="inlineStr">
        <is>
          <t>SOLO/CYL-PUT/4,00/16-09-22</t>
        </is>
      </c>
      <c r="G2803" t="n">
        <v>100</v>
      </c>
      <c r="H2803">
        <f>-297.41727+0.32*OPERAC[[#This Row],[cantidad]]+0.387*OPERAC[[#This Row],[cantidad]]+0.22*OPERAC[[#This Row],[cantidad]]</f>
        <v/>
      </c>
      <c r="I2803">
        <f>-H1586/G1586</f>
        <v/>
      </c>
    </row>
    <row r="2804">
      <c r="A2804" t="n">
        <v>12674</v>
      </c>
      <c r="B2804" s="16" t="n">
        <v>44468</v>
      </c>
      <c r="C2804" t="inlineStr">
        <is>
          <t>CPR</t>
        </is>
      </c>
      <c r="D2804" t="n">
        <v>40</v>
      </c>
      <c r="E2804">
        <f>IF(D4538&gt;0,VLOOKUP(OPERAC[[#This Row],[COD CART]],[1]!MatrizCortoLargoCyl[#All],3,0),"")</f>
        <v/>
      </c>
      <c r="F2804" t="inlineStr">
        <is>
          <t>ACB</t>
        </is>
      </c>
      <c r="G2804" t="n">
        <v>200</v>
      </c>
      <c r="H2804">
        <f>-1366.84+35.306+46.926+30.394+48.65</f>
        <v/>
      </c>
      <c r="I2804">
        <f>-H4538/G4538</f>
        <v/>
      </c>
      <c r="J2804" s="16" t="n">
        <v>44592</v>
      </c>
      <c r="K2804" t="n">
        <v>200</v>
      </c>
      <c r="L2804">
        <f>+OPERAC[[#This Row],[cantidad venta]]*4.107</f>
        <v/>
      </c>
    </row>
    <row r="2805">
      <c r="A2805" t="n">
        <v>12674</v>
      </c>
      <c r="B2805" s="16" t="n">
        <v>44489</v>
      </c>
      <c r="C2805" t="inlineStr">
        <is>
          <t>VTA</t>
        </is>
      </c>
      <c r="D2805" t="n">
        <v>43</v>
      </c>
      <c r="E2805">
        <f>IF(D5446&gt;0,VLOOKUP(OPERAC[[#This Row],[COD CART]],[1]!MatrizCortoLargoCyl[#All],3,0),"")</f>
        <v/>
      </c>
      <c r="F2805" t="inlineStr">
        <is>
          <t>SESN/CYL-PUT/1,00/19-01-24</t>
        </is>
      </c>
      <c r="G2805" t="n">
        <v>10000</v>
      </c>
      <c r="H2805">
        <f>-0.1885*OPERAC[[#This Row],[cantidad]]</f>
        <v/>
      </c>
      <c r="I2805">
        <f>-H5446/G5446</f>
        <v/>
      </c>
    </row>
    <row r="2806">
      <c r="A2806" t="n">
        <v>12674</v>
      </c>
      <c r="B2806" s="16" t="n">
        <v>44494</v>
      </c>
      <c r="C2806" t="inlineStr">
        <is>
          <t>VTA</t>
        </is>
      </c>
      <c r="D2806" t="n">
        <v>40</v>
      </c>
      <c r="E2806">
        <f>IF(D3197&gt;0,VLOOKUP(OPERAC[[#This Row],[COD CART]],[1]!MatrizCortoLargoCyl[#All],3,0),"")</f>
        <v/>
      </c>
      <c r="F2806" t="inlineStr">
        <is>
          <t>YPF</t>
        </is>
      </c>
      <c r="G2806" t="n">
        <v>140</v>
      </c>
      <c r="H2806" t="n">
        <v>-651.3808000000001</v>
      </c>
      <c r="I2806">
        <f>-H3197/G3197</f>
        <v/>
      </c>
      <c r="J2806" s="16" t="n">
        <v>44606</v>
      </c>
      <c r="K2806">
        <f>+OPERAC[[#This Row],[cantidad]]</f>
        <v/>
      </c>
      <c r="L2806">
        <f>+OPERAC[[#This Row],[cantidad venta]]*4.161</f>
        <v/>
      </c>
    </row>
    <row r="2807">
      <c r="A2807" t="n">
        <v>12674</v>
      </c>
      <c r="B2807" s="16" t="n">
        <v>44495</v>
      </c>
      <c r="C2807" t="inlineStr">
        <is>
          <t>VTA</t>
        </is>
      </c>
      <c r="D2807" t="n">
        <v>39</v>
      </c>
      <c r="E2807">
        <f>IF(D384&gt;0,VLOOKUP(OPERAC[[#This Row],[COD CART]],[1]!MatrizCortoLargoCyl[#All],3,0),"")</f>
        <v/>
      </c>
      <c r="F2807" t="inlineStr">
        <is>
          <t>YPF/CC10/LP7/CP3/19-01-24</t>
        </is>
      </c>
      <c r="G2807" t="n">
        <v>-500</v>
      </c>
      <c r="H2807">
        <f>-2.41*OPERAC[[#This Row],[cantidad]]</f>
        <v/>
      </c>
      <c r="I2807">
        <f>-H384/G384</f>
        <v/>
      </c>
    </row>
    <row r="2808">
      <c r="A2808" t="n">
        <v>12674</v>
      </c>
      <c r="B2808" s="16" t="n">
        <v>44495</v>
      </c>
      <c r="C2808" t="inlineStr">
        <is>
          <t>VTA</t>
        </is>
      </c>
      <c r="D2808" t="n">
        <v>39</v>
      </c>
      <c r="E2808">
        <f>IF(D516&gt;0,VLOOKUP(OPERAC[[#This Row],[COD CART]],[1]!MatrizCortoLargoCyl[#All],3,0),"")</f>
        <v/>
      </c>
      <c r="F2808" t="inlineStr">
        <is>
          <t>TLRY/V/11,00/21-01-22</t>
        </is>
      </c>
      <c r="G2808" t="n">
        <v>-500</v>
      </c>
      <c r="H2808" t="n">
        <v>863.1</v>
      </c>
      <c r="I2808">
        <f>-H516/G516</f>
        <v/>
      </c>
      <c r="J2808" s="16" t="n">
        <v>44571</v>
      </c>
      <c r="K2808">
        <f>+OPERAC[[#This Row],[cantidad]]</f>
        <v/>
      </c>
      <c r="L2808">
        <f>-OPERAC[[#This Row],[importe]]</f>
        <v/>
      </c>
    </row>
    <row r="2809">
      <c r="A2809" t="n">
        <v>12674</v>
      </c>
      <c r="B2809" s="16" t="n">
        <v>44501</v>
      </c>
      <c r="C2809" t="inlineStr">
        <is>
          <t>VTA</t>
        </is>
      </c>
      <c r="D2809" t="n">
        <v>32</v>
      </c>
      <c r="E2809">
        <f>IF(D5481&gt;0,VLOOKUP(OPERAC[[#This Row],[COD CART]],[1]!MatrizCortoLargoCyl[#All],3,0),"")</f>
        <v/>
      </c>
      <c r="F2809" t="inlineStr">
        <is>
          <t>SKLZ/CYL/10,00/21-01-22</t>
        </is>
      </c>
      <c r="G2809" t="n">
        <v>200</v>
      </c>
      <c r="H2809">
        <f>-2029.614+78.015</f>
        <v/>
      </c>
      <c r="I2809">
        <f>-H5481/G5481</f>
        <v/>
      </c>
      <c r="J2809" s="16" t="n">
        <v>44579</v>
      </c>
      <c r="K2809">
        <f>+OPERAC[[#This Row],[cantidad]]</f>
        <v/>
      </c>
      <c r="L2809">
        <f>+OPERAC[[#This Row],[cantidad venta]]*5.679</f>
        <v/>
      </c>
    </row>
    <row r="2810">
      <c r="A2810" t="n">
        <v>12674</v>
      </c>
      <c r="B2810" s="16" t="n">
        <v>44505</v>
      </c>
      <c r="C2810" t="inlineStr">
        <is>
          <t>CPR</t>
        </is>
      </c>
      <c r="D2810" t="n">
        <v>32</v>
      </c>
      <c r="E2810">
        <f>IF(D5736&gt;0,VLOOKUP(OPERAC[[#This Row],[COD CART]],[1]!MatrizCortoLargoCyl[#All],3,0),"")</f>
        <v/>
      </c>
      <c r="F2810" t="inlineStr">
        <is>
          <t>DDD/CYL/28,00/21-01-22</t>
        </is>
      </c>
      <c r="G2810" t="n">
        <v>100</v>
      </c>
      <c r="H2810">
        <f>-2682.032+69.44</f>
        <v/>
      </c>
      <c r="I2810">
        <f>-H5736/G5736</f>
        <v/>
      </c>
      <c r="J2810" s="16" t="n">
        <v>44573</v>
      </c>
      <c r="K2810" t="n">
        <v>100</v>
      </c>
      <c r="L2810" t="n">
        <v>2032.88</v>
      </c>
    </row>
    <row r="2811">
      <c r="A2811" t="n">
        <v>12674</v>
      </c>
      <c r="B2811" s="16" t="n">
        <v>44511</v>
      </c>
      <c r="C2811" t="inlineStr">
        <is>
          <t>CPR</t>
        </is>
      </c>
      <c r="D2811" t="n">
        <v>31</v>
      </c>
      <c r="E2811">
        <f>IF(D4383&gt;0,VLOOKUP(OPERAC[[#This Row],[COD CART]],[1]!MatrizCortoLargoCyl[#All],3,0),"")</f>
        <v/>
      </c>
      <c r="F2811" t="inlineStr">
        <is>
          <t>IPIX</t>
        </is>
      </c>
      <c r="G2811" t="n">
        <v>10000</v>
      </c>
      <c r="H2811" t="n">
        <v>-1099.9</v>
      </c>
      <c r="I2811">
        <f>-H4383/G4383</f>
        <v/>
      </c>
    </row>
    <row r="2812">
      <c r="A2812" t="n">
        <v>12674</v>
      </c>
      <c r="B2812" s="16" t="n">
        <v>44516</v>
      </c>
      <c r="C2812" t="inlineStr">
        <is>
          <t>VTA</t>
        </is>
      </c>
      <c r="D2812" t="n">
        <v>40</v>
      </c>
      <c r="E2812">
        <f>IF(D3214&gt;0,VLOOKUP(OPERAC[[#This Row],[COD CART]],[1]!MatrizCortoLargoCyl[#All],3,0),"")</f>
        <v/>
      </c>
      <c r="F2812" t="inlineStr">
        <is>
          <t>ACB</t>
        </is>
      </c>
      <c r="G2812" t="n">
        <v>100</v>
      </c>
      <c r="H2812">
        <f>-680.27+22.293</f>
        <v/>
      </c>
      <c r="I2812">
        <f>-H3214/G3214</f>
        <v/>
      </c>
      <c r="J2812" s="16" t="n">
        <v>44592</v>
      </c>
      <c r="K2812" t="n">
        <v>100</v>
      </c>
      <c r="L2812">
        <f>+OPERAC[[#This Row],[cantidad venta]]*4.107</f>
        <v/>
      </c>
    </row>
    <row r="2813">
      <c r="A2813" t="n">
        <v>12674</v>
      </c>
      <c r="B2813" s="16" t="n">
        <v>44523</v>
      </c>
      <c r="C2813" t="inlineStr">
        <is>
          <t>VTA</t>
        </is>
      </c>
      <c r="D2813" t="n">
        <v>32</v>
      </c>
      <c r="E2813">
        <f>IF(D2315&gt;0,VLOOKUP(OPERAC[[#This Row],[COD CART]],[1]!MatrizCortoLargoCyl[#All],3,0),"")</f>
        <v/>
      </c>
      <c r="F2813" t="inlineStr">
        <is>
          <t>GMBL</t>
        </is>
      </c>
      <c r="G2813" t="n">
        <v>100</v>
      </c>
      <c r="H2813">
        <f>-411.931+9.067</f>
        <v/>
      </c>
      <c r="I2813">
        <f>-H2315/G2315</f>
        <v/>
      </c>
      <c r="J2813" s="16" t="n">
        <v>44642</v>
      </c>
      <c r="K2813" t="n">
        <v>100</v>
      </c>
      <c r="L2813" t="n">
        <v>79.789</v>
      </c>
    </row>
    <row r="2814">
      <c r="A2814" t="n">
        <v>12674</v>
      </c>
      <c r="B2814" s="16" t="n">
        <v>44523</v>
      </c>
      <c r="C2814" t="inlineStr">
        <is>
          <t>VTA</t>
        </is>
      </c>
      <c r="D2814" t="n">
        <v>40</v>
      </c>
      <c r="E2814">
        <f>IF(D2833&gt;0,VLOOKUP(OPERAC[[#This Row],[COD CART]],[1]!MatrizCortoLargoCyl[#All],3,0),"")</f>
        <v/>
      </c>
      <c r="F2814" t="inlineStr">
        <is>
          <t>EDU</t>
        </is>
      </c>
      <c r="G2814" t="n">
        <v>300</v>
      </c>
      <c r="H2814">
        <f>-533.847+0.026*OPERAC[[#This Row],[cantidad]]</f>
        <v/>
      </c>
      <c r="I2814">
        <f>-H2833/G2833</f>
        <v/>
      </c>
      <c r="J2814" s="16" t="n">
        <v>44630</v>
      </c>
      <c r="K2814" t="n">
        <v>300</v>
      </c>
      <c r="L2814" t="n">
        <v>340.997</v>
      </c>
    </row>
    <row r="2815">
      <c r="A2815" t="n">
        <v>12674</v>
      </c>
      <c r="B2815" s="16" t="n">
        <v>44532</v>
      </c>
      <c r="C2815" t="inlineStr">
        <is>
          <t>VTA</t>
        </is>
      </c>
      <c r="D2815" t="n">
        <v>32</v>
      </c>
      <c r="E2815">
        <f>IF(D5342&gt;0,VLOOKUP(OPERAC[[#This Row],[COD CART]],[1]!MatrizCortoLargoCyl[#All],3,0),"")</f>
        <v/>
      </c>
      <c r="F2815" t="inlineStr">
        <is>
          <t>COTY/CYL/10,00/18-02-22</t>
        </is>
      </c>
      <c r="G2815" t="n">
        <v>200</v>
      </c>
      <c r="H2815">
        <f>-1803.198+41.676</f>
        <v/>
      </c>
      <c r="I2815">
        <f>-H5342/G5342</f>
        <v/>
      </c>
      <c r="J2815" s="16" t="n">
        <v>44608</v>
      </c>
      <c r="K2815">
        <f>+OPERAC[[#This Row],[cantidad]]</f>
        <v/>
      </c>
      <c r="L2815" t="n">
        <v>1889.088</v>
      </c>
    </row>
    <row r="2816">
      <c r="A2816" t="n">
        <v>12674</v>
      </c>
      <c r="B2816" s="16" t="n">
        <v>44539</v>
      </c>
      <c r="C2816" t="inlineStr">
        <is>
          <t>CPR</t>
        </is>
      </c>
      <c r="D2816" t="n">
        <v>40</v>
      </c>
      <c r="E2816">
        <f>IF(D5722&gt;0,VLOOKUP(OPERAC[[#This Row],[COD CART]],[1]!MatrizCortoLargoCyl[#All],3,0),"")</f>
        <v/>
      </c>
      <c r="F2816" t="inlineStr">
        <is>
          <t>ROKU</t>
        </is>
      </c>
      <c r="G2816" t="n">
        <v>10</v>
      </c>
      <c r="H2816" t="n">
        <v>-2577.2036</v>
      </c>
      <c r="I2816">
        <f>-H5722/G5722</f>
        <v/>
      </c>
      <c r="J2816" s="16" t="n">
        <v>44592</v>
      </c>
      <c r="K2816">
        <f>5+5</f>
        <v/>
      </c>
      <c r="L2816">
        <f>785.557+804.492</f>
        <v/>
      </c>
    </row>
    <row r="2817">
      <c r="A2817" t="n">
        <v>12674</v>
      </c>
      <c r="B2817" s="16" t="n">
        <v>44543</v>
      </c>
      <c r="C2817" t="inlineStr">
        <is>
          <t>VTA</t>
        </is>
      </c>
      <c r="D2817" t="n">
        <v>40</v>
      </c>
      <c r="E2817">
        <f>IF(D2949&gt;0,VLOOKUP(OPERAC[[#This Row],[COD CART]],[1]!MatrizCortoLargoCyl[#All],3,0),"")</f>
        <v/>
      </c>
      <c r="F2817" t="inlineStr">
        <is>
          <t>VIST</t>
        </is>
      </c>
      <c r="G2817" t="n">
        <v>100</v>
      </c>
      <c r="H2817" t="n">
        <v>-559.9400000000001</v>
      </c>
      <c r="I2817">
        <f>-H2949/G2949</f>
        <v/>
      </c>
      <c r="J2817" s="16" t="n">
        <v>44574</v>
      </c>
      <c r="K2817">
        <f>+OPERAC[[#This Row],[cantidad]]</f>
        <v/>
      </c>
      <c r="L2817">
        <f>+OPERAC[[#This Row],[cantidad venta]]*6.125</f>
        <v/>
      </c>
    </row>
    <row r="2818">
      <c r="A2818" t="n">
        <v>12674</v>
      </c>
      <c r="B2818" s="16" t="n">
        <v>44547</v>
      </c>
      <c r="C2818" t="inlineStr">
        <is>
          <t>VTA</t>
        </is>
      </c>
      <c r="D2818" t="n">
        <v>32</v>
      </c>
      <c r="E2818">
        <f>IF(D3791&gt;0,VLOOKUP(OPERAC[[#This Row],[COD CART]],[1]!MatrizCortoLargoCyl[#All],3,0),"")</f>
        <v/>
      </c>
      <c r="F2818" t="inlineStr">
        <is>
          <t>ARLO/CYL/9,00/18-02-22</t>
        </is>
      </c>
      <c r="G2818" t="n">
        <v>100</v>
      </c>
      <c r="H2818">
        <f>-866.74+14.88</f>
        <v/>
      </c>
      <c r="I2818">
        <f>-H3791/G3791</f>
        <v/>
      </c>
      <c r="J2818" s="16" t="n">
        <v>44607</v>
      </c>
      <c r="K2818" t="n">
        <v>100</v>
      </c>
      <c r="L2818" t="n">
        <v>875.33</v>
      </c>
    </row>
    <row r="2819">
      <c r="A2819" t="n">
        <v>12674</v>
      </c>
      <c r="B2819" s="16" t="n">
        <v>44550</v>
      </c>
      <c r="C2819" t="inlineStr">
        <is>
          <t>CPR</t>
        </is>
      </c>
      <c r="D2819" t="n">
        <v>40</v>
      </c>
      <c r="E2819">
        <f>IF(D4896&gt;0,VLOOKUP(OPERAC[[#This Row],[COD CART]],[1]!MatrizCortoLargoCyl[#All],3,0),"")</f>
        <v/>
      </c>
      <c r="F2819" t="inlineStr">
        <is>
          <t>SMH</t>
        </is>
      </c>
      <c r="G2819" t="n">
        <v>5</v>
      </c>
      <c r="H2819" t="n">
        <v>-1469.8652</v>
      </c>
      <c r="I2819">
        <f>-H4896/G4896</f>
        <v/>
      </c>
      <c r="J2819" s="16" t="n">
        <v>44574</v>
      </c>
      <c r="K2819">
        <f>+OPERAC[[#This Row],[cantidad]]</f>
        <v/>
      </c>
      <c r="L2819">
        <f>+OPERAC[[#This Row],[cantidad venta]]*306.843</f>
        <v/>
      </c>
    </row>
    <row r="2820">
      <c r="A2820" t="n">
        <v>12674</v>
      </c>
      <c r="B2820" s="16" t="n">
        <v>44552</v>
      </c>
      <c r="C2820" t="inlineStr">
        <is>
          <t>CPR</t>
        </is>
      </c>
      <c r="D2820" t="n">
        <v>32</v>
      </c>
      <c r="E2820">
        <f>IF(D3473&gt;0,VLOOKUP(OPERAC[[#This Row],[COD CART]],[1]!MatrizCortoLargoCyl[#All],3,0),"")</f>
        <v/>
      </c>
      <c r="F2820" t="inlineStr">
        <is>
          <t>HMY/CYL/4,00/21-01-22</t>
        </is>
      </c>
      <c r="G2820" t="n">
        <v>200</v>
      </c>
      <c r="H2820">
        <f>-3.8*OPERAC[[#This Row],[cantidad]]</f>
        <v/>
      </c>
      <c r="I2820">
        <f>-H3473/G3473</f>
        <v/>
      </c>
      <c r="J2820" s="16" t="n">
        <v>44580</v>
      </c>
      <c r="K2820" t="n">
        <v>200</v>
      </c>
      <c r="L2820" t="n">
        <v>787.86</v>
      </c>
    </row>
    <row r="2821">
      <c r="A2821" t="n">
        <v>12674</v>
      </c>
      <c r="B2821" s="16" t="n">
        <v>44552</v>
      </c>
      <c r="C2821" t="inlineStr">
        <is>
          <t>VTA</t>
        </is>
      </c>
      <c r="D2821" t="n">
        <v>32</v>
      </c>
      <c r="E2821">
        <f>IF(D5379&gt;0,VLOOKUP(OPERAC[[#This Row],[COD CART]],[1]!MatrizCortoLargoCyl[#All],3,0),"")</f>
        <v/>
      </c>
      <c r="F2821" t="inlineStr">
        <is>
          <t>GOLD/CYL/19,00/21-01-22</t>
        </is>
      </c>
      <c r="G2821" t="n">
        <v>100</v>
      </c>
      <c r="H2821">
        <f>-18.08*OPERAC[[#This Row],[cantidad]]</f>
        <v/>
      </c>
      <c r="I2821">
        <f>-H5379/G5379</f>
        <v/>
      </c>
      <c r="J2821" s="16" t="n">
        <v>44580</v>
      </c>
      <c r="K2821" t="n">
        <v>100</v>
      </c>
      <c r="L2821" t="n">
        <v>1876.846</v>
      </c>
    </row>
    <row r="2822">
      <c r="A2822" t="n">
        <v>12674</v>
      </c>
      <c r="B2822" s="16" t="n">
        <v>44573</v>
      </c>
      <c r="C2822" t="inlineStr">
        <is>
          <t>VTA</t>
        </is>
      </c>
      <c r="D2822" t="n">
        <v>39</v>
      </c>
      <c r="E2822">
        <f>IF(D586&gt;0,VLOOKUP(OPERAC[[#This Row],[COD CART]],[1]!MatrizCortoLargoCyl[#All],3,0),"")</f>
        <v/>
      </c>
      <c r="F2822" t="inlineStr">
        <is>
          <t>ROKU/V/170,00/21-01-22</t>
        </is>
      </c>
      <c r="G2822" t="n">
        <v>-200</v>
      </c>
      <c r="H2822" t="n">
        <v>653.92</v>
      </c>
      <c r="I2822">
        <f>-H586/G586</f>
        <v/>
      </c>
      <c r="J2822" s="16" t="n">
        <v>44582</v>
      </c>
      <c r="K2822" t="n">
        <v>-200</v>
      </c>
      <c r="L2822">
        <f>-OPERAC[[#This Row],[importe]]</f>
        <v/>
      </c>
    </row>
    <row r="2823">
      <c r="A2823" t="n">
        <v>12674</v>
      </c>
      <c r="B2823" s="16" t="n">
        <v>44579</v>
      </c>
      <c r="C2823" t="inlineStr">
        <is>
          <t>VTA</t>
        </is>
      </c>
      <c r="D2823" t="n">
        <v>39</v>
      </c>
      <c r="E2823">
        <f>IF(D537&gt;0,VLOOKUP(OPERAC[[#This Row],[COD CART]],[1]!MatrizCortoLargoCyl[#All],3,0),"")</f>
        <v/>
      </c>
      <c r="F2823" t="inlineStr">
        <is>
          <t>ACB/V/5,50/21-01-22</t>
        </is>
      </c>
      <c r="G2823" t="n">
        <v>-2600</v>
      </c>
      <c r="H2823" t="n">
        <v>830.336</v>
      </c>
      <c r="I2823">
        <f>-H537/G537</f>
        <v/>
      </c>
      <c r="J2823" s="16" t="n">
        <v>44581</v>
      </c>
      <c r="K2823">
        <f>+OPERAC[[#This Row],[cantidad]]</f>
        <v/>
      </c>
      <c r="L2823">
        <f>-OPERAC[[#This Row],[importe]]</f>
        <v/>
      </c>
    </row>
    <row r="2824">
      <c r="A2824" t="n">
        <v>12674</v>
      </c>
      <c r="B2824" s="16" t="n">
        <v>44581</v>
      </c>
      <c r="C2824" t="inlineStr">
        <is>
          <t>VTA</t>
        </is>
      </c>
      <c r="D2824" t="n">
        <v>39</v>
      </c>
      <c r="E2824">
        <f>IF(D344&gt;0,VLOOKUP(OPERAC[[#This Row],[COD CART]],[1]!MatrizCortoLargoCyl[#All],3,0),"")</f>
        <v/>
      </c>
      <c r="F2824" t="inlineStr">
        <is>
          <t>ACB/V/5,50/25-02-22</t>
        </is>
      </c>
      <c r="G2824" t="n">
        <v>-1600</v>
      </c>
      <c r="H2824" t="n">
        <v>1312.9928</v>
      </c>
      <c r="I2824">
        <f>-H344/G344</f>
        <v/>
      </c>
      <c r="J2824" s="16" t="n">
        <v>44614</v>
      </c>
      <c r="K2824" t="n">
        <v>-1600</v>
      </c>
      <c r="L2824" t="n">
        <v>-1313</v>
      </c>
    </row>
    <row r="2825">
      <c r="A2825" t="n">
        <v>12674</v>
      </c>
      <c r="B2825" s="16" t="n">
        <v>44582</v>
      </c>
      <c r="C2825" t="inlineStr">
        <is>
          <t>VTA</t>
        </is>
      </c>
      <c r="D2825" t="n">
        <v>39</v>
      </c>
      <c r="E2825">
        <f>IF(D125&gt;0,VLOOKUP(OPERAC[[#This Row],[COD CART]],[1]!MatrizCortoLargoCyl[#All],3,0),"")</f>
        <v/>
      </c>
      <c r="F2825" t="inlineStr">
        <is>
          <t>ROKU/V/160,00/28-01-22</t>
        </is>
      </c>
      <c r="G2825" t="n">
        <v>-300</v>
      </c>
      <c r="H2825" t="n">
        <v>3169.1364</v>
      </c>
      <c r="I2825">
        <f>-H125/G125</f>
        <v/>
      </c>
      <c r="J2825" s="16" t="n">
        <v>44587</v>
      </c>
      <c r="K2825">
        <f>+OPERAC[[#This Row],[cantidad]]</f>
        <v/>
      </c>
      <c r="L2825">
        <f>-OPERAC[[#This Row],[importe]]</f>
        <v/>
      </c>
    </row>
    <row r="2826">
      <c r="A2826" t="n">
        <v>12674</v>
      </c>
      <c r="B2826" s="16" t="n">
        <v>44582</v>
      </c>
      <c r="C2826" t="inlineStr">
        <is>
          <t>VTA</t>
        </is>
      </c>
      <c r="D2826" t="n">
        <v>40</v>
      </c>
      <c r="E2826">
        <f>IF(D5485&gt;0,VLOOKUP(OPERAC[[#This Row],[COD CART]],[1]!MatrizCortoLargoCyl[#All],3,0),"")</f>
        <v/>
      </c>
      <c r="F2826" t="inlineStr">
        <is>
          <t>NFLX</t>
        </is>
      </c>
      <c r="G2826" t="n">
        <v>5</v>
      </c>
      <c r="H2826" t="n">
        <v>-1953.1855</v>
      </c>
      <c r="I2826">
        <f>-H5485/G5485</f>
        <v/>
      </c>
      <c r="J2826" s="16" t="n">
        <v>44592</v>
      </c>
      <c r="K2826" t="n">
        <v>5</v>
      </c>
      <c r="L2826" t="n">
        <v>2061.011</v>
      </c>
    </row>
    <row r="2827">
      <c r="A2827" t="n">
        <v>12674</v>
      </c>
      <c r="B2827" s="16" t="n">
        <v>44586</v>
      </c>
      <c r="C2827" t="inlineStr">
        <is>
          <t>CPR</t>
        </is>
      </c>
      <c r="D2827" t="n">
        <v>43</v>
      </c>
      <c r="E2827">
        <f>IF(D5712&gt;0,VLOOKUP(OPERAC[[#This Row],[COD CART]],[1]!MatrizCortoLargoCyl[#All],3,0),"")</f>
        <v/>
      </c>
      <c r="F2827" t="inlineStr">
        <is>
          <t>GMBL/CYL-PUT/2,50/20-01-23</t>
        </is>
      </c>
      <c r="G2827" t="n">
        <v>2500</v>
      </c>
      <c r="H2827" t="n">
        <v>-2540.1023</v>
      </c>
      <c r="I2827">
        <f>-H5712/G5712</f>
        <v/>
      </c>
      <c r="J2827" s="16" t="n">
        <v>44652</v>
      </c>
      <c r="K2827">
        <f>500+1000+500+500</f>
        <v/>
      </c>
      <c r="L2827">
        <f>-650.5-1231.69-933.26-892.87</f>
        <v/>
      </c>
    </row>
    <row r="2828">
      <c r="A2828" t="n">
        <v>12674</v>
      </c>
      <c r="B2828" s="16" t="n">
        <v>44587</v>
      </c>
      <c r="C2828" t="inlineStr">
        <is>
          <t>CPR</t>
        </is>
      </c>
      <c r="D2828" t="n">
        <v>40</v>
      </c>
      <c r="E2828">
        <f>IF(D3670&gt;0,VLOOKUP(OPERAC[[#This Row],[COD CART]],[1]!MatrizCortoLargoCyl[#All],3,0),"")</f>
        <v/>
      </c>
      <c r="F2828" t="inlineStr">
        <is>
          <t>AAPL</t>
        </is>
      </c>
      <c r="G2828" t="n">
        <v>5</v>
      </c>
      <c r="H2828" t="n">
        <v>-820.2721</v>
      </c>
      <c r="I2828">
        <f>-H3670/G3670</f>
        <v/>
      </c>
      <c r="J2828" s="16" t="n">
        <v>44592</v>
      </c>
      <c r="K2828" t="n">
        <v>5</v>
      </c>
      <c r="L2828" t="n">
        <v>857.963</v>
      </c>
    </row>
    <row r="2829">
      <c r="A2829" t="n">
        <v>12674</v>
      </c>
      <c r="B2829" s="16" t="n">
        <v>44587</v>
      </c>
      <c r="C2829" t="inlineStr">
        <is>
          <t>CPR</t>
        </is>
      </c>
      <c r="D2829" t="n">
        <v>40</v>
      </c>
      <c r="E2829">
        <f>IF(D4980&gt;0,VLOOKUP(OPERAC[[#This Row],[COD CART]],[1]!MatrizCortoLargoCyl[#All],3,0),"")</f>
        <v/>
      </c>
      <c r="F2829" t="inlineStr">
        <is>
          <t>MSFT</t>
        </is>
      </c>
      <c r="G2829" t="n">
        <v>5</v>
      </c>
      <c r="H2829" t="n">
        <v>-1517.0563</v>
      </c>
      <c r="I2829">
        <f>-H4980/G4980</f>
        <v/>
      </c>
      <c r="J2829" s="16" t="n">
        <v>44592</v>
      </c>
      <c r="K2829" t="n">
        <v>5</v>
      </c>
      <c r="L2829" t="n">
        <v>1538.872</v>
      </c>
    </row>
    <row r="2830">
      <c r="A2830" t="n">
        <v>12674</v>
      </c>
      <c r="B2830" s="16" t="n">
        <v>44587</v>
      </c>
      <c r="C2830" t="inlineStr">
        <is>
          <t>VTA</t>
        </is>
      </c>
      <c r="D2830" t="n">
        <v>39</v>
      </c>
      <c r="E2830">
        <f>IF(D172&gt;0,VLOOKUP(OPERAC[[#This Row],[COD CART]],[1]!MatrizCortoLargoCyl[#All],3,0),"")</f>
        <v/>
      </c>
      <c r="F2830" t="inlineStr">
        <is>
          <t>ROKU/V/155,00/04-02-22</t>
        </is>
      </c>
      <c r="G2830" t="n">
        <v>-300</v>
      </c>
      <c r="H2830" t="n">
        <v>2381.988</v>
      </c>
      <c r="I2830">
        <f>-H172/G172</f>
        <v/>
      </c>
      <c r="J2830" s="16" t="n">
        <v>44592</v>
      </c>
      <c r="K2830">
        <f>+OPERAC[[#This Row],[cantidad]]</f>
        <v/>
      </c>
      <c r="L2830" t="n">
        <v>-1074.6942</v>
      </c>
    </row>
    <row r="2831">
      <c r="A2831" t="n">
        <v>12674</v>
      </c>
      <c r="B2831" s="16" t="n">
        <v>44592</v>
      </c>
      <c r="C2831" t="inlineStr">
        <is>
          <t>VTA</t>
        </is>
      </c>
      <c r="D2831" t="n">
        <v>39</v>
      </c>
      <c r="E2831">
        <f>IF(D492&gt;0,VLOOKUP(OPERAC[[#This Row],[COD CART]],[1]!MatrizCortoLargoCyl[#All],3,0),"")</f>
        <v/>
      </c>
      <c r="F2831" t="inlineStr">
        <is>
          <t>ROKU/V/150,00/11-02-22</t>
        </is>
      </c>
      <c r="G2831" t="n">
        <v>-200</v>
      </c>
      <c r="H2831" t="n">
        <v>951.528</v>
      </c>
      <c r="I2831">
        <f>-H492/G492</f>
        <v/>
      </c>
      <c r="J2831" s="16" t="n">
        <v>44601</v>
      </c>
      <c r="K2831">
        <f>+OPERAC[[#This Row],[cantidad]]</f>
        <v/>
      </c>
      <c r="L2831">
        <f>0.67*OPERAC[[#This Row],[cantidad venta]]</f>
        <v/>
      </c>
    </row>
    <row r="2832">
      <c r="A2832" t="n">
        <v>12674</v>
      </c>
      <c r="B2832" s="16" t="n">
        <v>44596</v>
      </c>
      <c r="C2832" t="inlineStr">
        <is>
          <t>VTA</t>
        </is>
      </c>
      <c r="D2832" t="n">
        <v>39</v>
      </c>
      <c r="E2832">
        <f>IF(D728&gt;0,VLOOKUP(OPERAC[[#This Row],[COD CART]],[1]!MatrizCortoLargoCyl[#All],3,0),"")</f>
        <v/>
      </c>
      <c r="F2832" t="inlineStr">
        <is>
          <t>MELI/V/850,00/11-02-22</t>
        </is>
      </c>
      <c r="G2832" t="n">
        <v>-100</v>
      </c>
      <c r="H2832" t="n">
        <v>390</v>
      </c>
      <c r="I2832">
        <f>-H728/G728</f>
        <v/>
      </c>
      <c r="J2832" s="16" t="n">
        <v>44603</v>
      </c>
      <c r="K2832" t="n">
        <v>-100</v>
      </c>
      <c r="L2832" t="n">
        <v>0</v>
      </c>
    </row>
    <row r="2833">
      <c r="A2833" t="n">
        <v>12674</v>
      </c>
      <c r="B2833" s="16" t="n">
        <v>44608</v>
      </c>
      <c r="C2833" t="inlineStr">
        <is>
          <t>VTA</t>
        </is>
      </c>
      <c r="D2833" t="n">
        <v>32</v>
      </c>
      <c r="E2833">
        <f>IF(D5106&gt;0,VLOOKUP(OPERAC[[#This Row],[COD CART]],[1]!MatrizCortoLargoCyl[#All],3,0),"")</f>
        <v/>
      </c>
      <c r="F2833" t="inlineStr">
        <is>
          <t>DDD/CYL/17,00/01-04-22</t>
        </is>
      </c>
      <c r="G2833" t="n">
        <v>100</v>
      </c>
      <c r="H2833">
        <f>-1629.4234+19.7+16.45</f>
        <v/>
      </c>
      <c r="I2833">
        <f>-H5106/G5106</f>
        <v/>
      </c>
      <c r="J2833" s="16" t="n">
        <v>44649</v>
      </c>
      <c r="K2833" t="n">
        <v>100</v>
      </c>
      <c r="L2833" t="n">
        <v>1661.98</v>
      </c>
    </row>
    <row r="2834">
      <c r="A2834" t="n">
        <v>12674</v>
      </c>
      <c r="B2834" s="16" t="n">
        <v>44609</v>
      </c>
      <c r="C2834" t="inlineStr">
        <is>
          <t>VTA</t>
        </is>
      </c>
      <c r="D2834" t="n">
        <v>32</v>
      </c>
      <c r="E2834">
        <f>IF(D5277&gt;0,VLOOKUP(OPERAC[[#This Row],[COD CART]],[1]!MatrizCortoLargoCyl[#All],3,0),"")</f>
        <v/>
      </c>
      <c r="F2834" t="inlineStr">
        <is>
          <t>F</t>
        </is>
      </c>
      <c r="G2834" t="n">
        <v>100</v>
      </c>
      <c r="H2834" t="n">
        <v>-1715.2776</v>
      </c>
      <c r="I2834">
        <f>-H5277/G5277</f>
        <v/>
      </c>
      <c r="J2834" s="16" t="n">
        <v>44649</v>
      </c>
      <c r="K2834" t="n">
        <v>100</v>
      </c>
      <c r="L2834">
        <f>17.636*OPERAC[[#This Row],[cantidad venta]]</f>
        <v/>
      </c>
    </row>
    <row r="2835">
      <c r="A2835" t="n">
        <v>12674</v>
      </c>
      <c r="B2835" s="16" t="n">
        <v>44614</v>
      </c>
      <c r="C2835" t="inlineStr">
        <is>
          <t>VTA</t>
        </is>
      </c>
      <c r="D2835" t="n">
        <v>39</v>
      </c>
      <c r="E2835">
        <f>IF(D1135&gt;0,VLOOKUP(OPERAC[[#This Row],[COD CART]],[1]!MatrizCortoLargoCyl[#All],3,0),"")</f>
        <v/>
      </c>
      <c r="F2835" t="inlineStr">
        <is>
          <t>DDD/V/10,00/19-01-24</t>
        </is>
      </c>
      <c r="G2835" t="n">
        <v>-10</v>
      </c>
      <c r="H2835" t="n">
        <v>19.79</v>
      </c>
      <c r="I2835">
        <f>-H1135/G1135</f>
        <v/>
      </c>
    </row>
    <row r="2836">
      <c r="A2836" t="n">
        <v>12674</v>
      </c>
      <c r="B2836" s="16" t="n">
        <v>44622</v>
      </c>
      <c r="C2836" t="inlineStr">
        <is>
          <t>CPR</t>
        </is>
      </c>
      <c r="D2836" t="n">
        <v>32</v>
      </c>
      <c r="E2836">
        <f>IF(D4057&gt;0,VLOOKUP(OPERAC[[#This Row],[COD CART]],[1]!MatrizCortoLargoCyl[#All],3,0),"")</f>
        <v/>
      </c>
      <c r="F2836" t="inlineStr">
        <is>
          <t>SABR/CYL/10,00/14-04-22</t>
        </is>
      </c>
      <c r="G2836" t="n">
        <v>100</v>
      </c>
      <c r="H2836" t="n">
        <v>-928.9848000000001</v>
      </c>
      <c r="I2836">
        <f>-H4057/G4057</f>
        <v/>
      </c>
      <c r="J2836" s="16" t="n">
        <v>44649</v>
      </c>
      <c r="K2836" t="n">
        <v>100</v>
      </c>
      <c r="L2836" t="n">
        <v>982.1799999999999</v>
      </c>
    </row>
    <row r="2837">
      <c r="A2837" t="n">
        <v>12674</v>
      </c>
      <c r="B2837" s="16" t="n">
        <v>44634</v>
      </c>
      <c r="C2837" t="inlineStr">
        <is>
          <t>VTA</t>
        </is>
      </c>
      <c r="D2837" t="n">
        <v>42</v>
      </c>
      <c r="E2837">
        <f>IF(D2088&gt;0,VLOOKUP(OPERAC[[#This Row],[COD CART]],[1]!MatrizCortoLargoCyl[#All],3,0),"")</f>
        <v/>
      </c>
      <c r="F2837" t="inlineStr">
        <is>
          <t>INO</t>
        </is>
      </c>
      <c r="G2837" t="n">
        <v>100</v>
      </c>
      <c r="H2837" t="n">
        <v>-332.0816</v>
      </c>
      <c r="I2837">
        <f>-H2088/G2088</f>
        <v/>
      </c>
      <c r="J2837" s="16" t="n">
        <v>44634</v>
      </c>
      <c r="K2837" t="n">
        <v>100</v>
      </c>
      <c r="L2837" t="n">
        <v>298.8855</v>
      </c>
    </row>
    <row r="2838">
      <c r="A2838" t="n">
        <v>12674</v>
      </c>
      <c r="B2838" s="16" t="n">
        <v>44638</v>
      </c>
      <c r="C2838" t="inlineStr">
        <is>
          <t>VTA</t>
        </is>
      </c>
      <c r="D2838" t="n">
        <v>39</v>
      </c>
      <c r="E2838">
        <f>IF(D1133&gt;0,VLOOKUP(OPERAC[[#This Row],[COD CART]],[1]!MatrizCortoLargoCyl[#All],3,0),"")</f>
        <v/>
      </c>
      <c r="F2838" t="inlineStr">
        <is>
          <t>TSLA/V/610,00/14-04-22</t>
        </is>
      </c>
      <c r="G2838" t="n">
        <v>-10</v>
      </c>
      <c r="H2838" t="n">
        <v>20.012</v>
      </c>
      <c r="I2838">
        <f>-H1133/G1133</f>
        <v/>
      </c>
      <c r="J2838" s="16" t="n">
        <v>44644</v>
      </c>
      <c r="K2838" t="n">
        <v>-10</v>
      </c>
      <c r="L2838" t="n">
        <v>-5.77</v>
      </c>
    </row>
    <row r="2839">
      <c r="A2839" t="n">
        <v>12674</v>
      </c>
      <c r="B2839" s="16" t="n">
        <v>44638</v>
      </c>
      <c r="C2839" t="inlineStr">
        <is>
          <t>VTA</t>
        </is>
      </c>
      <c r="D2839" t="n">
        <v>39</v>
      </c>
      <c r="E2839">
        <f>IF(D1143&gt;0,VLOOKUP(OPERAC[[#This Row],[COD CART]],[1]!MatrizCortoLargoCyl[#All],3,0),"")</f>
        <v/>
      </c>
      <c r="F2839" t="inlineStr">
        <is>
          <t>BABA/V/100,00/25-03-22</t>
        </is>
      </c>
      <c r="G2839" t="n">
        <v>-10</v>
      </c>
      <c r="H2839" t="n">
        <v>18.77</v>
      </c>
      <c r="I2839">
        <f>-H1143/G1143</f>
        <v/>
      </c>
      <c r="J2839" s="16" t="n">
        <v>44645</v>
      </c>
      <c r="K2839" t="n">
        <v>-10</v>
      </c>
      <c r="L2839" t="n">
        <v>0</v>
      </c>
    </row>
    <row r="2840">
      <c r="A2840" t="n">
        <v>12674</v>
      </c>
      <c r="B2840" s="16" t="n">
        <v>44641</v>
      </c>
      <c r="C2840" t="inlineStr">
        <is>
          <t>CPR</t>
        </is>
      </c>
      <c r="D2840" t="n">
        <v>42</v>
      </c>
      <c r="E2840">
        <f>IF(D4162&gt;0,VLOOKUP(OPERAC[[#This Row],[COD CART]],[1]!MatrizCortoLargoCyl[#All],3,0),"")</f>
        <v/>
      </c>
      <c r="F2840" t="inlineStr">
        <is>
          <t>DIS</t>
        </is>
      </c>
      <c r="G2840" t="n">
        <v>7</v>
      </c>
      <c r="H2840" t="n">
        <v>-974.8984</v>
      </c>
      <c r="I2840">
        <f>-H4162/G4162</f>
        <v/>
      </c>
      <c r="J2840" s="16" t="n">
        <v>44671</v>
      </c>
      <c r="K2840">
        <f>+OPERAC[[#This Row],[cantidad]]</f>
        <v/>
      </c>
      <c r="L2840">
        <f>+OPERAC[[#This Row],[cantidad venta]]*123.621</f>
        <v/>
      </c>
    </row>
    <row r="2841">
      <c r="A2841" t="n">
        <v>12674</v>
      </c>
      <c r="B2841" s="16" t="n">
        <v>44641</v>
      </c>
      <c r="C2841" t="inlineStr">
        <is>
          <t>CPR</t>
        </is>
      </c>
      <c r="D2841" t="n">
        <v>42</v>
      </c>
      <c r="E2841">
        <f>IF(D4183&gt;0,VLOOKUP(OPERAC[[#This Row],[COD CART]],[1]!MatrizCortoLargoCyl[#All],3,0),"")</f>
        <v/>
      </c>
      <c r="F2841" t="inlineStr">
        <is>
          <t>JPM</t>
        </is>
      </c>
      <c r="G2841" t="n">
        <v>7</v>
      </c>
      <c r="H2841" t="n">
        <v>-983.18038</v>
      </c>
      <c r="I2841">
        <f>-H4183/G4183</f>
        <v/>
      </c>
      <c r="J2841" s="16" t="n">
        <v>44664</v>
      </c>
      <c r="K2841">
        <f>+OPERAC[[#This Row],[cantidad]]</f>
        <v/>
      </c>
      <c r="L2841">
        <f>+OPERAC[[#This Row],[cantidad venta]]*125.943</f>
        <v/>
      </c>
    </row>
    <row r="2842">
      <c r="A2842" t="n">
        <v>12674</v>
      </c>
      <c r="B2842" s="16" t="n">
        <v>44641</v>
      </c>
      <c r="C2842" t="inlineStr">
        <is>
          <t>CPR</t>
        </is>
      </c>
      <c r="D2842" t="n">
        <v>42</v>
      </c>
      <c r="E2842">
        <f>IF(D4338&gt;0,VLOOKUP(OPERAC[[#This Row],[COD CART]],[1]!MatrizCortoLargoCyl[#All],3,0),"")</f>
        <v/>
      </c>
      <c r="F2842" t="inlineStr">
        <is>
          <t>FB</t>
        </is>
      </c>
      <c r="G2842" t="n">
        <v>5</v>
      </c>
      <c r="H2842" t="n">
        <v>-1060.7819</v>
      </c>
      <c r="I2842">
        <f>-H4338/G4338</f>
        <v/>
      </c>
      <c r="J2842" s="16" t="n">
        <v>44671</v>
      </c>
      <c r="K2842">
        <f>+OPERAC[[#This Row],[cantidad]]</f>
        <v/>
      </c>
      <c r="L2842">
        <f>+OPERAC[[#This Row],[cantidad venta]]*213.173</f>
        <v/>
      </c>
    </row>
    <row r="2843">
      <c r="A2843" t="n">
        <v>12674</v>
      </c>
      <c r="B2843" s="16" t="n">
        <v>44641</v>
      </c>
      <c r="C2843" t="inlineStr">
        <is>
          <t>CPR</t>
        </is>
      </c>
      <c r="D2843" t="n">
        <v>42</v>
      </c>
      <c r="E2843">
        <f>IF(D4359&gt;0,VLOOKUP(OPERAC[[#This Row],[COD CART]],[1]!MatrizCortoLargoCyl[#All],3,0),"")</f>
        <v/>
      </c>
      <c r="F2843" t="inlineStr">
        <is>
          <t>SMH</t>
        </is>
      </c>
      <c r="G2843" t="n">
        <v>4</v>
      </c>
      <c r="H2843" t="n">
        <v>-1075.8306</v>
      </c>
      <c r="I2843">
        <f>-H4359/G4359</f>
        <v/>
      </c>
      <c r="J2843" s="16" t="n">
        <v>44652</v>
      </c>
      <c r="K2843">
        <f>2+2</f>
        <v/>
      </c>
      <c r="L2843">
        <f>523.697+476.131</f>
        <v/>
      </c>
    </row>
    <row r="2844">
      <c r="A2844" t="n">
        <v>12674</v>
      </c>
      <c r="B2844" s="16" t="n">
        <v>44642</v>
      </c>
      <c r="C2844" t="inlineStr">
        <is>
          <t>VTA</t>
        </is>
      </c>
      <c r="D2844" t="n">
        <v>39</v>
      </c>
      <c r="E2844">
        <f>IF(D415&gt;0,VLOOKUP(OPERAC[[#This Row],[COD CART]],[1]!MatrizCortoLargoCyl[#All],3,0),"")</f>
        <v/>
      </c>
      <c r="F2844" t="inlineStr">
        <is>
          <t>TSLA/V/815,00/25-03-22</t>
        </is>
      </c>
      <c r="G2844" t="n">
        <v>-1000</v>
      </c>
      <c r="H2844" t="n">
        <v>1108.32</v>
      </c>
      <c r="I2844">
        <f>-H415/G415</f>
        <v/>
      </c>
      <c r="J2844" s="16" t="n">
        <v>44645</v>
      </c>
      <c r="K2844" t="n">
        <v>-1000</v>
      </c>
      <c r="L2844" t="n">
        <v>0</v>
      </c>
    </row>
    <row r="2845">
      <c r="A2845" t="n">
        <v>12674</v>
      </c>
      <c r="B2845" s="16" t="n">
        <v>44644</v>
      </c>
      <c r="C2845" t="inlineStr">
        <is>
          <t>VTA</t>
        </is>
      </c>
      <c r="D2845" t="n">
        <v>39</v>
      </c>
      <c r="E2845">
        <f>IF(D1229&gt;0,VLOOKUP(OPERAC[[#This Row],[COD CART]],[1]!MatrizCortoLargoCyl[#All],3,0),"")</f>
        <v/>
      </c>
      <c r="F2845" t="inlineStr">
        <is>
          <t>TSLA/V/620,00/20-05-22</t>
        </is>
      </c>
      <c r="G2845" t="n">
        <v>-1</v>
      </c>
      <c r="H2845" t="n">
        <v>4.75886</v>
      </c>
      <c r="I2845">
        <f>-H1229/G1229</f>
        <v/>
      </c>
      <c r="J2845" s="16" t="n">
        <v>44672</v>
      </c>
      <c r="K2845" t="n">
        <v>-1</v>
      </c>
      <c r="L2845" t="n">
        <v>-0.85723</v>
      </c>
    </row>
    <row r="2846">
      <c r="A2846" t="n">
        <v>12674</v>
      </c>
      <c r="B2846" s="16" t="n">
        <v>44649</v>
      </c>
      <c r="C2846" t="inlineStr">
        <is>
          <t>CPR</t>
        </is>
      </c>
      <c r="D2846" t="n">
        <v>32</v>
      </c>
      <c r="E2846">
        <f>IF(D4832&gt;0,VLOOKUP(OPERAC[[#This Row],[COD CART]],[1]!MatrizCortoLargoCyl[#All],3,0),"")</f>
        <v/>
      </c>
      <c r="F2846" t="inlineStr">
        <is>
          <t>DDD/CYL/15,00/15-07-22</t>
        </is>
      </c>
      <c r="G2846" t="n">
        <v>100</v>
      </c>
      <c r="H2846">
        <f>-1439.859+6.941</f>
        <v/>
      </c>
      <c r="I2846">
        <f>-H4832/G4832</f>
        <v/>
      </c>
    </row>
    <row r="2847">
      <c r="A2847" t="n">
        <v>12674</v>
      </c>
      <c r="B2847" s="16" t="n">
        <v>44650</v>
      </c>
      <c r="C2847" t="inlineStr">
        <is>
          <t>CPR</t>
        </is>
      </c>
      <c r="D2847" t="n">
        <v>42</v>
      </c>
      <c r="E2847">
        <f>IF(D4072&gt;0,VLOOKUP(OPERAC[[#This Row],[COD CART]],[1]!MatrizCortoLargoCyl[#All],3,0),"")</f>
        <v/>
      </c>
      <c r="F2847" t="inlineStr">
        <is>
          <t>ADBE</t>
        </is>
      </c>
      <c r="G2847" t="n">
        <v>2</v>
      </c>
      <c r="H2847" t="n">
        <v>-932.6258</v>
      </c>
      <c r="I2847">
        <f>-H4072/G4072</f>
        <v/>
      </c>
      <c r="J2847" s="16" t="n">
        <v>44687</v>
      </c>
      <c r="K2847">
        <f>+OPERAC[[#This Row],[cantidad]]</f>
        <v/>
      </c>
      <c r="L2847" t="n">
        <v>772.84</v>
      </c>
    </row>
    <row r="2848">
      <c r="A2848" t="n">
        <v>12674</v>
      </c>
      <c r="B2848" s="16" t="n">
        <v>44650</v>
      </c>
      <c r="C2848" t="inlineStr">
        <is>
          <t>CPR</t>
        </is>
      </c>
      <c r="D2848" t="n">
        <v>42</v>
      </c>
      <c r="E2848">
        <f>IF(D4116&gt;0,VLOOKUP(OPERAC[[#This Row],[COD CART]],[1]!MatrizCortoLargoCyl[#All],3,0),"")</f>
        <v/>
      </c>
      <c r="F2848" t="inlineStr">
        <is>
          <t>MSFT</t>
        </is>
      </c>
      <c r="G2848" t="n">
        <v>3</v>
      </c>
      <c r="H2848" t="n">
        <v>-954.2483999999999</v>
      </c>
      <c r="I2848">
        <f>-H4116/G4116</f>
        <v/>
      </c>
      <c r="J2848" s="16" t="n">
        <v>44662</v>
      </c>
      <c r="K2848">
        <f>+OPERAC[[#This Row],[cantidad]]</f>
        <v/>
      </c>
      <c r="L2848">
        <f>287.546*OPERAC[[#This Row],[cantidad venta]]</f>
        <v/>
      </c>
    </row>
    <row r="2849">
      <c r="A2849" t="n">
        <v>12674</v>
      </c>
      <c r="B2849" s="16" t="n">
        <v>44650</v>
      </c>
      <c r="C2849" t="inlineStr">
        <is>
          <t>VTA</t>
        </is>
      </c>
      <c r="D2849" t="n">
        <v>42</v>
      </c>
      <c r="E2849">
        <f>IF(D1412&gt;0,VLOOKUP(OPERAC[[#This Row],[COD CART]],[1]!MatrizCortoLargoCyl[#All],3,0),"")</f>
        <v/>
      </c>
      <c r="F2849" t="inlineStr">
        <is>
          <t>JPM</t>
        </is>
      </c>
      <c r="G2849" t="n">
        <v>1</v>
      </c>
      <c r="H2849" t="n">
        <v>-142.193552</v>
      </c>
      <c r="I2849">
        <f>-H1412/G1412</f>
        <v/>
      </c>
      <c r="J2849" s="16" t="n">
        <v>44664</v>
      </c>
      <c r="K2849">
        <f>+OPERAC[[#This Row],[cantidad]]</f>
        <v/>
      </c>
      <c r="L2849">
        <f>+OPERAC[[#This Row],[cantidad venta]]*125.943</f>
        <v/>
      </c>
    </row>
    <row r="2850">
      <c r="A2850" t="n">
        <v>12674</v>
      </c>
      <c r="B2850" s="16" t="n">
        <v>44650</v>
      </c>
      <c r="C2850" t="inlineStr">
        <is>
          <t>VTA</t>
        </is>
      </c>
      <c r="D2850" t="n">
        <v>42</v>
      </c>
      <c r="E2850">
        <f>IF(D1665&gt;0,VLOOKUP(OPERAC[[#This Row],[COD CART]],[1]!MatrizCortoLargoCyl[#All],3,0),"")</f>
        <v/>
      </c>
      <c r="F2850" t="inlineStr">
        <is>
          <t>FB</t>
        </is>
      </c>
      <c r="G2850" t="n">
        <v>1</v>
      </c>
      <c r="H2850" t="n">
        <v>-232.46216</v>
      </c>
      <c r="I2850">
        <f>-H1665/G1665</f>
        <v/>
      </c>
      <c r="J2850" s="16" t="n">
        <v>44671</v>
      </c>
      <c r="K2850">
        <f>+OPERAC[[#This Row],[cantidad]]</f>
        <v/>
      </c>
      <c r="L2850">
        <f>+OPERAC[[#This Row],[cantidad venta]]*213.173</f>
        <v/>
      </c>
    </row>
    <row r="2851">
      <c r="A2851" t="n">
        <v>12674</v>
      </c>
      <c r="B2851" s="16" t="n">
        <v>44662</v>
      </c>
      <c r="C2851" t="inlineStr">
        <is>
          <t>CPR</t>
        </is>
      </c>
      <c r="D2851" t="n">
        <v>42</v>
      </c>
      <c r="E2851">
        <f>IF(D4423&gt;0,VLOOKUP(OPERAC[[#This Row],[COD CART]],[1]!MatrizCortoLargoCyl[#All],3,0),"")</f>
        <v/>
      </c>
      <c r="F2851" t="inlineStr">
        <is>
          <t>HYDR</t>
        </is>
      </c>
      <c r="G2851" t="n">
        <v>60</v>
      </c>
      <c r="H2851" t="n">
        <v>-1114.22064</v>
      </c>
      <c r="I2851">
        <f>-H4423/G4423</f>
        <v/>
      </c>
      <c r="J2851" s="16" t="n">
        <v>44693</v>
      </c>
      <c r="K2851">
        <f>+OPERAC[[#This Row],[cantidad]]</f>
        <v/>
      </c>
      <c r="L2851">
        <f>+OPERAC[[#This Row],[cantidad venta]]*12.027</f>
        <v/>
      </c>
    </row>
    <row r="2852">
      <c r="A2852" t="n">
        <v>12674</v>
      </c>
      <c r="B2852" s="16" t="n">
        <v>44662</v>
      </c>
      <c r="C2852" t="inlineStr">
        <is>
          <t>VTA</t>
        </is>
      </c>
      <c r="D2852" t="n">
        <v>39</v>
      </c>
      <c r="E2852">
        <f>IF(D177&gt;0,VLOOKUP(OPERAC[[#This Row],[COD CART]],[1]!MatrizCortoLargoCyl[#All],3,0),"")</f>
        <v/>
      </c>
      <c r="F2852" t="inlineStr">
        <is>
          <t>TSLA/V/880,00/14-04-22</t>
        </is>
      </c>
      <c r="G2852" t="n">
        <v>-1000</v>
      </c>
      <c r="H2852" t="n">
        <v>2278.87</v>
      </c>
      <c r="I2852">
        <f>-H177/G177</f>
        <v/>
      </c>
      <c r="J2852" s="16" t="n">
        <v>44665</v>
      </c>
      <c r="K2852" t="n">
        <v>-1000</v>
      </c>
      <c r="L2852" t="n">
        <v>0</v>
      </c>
    </row>
    <row r="2853">
      <c r="A2853" t="n">
        <v>12674</v>
      </c>
      <c r="B2853" s="16" t="n">
        <v>44662</v>
      </c>
      <c r="C2853" t="inlineStr">
        <is>
          <t>VTA</t>
        </is>
      </c>
      <c r="D2853" t="n">
        <v>39</v>
      </c>
      <c r="E2853">
        <f>IF(D368&gt;0,VLOOKUP(OPERAC[[#This Row],[COD CART]],[1]!MatrizCortoLargoCyl[#All],3,0),"")</f>
        <v/>
      </c>
      <c r="F2853" t="inlineStr">
        <is>
          <t>TSLA/V/850,00/14-04-22</t>
        </is>
      </c>
      <c r="G2853" t="n">
        <v>-1000</v>
      </c>
      <c r="H2853" t="n">
        <v>1226.44</v>
      </c>
      <c r="I2853">
        <f>-H368/G368</f>
        <v/>
      </c>
      <c r="J2853" s="16" t="n">
        <v>44665</v>
      </c>
      <c r="K2853" t="n">
        <v>-1000</v>
      </c>
      <c r="L2853" t="n">
        <v>0</v>
      </c>
    </row>
    <row r="2854">
      <c r="A2854" t="n">
        <v>12674</v>
      </c>
      <c r="B2854" s="16" t="n">
        <v>44664</v>
      </c>
      <c r="C2854" t="inlineStr">
        <is>
          <t>CPR</t>
        </is>
      </c>
      <c r="D2854" t="n">
        <v>42</v>
      </c>
      <c r="E2854">
        <f>IF(D4191&gt;0,VLOOKUP(OPERAC[[#This Row],[COD CART]],[1]!MatrizCortoLargoCyl[#All],3,0),"")</f>
        <v/>
      </c>
      <c r="F2854" t="inlineStr">
        <is>
          <t>AMD</t>
        </is>
      </c>
      <c r="G2854" t="n">
        <v>10</v>
      </c>
      <c r="H2854" t="n">
        <v>-987.7065453</v>
      </c>
      <c r="I2854">
        <f>-H4191/G4191</f>
        <v/>
      </c>
      <c r="J2854" s="16" t="n">
        <v>44693</v>
      </c>
      <c r="K2854">
        <f>+OPERAC[[#This Row],[cantidad]]</f>
        <v/>
      </c>
      <c r="L2854">
        <f>+OPERAC[[#This Row],[cantidad venta]]*85.26</f>
        <v/>
      </c>
    </row>
    <row r="2855">
      <c r="A2855" t="n">
        <v>12674</v>
      </c>
      <c r="B2855" s="16" t="n">
        <v>44664</v>
      </c>
      <c r="C2855" t="inlineStr">
        <is>
          <t>CPR</t>
        </is>
      </c>
      <c r="D2855" t="n">
        <v>42</v>
      </c>
      <c r="E2855">
        <f>IF(D4581&gt;0,VLOOKUP(OPERAC[[#This Row],[COD CART]],[1]!MatrizCortoLargoCyl[#All],3,0),"")</f>
        <v/>
      </c>
      <c r="F2855" t="inlineStr">
        <is>
          <t>PSQ</t>
        </is>
      </c>
      <c r="G2855" t="n">
        <v>100</v>
      </c>
      <c r="H2855" t="n">
        <v>-1243.2572181</v>
      </c>
      <c r="I2855">
        <f>-H4581/G4581</f>
        <v/>
      </c>
      <c r="J2855" s="16" t="n">
        <v>44680</v>
      </c>
      <c r="K2855">
        <f>+OPERAC[[#This Row],[cantidad]]</f>
        <v/>
      </c>
      <c r="L2855">
        <f>12.848*OPERAC[[#This Row],[cantidad venta]]</f>
        <v/>
      </c>
    </row>
    <row r="2856">
      <c r="A2856" t="n">
        <v>12674</v>
      </c>
      <c r="B2856" s="16" t="n">
        <v>44664</v>
      </c>
      <c r="C2856" t="inlineStr">
        <is>
          <t>CPR</t>
        </is>
      </c>
      <c r="D2856" t="n">
        <v>42</v>
      </c>
      <c r="E2856">
        <f>IF(D4590&gt;0,VLOOKUP(OPERAC[[#This Row],[COD CART]],[1]!MatrizCortoLargoCyl[#All],3,0),"")</f>
        <v/>
      </c>
      <c r="F2856" t="inlineStr">
        <is>
          <t>PSQ</t>
        </is>
      </c>
      <c r="G2856" t="n">
        <v>100</v>
      </c>
      <c r="H2856" t="n">
        <v>-1243.2572181</v>
      </c>
      <c r="I2856">
        <f>-H4590/G4590</f>
        <v/>
      </c>
      <c r="J2856" s="16" t="n">
        <v>44680</v>
      </c>
      <c r="K2856">
        <f>+OPERAC[[#This Row],[cantidad]]</f>
        <v/>
      </c>
      <c r="L2856">
        <f>12.848*OPERAC[[#This Row],[cantidad venta]]</f>
        <v/>
      </c>
    </row>
    <row r="2857">
      <c r="A2857" t="n">
        <v>12674</v>
      </c>
      <c r="B2857" s="16" t="n">
        <v>44671</v>
      </c>
      <c r="C2857" t="inlineStr">
        <is>
          <t>CPR</t>
        </is>
      </c>
      <c r="D2857" t="n">
        <v>42</v>
      </c>
      <c r="E2857">
        <f>IF(D4400&gt;0,VLOOKUP(OPERAC[[#This Row],[COD CART]],[1]!MatrizCortoLargoCyl[#All],3,0),"")</f>
        <v/>
      </c>
      <c r="F2857" t="inlineStr">
        <is>
          <t>TLT</t>
        </is>
      </c>
      <c r="G2857" t="n">
        <v>9</v>
      </c>
      <c r="H2857" t="n">
        <v>-1103.067045</v>
      </c>
      <c r="I2857">
        <f>-H4400/G4400</f>
        <v/>
      </c>
    </row>
    <row r="2858">
      <c r="A2858" t="n">
        <v>12674</v>
      </c>
      <c r="B2858" s="16" t="n">
        <v>44671</v>
      </c>
      <c r="C2858" t="inlineStr">
        <is>
          <t>CPR</t>
        </is>
      </c>
      <c r="D2858" t="n">
        <v>42</v>
      </c>
      <c r="E2858">
        <f>IF(D4617&gt;0,VLOOKUP(OPERAC[[#This Row],[COD CART]],[1]!MatrizCortoLargoCyl[#All],3,0),"")</f>
        <v/>
      </c>
      <c r="F2858" t="inlineStr">
        <is>
          <t>NFLX</t>
        </is>
      </c>
      <c r="G2858" t="n">
        <v>5</v>
      </c>
      <c r="H2858" t="n">
        <v>-1272.5253</v>
      </c>
      <c r="I2858">
        <f>-H4617/G4617</f>
        <v/>
      </c>
      <c r="J2858" s="16" t="n">
        <v>44693</v>
      </c>
      <c r="K2858">
        <f>+OPERAC[[#This Row],[cantidad]]</f>
        <v/>
      </c>
      <c r="L2858">
        <f>+OPERAC[[#This Row],[cantidad venta]]*169.079</f>
        <v/>
      </c>
    </row>
    <row r="2859">
      <c r="A2859" t="n">
        <v>12674</v>
      </c>
      <c r="B2859" s="16" t="n">
        <v>44680</v>
      </c>
      <c r="C2859" t="inlineStr">
        <is>
          <t>CPR</t>
        </is>
      </c>
      <c r="D2859" t="n">
        <v>42</v>
      </c>
      <c r="E2859">
        <f>IF(D4740&gt;0,VLOOKUP(OPERAC[[#This Row],[COD CART]],[1]!MatrizCortoLargoCyl[#All],3,0),"")</f>
        <v/>
      </c>
      <c r="F2859" t="inlineStr">
        <is>
          <t>XLP</t>
        </is>
      </c>
      <c r="G2859" t="n">
        <v>17</v>
      </c>
      <c r="H2859" t="n">
        <v>-1350.3865425</v>
      </c>
      <c r="I2859">
        <f>-H4740/G4740</f>
        <v/>
      </c>
      <c r="J2859" s="16" t="n">
        <v>44693</v>
      </c>
      <c r="K2859">
        <f>+OPERAC[[#This Row],[cantidad]]</f>
        <v/>
      </c>
      <c r="L2859">
        <f>+OPERAC[[#This Row],[cantidad venta]]*74.848</f>
        <v/>
      </c>
    </row>
    <row r="2860">
      <c r="A2860" t="n">
        <v>12674</v>
      </c>
      <c r="B2860" s="16" t="n">
        <v>44680</v>
      </c>
      <c r="C2860" t="inlineStr">
        <is>
          <t>CPR</t>
        </is>
      </c>
      <c r="D2860" t="n">
        <v>42</v>
      </c>
      <c r="E2860">
        <f>IF(D4741&gt;0,VLOOKUP(OPERAC[[#This Row],[COD CART]],[1]!MatrizCortoLargoCyl[#All],3,0),"")</f>
        <v/>
      </c>
      <c r="F2860" t="inlineStr">
        <is>
          <t>XLP</t>
        </is>
      </c>
      <c r="G2860" t="n">
        <v>17</v>
      </c>
      <c r="H2860" t="n">
        <v>-1350.3865425</v>
      </c>
      <c r="I2860">
        <f>-H4741/G4741</f>
        <v/>
      </c>
      <c r="J2860" s="16" t="n">
        <v>44693</v>
      </c>
      <c r="K2860">
        <f>+OPERAC[[#This Row],[cantidad]]</f>
        <v/>
      </c>
      <c r="L2860">
        <f>+OPERAC[[#This Row],[cantidad venta]]*74.848</f>
        <v/>
      </c>
    </row>
    <row r="2861">
      <c r="A2861" t="n">
        <v>12674</v>
      </c>
      <c r="B2861" s="16" t="n">
        <v>44705</v>
      </c>
      <c r="C2861" t="inlineStr">
        <is>
          <t>CPR</t>
        </is>
      </c>
      <c r="D2861" t="n">
        <v>42</v>
      </c>
      <c r="E2861">
        <f>IF(D4025&gt;0,VLOOKUP(OPERAC[[#This Row],[COD CART]],[1]!MatrizCortoLargoCyl[#All],3,0),"")</f>
        <v/>
      </c>
      <c r="F2861" t="inlineStr">
        <is>
          <t>AMD</t>
        </is>
      </c>
      <c r="G2861" t="n">
        <v>10</v>
      </c>
      <c r="H2861" t="n">
        <v>-925.0354</v>
      </c>
      <c r="I2861">
        <f>-H4025/G4025</f>
        <v/>
      </c>
      <c r="J2861" s="16" t="n">
        <v>44707</v>
      </c>
      <c r="K2861">
        <f>+OPERAC[[#This Row],[cantidad]]</f>
        <v/>
      </c>
      <c r="L2861">
        <f>+OPERAC[[#This Row],[cantidad venta]]*94.8</f>
        <v/>
      </c>
    </row>
    <row r="2862">
      <c r="A2862" t="n">
        <v>12674</v>
      </c>
      <c r="B2862" s="16" t="n">
        <v>44708</v>
      </c>
      <c r="C2862" t="inlineStr">
        <is>
          <t>VTA</t>
        </is>
      </c>
      <c r="D2862" t="n">
        <v>32</v>
      </c>
      <c r="E2862">
        <f>IF(D5321&gt;0,VLOOKUP(OPERAC[[#This Row],[COD CART]],[1]!MatrizCortoLargoCyl[#All],3,0),"")</f>
        <v/>
      </c>
      <c r="F2862" t="inlineStr">
        <is>
          <t>ACB/CYL/2,00/15-07-22</t>
        </is>
      </c>
      <c r="G2862" t="n">
        <v>1000</v>
      </c>
      <c r="H2862">
        <f>-1825.320788805+89.235</f>
        <v/>
      </c>
      <c r="I2862">
        <f>-H5321/G5321</f>
        <v/>
      </c>
    </row>
    <row r="2863">
      <c r="A2863" t="n">
        <v>12674</v>
      </c>
      <c r="B2863" s="16" t="n">
        <v>44712</v>
      </c>
      <c r="C2863" t="inlineStr">
        <is>
          <t>CPR</t>
        </is>
      </c>
      <c r="D2863" t="n">
        <v>32</v>
      </c>
      <c r="E2863">
        <f>IF(D5868&gt;0,VLOOKUP(OPERAC[[#This Row],[COD CART]],[1]!MatrizCortoLargoCyl[#All],3,0),"")</f>
        <v/>
      </c>
      <c r="F2863" t="inlineStr">
        <is>
          <t>KWEB/CYL/35,00/17-06-22</t>
        </is>
      </c>
      <c r="G2863" t="n">
        <v>100</v>
      </c>
      <c r="H2863">
        <f>-2959.725+10.907</f>
        <v/>
      </c>
      <c r="I2863">
        <f>-H5868/G5868</f>
        <v/>
      </c>
    </row>
    <row r="2864">
      <c r="A2864" t="n">
        <v>12684</v>
      </c>
      <c r="B2864" s="16" t="n">
        <v>44523</v>
      </c>
      <c r="C2864" t="inlineStr">
        <is>
          <t>VTA</t>
        </is>
      </c>
      <c r="D2864" t="n">
        <v>32</v>
      </c>
      <c r="E2864">
        <f>IF(D3742&gt;0,VLOOKUP(OPERAC[[#This Row],[COD CART]],[1]!MatrizCortoLargoCyl[#All],3,0),"")</f>
        <v/>
      </c>
      <c r="F2864" t="inlineStr">
        <is>
          <t>TEVA/CYL/9,00/21-01-22</t>
        </is>
      </c>
      <c r="G2864" t="n">
        <v>100</v>
      </c>
      <c r="H2864">
        <f>-861.6332+18.874</f>
        <v/>
      </c>
      <c r="I2864">
        <f>-H3742/G3742</f>
        <v/>
      </c>
      <c r="J2864" s="16" t="n">
        <v>44575</v>
      </c>
      <c r="K2864" t="n">
        <v>100</v>
      </c>
      <c r="L2864" t="n">
        <v>878.913</v>
      </c>
    </row>
    <row r="2865">
      <c r="A2865" t="n">
        <v>12684</v>
      </c>
      <c r="B2865" s="16" t="n">
        <v>44539</v>
      </c>
      <c r="C2865" t="inlineStr">
        <is>
          <t>VTA</t>
        </is>
      </c>
      <c r="D2865" t="n">
        <v>40</v>
      </c>
      <c r="E2865">
        <f>IF(D1764&gt;0,VLOOKUP(OPERAC[[#This Row],[COD CART]],[1]!MatrizCortoLargoCyl[#All],3,0),"")</f>
        <v/>
      </c>
      <c r="F2865" t="inlineStr">
        <is>
          <t>ROKU</t>
        </is>
      </c>
      <c r="G2865" t="n">
        <v>1</v>
      </c>
      <c r="H2865" t="n">
        <v>-257.72036</v>
      </c>
      <c r="I2865">
        <f>-H1764/G1764</f>
        <v/>
      </c>
      <c r="J2865" s="16" t="n">
        <v>44606</v>
      </c>
      <c r="K2865">
        <f>+OPERAC[[#This Row],[cantidad]]</f>
        <v/>
      </c>
      <c r="L2865">
        <f>+OPERAC[[#This Row],[cantidad venta]]*160.574</f>
        <v/>
      </c>
    </row>
    <row r="2866">
      <c r="A2866" t="n">
        <v>12684</v>
      </c>
      <c r="B2866" s="16" t="n">
        <v>44547</v>
      </c>
      <c r="C2866" t="inlineStr">
        <is>
          <t>VTA</t>
        </is>
      </c>
      <c r="D2866" t="n">
        <v>39</v>
      </c>
      <c r="E2866">
        <f>IF(D459&gt;0,VLOOKUP(OPERAC[[#This Row],[COD CART]],[1]!MatrizCortoLargoCyl[#All],3,0),"")</f>
        <v/>
      </c>
      <c r="F2866" t="inlineStr">
        <is>
          <t>INO/V/7,00/21-01-22</t>
        </is>
      </c>
      <c r="G2866" t="n">
        <v>-1100</v>
      </c>
      <c r="H2866" t="n">
        <v>1001.484</v>
      </c>
      <c r="I2866">
        <f>-H459/G459</f>
        <v/>
      </c>
      <c r="J2866" s="16" t="n">
        <v>44580</v>
      </c>
      <c r="K2866">
        <f>+OPERAC[[#This Row],[cantidad]]</f>
        <v/>
      </c>
      <c r="L2866">
        <f>-OPERAC[[#This Row],[importe]]</f>
        <v/>
      </c>
    </row>
    <row r="2867">
      <c r="A2867" t="n">
        <v>12684</v>
      </c>
      <c r="B2867" s="16" t="n">
        <v>44547</v>
      </c>
      <c r="C2867" t="inlineStr">
        <is>
          <t>VTA</t>
        </is>
      </c>
      <c r="D2867" t="n">
        <v>39</v>
      </c>
      <c r="E2867">
        <f>IF(D566&gt;0,VLOOKUP(OPERAC[[#This Row],[COD CART]],[1]!MatrizCortoLargoCyl[#All],3,0),"")</f>
        <v/>
      </c>
      <c r="F2867" t="inlineStr">
        <is>
          <t>TLRY/V/8,00/18-02-22</t>
        </is>
      </c>
      <c r="G2867" t="n">
        <v>-500</v>
      </c>
      <c r="H2867" t="n">
        <v>691.8955000000001</v>
      </c>
      <c r="I2867">
        <f>-H566/G566</f>
        <v/>
      </c>
      <c r="J2867" s="16" t="n">
        <v>44601</v>
      </c>
      <c r="K2867" t="n">
        <v>-500</v>
      </c>
      <c r="L2867">
        <f>1.38*OPERAC[[#This Row],[cantidad venta]]</f>
        <v/>
      </c>
    </row>
    <row r="2868">
      <c r="A2868" t="n">
        <v>12684</v>
      </c>
      <c r="B2868" s="16" t="n">
        <v>44552</v>
      </c>
      <c r="C2868" t="inlineStr">
        <is>
          <t>CPR</t>
        </is>
      </c>
      <c r="D2868" t="n">
        <v>32</v>
      </c>
      <c r="E2868">
        <f>IF(D4445&gt;0,VLOOKUP(OPERAC[[#This Row],[COD CART]],[1]!MatrizCortoLargoCyl[#All],3,0),"")</f>
        <v/>
      </c>
      <c r="F2868" t="inlineStr">
        <is>
          <t>HMY/CYL/4,00/21-01-22</t>
        </is>
      </c>
      <c r="G2868" t="n">
        <v>300</v>
      </c>
      <c r="H2868">
        <f>-3.8*OPERAC[[#This Row],[cantidad]]</f>
        <v/>
      </c>
      <c r="I2868">
        <f>-H4445/G4445</f>
        <v/>
      </c>
      <c r="J2868" s="16" t="n">
        <v>44580</v>
      </c>
      <c r="K2868" t="n">
        <v>300</v>
      </c>
      <c r="L2868" t="n">
        <v>1181.78</v>
      </c>
    </row>
    <row r="2869">
      <c r="A2869" t="n">
        <v>12684</v>
      </c>
      <c r="B2869" s="16" t="n">
        <v>44580</v>
      </c>
      <c r="C2869" t="inlineStr">
        <is>
          <t>VTA</t>
        </is>
      </c>
      <c r="D2869" t="n">
        <v>39</v>
      </c>
      <c r="E2869">
        <f>IF(D132&gt;0,VLOOKUP(OPERAC[[#This Row],[COD CART]],[1]!MatrizCortoLargoCyl[#All],3,0),"")</f>
        <v/>
      </c>
      <c r="F2869" t="inlineStr">
        <is>
          <t>INO/V/7,00/18-02-22</t>
        </is>
      </c>
      <c r="G2869" t="n">
        <v>-1100</v>
      </c>
      <c r="H2869" t="n">
        <v>3047.715</v>
      </c>
      <c r="I2869">
        <f>-H132/G132</f>
        <v/>
      </c>
      <c r="J2869" s="16" t="n">
        <v>44600</v>
      </c>
      <c r="K2869" t="n">
        <v>-1100</v>
      </c>
      <c r="L2869" t="n">
        <v>-3047</v>
      </c>
    </row>
    <row r="2870">
      <c r="A2870" t="n">
        <v>12684</v>
      </c>
      <c r="B2870" s="16" t="n">
        <v>44581</v>
      </c>
      <c r="C2870" t="inlineStr">
        <is>
          <t>CPR</t>
        </is>
      </c>
      <c r="D2870" t="n">
        <v>32</v>
      </c>
      <c r="E2870">
        <f>IF(D3579&gt;0,VLOOKUP(OPERAC[[#This Row],[COD CART]],[1]!MatrizCortoLargoCyl[#All],3,0),"")</f>
        <v/>
      </c>
      <c r="F2870" t="inlineStr">
        <is>
          <t>HMY/CYL/4,00/18-02-22</t>
        </is>
      </c>
      <c r="G2870" t="n">
        <v>200</v>
      </c>
      <c r="H2870" t="n">
        <v>-774.9359920000001</v>
      </c>
      <c r="I2870">
        <f>-H3579/G3579</f>
        <v/>
      </c>
      <c r="J2870" s="16" t="n">
        <v>44610</v>
      </c>
      <c r="K2870">
        <f>+OPERAC[[#This Row],[cantidad]]</f>
        <v/>
      </c>
      <c r="L2870">
        <f>+OPERAC[[#This Row],[cantidad venta]]*3.8323</f>
        <v/>
      </c>
    </row>
    <row r="2871">
      <c r="A2871" t="n">
        <v>12684</v>
      </c>
      <c r="B2871" s="16" t="n">
        <v>44586</v>
      </c>
      <c r="C2871" t="inlineStr">
        <is>
          <t>VTA</t>
        </is>
      </c>
      <c r="D2871" t="n">
        <v>40</v>
      </c>
      <c r="E2871">
        <f>IF(D5406&gt;0,VLOOKUP(OPERAC[[#This Row],[COD CART]],[1]!MatrizCortoLargoCyl[#All],3,0),"")</f>
        <v/>
      </c>
      <c r="F2871" t="inlineStr">
        <is>
          <t>GMBL</t>
        </is>
      </c>
      <c r="G2871" t="n">
        <v>1000</v>
      </c>
      <c r="H2871">
        <f>-1.835*OPERAC[[#This Row],[cantidad]]</f>
        <v/>
      </c>
      <c r="I2871">
        <f>-H5406/G5406</f>
        <v/>
      </c>
      <c r="J2871" s="16" t="n">
        <v>44635</v>
      </c>
      <c r="K2871" t="n">
        <v>1000</v>
      </c>
      <c r="L2871" t="n">
        <v>684.313</v>
      </c>
    </row>
    <row r="2872">
      <c r="A2872" t="n">
        <v>12684</v>
      </c>
      <c r="B2872" s="16" t="n">
        <v>44600</v>
      </c>
      <c r="C2872" t="inlineStr">
        <is>
          <t>VTA</t>
        </is>
      </c>
      <c r="D2872" t="n">
        <v>39</v>
      </c>
      <c r="E2872">
        <f>IF(D1062&gt;0,VLOOKUP(OPERAC[[#This Row],[COD CART]],[1]!MatrizCortoLargoCyl[#All],3,0),"")</f>
        <v/>
      </c>
      <c r="F2872" t="inlineStr">
        <is>
          <t>DDD/V/17,00/20-01-23</t>
        </is>
      </c>
      <c r="G2872" t="n">
        <v>-10</v>
      </c>
      <c r="H2872">
        <f>-3.8*OPERAC[[#This Row],[cantidad]]</f>
        <v/>
      </c>
      <c r="I2872">
        <f>-H1062/G1062</f>
        <v/>
      </c>
      <c r="J2872" s="16" t="n">
        <v>44635</v>
      </c>
      <c r="K2872">
        <f>-5-3</f>
        <v/>
      </c>
      <c r="L2872">
        <f>-28.25-13.23588</f>
        <v/>
      </c>
    </row>
    <row r="2873">
      <c r="A2873" t="n">
        <v>12684</v>
      </c>
      <c r="B2873" s="16" t="n">
        <v>44601</v>
      </c>
      <c r="C2873" t="inlineStr">
        <is>
          <t>VTA</t>
        </is>
      </c>
      <c r="D2873" t="n">
        <v>39</v>
      </c>
      <c r="E2873">
        <f>IF(D496&gt;0,VLOOKUP(OPERAC[[#This Row],[COD CART]],[1]!MatrizCortoLargoCyl[#All],3,0),"")</f>
        <v/>
      </c>
      <c r="F2873" t="inlineStr">
        <is>
          <t>ACB/V/5,00/16-09-22</t>
        </is>
      </c>
      <c r="G2873" t="n">
        <v>-600</v>
      </c>
      <c r="H2873">
        <f>-1.56*OPERAC[[#This Row],[cantidad]]</f>
        <v/>
      </c>
      <c r="I2873">
        <f>-H496/G496</f>
        <v/>
      </c>
      <c r="J2873" s="16" t="n">
        <v>44617</v>
      </c>
      <c r="K2873" t="n">
        <v>-600</v>
      </c>
      <c r="L2873" t="n">
        <v>-1108.454</v>
      </c>
    </row>
    <row r="2874">
      <c r="A2874" t="n">
        <v>12684</v>
      </c>
      <c r="B2874" s="16" t="n">
        <v>44609</v>
      </c>
      <c r="C2874" t="inlineStr">
        <is>
          <t>VTA</t>
        </is>
      </c>
      <c r="D2874" t="n">
        <v>32</v>
      </c>
      <c r="E2874">
        <f>IF(D3876&gt;0,VLOOKUP(OPERAC[[#This Row],[COD CART]],[1]!MatrizCortoLargoCyl[#All],3,0),"")</f>
        <v/>
      </c>
      <c r="F2874" t="inlineStr">
        <is>
          <t>HIMX/CYL/9,00/18-03-22</t>
        </is>
      </c>
      <c r="G2874" t="n">
        <v>100</v>
      </c>
      <c r="H2874" t="n">
        <v>-869.5839999999999</v>
      </c>
      <c r="I2874">
        <f>-H3876/G3876</f>
        <v/>
      </c>
      <c r="J2874" s="16" t="n">
        <v>44622</v>
      </c>
      <c r="K2874">
        <f>+OPERAC[[#This Row],[cantidad]]</f>
        <v/>
      </c>
      <c r="L2874" t="n">
        <v>883.576</v>
      </c>
    </row>
    <row r="2875">
      <c r="A2875" t="n">
        <v>12684</v>
      </c>
      <c r="B2875" s="16" t="n">
        <v>44634</v>
      </c>
      <c r="C2875" t="inlineStr">
        <is>
          <t>VTA</t>
        </is>
      </c>
      <c r="D2875" t="n">
        <v>39</v>
      </c>
      <c r="E2875">
        <f>IF(D81&gt;0,VLOOKUP(OPERAC[[#This Row],[COD CART]],[1]!MatrizCortoLargoCyl[#All],3,0),"")</f>
        <v/>
      </c>
      <c r="F2875" t="inlineStr">
        <is>
          <t>TSLA/V/670,00/18-03-22</t>
        </is>
      </c>
      <c r="G2875" t="n">
        <v>-2000</v>
      </c>
      <c r="H2875" t="n">
        <v>3962.55</v>
      </c>
      <c r="I2875">
        <f>-H81/G81</f>
        <v/>
      </c>
      <c r="J2875" s="16" t="n">
        <v>44635</v>
      </c>
      <c r="K2875" t="n">
        <v>-2000</v>
      </c>
      <c r="L2875" t="n">
        <v>-1625.06</v>
      </c>
    </row>
    <row r="2876">
      <c r="A2876" t="n">
        <v>12684</v>
      </c>
      <c r="B2876" s="16" t="n">
        <v>44635</v>
      </c>
      <c r="C2876" t="inlineStr">
        <is>
          <t>VTA</t>
        </is>
      </c>
      <c r="D2876" t="n">
        <v>39</v>
      </c>
      <c r="E2876">
        <f>IF(D214&gt;0,VLOOKUP(OPERAC[[#This Row],[COD CART]],[1]!MatrizCortoLargoCyl[#All],3,0),"")</f>
        <v/>
      </c>
      <c r="F2876" t="inlineStr">
        <is>
          <t>TSLA/V/680,00/18-03-22</t>
        </is>
      </c>
      <c r="G2876" t="n">
        <v>-2000</v>
      </c>
      <c r="H2876" t="n">
        <v>2077.76</v>
      </c>
      <c r="I2876">
        <f>-H214/G214</f>
        <v/>
      </c>
      <c r="J2876" s="16" t="n">
        <v>44636</v>
      </c>
      <c r="K2876" t="n">
        <v>-2000</v>
      </c>
      <c r="L2876" t="n">
        <v>-590.02</v>
      </c>
    </row>
    <row r="2877">
      <c r="A2877" t="n">
        <v>12684</v>
      </c>
      <c r="B2877" s="16" t="n">
        <v>44637</v>
      </c>
      <c r="C2877" t="inlineStr">
        <is>
          <t>VTA</t>
        </is>
      </c>
      <c r="D2877" t="n">
        <v>39</v>
      </c>
      <c r="E2877">
        <f>IF(D495&gt;0,VLOOKUP(OPERAC[[#This Row],[COD CART]],[1]!MatrizCortoLargoCyl[#All],3,0),"")</f>
        <v/>
      </c>
      <c r="F2877" t="inlineStr">
        <is>
          <t>TSLA/V/765,00/18-03-22</t>
        </is>
      </c>
      <c r="G2877" t="n">
        <v>-1000</v>
      </c>
      <c r="H2877" t="n">
        <v>939.6799999999999</v>
      </c>
      <c r="I2877">
        <f>-H495/G495</f>
        <v/>
      </c>
      <c r="J2877" s="16" t="n">
        <v>44638</v>
      </c>
      <c r="K2877" t="n">
        <v>-1000</v>
      </c>
      <c r="L2877" t="n">
        <v>-198.52</v>
      </c>
    </row>
    <row r="2878">
      <c r="A2878" t="n">
        <v>12684</v>
      </c>
      <c r="B2878" s="16" t="n">
        <v>44641</v>
      </c>
      <c r="C2878" t="inlineStr">
        <is>
          <t>VTA</t>
        </is>
      </c>
      <c r="D2878" t="n">
        <v>42</v>
      </c>
      <c r="E2878">
        <f>IF(D2418&gt;0,VLOOKUP(OPERAC[[#This Row],[COD CART]],[1]!MatrizCortoLargoCyl[#All],3,0),"")</f>
        <v/>
      </c>
      <c r="F2878" t="inlineStr">
        <is>
          <t>FB</t>
        </is>
      </c>
      <c r="G2878" t="n">
        <v>2</v>
      </c>
      <c r="H2878" t="n">
        <v>-424.31276</v>
      </c>
      <c r="I2878">
        <f>-H2418/G2418</f>
        <v/>
      </c>
      <c r="J2878" s="16" t="n">
        <v>44671</v>
      </c>
      <c r="K2878">
        <f>+OPERAC[[#This Row],[cantidad]]</f>
        <v/>
      </c>
      <c r="L2878">
        <f>+OPERAC[[#This Row],[cantidad venta]]*213.173</f>
        <v/>
      </c>
    </row>
    <row r="2879">
      <c r="A2879" t="n">
        <v>12684</v>
      </c>
      <c r="B2879" s="16" t="n">
        <v>44641</v>
      </c>
      <c r="C2879" t="inlineStr">
        <is>
          <t>VTA</t>
        </is>
      </c>
      <c r="D2879" t="n">
        <v>42</v>
      </c>
      <c r="E2879">
        <f>IF(D2877&gt;0,VLOOKUP(OPERAC[[#This Row],[COD CART]],[1]!MatrizCortoLargoCyl[#All],3,0),"")</f>
        <v/>
      </c>
      <c r="F2879" t="inlineStr">
        <is>
          <t>SMH</t>
        </is>
      </c>
      <c r="G2879" t="n">
        <v>2</v>
      </c>
      <c r="H2879" t="n">
        <v>-537.9153000000001</v>
      </c>
      <c r="I2879">
        <f>-H2877/G2877</f>
        <v/>
      </c>
      <c r="J2879" s="16" t="n">
        <v>44663</v>
      </c>
      <c r="K2879">
        <f>+OPERAC[[#This Row],[cantidad]]</f>
        <v/>
      </c>
      <c r="L2879">
        <f>+OPERAC[[#This Row],[cantidad venta]]*238.066</f>
        <v/>
      </c>
    </row>
    <row r="2880">
      <c r="A2880" t="n">
        <v>12684</v>
      </c>
      <c r="B2880" s="16" t="n">
        <v>44641</v>
      </c>
      <c r="C2880" t="inlineStr">
        <is>
          <t>VTA</t>
        </is>
      </c>
      <c r="D2880" t="n">
        <v>42</v>
      </c>
      <c r="E2880">
        <f>IF(D2962&gt;0,VLOOKUP(OPERAC[[#This Row],[COD CART]],[1]!MatrizCortoLargoCyl[#All],3,0),"")</f>
        <v/>
      </c>
      <c r="F2880" t="inlineStr">
        <is>
          <t>JPM</t>
        </is>
      </c>
      <c r="G2880" t="n">
        <v>4</v>
      </c>
      <c r="H2880" t="n">
        <v>-561.8173600000001</v>
      </c>
      <c r="I2880">
        <f>-H2962/G2962</f>
        <v/>
      </c>
      <c r="J2880" s="16" t="n">
        <v>44664</v>
      </c>
      <c r="K2880">
        <f>+OPERAC[[#This Row],[cantidad]]</f>
        <v/>
      </c>
      <c r="L2880">
        <f>+OPERAC[[#This Row],[cantidad venta]]*125.943</f>
        <v/>
      </c>
    </row>
    <row r="2881">
      <c r="A2881" t="n">
        <v>12684</v>
      </c>
      <c r="B2881" s="16" t="n">
        <v>44645</v>
      </c>
      <c r="C2881" t="inlineStr">
        <is>
          <t>CPR</t>
        </is>
      </c>
      <c r="D2881" t="n">
        <v>42</v>
      </c>
      <c r="E2881">
        <f>IF(D1861&gt;0,VLOOKUP(OPERAC[[#This Row],[COD CART]],[1]!MatrizCortoLargoCyl[#All],3,0),"")</f>
        <v/>
      </c>
      <c r="F2881" t="inlineStr">
        <is>
          <t>PLUG</t>
        </is>
      </c>
      <c r="G2881" t="n">
        <v>10</v>
      </c>
      <c r="H2881" t="n">
        <v>-279.3164</v>
      </c>
      <c r="I2881">
        <f>-H1861/G1861</f>
        <v/>
      </c>
      <c r="J2881" s="16" t="n">
        <v>44652</v>
      </c>
      <c r="K2881">
        <f>+OPERAC[[#This Row],[cantidad]]</f>
        <v/>
      </c>
      <c r="L2881">
        <f>+OPERAC[[#This Row],[cantidad venta]]*27.754</f>
        <v/>
      </c>
    </row>
    <row r="2882">
      <c r="A2882" t="n">
        <v>12684</v>
      </c>
      <c r="B2882" s="16" t="n">
        <v>44652</v>
      </c>
      <c r="C2882" t="inlineStr">
        <is>
          <t>VTA</t>
        </is>
      </c>
      <c r="D2882" t="n">
        <v>42</v>
      </c>
      <c r="E2882">
        <f>IF(D2042&gt;0,VLOOKUP(OPERAC[[#This Row],[COD CART]],[1]!MatrizCortoLargoCyl[#All],3,0),"")</f>
        <v/>
      </c>
      <c r="F2882" t="inlineStr">
        <is>
          <t>GBTC</t>
        </is>
      </c>
      <c r="G2882" t="n">
        <v>10</v>
      </c>
      <c r="H2882" t="n">
        <v>-321.098</v>
      </c>
      <c r="I2882">
        <f>-H2042/G2042</f>
        <v/>
      </c>
      <c r="J2882" s="16" t="n">
        <v>44662</v>
      </c>
      <c r="K2882">
        <f>+OPERAC[[#This Row],[cantidad]]</f>
        <v/>
      </c>
      <c r="L2882">
        <f>27.99*OPERAC[[#This Row],[cantidad venta]]</f>
        <v/>
      </c>
    </row>
    <row r="2883">
      <c r="A2883" t="n">
        <v>12684</v>
      </c>
      <c r="B2883" s="16" t="n">
        <v>44657</v>
      </c>
      <c r="C2883" t="inlineStr">
        <is>
          <t>VTA</t>
        </is>
      </c>
      <c r="D2883" t="n">
        <v>39</v>
      </c>
      <c r="E2883">
        <f>IF(D359&gt;0,VLOOKUP(OPERAC[[#This Row],[COD CART]],[1]!MatrizCortoLargoCyl[#All],3,0),"")</f>
        <v/>
      </c>
      <c r="F2883" t="inlineStr">
        <is>
          <t>TSLA/V/850,00/14-04-22</t>
        </is>
      </c>
      <c r="G2883" t="n">
        <v>-1000</v>
      </c>
      <c r="H2883" t="n">
        <v>1247.2</v>
      </c>
      <c r="I2883">
        <f>-H359/G359</f>
        <v/>
      </c>
      <c r="J2883" s="16" t="n">
        <v>44665</v>
      </c>
      <c r="K2883" t="n">
        <v>-1000</v>
      </c>
      <c r="L2883" t="n">
        <v>0</v>
      </c>
    </row>
    <row r="2884">
      <c r="A2884" t="n">
        <v>12684</v>
      </c>
      <c r="B2884" s="16" t="n">
        <v>44662</v>
      </c>
      <c r="C2884" t="inlineStr">
        <is>
          <t>VTA</t>
        </is>
      </c>
      <c r="D2884" t="n">
        <v>42</v>
      </c>
      <c r="E2884">
        <f>IF(D1303&gt;0,VLOOKUP(OPERAC[[#This Row],[COD CART]],[1]!MatrizCortoLargoCyl[#All],3,0),"")</f>
        <v/>
      </c>
      <c r="F2884" t="inlineStr">
        <is>
          <t>HYDR</t>
        </is>
      </c>
      <c r="G2884" t="n">
        <v>5</v>
      </c>
      <c r="H2884" t="n">
        <v>-92.85172000000001</v>
      </c>
      <c r="I2884">
        <f>-H1303/G1303</f>
        <v/>
      </c>
      <c r="J2884" s="16" t="n">
        <v>44691</v>
      </c>
      <c r="K2884" t="n">
        <v>5</v>
      </c>
      <c r="L2884" t="n">
        <v>64.398</v>
      </c>
    </row>
    <row r="2885">
      <c r="A2885" t="n">
        <v>12684</v>
      </c>
      <c r="B2885" s="16" t="n">
        <v>44664</v>
      </c>
      <c r="C2885" t="inlineStr">
        <is>
          <t>VTA</t>
        </is>
      </c>
      <c r="D2885" t="n">
        <v>42</v>
      </c>
      <c r="E2885">
        <f>IF(D3088&gt;0,VLOOKUP(OPERAC[[#This Row],[COD CART]],[1]!MatrizCortoLargoCyl[#All],3,0),"")</f>
        <v/>
      </c>
      <c r="F2885" t="inlineStr">
        <is>
          <t>PSQ</t>
        </is>
      </c>
      <c r="G2885" t="n">
        <v>50</v>
      </c>
      <c r="H2885" t="n">
        <v>-621.6286090499999</v>
      </c>
      <c r="I2885">
        <f>-H3088/G3088</f>
        <v/>
      </c>
      <c r="J2885" s="16" t="n">
        <v>44680</v>
      </c>
      <c r="K2885">
        <f>+OPERAC[[#This Row],[cantidad]]</f>
        <v/>
      </c>
      <c r="L2885">
        <f>12.848*OPERAC[[#This Row],[cantidad venta]]</f>
        <v/>
      </c>
    </row>
    <row r="2886">
      <c r="A2886" t="n">
        <v>12684</v>
      </c>
      <c r="B2886" s="16" t="n">
        <v>44664</v>
      </c>
      <c r="C2886" t="inlineStr">
        <is>
          <t>VTA</t>
        </is>
      </c>
      <c r="D2886" t="n">
        <v>42</v>
      </c>
      <c r="E2886">
        <f>IF(D3094&gt;0,VLOOKUP(OPERAC[[#This Row],[COD CART]],[1]!MatrizCortoLargoCyl[#All],3,0),"")</f>
        <v/>
      </c>
      <c r="F2886" t="inlineStr">
        <is>
          <t>PSQ</t>
        </is>
      </c>
      <c r="G2886" t="n">
        <v>50</v>
      </c>
      <c r="H2886" t="n">
        <v>-621.6286090499999</v>
      </c>
      <c r="I2886">
        <f>-H3094/G3094</f>
        <v/>
      </c>
      <c r="J2886" s="16" t="n">
        <v>44680</v>
      </c>
      <c r="K2886">
        <f>+OPERAC[[#This Row],[cantidad]]</f>
        <v/>
      </c>
      <c r="L2886">
        <f>12.848*OPERAC[[#This Row],[cantidad venta]]</f>
        <v/>
      </c>
    </row>
    <row r="2887">
      <c r="A2887" t="n">
        <v>12684</v>
      </c>
      <c r="B2887" s="16" t="n">
        <v>44671</v>
      </c>
      <c r="C2887" t="inlineStr">
        <is>
          <t>CPR</t>
        </is>
      </c>
      <c r="D2887" t="n">
        <v>42</v>
      </c>
      <c r="E2887">
        <f>IF(D2765&gt;0,VLOOKUP(OPERAC[[#This Row],[COD CART]],[1]!MatrizCortoLargoCyl[#All],3,0),"")</f>
        <v/>
      </c>
      <c r="F2887" t="inlineStr">
        <is>
          <t>NFLX</t>
        </is>
      </c>
      <c r="G2887" t="n">
        <v>2</v>
      </c>
      <c r="H2887" t="n">
        <v>-509.01012</v>
      </c>
      <c r="I2887">
        <f>-H2765/G2765</f>
        <v/>
      </c>
      <c r="J2887" s="16" t="n">
        <v>44691</v>
      </c>
      <c r="K2887" t="n">
        <v>2</v>
      </c>
      <c r="L2887" t="n">
        <v>359.101</v>
      </c>
    </row>
    <row r="2888">
      <c r="A2888" t="n">
        <v>12684</v>
      </c>
      <c r="B2888" s="16" t="n">
        <v>44680</v>
      </c>
      <c r="C2888" t="inlineStr">
        <is>
          <t>VTA</t>
        </is>
      </c>
      <c r="D2888" t="n">
        <v>42</v>
      </c>
      <c r="E2888">
        <f>IF(D3139&gt;0,VLOOKUP(OPERAC[[#This Row],[COD CART]],[1]!MatrizCortoLargoCyl[#All],3,0),"")</f>
        <v/>
      </c>
      <c r="F2888" t="inlineStr">
        <is>
          <t>XLP</t>
        </is>
      </c>
      <c r="G2888" t="n">
        <v>8</v>
      </c>
      <c r="H2888" t="n">
        <v>-635.4760199999999</v>
      </c>
      <c r="I2888">
        <f>-H3139/G3139</f>
        <v/>
      </c>
      <c r="J2888" s="16" t="n">
        <v>44691</v>
      </c>
      <c r="K2888" t="n">
        <v>6</v>
      </c>
      <c r="L2888" t="n">
        <v>455.247</v>
      </c>
    </row>
    <row r="2889">
      <c r="A2889" t="n">
        <v>12684</v>
      </c>
      <c r="B2889" s="16" t="n">
        <v>44680</v>
      </c>
      <c r="C2889" t="inlineStr">
        <is>
          <t>VTA</t>
        </is>
      </c>
      <c r="D2889" t="n">
        <v>42</v>
      </c>
      <c r="E2889">
        <f>IF(D3140&gt;0,VLOOKUP(OPERAC[[#This Row],[COD CART]],[1]!MatrizCortoLargoCyl[#All],3,0),"")</f>
        <v/>
      </c>
      <c r="F2889" t="inlineStr">
        <is>
          <t>XLP</t>
        </is>
      </c>
      <c r="G2889" t="n">
        <v>8</v>
      </c>
      <c r="H2889" t="n">
        <v>-635.4760199999999</v>
      </c>
      <c r="I2889">
        <f>-H3140/G3140</f>
        <v/>
      </c>
    </row>
    <row r="2890">
      <c r="A2890" t="n">
        <v>12684</v>
      </c>
      <c r="B2890" s="16" t="n">
        <v>44691</v>
      </c>
      <c r="C2890" t="inlineStr">
        <is>
          <t>CPR</t>
        </is>
      </c>
      <c r="D2890" t="n">
        <v>40</v>
      </c>
      <c r="E2890">
        <f>IF(D3641&gt;0,VLOOKUP(OPERAC[[#This Row],[COD CART]],[1]!MatrizCortoLargoCyl[#All],3,0),"")</f>
        <v/>
      </c>
      <c r="F2890" t="inlineStr">
        <is>
          <t>MELI</t>
        </is>
      </c>
      <c r="G2890" t="n">
        <v>1</v>
      </c>
      <c r="H2890" t="n">
        <v>-806.8</v>
      </c>
      <c r="I2890">
        <f>-H3641/G3641</f>
        <v/>
      </c>
    </row>
    <row r="2891">
      <c r="A2891" t="n">
        <v>12684</v>
      </c>
      <c r="B2891" s="16" t="n">
        <v>44718</v>
      </c>
      <c r="C2891" t="inlineStr">
        <is>
          <t>VTA</t>
        </is>
      </c>
      <c r="D2891" t="n">
        <v>39</v>
      </c>
      <c r="E2891">
        <f>IF(D590&gt;0,VLOOKUP(OPERAC[[#This Row],[COD CART]],[1]!MatrizCortoLargoCyl[#All],3,0),"")</f>
        <v/>
      </c>
      <c r="F2891" t="inlineStr">
        <is>
          <t>TSLA/C/820,00/10-06-22</t>
        </is>
      </c>
      <c r="G2891" t="n">
        <v>-400</v>
      </c>
      <c r="H2891" t="n">
        <v>634.5599999999999</v>
      </c>
      <c r="I2891">
        <f>-H590/G590</f>
        <v/>
      </c>
      <c r="J2891" s="16" t="n">
        <v>44720</v>
      </c>
      <c r="K2891" t="n">
        <v>-400</v>
      </c>
      <c r="L2891" t="n">
        <v>-705.95</v>
      </c>
    </row>
    <row r="2892">
      <c r="A2892" t="n">
        <v>12684</v>
      </c>
      <c r="B2892" s="16" t="n">
        <v>44720</v>
      </c>
      <c r="C2892" t="inlineStr">
        <is>
          <t>VTA</t>
        </is>
      </c>
      <c r="D2892" t="n">
        <v>39</v>
      </c>
      <c r="E2892">
        <f>IF(D399&gt;0,VLOOKUP(OPERAC[[#This Row],[COD CART]],[1]!MatrizCortoLargoCyl[#All],3,0),"")</f>
        <v/>
      </c>
      <c r="F2892" t="inlineStr">
        <is>
          <t>TSLA/C/800,00/10-06-22</t>
        </is>
      </c>
      <c r="G2892" t="n">
        <v>-400</v>
      </c>
      <c r="H2892" t="n">
        <v>1189.8</v>
      </c>
      <c r="I2892">
        <f>-H399/G399</f>
        <v/>
      </c>
      <c r="J2892" s="16" t="n">
        <v>44722</v>
      </c>
      <c r="K2892">
        <f>+OPERAC[[#This Row],[cantidad]]</f>
        <v/>
      </c>
      <c r="L2892" t="n">
        <v>0</v>
      </c>
    </row>
    <row r="2893">
      <c r="A2893" t="n">
        <v>12686</v>
      </c>
      <c r="B2893" s="16" t="n">
        <v>44489</v>
      </c>
      <c r="C2893" t="inlineStr">
        <is>
          <t>VTA</t>
        </is>
      </c>
      <c r="D2893" t="n">
        <v>43</v>
      </c>
      <c r="E2893">
        <f>IF(D1521&gt;0,VLOOKUP(OPERAC[[#This Row],[COD CART]],[1]!MatrizCortoLargoCyl[#All],3,0),"")</f>
        <v/>
      </c>
      <c r="F2893" t="inlineStr">
        <is>
          <t>SESN/CYL-PUT/1,00/19-01-24</t>
        </is>
      </c>
      <c r="G2893" t="n">
        <v>1000</v>
      </c>
      <c r="H2893">
        <f>-0.1885*OPERAC[[#This Row],[cantidad]]</f>
        <v/>
      </c>
      <c r="I2893">
        <f>-H1521/G1521</f>
        <v/>
      </c>
    </row>
    <row r="2894">
      <c r="A2894" t="n">
        <v>12686</v>
      </c>
      <c r="B2894" s="16" t="n">
        <v>44494</v>
      </c>
      <c r="C2894" t="inlineStr">
        <is>
          <t>VTA</t>
        </is>
      </c>
      <c r="D2894" t="n">
        <v>40</v>
      </c>
      <c r="E2894">
        <f>IF(D3198&gt;0,VLOOKUP(OPERAC[[#This Row],[COD CART]],[1]!MatrizCortoLargoCyl[#All],3,0),"")</f>
        <v/>
      </c>
      <c r="F2894" t="inlineStr">
        <is>
          <t>YPF</t>
        </is>
      </c>
      <c r="G2894" t="n">
        <v>140</v>
      </c>
      <c r="H2894" t="n">
        <v>-651.3808000000001</v>
      </c>
      <c r="I2894">
        <f>-H3198/G3198</f>
        <v/>
      </c>
      <c r="J2894" s="16" t="n">
        <v>44606</v>
      </c>
      <c r="K2894">
        <f>+OPERAC[[#This Row],[cantidad]]</f>
        <v/>
      </c>
      <c r="L2894">
        <f>+OPERAC[[#This Row],[cantidad venta]]*4.161</f>
        <v/>
      </c>
    </row>
    <row r="2895">
      <c r="A2895" t="n">
        <v>12686</v>
      </c>
      <c r="B2895" s="16" t="n">
        <v>44511</v>
      </c>
      <c r="C2895" t="inlineStr">
        <is>
          <t>VTA</t>
        </is>
      </c>
      <c r="D2895" t="n">
        <v>31</v>
      </c>
      <c r="E2895">
        <f>IF(D1352&gt;0,VLOOKUP(OPERAC[[#This Row],[COD CART]],[1]!MatrizCortoLargoCyl[#All],3,0),"")</f>
        <v/>
      </c>
      <c r="F2895" t="inlineStr">
        <is>
          <t>IPIX</t>
        </is>
      </c>
      <c r="G2895" t="n">
        <v>1000</v>
      </c>
      <c r="H2895" t="n">
        <v>-109.99</v>
      </c>
      <c r="I2895">
        <f>-H1352/G1352</f>
        <v/>
      </c>
    </row>
    <row r="2896">
      <c r="A2896" t="n">
        <v>12686</v>
      </c>
      <c r="B2896" s="16" t="n">
        <v>44539</v>
      </c>
      <c r="C2896" t="inlineStr">
        <is>
          <t>CPR</t>
        </is>
      </c>
      <c r="D2896" t="n">
        <v>40</v>
      </c>
      <c r="E2896">
        <f>IF(D2795&gt;0,VLOOKUP(OPERAC[[#This Row],[COD CART]],[1]!MatrizCortoLargoCyl[#All],3,0),"")</f>
        <v/>
      </c>
      <c r="F2896" t="inlineStr">
        <is>
          <t>ROKU</t>
        </is>
      </c>
      <c r="G2896" t="n">
        <v>2</v>
      </c>
      <c r="H2896" t="n">
        <v>-515.4407199999999</v>
      </c>
      <c r="I2896">
        <f>-H2795/G2795</f>
        <v/>
      </c>
      <c r="J2896" s="16" t="n">
        <v>44606</v>
      </c>
      <c r="K2896">
        <f>+OPERAC[[#This Row],[cantidad]]</f>
        <v/>
      </c>
      <c r="L2896">
        <f>+OPERAC[[#This Row],[cantidad venta]]*160.574</f>
        <v/>
      </c>
    </row>
    <row r="2897">
      <c r="A2897" t="n">
        <v>12686</v>
      </c>
      <c r="B2897" s="16" t="n">
        <v>44552</v>
      </c>
      <c r="C2897" t="inlineStr">
        <is>
          <t>VTA</t>
        </is>
      </c>
      <c r="D2897" t="n">
        <v>32</v>
      </c>
      <c r="E2897">
        <f>IF(D2243&gt;0,VLOOKUP(OPERAC[[#This Row],[COD CART]],[1]!MatrizCortoLargoCyl[#All],3,0),"")</f>
        <v/>
      </c>
      <c r="F2897" t="inlineStr">
        <is>
          <t>HMY/CYL/4,00/21-01-22</t>
        </is>
      </c>
      <c r="G2897" t="n">
        <v>100</v>
      </c>
      <c r="H2897">
        <f>-3.8*OPERAC[[#This Row],[cantidad]]</f>
        <v/>
      </c>
      <c r="I2897">
        <f>-H2243/G2243</f>
        <v/>
      </c>
      <c r="J2897" s="16" t="n">
        <v>44580</v>
      </c>
      <c r="K2897" t="n">
        <v>100</v>
      </c>
      <c r="L2897" t="n">
        <v>393.93</v>
      </c>
    </row>
    <row r="2898">
      <c r="A2898" t="n">
        <v>12686</v>
      </c>
      <c r="B2898" s="16" t="n">
        <v>44553</v>
      </c>
      <c r="C2898" t="inlineStr">
        <is>
          <t>VTA</t>
        </is>
      </c>
      <c r="D2898" t="n">
        <v>40</v>
      </c>
      <c r="E2898">
        <f>IF(D1810&gt;0,VLOOKUP(OPERAC[[#This Row],[COD CART]],[1]!MatrizCortoLargoCyl[#All],3,0),"")</f>
        <v/>
      </c>
      <c r="F2898" t="inlineStr">
        <is>
          <t>ON</t>
        </is>
      </c>
      <c r="G2898" t="n">
        <v>4</v>
      </c>
      <c r="H2898" t="n">
        <v>-268.4544319999999</v>
      </c>
      <c r="I2898">
        <f>-H1810/G1810</f>
        <v/>
      </c>
      <c r="J2898" s="16" t="n">
        <v>44606</v>
      </c>
      <c r="K2898">
        <f>+OPERAC[[#This Row],[cantidad]]</f>
        <v/>
      </c>
      <c r="L2898">
        <f>+OPERAC[[#This Row],[cantidad venta]]*58.449</f>
        <v/>
      </c>
    </row>
    <row r="2899">
      <c r="A2899" t="n">
        <v>12686</v>
      </c>
      <c r="B2899" s="16" t="n">
        <v>44581</v>
      </c>
      <c r="C2899" t="inlineStr">
        <is>
          <t>VTA</t>
        </is>
      </c>
      <c r="D2899" t="n">
        <v>32</v>
      </c>
      <c r="E2899">
        <f>IF(D2274&gt;0,VLOOKUP(OPERAC[[#This Row],[COD CART]],[1]!MatrizCortoLargoCyl[#All],3,0),"")</f>
        <v/>
      </c>
      <c r="F2899" t="inlineStr">
        <is>
          <t>HMY/CYL/4,00/18-02-22</t>
        </is>
      </c>
      <c r="G2899" t="n">
        <v>100</v>
      </c>
      <c r="H2899" t="n">
        <v>-387.467996</v>
      </c>
      <c r="I2899">
        <f>-H2274/G2274</f>
        <v/>
      </c>
      <c r="J2899" s="16" t="n">
        <v>44610</v>
      </c>
      <c r="K2899">
        <f>+OPERAC[[#This Row],[cantidad]]</f>
        <v/>
      </c>
      <c r="L2899">
        <f>+OPERAC[[#This Row],[cantidad venta]]*3.8323</f>
        <v/>
      </c>
    </row>
    <row r="2900">
      <c r="A2900" t="n">
        <v>12686</v>
      </c>
      <c r="B2900" s="16" t="n">
        <v>44586</v>
      </c>
      <c r="C2900" t="inlineStr">
        <is>
          <t>VTA</t>
        </is>
      </c>
      <c r="D2900" t="n">
        <v>43</v>
      </c>
      <c r="E2900">
        <f>IF(D1977&gt;0,VLOOKUP(OPERAC[[#This Row],[COD CART]],[1]!MatrizCortoLargoCyl[#All],3,0),"")</f>
        <v/>
      </c>
      <c r="F2900" t="inlineStr">
        <is>
          <t>GMBL/CYL-PUT/2,50/20-01-23</t>
        </is>
      </c>
      <c r="G2900" t="n">
        <v>300</v>
      </c>
      <c r="H2900" t="n">
        <v>-304.8143</v>
      </c>
      <c r="I2900">
        <f>-H1977/G1977</f>
        <v/>
      </c>
      <c r="J2900" s="16" t="n">
        <v>44705</v>
      </c>
      <c r="K2900" t="n">
        <v>300</v>
      </c>
      <c r="L2900" t="n">
        <v>-600.28</v>
      </c>
    </row>
    <row r="2901">
      <c r="A2901" t="n">
        <v>12686</v>
      </c>
      <c r="B2901" s="16" t="n">
        <v>44616</v>
      </c>
      <c r="C2901" t="inlineStr">
        <is>
          <t>CPR</t>
        </is>
      </c>
      <c r="D2901" t="n">
        <v>32</v>
      </c>
      <c r="E2901">
        <f>IF(D4317&gt;0,VLOOKUP(OPERAC[[#This Row],[COD CART]],[1]!MatrizCortoLargoCyl[#All],3,0),"")</f>
        <v/>
      </c>
      <c r="F2901" t="inlineStr">
        <is>
          <t>PLTR/CYL/12,00/14-04-22</t>
        </is>
      </c>
      <c r="G2901" t="n">
        <v>100</v>
      </c>
      <c r="H2901" t="n">
        <v>-1052.7265</v>
      </c>
      <c r="I2901">
        <f>-H4317/G4317</f>
        <v/>
      </c>
      <c r="J2901" s="16" t="n">
        <v>44643</v>
      </c>
      <c r="K2901" t="n">
        <v>100</v>
      </c>
      <c r="L2901" t="n">
        <v>1146.72</v>
      </c>
    </row>
    <row r="2902">
      <c r="A2902" t="n">
        <v>12686</v>
      </c>
      <c r="B2902" s="16" t="n">
        <v>44622</v>
      </c>
      <c r="C2902" t="inlineStr">
        <is>
          <t>CPR</t>
        </is>
      </c>
      <c r="D2902" t="n">
        <v>32</v>
      </c>
      <c r="E2902">
        <f>IF(D2580&gt;0,VLOOKUP(OPERAC[[#This Row],[COD CART]],[1]!MatrizCortoLargoCyl[#All],3,0),"")</f>
        <v/>
      </c>
      <c r="F2902" t="inlineStr">
        <is>
          <t>HMY/CYL/5,00/18-03-22</t>
        </is>
      </c>
      <c r="G2902" t="n">
        <v>100</v>
      </c>
      <c r="H2902" t="n">
        <v>-468.532</v>
      </c>
      <c r="I2902">
        <f>-H2580/G2580</f>
        <v/>
      </c>
      <c r="J2902" s="16" t="n">
        <v>44637</v>
      </c>
      <c r="K2902">
        <f>+OPERAC[[#This Row],[cantidad]]</f>
        <v/>
      </c>
      <c r="L2902">
        <f>4.85553*OPERAC[[#This Row],[cantidad venta]]</f>
        <v/>
      </c>
    </row>
    <row r="2903">
      <c r="A2903" t="n">
        <v>12686</v>
      </c>
      <c r="B2903" s="16" t="n">
        <v>44641</v>
      </c>
      <c r="C2903" t="inlineStr">
        <is>
          <t>VTA</t>
        </is>
      </c>
      <c r="D2903" t="n">
        <v>42</v>
      </c>
      <c r="E2903">
        <f>IF(D1402&gt;0,VLOOKUP(OPERAC[[#This Row],[COD CART]],[1]!MatrizCortoLargoCyl[#All],3,0),"")</f>
        <v/>
      </c>
      <c r="F2903" t="inlineStr">
        <is>
          <t>JPM</t>
        </is>
      </c>
      <c r="G2903" t="n">
        <v>1</v>
      </c>
      <c r="H2903" t="n">
        <v>-140.45434</v>
      </c>
      <c r="I2903">
        <f>-H1402/G1402</f>
        <v/>
      </c>
      <c r="J2903" s="16" t="n">
        <v>44664</v>
      </c>
      <c r="K2903">
        <f>+OPERAC[[#This Row],[cantidad]]</f>
        <v/>
      </c>
      <c r="L2903">
        <f>+OPERAC[[#This Row],[cantidad venta]]*125.943</f>
        <v/>
      </c>
    </row>
    <row r="2904">
      <c r="A2904" t="n">
        <v>12686</v>
      </c>
      <c r="B2904" s="16" t="n">
        <v>44641</v>
      </c>
      <c r="C2904" t="inlineStr">
        <is>
          <t>VTA</t>
        </is>
      </c>
      <c r="D2904" t="n">
        <v>42</v>
      </c>
      <c r="E2904">
        <f>IF(D2419&gt;0,VLOOKUP(OPERAC[[#This Row],[COD CART]],[1]!MatrizCortoLargoCyl[#All],3,0),"")</f>
        <v/>
      </c>
      <c r="F2904" t="inlineStr">
        <is>
          <t>FB</t>
        </is>
      </c>
      <c r="G2904" t="n">
        <v>2</v>
      </c>
      <c r="H2904" t="n">
        <v>-424.31276</v>
      </c>
      <c r="I2904">
        <f>-H2419/G2419</f>
        <v/>
      </c>
      <c r="J2904" s="16" t="n">
        <v>44671</v>
      </c>
      <c r="K2904">
        <f>+OPERAC[[#This Row],[cantidad]]</f>
        <v/>
      </c>
      <c r="L2904">
        <f>+OPERAC[[#This Row],[cantidad venta]]*213.173</f>
        <v/>
      </c>
    </row>
    <row r="2905">
      <c r="A2905" t="n">
        <v>12686</v>
      </c>
      <c r="B2905" s="16" t="n">
        <v>44643</v>
      </c>
      <c r="C2905" t="inlineStr">
        <is>
          <t>VTA</t>
        </is>
      </c>
      <c r="D2905" t="n">
        <v>32</v>
      </c>
      <c r="E2905">
        <f>IF(D3812&gt;0,VLOOKUP(OPERAC[[#This Row],[COD CART]],[1]!MatrizCortoLargoCyl[#All],3,0),"")</f>
        <v/>
      </c>
      <c r="F2905" t="inlineStr">
        <is>
          <t>COTY/CYL/9,00/14-04-22</t>
        </is>
      </c>
      <c r="G2905" t="n">
        <v>100</v>
      </c>
      <c r="H2905" t="n">
        <v>-855.451</v>
      </c>
      <c r="I2905">
        <f>-H3812/G3812</f>
        <v/>
      </c>
      <c r="J2905" s="16" t="n">
        <v>44649</v>
      </c>
      <c r="K2905" t="n">
        <v>100</v>
      </c>
      <c r="L2905" t="n">
        <v>875.28</v>
      </c>
    </row>
    <row r="2906">
      <c r="A2906" t="n">
        <v>12686</v>
      </c>
      <c r="B2906" s="16" t="n">
        <v>44645</v>
      </c>
      <c r="C2906" t="inlineStr">
        <is>
          <t>CPR</t>
        </is>
      </c>
      <c r="D2906" t="n">
        <v>42</v>
      </c>
      <c r="E2906">
        <f>IF(D1862&gt;0,VLOOKUP(OPERAC[[#This Row],[COD CART]],[1]!MatrizCortoLargoCyl[#All],3,0),"")</f>
        <v/>
      </c>
      <c r="F2906" t="inlineStr">
        <is>
          <t>PLUG</t>
        </is>
      </c>
      <c r="G2906" t="n">
        <v>10</v>
      </c>
      <c r="H2906" t="n">
        <v>-279.3164</v>
      </c>
      <c r="I2906">
        <f>-H1862/G1862</f>
        <v/>
      </c>
      <c r="J2906" s="16" t="n">
        <v>44652</v>
      </c>
      <c r="K2906">
        <f>+OPERAC[[#This Row],[cantidad]]</f>
        <v/>
      </c>
      <c r="L2906">
        <f>+OPERAC[[#This Row],[cantidad venta]]*27.754</f>
        <v/>
      </c>
    </row>
    <row r="2907">
      <c r="A2907" t="n">
        <v>12686</v>
      </c>
      <c r="B2907" s="16" t="n">
        <v>44649</v>
      </c>
      <c r="C2907" t="inlineStr">
        <is>
          <t>VTA</t>
        </is>
      </c>
      <c r="D2907" t="n">
        <v>32</v>
      </c>
      <c r="E2907">
        <f>IF(D3185&gt;0,VLOOKUP(OPERAC[[#This Row],[COD CART]],[1]!MatrizCortoLargoCyl[#All],3,0),"")</f>
        <v/>
      </c>
      <c r="F2907" t="inlineStr">
        <is>
          <t>TLRY/CYL/7,00/15-07-22</t>
        </is>
      </c>
      <c r="G2907" t="n">
        <v>100</v>
      </c>
      <c r="H2907">
        <f>-672.216+9.915+13.881</f>
        <v/>
      </c>
      <c r="I2907">
        <f>-H3185/G3185</f>
        <v/>
      </c>
    </row>
    <row r="2908">
      <c r="A2908" t="n">
        <v>12686</v>
      </c>
      <c r="B2908" s="16" t="n">
        <v>44652</v>
      </c>
      <c r="C2908" t="inlineStr">
        <is>
          <t>VTA</t>
        </is>
      </c>
      <c r="D2908" t="n">
        <v>42</v>
      </c>
      <c r="E2908">
        <f>IF(D2043&gt;0,VLOOKUP(OPERAC[[#This Row],[COD CART]],[1]!MatrizCortoLargoCyl[#All],3,0),"")</f>
        <v/>
      </c>
      <c r="F2908" t="inlineStr">
        <is>
          <t>GBTC</t>
        </is>
      </c>
      <c r="G2908" t="n">
        <v>10</v>
      </c>
      <c r="H2908" t="n">
        <v>-321.098</v>
      </c>
      <c r="I2908">
        <f>-H2043/G2043</f>
        <v/>
      </c>
      <c r="J2908" s="16" t="n">
        <v>44662</v>
      </c>
      <c r="K2908">
        <f>+OPERAC[[#This Row],[cantidad]]</f>
        <v/>
      </c>
      <c r="L2908">
        <f>27.99*OPERAC[[#This Row],[cantidad venta]]</f>
        <v/>
      </c>
    </row>
    <row r="2909">
      <c r="A2909" t="n">
        <v>12686</v>
      </c>
      <c r="B2909" s="16" t="n">
        <v>44662</v>
      </c>
      <c r="C2909" t="inlineStr">
        <is>
          <t>VTA</t>
        </is>
      </c>
      <c r="D2909" t="n">
        <v>42</v>
      </c>
      <c r="E2909">
        <f>IF(D1498&gt;0,VLOOKUP(OPERAC[[#This Row],[COD CART]],[1]!MatrizCortoLargoCyl[#All],3,0),"")</f>
        <v/>
      </c>
      <c r="F2909" t="inlineStr">
        <is>
          <t>HYDR</t>
        </is>
      </c>
      <c r="G2909" t="n">
        <v>10</v>
      </c>
      <c r="H2909" t="n">
        <v>-185.70344</v>
      </c>
      <c r="I2909">
        <f>-H1498/G1498</f>
        <v/>
      </c>
      <c r="J2909" s="16" t="n">
        <v>44693</v>
      </c>
      <c r="K2909">
        <f>+OPERAC[[#This Row],[cantidad]]</f>
        <v/>
      </c>
      <c r="L2909">
        <f>+OPERAC[[#This Row],[cantidad venta]]*12.027</f>
        <v/>
      </c>
    </row>
    <row r="2910">
      <c r="A2910" t="n">
        <v>12686</v>
      </c>
      <c r="B2910" s="16" t="n">
        <v>44671</v>
      </c>
      <c r="C2910" t="inlineStr">
        <is>
          <t>CPR</t>
        </is>
      </c>
      <c r="D2910" t="n">
        <v>42</v>
      </c>
      <c r="E2910">
        <f>IF(D2766&gt;0,VLOOKUP(OPERAC[[#This Row],[COD CART]],[1]!MatrizCortoLargoCyl[#All],3,0),"")</f>
        <v/>
      </c>
      <c r="F2910" t="inlineStr">
        <is>
          <t>NFLX</t>
        </is>
      </c>
      <c r="G2910" t="n">
        <v>2</v>
      </c>
      <c r="H2910" t="n">
        <v>-509.01012</v>
      </c>
      <c r="I2910">
        <f>-H2766/G2766</f>
        <v/>
      </c>
      <c r="J2910" s="16" t="n">
        <v>44693</v>
      </c>
      <c r="K2910">
        <f>+OPERAC[[#This Row],[cantidad]]</f>
        <v/>
      </c>
      <c r="L2910">
        <f>+OPERAC[[#This Row],[cantidad venta]]*169.079</f>
        <v/>
      </c>
    </row>
    <row r="2911">
      <c r="A2911" t="n">
        <v>12686</v>
      </c>
      <c r="B2911" s="16" t="n">
        <v>44712</v>
      </c>
      <c r="C2911" t="inlineStr">
        <is>
          <t>CPR</t>
        </is>
      </c>
      <c r="D2911" t="n">
        <v>32</v>
      </c>
      <c r="E2911">
        <f>IF(D3335&gt;0,VLOOKUP(OPERAC[[#This Row],[COD CART]],[1]!MatrizCortoLargoCyl[#All],3,0),"")</f>
        <v/>
      </c>
      <c r="F2911" t="inlineStr">
        <is>
          <t>CRESY/CYL/7,50/17-06-22</t>
        </is>
      </c>
      <c r="G2911" t="n">
        <v>100</v>
      </c>
      <c r="H2911" t="n">
        <v>-693.075</v>
      </c>
      <c r="I2911">
        <f>-H3335/G3335</f>
        <v/>
      </c>
    </row>
    <row r="2912">
      <c r="A2912" t="n">
        <v>12686</v>
      </c>
      <c r="B2912" s="16" t="n">
        <v>44718</v>
      </c>
      <c r="C2912" t="inlineStr">
        <is>
          <t>VTA</t>
        </is>
      </c>
      <c r="D2912" t="n">
        <v>42</v>
      </c>
      <c r="E2912">
        <f>IF(D2009&gt;0,VLOOKUP(OPERAC[[#This Row],[COD CART]],[1]!MatrizCortoLargoCyl[#All],3,0),"")</f>
        <v/>
      </c>
      <c r="F2912" t="inlineStr">
        <is>
          <t>KWEB</t>
        </is>
      </c>
      <c r="G2912" t="n">
        <v>10</v>
      </c>
      <c r="H2912" t="n">
        <v>-310.83388</v>
      </c>
      <c r="I2912">
        <f>-H2009/G2009</f>
        <v/>
      </c>
    </row>
    <row r="2913">
      <c r="A2913" t="n">
        <v>12688</v>
      </c>
      <c r="B2913" s="16" t="n">
        <v>44489</v>
      </c>
      <c r="C2913" t="inlineStr">
        <is>
          <t>VTA</t>
        </is>
      </c>
      <c r="D2913" t="n">
        <v>43</v>
      </c>
      <c r="E2913">
        <f>IF(D1522&gt;0,VLOOKUP(OPERAC[[#This Row],[COD CART]],[1]!MatrizCortoLargoCyl[#All],3,0),"")</f>
        <v/>
      </c>
      <c r="F2913" t="inlineStr">
        <is>
          <t>SESN/CYL-PUT/1,00/19-01-24</t>
        </is>
      </c>
      <c r="G2913" t="n">
        <v>1000</v>
      </c>
      <c r="H2913">
        <f>-0.1885*OPERAC[[#This Row],[cantidad]]</f>
        <v/>
      </c>
      <c r="I2913">
        <f>-H1522/G1522</f>
        <v/>
      </c>
      <c r="J2913" s="16" t="n">
        <v>44670</v>
      </c>
      <c r="K2913" t="n">
        <v>1000</v>
      </c>
      <c r="L2913" t="n">
        <v>224.687</v>
      </c>
    </row>
    <row r="2914">
      <c r="A2914" t="n">
        <v>12688</v>
      </c>
      <c r="B2914" s="16" t="n">
        <v>44511</v>
      </c>
      <c r="C2914" t="inlineStr">
        <is>
          <t>VTA</t>
        </is>
      </c>
      <c r="D2914" t="n">
        <v>31</v>
      </c>
      <c r="E2914">
        <f>IF(D1353&gt;0,VLOOKUP(OPERAC[[#This Row],[COD CART]],[1]!MatrizCortoLargoCyl[#All],3,0),"")</f>
        <v/>
      </c>
      <c r="F2914" t="inlineStr">
        <is>
          <t>IPIX</t>
        </is>
      </c>
      <c r="G2914" t="n">
        <v>1000</v>
      </c>
      <c r="H2914" t="n">
        <v>-109.99</v>
      </c>
      <c r="I2914">
        <f>-H1353/G1353</f>
        <v/>
      </c>
    </row>
    <row r="2915">
      <c r="A2915" t="n">
        <v>12688</v>
      </c>
      <c r="B2915" s="16" t="n">
        <v>44516</v>
      </c>
      <c r="C2915" t="inlineStr">
        <is>
          <t>VTA</t>
        </is>
      </c>
      <c r="D2915" t="n">
        <v>40</v>
      </c>
      <c r="E2915">
        <f>IF(D3215&gt;0,VLOOKUP(OPERAC[[#This Row],[COD CART]],[1]!MatrizCortoLargoCyl[#All],3,0),"")</f>
        <v/>
      </c>
      <c r="F2915" t="inlineStr">
        <is>
          <t>ACB</t>
        </is>
      </c>
      <c r="G2915" t="n">
        <v>100</v>
      </c>
      <c r="H2915">
        <f>-680.27+22.293</f>
        <v/>
      </c>
      <c r="I2915">
        <f>-H3215/G3215</f>
        <v/>
      </c>
      <c r="J2915" s="16" t="n">
        <v>44606</v>
      </c>
      <c r="K2915" t="n">
        <v>100</v>
      </c>
      <c r="L2915" t="n">
        <v>437.056</v>
      </c>
    </row>
    <row r="2916">
      <c r="A2916" t="n">
        <v>12688</v>
      </c>
      <c r="B2916" s="16" t="n">
        <v>44523</v>
      </c>
      <c r="C2916" t="inlineStr">
        <is>
          <t>VTA</t>
        </is>
      </c>
      <c r="D2916" t="n">
        <v>40</v>
      </c>
      <c r="E2916">
        <f>IF(D2149&gt;0,VLOOKUP(OPERAC[[#This Row],[COD CART]],[1]!MatrizCortoLargoCyl[#All],3,0),"")</f>
        <v/>
      </c>
      <c r="F2916" t="inlineStr">
        <is>
          <t>EDU</t>
        </is>
      </c>
      <c r="G2916" t="n">
        <v>200</v>
      </c>
      <c r="H2916">
        <f>-355.898+0.026*OPERAC[[#This Row],[cantidad]]</f>
        <v/>
      </c>
      <c r="I2916">
        <f>-H2149/G2149</f>
        <v/>
      </c>
      <c r="J2916" s="16" t="n">
        <v>44630</v>
      </c>
      <c r="K2916" t="n">
        <v>200</v>
      </c>
      <c r="L2916" t="n">
        <v>227.331</v>
      </c>
    </row>
    <row r="2917">
      <c r="A2917" t="n">
        <v>12688</v>
      </c>
      <c r="B2917" s="16" t="n">
        <v>44523</v>
      </c>
      <c r="C2917" t="inlineStr">
        <is>
          <t>VTA</t>
        </is>
      </c>
      <c r="D2917" t="n">
        <v>32</v>
      </c>
      <c r="E2917">
        <f>IF(D2316&gt;0,VLOOKUP(OPERAC[[#This Row],[COD CART]],[1]!MatrizCortoLargoCyl[#All],3,0),"")</f>
        <v/>
      </c>
      <c r="F2917" t="inlineStr">
        <is>
          <t>GMBL/CYL/5,00/18-03-22</t>
        </is>
      </c>
      <c r="G2917" t="n">
        <v>100</v>
      </c>
      <c r="H2917">
        <f>-411.931+9.067</f>
        <v/>
      </c>
      <c r="I2917">
        <f>-H2316/G2316</f>
        <v/>
      </c>
      <c r="J2917" s="16" t="n">
        <v>44614</v>
      </c>
      <c r="K2917" t="n">
        <v>100</v>
      </c>
      <c r="L2917" t="n">
        <v>311.5</v>
      </c>
    </row>
    <row r="2918">
      <c r="A2918" t="n">
        <v>12688</v>
      </c>
      <c r="B2918" s="16" t="n">
        <v>44586</v>
      </c>
      <c r="C2918" t="inlineStr">
        <is>
          <t>VTA</t>
        </is>
      </c>
      <c r="D2918" t="n">
        <v>43</v>
      </c>
      <c r="E2918">
        <f>IF(D1978&gt;0,VLOOKUP(OPERAC[[#This Row],[COD CART]],[1]!MatrizCortoLargoCyl[#All],3,0),"")</f>
        <v/>
      </c>
      <c r="F2918" t="inlineStr">
        <is>
          <t>GMBL/CYL-PUT/2,50/20-01-23</t>
        </is>
      </c>
      <c r="G2918" t="n">
        <v>300</v>
      </c>
      <c r="H2918" t="n">
        <v>-304.8143</v>
      </c>
      <c r="I2918">
        <f>-H1978/G1978</f>
        <v/>
      </c>
      <c r="J2918" s="16" t="n">
        <v>44636</v>
      </c>
      <c r="K2918" t="n">
        <v>300</v>
      </c>
      <c r="L2918">
        <f>-1.36*OPERAC[[#This Row],[cantidad venta]]</f>
        <v/>
      </c>
    </row>
    <row r="2919">
      <c r="A2919" t="n">
        <v>12688</v>
      </c>
      <c r="B2919" s="16" t="n">
        <v>44622</v>
      </c>
      <c r="C2919" t="inlineStr">
        <is>
          <t>CPR</t>
        </is>
      </c>
      <c r="D2919" t="n">
        <v>32</v>
      </c>
      <c r="E2919">
        <f>IF(D2581&gt;0,VLOOKUP(OPERAC[[#This Row],[COD CART]],[1]!MatrizCortoLargoCyl[#All],3,0),"")</f>
        <v/>
      </c>
      <c r="F2919" t="inlineStr">
        <is>
          <t>HMY/CYL/5,00/18-03-22</t>
        </is>
      </c>
      <c r="G2919" t="n">
        <v>100</v>
      </c>
      <c r="H2919" t="n">
        <v>-468.532</v>
      </c>
      <c r="I2919">
        <f>-H2581/G2581</f>
        <v/>
      </c>
      <c r="J2919" s="16" t="n">
        <v>44637</v>
      </c>
      <c r="K2919">
        <f>+OPERAC[[#This Row],[cantidad]]</f>
        <v/>
      </c>
      <c r="L2919">
        <f>4.85553*OPERAC[[#This Row],[cantidad venta]]</f>
        <v/>
      </c>
    </row>
    <row r="2920">
      <c r="A2920" t="n">
        <v>12688</v>
      </c>
      <c r="B2920" s="16" t="n">
        <v>44636</v>
      </c>
      <c r="C2920" t="inlineStr">
        <is>
          <t>VTA</t>
        </is>
      </c>
      <c r="D2920" t="n">
        <v>43</v>
      </c>
      <c r="E2920">
        <f>IF(D1456&gt;0,VLOOKUP(OPERAC[[#This Row],[COD CART]],[1]!MatrizCortoLargoCyl[#All],3,0),"")</f>
        <v/>
      </c>
      <c r="F2920" t="inlineStr">
        <is>
          <t>GMBL/CYL-PUT/1,00/20-01-23</t>
        </is>
      </c>
      <c r="G2920" t="n">
        <v>1000</v>
      </c>
      <c r="H2920" t="n">
        <v>-163.3886500000001</v>
      </c>
      <c r="I2920">
        <f>-H1456/G1456</f>
        <v/>
      </c>
      <c r="J2920" s="16" t="n">
        <v>44694</v>
      </c>
      <c r="K2920" t="n">
        <v>1000</v>
      </c>
      <c r="L2920">
        <f>-0.2931*OPERAC[[#This Row],[cantidad venta]]</f>
        <v/>
      </c>
    </row>
    <row r="2921">
      <c r="A2921" t="n">
        <v>12688</v>
      </c>
      <c r="B2921" s="16" t="n">
        <v>44637</v>
      </c>
      <c r="C2921" t="inlineStr">
        <is>
          <t>VTA</t>
        </is>
      </c>
      <c r="D2921" t="n">
        <v>43</v>
      </c>
      <c r="E2921">
        <f>IF(D1282&gt;0,VLOOKUP(OPERAC[[#This Row],[COD CART]],[1]!MatrizCortoLargoCyl[#All],3,0),"")</f>
        <v/>
      </c>
      <c r="F2921" t="inlineStr">
        <is>
          <t>GMBL/CYL-PUT/1,00/20-01-23</t>
        </is>
      </c>
      <c r="G2921" t="n">
        <v>300</v>
      </c>
      <c r="H2921" t="n">
        <v>-62.34952799999999</v>
      </c>
      <c r="I2921">
        <f>-H1282/G1282</f>
        <v/>
      </c>
      <c r="J2921" s="16" t="n">
        <v>44694</v>
      </c>
      <c r="K2921" t="n">
        <v>300</v>
      </c>
      <c r="L2921">
        <f>-0.2931*OPERAC[[#This Row],[cantidad venta]]</f>
        <v/>
      </c>
    </row>
    <row r="2922">
      <c r="A2922" t="n">
        <v>12688</v>
      </c>
      <c r="B2922" s="16" t="n">
        <v>44641</v>
      </c>
      <c r="C2922" t="inlineStr">
        <is>
          <t>VTA</t>
        </is>
      </c>
      <c r="D2922" t="n">
        <v>42</v>
      </c>
      <c r="E2922">
        <f>IF(D1403&gt;0,VLOOKUP(OPERAC[[#This Row],[COD CART]],[1]!MatrizCortoLargoCyl[#All],3,0),"")</f>
        <v/>
      </c>
      <c r="F2922" t="inlineStr">
        <is>
          <t>JPM</t>
        </is>
      </c>
      <c r="G2922" t="n">
        <v>1</v>
      </c>
      <c r="H2922" t="n">
        <v>-140.45434</v>
      </c>
      <c r="I2922">
        <f>-H1403/G1403</f>
        <v/>
      </c>
      <c r="J2922" s="16" t="n">
        <v>44664</v>
      </c>
      <c r="K2922">
        <f>+OPERAC[[#This Row],[cantidad]]</f>
        <v/>
      </c>
      <c r="L2922">
        <f>+OPERAC[[#This Row],[cantidad venta]]*125.943</f>
        <v/>
      </c>
    </row>
    <row r="2923">
      <c r="A2923" t="n">
        <v>12688</v>
      </c>
      <c r="B2923" s="16" t="n">
        <v>44641</v>
      </c>
      <c r="C2923" t="inlineStr">
        <is>
          <t>VTA</t>
        </is>
      </c>
      <c r="D2923" t="n">
        <v>42</v>
      </c>
      <c r="E2923">
        <f>IF(D1600&gt;0,VLOOKUP(OPERAC[[#This Row],[COD CART]],[1]!MatrizCortoLargoCyl[#All],3,0),"")</f>
        <v/>
      </c>
      <c r="F2923" t="inlineStr">
        <is>
          <t>FB</t>
        </is>
      </c>
      <c r="G2923" t="n">
        <v>1</v>
      </c>
      <c r="H2923" t="n">
        <v>-212.15638</v>
      </c>
      <c r="I2923">
        <f>-H1600/G1600</f>
        <v/>
      </c>
      <c r="J2923" s="16" t="n">
        <v>44671</v>
      </c>
      <c r="K2923">
        <f>+OPERAC[[#This Row],[cantidad]]</f>
        <v/>
      </c>
      <c r="L2923">
        <f>+OPERAC[[#This Row],[cantidad venta]]*213.173</f>
        <v/>
      </c>
    </row>
    <row r="2924">
      <c r="A2924" t="n">
        <v>12688</v>
      </c>
      <c r="B2924" s="16" t="n">
        <v>44662</v>
      </c>
      <c r="C2924" t="inlineStr">
        <is>
          <t>VTA</t>
        </is>
      </c>
      <c r="D2924" t="n">
        <v>42</v>
      </c>
      <c r="E2924">
        <f>IF(D1499&gt;0,VLOOKUP(OPERAC[[#This Row],[COD CART]],[1]!MatrizCortoLargoCyl[#All],3,0),"")</f>
        <v/>
      </c>
      <c r="F2924" t="inlineStr">
        <is>
          <t>HYDR</t>
        </is>
      </c>
      <c r="G2924" t="n">
        <v>10</v>
      </c>
      <c r="H2924" t="n">
        <v>-185.70344</v>
      </c>
      <c r="I2924">
        <f>-H1499/G1499</f>
        <v/>
      </c>
      <c r="J2924" s="16" t="n">
        <v>44693</v>
      </c>
      <c r="K2924">
        <f>+OPERAC[[#This Row],[cantidad]]</f>
        <v/>
      </c>
      <c r="L2924">
        <f>+OPERAC[[#This Row],[cantidad venta]]*12.027</f>
        <v/>
      </c>
    </row>
    <row r="2925">
      <c r="A2925" t="n">
        <v>12688</v>
      </c>
      <c r="B2925" s="16" t="n">
        <v>44670</v>
      </c>
      <c r="C2925" t="inlineStr">
        <is>
          <t>CPR</t>
        </is>
      </c>
      <c r="D2925" t="n">
        <v>32</v>
      </c>
      <c r="E2925">
        <f>IF(D3386&gt;0,VLOOKUP(OPERAC[[#This Row],[COD CART]],[1]!MatrizCortoLargoCyl[#All],3,0),"")</f>
        <v/>
      </c>
      <c r="F2925" t="inlineStr">
        <is>
          <t>PCT/CYL/7,50/20-05-22</t>
        </is>
      </c>
      <c r="G2925" t="n">
        <v>100</v>
      </c>
      <c r="H2925" t="n">
        <v>-710.274</v>
      </c>
      <c r="I2925">
        <f>-H3386/G3386</f>
        <v/>
      </c>
      <c r="J2925" s="16" t="n">
        <v>44698</v>
      </c>
      <c r="K2925">
        <f>+OPERAC[[#This Row],[cantidad]]</f>
        <v/>
      </c>
      <c r="L2925">
        <f>7.3616*OPERAC[[#This Row],[cantidad venta]]</f>
        <v/>
      </c>
    </row>
    <row r="2926">
      <c r="A2926" t="n">
        <v>12688</v>
      </c>
      <c r="B2926" s="16" t="n">
        <v>44670</v>
      </c>
      <c r="C2926" t="inlineStr">
        <is>
          <t>VTA</t>
        </is>
      </c>
      <c r="D2926" t="n">
        <v>39</v>
      </c>
      <c r="E2926">
        <f>IF(D408&gt;0,VLOOKUP(OPERAC[[#This Row],[COD CART]],[1]!MatrizCortoLargoCyl[#All],3,0),"")</f>
        <v/>
      </c>
      <c r="F2926" t="inlineStr">
        <is>
          <t>UPST/V/75,00/22-04-22</t>
        </is>
      </c>
      <c r="G2926" t="n">
        <v>-1000</v>
      </c>
      <c r="H2926" t="n">
        <v>1140.225</v>
      </c>
      <c r="I2926">
        <f>-H408/G408</f>
        <v/>
      </c>
      <c r="J2926" s="16" t="n">
        <v>44673</v>
      </c>
      <c r="K2926" t="n">
        <v>-1000</v>
      </c>
      <c r="L2926" t="n">
        <v>-2117.85</v>
      </c>
    </row>
    <row r="2927">
      <c r="A2927" t="n">
        <v>12688</v>
      </c>
      <c r="B2927" s="16" t="n">
        <v>44671</v>
      </c>
      <c r="C2927" t="inlineStr">
        <is>
          <t>VTA</t>
        </is>
      </c>
      <c r="D2927" t="n">
        <v>42</v>
      </c>
      <c r="E2927">
        <f>IF(D1749&gt;0,VLOOKUP(OPERAC[[#This Row],[COD CART]],[1]!MatrizCortoLargoCyl[#All],3,0),"")</f>
        <v/>
      </c>
      <c r="F2927" t="inlineStr">
        <is>
          <t>NFLX</t>
        </is>
      </c>
      <c r="G2927" t="n">
        <v>1</v>
      </c>
      <c r="H2927" t="n">
        <v>-254.50506</v>
      </c>
      <c r="I2927">
        <f>-H1749/G1749</f>
        <v/>
      </c>
      <c r="J2927" s="16" t="n">
        <v>44693</v>
      </c>
      <c r="K2927">
        <f>+OPERAC[[#This Row],[cantidad]]</f>
        <v/>
      </c>
      <c r="L2927">
        <f>+OPERAC[[#This Row],[cantidad venta]]*169.079</f>
        <v/>
      </c>
    </row>
    <row r="2928">
      <c r="A2928" t="n">
        <v>12688</v>
      </c>
      <c r="B2928" s="16" t="n">
        <v>44673</v>
      </c>
      <c r="C2928" t="inlineStr">
        <is>
          <t>VTA</t>
        </is>
      </c>
      <c r="D2928" t="n">
        <v>39</v>
      </c>
      <c r="E2928">
        <f>IF(D226&gt;0,VLOOKUP(OPERAC[[#This Row],[COD CART]],[1]!MatrizCortoLargoCyl[#All],3,0),"")</f>
        <v/>
      </c>
      <c r="F2928" t="inlineStr">
        <is>
          <t>UPST/V/68,00/29-04-22</t>
        </is>
      </c>
      <c r="G2928" t="n">
        <v>-1000</v>
      </c>
      <c r="H2928" t="n">
        <v>1983</v>
      </c>
      <c r="I2928">
        <f>-H226/G226</f>
        <v/>
      </c>
      <c r="J2928" s="16" t="n">
        <v>44679</v>
      </c>
      <c r="K2928">
        <f>+OPERAC[[#This Row],[cantidad]]</f>
        <v/>
      </c>
      <c r="L2928" t="n">
        <v>-504.25</v>
      </c>
    </row>
    <row r="2929">
      <c r="A2929" t="n">
        <v>12688</v>
      </c>
      <c r="B2929" s="16" t="n">
        <v>44694</v>
      </c>
      <c r="C2929" t="inlineStr">
        <is>
          <t>VTA</t>
        </is>
      </c>
      <c r="D2929" t="n">
        <v>39</v>
      </c>
      <c r="E2929">
        <f>IF(D284&gt;0,VLOOKUP(OPERAC[[#This Row],[COD CART]],[1]!MatrizCortoLargoCyl[#All],3,0),"")</f>
        <v/>
      </c>
      <c r="F2929" t="inlineStr">
        <is>
          <t>TSLA/V/500,00/20-05-22</t>
        </is>
      </c>
      <c r="G2929" t="n">
        <v>-2000</v>
      </c>
      <c r="H2929" t="n">
        <v>1606.23</v>
      </c>
      <c r="I2929">
        <f>-H284/G284</f>
        <v/>
      </c>
      <c r="J2929" s="16" t="n">
        <v>44698</v>
      </c>
      <c r="K2929" t="n">
        <v>-2000</v>
      </c>
      <c r="L2929" t="n">
        <v>-504.25</v>
      </c>
    </row>
    <row r="2930">
      <c r="A2930" t="n">
        <v>12688</v>
      </c>
      <c r="B2930" s="16" t="n">
        <v>44694</v>
      </c>
      <c r="C2930" t="inlineStr">
        <is>
          <t>VTA</t>
        </is>
      </c>
      <c r="D2930" t="n">
        <v>32</v>
      </c>
      <c r="E2930">
        <f>IF(D1787&gt;0,VLOOKUP(OPERAC[[#This Row],[COD CART]],[1]!MatrizCortoLargoCyl[#All],3,0),"")</f>
        <v/>
      </c>
      <c r="F2930" t="inlineStr">
        <is>
          <t>ACB/CYL/3,50/24-06-22</t>
        </is>
      </c>
      <c r="G2930" t="n">
        <v>100</v>
      </c>
      <c r="H2930" t="n">
        <v>-264.97</v>
      </c>
      <c r="I2930">
        <f>-H1787/G1787</f>
        <v/>
      </c>
    </row>
    <row r="2931">
      <c r="A2931" t="n">
        <v>12688</v>
      </c>
      <c r="B2931" s="16" t="n">
        <v>44694</v>
      </c>
      <c r="C2931" t="inlineStr">
        <is>
          <t>VTA</t>
        </is>
      </c>
      <c r="D2931" t="n">
        <v>32</v>
      </c>
      <c r="E2931">
        <f>IF(D3205&gt;0,VLOOKUP(OPERAC[[#This Row],[COD CART]],[1]!MatrizCortoLargoCyl[#All],3,0),"")</f>
        <v/>
      </c>
      <c r="F2931" t="inlineStr">
        <is>
          <t>COTY/CYL/8,50/24-06-22</t>
        </is>
      </c>
      <c r="G2931" t="n">
        <v>100</v>
      </c>
      <c r="H2931" t="n">
        <v>-653.17</v>
      </c>
      <c r="I2931">
        <f>-H3205/G3205</f>
        <v/>
      </c>
    </row>
    <row r="2932">
      <c r="A2932" t="n">
        <v>12688</v>
      </c>
      <c r="B2932" s="16" t="n">
        <v>44698</v>
      </c>
      <c r="C2932" t="inlineStr">
        <is>
          <t>VTA</t>
        </is>
      </c>
      <c r="D2932" t="n">
        <v>39</v>
      </c>
      <c r="E2932">
        <f>IF(D661&gt;0,VLOOKUP(OPERAC[[#This Row],[COD CART]],[1]!MatrizCortoLargoCyl[#All],3,0),"")</f>
        <v/>
      </c>
      <c r="F2932" t="inlineStr">
        <is>
          <t>TSLA/V/550,00/27-05-22</t>
        </is>
      </c>
      <c r="G2932" t="n">
        <v>-200</v>
      </c>
      <c r="H2932" t="n">
        <v>466.005</v>
      </c>
      <c r="I2932">
        <f>-H661/G661</f>
        <v/>
      </c>
      <c r="J2932" s="16" t="n">
        <v>44706</v>
      </c>
      <c r="K2932">
        <f>+OPERAC[[#This Row],[cantidad]]</f>
        <v/>
      </c>
      <c r="L2932" t="n">
        <v>-90.765</v>
      </c>
    </row>
    <row r="2933">
      <c r="A2933" t="n">
        <v>12688</v>
      </c>
      <c r="B2933" s="16" t="n">
        <v>44708</v>
      </c>
      <c r="C2933" t="inlineStr">
        <is>
          <t>VTA</t>
        </is>
      </c>
      <c r="D2933" t="n">
        <v>42</v>
      </c>
      <c r="E2933">
        <f>IF(D2187&gt;0,VLOOKUP(OPERAC[[#This Row],[COD CART]],[1]!MatrizCortoLargoCyl[#All],3,0),"")</f>
        <v/>
      </c>
      <c r="F2933" t="inlineStr">
        <is>
          <t>ACB</t>
        </is>
      </c>
      <c r="G2933" t="n">
        <v>200</v>
      </c>
      <c r="H2933" t="n">
        <v>-365.064157761</v>
      </c>
      <c r="I2933">
        <f>-H2187/G2187</f>
        <v/>
      </c>
      <c r="J2933" s="16" t="n">
        <v>44713</v>
      </c>
      <c r="K2933" t="n">
        <v>200</v>
      </c>
      <c r="L2933" t="n">
        <v>301.813</v>
      </c>
    </row>
    <row r="2934">
      <c r="A2934" t="n">
        <v>12688</v>
      </c>
      <c r="B2934" s="16" t="n">
        <v>44712</v>
      </c>
      <c r="C2934" t="inlineStr">
        <is>
          <t>CPR</t>
        </is>
      </c>
      <c r="D2934" t="n">
        <v>32</v>
      </c>
      <c r="E2934">
        <f>IF(D3334&gt;0,VLOOKUP(OPERAC[[#This Row],[COD CART]],[1]!MatrizCortoLargoCyl[#All],3,0),"")</f>
        <v/>
      </c>
      <c r="F2934" t="inlineStr">
        <is>
          <t>CRESY/CYL/7,50/17-06-22</t>
        </is>
      </c>
      <c r="G2934" t="n">
        <v>100</v>
      </c>
      <c r="H2934" t="n">
        <v>-693.075</v>
      </c>
      <c r="I2934">
        <f>-H3334/G3334</f>
        <v/>
      </c>
    </row>
    <row r="2935">
      <c r="A2935" t="n">
        <v>12688</v>
      </c>
      <c r="B2935" s="16" t="n">
        <v>44718</v>
      </c>
      <c r="C2935" t="inlineStr">
        <is>
          <t>VTA</t>
        </is>
      </c>
      <c r="D2935" t="n">
        <v>42</v>
      </c>
      <c r="E2935">
        <f>IF(D3098&gt;0,VLOOKUP(OPERAC[[#This Row],[COD CART]],[1]!MatrizCortoLargoCyl[#All],3,0),"")</f>
        <v/>
      </c>
      <c r="F2935" t="inlineStr">
        <is>
          <t>KWEB</t>
        </is>
      </c>
      <c r="G2935" t="n">
        <v>20</v>
      </c>
      <c r="H2935" t="n">
        <v>-621.66776</v>
      </c>
      <c r="I2935">
        <f>-H3098/G3098</f>
        <v/>
      </c>
    </row>
    <row r="2936">
      <c r="A2936" t="n">
        <v>12690</v>
      </c>
      <c r="B2936" s="16" t="n">
        <v>44467</v>
      </c>
      <c r="C2936" t="inlineStr">
        <is>
          <t>CPR</t>
        </is>
      </c>
      <c r="D2936" t="n">
        <v>32</v>
      </c>
      <c r="E2936">
        <f>IF(D6051&gt;0,VLOOKUP(OPERAC[[#This Row],[COD CART]],[1]!MatrizCortoLargoCyl[#All],3,0),"")</f>
        <v/>
      </c>
      <c r="F2936" t="inlineStr">
        <is>
          <t>AAL/CYL/20,00/14-04-22</t>
        </is>
      </c>
      <c r="G2936" t="n">
        <v>200</v>
      </c>
      <c r="H2936">
        <f>-3863.908+24.876+52.618+58.47+20.824+74.147+43.086</f>
        <v/>
      </c>
      <c r="I2936">
        <f>-H6051/G6051</f>
        <v/>
      </c>
      <c r="J2936" s="16" t="n">
        <v>44665</v>
      </c>
      <c r="K2936" t="n">
        <v>200</v>
      </c>
      <c r="L2936">
        <f>19.35*200</f>
        <v/>
      </c>
    </row>
    <row r="2937">
      <c r="A2937" t="n">
        <v>12690</v>
      </c>
      <c r="B2937" s="16" t="n">
        <v>44501</v>
      </c>
      <c r="C2937" t="inlineStr">
        <is>
          <t>CPR</t>
        </is>
      </c>
      <c r="D2937" t="n">
        <v>32</v>
      </c>
      <c r="E2937">
        <f>IF(D4119&gt;0,VLOOKUP(OPERAC[[#This Row],[COD CART]],[1]!MatrizCortoLargoCyl[#All],3,0),"")</f>
        <v/>
      </c>
      <c r="F2937" t="inlineStr">
        <is>
          <t>SKLZ/CYL/10,00/21-01-22</t>
        </is>
      </c>
      <c r="G2937" t="n">
        <v>100</v>
      </c>
      <c r="H2937">
        <f>-1014.807+38.66+21.329</f>
        <v/>
      </c>
      <c r="I2937">
        <f>-H4119/G4119</f>
        <v/>
      </c>
      <c r="J2937" s="16" t="n">
        <v>44579</v>
      </c>
      <c r="K2937">
        <f>+OPERAC[[#This Row],[cantidad]]</f>
        <v/>
      </c>
      <c r="L2937">
        <f>+OPERAC[[#This Row],[cantidad venta]]*5.679</f>
        <v/>
      </c>
    </row>
    <row r="2938">
      <c r="A2938" t="n">
        <v>12690</v>
      </c>
      <c r="B2938" s="16" t="n">
        <v>44501</v>
      </c>
      <c r="C2938" t="inlineStr">
        <is>
          <t>CPR</t>
        </is>
      </c>
      <c r="D2938" t="n">
        <v>40</v>
      </c>
      <c r="E2938">
        <f>IF(D4125&gt;0,VLOOKUP(OPERAC[[#This Row],[COD CART]],[1]!MatrizCortoLargoCyl[#All],3,0),"")</f>
        <v/>
      </c>
      <c r="F2938" t="inlineStr">
        <is>
          <t>SOLO</t>
        </is>
      </c>
      <c r="G2938" t="n">
        <v>300</v>
      </c>
      <c r="H2938">
        <f>-1005.3744+31.616+13.31</f>
        <v/>
      </c>
      <c r="I2938">
        <f>-H4125/G4125</f>
        <v/>
      </c>
      <c r="J2938" s="16" t="n">
        <v>44606</v>
      </c>
      <c r="K2938" t="n">
        <v>300</v>
      </c>
      <c r="L2938" t="n">
        <v>604.933</v>
      </c>
    </row>
    <row r="2939">
      <c r="A2939" t="n">
        <v>12690</v>
      </c>
      <c r="B2939" s="16" t="n">
        <v>44505</v>
      </c>
      <c r="C2939" t="inlineStr">
        <is>
          <t>CPR</t>
        </is>
      </c>
      <c r="D2939" t="n">
        <v>32</v>
      </c>
      <c r="E2939">
        <f>IF(D6099&gt;0,VLOOKUP(OPERAC[[#This Row],[COD CART]],[1]!MatrizCortoLargoCyl[#All],3,0),"")</f>
        <v/>
      </c>
      <c r="F2939" t="inlineStr">
        <is>
          <t>DDD</t>
        </is>
      </c>
      <c r="G2939" t="n">
        <v>200</v>
      </c>
      <c r="H2939">
        <f>-2682.032+19.812+39.652+12.196-1629.42+58.72</f>
        <v/>
      </c>
      <c r="I2939">
        <f>-H6099/G6099</f>
        <v/>
      </c>
    </row>
    <row r="2940">
      <c r="A2940" t="n">
        <v>12690</v>
      </c>
      <c r="B2940" s="16" t="n">
        <v>44516</v>
      </c>
      <c r="C2940" t="inlineStr">
        <is>
          <t>VTA</t>
        </is>
      </c>
      <c r="D2940" t="n">
        <v>40</v>
      </c>
      <c r="E2940">
        <f>IF(D3216&gt;0,VLOOKUP(OPERAC[[#This Row],[COD CART]],[1]!MatrizCortoLargoCyl[#All],3,0),"")</f>
        <v/>
      </c>
      <c r="F2940" t="inlineStr">
        <is>
          <t>ACB</t>
        </is>
      </c>
      <c r="G2940" t="n">
        <v>100</v>
      </c>
      <c r="H2940">
        <f>-680.27+22.293</f>
        <v/>
      </c>
      <c r="I2940">
        <f>-H3216/G3216</f>
        <v/>
      </c>
      <c r="J2940" s="16" t="n">
        <v>44606</v>
      </c>
      <c r="K2940" t="n">
        <v>100</v>
      </c>
      <c r="L2940" t="n">
        <v>437.056</v>
      </c>
    </row>
    <row r="2941">
      <c r="A2941" t="n">
        <v>12690</v>
      </c>
      <c r="B2941" s="16" t="n">
        <v>44523</v>
      </c>
      <c r="C2941" t="inlineStr">
        <is>
          <t>CPR</t>
        </is>
      </c>
      <c r="D2941" t="n">
        <v>32</v>
      </c>
      <c r="E2941">
        <f>IF(D3683&gt;0,VLOOKUP(OPERAC[[#This Row],[COD CART]],[1]!MatrizCortoLargoCyl[#All],3,0),"")</f>
        <v/>
      </c>
      <c r="F2941" t="inlineStr">
        <is>
          <t>GMBL/CYL/5,00/18-02-22</t>
        </is>
      </c>
      <c r="G2941" t="n">
        <v>200</v>
      </c>
      <c r="H2941" t="n">
        <v>-823.862</v>
      </c>
      <c r="I2941">
        <f>-H3683/G3683</f>
        <v/>
      </c>
      <c r="J2941" s="16" t="n">
        <v>44589</v>
      </c>
      <c r="K2941" t="n">
        <v>200</v>
      </c>
      <c r="L2941" t="n">
        <v>524.731</v>
      </c>
    </row>
    <row r="2942">
      <c r="A2942" t="n">
        <v>12690</v>
      </c>
      <c r="B2942" s="16" t="n">
        <v>44523</v>
      </c>
      <c r="C2942" t="inlineStr">
        <is>
          <t>VTA</t>
        </is>
      </c>
      <c r="D2942" t="n">
        <v>40</v>
      </c>
      <c r="E2942">
        <f>IF(D3905&gt;0,VLOOKUP(OPERAC[[#This Row],[COD CART]],[1]!MatrizCortoLargoCyl[#All],3,0),"")</f>
        <v/>
      </c>
      <c r="F2942" t="inlineStr">
        <is>
          <t>EDU</t>
        </is>
      </c>
      <c r="G2942" t="n">
        <v>500</v>
      </c>
      <c r="H2942">
        <f>-889.745+0.026*OPERAC[[#This Row],[cantidad]]</f>
        <v/>
      </c>
      <c r="I2942">
        <f>-H3905/G3905</f>
        <v/>
      </c>
      <c r="J2942" s="16" t="n">
        <v>44615</v>
      </c>
      <c r="K2942" t="n">
        <v>500</v>
      </c>
      <c r="L2942" t="n">
        <v>747.384</v>
      </c>
    </row>
    <row r="2943">
      <c r="A2943" t="n">
        <v>12690</v>
      </c>
      <c r="B2943" s="16" t="n">
        <v>44523</v>
      </c>
      <c r="C2943" t="inlineStr">
        <is>
          <t>VTA</t>
        </is>
      </c>
      <c r="D2943" t="n">
        <v>32</v>
      </c>
      <c r="E2943">
        <f>IF(D5253&gt;0,VLOOKUP(OPERAC[[#This Row],[COD CART]],[1]!MatrizCortoLargoCyl[#All],3,0),"")</f>
        <v/>
      </c>
      <c r="F2943" t="inlineStr">
        <is>
          <t>TEVA/CYL/9,00/21-01-22</t>
        </is>
      </c>
      <c r="G2943" t="n">
        <v>200</v>
      </c>
      <c r="H2943">
        <f>-1723.2664+37.748</f>
        <v/>
      </c>
      <c r="I2943">
        <f>-H5253/G5253</f>
        <v/>
      </c>
      <c r="J2943" s="16" t="n">
        <v>44575</v>
      </c>
      <c r="K2943" t="n">
        <v>200</v>
      </c>
      <c r="L2943" t="n">
        <v>1757.83</v>
      </c>
    </row>
    <row r="2944">
      <c r="A2944" t="n">
        <v>12690</v>
      </c>
      <c r="B2944" s="16" t="n">
        <v>44532</v>
      </c>
      <c r="C2944" t="inlineStr">
        <is>
          <t>VTA</t>
        </is>
      </c>
      <c r="D2944" t="n">
        <v>32</v>
      </c>
      <c r="E2944">
        <f>IF(D3931&gt;0,VLOOKUP(OPERAC[[#This Row],[COD CART]],[1]!MatrizCortoLargoCyl[#All],3,0),"")</f>
        <v/>
      </c>
      <c r="F2944" t="inlineStr">
        <is>
          <t>COTY/CYL/10,00/18-02-22</t>
        </is>
      </c>
      <c r="G2944" t="n">
        <v>100</v>
      </c>
      <c r="H2944">
        <f>-901.599+20.838</f>
        <v/>
      </c>
      <c r="I2944">
        <f>-H3931/G3931</f>
        <v/>
      </c>
      <c r="J2944" s="16" t="n">
        <v>44608</v>
      </c>
      <c r="K2944">
        <f>+OPERAC[[#This Row],[cantidad]]</f>
        <v/>
      </c>
      <c r="L2944" t="n">
        <v>941.701</v>
      </c>
    </row>
    <row r="2945">
      <c r="A2945" t="n">
        <v>12690</v>
      </c>
      <c r="B2945" s="16" t="n">
        <v>44547</v>
      </c>
      <c r="C2945" t="inlineStr">
        <is>
          <t>VTA</t>
        </is>
      </c>
      <c r="D2945" t="n">
        <v>32</v>
      </c>
      <c r="E2945">
        <f>IF(D3792&gt;0,VLOOKUP(OPERAC[[#This Row],[COD CART]],[1]!MatrizCortoLargoCyl[#All],3,0),"")</f>
        <v/>
      </c>
      <c r="F2945" t="inlineStr">
        <is>
          <t>ARLO/CYL/9,00/18-02-22</t>
        </is>
      </c>
      <c r="G2945" t="n">
        <v>100</v>
      </c>
      <c r="H2945">
        <f>-866.74+14.88</f>
        <v/>
      </c>
      <c r="I2945">
        <f>-H3792/G3792</f>
        <v/>
      </c>
      <c r="J2945" s="16" t="n">
        <v>44607</v>
      </c>
      <c r="K2945" t="n">
        <v>100</v>
      </c>
      <c r="L2945" t="n">
        <v>875.33</v>
      </c>
    </row>
    <row r="2946">
      <c r="A2946" t="n">
        <v>12690</v>
      </c>
      <c r="B2946" s="16" t="n">
        <v>44552</v>
      </c>
      <c r="C2946" t="inlineStr">
        <is>
          <t>CPR</t>
        </is>
      </c>
      <c r="D2946" t="n">
        <v>32</v>
      </c>
      <c r="E2946">
        <f>IF(D4987&gt;0,VLOOKUP(OPERAC[[#This Row],[COD CART]],[1]!MatrizCortoLargoCyl[#All],3,0),"")</f>
        <v/>
      </c>
      <c r="F2946" t="inlineStr">
        <is>
          <t>HMY/CYL/4,00/21-01-22</t>
        </is>
      </c>
      <c r="G2946" t="n">
        <v>400</v>
      </c>
      <c r="H2946">
        <f>-3.8*OPERAC[[#This Row],[cantidad]]</f>
        <v/>
      </c>
      <c r="I2946">
        <f>-H4987/G4987</f>
        <v/>
      </c>
      <c r="J2946" s="16" t="n">
        <v>44580</v>
      </c>
      <c r="K2946" t="n">
        <v>400</v>
      </c>
      <c r="L2946" t="n">
        <v>1575.71</v>
      </c>
    </row>
    <row r="2947">
      <c r="A2947" t="n">
        <v>12690</v>
      </c>
      <c r="B2947" s="16" t="n">
        <v>44552</v>
      </c>
      <c r="C2947" t="inlineStr">
        <is>
          <t>CPR</t>
        </is>
      </c>
      <c r="D2947" t="n">
        <v>32</v>
      </c>
      <c r="E2947">
        <f>IF(D6048&gt;0,VLOOKUP(OPERAC[[#This Row],[COD CART]],[1]!MatrizCortoLargoCyl[#All],3,0),"")</f>
        <v/>
      </c>
      <c r="F2947" t="inlineStr">
        <is>
          <t>MX</t>
        </is>
      </c>
      <c r="G2947" t="n">
        <v>200</v>
      </c>
      <c r="H2947">
        <f>-3759.384+77.972+99.2</f>
        <v/>
      </c>
      <c r="I2947">
        <f>-H6048/G6048</f>
        <v/>
      </c>
      <c r="J2947" s="16" t="n">
        <v>44643</v>
      </c>
      <c r="K2947" t="n">
        <v>200</v>
      </c>
      <c r="L2947" t="n">
        <v>3411.833</v>
      </c>
    </row>
    <row r="2948">
      <c r="A2948" t="n">
        <v>12690</v>
      </c>
      <c r="B2948" s="16" t="n">
        <v>44552</v>
      </c>
      <c r="C2948" t="inlineStr">
        <is>
          <t>CPR</t>
        </is>
      </c>
      <c r="D2948" t="n">
        <v>32</v>
      </c>
      <c r="E2948">
        <f>IF(D6202&gt;0,VLOOKUP(OPERAC[[#This Row],[COD CART]],[1]!MatrizCortoLargoCyl[#All],3,0),"")</f>
        <v/>
      </c>
      <c r="F2948" t="inlineStr">
        <is>
          <t>GOLD/CYL/19,00/21-01-22</t>
        </is>
      </c>
      <c r="G2948" t="n">
        <v>300</v>
      </c>
      <c r="H2948">
        <f>-18.08*OPERAC[[#This Row],[cantidad]]</f>
        <v/>
      </c>
      <c r="I2948">
        <f>-H6202/G6202</f>
        <v/>
      </c>
      <c r="J2948" s="16" t="n">
        <v>44580</v>
      </c>
      <c r="K2948" t="n">
        <v>300</v>
      </c>
      <c r="L2948" t="n">
        <v>5630.54</v>
      </c>
    </row>
    <row r="2949">
      <c r="A2949" t="n">
        <v>12690</v>
      </c>
      <c r="B2949" s="16" t="n">
        <v>44552</v>
      </c>
      <c r="C2949" t="inlineStr">
        <is>
          <t>VTA</t>
        </is>
      </c>
      <c r="D2949" t="n">
        <v>40</v>
      </c>
      <c r="E2949">
        <f>IF(D5454&gt;0,VLOOKUP(OPERAC[[#This Row],[COD CART]],[1]!MatrizCortoLargoCyl[#All],3,0),"")</f>
        <v/>
      </c>
      <c r="F2949" t="inlineStr">
        <is>
          <t>DESP</t>
        </is>
      </c>
      <c r="G2949" t="n">
        <v>200</v>
      </c>
      <c r="H2949" t="n">
        <v>-1885.544</v>
      </c>
      <c r="I2949">
        <f>-H5454/G5454</f>
        <v/>
      </c>
      <c r="J2949" s="16" t="n">
        <v>44585</v>
      </c>
      <c r="K2949" t="n">
        <v>200</v>
      </c>
      <c r="L2949" t="n">
        <v>1959.157</v>
      </c>
    </row>
    <row r="2950">
      <c r="A2950" t="n">
        <v>12690</v>
      </c>
      <c r="B2950" s="16" t="n">
        <v>44552</v>
      </c>
      <c r="C2950" t="inlineStr">
        <is>
          <t>VTA</t>
        </is>
      </c>
      <c r="D2950" t="n">
        <v>32</v>
      </c>
      <c r="E2950">
        <f>IF(D5469&gt;0,VLOOKUP(OPERAC[[#This Row],[COD CART]],[1]!MatrizCortoLargoCyl[#All],3,0),"")</f>
        <v/>
      </c>
      <c r="F2950" t="inlineStr">
        <is>
          <t>TNK/CYL/10,00/18-02-22</t>
        </is>
      </c>
      <c r="G2950" t="n">
        <v>200</v>
      </c>
      <c r="H2950" t="n">
        <v>-1920.869</v>
      </c>
      <c r="I2950">
        <f>-H5469/G5469</f>
        <v/>
      </c>
      <c r="J2950" s="16" t="n">
        <v>44610</v>
      </c>
      <c r="K2950" t="n">
        <v>200</v>
      </c>
      <c r="L2950" t="n">
        <v>1984</v>
      </c>
    </row>
    <row r="2951">
      <c r="A2951" t="n">
        <v>12690</v>
      </c>
      <c r="B2951" s="16" t="n">
        <v>44558</v>
      </c>
      <c r="C2951" t="inlineStr">
        <is>
          <t>CPR</t>
        </is>
      </c>
      <c r="D2951" t="n">
        <v>32</v>
      </c>
      <c r="E2951">
        <f>IF(D5703&gt;0,VLOOKUP(OPERAC[[#This Row],[COD CART]],[1]!MatrizCortoLargoCyl[#All],3,0),"")</f>
        <v/>
      </c>
      <c r="F2951" t="inlineStr">
        <is>
          <t>EDIT</t>
        </is>
      </c>
      <c r="G2951" t="n">
        <v>100</v>
      </c>
      <c r="H2951">
        <f>-2559.296+29.76+24.8</f>
        <v/>
      </c>
      <c r="I2951">
        <f>-H5703/G5703</f>
        <v/>
      </c>
    </row>
    <row r="2952">
      <c r="A2952" t="n">
        <v>12690</v>
      </c>
      <c r="B2952" s="16" t="n">
        <v>44558</v>
      </c>
      <c r="C2952" t="inlineStr">
        <is>
          <t>CPR</t>
        </is>
      </c>
      <c r="D2952" t="n">
        <v>32</v>
      </c>
      <c r="E2952">
        <f>IF(D6308&gt;0,VLOOKUP(OPERAC[[#This Row],[COD CART]],[1]!MatrizCortoLargoCyl[#All],3,0),"")</f>
        <v/>
      </c>
      <c r="F2952" t="inlineStr">
        <is>
          <t>TSM/CYL/123,00/21-01-22</t>
        </is>
      </c>
      <c r="G2952" t="n">
        <v>100</v>
      </c>
      <c r="H2952" t="n">
        <v>-12008.59</v>
      </c>
      <c r="I2952">
        <f>-H6308/G6308</f>
        <v/>
      </c>
      <c r="J2952" s="16" t="n">
        <v>44574</v>
      </c>
      <c r="K2952" t="n">
        <v>100</v>
      </c>
      <c r="L2952" t="n">
        <v>12612.74</v>
      </c>
    </row>
    <row r="2953">
      <c r="A2953" t="n">
        <v>12690</v>
      </c>
      <c r="B2953" s="16" t="n">
        <v>44558</v>
      </c>
      <c r="C2953" t="inlineStr">
        <is>
          <t>CPR</t>
        </is>
      </c>
      <c r="D2953" t="n">
        <v>32</v>
      </c>
      <c r="E2953">
        <f>IF(D6318&gt;0,VLOOKUP(OPERAC[[#This Row],[COD CART]],[1]!MatrizCortoLargoCyl[#All],3,0),"")</f>
        <v/>
      </c>
      <c r="F2953" t="inlineStr">
        <is>
          <t>DIS</t>
        </is>
      </c>
      <c r="G2953" t="n">
        <v>100</v>
      </c>
      <c r="H2953">
        <f>-15474.068+88.54+17.308+12.89</f>
        <v/>
      </c>
      <c r="I2953">
        <f>-H6318/G6318</f>
        <v/>
      </c>
      <c r="J2953" s="16" t="n">
        <v>44715</v>
      </c>
      <c r="K2953" t="n">
        <v>100</v>
      </c>
      <c r="L2953" t="n">
        <v>10781.57</v>
      </c>
    </row>
    <row r="2954">
      <c r="A2954" t="n">
        <v>12690</v>
      </c>
      <c r="B2954" s="16" t="n">
        <v>44574</v>
      </c>
      <c r="C2954" t="inlineStr">
        <is>
          <t>CPR</t>
        </is>
      </c>
      <c r="D2954" t="n">
        <v>32</v>
      </c>
      <c r="E2954">
        <f>IF(D6309&gt;0,VLOOKUP(OPERAC[[#This Row],[COD CART]],[1]!MatrizCortoLargoCyl[#All],3,0),"")</f>
        <v/>
      </c>
      <c r="F2954" t="inlineStr">
        <is>
          <t>BABA/CYL/140,00/17-06-22</t>
        </is>
      </c>
      <c r="G2954" t="n">
        <v>100</v>
      </c>
      <c r="H2954">
        <f>-12574.71+153.02+157.97+68.69+60.482</f>
        <v/>
      </c>
      <c r="I2954">
        <f>-H6309/G6309</f>
        <v/>
      </c>
    </row>
    <row r="2955">
      <c r="A2955" t="n">
        <v>12690</v>
      </c>
      <c r="B2955" s="16" t="n">
        <v>44579</v>
      </c>
      <c r="C2955" t="inlineStr">
        <is>
          <t>CPR</t>
        </is>
      </c>
      <c r="D2955" t="n">
        <v>40</v>
      </c>
      <c r="E2955">
        <f>IF(D5901&gt;0,VLOOKUP(OPERAC[[#This Row],[COD CART]],[1]!MatrizCortoLargoCyl[#All],3,0),"")</f>
        <v/>
      </c>
      <c r="F2955" t="inlineStr">
        <is>
          <t>VLY</t>
        </is>
      </c>
      <c r="G2955" t="n">
        <v>200</v>
      </c>
      <c r="H2955" t="n">
        <v>-3008.87</v>
      </c>
      <c r="I2955">
        <f>-H5901/G5901</f>
        <v/>
      </c>
      <c r="J2955" s="16" t="n">
        <v>44606</v>
      </c>
      <c r="K2955">
        <f>+OPERAC[[#This Row],[cantidad]]</f>
        <v/>
      </c>
      <c r="L2955">
        <f>+OPERAC[[#This Row],[cantidad venta]]*14.121</f>
        <v/>
      </c>
    </row>
    <row r="2956">
      <c r="A2956" t="n">
        <v>12690</v>
      </c>
      <c r="B2956" s="16" t="n">
        <v>44579</v>
      </c>
      <c r="C2956" t="inlineStr">
        <is>
          <t>VTA</t>
        </is>
      </c>
      <c r="D2956" t="n">
        <v>39</v>
      </c>
      <c r="E2956">
        <f>IF(D705&gt;0,VLOOKUP(OPERAC[[#This Row],[COD CART]],[1]!MatrizCortoLargoCyl[#All],3,0),"")</f>
        <v/>
      </c>
      <c r="F2956" t="inlineStr">
        <is>
          <t>ACB/V/5,50/21-01-22</t>
        </is>
      </c>
      <c r="G2956" t="n">
        <v>-1300</v>
      </c>
      <c r="H2956" t="n">
        <v>415.168</v>
      </c>
      <c r="I2956">
        <f>-H705/G705</f>
        <v/>
      </c>
      <c r="J2956" s="16" t="n">
        <v>44581</v>
      </c>
      <c r="K2956">
        <f>+OPERAC[[#This Row],[cantidad]]</f>
        <v/>
      </c>
      <c r="L2956">
        <f>-OPERAC[[#This Row],[importe]]</f>
        <v/>
      </c>
    </row>
    <row r="2957">
      <c r="A2957" t="n">
        <v>12690</v>
      </c>
      <c r="B2957" s="16" t="n">
        <v>44581</v>
      </c>
      <c r="C2957" t="inlineStr">
        <is>
          <t>CPR</t>
        </is>
      </c>
      <c r="D2957" t="n">
        <v>32</v>
      </c>
      <c r="E2957">
        <f>IF(D3580&gt;0,VLOOKUP(OPERAC[[#This Row],[COD CART]],[1]!MatrizCortoLargoCyl[#All],3,0),"")</f>
        <v/>
      </c>
      <c r="F2957" t="inlineStr">
        <is>
          <t>HMY/CYL/4,00/18-02-22</t>
        </is>
      </c>
      <c r="G2957" t="n">
        <v>200</v>
      </c>
      <c r="H2957" t="n">
        <v>-774.9359920000001</v>
      </c>
      <c r="I2957">
        <f>-H3580/G3580</f>
        <v/>
      </c>
      <c r="J2957" s="16" t="n">
        <v>44610</v>
      </c>
      <c r="K2957">
        <f>+OPERAC[[#This Row],[cantidad]]</f>
        <v/>
      </c>
      <c r="L2957">
        <f>+OPERAC[[#This Row],[cantidad venta]]*3.8323</f>
        <v/>
      </c>
    </row>
    <row r="2958">
      <c r="A2958" t="n">
        <v>12690</v>
      </c>
      <c r="B2958" s="16" t="n">
        <v>44581</v>
      </c>
      <c r="C2958" t="inlineStr">
        <is>
          <t>VTA</t>
        </is>
      </c>
      <c r="D2958" t="n">
        <v>39</v>
      </c>
      <c r="E2958">
        <f>IF(D582&gt;0,VLOOKUP(OPERAC[[#This Row],[COD CART]],[1]!MatrizCortoLargoCyl[#All],3,0),"")</f>
        <v/>
      </c>
      <c r="F2958" t="inlineStr">
        <is>
          <t>ACB/V/5,50/25-02-22</t>
        </is>
      </c>
      <c r="G2958" t="n">
        <v>-800</v>
      </c>
      <c r="H2958" t="n">
        <v>656.4964</v>
      </c>
      <c r="I2958">
        <f>-H582/G582</f>
        <v/>
      </c>
      <c r="J2958" s="16" t="n">
        <v>44614</v>
      </c>
      <c r="K2958" t="n">
        <v>-800</v>
      </c>
      <c r="L2958" t="n">
        <v>-656</v>
      </c>
    </row>
    <row r="2959">
      <c r="A2959" t="n">
        <v>12690</v>
      </c>
      <c r="B2959" s="16" t="n">
        <v>44586</v>
      </c>
      <c r="C2959" t="inlineStr">
        <is>
          <t>CPR</t>
        </is>
      </c>
      <c r="D2959" t="n">
        <v>43</v>
      </c>
      <c r="E2959">
        <f>IF(D4253&gt;0,VLOOKUP(OPERAC[[#This Row],[COD CART]],[1]!MatrizCortoLargoCyl[#All],3,0),"")</f>
        <v/>
      </c>
      <c r="F2959" t="inlineStr">
        <is>
          <t>GMBL/CYL-PUT/2,50/20-01-23</t>
        </is>
      </c>
      <c r="G2959" t="n">
        <v>1000</v>
      </c>
      <c r="H2959" t="n">
        <v>-1016.0423</v>
      </c>
      <c r="I2959">
        <f>-H4253/G4253</f>
        <v/>
      </c>
    </row>
    <row r="2960">
      <c r="A2960" t="n">
        <v>12690</v>
      </c>
      <c r="B2960" s="16" t="n">
        <v>44589</v>
      </c>
      <c r="C2960" t="inlineStr">
        <is>
          <t>VTA</t>
        </is>
      </c>
      <c r="D2960" t="n">
        <v>39</v>
      </c>
      <c r="E2960">
        <f>IF(D665&gt;0,VLOOKUP(OPERAC[[#This Row],[COD CART]],[1]!MatrizCortoLargoCyl[#All],3,0),"")</f>
        <v/>
      </c>
      <c r="F2960" t="inlineStr">
        <is>
          <t>TSLA/V/680,00/04-02-22</t>
        </is>
      </c>
      <c r="G2960" t="n">
        <v>-200</v>
      </c>
      <c r="H2960" t="n">
        <v>456.317355</v>
      </c>
      <c r="I2960">
        <f>-H665/G665</f>
        <v/>
      </c>
      <c r="J2960" s="16" t="n">
        <v>44596</v>
      </c>
      <c r="K2960">
        <f>+OPERAC[[#This Row],[cantidad]]</f>
        <v/>
      </c>
      <c r="L2960" t="n">
        <v>-4.032</v>
      </c>
    </row>
    <row r="2961">
      <c r="A2961" t="n">
        <v>12690</v>
      </c>
      <c r="B2961" s="16" t="n">
        <v>44599</v>
      </c>
      <c r="C2961" t="inlineStr">
        <is>
          <t>CPR</t>
        </is>
      </c>
      <c r="D2961" t="n">
        <v>32</v>
      </c>
      <c r="E2961">
        <f>IF(D6264&gt;0,VLOOKUP(OPERAC[[#This Row],[COD CART]],[1]!MatrizCortoLargoCyl[#All],3,0),"")</f>
        <v/>
      </c>
      <c r="F2961" t="inlineStr">
        <is>
          <t>UPST/CYL/80,00/18-03-22</t>
        </is>
      </c>
      <c r="G2961" t="n">
        <v>100</v>
      </c>
      <c r="H2961" t="n">
        <v>-7492</v>
      </c>
      <c r="I2961">
        <f>-H6264/G6264</f>
        <v/>
      </c>
      <c r="J2961" s="16" t="n">
        <v>44608</v>
      </c>
      <c r="K2961" t="n">
        <v>100</v>
      </c>
      <c r="L2961" t="n">
        <v>7956.448</v>
      </c>
    </row>
    <row r="2962">
      <c r="A2962" t="n">
        <v>12690</v>
      </c>
      <c r="B2962" s="16" t="n">
        <v>44602</v>
      </c>
      <c r="C2962" t="inlineStr">
        <is>
          <t>CPR</t>
        </is>
      </c>
      <c r="D2962" t="n">
        <v>32</v>
      </c>
      <c r="E2962">
        <f>IF(D5802&gt;0,VLOOKUP(OPERAC[[#This Row],[COD CART]],[1]!MatrizCortoLargoCyl[#All],3,0),"")</f>
        <v/>
      </c>
      <c r="F2962" t="inlineStr">
        <is>
          <t>BIOX</t>
        </is>
      </c>
      <c r="G2962" t="n">
        <v>200</v>
      </c>
      <c r="H2962">
        <f>-2672+29.76+39.66-193.63+72.5</f>
        <v/>
      </c>
      <c r="I2962">
        <f>-H5802/G5802</f>
        <v/>
      </c>
      <c r="J2962" s="16" t="n">
        <v>44715</v>
      </c>
      <c r="K2962" t="n">
        <v>200</v>
      </c>
      <c r="L2962" t="n">
        <v>3019.118</v>
      </c>
    </row>
    <row r="2963">
      <c r="A2963" t="n">
        <v>12690</v>
      </c>
      <c r="B2963" s="16" t="n">
        <v>44607</v>
      </c>
      <c r="C2963" t="inlineStr">
        <is>
          <t>CPR</t>
        </is>
      </c>
      <c r="D2963" t="n">
        <v>32</v>
      </c>
      <c r="E2963">
        <f>IF(D5939&gt;0,VLOOKUP(OPERAC[[#This Row],[COD CART]],[1]!MatrizCortoLargoCyl[#All],3,0),"")</f>
        <v/>
      </c>
      <c r="F2963" t="inlineStr">
        <is>
          <t>DDD/CYL/16,00/18-03-22</t>
        </is>
      </c>
      <c r="G2963" t="n">
        <v>200</v>
      </c>
      <c r="H2963" t="n">
        <v>-3105.55</v>
      </c>
      <c r="I2963">
        <f>-H5939/G5939</f>
        <v/>
      </c>
      <c r="J2963" s="16" t="n">
        <v>44638</v>
      </c>
      <c r="K2963" t="n">
        <v>200</v>
      </c>
      <c r="L2963">
        <f>15.866*OPERAC[[#This Row],[cantidad venta]]</f>
        <v/>
      </c>
    </row>
    <row r="2964">
      <c r="A2964" t="n">
        <v>12690</v>
      </c>
      <c r="B2964" s="16" t="n">
        <v>44609</v>
      </c>
      <c r="C2964" t="inlineStr">
        <is>
          <t>VTA</t>
        </is>
      </c>
      <c r="D2964" t="n">
        <v>32</v>
      </c>
      <c r="E2964">
        <f>IF(D5278&gt;0,VLOOKUP(OPERAC[[#This Row],[COD CART]],[1]!MatrizCortoLargoCyl[#All],3,0),"")</f>
        <v/>
      </c>
      <c r="F2964" t="inlineStr">
        <is>
          <t>F</t>
        </is>
      </c>
      <c r="G2964" t="n">
        <v>100</v>
      </c>
      <c r="H2964" t="n">
        <v>-1715.2776</v>
      </c>
      <c r="I2964">
        <f>-H5278/G5278</f>
        <v/>
      </c>
      <c r="J2964" s="16" t="n">
        <v>44649</v>
      </c>
      <c r="K2964" t="n">
        <v>100</v>
      </c>
      <c r="L2964">
        <f>17.636*OPERAC[[#This Row],[cantidad venta]]</f>
        <v/>
      </c>
    </row>
    <row r="2965">
      <c r="A2965" t="n">
        <v>12690</v>
      </c>
      <c r="B2965" s="16" t="n">
        <v>44609</v>
      </c>
      <c r="C2965" t="inlineStr">
        <is>
          <t>VTA</t>
        </is>
      </c>
      <c r="D2965" t="n">
        <v>32</v>
      </c>
      <c r="E2965">
        <f>IF(D5323&gt;0,VLOOKUP(OPERAC[[#This Row],[COD CART]],[1]!MatrizCortoLargoCyl[#All],3,0),"")</f>
        <v/>
      </c>
      <c r="F2965" t="inlineStr">
        <is>
          <t>HIMX/CYL/9,00/18-03-22</t>
        </is>
      </c>
      <c r="G2965" t="n">
        <v>200</v>
      </c>
      <c r="H2965" t="n">
        <v>-1739.168</v>
      </c>
      <c r="I2965">
        <f>-H5323/G5323</f>
        <v/>
      </c>
      <c r="J2965" s="16" t="n">
        <v>44622</v>
      </c>
      <c r="K2965" t="n">
        <v>200</v>
      </c>
      <c r="L2965" t="n">
        <v>1767.151</v>
      </c>
    </row>
    <row r="2966">
      <c r="A2966" t="n">
        <v>12690</v>
      </c>
      <c r="B2966" s="16" t="n">
        <v>44616</v>
      </c>
      <c r="C2966" t="inlineStr">
        <is>
          <t>CPR</t>
        </is>
      </c>
      <c r="D2966" t="n">
        <v>32</v>
      </c>
      <c r="E2966">
        <f>IF(D3652&gt;0,VLOOKUP(OPERAC[[#This Row],[COD CART]],[1]!MatrizCortoLargoCyl[#All],3,0),"")</f>
        <v/>
      </c>
      <c r="F2966" t="inlineStr">
        <is>
          <t>COTY/CYL/8,50/18-03-22</t>
        </is>
      </c>
      <c r="G2966" t="n">
        <v>100</v>
      </c>
      <c r="H2966" t="n">
        <v>-807.1405999999999</v>
      </c>
      <c r="I2966">
        <f>-H3652/G3652</f>
        <v/>
      </c>
      <c r="J2966" s="16" t="n">
        <v>44636</v>
      </c>
      <c r="K2966" t="n">
        <v>100</v>
      </c>
      <c r="L2966" t="n">
        <v>837.58</v>
      </c>
    </row>
    <row r="2967">
      <c r="A2967" t="n">
        <v>12690</v>
      </c>
      <c r="B2967" s="16" t="n">
        <v>44616</v>
      </c>
      <c r="C2967" t="inlineStr">
        <is>
          <t>CPR</t>
        </is>
      </c>
      <c r="D2967" t="n">
        <v>32</v>
      </c>
      <c r="E2967">
        <f>IF(D6064&gt;0,VLOOKUP(OPERAC[[#This Row],[COD CART]],[1]!MatrizCortoLargoCyl[#All],3,0),"")</f>
        <v/>
      </c>
      <c r="F2967" t="inlineStr">
        <is>
          <t>HMY/CYL/4,00/18-03-22</t>
        </is>
      </c>
      <c r="G2967" t="n">
        <v>1000</v>
      </c>
      <c r="H2967" t="n">
        <v>-3837.05</v>
      </c>
      <c r="I2967">
        <f>-H6064/G6064</f>
        <v/>
      </c>
      <c r="J2967" s="16" t="n">
        <v>44622</v>
      </c>
      <c r="K2967" t="n">
        <v>1000</v>
      </c>
      <c r="L2967" t="n">
        <v>3939.5</v>
      </c>
    </row>
    <row r="2968">
      <c r="A2968" t="n">
        <v>12690</v>
      </c>
      <c r="B2968" s="16" t="n">
        <v>44622</v>
      </c>
      <c r="C2968" t="inlineStr">
        <is>
          <t>CPR</t>
        </is>
      </c>
      <c r="D2968" t="n">
        <v>32</v>
      </c>
      <c r="E2968">
        <f>IF(D4058&gt;0,VLOOKUP(OPERAC[[#This Row],[COD CART]],[1]!MatrizCortoLargoCyl[#All],3,0),"")</f>
        <v/>
      </c>
      <c r="F2968" t="inlineStr">
        <is>
          <t>SABR/CYL/10,00/14-04-22</t>
        </is>
      </c>
      <c r="G2968" t="n">
        <v>100</v>
      </c>
      <c r="H2968" t="n">
        <v>-928.9848000000001</v>
      </c>
      <c r="I2968">
        <f>-H4058/G4058</f>
        <v/>
      </c>
      <c r="J2968" s="16" t="n">
        <v>44649</v>
      </c>
      <c r="K2968" t="n">
        <v>100</v>
      </c>
      <c r="L2968" t="n">
        <v>982.1799999999999</v>
      </c>
    </row>
    <row r="2969">
      <c r="A2969" t="n">
        <v>12690</v>
      </c>
      <c r="B2969" s="16" t="n">
        <v>44622</v>
      </c>
      <c r="C2969" t="inlineStr">
        <is>
          <t>CPR</t>
        </is>
      </c>
      <c r="D2969" t="n">
        <v>32</v>
      </c>
      <c r="E2969">
        <f>IF(D4880&gt;0,VLOOKUP(OPERAC[[#This Row],[COD CART]],[1]!MatrizCortoLargoCyl[#All],3,0),"")</f>
        <v/>
      </c>
      <c r="F2969" t="inlineStr">
        <is>
          <t>AMC/CYL/16,00/14-04-22</t>
        </is>
      </c>
      <c r="G2969" t="n">
        <v>100</v>
      </c>
      <c r="H2969" t="n">
        <v>-1460.8686</v>
      </c>
      <c r="I2969">
        <f>-H4880/G4880</f>
        <v/>
      </c>
      <c r="J2969" s="16" t="n">
        <v>44648</v>
      </c>
      <c r="K2969">
        <f>+OPERAC[[#This Row],[cantidad]]</f>
        <v/>
      </c>
      <c r="L2969" t="n">
        <v>1581.776</v>
      </c>
    </row>
    <row r="2970">
      <c r="A2970" t="n">
        <v>12690</v>
      </c>
      <c r="B2970" s="16" t="n">
        <v>44622</v>
      </c>
      <c r="C2970" t="inlineStr">
        <is>
          <t>CPR</t>
        </is>
      </c>
      <c r="D2970" t="n">
        <v>32</v>
      </c>
      <c r="E2970">
        <f>IF(D6131&gt;0,VLOOKUP(OPERAC[[#This Row],[COD CART]],[1]!MatrizCortoLargoCyl[#All],3,0),"")</f>
        <v/>
      </c>
      <c r="F2970" t="inlineStr">
        <is>
          <t>HMY/CYL/5,00/18-03-22</t>
        </is>
      </c>
      <c r="G2970" t="n">
        <v>1000</v>
      </c>
      <c r="H2970" t="n">
        <v>-4685.320000000001</v>
      </c>
      <c r="I2970">
        <f>-H6131/G6131</f>
        <v/>
      </c>
      <c r="J2970" s="16" t="n">
        <v>44637</v>
      </c>
      <c r="K2970">
        <f>+OPERAC[[#This Row],[cantidad]]</f>
        <v/>
      </c>
      <c r="L2970">
        <f>4.85553*OPERAC[[#This Row],[cantidad venta]]</f>
        <v/>
      </c>
    </row>
    <row r="2971">
      <c r="A2971" t="n">
        <v>12690</v>
      </c>
      <c r="B2971" s="16" t="n">
        <v>44628</v>
      </c>
      <c r="C2971" t="inlineStr">
        <is>
          <t>CPR</t>
        </is>
      </c>
      <c r="D2971" t="n">
        <v>32</v>
      </c>
      <c r="E2971">
        <f>IF(D3398&gt;0,VLOOKUP(OPERAC[[#This Row],[COD CART]],[1]!MatrizCortoLargoCyl[#All],3,0),"")</f>
        <v/>
      </c>
      <c r="F2971" t="inlineStr">
        <is>
          <t>COTY/CYL/8,00/14-04-22</t>
        </is>
      </c>
      <c r="G2971" t="n">
        <v>100</v>
      </c>
      <c r="H2971" t="n">
        <v>-718.0550999999999</v>
      </c>
      <c r="I2971">
        <f>-H3398/G3398</f>
        <v/>
      </c>
      <c r="J2971" s="16" t="n">
        <v>44643</v>
      </c>
      <c r="K2971" t="n">
        <v>100</v>
      </c>
      <c r="L2971" t="n">
        <v>779.3200000000001</v>
      </c>
    </row>
    <row r="2972">
      <c r="A2972" t="n">
        <v>12690</v>
      </c>
      <c r="B2972" s="16" t="n">
        <v>44641</v>
      </c>
      <c r="C2972" t="inlineStr">
        <is>
          <t>CPR</t>
        </is>
      </c>
      <c r="D2972" t="n">
        <v>32</v>
      </c>
      <c r="E2972">
        <f>IF(D6007&gt;0,VLOOKUP(OPERAC[[#This Row],[COD CART]],[1]!MatrizCortoLargoCyl[#All],3,0),"")</f>
        <v/>
      </c>
      <c r="F2972" t="inlineStr">
        <is>
          <t>HMY</t>
        </is>
      </c>
      <c r="G2972" t="n">
        <v>700</v>
      </c>
      <c r="H2972" t="n">
        <v>-3331.3273</v>
      </c>
      <c r="I2972">
        <f>-H6007/G6007</f>
        <v/>
      </c>
      <c r="J2972" s="16" t="n">
        <v>44669</v>
      </c>
      <c r="K2972">
        <f>+OPERAC[[#This Row],[cantidad]]</f>
        <v/>
      </c>
      <c r="L2972">
        <f>4.925*OPERAC[[#This Row],[cantidad venta]]</f>
        <v/>
      </c>
    </row>
    <row r="2973">
      <c r="A2973" t="n">
        <v>12690</v>
      </c>
      <c r="B2973" s="16" t="n">
        <v>44641</v>
      </c>
      <c r="C2973" t="inlineStr">
        <is>
          <t>CPR</t>
        </is>
      </c>
      <c r="D2973" t="n">
        <v>32</v>
      </c>
      <c r="E2973">
        <f>IF(D6257&gt;0,VLOOKUP(OPERAC[[#This Row],[COD CART]],[1]!MatrizCortoLargoCyl[#All],3,0),"")</f>
        <v/>
      </c>
      <c r="F2973" t="inlineStr">
        <is>
          <t>LAC/CYL/25,00/14-04-22</t>
        </is>
      </c>
      <c r="G2973" t="n">
        <v>300</v>
      </c>
      <c r="H2973" t="n">
        <v>-7361.753999999999</v>
      </c>
      <c r="I2973">
        <f>-H6257/G6257</f>
        <v/>
      </c>
      <c r="J2973" s="16" t="n">
        <v>44644</v>
      </c>
      <c r="K2973">
        <f>+OPERAC[[#This Row],[cantidad]]</f>
        <v/>
      </c>
      <c r="L2973" t="n">
        <v>7455.18</v>
      </c>
    </row>
    <row r="2974">
      <c r="A2974" t="n">
        <v>12690</v>
      </c>
      <c r="B2974" s="16" t="n">
        <v>44643</v>
      </c>
      <c r="C2974" t="inlineStr">
        <is>
          <t>VTA</t>
        </is>
      </c>
      <c r="D2974" t="n">
        <v>32</v>
      </c>
      <c r="E2974">
        <f>IF(D3813&gt;0,VLOOKUP(OPERAC[[#This Row],[COD CART]],[1]!MatrizCortoLargoCyl[#All],3,0),"")</f>
        <v/>
      </c>
      <c r="F2974" t="inlineStr">
        <is>
          <t>COTY/CYL/9,00/14-04-22</t>
        </is>
      </c>
      <c r="G2974" t="n">
        <v>100</v>
      </c>
      <c r="H2974" t="n">
        <v>-855.451</v>
      </c>
      <c r="I2974">
        <f>-H3813/G3813</f>
        <v/>
      </c>
      <c r="J2974" s="16" t="n">
        <v>44649</v>
      </c>
      <c r="K2974" t="n">
        <v>100</v>
      </c>
      <c r="L2974" t="n">
        <v>875.28</v>
      </c>
    </row>
    <row r="2975">
      <c r="A2975" t="n">
        <v>12690</v>
      </c>
      <c r="B2975" s="16" t="n">
        <v>44643</v>
      </c>
      <c r="C2975" t="inlineStr">
        <is>
          <t>VTA</t>
        </is>
      </c>
      <c r="D2975" t="n">
        <v>32</v>
      </c>
      <c r="E2975">
        <f>IF(D5198&gt;0,VLOOKUP(OPERAC[[#This Row],[COD CART]],[1]!MatrizCortoLargoCyl[#All],3,0),"")</f>
        <v/>
      </c>
      <c r="F2975" t="inlineStr">
        <is>
          <t>EDIT/CYL/17,00/14-04-22</t>
        </is>
      </c>
      <c r="G2975" t="n">
        <v>100</v>
      </c>
      <c r="H2975" t="n">
        <v>-1650.54</v>
      </c>
      <c r="I2975">
        <f>-H5198/G5198</f>
        <v/>
      </c>
      <c r="J2975" s="16" t="n">
        <v>44648</v>
      </c>
      <c r="K2975" t="n">
        <v>100</v>
      </c>
      <c r="L2975">
        <f>-202.298+1898.018</f>
        <v/>
      </c>
    </row>
    <row r="2976">
      <c r="A2976" t="n">
        <v>12690</v>
      </c>
      <c r="B2976" s="16" t="n">
        <v>44644</v>
      </c>
      <c r="C2976" t="inlineStr">
        <is>
          <t>CPR</t>
        </is>
      </c>
      <c r="D2976" t="n">
        <v>32</v>
      </c>
      <c r="E2976">
        <f>IF(D6290&gt;0,VLOOKUP(OPERAC[[#This Row],[COD CART]],[1]!MatrizCortoLargoCyl[#All],3,0),"")</f>
        <v/>
      </c>
      <c r="F2976" t="inlineStr">
        <is>
          <t>LAC/CYL/32,50/15-07-22</t>
        </is>
      </c>
      <c r="G2976" t="n">
        <v>300</v>
      </c>
      <c r="H2976">
        <f>-9787.2555+386.685+148.725</f>
        <v/>
      </c>
      <c r="I2976">
        <f>-H6290/G6290</f>
        <v/>
      </c>
    </row>
    <row r="2977">
      <c r="A2977" t="n">
        <v>12690</v>
      </c>
      <c r="B2977" s="16" t="n">
        <v>44648</v>
      </c>
      <c r="C2977" t="inlineStr">
        <is>
          <t>VTA</t>
        </is>
      </c>
      <c r="D2977" t="n">
        <v>32</v>
      </c>
      <c r="E2977">
        <f>IF(D5060&gt;0,VLOOKUP(OPERAC[[#This Row],[COD CART]],[1]!MatrizCortoLargoCyl[#All],3,0),"")</f>
        <v/>
      </c>
      <c r="F2977" t="inlineStr">
        <is>
          <t>F</t>
        </is>
      </c>
      <c r="G2977" t="n">
        <v>100</v>
      </c>
      <c r="H2977">
        <f>-1616.534+38.669</f>
        <v/>
      </c>
      <c r="I2977">
        <f>-H5060/G5060</f>
        <v/>
      </c>
    </row>
    <row r="2978">
      <c r="A2978" t="n">
        <v>12690</v>
      </c>
      <c r="B2978" s="16" t="n">
        <v>44649</v>
      </c>
      <c r="C2978" t="inlineStr">
        <is>
          <t>VTA</t>
        </is>
      </c>
      <c r="D2978" t="n">
        <v>32</v>
      </c>
      <c r="E2978">
        <f>IF(D3176&gt;0,VLOOKUP(OPERAC[[#This Row],[COD CART]],[1]!MatrizCortoLargoCyl[#All],3,0),"")</f>
        <v/>
      </c>
      <c r="F2978" t="inlineStr">
        <is>
          <t>TLRY</t>
        </is>
      </c>
      <c r="G2978" t="n">
        <v>100</v>
      </c>
      <c r="H2978">
        <f>-672.216+27.762</f>
        <v/>
      </c>
      <c r="I2978">
        <f>-H3176/G3176</f>
        <v/>
      </c>
    </row>
    <row r="2979">
      <c r="A2979" t="n">
        <v>12690</v>
      </c>
      <c r="B2979" s="16" t="n">
        <v>44649</v>
      </c>
      <c r="C2979" t="inlineStr">
        <is>
          <t>VTA</t>
        </is>
      </c>
      <c r="D2979" t="n">
        <v>32</v>
      </c>
      <c r="E2979">
        <f>IF(D5017&gt;0,VLOOKUP(OPERAC[[#This Row],[COD CART]],[1]!MatrizCortoLargoCyl[#All],3,0),"")</f>
        <v/>
      </c>
      <c r="F2979" t="inlineStr">
        <is>
          <t>LIND</t>
        </is>
      </c>
      <c r="G2979" t="n">
        <v>100</v>
      </c>
      <c r="H2979" t="n">
        <v>-1545.764</v>
      </c>
      <c r="I2979">
        <f>-H5017/G5017</f>
        <v/>
      </c>
      <c r="J2979" s="16" t="n">
        <v>44656</v>
      </c>
      <c r="K2979" t="n">
        <v>100</v>
      </c>
      <c r="L2979">
        <f>+OPERAC[[#This Row],[cantidad venta]]*15.682</f>
        <v/>
      </c>
    </row>
    <row r="2980">
      <c r="A2980" t="n">
        <v>12690</v>
      </c>
      <c r="B2980" s="16" t="n">
        <v>44650</v>
      </c>
      <c r="C2980" t="inlineStr">
        <is>
          <t>CPR</t>
        </is>
      </c>
      <c r="D2980" t="n">
        <v>32</v>
      </c>
      <c r="E2980">
        <f>IF(D3431&gt;0,VLOOKUP(OPERAC[[#This Row],[COD CART]],[1]!MatrizCortoLargoCyl[#All],3,0),"")</f>
        <v/>
      </c>
      <c r="F2980" t="inlineStr">
        <is>
          <t>UUUU/CYL/8,00/20-05-22</t>
        </is>
      </c>
      <c r="G2980" t="n">
        <v>100</v>
      </c>
      <c r="H2980" t="n">
        <v>-748.0204</v>
      </c>
      <c r="I2980">
        <f>-H3431/G3431</f>
        <v/>
      </c>
      <c r="J2980" s="16" t="n">
        <v>44665</v>
      </c>
      <c r="K2980" t="n">
        <v>100</v>
      </c>
      <c r="L2980" t="n">
        <v>776</v>
      </c>
    </row>
    <row r="2981">
      <c r="A2981" t="n">
        <v>12690</v>
      </c>
      <c r="B2981" s="16" t="n">
        <v>44656</v>
      </c>
      <c r="C2981" t="inlineStr">
        <is>
          <t>CPR</t>
        </is>
      </c>
      <c r="D2981" t="n">
        <v>32</v>
      </c>
      <c r="E2981">
        <f>IF(D4069&gt;0,VLOOKUP(OPERAC[[#This Row],[COD CART]],[1]!MatrizCortoLargoCyl[#All],3,0),"")</f>
        <v/>
      </c>
      <c r="F2981" t="inlineStr">
        <is>
          <t>HIMX/CYL/10,00/10-06-22</t>
        </is>
      </c>
      <c r="G2981" t="n">
        <v>100</v>
      </c>
      <c r="H2981">
        <f>-955.798+24.788</f>
        <v/>
      </c>
      <c r="I2981">
        <f>-H4069/G4069</f>
        <v/>
      </c>
      <c r="J2981" s="16" t="n">
        <v>44721</v>
      </c>
      <c r="K2981" t="n">
        <v>100</v>
      </c>
      <c r="L2981" t="n">
        <v>985</v>
      </c>
    </row>
    <row r="2982">
      <c r="A2982" t="n">
        <v>12690</v>
      </c>
      <c r="B2982" s="16" t="n">
        <v>44656</v>
      </c>
      <c r="C2982" t="inlineStr">
        <is>
          <t>CPR</t>
        </is>
      </c>
      <c r="D2982" t="n">
        <v>32</v>
      </c>
      <c r="E2982">
        <f>IF(D4503&gt;0,VLOOKUP(OPERAC[[#This Row],[COD CART]],[1]!MatrizCortoLargoCyl[#All],3,0),"")</f>
        <v/>
      </c>
      <c r="F2982" t="inlineStr">
        <is>
          <t>DOLE/CYL/12,50/17-06-22</t>
        </is>
      </c>
      <c r="G2982" t="n">
        <v>100</v>
      </c>
      <c r="H2982">
        <f>-1290.74+88.589+24.788</f>
        <v/>
      </c>
      <c r="I2982">
        <f>-H4503/G4503</f>
        <v/>
      </c>
    </row>
    <row r="2983">
      <c r="A2983" t="n">
        <v>12690</v>
      </c>
      <c r="B2983" s="16" t="n">
        <v>44664</v>
      </c>
      <c r="C2983" t="inlineStr">
        <is>
          <t>CPR</t>
        </is>
      </c>
      <c r="D2983" t="n">
        <v>32</v>
      </c>
      <c r="E2983">
        <f>IF(D4553&gt;0,VLOOKUP(OPERAC[[#This Row],[COD CART]],[1]!MatrizCortoLargoCyl[#All],3,0),"")</f>
        <v/>
      </c>
      <c r="F2983" t="inlineStr">
        <is>
          <t>PSQ/CYL/13,00/20-05-22</t>
        </is>
      </c>
      <c r="G2983" t="n">
        <v>100</v>
      </c>
      <c r="H2983">
        <f>-1243.2572181+19.83</f>
        <v/>
      </c>
      <c r="I2983">
        <f>-H4553/G4553</f>
        <v/>
      </c>
      <c r="J2983" s="16" t="n">
        <v>44698</v>
      </c>
      <c r="K2983" t="n">
        <v>100</v>
      </c>
      <c r="L2983" t="n">
        <v>1282.47</v>
      </c>
    </row>
    <row r="2984">
      <c r="A2984" t="n">
        <v>12690</v>
      </c>
      <c r="B2984" s="16" t="n">
        <v>44669</v>
      </c>
      <c r="C2984" t="inlineStr">
        <is>
          <t>CPR</t>
        </is>
      </c>
      <c r="D2984" t="n">
        <v>32</v>
      </c>
      <c r="E2984">
        <f>IF(D6129&gt;0,VLOOKUP(OPERAC[[#This Row],[COD CART]],[1]!MatrizCortoLargoCyl[#All],3,0),"")</f>
        <v/>
      </c>
      <c r="F2984" t="inlineStr">
        <is>
          <t>HMY</t>
        </is>
      </c>
      <c r="G2984" t="n">
        <v>1000</v>
      </c>
      <c r="H2984">
        <f>-4.64*OPERAC[[#This Row],[cantidad]]</f>
        <v/>
      </c>
      <c r="I2984">
        <f>-H6129/G6129</f>
        <v/>
      </c>
    </row>
    <row r="2985">
      <c r="A2985" t="n">
        <v>12690</v>
      </c>
      <c r="B2985" s="16" t="n">
        <v>44670</v>
      </c>
      <c r="C2985" t="inlineStr">
        <is>
          <t>CPR</t>
        </is>
      </c>
      <c r="D2985" t="n">
        <v>32</v>
      </c>
      <c r="E2985">
        <f>IF(D4823&gt;0,VLOOKUP(OPERAC[[#This Row],[COD CART]],[1]!MatrizCortoLargoCyl[#All],3,0),"")</f>
        <v/>
      </c>
      <c r="F2985" t="inlineStr">
        <is>
          <t>PCT/CYL/7,50/20-05-22</t>
        </is>
      </c>
      <c r="G2985" t="n">
        <v>200</v>
      </c>
      <c r="H2985" t="n">
        <v>-1420.547</v>
      </c>
      <c r="I2985">
        <f>-H4823/G4823</f>
        <v/>
      </c>
      <c r="J2985" s="16" t="n">
        <v>44698</v>
      </c>
      <c r="K2985">
        <f>+OPERAC[[#This Row],[cantidad]]</f>
        <v/>
      </c>
      <c r="L2985">
        <f>7.3616*OPERAC[[#This Row],[cantidad venta]]</f>
        <v/>
      </c>
    </row>
    <row r="2986">
      <c r="A2986" t="n">
        <v>12690</v>
      </c>
      <c r="B2986" s="16" t="n">
        <v>44677</v>
      </c>
      <c r="C2986" t="inlineStr">
        <is>
          <t>VTA</t>
        </is>
      </c>
      <c r="D2986" t="n">
        <v>32</v>
      </c>
      <c r="E2986">
        <f>IF(D5471&gt;0,VLOOKUP(OPERAC[[#This Row],[COD CART]],[1]!MatrizCortoLargoCyl[#All],3,0),"")</f>
        <v/>
      </c>
      <c r="F2986" t="inlineStr">
        <is>
          <t>HMY</t>
        </is>
      </c>
      <c r="G2986" t="n">
        <v>500</v>
      </c>
      <c r="H2986">
        <f>-3.849*OPERAC[[#This Row],[cantidad]]</f>
        <v/>
      </c>
      <c r="I2986">
        <f>-H5471/G5471</f>
        <v/>
      </c>
    </row>
    <row r="2987">
      <c r="A2987" t="n">
        <v>12690</v>
      </c>
      <c r="B2987" s="16" t="n">
        <v>44704</v>
      </c>
      <c r="C2987" t="inlineStr">
        <is>
          <t>CPR</t>
        </is>
      </c>
      <c r="D2987" t="n">
        <v>32</v>
      </c>
      <c r="E2987">
        <f>IF(D4076&gt;0,VLOOKUP(OPERAC[[#This Row],[COD CART]],[1]!MatrizCortoLargoCyl[#All],3,0),"")</f>
        <v/>
      </c>
      <c r="F2987" t="inlineStr">
        <is>
          <t>AMC/CYL/9,50/03-06-22</t>
        </is>
      </c>
      <c r="G2987" t="n">
        <v>100</v>
      </c>
      <c r="H2987" t="n">
        <v>-933.579</v>
      </c>
      <c r="I2987">
        <f>-H4076/G4076</f>
        <v/>
      </c>
      <c r="J2987" s="16" t="n">
        <v>44715</v>
      </c>
      <c r="K2987">
        <f>+OPERAC[[#This Row],[cantidad]]</f>
        <v/>
      </c>
      <c r="L2987">
        <f>+OPERAC[[#This Row],[cantidad venta]]*9.457</f>
        <v/>
      </c>
    </row>
    <row r="2988">
      <c r="A2988" t="n">
        <v>12690</v>
      </c>
      <c r="B2988" s="16" t="n">
        <v>44712</v>
      </c>
      <c r="C2988" t="inlineStr">
        <is>
          <t>CPR</t>
        </is>
      </c>
      <c r="D2988" t="n">
        <v>32</v>
      </c>
      <c r="E2988">
        <f>IF(D6210&gt;0,VLOOKUP(OPERAC[[#This Row],[COD CART]],[1]!MatrizCortoLargoCyl[#All],3,0),"")</f>
        <v/>
      </c>
      <c r="F2988" t="inlineStr">
        <is>
          <t>KWEB/CYL/31,00/17-06-22</t>
        </is>
      </c>
      <c r="G2988" t="n">
        <v>200</v>
      </c>
      <c r="H2988">
        <f>-2959.725-2939.167+141.361</f>
        <v/>
      </c>
      <c r="I2988">
        <f>-H6210/G6210</f>
        <v/>
      </c>
    </row>
    <row r="2989">
      <c r="A2989" t="n">
        <v>12690</v>
      </c>
      <c r="B2989" s="16" t="n">
        <v>44715</v>
      </c>
      <c r="C2989" t="inlineStr">
        <is>
          <t>CPR</t>
        </is>
      </c>
      <c r="D2989" t="n">
        <v>32</v>
      </c>
      <c r="E2989">
        <f>IF(D4754&gt;0,VLOOKUP(OPERAC[[#This Row],[COD CART]],[1]!MatrizCortoLargoCyl[#All],3,0),"")</f>
        <v/>
      </c>
      <c r="F2989" t="inlineStr">
        <is>
          <t>CRESY/CYL/7,50/17-06-22</t>
        </is>
      </c>
      <c r="G2989" t="n">
        <v>200</v>
      </c>
      <c r="H2989" t="n">
        <v>-1360.56</v>
      </c>
      <c r="I2989">
        <f>-H4754/G4754</f>
        <v/>
      </c>
    </row>
    <row r="2990">
      <c r="A2990" t="n">
        <v>12690</v>
      </c>
      <c r="B2990" s="16" t="n">
        <v>44715</v>
      </c>
      <c r="C2990" t="inlineStr">
        <is>
          <t>CPR</t>
        </is>
      </c>
      <c r="D2990" t="n">
        <v>32</v>
      </c>
      <c r="E2990">
        <f>IF(D4759&gt;0,VLOOKUP(OPERAC[[#This Row],[COD CART]],[1]!MatrizCortoLargoCyl[#All],3,0),"")</f>
        <v/>
      </c>
      <c r="F2990" t="inlineStr">
        <is>
          <t>COTY/CYL/7,00/17-06-22</t>
        </is>
      </c>
      <c r="G2990" t="n">
        <v>200</v>
      </c>
      <c r="H2990" t="n">
        <v>-1367.77</v>
      </c>
      <c r="I2990">
        <f>-H4759/G4759</f>
        <v/>
      </c>
    </row>
    <row r="2991">
      <c r="A2991" t="n">
        <v>12690</v>
      </c>
      <c r="B2991" s="16" t="n">
        <v>44715</v>
      </c>
      <c r="C2991" t="inlineStr">
        <is>
          <t>CPR</t>
        </is>
      </c>
      <c r="D2991" t="n">
        <v>32</v>
      </c>
      <c r="E2991">
        <f>IF(D5706&gt;0,VLOOKUP(OPERAC[[#This Row],[COD CART]],[1]!MatrizCortoLargoCyl[#All],3,0),"")</f>
        <v/>
      </c>
      <c r="F2991" t="inlineStr">
        <is>
          <t>CCL/CYL/13,00/17-06-22</t>
        </is>
      </c>
      <c r="G2991" t="n">
        <v>200</v>
      </c>
      <c r="H2991" t="n">
        <v>-2508.08</v>
      </c>
      <c r="I2991">
        <f>-H5706/G5706</f>
        <v/>
      </c>
    </row>
    <row r="2992">
      <c r="A2992" t="n">
        <v>12690</v>
      </c>
      <c r="B2992" s="16" t="n">
        <v>44715</v>
      </c>
      <c r="C2992" t="inlineStr">
        <is>
          <t>CPR</t>
        </is>
      </c>
      <c r="D2992" t="n">
        <v>32</v>
      </c>
      <c r="E2992">
        <f>IF(D5964&gt;0,VLOOKUP(OPERAC[[#This Row],[COD CART]],[1]!MatrizCortoLargoCyl[#All],3,0),"")</f>
        <v/>
      </c>
      <c r="F2992" t="inlineStr">
        <is>
          <t>AAL/CYL/16,50/17-06-22</t>
        </is>
      </c>
      <c r="G2992" t="n">
        <v>200</v>
      </c>
      <c r="H2992" t="n">
        <v>-3165.47</v>
      </c>
      <c r="I2992">
        <f>-H5964/G5964</f>
        <v/>
      </c>
    </row>
    <row r="2993">
      <c r="A2993" t="n">
        <v>12690</v>
      </c>
      <c r="B2993" s="16" t="n">
        <v>44715</v>
      </c>
      <c r="C2993" t="inlineStr">
        <is>
          <t>CPR</t>
        </is>
      </c>
      <c r="D2993" t="n">
        <v>32</v>
      </c>
      <c r="E2993">
        <f>IF(D6013&gt;0,VLOOKUP(OPERAC[[#This Row],[COD CART]],[1]!MatrizCortoLargoCyl[#All],3,0),"")</f>
        <v/>
      </c>
      <c r="F2993" t="inlineStr">
        <is>
          <t>SPWR/CYL/17,50/17-06-22</t>
        </is>
      </c>
      <c r="G2993" t="n">
        <v>200</v>
      </c>
      <c r="H2993" t="n">
        <v>-3402.072</v>
      </c>
      <c r="I2993">
        <f>-H6013/G6013</f>
        <v/>
      </c>
    </row>
    <row r="2994">
      <c r="A2994" t="n">
        <v>12690</v>
      </c>
      <c r="B2994" s="16" t="n">
        <v>44715</v>
      </c>
      <c r="C2994" t="inlineStr">
        <is>
          <t>VTA</t>
        </is>
      </c>
      <c r="D2994" t="n">
        <v>32</v>
      </c>
      <c r="E2994">
        <f>IF(D3893&gt;0,VLOOKUP(OPERAC[[#This Row],[COD CART]],[1]!MatrizCortoLargoCyl[#All],3,0),"")</f>
        <v/>
      </c>
      <c r="F2994" t="inlineStr">
        <is>
          <t>PCT/CYL/9,00/17-06-22</t>
        </is>
      </c>
      <c r="G2994" t="n">
        <v>100</v>
      </c>
      <c r="H2994" t="n">
        <v>-870.64</v>
      </c>
      <c r="I2994">
        <f>-H3893/G3893</f>
        <v/>
      </c>
    </row>
    <row r="2995">
      <c r="A2995" t="n">
        <v>12690</v>
      </c>
      <c r="B2995" s="16" t="n">
        <v>44718</v>
      </c>
      <c r="C2995" t="inlineStr">
        <is>
          <t>CPR</t>
        </is>
      </c>
      <c r="D2995" t="n">
        <v>32</v>
      </c>
      <c r="E2995">
        <f>IF(D4601&gt;0,VLOOKUP(OPERAC[[#This Row],[COD CART]],[1]!MatrizCortoLargoCyl[#All],3,0),"")</f>
        <v/>
      </c>
      <c r="F2995" t="inlineStr">
        <is>
          <t>CCL/CYL/13,00/17-06-22</t>
        </is>
      </c>
      <c r="G2995" t="n">
        <v>100</v>
      </c>
      <c r="H2995" t="n">
        <v>-1255.43</v>
      </c>
      <c r="I2995">
        <f>-H4601/G4601</f>
        <v/>
      </c>
    </row>
    <row r="2996">
      <c r="A2996" t="n">
        <v>13174</v>
      </c>
      <c r="B2996" s="16" t="n">
        <v>44361</v>
      </c>
      <c r="C2996" t="inlineStr">
        <is>
          <t>CPR</t>
        </is>
      </c>
      <c r="D2996" t="n">
        <v>40</v>
      </c>
      <c r="E2996">
        <f>IF(D4726&gt;0,VLOOKUP(OPERAC[[#This Row],[COD CART]],[1]!MatrizCortoLargoCyl[#All],3,0),"")</f>
        <v/>
      </c>
      <c r="F2996" t="inlineStr">
        <is>
          <t>SESN</t>
        </is>
      </c>
      <c r="G2996" t="n">
        <v>500</v>
      </c>
      <c r="H2996">
        <f>-2.68*OPERAC[[#This Row],[cantidad]]</f>
        <v/>
      </c>
      <c r="I2996">
        <f>-H4726/G4726</f>
        <v/>
      </c>
    </row>
    <row r="2997">
      <c r="A2997" t="n">
        <v>13174</v>
      </c>
      <c r="B2997" s="16" t="n">
        <v>44369</v>
      </c>
      <c r="C2997" t="inlineStr">
        <is>
          <t>CPR</t>
        </is>
      </c>
      <c r="D2997" t="n">
        <v>40</v>
      </c>
      <c r="E2997">
        <f>IF(D2666&gt;0,VLOOKUP(OPERAC[[#This Row],[COD CART]],[1]!MatrizCortoLargoCyl[#All],3,0),"")</f>
        <v/>
      </c>
      <c r="F2997" t="inlineStr">
        <is>
          <t>ATOS</t>
        </is>
      </c>
      <c r="G2997" t="n">
        <v>100</v>
      </c>
      <c r="H2997">
        <f>-4.88*OPERAC[[#This Row],[cantidad]]</f>
        <v/>
      </c>
      <c r="I2997">
        <f>-H2666/G2666</f>
        <v/>
      </c>
    </row>
    <row r="2998">
      <c r="A2998" t="n">
        <v>13174</v>
      </c>
      <c r="B2998" s="16" t="n">
        <v>44379</v>
      </c>
      <c r="C2998" t="inlineStr">
        <is>
          <t>VTA</t>
        </is>
      </c>
      <c r="D2998" t="n">
        <v>41</v>
      </c>
      <c r="E2998">
        <f>IF(D1535&gt;0,VLOOKUP(OPERAC[[#This Row],[COD CART]],[1]!MatrizCortoLargoCyl[#All],3,0),"")</f>
        <v/>
      </c>
      <c r="F2998" t="inlineStr">
        <is>
          <t>HMY</t>
        </is>
      </c>
      <c r="G2998" t="n">
        <v>50</v>
      </c>
      <c r="H2998" t="n">
        <v>-194.036</v>
      </c>
      <c r="I2998">
        <f>-H1535/G1535</f>
        <v/>
      </c>
    </row>
    <row r="2999">
      <c r="A2999" t="n">
        <v>13180</v>
      </c>
      <c r="B2999" s="16" t="n">
        <v>44330</v>
      </c>
      <c r="C2999" t="inlineStr">
        <is>
          <t>CPR</t>
        </is>
      </c>
      <c r="D2999" t="n">
        <v>41</v>
      </c>
      <c r="E2999">
        <f>IF(D6206&gt;0,VLOOKUP(OPERAC[[#This Row],[COD CART]],[1]!MatrizCortoLargoCyl[#All],3,0),"")</f>
        <v/>
      </c>
      <c r="F2999" t="inlineStr">
        <is>
          <t>ETHE</t>
        </is>
      </c>
      <c r="G2999" t="n">
        <v>150</v>
      </c>
      <c r="H2999" t="n">
        <v>-5637.735</v>
      </c>
      <c r="I2999">
        <f>-H6206/G6206</f>
        <v/>
      </c>
    </row>
    <row r="3000">
      <c r="A3000" t="n">
        <v>13180</v>
      </c>
      <c r="B3000" s="16" t="n">
        <v>44340</v>
      </c>
      <c r="C3000" t="inlineStr">
        <is>
          <t>VTA</t>
        </is>
      </c>
      <c r="D3000" t="n">
        <v>39</v>
      </c>
      <c r="E3000">
        <f>IF(D196&gt;0,VLOOKUP(OPERAC[[#This Row],[COD CART]],[1]!MatrizCortoLargoCyl[#All],3,0),"")</f>
        <v/>
      </c>
      <c r="F3000" t="inlineStr">
        <is>
          <t>GLD/V/130,00/20-01-23</t>
        </is>
      </c>
      <c r="G3000" t="n">
        <v>-1000</v>
      </c>
      <c r="H3000" t="n">
        <v>2196.8</v>
      </c>
      <c r="I3000">
        <f>-H196/G196</f>
        <v/>
      </c>
    </row>
    <row r="3001">
      <c r="A3001" t="n">
        <v>13180</v>
      </c>
      <c r="B3001" s="16" t="n">
        <v>44431</v>
      </c>
      <c r="C3001" t="inlineStr">
        <is>
          <t>VTA</t>
        </is>
      </c>
      <c r="D3001" t="n">
        <v>39</v>
      </c>
      <c r="E3001">
        <f>IF(D1102&gt;0,VLOOKUP(OPERAC[[#This Row],[COD CART]],[1]!MatrizCortoLargoCyl[#All],3,0),"")</f>
        <v/>
      </c>
      <c r="F3001" t="inlineStr">
        <is>
          <t>GGAL/V/10,00/20-01-23</t>
        </is>
      </c>
      <c r="G3001" t="n">
        <v>-10</v>
      </c>
      <c r="H3001" t="n">
        <v>24.8</v>
      </c>
      <c r="I3001">
        <f>-H1102/G1102</f>
        <v/>
      </c>
    </row>
    <row r="3002">
      <c r="A3002" t="n">
        <v>13180</v>
      </c>
      <c r="B3002" s="16" t="n">
        <v>44433</v>
      </c>
      <c r="C3002" t="inlineStr">
        <is>
          <t>VTA</t>
        </is>
      </c>
      <c r="D3002" t="n">
        <v>39</v>
      </c>
      <c r="E3002">
        <f>IF(D136&gt;0,VLOOKUP(OPERAC[[#This Row],[COD CART]],[1]!MatrizCortoLargoCyl[#All],3,0),"")</f>
        <v/>
      </c>
      <c r="F3002" t="inlineStr">
        <is>
          <t>INO/V/8,00/20-01-23</t>
        </is>
      </c>
      <c r="G3002" t="n">
        <v>-1000</v>
      </c>
      <c r="H3002" t="n">
        <v>3022.73</v>
      </c>
      <c r="I3002">
        <f>-H136/G136</f>
        <v/>
      </c>
      <c r="J3002" s="16" t="n">
        <v>44614</v>
      </c>
      <c r="K3002" t="n">
        <v>-1000</v>
      </c>
      <c r="L3002" t="n">
        <v>-5349.392</v>
      </c>
    </row>
    <row r="3003">
      <c r="A3003" t="n">
        <v>13180</v>
      </c>
      <c r="B3003" s="16" t="n">
        <v>44461</v>
      </c>
      <c r="C3003" t="inlineStr">
        <is>
          <t>VTA</t>
        </is>
      </c>
      <c r="D3003" t="n">
        <v>40</v>
      </c>
      <c r="E3003">
        <f>IF(D5196&gt;0,VLOOKUP(OPERAC[[#This Row],[COD CART]],[1]!MatrizCortoLargoCyl[#All],3,0),"")</f>
        <v/>
      </c>
      <c r="F3003" t="inlineStr">
        <is>
          <t>EDU</t>
        </is>
      </c>
      <c r="G3003" t="n">
        <v>1500</v>
      </c>
      <c r="H3003">
        <f>-3016.38+667.96+646.28+0.04*OPERAC[[#This Row],[cantidad]]</f>
        <v/>
      </c>
      <c r="I3003">
        <f>-H5196/G5196</f>
        <v/>
      </c>
      <c r="J3003" s="16" t="n">
        <v>44630</v>
      </c>
      <c r="K3003" t="n">
        <v>1500</v>
      </c>
      <c r="L3003" t="n">
        <v>1721.356</v>
      </c>
    </row>
    <row r="3004">
      <c r="A3004" t="n">
        <v>13180</v>
      </c>
      <c r="B3004" s="16" t="n">
        <v>44489</v>
      </c>
      <c r="C3004" t="inlineStr">
        <is>
          <t>VTA</t>
        </is>
      </c>
      <c r="D3004" t="n">
        <v>43</v>
      </c>
      <c r="E3004">
        <f>IF(D5447&gt;0,VLOOKUP(OPERAC[[#This Row],[COD CART]],[1]!MatrizCortoLargoCyl[#All],3,0),"")</f>
        <v/>
      </c>
      <c r="F3004" t="inlineStr">
        <is>
          <t>SESN/CYL-PUT/1,00/19-01-24</t>
        </is>
      </c>
      <c r="G3004" t="n">
        <v>10000</v>
      </c>
      <c r="H3004">
        <f>-0.1885*OPERAC[[#This Row],[cantidad]]</f>
        <v/>
      </c>
      <c r="I3004">
        <f>-H5447/G5447</f>
        <v/>
      </c>
      <c r="J3004" s="16" t="n">
        <v>44641</v>
      </c>
      <c r="K3004" t="n">
        <v>10000</v>
      </c>
      <c r="L3004" t="n">
        <v>-2895.7</v>
      </c>
    </row>
    <row r="3005">
      <c r="A3005" t="n">
        <v>13180</v>
      </c>
      <c r="B3005" s="16" t="n">
        <v>44490</v>
      </c>
      <c r="C3005" t="inlineStr">
        <is>
          <t>VTA</t>
        </is>
      </c>
      <c r="D3005" t="n">
        <v>40</v>
      </c>
      <c r="E3005">
        <f>IF(D5090&gt;0,VLOOKUP(OPERAC[[#This Row],[COD CART]],[1]!MatrizCortoLargoCyl[#All],3,0),"")</f>
        <v/>
      </c>
      <c r="F3005" t="inlineStr">
        <is>
          <t>MELI</t>
        </is>
      </c>
      <c r="G3005" t="n">
        <v>1</v>
      </c>
      <c r="H3005" t="n">
        <v>-1587.905</v>
      </c>
      <c r="I3005">
        <f>-H5090/G5090</f>
        <v/>
      </c>
    </row>
    <row r="3006">
      <c r="A3006" t="n">
        <v>13180</v>
      </c>
      <c r="B3006" s="16" t="n">
        <v>44495</v>
      </c>
      <c r="C3006" t="inlineStr">
        <is>
          <t>VTA</t>
        </is>
      </c>
      <c r="D3006" t="n">
        <v>39</v>
      </c>
      <c r="E3006">
        <f>IF(D260&gt;0,VLOOKUP(OPERAC[[#This Row],[COD CART]],[1]!MatrizCortoLargoCyl[#All],3,0),"")</f>
        <v/>
      </c>
      <c r="F3006" t="inlineStr">
        <is>
          <t>TLRY/V/11,00/21-01-22</t>
        </is>
      </c>
      <c r="G3006" t="n">
        <v>-1000</v>
      </c>
      <c r="H3006" t="n">
        <v>1726.2</v>
      </c>
      <c r="I3006">
        <f>-H260/G260</f>
        <v/>
      </c>
      <c r="J3006" s="16" t="n">
        <v>44571</v>
      </c>
      <c r="K3006">
        <f>+OPERAC[[#This Row],[cantidad]]</f>
        <v/>
      </c>
      <c r="L3006">
        <f>-OPERAC[[#This Row],[importe]]</f>
        <v/>
      </c>
    </row>
    <row r="3007">
      <c r="A3007" t="n">
        <v>13180</v>
      </c>
      <c r="B3007" s="16" t="n">
        <v>44511</v>
      </c>
      <c r="C3007" t="inlineStr">
        <is>
          <t>CPR</t>
        </is>
      </c>
      <c r="D3007" t="n">
        <v>31</v>
      </c>
      <c r="E3007">
        <f>IF(D4384&gt;0,VLOOKUP(OPERAC[[#This Row],[COD CART]],[1]!MatrizCortoLargoCyl[#All],3,0),"")</f>
        <v/>
      </c>
      <c r="F3007" t="inlineStr">
        <is>
          <t>IPIX</t>
        </is>
      </c>
      <c r="G3007" t="n">
        <v>10000</v>
      </c>
      <c r="H3007" t="n">
        <v>-1099.9</v>
      </c>
      <c r="I3007">
        <f>-H4384/G4384</f>
        <v/>
      </c>
    </row>
    <row r="3008">
      <c r="A3008" t="n">
        <v>13180</v>
      </c>
      <c r="B3008" s="16" t="n">
        <v>44523</v>
      </c>
      <c r="C3008" t="inlineStr">
        <is>
          <t>CPR</t>
        </is>
      </c>
      <c r="D3008" t="n">
        <v>41</v>
      </c>
      <c r="E3008">
        <f>IF(D6200&gt;0,VLOOKUP(OPERAC[[#This Row],[COD CART]],[1]!MatrizCortoLargoCyl[#All],3,0),"")</f>
        <v/>
      </c>
      <c r="F3008" t="inlineStr">
        <is>
          <t>TSLA</t>
        </is>
      </c>
      <c r="G3008" t="n">
        <v>5</v>
      </c>
      <c r="H3008" t="n">
        <v>-5393.346</v>
      </c>
      <c r="I3008">
        <f>-H6200/G6200</f>
        <v/>
      </c>
    </row>
    <row r="3009">
      <c r="A3009" t="n">
        <v>13180</v>
      </c>
      <c r="B3009" s="16" t="n">
        <v>44533</v>
      </c>
      <c r="C3009" t="inlineStr">
        <is>
          <t>CPR</t>
        </is>
      </c>
      <c r="D3009" t="n">
        <v>32</v>
      </c>
      <c r="E3009">
        <f>IF(D3524&gt;0,VLOOKUP(OPERAC[[#This Row],[COD CART]],[1]!MatrizCortoLargoCyl[#All],3,0),"")</f>
        <v/>
      </c>
      <c r="F3009" t="inlineStr">
        <is>
          <t>GMBL/CYL/5,00/21-01-22</t>
        </is>
      </c>
      <c r="G3009" t="n">
        <v>200</v>
      </c>
      <c r="H3009">
        <f>-3.83*OPERAC[[#This Row],[cantidad]]</f>
        <v/>
      </c>
      <c r="I3009">
        <f>-H3524/G3524</f>
        <v/>
      </c>
      <c r="J3009" s="16" t="n">
        <v>44574</v>
      </c>
      <c r="K3009" t="n">
        <v>200</v>
      </c>
      <c r="L3009" t="n">
        <v>675.9109999999999</v>
      </c>
    </row>
    <row r="3010">
      <c r="A3010" t="n">
        <v>13180</v>
      </c>
      <c r="B3010" s="16" t="n">
        <v>44533</v>
      </c>
      <c r="C3010" t="inlineStr">
        <is>
          <t>CPR</t>
        </is>
      </c>
      <c r="D3010" t="n">
        <v>32</v>
      </c>
      <c r="E3010">
        <f>IF(D5838&gt;0,VLOOKUP(OPERAC[[#This Row],[COD CART]],[1]!MatrizCortoLargoCyl[#All],3,0),"")</f>
        <v/>
      </c>
      <c r="F3010" t="inlineStr">
        <is>
          <t>INO/CYL/7,00/21-01-22</t>
        </is>
      </c>
      <c r="G3010" t="n">
        <v>500</v>
      </c>
      <c r="H3010">
        <f>-5.7*OPERAC[[#This Row],[cantidad]]</f>
        <v/>
      </c>
      <c r="I3010">
        <f>-H5838/G5838</f>
        <v/>
      </c>
      <c r="J3010" s="16" t="n">
        <v>44581</v>
      </c>
      <c r="K3010" t="n">
        <v>500</v>
      </c>
      <c r="L3010" t="n">
        <v>2131.712</v>
      </c>
    </row>
    <row r="3011">
      <c r="A3011" t="n">
        <v>13180</v>
      </c>
      <c r="B3011" s="16" t="n">
        <v>44533</v>
      </c>
      <c r="C3011" t="inlineStr">
        <is>
          <t>CPR</t>
        </is>
      </c>
      <c r="D3011" t="n">
        <v>32</v>
      </c>
      <c r="E3011">
        <f>IF(D6168&gt;0,VLOOKUP(OPERAC[[#This Row],[COD CART]],[1]!MatrizCortoLargoCyl[#All],3,0),"")</f>
        <v/>
      </c>
      <c r="F3011" t="inlineStr">
        <is>
          <t>HIMX/CYL/12,00/21-01-22</t>
        </is>
      </c>
      <c r="G3011" t="n">
        <v>500</v>
      </c>
      <c r="H3011">
        <f>-9.9*OPERAC[[#This Row],[cantidad]]</f>
        <v/>
      </c>
      <c r="I3011">
        <f>-H6168/G6168</f>
        <v/>
      </c>
      <c r="J3011" s="16" t="n">
        <v>44575</v>
      </c>
      <c r="K3011" t="n">
        <v>500</v>
      </c>
      <c r="L3011" t="n">
        <v>5853.09</v>
      </c>
    </row>
    <row r="3012">
      <c r="A3012" t="n">
        <v>13180</v>
      </c>
      <c r="B3012" s="16" t="n">
        <v>44533</v>
      </c>
      <c r="C3012" t="inlineStr">
        <is>
          <t>CPR</t>
        </is>
      </c>
      <c r="D3012" t="n">
        <v>32</v>
      </c>
      <c r="E3012">
        <f>IF(D6178&gt;0,VLOOKUP(OPERAC[[#This Row],[COD CART]],[1]!MatrizCortoLargoCyl[#All],3,0),"")</f>
        <v/>
      </c>
      <c r="F3012" t="inlineStr">
        <is>
          <t>EDIT/CYL/30,00/18-11-22</t>
        </is>
      </c>
      <c r="G3012" t="n">
        <v>200</v>
      </c>
      <c r="H3012">
        <f>-26.42*OPERAC[[#This Row],[cantidad]]+59.52+49.6+29.745</f>
        <v/>
      </c>
      <c r="I3012">
        <f>-H6178/G6178</f>
        <v/>
      </c>
      <c r="J3012" s="16" t="n">
        <v>44692</v>
      </c>
      <c r="K3012" t="n">
        <v>100</v>
      </c>
      <c r="L3012" t="n">
        <v>1085.693</v>
      </c>
    </row>
    <row r="3013">
      <c r="A3013" t="n">
        <v>13180</v>
      </c>
      <c r="B3013" s="16" t="n">
        <v>44536</v>
      </c>
      <c r="C3013" t="inlineStr">
        <is>
          <t>VTA</t>
        </is>
      </c>
      <c r="D3013" t="n">
        <v>43</v>
      </c>
      <c r="E3013">
        <f>IF(D2014&gt;0,VLOOKUP(OPERAC[[#This Row],[COD CART]],[1]!MatrizCortoLargoCyl[#All],3,0),"")</f>
        <v/>
      </c>
      <c r="F3013" t="inlineStr">
        <is>
          <t>XSPA/CYL-PUT/1,50/20-01-23</t>
        </is>
      </c>
      <c r="G3013" t="n">
        <v>700</v>
      </c>
      <c r="H3013">
        <f>-0.4462*OPERAC[[#This Row],[cantidad]]</f>
        <v/>
      </c>
      <c r="I3013">
        <f>-H2014/G2014</f>
        <v/>
      </c>
    </row>
    <row r="3014">
      <c r="A3014" t="n">
        <v>13180</v>
      </c>
      <c r="B3014" s="16" t="n">
        <v>44536</v>
      </c>
      <c r="C3014" t="inlineStr">
        <is>
          <t>VTA</t>
        </is>
      </c>
      <c r="D3014" t="n">
        <v>40</v>
      </c>
      <c r="E3014">
        <f>IF(D5627&gt;0,VLOOKUP(OPERAC[[#This Row],[COD CART]],[1]!MatrizCortoLargoCyl[#All],3,0),"")</f>
        <v/>
      </c>
      <c r="F3014" t="inlineStr">
        <is>
          <t>UVXY</t>
        </is>
      </c>
      <c r="G3014" t="n">
        <v>100</v>
      </c>
      <c r="H3014" t="n">
        <v>-2317.892</v>
      </c>
      <c r="I3014">
        <f>-H5627/G5627</f>
        <v/>
      </c>
      <c r="J3014" s="16" t="n">
        <v>44571</v>
      </c>
      <c r="K3014">
        <f>+OPERAC[[#This Row],[cantidad]]</f>
        <v/>
      </c>
      <c r="L3014">
        <f>+OPERAC[[#This Row],[cantidad venta]]*14.135</f>
        <v/>
      </c>
    </row>
    <row r="3015">
      <c r="A3015" t="n">
        <v>13180</v>
      </c>
      <c r="B3015" s="16" t="n">
        <v>44537</v>
      </c>
      <c r="C3015" t="inlineStr">
        <is>
          <t>CPR</t>
        </is>
      </c>
      <c r="D3015" t="n">
        <v>41</v>
      </c>
      <c r="E3015">
        <f>IF(D5969&gt;0,VLOOKUP(OPERAC[[#This Row],[COD CART]],[1]!MatrizCortoLargoCyl[#All],3,0),"")</f>
        <v/>
      </c>
      <c r="F3015" t="inlineStr">
        <is>
          <t>BABA</t>
        </is>
      </c>
      <c r="G3015" t="n">
        <v>25</v>
      </c>
      <c r="H3015" t="n">
        <v>-3179.98</v>
      </c>
      <c r="I3015">
        <f>-H5969/G5969</f>
        <v/>
      </c>
    </row>
    <row r="3016">
      <c r="A3016" t="n">
        <v>13180</v>
      </c>
      <c r="B3016" s="16" t="n">
        <v>44537</v>
      </c>
      <c r="C3016" t="inlineStr">
        <is>
          <t>VTA</t>
        </is>
      </c>
      <c r="D3016" t="n">
        <v>39</v>
      </c>
      <c r="E3016">
        <f>IF(D1209&gt;0,VLOOKUP(OPERAC[[#This Row],[COD CART]],[1]!MatrizCortoLargoCyl[#All],3,0),"")</f>
        <v/>
      </c>
      <c r="F3016" t="inlineStr">
        <is>
          <t>MELI/V/740,00/16-09-22</t>
        </is>
      </c>
      <c r="G3016" t="n">
        <v>-4</v>
      </c>
      <c r="H3016">
        <f>-2*OPERAC[[#This Row],[cantidad]]</f>
        <v/>
      </c>
      <c r="I3016">
        <f>-H1209/G1209</f>
        <v/>
      </c>
      <c r="J3016" s="16" t="n">
        <v>44614</v>
      </c>
      <c r="K3016">
        <f>-2-1</f>
        <v/>
      </c>
      <c r="L3016">
        <f>-4-2</f>
        <v/>
      </c>
    </row>
    <row r="3017">
      <c r="A3017" t="n">
        <v>13180</v>
      </c>
      <c r="B3017" s="16" t="n">
        <v>44539</v>
      </c>
      <c r="C3017" t="inlineStr">
        <is>
          <t>CPR</t>
        </is>
      </c>
      <c r="D3017" t="n">
        <v>40</v>
      </c>
      <c r="E3017">
        <f>IF(D6179&gt;0,VLOOKUP(OPERAC[[#This Row],[COD CART]],[1]!MatrizCortoLargoCyl[#All],3,0),"")</f>
        <v/>
      </c>
      <c r="F3017" t="inlineStr">
        <is>
          <t>ROKU</t>
        </is>
      </c>
      <c r="G3017" t="n">
        <v>20</v>
      </c>
      <c r="H3017" t="n">
        <v>-5154.4072</v>
      </c>
      <c r="I3017">
        <f>-H6179/G6179</f>
        <v/>
      </c>
      <c r="J3017" s="16" t="n">
        <v>44606</v>
      </c>
      <c r="K3017">
        <f>+OPERAC[[#This Row],[cantidad]]</f>
        <v/>
      </c>
      <c r="L3017">
        <f>+OPERAC[[#This Row],[cantidad venta]]*160.574</f>
        <v/>
      </c>
    </row>
    <row r="3018">
      <c r="A3018" t="n">
        <v>13180</v>
      </c>
      <c r="B3018" s="16" t="n">
        <v>44543</v>
      </c>
      <c r="C3018" t="inlineStr">
        <is>
          <t>VTA</t>
        </is>
      </c>
      <c r="D3018" t="n">
        <v>40</v>
      </c>
      <c r="E3018">
        <f>IF(D2950&gt;0,VLOOKUP(OPERAC[[#This Row],[COD CART]],[1]!MatrizCortoLargoCyl[#All],3,0),"")</f>
        <v/>
      </c>
      <c r="F3018" t="inlineStr">
        <is>
          <t>VIST</t>
        </is>
      </c>
      <c r="G3018" t="n">
        <v>100</v>
      </c>
      <c r="H3018" t="n">
        <v>-559.9400000000001</v>
      </c>
      <c r="I3018">
        <f>-H2950/G2950</f>
        <v/>
      </c>
      <c r="J3018" s="16" t="n">
        <v>44574</v>
      </c>
      <c r="K3018">
        <f>+OPERAC[[#This Row],[cantidad]]</f>
        <v/>
      </c>
      <c r="L3018">
        <f>+OPERAC[[#This Row],[cantidad venta]]*6.125</f>
        <v/>
      </c>
    </row>
    <row r="3019">
      <c r="A3019" t="n">
        <v>13180</v>
      </c>
      <c r="B3019" s="16" t="n">
        <v>44547</v>
      </c>
      <c r="C3019" t="inlineStr">
        <is>
          <t>VTA</t>
        </is>
      </c>
      <c r="D3019" t="n">
        <v>32</v>
      </c>
      <c r="E3019">
        <f>IF(D3793&gt;0,VLOOKUP(OPERAC[[#This Row],[COD CART]],[1]!MatrizCortoLargoCyl[#All],3,0),"")</f>
        <v/>
      </c>
      <c r="F3019" t="inlineStr">
        <is>
          <t>ARLO/CYL/9,00/18-02-22</t>
        </is>
      </c>
      <c r="G3019" t="n">
        <v>100</v>
      </c>
      <c r="H3019">
        <f>-866.74+14.88</f>
        <v/>
      </c>
      <c r="I3019">
        <f>-H3793/G3793</f>
        <v/>
      </c>
      <c r="J3019" s="16" t="n">
        <v>44607</v>
      </c>
      <c r="K3019" t="n">
        <v>100</v>
      </c>
      <c r="L3019" t="n">
        <v>875.33</v>
      </c>
    </row>
    <row r="3020">
      <c r="A3020" t="n">
        <v>13180</v>
      </c>
      <c r="B3020" s="16" t="n">
        <v>44551</v>
      </c>
      <c r="C3020" t="inlineStr">
        <is>
          <t>VTA</t>
        </is>
      </c>
      <c r="D3020" t="n">
        <v>40</v>
      </c>
      <c r="E3020">
        <f>IF(D3053&gt;0,VLOOKUP(OPERAC[[#This Row],[COD CART]],[1]!MatrizCortoLargoCyl[#All],3,0),"")</f>
        <v/>
      </c>
      <c r="F3020" t="inlineStr">
        <is>
          <t>EDIT</t>
        </is>
      </c>
      <c r="G3020" t="n">
        <v>20</v>
      </c>
      <c r="H3020" t="n">
        <v>-608.524</v>
      </c>
      <c r="I3020">
        <f>-H3053/G3053</f>
        <v/>
      </c>
      <c r="J3020" s="16" t="n">
        <v>44606</v>
      </c>
      <c r="K3020" t="n">
        <v>20</v>
      </c>
      <c r="L3020" t="n">
        <v>320.656</v>
      </c>
    </row>
    <row r="3021">
      <c r="A3021" t="n">
        <v>13180</v>
      </c>
      <c r="B3021" s="16" t="n">
        <v>44552</v>
      </c>
      <c r="C3021" t="inlineStr">
        <is>
          <t>VTA</t>
        </is>
      </c>
      <c r="D3021" t="n">
        <v>32</v>
      </c>
      <c r="E3021">
        <f>IF(D5380&gt;0,VLOOKUP(OPERAC[[#This Row],[COD CART]],[1]!MatrizCortoLargoCyl[#All],3,0),"")</f>
        <v/>
      </c>
      <c r="F3021" t="inlineStr">
        <is>
          <t>GOLD/CYL/19,00/21-01-22</t>
        </is>
      </c>
      <c r="G3021" t="n">
        <v>100</v>
      </c>
      <c r="H3021">
        <f>-18.08*OPERAC[[#This Row],[cantidad]]</f>
        <v/>
      </c>
      <c r="I3021">
        <f>-H5380/G5380</f>
        <v/>
      </c>
      <c r="J3021" s="16" t="n">
        <v>44580</v>
      </c>
      <c r="K3021" t="n">
        <v>100</v>
      </c>
      <c r="L3021" t="n">
        <v>1876.846</v>
      </c>
    </row>
    <row r="3022">
      <c r="A3022" t="n">
        <v>13180</v>
      </c>
      <c r="B3022" s="16" t="n">
        <v>44553</v>
      </c>
      <c r="C3022" t="inlineStr">
        <is>
          <t>VTA</t>
        </is>
      </c>
      <c r="D3022" t="n">
        <v>40</v>
      </c>
      <c r="E3022">
        <f>IF(D3033&gt;0,VLOOKUP(OPERAC[[#This Row],[COD CART]],[1]!MatrizCortoLargoCyl[#All],3,0),"")</f>
        <v/>
      </c>
      <c r="F3022" t="inlineStr">
        <is>
          <t>ON</t>
        </is>
      </c>
      <c r="G3022" t="n">
        <v>9</v>
      </c>
      <c r="H3022" t="n">
        <v>-604.0224719999999</v>
      </c>
      <c r="I3022">
        <f>-H3033/G3033</f>
        <v/>
      </c>
      <c r="J3022" s="16" t="n">
        <v>44606</v>
      </c>
      <c r="K3022">
        <f>+OPERAC[[#This Row],[cantidad]]</f>
        <v/>
      </c>
      <c r="L3022">
        <f>+OPERAC[[#This Row],[cantidad venta]]*58.449</f>
        <v/>
      </c>
    </row>
    <row r="3023">
      <c r="A3023" t="n">
        <v>13180</v>
      </c>
      <c r="B3023" s="16" t="n">
        <v>44558</v>
      </c>
      <c r="C3023" t="inlineStr">
        <is>
          <t>CPR</t>
        </is>
      </c>
      <c r="D3023" t="n">
        <v>40</v>
      </c>
      <c r="E3023">
        <f>IF(D3449&gt;0,VLOOKUP(OPERAC[[#This Row],[COD CART]],[1]!MatrizCortoLargoCyl[#All],3,0),"")</f>
        <v/>
      </c>
      <c r="F3023" t="inlineStr">
        <is>
          <t>UPST</t>
        </is>
      </c>
      <c r="G3023" t="n">
        <v>5</v>
      </c>
      <c r="H3023" t="n">
        <v>-753.001</v>
      </c>
      <c r="I3023">
        <f>-H3449/G3449</f>
        <v/>
      </c>
      <c r="J3023" s="16" t="n">
        <v>44606</v>
      </c>
      <c r="K3023">
        <f>+OPERAC[[#This Row],[cantidad]]</f>
        <v/>
      </c>
      <c r="L3023">
        <f>+OPERAC[[#This Row],[cantidad venta]]*98.994</f>
        <v/>
      </c>
    </row>
    <row r="3024">
      <c r="A3024" t="n">
        <v>13180</v>
      </c>
      <c r="B3024" s="16" t="n">
        <v>44571</v>
      </c>
      <c r="C3024" t="inlineStr">
        <is>
          <t>VTA</t>
        </is>
      </c>
      <c r="D3024" t="n">
        <v>39</v>
      </c>
      <c r="E3024">
        <f>IF(D91&gt;0,VLOOKUP(OPERAC[[#This Row],[COD CART]],[1]!MatrizCortoLargoCyl[#All],3,0),"")</f>
        <v/>
      </c>
      <c r="F3024" t="inlineStr">
        <is>
          <t>COIN/V/205,00/14-01-22</t>
        </is>
      </c>
      <c r="G3024" t="n">
        <v>-1000</v>
      </c>
      <c r="H3024" t="n">
        <v>3769.6</v>
      </c>
      <c r="I3024">
        <f>-H91/G91</f>
        <v/>
      </c>
      <c r="J3024" s="16" t="n">
        <v>44575</v>
      </c>
      <c r="K3024" t="n">
        <v>-1000</v>
      </c>
      <c r="L3024" t="n">
        <v>0</v>
      </c>
    </row>
    <row r="3025">
      <c r="A3025" t="n">
        <v>13180</v>
      </c>
      <c r="B3025" s="16" t="n">
        <v>44572</v>
      </c>
      <c r="C3025" t="inlineStr">
        <is>
          <t>VTA</t>
        </is>
      </c>
      <c r="D3025" t="n">
        <v>41</v>
      </c>
      <c r="E3025">
        <f>IF(D5335&gt;0,VLOOKUP(OPERAC[[#This Row],[COD CART]],[1]!MatrizCortoLargoCyl[#All],3,0),"")</f>
        <v/>
      </c>
      <c r="F3025" t="inlineStr">
        <is>
          <t>AAPL</t>
        </is>
      </c>
      <c r="G3025" t="n">
        <v>10</v>
      </c>
      <c r="H3025" t="n">
        <v>-1756.734</v>
      </c>
      <c r="I3025">
        <f>-H5335/G5335</f>
        <v/>
      </c>
    </row>
    <row r="3026">
      <c r="A3026" t="n">
        <v>13180</v>
      </c>
      <c r="B3026" s="16" t="n">
        <v>44574</v>
      </c>
      <c r="C3026" t="inlineStr">
        <is>
          <t>CPR</t>
        </is>
      </c>
      <c r="D3026" t="n">
        <v>39</v>
      </c>
      <c r="E3026">
        <f>IF(D4138&gt;0,VLOOKUP(OPERAC[[#This Row],[COD CART]],[1]!MatrizCortoLargoCyl[#All],3,0),"")</f>
        <v/>
      </c>
      <c r="F3026" t="inlineStr">
        <is>
          <t>BABA/BULL/120,0-135,0/20-05-22</t>
        </is>
      </c>
      <c r="G3026" t="n">
        <v>100</v>
      </c>
      <c r="H3026" t="n">
        <v>-965.8</v>
      </c>
      <c r="I3026">
        <f>-H4138/G4138</f>
        <v/>
      </c>
      <c r="J3026" s="16" t="n">
        <v>44701</v>
      </c>
      <c r="K3026">
        <f>+OPERAC[[#This Row],[cantidad]]</f>
        <v/>
      </c>
      <c r="L3026" t="n">
        <v>0</v>
      </c>
    </row>
    <row r="3027">
      <c r="A3027" t="n">
        <v>13180</v>
      </c>
      <c r="B3027" s="16" t="n">
        <v>44574</v>
      </c>
      <c r="C3027" t="inlineStr">
        <is>
          <t>VTA</t>
        </is>
      </c>
      <c r="D3027" t="n">
        <v>39</v>
      </c>
      <c r="E3027">
        <f>IF(D812&gt;0,VLOOKUP(OPERAC[[#This Row],[COD CART]],[1]!MatrizCortoLargoCyl[#All],3,0),"")</f>
        <v/>
      </c>
      <c r="F3027" t="inlineStr">
        <is>
          <t>ROKU/C/200,00/14-01-22</t>
        </is>
      </c>
      <c r="G3027" t="n">
        <v>-2000</v>
      </c>
      <c r="H3027" t="n">
        <v>233.7</v>
      </c>
      <c r="I3027">
        <f>-H812/G812</f>
        <v/>
      </c>
      <c r="J3027" s="16" t="n">
        <v>44575</v>
      </c>
      <c r="K3027" t="n">
        <v>-2000</v>
      </c>
      <c r="L3027" t="n">
        <v>0</v>
      </c>
    </row>
    <row r="3028">
      <c r="A3028" t="n">
        <v>13180</v>
      </c>
      <c r="B3028" s="16" t="n">
        <v>44575</v>
      </c>
      <c r="C3028" t="inlineStr">
        <is>
          <t>CPR</t>
        </is>
      </c>
      <c r="D3028" t="n">
        <v>40</v>
      </c>
      <c r="E3028">
        <f>IF(D5931&gt;0,VLOOKUP(OPERAC[[#This Row],[COD CART]],[1]!MatrizCortoLargoCyl[#All],3,0),"")</f>
        <v/>
      </c>
      <c r="F3028" t="inlineStr">
        <is>
          <t>GBTC</t>
        </is>
      </c>
      <c r="G3028" t="n">
        <v>100</v>
      </c>
      <c r="H3028" t="n">
        <v>-3080.948</v>
      </c>
      <c r="I3028">
        <f>-H5931/G5931</f>
        <v/>
      </c>
      <c r="J3028" s="16" t="n">
        <v>44651</v>
      </c>
      <c r="K3028">
        <f>+OPERAC[[#This Row],[cantidad]]</f>
        <v/>
      </c>
      <c r="L3028">
        <f>+OPERAC[[#This Row],[cantidad venta]]*31.332</f>
        <v/>
      </c>
    </row>
    <row r="3029">
      <c r="A3029" t="n">
        <v>13180</v>
      </c>
      <c r="B3029" s="16" t="n">
        <v>44579</v>
      </c>
      <c r="C3029" t="inlineStr">
        <is>
          <t>VTA</t>
        </is>
      </c>
      <c r="D3029" t="n">
        <v>39</v>
      </c>
      <c r="E3029">
        <f>IF(D1180&gt;0,VLOOKUP(OPERAC[[#This Row],[COD CART]],[1]!MatrizCortoLargoCyl[#All],3,0),"")</f>
        <v/>
      </c>
      <c r="F3029" t="inlineStr">
        <is>
          <t>YPF/V/5,00/15-07-22</t>
        </is>
      </c>
      <c r="G3029" t="n">
        <v>-10</v>
      </c>
      <c r="H3029" t="n">
        <v>10.849</v>
      </c>
      <c r="I3029">
        <f>-H1180/G1180</f>
        <v/>
      </c>
    </row>
    <row r="3030">
      <c r="A3030" t="n">
        <v>13180</v>
      </c>
      <c r="B3030" s="16" t="n">
        <v>44581</v>
      </c>
      <c r="C3030" t="inlineStr">
        <is>
          <t>VTA</t>
        </is>
      </c>
      <c r="D3030" t="n">
        <v>39</v>
      </c>
      <c r="E3030">
        <f>IF(D364&gt;0,VLOOKUP(OPERAC[[#This Row],[COD CART]],[1]!MatrizCortoLargoCyl[#All],3,0),"")</f>
        <v/>
      </c>
      <c r="F3030" t="inlineStr">
        <is>
          <t>ACB/V/5,50/25-02-22</t>
        </is>
      </c>
      <c r="G3030" t="n">
        <v>-1500</v>
      </c>
      <c r="H3030" t="n">
        <v>1230.93075</v>
      </c>
      <c r="I3030">
        <f>-H364/G364</f>
        <v/>
      </c>
      <c r="J3030" s="16" t="n">
        <v>44614</v>
      </c>
      <c r="K3030" t="n">
        <v>-1500</v>
      </c>
      <c r="L3030" t="n">
        <v>-1230</v>
      </c>
    </row>
    <row r="3031">
      <c r="A3031" t="n">
        <v>13180</v>
      </c>
      <c r="B3031" s="16" t="n">
        <v>44582</v>
      </c>
      <c r="C3031" t="inlineStr">
        <is>
          <t>CPR</t>
        </is>
      </c>
      <c r="D3031" t="n">
        <v>40</v>
      </c>
      <c r="E3031">
        <f>IF(D6078&gt;0,VLOOKUP(OPERAC[[#This Row],[COD CART]],[1]!MatrizCortoLargoCyl[#All],3,0),"")</f>
        <v/>
      </c>
      <c r="F3031" t="inlineStr">
        <is>
          <t>NFLX</t>
        </is>
      </c>
      <c r="G3031" t="n">
        <v>10</v>
      </c>
      <c r="H3031" t="n">
        <v>-3906.371000000001</v>
      </c>
      <c r="I3031">
        <f>-H6078/G6078</f>
        <v/>
      </c>
      <c r="J3031" s="16" t="n">
        <v>44593</v>
      </c>
      <c r="K3031">
        <f>+OPERAC[[#This Row],[cantidad]]</f>
        <v/>
      </c>
      <c r="L3031">
        <f>+OPERAC[[#This Row],[cantidad venta]]*448.602</f>
        <v/>
      </c>
    </row>
    <row r="3032">
      <c r="A3032" t="n">
        <v>13180</v>
      </c>
      <c r="B3032" s="16" t="n">
        <v>44586</v>
      </c>
      <c r="C3032" t="inlineStr">
        <is>
          <t>CPR</t>
        </is>
      </c>
      <c r="D3032" t="n">
        <v>43</v>
      </c>
      <c r="E3032">
        <f>IF(D6294&gt;0,VLOOKUP(OPERAC[[#This Row],[COD CART]],[1]!MatrizCortoLargoCyl[#All],3,0),"")</f>
        <v/>
      </c>
      <c r="F3032" t="inlineStr">
        <is>
          <t>GMBL</t>
        </is>
      </c>
      <c r="G3032">
        <f>2800+2800</f>
        <v/>
      </c>
      <c r="H3032">
        <f>-2856-7028</f>
        <v/>
      </c>
      <c r="I3032">
        <f>-H6294/G6294</f>
        <v/>
      </c>
      <c r="J3032" s="16" t="n">
        <v>44712</v>
      </c>
      <c r="K3032" t="n">
        <v>5600</v>
      </c>
      <c r="L3032" t="n">
        <v>2332.008</v>
      </c>
    </row>
    <row r="3033">
      <c r="A3033" t="n">
        <v>13180</v>
      </c>
      <c r="B3033" s="16" t="n">
        <v>44587</v>
      </c>
      <c r="C3033" t="inlineStr">
        <is>
          <t>CPR</t>
        </is>
      </c>
      <c r="D3033" t="n">
        <v>40</v>
      </c>
      <c r="E3033">
        <f>IF(D3972&gt;0,VLOOKUP(OPERAC[[#This Row],[COD CART]],[1]!MatrizCortoLargoCyl[#All],3,0),"")</f>
        <v/>
      </c>
      <c r="F3033" t="inlineStr">
        <is>
          <t>MSFT</t>
        </is>
      </c>
      <c r="G3033" t="n">
        <v>3</v>
      </c>
      <c r="H3033" t="n">
        <v>-910.23378</v>
      </c>
      <c r="I3033">
        <f>-H3972/G3972</f>
        <v/>
      </c>
      <c r="J3033" s="16" t="n">
        <v>44606</v>
      </c>
      <c r="K3033">
        <f>+OPERAC[[#This Row],[cantidad]]</f>
        <v/>
      </c>
      <c r="L3033">
        <f>+OPERAC[[#This Row],[cantidad venta]]*290.091</f>
        <v/>
      </c>
    </row>
    <row r="3034">
      <c r="A3034" t="n">
        <v>13180</v>
      </c>
      <c r="B3034" s="16" t="n">
        <v>44594</v>
      </c>
      <c r="C3034" t="inlineStr">
        <is>
          <t>CPR</t>
        </is>
      </c>
      <c r="D3034" t="n">
        <v>40</v>
      </c>
      <c r="E3034">
        <f>IF(D5910&gt;0,VLOOKUP(OPERAC[[#This Row],[COD CART]],[1]!MatrizCortoLargoCyl[#All],3,0),"")</f>
        <v/>
      </c>
      <c r="F3034" t="inlineStr">
        <is>
          <t>EDU</t>
        </is>
      </c>
      <c r="G3034" t="n">
        <v>1500</v>
      </c>
      <c r="H3034" t="n">
        <v>-3024</v>
      </c>
      <c r="I3034">
        <f>-H5910/G5910</f>
        <v/>
      </c>
      <c r="J3034" s="16" t="n">
        <v>44601</v>
      </c>
      <c r="K3034" t="n">
        <v>1500</v>
      </c>
      <c r="L3034">
        <f>1.642*1500</f>
        <v/>
      </c>
    </row>
    <row r="3035">
      <c r="A3035" t="n">
        <v>13180</v>
      </c>
      <c r="B3035" s="16" t="n">
        <v>44599</v>
      </c>
      <c r="C3035" t="inlineStr">
        <is>
          <t>CPR</t>
        </is>
      </c>
      <c r="D3035" t="n">
        <v>40</v>
      </c>
      <c r="E3035">
        <f>IF(D4510&gt;0,VLOOKUP(OPERAC[[#This Row],[COD CART]],[1]!MatrizCortoLargoCyl[#All],3,0),"")</f>
        <v/>
      </c>
      <c r="F3035" t="inlineStr">
        <is>
          <t>FB</t>
        </is>
      </c>
      <c r="G3035" t="n">
        <v>5</v>
      </c>
      <c r="H3035" t="n">
        <v>-1192.3</v>
      </c>
      <c r="I3035">
        <f>-H4510/G4510</f>
        <v/>
      </c>
      <c r="J3035" s="16" t="n">
        <v>44616</v>
      </c>
      <c r="K3035">
        <f>+OPERAC[[#This Row],[cantidad]]</f>
        <v/>
      </c>
      <c r="L3035">
        <f>200.299*OPERAC[[#This Row],[cantidad venta]]</f>
        <v/>
      </c>
    </row>
    <row r="3036">
      <c r="A3036" t="n">
        <v>13180</v>
      </c>
      <c r="B3036" s="16" t="n">
        <v>44602</v>
      </c>
      <c r="C3036" t="inlineStr">
        <is>
          <t>CPR</t>
        </is>
      </c>
      <c r="D3036" t="n">
        <v>32</v>
      </c>
      <c r="E3036">
        <f>IF(D5775&gt;0,VLOOKUP(OPERAC[[#This Row],[COD CART]],[1]!MatrizCortoLargoCyl[#All],3,0),"")</f>
        <v/>
      </c>
      <c r="F3036" t="inlineStr">
        <is>
          <t>BIOX</t>
        </is>
      </c>
      <c r="G3036" t="n">
        <v>200</v>
      </c>
      <c r="H3036">
        <f>-2672+29.76</f>
        <v/>
      </c>
      <c r="I3036">
        <f>-H5775/G5775</f>
        <v/>
      </c>
      <c r="J3036" s="16" t="n">
        <v>44680</v>
      </c>
      <c r="K3036">
        <f>+OPERAC[[#This Row],[cantidad]]</f>
        <v/>
      </c>
      <c r="L3036">
        <f>13.688*OPERAC[[#This Row],[cantidad venta]]</f>
        <v/>
      </c>
    </row>
    <row r="3037">
      <c r="A3037" t="n">
        <v>13180</v>
      </c>
      <c r="B3037" s="16" t="n">
        <v>44608</v>
      </c>
      <c r="C3037" t="inlineStr">
        <is>
          <t>CPR</t>
        </is>
      </c>
      <c r="D3037" t="n">
        <v>40</v>
      </c>
      <c r="E3037">
        <f>IF(D4696&gt;0,VLOOKUP(OPERAC[[#This Row],[COD CART]],[1]!MatrizCortoLargoCyl[#All],3,0),"")</f>
        <v/>
      </c>
      <c r="F3037" t="inlineStr">
        <is>
          <t>NVDA</t>
        </is>
      </c>
      <c r="G3037" t="n">
        <v>5</v>
      </c>
      <c r="H3037" t="n">
        <v>-1317.57</v>
      </c>
      <c r="I3037">
        <f>-H4696/G4696</f>
        <v/>
      </c>
      <c r="J3037" s="16" t="n">
        <v>44616</v>
      </c>
      <c r="K3037">
        <f>+OPERAC[[#This Row],[cantidad]]</f>
        <v/>
      </c>
      <c r="L3037">
        <f>+OPERAC[[#This Row],[cantidad venta]]*224.117</f>
        <v/>
      </c>
    </row>
    <row r="3038">
      <c r="A3038" t="n">
        <v>13180</v>
      </c>
      <c r="B3038" s="16" t="n">
        <v>44608</v>
      </c>
      <c r="C3038" t="inlineStr">
        <is>
          <t>CPR</t>
        </is>
      </c>
      <c r="D3038" t="n">
        <v>32</v>
      </c>
      <c r="E3038">
        <f>IF(D5970&gt;0,VLOOKUP(OPERAC[[#This Row],[COD CART]],[1]!MatrizCortoLargoCyl[#All],3,0),"")</f>
        <v/>
      </c>
      <c r="F3038" t="inlineStr">
        <is>
          <t>DDD/CYL/17,00/01-04-22</t>
        </is>
      </c>
      <c r="G3038" t="n">
        <v>200</v>
      </c>
      <c r="H3038">
        <f>-3258.8378+39.45+32.908</f>
        <v/>
      </c>
      <c r="I3038">
        <f>-H5970/G5970</f>
        <v/>
      </c>
      <c r="J3038" s="16" t="n">
        <v>44649</v>
      </c>
      <c r="K3038" t="n">
        <v>200</v>
      </c>
      <c r="L3038" t="n">
        <v>3323.96</v>
      </c>
    </row>
    <row r="3039">
      <c r="A3039" t="n">
        <v>13180</v>
      </c>
      <c r="B3039" s="16" t="n">
        <v>44609</v>
      </c>
      <c r="C3039" t="inlineStr">
        <is>
          <t>VTA</t>
        </is>
      </c>
      <c r="D3039" t="n">
        <v>32</v>
      </c>
      <c r="E3039">
        <f>IF(D5324&gt;0,VLOOKUP(OPERAC[[#This Row],[COD CART]],[1]!MatrizCortoLargoCyl[#All],3,0),"")</f>
        <v/>
      </c>
      <c r="F3039" t="inlineStr">
        <is>
          <t>HIMX/CYL/9,00/18-03-22</t>
        </is>
      </c>
      <c r="G3039" t="n">
        <v>200</v>
      </c>
      <c r="H3039" t="n">
        <v>-1739.168</v>
      </c>
      <c r="I3039">
        <f>-H5324/G5324</f>
        <v/>
      </c>
      <c r="J3039" s="16" t="n">
        <v>44622</v>
      </c>
      <c r="K3039" t="n">
        <v>200</v>
      </c>
      <c r="L3039" t="n">
        <v>1767.151</v>
      </c>
    </row>
    <row r="3040">
      <c r="A3040" t="n">
        <v>13180</v>
      </c>
      <c r="B3040" s="16" t="n">
        <v>44614</v>
      </c>
      <c r="C3040" t="inlineStr">
        <is>
          <t>VTA</t>
        </is>
      </c>
      <c r="D3040" t="n">
        <v>39</v>
      </c>
      <c r="E3040">
        <f>IF(D919&gt;0,VLOOKUP(OPERAC[[#This Row],[COD CART]],[1]!MatrizCortoLargoCyl[#All],3,0),"")</f>
        <v/>
      </c>
      <c r="F3040" t="inlineStr">
        <is>
          <t>MELI/V/500,00/19-01-24</t>
        </is>
      </c>
      <c r="G3040" t="n">
        <v>-2</v>
      </c>
      <c r="H3040" t="n">
        <v>128.96</v>
      </c>
      <c r="I3040">
        <f>-H919/G919</f>
        <v/>
      </c>
    </row>
    <row r="3041">
      <c r="A3041" t="n">
        <v>13180</v>
      </c>
      <c r="B3041" s="16" t="n">
        <v>44614</v>
      </c>
      <c r="C3041" t="inlineStr">
        <is>
          <t>VTA</t>
        </is>
      </c>
      <c r="D3041" t="n">
        <v>39</v>
      </c>
      <c r="E3041">
        <f>IF(D1049&gt;0,VLOOKUP(OPERAC[[#This Row],[COD CART]],[1]!MatrizCortoLargoCyl[#All],3,0),"")</f>
        <v/>
      </c>
      <c r="F3041" t="inlineStr">
        <is>
          <t>TSLA/V/300,00/19-01-24</t>
        </is>
      </c>
      <c r="G3041" t="n">
        <v>-2</v>
      </c>
      <c r="H3041" t="n">
        <v>43.63</v>
      </c>
      <c r="I3041">
        <f>-H1049/G1049</f>
        <v/>
      </c>
      <c r="J3041" s="16" t="n">
        <v>44641</v>
      </c>
      <c r="K3041" t="n">
        <v>-2</v>
      </c>
      <c r="L3041" t="n">
        <v>-41.62</v>
      </c>
    </row>
    <row r="3042">
      <c r="A3042" t="n">
        <v>13180</v>
      </c>
      <c r="B3042" s="16" t="n">
        <v>44614</v>
      </c>
      <c r="C3042" t="inlineStr">
        <is>
          <t>VTA</t>
        </is>
      </c>
      <c r="D3042" t="n">
        <v>39</v>
      </c>
      <c r="E3042">
        <f>IF(D1056&gt;0,VLOOKUP(OPERAC[[#This Row],[COD CART]],[1]!MatrizCortoLargoCyl[#All],3,0),"")</f>
        <v/>
      </c>
      <c r="F3042" t="inlineStr">
        <is>
          <t>DDD/V/10,00/19-01-24</t>
        </is>
      </c>
      <c r="G3042" t="n">
        <v>-20</v>
      </c>
      <c r="H3042" t="n">
        <v>39.59</v>
      </c>
      <c r="I3042">
        <f>-H1056/G1056</f>
        <v/>
      </c>
    </row>
    <row r="3043">
      <c r="A3043" t="n">
        <v>13180</v>
      </c>
      <c r="B3043" s="16" t="n">
        <v>44615</v>
      </c>
      <c r="C3043" t="inlineStr">
        <is>
          <t>VTA</t>
        </is>
      </c>
      <c r="D3043" t="n">
        <v>39</v>
      </c>
      <c r="E3043">
        <f>IF(D1021&gt;0,VLOOKUP(OPERAC[[#This Row],[COD CART]],[1]!MatrizCortoLargoCyl[#All],3,0),"")</f>
        <v/>
      </c>
      <c r="F3043" t="inlineStr">
        <is>
          <t>TSLA/V/380,00/20-01-23</t>
        </is>
      </c>
      <c r="G3043" t="n">
        <v>-3</v>
      </c>
      <c r="H3043" t="n">
        <v>56.53</v>
      </c>
      <c r="I3043">
        <f>-H1021/G1021</f>
        <v/>
      </c>
    </row>
    <row r="3044">
      <c r="A3044" t="n">
        <v>13180</v>
      </c>
      <c r="B3044" s="16" t="n">
        <v>44616</v>
      </c>
      <c r="C3044" t="inlineStr">
        <is>
          <t>CPR</t>
        </is>
      </c>
      <c r="D3044" t="n">
        <v>32</v>
      </c>
      <c r="E3044">
        <f>IF(D3295&gt;0,VLOOKUP(OPERAC[[#This Row],[COD CART]],[1]!MatrizCortoLargoCyl[#All],3,0),"")</f>
        <v/>
      </c>
      <c r="F3044" t="inlineStr">
        <is>
          <t>UUUU/CYL/8,00/18-03-22</t>
        </is>
      </c>
      <c r="G3044" t="n">
        <v>100</v>
      </c>
      <c r="H3044" t="n">
        <v>-683.826</v>
      </c>
      <c r="I3044">
        <f>-H3295/G3295</f>
        <v/>
      </c>
      <c r="J3044" s="16" t="n">
        <v>44636</v>
      </c>
      <c r="K3044">
        <f>+OPERAC[[#This Row],[cantidad]]</f>
        <v/>
      </c>
      <c r="L3044" t="n">
        <v>767.46</v>
      </c>
    </row>
    <row r="3045">
      <c r="A3045" t="n">
        <v>13180</v>
      </c>
      <c r="B3045" s="16" t="n">
        <v>44616</v>
      </c>
      <c r="C3045" t="inlineStr">
        <is>
          <t>CPR</t>
        </is>
      </c>
      <c r="D3045" t="n">
        <v>32</v>
      </c>
      <c r="E3045">
        <f>IF(D5896&gt;0,VLOOKUP(OPERAC[[#This Row],[COD CART]],[1]!MatrizCortoLargoCyl[#All],3,0),"")</f>
        <v/>
      </c>
      <c r="F3045" t="inlineStr">
        <is>
          <t>HMY/CYL/4,00/14-04-22</t>
        </is>
      </c>
      <c r="G3045" t="n">
        <v>800</v>
      </c>
      <c r="H3045" t="n">
        <v>-2981.344</v>
      </c>
      <c r="I3045">
        <f>-H5896/G5896</f>
        <v/>
      </c>
      <c r="J3045" s="16" t="n">
        <v>44643</v>
      </c>
      <c r="K3045" t="n">
        <v>800</v>
      </c>
      <c r="L3045" t="n">
        <v>3147.18</v>
      </c>
    </row>
    <row r="3046">
      <c r="A3046" t="n">
        <v>13180</v>
      </c>
      <c r="B3046" s="16" t="n">
        <v>44616</v>
      </c>
      <c r="C3046" t="inlineStr">
        <is>
          <t>VTA</t>
        </is>
      </c>
      <c r="D3046" t="n">
        <v>32</v>
      </c>
      <c r="E3046">
        <f>IF(D5569&gt;0,VLOOKUP(OPERAC[[#This Row],[COD CART]],[1]!MatrizCortoLargoCyl[#All],3,0),"")</f>
        <v/>
      </c>
      <c r="F3046" t="inlineStr">
        <is>
          <t>PLTR/CYL/12,00/14-04-22</t>
        </is>
      </c>
      <c r="G3046" t="n">
        <v>200</v>
      </c>
      <c r="H3046" t="n">
        <v>-2105.453</v>
      </c>
      <c r="I3046">
        <f>-H5569/G5569</f>
        <v/>
      </c>
      <c r="J3046" s="16" t="n">
        <v>44643</v>
      </c>
      <c r="K3046" t="n">
        <v>200</v>
      </c>
      <c r="L3046" t="n">
        <v>2293.448</v>
      </c>
    </row>
    <row r="3047">
      <c r="A3047" t="n">
        <v>13180</v>
      </c>
      <c r="B3047" s="16" t="n">
        <v>44622</v>
      </c>
      <c r="C3047" t="inlineStr">
        <is>
          <t>CPR</t>
        </is>
      </c>
      <c r="D3047" t="n">
        <v>32</v>
      </c>
      <c r="E3047">
        <f>IF(D4881&gt;0,VLOOKUP(OPERAC[[#This Row],[COD CART]],[1]!MatrizCortoLargoCyl[#All],3,0),"")</f>
        <v/>
      </c>
      <c r="F3047" t="inlineStr">
        <is>
          <t>AMC/CYL/16,00/14-04-22</t>
        </is>
      </c>
      <c r="G3047" t="n">
        <v>100</v>
      </c>
      <c r="H3047" t="n">
        <v>-1460.8686</v>
      </c>
      <c r="I3047">
        <f>-H4881/G4881</f>
        <v/>
      </c>
      <c r="J3047" s="16" t="n">
        <v>44648</v>
      </c>
      <c r="K3047">
        <f>+OPERAC[[#This Row],[cantidad]]</f>
        <v/>
      </c>
      <c r="L3047" t="n">
        <v>1581.776</v>
      </c>
    </row>
    <row r="3048">
      <c r="A3048" t="n">
        <v>13180</v>
      </c>
      <c r="B3048" s="16" t="n">
        <v>44634</v>
      </c>
      <c r="C3048" t="inlineStr">
        <is>
          <t>CPR</t>
        </is>
      </c>
      <c r="D3048" t="n">
        <v>42</v>
      </c>
      <c r="E3048">
        <f>IF(D3231&gt;0,VLOOKUP(OPERAC[[#This Row],[COD CART]],[1]!MatrizCortoLargoCyl[#All],3,0),"")</f>
        <v/>
      </c>
      <c r="F3048" t="inlineStr">
        <is>
          <t>INO</t>
        </is>
      </c>
      <c r="G3048" t="n">
        <v>200</v>
      </c>
      <c r="H3048" t="n">
        <v>-664.1632</v>
      </c>
      <c r="I3048">
        <f>-H3231/G3231</f>
        <v/>
      </c>
      <c r="J3048" s="16" t="n">
        <v>44634</v>
      </c>
      <c r="K3048" t="n">
        <v>200</v>
      </c>
      <c r="L3048" t="n">
        <v>597.771</v>
      </c>
    </row>
    <row r="3049">
      <c r="A3049" t="n">
        <v>13180</v>
      </c>
      <c r="B3049" s="16" t="n">
        <v>44635</v>
      </c>
      <c r="C3049" t="inlineStr">
        <is>
          <t>CPR</t>
        </is>
      </c>
      <c r="D3049" t="n">
        <v>40</v>
      </c>
      <c r="E3049">
        <f>IF(D3417&gt;0,VLOOKUP(OPERAC[[#This Row],[COD CART]],[1]!MatrizCortoLargoCyl[#All],3,0),"")</f>
        <v/>
      </c>
      <c r="F3049" t="inlineStr">
        <is>
          <t>GMBL</t>
        </is>
      </c>
      <c r="G3049" t="n">
        <v>400</v>
      </c>
      <c r="H3049">
        <f>-1.835*OPERAC[[#This Row],[cantidad]]</f>
        <v/>
      </c>
      <c r="I3049">
        <f>-H3417/G3417</f>
        <v/>
      </c>
      <c r="J3049" s="16" t="n">
        <v>44642</v>
      </c>
      <c r="K3049" t="n">
        <v>400</v>
      </c>
      <c r="L3049" t="n">
        <v>319.156</v>
      </c>
    </row>
    <row r="3050">
      <c r="A3050" t="n">
        <v>13180</v>
      </c>
      <c r="B3050" s="16" t="n">
        <v>44641</v>
      </c>
      <c r="C3050" t="inlineStr">
        <is>
          <t>CPR</t>
        </is>
      </c>
      <c r="D3050" t="n">
        <v>42</v>
      </c>
      <c r="E3050">
        <f>IF(D3367&gt;0,VLOOKUP(OPERAC[[#This Row],[COD CART]],[1]!MatrizCortoLargoCyl[#All],3,0),"")</f>
        <v/>
      </c>
      <c r="F3050" t="inlineStr">
        <is>
          <t>JPM</t>
        </is>
      </c>
      <c r="G3050" t="n">
        <v>5</v>
      </c>
      <c r="H3050" t="n">
        <v>-702.2717000000001</v>
      </c>
      <c r="I3050">
        <f>-H3367/G3367</f>
        <v/>
      </c>
      <c r="J3050" s="16" t="n">
        <v>44664</v>
      </c>
      <c r="K3050">
        <f>+OPERAC[[#This Row],[cantidad]]</f>
        <v/>
      </c>
      <c r="L3050">
        <f>+OPERAC[[#This Row],[cantidad venta]]*125.943</f>
        <v/>
      </c>
    </row>
    <row r="3051">
      <c r="A3051" t="n">
        <v>13180</v>
      </c>
      <c r="B3051" s="16" t="n">
        <v>44641</v>
      </c>
      <c r="C3051" t="inlineStr">
        <is>
          <t>CPR</t>
        </is>
      </c>
      <c r="D3051" t="n">
        <v>42</v>
      </c>
      <c r="E3051">
        <f>IF(D4610&gt;0,VLOOKUP(OPERAC[[#This Row],[COD CART]],[1]!MatrizCortoLargoCyl[#All],3,0),"")</f>
        <v/>
      </c>
      <c r="F3051" t="inlineStr">
        <is>
          <t>JPM</t>
        </is>
      </c>
      <c r="G3051" t="n">
        <v>9</v>
      </c>
      <c r="H3051" t="n">
        <v>-1264.08906</v>
      </c>
      <c r="I3051">
        <f>-H4610/G4610</f>
        <v/>
      </c>
      <c r="J3051" s="16" t="n">
        <v>44664</v>
      </c>
      <c r="K3051">
        <f>+OPERAC[[#This Row],[cantidad]]</f>
        <v/>
      </c>
      <c r="L3051">
        <f>+OPERAC[[#This Row],[cantidad venta]]*125.943</f>
        <v/>
      </c>
    </row>
    <row r="3052">
      <c r="A3052" t="n">
        <v>13180</v>
      </c>
      <c r="B3052" s="16" t="n">
        <v>44641</v>
      </c>
      <c r="C3052" t="inlineStr">
        <is>
          <t>CPR</t>
        </is>
      </c>
      <c r="D3052" t="n">
        <v>42</v>
      </c>
      <c r="E3052">
        <f>IF(D4620&gt;0,VLOOKUP(OPERAC[[#This Row],[COD CART]],[1]!MatrizCortoLargoCyl[#All],3,0),"")</f>
        <v/>
      </c>
      <c r="F3052" t="inlineStr">
        <is>
          <t>FB</t>
        </is>
      </c>
      <c r="G3052" t="n">
        <v>6</v>
      </c>
      <c r="H3052" t="n">
        <v>-1272.93828</v>
      </c>
      <c r="I3052">
        <f>-H4620/G4620</f>
        <v/>
      </c>
      <c r="J3052" s="16" t="n">
        <v>44671</v>
      </c>
      <c r="K3052">
        <f>+OPERAC[[#This Row],[cantidad]]</f>
        <v/>
      </c>
      <c r="L3052">
        <f>+OPERAC[[#This Row],[cantidad venta]]*213.173</f>
        <v/>
      </c>
    </row>
    <row r="3053">
      <c r="A3053" t="n">
        <v>13180</v>
      </c>
      <c r="B3053" s="16" t="n">
        <v>44641</v>
      </c>
      <c r="C3053" t="inlineStr">
        <is>
          <t>CPR</t>
        </is>
      </c>
      <c r="D3053" t="n">
        <v>42</v>
      </c>
      <c r="E3053">
        <f>IF(D5784&gt;0,VLOOKUP(OPERAC[[#This Row],[COD CART]],[1]!MatrizCortoLargoCyl[#All],3,0),"")</f>
        <v/>
      </c>
      <c r="F3053" t="inlineStr">
        <is>
          <t>NVDA</t>
        </is>
      </c>
      <c r="G3053" t="n">
        <v>10</v>
      </c>
      <c r="H3053" t="n">
        <v>-2650.7296</v>
      </c>
      <c r="I3053">
        <f>-H5784/G5784</f>
        <v/>
      </c>
      <c r="J3053" s="16" t="n">
        <v>44652</v>
      </c>
      <c r="K3053" t="n">
        <v>10</v>
      </c>
      <c r="L3053" t="n">
        <v>2677.904</v>
      </c>
    </row>
    <row r="3054">
      <c r="A3054" t="n">
        <v>13180</v>
      </c>
      <c r="B3054" s="16" t="n">
        <v>44641</v>
      </c>
      <c r="C3054" t="inlineStr">
        <is>
          <t>VTA</t>
        </is>
      </c>
      <c r="D3054" t="n">
        <v>39</v>
      </c>
      <c r="E3054">
        <f>IF(D898&gt;0,VLOOKUP(OPERAC[[#This Row],[COD CART]],[1]!MatrizCortoLargoCyl[#All],3,0),"")</f>
        <v/>
      </c>
      <c r="F3054" t="inlineStr">
        <is>
          <t>TSLA/V/380,00/20-01-23</t>
        </is>
      </c>
      <c r="G3054" t="n">
        <v>-11</v>
      </c>
      <c r="H3054" t="n">
        <v>157.07</v>
      </c>
      <c r="I3054">
        <f>-H898/G898</f>
        <v/>
      </c>
    </row>
    <row r="3055">
      <c r="A3055" t="n">
        <v>13180</v>
      </c>
      <c r="B3055" s="16" t="n">
        <v>44641</v>
      </c>
      <c r="C3055" t="inlineStr">
        <is>
          <t>VTA</t>
        </is>
      </c>
      <c r="D3055" t="n">
        <v>42</v>
      </c>
      <c r="E3055">
        <f>IF(D2878&gt;0,VLOOKUP(OPERAC[[#This Row],[COD CART]],[1]!MatrizCortoLargoCyl[#All],3,0),"")</f>
        <v/>
      </c>
      <c r="F3055" t="inlineStr">
        <is>
          <t>SMH</t>
        </is>
      </c>
      <c r="G3055" t="n">
        <v>2</v>
      </c>
      <c r="H3055" t="n">
        <v>-537.9153000000001</v>
      </c>
      <c r="I3055">
        <f>-H2878/G2878</f>
        <v/>
      </c>
      <c r="J3055" s="16" t="n">
        <v>44663</v>
      </c>
      <c r="K3055">
        <f>+OPERAC[[#This Row],[cantidad]]</f>
        <v/>
      </c>
      <c r="L3055">
        <f>+OPERAC[[#This Row],[cantidad venta]]*238.066</f>
        <v/>
      </c>
    </row>
    <row r="3056">
      <c r="A3056" t="n">
        <v>13180</v>
      </c>
      <c r="B3056" s="16" t="n">
        <v>44641</v>
      </c>
      <c r="C3056" t="inlineStr">
        <is>
          <t>VTA</t>
        </is>
      </c>
      <c r="D3056" t="n">
        <v>42</v>
      </c>
      <c r="E3056">
        <f>IF(D3160&gt;0,VLOOKUP(OPERAC[[#This Row],[COD CART]],[1]!MatrizCortoLargoCyl[#All],3,0),"")</f>
        <v/>
      </c>
      <c r="F3056" t="inlineStr">
        <is>
          <t>FB</t>
        </is>
      </c>
      <c r="G3056" t="n">
        <v>3</v>
      </c>
      <c r="H3056" t="n">
        <v>-636.4691399999999</v>
      </c>
      <c r="I3056">
        <f>-H3160/G3160</f>
        <v/>
      </c>
      <c r="J3056" s="16" t="n">
        <v>44671</v>
      </c>
      <c r="K3056">
        <f>+OPERAC[[#This Row],[cantidad]]</f>
        <v/>
      </c>
      <c r="L3056">
        <f>+OPERAC[[#This Row],[cantidad venta]]*213.173</f>
        <v/>
      </c>
    </row>
    <row r="3057">
      <c r="A3057" t="n">
        <v>13180</v>
      </c>
      <c r="B3057" s="16" t="n">
        <v>44641</v>
      </c>
      <c r="C3057" t="inlineStr">
        <is>
          <t>VTA</t>
        </is>
      </c>
      <c r="D3057" t="n">
        <v>42</v>
      </c>
      <c r="E3057">
        <f>IF(D5167&gt;0,VLOOKUP(OPERAC[[#This Row],[COD CART]],[1]!MatrizCortoLargoCyl[#All],3,0),"")</f>
        <v/>
      </c>
      <c r="F3057" t="inlineStr">
        <is>
          <t>SMH</t>
        </is>
      </c>
      <c r="G3057" t="n">
        <v>6</v>
      </c>
      <c r="H3057" t="n">
        <v>-1613.7459</v>
      </c>
      <c r="I3057">
        <f>-H5167/G5167</f>
        <v/>
      </c>
      <c r="J3057" s="16" t="n">
        <v>44663</v>
      </c>
      <c r="K3057">
        <f>+OPERAC[[#This Row],[cantidad]]</f>
        <v/>
      </c>
      <c r="L3057">
        <f>+OPERAC[[#This Row],[cantidad venta]]*238.066</f>
        <v/>
      </c>
    </row>
    <row r="3058">
      <c r="A3058" t="n">
        <v>13180</v>
      </c>
      <c r="B3058" s="16" t="n">
        <v>44641</v>
      </c>
      <c r="C3058" t="inlineStr">
        <is>
          <t>VTA</t>
        </is>
      </c>
      <c r="D3058" t="n">
        <v>42</v>
      </c>
      <c r="E3058">
        <f>IF(D5329&gt;0,VLOOKUP(OPERAC[[#This Row],[COD CART]],[1]!MatrizCortoLargoCyl[#All],3,0),"")</f>
        <v/>
      </c>
      <c r="F3058" t="inlineStr">
        <is>
          <t>QQQ</t>
        </is>
      </c>
      <c r="G3058" t="n">
        <v>5</v>
      </c>
      <c r="H3058" t="n">
        <v>-1750.132</v>
      </c>
      <c r="I3058">
        <f>-H5329/G5329</f>
        <v/>
      </c>
      <c r="J3058" s="16" t="n">
        <v>44690</v>
      </c>
      <c r="K3058" t="n">
        <v>5</v>
      </c>
      <c r="L3058" t="n">
        <v>1472.278</v>
      </c>
    </row>
    <row r="3059">
      <c r="A3059" t="n">
        <v>13180</v>
      </c>
      <c r="B3059" s="16" t="n">
        <v>44641</v>
      </c>
      <c r="C3059" t="inlineStr">
        <is>
          <t>VTA</t>
        </is>
      </c>
      <c r="D3059" t="n">
        <v>42</v>
      </c>
      <c r="E3059">
        <f>IF(D5508&gt;0,VLOOKUP(OPERAC[[#This Row],[COD CART]],[1]!MatrizCortoLargoCyl[#All],3,0),"")</f>
        <v/>
      </c>
      <c r="F3059" t="inlineStr">
        <is>
          <t>CRESY</t>
        </is>
      </c>
      <c r="G3059" t="n">
        <v>250</v>
      </c>
      <c r="H3059" t="n">
        <v>-1985.246</v>
      </c>
      <c r="I3059">
        <f>-H5508/G5508</f>
        <v/>
      </c>
      <c r="J3059" s="16" t="n">
        <v>44649</v>
      </c>
      <c r="K3059" t="n">
        <v>250</v>
      </c>
      <c r="L3059" t="n">
        <v>2005.03</v>
      </c>
    </row>
    <row r="3060">
      <c r="A3060" t="n">
        <v>13180</v>
      </c>
      <c r="B3060" s="16" t="n">
        <v>44642</v>
      </c>
      <c r="C3060" t="inlineStr">
        <is>
          <t>VTA</t>
        </is>
      </c>
      <c r="D3060" t="n">
        <v>42</v>
      </c>
      <c r="E3060">
        <f>IF(D5539&gt;0,VLOOKUP(OPERAC[[#This Row],[COD CART]],[1]!MatrizCortoLargoCyl[#All],3,0),"")</f>
        <v/>
      </c>
      <c r="F3060" t="inlineStr">
        <is>
          <t>HYDR</t>
        </is>
      </c>
      <c r="G3060" t="n">
        <v>105</v>
      </c>
      <c r="H3060">
        <f>-19.39*OPERAC[[#This Row],[cantidad]]</f>
        <v/>
      </c>
      <c r="I3060">
        <f>-H5539/G5539</f>
        <v/>
      </c>
    </row>
    <row r="3061">
      <c r="A3061" t="n">
        <v>13180</v>
      </c>
      <c r="B3061" s="16" t="n">
        <v>44643</v>
      </c>
      <c r="C3061" t="inlineStr">
        <is>
          <t>CPR</t>
        </is>
      </c>
      <c r="D3061" t="n">
        <v>31</v>
      </c>
      <c r="E3061">
        <f>IF(D3360&gt;0,VLOOKUP(OPERAC[[#This Row],[COD CART]],[1]!MatrizCortoLargoCyl[#All],3,0),"")</f>
        <v/>
      </c>
      <c r="F3061" t="inlineStr">
        <is>
          <t>BRK B</t>
        </is>
      </c>
      <c r="G3061" t="n">
        <v>2</v>
      </c>
      <c r="H3061" t="n">
        <v>-701.3446400000001</v>
      </c>
      <c r="I3061">
        <f>-H3360/G3360</f>
        <v/>
      </c>
    </row>
    <row r="3062">
      <c r="A3062" t="n">
        <v>13180</v>
      </c>
      <c r="B3062" s="16" t="n">
        <v>44643</v>
      </c>
      <c r="C3062" t="inlineStr">
        <is>
          <t>CPR</t>
        </is>
      </c>
      <c r="D3062" t="n">
        <v>31</v>
      </c>
      <c r="E3062">
        <f>IF(D4224&gt;0,VLOOKUP(OPERAC[[#This Row],[COD CART]],[1]!MatrizCortoLargoCyl[#All],3,0),"")</f>
        <v/>
      </c>
      <c r="F3062" t="inlineStr">
        <is>
          <t>LAC</t>
        </is>
      </c>
      <c r="G3062" t="n">
        <v>30</v>
      </c>
      <c r="H3062" t="n">
        <v>-1005.395952</v>
      </c>
      <c r="I3062">
        <f>-H4224/G4224</f>
        <v/>
      </c>
      <c r="J3062" s="16" t="n">
        <v>44677</v>
      </c>
      <c r="K3062" t="n">
        <v>30</v>
      </c>
      <c r="L3062" t="n">
        <v>766.826</v>
      </c>
    </row>
    <row r="3063">
      <c r="A3063" t="n">
        <v>13180</v>
      </c>
      <c r="B3063" s="16" t="n">
        <v>44643</v>
      </c>
      <c r="C3063" t="inlineStr">
        <is>
          <t>CPR</t>
        </is>
      </c>
      <c r="D3063" t="n">
        <v>31</v>
      </c>
      <c r="E3063">
        <f>IF(D4430&gt;0,VLOOKUP(OPERAC[[#This Row],[COD CART]],[1]!MatrizCortoLargoCyl[#All],3,0),"")</f>
        <v/>
      </c>
      <c r="F3063" t="inlineStr">
        <is>
          <t>COST</t>
        </is>
      </c>
      <c r="G3063" t="n">
        <v>2</v>
      </c>
      <c r="H3063" t="n">
        <v>-1118.43328</v>
      </c>
      <c r="I3063">
        <f>-H4430/G4430</f>
        <v/>
      </c>
    </row>
    <row r="3064">
      <c r="A3064" t="n">
        <v>13180</v>
      </c>
      <c r="B3064" s="16" t="n">
        <v>44645</v>
      </c>
      <c r="C3064" t="inlineStr">
        <is>
          <t>CPR</t>
        </is>
      </c>
      <c r="D3064" t="n">
        <v>42</v>
      </c>
      <c r="E3064">
        <f>IF(D4798&gt;0,VLOOKUP(OPERAC[[#This Row],[COD CART]],[1]!MatrizCortoLargoCyl[#All],3,0),"")</f>
        <v/>
      </c>
      <c r="F3064" t="inlineStr">
        <is>
          <t>PLUG</t>
        </is>
      </c>
      <c r="G3064" t="n">
        <v>50</v>
      </c>
      <c r="H3064" t="n">
        <v>-1396.582</v>
      </c>
      <c r="I3064">
        <f>-H4798/G4798</f>
        <v/>
      </c>
      <c r="J3064" s="16" t="n">
        <v>44652</v>
      </c>
      <c r="K3064">
        <f>+OPERAC[[#This Row],[cantidad]]</f>
        <v/>
      </c>
      <c r="L3064">
        <f>+OPERAC[[#This Row],[cantidad venta]]*27.754</f>
        <v/>
      </c>
    </row>
    <row r="3065">
      <c r="A3065" t="n">
        <v>13180</v>
      </c>
      <c r="B3065" s="16" t="n">
        <v>44649</v>
      </c>
      <c r="C3065" t="inlineStr">
        <is>
          <t>CPR</t>
        </is>
      </c>
      <c r="D3065" t="n">
        <v>32</v>
      </c>
      <c r="E3065">
        <f>IF(D4840&gt;0,VLOOKUP(OPERAC[[#This Row],[COD CART]],[1]!MatrizCortoLargoCyl[#All],3,0),"")</f>
        <v/>
      </c>
      <c r="F3065" t="inlineStr">
        <is>
          <t>DDD</t>
        </is>
      </c>
      <c r="G3065" t="n">
        <v>100</v>
      </c>
      <c r="H3065" t="n">
        <v>-1439.859</v>
      </c>
      <c r="I3065">
        <f>-H4840/G4840</f>
        <v/>
      </c>
      <c r="J3065" s="16" t="n">
        <v>44704</v>
      </c>
      <c r="K3065" t="n">
        <v>100</v>
      </c>
      <c r="L3065" t="n">
        <v>1023.496</v>
      </c>
    </row>
    <row r="3066">
      <c r="A3066" t="n">
        <v>13180</v>
      </c>
      <c r="B3066" s="16" t="n">
        <v>44649</v>
      </c>
      <c r="C3066" t="inlineStr">
        <is>
          <t>VTA</t>
        </is>
      </c>
      <c r="D3066" t="n">
        <v>32</v>
      </c>
      <c r="E3066">
        <f>IF(D5401&gt;0,VLOOKUP(OPERAC[[#This Row],[COD CART]],[1]!MatrizCortoLargoCyl[#All],3,0),"")</f>
        <v/>
      </c>
      <c r="F3066" t="inlineStr">
        <is>
          <t>SPWR/CYL/20,00/24-06-22</t>
        </is>
      </c>
      <c r="G3066" t="n">
        <v>100</v>
      </c>
      <c r="H3066">
        <f>-1865.225+39.66</f>
        <v/>
      </c>
      <c r="I3066">
        <f>-H5401/G5401</f>
        <v/>
      </c>
    </row>
    <row r="3067">
      <c r="A3067" t="n">
        <v>13180</v>
      </c>
      <c r="B3067" s="16" t="n">
        <v>44649</v>
      </c>
      <c r="C3067" t="inlineStr">
        <is>
          <t>VTA</t>
        </is>
      </c>
      <c r="D3067" t="n">
        <v>42</v>
      </c>
      <c r="E3067">
        <f>IF(D5509&gt;0,VLOOKUP(OPERAC[[#This Row],[COD CART]],[1]!MatrizCortoLargoCyl[#All],3,0),"")</f>
        <v/>
      </c>
      <c r="F3067" t="inlineStr">
        <is>
          <t>CRESY</t>
        </is>
      </c>
      <c r="G3067" t="n">
        <v>250</v>
      </c>
      <c r="H3067" t="n">
        <v>-1994.713</v>
      </c>
      <c r="I3067">
        <f>-H5509/G5509</f>
        <v/>
      </c>
      <c r="J3067" s="16" t="n">
        <v>44657</v>
      </c>
      <c r="K3067">
        <f>+OPERAC[[#This Row],[cantidad]]</f>
        <v/>
      </c>
      <c r="L3067">
        <f>+OPERAC[[#This Row],[cantidad venta]]*7.664</f>
        <v/>
      </c>
    </row>
    <row r="3068">
      <c r="A3068" t="n">
        <v>13180</v>
      </c>
      <c r="B3068" s="16" t="n">
        <v>44651</v>
      </c>
      <c r="C3068" t="inlineStr">
        <is>
          <t>CPR</t>
        </is>
      </c>
      <c r="D3068" t="n">
        <v>42</v>
      </c>
      <c r="E3068">
        <f>IF(D6015&gt;0,VLOOKUP(OPERAC[[#This Row],[COD CART]],[1]!MatrizCortoLargoCyl[#All],3,0),"")</f>
        <v/>
      </c>
      <c r="F3068" t="inlineStr">
        <is>
          <t>AMD</t>
        </is>
      </c>
      <c r="G3068" t="n">
        <v>30</v>
      </c>
      <c r="H3068" t="n">
        <v>-3416.9676</v>
      </c>
      <c r="I3068">
        <f>-H6015/G6015</f>
        <v/>
      </c>
      <c r="J3068" s="16" t="n">
        <v>44669</v>
      </c>
      <c r="K3068" t="n">
        <v>30</v>
      </c>
      <c r="L3068">
        <f>+OPERAC[[#This Row],[cantidad venta]]*92.408</f>
        <v/>
      </c>
    </row>
    <row r="3069">
      <c r="A3069" t="n">
        <v>13180</v>
      </c>
      <c r="B3069" s="16" t="n">
        <v>44652</v>
      </c>
      <c r="C3069" t="inlineStr">
        <is>
          <t>CPR</t>
        </is>
      </c>
      <c r="D3069" t="n">
        <v>42</v>
      </c>
      <c r="E3069">
        <f>IF(D5803&gt;0,VLOOKUP(OPERAC[[#This Row],[COD CART]],[1]!MatrizCortoLargoCyl[#All],3,0),"")</f>
        <v/>
      </c>
      <c r="F3069" t="inlineStr">
        <is>
          <t>AMD</t>
        </is>
      </c>
      <c r="G3069" t="n">
        <v>25</v>
      </c>
      <c r="H3069" t="n">
        <v>-2728.404</v>
      </c>
      <c r="I3069">
        <f>-H5803/G5803</f>
        <v/>
      </c>
      <c r="J3069" s="16" t="n">
        <v>44669</v>
      </c>
      <c r="K3069" t="n">
        <v>20</v>
      </c>
      <c r="L3069">
        <f>20*92.408</f>
        <v/>
      </c>
    </row>
    <row r="3070">
      <c r="A3070" t="n">
        <v>13180</v>
      </c>
      <c r="B3070" s="16" t="n">
        <v>44652</v>
      </c>
      <c r="C3070" t="inlineStr">
        <is>
          <t>VTA</t>
        </is>
      </c>
      <c r="D3070" t="n">
        <v>42</v>
      </c>
      <c r="E3070">
        <f>IF(D5147&gt;0,VLOOKUP(OPERAC[[#This Row],[COD CART]],[1]!MatrizCortoLargoCyl[#All],3,0),"")</f>
        <v/>
      </c>
      <c r="F3070" t="inlineStr">
        <is>
          <t>GBTC</t>
        </is>
      </c>
      <c r="G3070" t="n">
        <v>50</v>
      </c>
      <c r="H3070" t="n">
        <v>-1605.49</v>
      </c>
      <c r="I3070">
        <f>-H5147/G5147</f>
        <v/>
      </c>
      <c r="J3070" s="16" t="n">
        <v>44662</v>
      </c>
      <c r="K3070">
        <f>+OPERAC[[#This Row],[cantidad]]</f>
        <v/>
      </c>
      <c r="L3070">
        <f>27.99*OPERAC[[#This Row],[cantidad venta]]</f>
        <v/>
      </c>
    </row>
    <row r="3071">
      <c r="A3071" t="n">
        <v>13180</v>
      </c>
      <c r="B3071" s="16" t="n">
        <v>44662</v>
      </c>
      <c r="C3071" t="inlineStr">
        <is>
          <t>VTA</t>
        </is>
      </c>
      <c r="D3071" t="n">
        <v>42</v>
      </c>
      <c r="E3071">
        <f>IF(D5402&gt;0,VLOOKUP(OPERAC[[#This Row],[COD CART]],[1]!MatrizCortoLargoCyl[#All],3,0),"")</f>
        <v/>
      </c>
      <c r="F3071" t="inlineStr">
        <is>
          <t>UPST</t>
        </is>
      </c>
      <c r="G3071" t="n">
        <v>20</v>
      </c>
      <c r="H3071" t="n">
        <v>-1828.0072</v>
      </c>
      <c r="I3071">
        <f>-H5402/G5402</f>
        <v/>
      </c>
    </row>
    <row r="3072">
      <c r="A3072" t="n">
        <v>13180</v>
      </c>
      <c r="B3072" s="16" t="n">
        <v>44664</v>
      </c>
      <c r="C3072" t="inlineStr">
        <is>
          <t>CPR</t>
        </is>
      </c>
      <c r="D3072" t="n">
        <v>42</v>
      </c>
      <c r="E3072">
        <f>IF(D5887&gt;0,VLOOKUP(OPERAC[[#This Row],[COD CART]],[1]!MatrizCortoLargoCyl[#All],3,0),"")</f>
        <v/>
      </c>
      <c r="F3072" t="inlineStr">
        <is>
          <t>AMD</t>
        </is>
      </c>
      <c r="G3072" t="n">
        <v>30</v>
      </c>
      <c r="H3072" t="n">
        <v>-2963.1196359</v>
      </c>
      <c r="I3072">
        <f>-H5887/G5887</f>
        <v/>
      </c>
    </row>
    <row r="3073">
      <c r="A3073" t="n">
        <v>13180</v>
      </c>
      <c r="B3073" s="16" t="n">
        <v>44664</v>
      </c>
      <c r="C3073" t="inlineStr">
        <is>
          <t>CPR</t>
        </is>
      </c>
      <c r="D3073" t="n">
        <v>42</v>
      </c>
      <c r="E3073">
        <f>IF(D6233&gt;0,VLOOKUP(OPERAC[[#This Row],[COD CART]],[1]!MatrizCortoLargoCyl[#All],3,0),"")</f>
        <v/>
      </c>
      <c r="F3073" t="inlineStr">
        <is>
          <t>PSQ</t>
        </is>
      </c>
      <c r="G3073" t="n">
        <v>500</v>
      </c>
      <c r="H3073" t="n">
        <v>-6216.2860905</v>
      </c>
      <c r="I3073">
        <f>-H6233/G6233</f>
        <v/>
      </c>
      <c r="J3073" s="16" t="n">
        <v>44680</v>
      </c>
      <c r="K3073">
        <f>+OPERAC[[#This Row],[cantidad]]</f>
        <v/>
      </c>
      <c r="L3073">
        <f>12.848*OPERAC[[#This Row],[cantidad venta]]</f>
        <v/>
      </c>
    </row>
    <row r="3074">
      <c r="A3074" t="n">
        <v>13180</v>
      </c>
      <c r="B3074" s="16" t="n">
        <v>44671</v>
      </c>
      <c r="C3074" t="inlineStr">
        <is>
          <t>VTA</t>
        </is>
      </c>
      <c r="D3074" t="n">
        <v>42</v>
      </c>
      <c r="E3074">
        <f>IF(D5543&gt;0,VLOOKUP(OPERAC[[#This Row],[COD CART]],[1]!MatrizCortoLargoCyl[#All],3,0),"")</f>
        <v/>
      </c>
      <c r="F3074" t="inlineStr">
        <is>
          <t>NFLX</t>
        </is>
      </c>
      <c r="G3074" t="n">
        <v>8</v>
      </c>
      <c r="H3074" t="n">
        <v>-2036.04048</v>
      </c>
      <c r="I3074">
        <f>-H5543/G5543</f>
        <v/>
      </c>
    </row>
    <row r="3075">
      <c r="A3075" t="n">
        <v>13180</v>
      </c>
      <c r="B3075" s="16" t="n">
        <v>44680</v>
      </c>
      <c r="C3075" t="inlineStr">
        <is>
          <t>CPR</t>
        </is>
      </c>
      <c r="D3075" t="n">
        <v>42</v>
      </c>
      <c r="E3075">
        <f>IF(D4088&gt;0,VLOOKUP(OPERAC[[#This Row],[COD CART]],[1]!MatrizCortoLargoCyl[#All],3,0),"")</f>
        <v/>
      </c>
      <c r="F3075" t="inlineStr">
        <is>
          <t>TS</t>
        </is>
      </c>
      <c r="G3075" t="n">
        <v>30</v>
      </c>
      <c r="H3075" t="n">
        <v>-938.9639249999999</v>
      </c>
      <c r="I3075">
        <f>-H4088/G4088</f>
        <v/>
      </c>
    </row>
    <row r="3076">
      <c r="A3076" t="n">
        <v>13180</v>
      </c>
      <c r="B3076" s="16" t="n">
        <v>44680</v>
      </c>
      <c r="C3076" t="inlineStr">
        <is>
          <t>CPR</t>
        </is>
      </c>
      <c r="D3076" t="n">
        <v>32</v>
      </c>
      <c r="E3076">
        <f>IF(D4959&gt;0,VLOOKUP(OPERAC[[#This Row],[COD CART]],[1]!MatrizCortoLargoCyl[#All],3,0),"")</f>
        <v/>
      </c>
      <c r="F3076" t="inlineStr">
        <is>
          <t>COTY</t>
        </is>
      </c>
      <c r="G3076" t="n">
        <v>200</v>
      </c>
      <c r="H3076" t="n">
        <v>-1512.41</v>
      </c>
      <c r="I3076">
        <f>-H4959/G4959</f>
        <v/>
      </c>
      <c r="J3076" s="16" t="n">
        <v>44704</v>
      </c>
      <c r="K3076" t="n">
        <v>200</v>
      </c>
      <c r="L3076" t="n">
        <v>1247.561</v>
      </c>
    </row>
    <row r="3077">
      <c r="A3077" t="n">
        <v>13180</v>
      </c>
      <c r="B3077" s="16" t="n">
        <v>44680</v>
      </c>
      <c r="C3077" t="inlineStr">
        <is>
          <t>CPR</t>
        </is>
      </c>
      <c r="D3077" t="n">
        <v>42</v>
      </c>
      <c r="E3077">
        <f>IF(D6246&gt;0,VLOOKUP(OPERAC[[#This Row],[COD CART]],[1]!MatrizCortoLargoCyl[#All],3,0),"")</f>
        <v/>
      </c>
      <c r="F3077" t="inlineStr">
        <is>
          <t>XLP</t>
        </is>
      </c>
      <c r="G3077" t="n">
        <v>83</v>
      </c>
      <c r="H3077" t="n">
        <v>-6593.0637075</v>
      </c>
      <c r="I3077">
        <f>-H6246/G6246</f>
        <v/>
      </c>
      <c r="J3077" s="16" t="n">
        <v>44704</v>
      </c>
      <c r="K3077" t="n">
        <v>83</v>
      </c>
      <c r="L3077" t="n">
        <v>5951.703</v>
      </c>
    </row>
    <row r="3078">
      <c r="A3078" t="n">
        <v>13180</v>
      </c>
      <c r="B3078" s="16" t="n">
        <v>44691</v>
      </c>
      <c r="C3078" t="inlineStr">
        <is>
          <t>CPR</t>
        </is>
      </c>
      <c r="D3078" t="n">
        <v>32</v>
      </c>
      <c r="E3078">
        <f>IF(D6000&gt;0,VLOOKUP(OPERAC[[#This Row],[COD CART]],[1]!MatrizCortoLargoCyl[#All],3,0),"")</f>
        <v/>
      </c>
      <c r="F3078" t="inlineStr">
        <is>
          <t>UPST</t>
        </is>
      </c>
      <c r="G3078" t="n">
        <v>100</v>
      </c>
      <c r="H3078" t="n">
        <v>-3321.11</v>
      </c>
      <c r="I3078">
        <f>-H6000/G6000</f>
        <v/>
      </c>
      <c r="J3078" s="16" t="n">
        <v>44701</v>
      </c>
      <c r="K3078" t="n">
        <v>100</v>
      </c>
      <c r="L3078" t="n">
        <v>4386.11</v>
      </c>
    </row>
    <row r="3079">
      <c r="A3079" t="n">
        <v>13180</v>
      </c>
      <c r="B3079" s="16" t="n">
        <v>44698</v>
      </c>
      <c r="C3079" t="inlineStr">
        <is>
          <t>CPR</t>
        </is>
      </c>
      <c r="D3079" t="n">
        <v>39</v>
      </c>
      <c r="E3079">
        <f>IF(D4242&gt;0,VLOOKUP(OPERAC[[#This Row],[COD CART]],[1]!MatrizCortoLargoCyl[#All],3,0),"")</f>
        <v/>
      </c>
      <c r="F3079" t="inlineStr">
        <is>
          <t>NTLA/C/65,00/15-07-22</t>
        </is>
      </c>
      <c r="G3079" t="n">
        <v>400</v>
      </c>
      <c r="H3079" t="n">
        <v>-1008.5</v>
      </c>
      <c r="I3079">
        <f>-H4242/G4242</f>
        <v/>
      </c>
    </row>
    <row r="3080">
      <c r="A3080" t="n">
        <v>13180</v>
      </c>
      <c r="B3080" s="16" t="n">
        <v>44705</v>
      </c>
      <c r="C3080" t="inlineStr">
        <is>
          <t>CPR</t>
        </is>
      </c>
      <c r="D3080" t="n">
        <v>42</v>
      </c>
      <c r="E3080">
        <f>IF(D5815&gt;0,VLOOKUP(OPERAC[[#This Row],[COD CART]],[1]!MatrizCortoLargoCyl[#All],3,0),"")</f>
        <v/>
      </c>
      <c r="F3080" t="inlineStr">
        <is>
          <t>AMD</t>
        </is>
      </c>
      <c r="G3080" t="n">
        <v>30</v>
      </c>
      <c r="H3080" t="n">
        <v>-2775.1062</v>
      </c>
      <c r="I3080">
        <f>-H5815/G5815</f>
        <v/>
      </c>
      <c r="J3080" s="16" t="n">
        <v>44707</v>
      </c>
      <c r="K3080">
        <f>+OPERAC[[#This Row],[cantidad]]</f>
        <v/>
      </c>
      <c r="L3080">
        <f>+OPERAC[[#This Row],[cantidad venta]]*94.8</f>
        <v/>
      </c>
    </row>
    <row r="3081">
      <c r="A3081" t="n">
        <v>13180</v>
      </c>
      <c r="B3081" s="16" t="n">
        <v>44707</v>
      </c>
      <c r="C3081" t="inlineStr">
        <is>
          <t>CPR</t>
        </is>
      </c>
      <c r="D3081" t="n">
        <v>41</v>
      </c>
      <c r="E3081">
        <f>IF(D6250&gt;0,VLOOKUP(OPERAC[[#This Row],[COD CART]],[1]!MatrizCortoLargoCyl[#All],3,0),"")</f>
        <v/>
      </c>
      <c r="F3081" t="inlineStr">
        <is>
          <t>TSLA</t>
        </is>
      </c>
      <c r="G3081" t="n">
        <v>10</v>
      </c>
      <c r="H3081" t="n">
        <v>-6983.157</v>
      </c>
      <c r="I3081">
        <f>-H6250/G6250</f>
        <v/>
      </c>
    </row>
    <row r="3082">
      <c r="A3082" t="n">
        <v>13180</v>
      </c>
      <c r="B3082" s="16" t="n">
        <v>44712</v>
      </c>
      <c r="C3082" t="inlineStr">
        <is>
          <t>CPR</t>
        </is>
      </c>
      <c r="D3082" t="n">
        <v>32</v>
      </c>
      <c r="E3082">
        <f>IF(D3251&gt;0,VLOOKUP(OPERAC[[#This Row],[COD CART]],[1]!MatrizCortoLargoCyl[#All],3,0),"")</f>
        <v/>
      </c>
      <c r="F3082" t="inlineStr">
        <is>
          <t>COTY/CYL/7,00/17-06-22</t>
        </is>
      </c>
      <c r="G3082" t="n">
        <v>100</v>
      </c>
      <c r="H3082" t="n">
        <v>-677.42</v>
      </c>
      <c r="I3082">
        <f>-H3251/G3251</f>
        <v/>
      </c>
    </row>
    <row r="3083">
      <c r="A3083" t="n">
        <v>13180</v>
      </c>
      <c r="B3083" s="16" t="n">
        <v>44712</v>
      </c>
      <c r="C3083" t="inlineStr">
        <is>
          <t>CPR</t>
        </is>
      </c>
      <c r="D3083" t="n">
        <v>41</v>
      </c>
      <c r="E3083">
        <f>IF(D5665&gt;0,VLOOKUP(OPERAC[[#This Row],[COD CART]],[1]!MatrizCortoLargoCyl[#All],3,0),"")</f>
        <v/>
      </c>
      <c r="F3083" t="inlineStr">
        <is>
          <t>APA</t>
        </is>
      </c>
      <c r="G3083" t="n">
        <v>50</v>
      </c>
      <c r="H3083" t="n">
        <v>-2417.778</v>
      </c>
      <c r="I3083">
        <f>-H5665/G5665</f>
        <v/>
      </c>
    </row>
    <row r="3084">
      <c r="A3084" t="n">
        <v>13180</v>
      </c>
      <c r="B3084" s="16" t="n">
        <v>44712</v>
      </c>
      <c r="C3084" t="inlineStr">
        <is>
          <t>VTA</t>
        </is>
      </c>
      <c r="D3084" t="n">
        <v>39</v>
      </c>
      <c r="E3084">
        <f>IF(D27&gt;0,VLOOKUP(OPERAC[[#This Row],[COD CART]],[1]!MatrizCortoLargoCyl[#All],3,0),"")</f>
        <v/>
      </c>
      <c r="F3084" t="inlineStr">
        <is>
          <t>TSLA/V/685,00/03-06-22</t>
        </is>
      </c>
      <c r="G3084" t="n">
        <v>-2000</v>
      </c>
      <c r="H3084" t="n">
        <v>6999.99</v>
      </c>
      <c r="I3084">
        <f>-H27/G27</f>
        <v/>
      </c>
      <c r="J3084" s="16" t="n">
        <v>44713</v>
      </c>
      <c r="K3084" t="n">
        <v>-2000</v>
      </c>
      <c r="L3084" t="n">
        <v>-5025</v>
      </c>
    </row>
    <row r="3085">
      <c r="A3085" t="n">
        <v>13180</v>
      </c>
      <c r="B3085" s="16" t="n">
        <v>44713</v>
      </c>
      <c r="C3085" t="inlineStr">
        <is>
          <t>CPR</t>
        </is>
      </c>
      <c r="D3085" t="n">
        <v>42</v>
      </c>
      <c r="E3085">
        <f>IF(D6149&gt;0,VLOOKUP(OPERAC[[#This Row],[COD CART]],[1]!MatrizCortoLargoCyl[#All],3,0),"")</f>
        <v/>
      </c>
      <c r="F3085" t="inlineStr">
        <is>
          <t>UPST</t>
        </is>
      </c>
      <c r="G3085" t="n">
        <v>100</v>
      </c>
      <c r="H3085" t="n">
        <v>-4814.682</v>
      </c>
      <c r="I3085">
        <f>-H6149/G6149</f>
        <v/>
      </c>
      <c r="J3085" s="16" t="n">
        <v>44714</v>
      </c>
      <c r="K3085">
        <f>+OPERAC[[#This Row],[cantidad]]</f>
        <v/>
      </c>
      <c r="L3085">
        <f>+OPERAC[[#This Row],[cantidad venta]]*49.312</f>
        <v/>
      </c>
    </row>
    <row r="3086">
      <c r="A3086" t="n">
        <v>13180</v>
      </c>
      <c r="B3086" s="16" t="n">
        <v>44714</v>
      </c>
      <c r="C3086" t="inlineStr">
        <is>
          <t>VTA</t>
        </is>
      </c>
      <c r="D3086" t="n">
        <v>39</v>
      </c>
      <c r="E3086">
        <f>IF(D678&gt;0,VLOOKUP(OPERAC[[#This Row],[COD CART]],[1]!MatrizCortoLargoCyl[#All],3,0),"")</f>
        <v/>
      </c>
      <c r="F3086" t="inlineStr">
        <is>
          <t>TSLA/V/685,00/03-06-22</t>
        </is>
      </c>
      <c r="G3086" t="n">
        <v>-1000</v>
      </c>
      <c r="H3086" t="n">
        <v>436.26</v>
      </c>
      <c r="I3086">
        <f>-H678/G678</f>
        <v/>
      </c>
      <c r="J3086" s="16" t="n">
        <v>44715</v>
      </c>
      <c r="K3086" t="n">
        <v>-1000</v>
      </c>
      <c r="L3086" t="n">
        <v>-100.85</v>
      </c>
    </row>
    <row r="3087">
      <c r="A3087" t="n">
        <v>13180</v>
      </c>
      <c r="B3087" s="16" t="n">
        <v>44714</v>
      </c>
      <c r="C3087" t="inlineStr">
        <is>
          <t>VTA</t>
        </is>
      </c>
      <c r="D3087" t="n">
        <v>39</v>
      </c>
      <c r="E3087">
        <f>IF(D769&gt;0,VLOOKUP(OPERAC[[#This Row],[COD CART]],[1]!MatrizCortoLargoCyl[#All],3,0),"")</f>
        <v/>
      </c>
      <c r="F3087" t="inlineStr">
        <is>
          <t>TSLA/C/855,00/03-06-22</t>
        </is>
      </c>
      <c r="G3087" t="n">
        <v>-1000</v>
      </c>
      <c r="H3087" t="n">
        <v>317.28</v>
      </c>
      <c r="I3087">
        <f>-H769/G769</f>
        <v/>
      </c>
      <c r="J3087" s="16" t="n">
        <v>44715</v>
      </c>
      <c r="K3087">
        <f>+OPERAC[[#This Row],[cantidad]]</f>
        <v/>
      </c>
      <c r="L3087" t="n">
        <v>0</v>
      </c>
    </row>
    <row r="3088">
      <c r="A3088" t="n">
        <v>13180</v>
      </c>
      <c r="B3088" s="16" t="n">
        <v>44714</v>
      </c>
      <c r="C3088" t="inlineStr">
        <is>
          <t>VTA</t>
        </is>
      </c>
      <c r="D3088" t="n">
        <v>39</v>
      </c>
      <c r="E3088">
        <f>IF(D1034&gt;0,VLOOKUP(OPERAC[[#This Row],[COD CART]],[1]!MatrizCortoLargoCyl[#All],3,0),"")</f>
        <v/>
      </c>
      <c r="F3088" t="inlineStr">
        <is>
          <t>MELI/V/350,00/20-01-23</t>
        </is>
      </c>
      <c r="G3088" t="n">
        <v>-4</v>
      </c>
      <c r="H3088" t="n">
        <v>49.57</v>
      </c>
      <c r="I3088">
        <f>-H1034/G1034</f>
        <v/>
      </c>
    </row>
    <row r="3089">
      <c r="A3089" t="n">
        <v>13180</v>
      </c>
      <c r="B3089" s="16" t="n">
        <v>44715</v>
      </c>
      <c r="C3089" t="inlineStr">
        <is>
          <t>VTA</t>
        </is>
      </c>
      <c r="D3089" t="n">
        <v>32</v>
      </c>
      <c r="E3089">
        <f>IF(D5073&gt;0,VLOOKUP(OPERAC[[#This Row],[COD CART]],[1]!MatrizCortoLargoCyl[#All],3,0),"")</f>
        <v/>
      </c>
      <c r="F3089" t="inlineStr">
        <is>
          <t>AAL/CYL/16,50/17-06-22</t>
        </is>
      </c>
      <c r="G3089" t="n">
        <v>100</v>
      </c>
      <c r="H3089" t="n">
        <v>-1580.215</v>
      </c>
      <c r="I3089">
        <f>-H5073/G5073</f>
        <v/>
      </c>
    </row>
    <row r="3090">
      <c r="A3090" t="n">
        <v>13180</v>
      </c>
      <c r="B3090" s="16" t="n">
        <v>44718</v>
      </c>
      <c r="C3090" t="inlineStr">
        <is>
          <t>CPR</t>
        </is>
      </c>
      <c r="D3090" t="n">
        <v>40</v>
      </c>
      <c r="E3090">
        <f>IF(D4634&gt;0,VLOOKUP(OPERAC[[#This Row],[COD CART]],[1]!MatrizCortoLargoCyl[#All],3,0),"")</f>
        <v/>
      </c>
      <c r="F3090" t="inlineStr">
        <is>
          <t>KO</t>
        </is>
      </c>
      <c r="G3090" t="n">
        <v>20</v>
      </c>
      <c r="H3090" t="n">
        <v>-1283.67</v>
      </c>
      <c r="I3090">
        <f>-H4634/G4634</f>
        <v/>
      </c>
    </row>
    <row r="3091">
      <c r="A3091" t="n">
        <v>13180</v>
      </c>
      <c r="B3091" s="16" t="n">
        <v>44718</v>
      </c>
      <c r="C3091" t="inlineStr">
        <is>
          <t>CPR</t>
        </is>
      </c>
      <c r="D3091" t="n">
        <v>42</v>
      </c>
      <c r="E3091">
        <f>IF(D5952&gt;0,VLOOKUP(OPERAC[[#This Row],[COD CART]],[1]!MatrizCortoLargoCyl[#All],3,0),"")</f>
        <v/>
      </c>
      <c r="F3091" t="inlineStr">
        <is>
          <t>KWEB</t>
        </is>
      </c>
      <c r="G3091" t="n">
        <v>100</v>
      </c>
      <c r="H3091" t="n">
        <v>-3120.698</v>
      </c>
      <c r="I3091">
        <f>-H5952/G5952</f>
        <v/>
      </c>
      <c r="J3091" s="16" t="n">
        <v>44725</v>
      </c>
      <c r="K3091" t="n">
        <v>100</v>
      </c>
      <c r="L3091" t="n">
        <v>2917.49</v>
      </c>
    </row>
    <row r="3092">
      <c r="A3092" t="n">
        <v>13180</v>
      </c>
      <c r="B3092" s="16" t="n">
        <v>44718</v>
      </c>
      <c r="C3092" t="inlineStr">
        <is>
          <t>CPR</t>
        </is>
      </c>
      <c r="D3092" t="n">
        <v>42</v>
      </c>
      <c r="E3092">
        <f>IF(D6162&gt;0,VLOOKUP(OPERAC[[#This Row],[COD CART]],[1]!MatrizCortoLargoCyl[#All],3,0),"")</f>
        <v/>
      </c>
      <c r="F3092" t="inlineStr">
        <is>
          <t>UPST</t>
        </is>
      </c>
      <c r="G3092" t="n">
        <v>100</v>
      </c>
      <c r="H3092">
        <f>-4979.84+71.586</f>
        <v/>
      </c>
      <c r="I3092">
        <f>-H6162/G6162</f>
        <v/>
      </c>
    </row>
    <row r="3093">
      <c r="A3093" t="n">
        <v>13180</v>
      </c>
      <c r="B3093" s="16" t="n">
        <v>44718</v>
      </c>
      <c r="C3093" t="inlineStr">
        <is>
          <t>VTA</t>
        </is>
      </c>
      <c r="D3093" t="n">
        <v>39</v>
      </c>
      <c r="E3093">
        <f>IF(D157&gt;0,VLOOKUP(OPERAC[[#This Row],[COD CART]],[1]!MatrizCortoLargoCyl[#All],3,0),"")</f>
        <v/>
      </c>
      <c r="F3093" t="inlineStr">
        <is>
          <t>TSLA/V/600,00/10-06-22</t>
        </is>
      </c>
      <c r="G3093" t="n">
        <v>-1000</v>
      </c>
      <c r="H3093" t="n">
        <v>2521.385</v>
      </c>
      <c r="I3093">
        <f>-H157/G157</f>
        <v/>
      </c>
      <c r="J3093" s="16" t="n">
        <v>44718</v>
      </c>
      <c r="K3093" t="n">
        <v>-1000</v>
      </c>
      <c r="L3093" t="n">
        <v>-1752.01</v>
      </c>
    </row>
    <row r="3094">
      <c r="A3094" t="n">
        <v>13180</v>
      </c>
      <c r="B3094" s="16" t="n">
        <v>44718</v>
      </c>
      <c r="C3094" t="inlineStr">
        <is>
          <t>VTA</t>
        </is>
      </c>
      <c r="D3094" t="n">
        <v>39</v>
      </c>
      <c r="E3094">
        <f>IF(D424&gt;0,VLOOKUP(OPERAC[[#This Row],[COD CART]],[1]!MatrizCortoLargoCyl[#All],3,0),"")</f>
        <v/>
      </c>
      <c r="F3094" t="inlineStr">
        <is>
          <t>TSLA/V/580,00/10-06-22</t>
        </is>
      </c>
      <c r="G3094" t="n">
        <v>-1000</v>
      </c>
      <c r="H3094" t="n">
        <v>1089</v>
      </c>
      <c r="I3094">
        <f>-H424/G424</f>
        <v/>
      </c>
      <c r="J3094" s="16" t="n">
        <v>44720</v>
      </c>
      <c r="K3094" t="n">
        <v>-1000</v>
      </c>
      <c r="L3094" t="n">
        <v>-180.857</v>
      </c>
    </row>
    <row r="3095">
      <c r="A3095" t="n">
        <v>13180</v>
      </c>
      <c r="B3095" s="16" t="n">
        <v>44720</v>
      </c>
      <c r="C3095" t="inlineStr">
        <is>
          <t>CPR</t>
        </is>
      </c>
      <c r="D3095" t="n">
        <v>42</v>
      </c>
      <c r="E3095">
        <f>IF(D4971&gt;0,VLOOKUP(OPERAC[[#This Row],[COD CART]],[1]!MatrizCortoLargoCyl[#All],3,0),"")</f>
        <v/>
      </c>
      <c r="F3095" t="inlineStr">
        <is>
          <t>HYDR</t>
        </is>
      </c>
      <c r="G3095" t="n">
        <v>100</v>
      </c>
      <c r="H3095" t="n">
        <v>-1512.75</v>
      </c>
      <c r="I3095">
        <f>-H4971/G4971</f>
        <v/>
      </c>
    </row>
    <row r="3096">
      <c r="A3096" t="n">
        <v>13180</v>
      </c>
      <c r="B3096" s="16" t="n">
        <v>44720</v>
      </c>
      <c r="C3096" t="inlineStr">
        <is>
          <t>VTA</t>
        </is>
      </c>
      <c r="D3096" t="n">
        <v>39</v>
      </c>
      <c r="E3096">
        <f>IF(D819&gt;0,VLOOKUP(OPERAC[[#This Row],[COD CART]],[1]!MatrizCortoLargoCyl[#All],3,0),"")</f>
        <v/>
      </c>
      <c r="F3096" t="inlineStr">
        <is>
          <t>TSLA/P/660,00/10-06-22</t>
        </is>
      </c>
      <c r="G3096" t="n">
        <v>-200</v>
      </c>
      <c r="H3096" t="n">
        <v>228.045</v>
      </c>
      <c r="I3096">
        <f>-H819/G819</f>
        <v/>
      </c>
      <c r="J3096" s="16" t="n">
        <v>44722</v>
      </c>
      <c r="K3096">
        <f>+OPERAC[[#This Row],[cantidad]]</f>
        <v/>
      </c>
      <c r="L3096" t="n">
        <v>0</v>
      </c>
    </row>
    <row r="3097">
      <c r="A3097" t="n">
        <v>13180</v>
      </c>
      <c r="B3097" s="16" t="n">
        <v>44725</v>
      </c>
      <c r="C3097" t="inlineStr">
        <is>
          <t>VTA</t>
        </is>
      </c>
      <c r="D3097" t="n">
        <v>39</v>
      </c>
      <c r="E3097">
        <f>IF(D886&gt;0,VLOOKUP(OPERAC[[#This Row],[COD CART]],[1]!MatrizCortoLargoCyl[#All],3,0),"")</f>
        <v/>
      </c>
      <c r="F3097" t="inlineStr">
        <is>
          <t>MELI/P/350,00/19-01-24</t>
        </is>
      </c>
      <c r="G3097" t="n">
        <v>-3</v>
      </c>
      <c r="H3097" t="n">
        <v>178.47</v>
      </c>
      <c r="I3097">
        <f>-H886/G886</f>
        <v/>
      </c>
    </row>
    <row r="3098">
      <c r="A3098" t="n">
        <v>13185</v>
      </c>
      <c r="B3098" s="16" t="n">
        <v>43831</v>
      </c>
      <c r="C3098" t="inlineStr">
        <is>
          <t>CPR</t>
        </is>
      </c>
      <c r="D3098" t="n">
        <v>41</v>
      </c>
      <c r="E3098">
        <f>IF(D4442&gt;0,VLOOKUP(OPERAC[[#This Row],[COD CART]],[1]!MatrizCortoLargoCyl[#All],3,0),"")</f>
        <v/>
      </c>
      <c r="F3098" t="inlineStr">
        <is>
          <t>IPIX</t>
        </is>
      </c>
      <c r="G3098" t="n">
        <v>7580</v>
      </c>
      <c r="H3098" t="n">
        <v>-1137</v>
      </c>
      <c r="I3098" t="n">
        <v>0.15</v>
      </c>
    </row>
    <row r="3099">
      <c r="A3099" t="n">
        <v>13185</v>
      </c>
      <c r="B3099" s="16" t="n">
        <v>44434</v>
      </c>
      <c r="C3099" t="inlineStr">
        <is>
          <t>VTA</t>
        </is>
      </c>
      <c r="D3099" t="n">
        <v>39</v>
      </c>
      <c r="E3099">
        <f>IF(D144&gt;0,VLOOKUP(OPERAC[[#This Row],[COD CART]],[1]!MatrizCortoLargoCyl[#All],3,0),"")</f>
        <v/>
      </c>
      <c r="F3099" t="inlineStr">
        <is>
          <t>TLRY/V/12,00/20-01-23</t>
        </is>
      </c>
      <c r="G3099" t="n">
        <v>-700</v>
      </c>
      <c r="H3099" t="n">
        <v>2845.03</v>
      </c>
      <c r="I3099">
        <f>-H144/G144</f>
        <v/>
      </c>
      <c r="J3099" s="16" t="n">
        <v>44615</v>
      </c>
      <c r="K3099" t="n">
        <v>-100</v>
      </c>
      <c r="L3099" t="n">
        <v>-696.15</v>
      </c>
    </row>
    <row r="3100">
      <c r="A3100" t="n">
        <v>13185</v>
      </c>
      <c r="B3100" s="16" t="n">
        <v>44489</v>
      </c>
      <c r="C3100" t="inlineStr">
        <is>
          <t>VTA</t>
        </is>
      </c>
      <c r="D3100" t="n">
        <v>43</v>
      </c>
      <c r="E3100">
        <f>IF(D5448&gt;0,VLOOKUP(OPERAC[[#This Row],[COD CART]],[1]!MatrizCortoLargoCyl[#All],3,0),"")</f>
        <v/>
      </c>
      <c r="F3100" t="inlineStr">
        <is>
          <t>SESN/CYL-PUT/1,00/19-01-24</t>
        </is>
      </c>
      <c r="G3100" t="n">
        <v>10000</v>
      </c>
      <c r="H3100">
        <f>-0.1885*OPERAC[[#This Row],[cantidad]]</f>
        <v/>
      </c>
      <c r="I3100">
        <f>-H5448/G5448</f>
        <v/>
      </c>
      <c r="J3100" s="16" t="n">
        <v>44606</v>
      </c>
      <c r="K3100" t="n">
        <v>1200</v>
      </c>
      <c r="L3100" t="n">
        <v>261.45</v>
      </c>
    </row>
    <row r="3101">
      <c r="A3101" t="n">
        <v>13185</v>
      </c>
      <c r="B3101" s="16" t="n">
        <v>44490</v>
      </c>
      <c r="C3101" t="inlineStr">
        <is>
          <t>VTA</t>
        </is>
      </c>
      <c r="D3101" t="n">
        <v>40</v>
      </c>
      <c r="E3101">
        <f>IF(D5091&gt;0,VLOOKUP(OPERAC[[#This Row],[COD CART]],[1]!MatrizCortoLargoCyl[#All],3,0),"")</f>
        <v/>
      </c>
      <c r="F3101" t="inlineStr">
        <is>
          <t>MELI</t>
        </is>
      </c>
      <c r="G3101" t="n">
        <v>1</v>
      </c>
      <c r="H3101" t="n">
        <v>-1587.905</v>
      </c>
      <c r="I3101">
        <f>-H5091/G5091</f>
        <v/>
      </c>
      <c r="J3101" s="16" t="n">
        <v>44606</v>
      </c>
      <c r="K3101" t="n">
        <v>1</v>
      </c>
      <c r="L3101" t="n">
        <v>1073.609</v>
      </c>
    </row>
    <row r="3102">
      <c r="A3102" t="n">
        <v>13185</v>
      </c>
      <c r="B3102" s="16" t="n">
        <v>44495</v>
      </c>
      <c r="C3102" t="inlineStr">
        <is>
          <t>VTA</t>
        </is>
      </c>
      <c r="D3102" t="n">
        <v>39</v>
      </c>
      <c r="E3102">
        <f>IF(D386&gt;0,VLOOKUP(OPERAC[[#This Row],[COD CART]],[1]!MatrizCortoLargoCyl[#All],3,0),"")</f>
        <v/>
      </c>
      <c r="F3102" t="inlineStr">
        <is>
          <t>YPF/CC10/LP7/CP3/19-01-24</t>
        </is>
      </c>
      <c r="G3102" t="n">
        <v>-500</v>
      </c>
      <c r="H3102">
        <f>-2.41*OPERAC[[#This Row],[cantidad]]</f>
        <v/>
      </c>
      <c r="I3102">
        <f>-H386/G386</f>
        <v/>
      </c>
    </row>
    <row r="3103">
      <c r="A3103" t="n">
        <v>13185</v>
      </c>
      <c r="B3103" s="16" t="n">
        <v>44501</v>
      </c>
      <c r="C3103" t="inlineStr">
        <is>
          <t>VTA</t>
        </is>
      </c>
      <c r="D3103" t="n">
        <v>32</v>
      </c>
      <c r="E3103">
        <f>IF(D5482&gt;0,VLOOKUP(OPERAC[[#This Row],[COD CART]],[1]!MatrizCortoLargoCyl[#All],3,0),"")</f>
        <v/>
      </c>
      <c r="F3103" t="inlineStr">
        <is>
          <t>SKLZ/CYL/10,00/21-01-22</t>
        </is>
      </c>
      <c r="G3103" t="n">
        <v>200</v>
      </c>
      <c r="H3103">
        <f>-2029.614+78.015</f>
        <v/>
      </c>
      <c r="I3103">
        <f>-H5482/G5482</f>
        <v/>
      </c>
      <c r="J3103" s="16" t="n">
        <v>44579</v>
      </c>
      <c r="K3103">
        <f>+OPERAC[[#This Row],[cantidad]]</f>
        <v/>
      </c>
      <c r="L3103">
        <f>+OPERAC[[#This Row],[cantidad venta]]*5.679</f>
        <v/>
      </c>
    </row>
    <row r="3104">
      <c r="A3104" t="n">
        <v>13185</v>
      </c>
      <c r="B3104" s="16" t="n">
        <v>44532</v>
      </c>
      <c r="C3104" t="inlineStr">
        <is>
          <t>VTA</t>
        </is>
      </c>
      <c r="D3104" t="n">
        <v>32</v>
      </c>
      <c r="E3104">
        <f>IF(D3932&gt;0,VLOOKUP(OPERAC[[#This Row],[COD CART]],[1]!MatrizCortoLargoCyl[#All],3,0),"")</f>
        <v/>
      </c>
      <c r="F3104" t="inlineStr">
        <is>
          <t>COTY/CYL/10,00/18-02-22</t>
        </is>
      </c>
      <c r="G3104" t="n">
        <v>100</v>
      </c>
      <c r="H3104">
        <f>-901.599+20.838</f>
        <v/>
      </c>
      <c r="I3104">
        <f>-H3932/G3932</f>
        <v/>
      </c>
      <c r="J3104" s="16" t="n">
        <v>44608</v>
      </c>
      <c r="K3104">
        <f>+OPERAC[[#This Row],[cantidad]]</f>
        <v/>
      </c>
      <c r="L3104" t="n">
        <v>941.701</v>
      </c>
    </row>
    <row r="3105">
      <c r="A3105" t="n">
        <v>13185</v>
      </c>
      <c r="B3105" s="16" t="n">
        <v>44533</v>
      </c>
      <c r="C3105" t="inlineStr">
        <is>
          <t>CPR</t>
        </is>
      </c>
      <c r="D3105" t="n">
        <v>32</v>
      </c>
      <c r="E3105">
        <f>IF(D5804&gt;0,VLOOKUP(OPERAC[[#This Row],[COD CART]],[1]!MatrizCortoLargoCyl[#All],3,0),"")</f>
        <v/>
      </c>
      <c r="F3105" t="inlineStr">
        <is>
          <t>SPCE/CYL/20,00/21-01-22</t>
        </is>
      </c>
      <c r="G3105" t="n">
        <v>200</v>
      </c>
      <c r="H3105">
        <f>-13.67*OPERAC[[#This Row],[cantidad]]</f>
        <v/>
      </c>
      <c r="I3105">
        <f>-H5804/G5804</f>
        <v/>
      </c>
      <c r="J3105" s="16" t="n">
        <v>44579</v>
      </c>
      <c r="K3105" t="n">
        <v>200</v>
      </c>
      <c r="L3105">
        <f>+OPERAC[[#This Row],[cantidad venta]]*9.64</f>
        <v/>
      </c>
    </row>
    <row r="3106">
      <c r="A3106" t="n">
        <v>13185</v>
      </c>
      <c r="B3106" s="16" t="n">
        <v>44533</v>
      </c>
      <c r="C3106" t="inlineStr">
        <is>
          <t>CPR</t>
        </is>
      </c>
      <c r="D3106" t="n">
        <v>32</v>
      </c>
      <c r="E3106">
        <f>IF(D6221&gt;0,VLOOKUP(OPERAC[[#This Row],[COD CART]],[1]!MatrizCortoLargoCyl[#All],3,0),"")</f>
        <v/>
      </c>
      <c r="F3106" t="inlineStr">
        <is>
          <t>BYND/CYL/75,00/19-08-22</t>
        </is>
      </c>
      <c r="G3106" t="n">
        <v>100</v>
      </c>
      <c r="H3106">
        <f>-6259.75+148.4+69.038+54.56+9.915</f>
        <v/>
      </c>
      <c r="I3106">
        <f>-H6221/G6221</f>
        <v/>
      </c>
    </row>
    <row r="3107">
      <c r="A3107" t="n">
        <v>13185</v>
      </c>
      <c r="B3107" s="16" t="n">
        <v>44533</v>
      </c>
      <c r="C3107" t="inlineStr">
        <is>
          <t>CPR</t>
        </is>
      </c>
      <c r="D3107" t="n">
        <v>32</v>
      </c>
      <c r="E3107">
        <f>IF(D6284&gt;0,VLOOKUP(OPERAC[[#This Row],[COD CART]],[1]!MatrizCortoLargoCyl[#All],3,0),"")</f>
        <v/>
      </c>
      <c r="F3107" t="inlineStr">
        <is>
          <t>TLRY/CYL/11,00/21-01-22</t>
        </is>
      </c>
      <c r="G3107" t="n">
        <v>1000</v>
      </c>
      <c r="H3107" t="n">
        <v>-8269.75</v>
      </c>
      <c r="I3107">
        <f>-H6284/G6284</f>
        <v/>
      </c>
      <c r="J3107" s="16" t="n">
        <v>44575</v>
      </c>
      <c r="K3107" t="n">
        <v>1000</v>
      </c>
      <c r="L3107" t="n">
        <v>6831.694</v>
      </c>
    </row>
    <row r="3108">
      <c r="A3108" t="n">
        <v>13185</v>
      </c>
      <c r="B3108" s="16" t="n">
        <v>44536</v>
      </c>
      <c r="C3108" t="inlineStr">
        <is>
          <t>CPR</t>
        </is>
      </c>
      <c r="D3108" t="n">
        <v>43</v>
      </c>
      <c r="E3108">
        <f>IF(D3467&gt;0,VLOOKUP(OPERAC[[#This Row],[COD CART]],[1]!MatrizCortoLargoCyl[#All],3,0),"")</f>
        <v/>
      </c>
      <c r="F3108" t="inlineStr">
        <is>
          <t>XSPA/CYL-PUT/1,50/20-01-23</t>
        </is>
      </c>
      <c r="G3108" t="n">
        <v>1700</v>
      </c>
      <c r="H3108">
        <f>-0.4462*OPERAC[[#This Row],[cantidad]]</f>
        <v/>
      </c>
      <c r="I3108">
        <f>-H3467/G3467</f>
        <v/>
      </c>
    </row>
    <row r="3109">
      <c r="A3109" t="n">
        <v>13185</v>
      </c>
      <c r="B3109" s="16" t="n">
        <v>44536</v>
      </c>
      <c r="C3109" t="inlineStr">
        <is>
          <t>CPR</t>
        </is>
      </c>
      <c r="D3109" t="n">
        <v>43</v>
      </c>
      <c r="E3109">
        <f>IF(D4957&gt;0,VLOOKUP(OPERAC[[#This Row],[COD CART]],[1]!MatrizCortoLargoCyl[#All],3,0),"")</f>
        <v/>
      </c>
      <c r="F3109" t="inlineStr">
        <is>
          <t>NNDM/CYL-PUT/2,50/19-01-24</t>
        </is>
      </c>
      <c r="G3109" t="n">
        <v>1400</v>
      </c>
      <c r="H3109">
        <f>-1.08*OPERAC[[#This Row],[cantidad]]</f>
        <v/>
      </c>
      <c r="I3109">
        <f>-H4957/G4957</f>
        <v/>
      </c>
    </row>
    <row r="3110">
      <c r="A3110" t="n">
        <v>13185</v>
      </c>
      <c r="B3110" s="16" t="n">
        <v>44536</v>
      </c>
      <c r="C3110" t="inlineStr">
        <is>
          <t>VTA</t>
        </is>
      </c>
      <c r="D3110" t="n">
        <v>43</v>
      </c>
      <c r="E3110">
        <f>IF(D2356&gt;0,VLOOKUP(OPERAC[[#This Row],[COD CART]],[1]!MatrizCortoLargoCyl[#All],3,0),"")</f>
        <v/>
      </c>
      <c r="F3110" t="inlineStr">
        <is>
          <t>HEXO/CYL-PUT/1,00/20-01-23</t>
        </is>
      </c>
      <c r="G3110" t="n">
        <v>2500</v>
      </c>
      <c r="H3110">
        <f>-0.1671*OPERAC[[#This Row],[cantidad]]</f>
        <v/>
      </c>
      <c r="I3110">
        <f>-H2356/G2356</f>
        <v/>
      </c>
    </row>
    <row r="3111">
      <c r="A3111" t="n">
        <v>13185</v>
      </c>
      <c r="B3111" s="16" t="n">
        <v>44553</v>
      </c>
      <c r="C3111" t="inlineStr">
        <is>
          <t>VTA</t>
        </is>
      </c>
      <c r="D3111" t="n">
        <v>40</v>
      </c>
      <c r="E3111">
        <f>IF(D2104&gt;0,VLOOKUP(OPERAC[[#This Row],[COD CART]],[1]!MatrizCortoLargoCyl[#All],3,0),"")</f>
        <v/>
      </c>
      <c r="F3111" t="inlineStr">
        <is>
          <t>ON</t>
        </is>
      </c>
      <c r="G3111" t="n">
        <v>5</v>
      </c>
      <c r="H3111" t="n">
        <v>-335.56804</v>
      </c>
      <c r="I3111">
        <f>-H2104/G2104</f>
        <v/>
      </c>
      <c r="J3111" s="16" t="n">
        <v>44606</v>
      </c>
      <c r="K3111">
        <f>+OPERAC[[#This Row],[cantidad]]</f>
        <v/>
      </c>
      <c r="L3111">
        <f>+OPERAC[[#This Row],[cantidad venta]]*58.449</f>
        <v/>
      </c>
    </row>
    <row r="3112">
      <c r="A3112" t="n">
        <v>13185</v>
      </c>
      <c r="B3112" s="16" t="n">
        <v>44574</v>
      </c>
      <c r="C3112" t="inlineStr">
        <is>
          <t>CPR</t>
        </is>
      </c>
      <c r="D3112" t="n">
        <v>39</v>
      </c>
      <c r="E3112">
        <f>IF(D4142&gt;0,VLOOKUP(OPERAC[[#This Row],[COD CART]],[1]!MatrizCortoLargoCyl[#All],3,0),"")</f>
        <v/>
      </c>
      <c r="F3112" t="inlineStr">
        <is>
          <t>BABA/BULL/120,0-135,0/20-05-22</t>
        </is>
      </c>
      <c r="G3112" t="n">
        <v>100</v>
      </c>
      <c r="H3112" t="n">
        <v>-965.8</v>
      </c>
      <c r="I3112">
        <f>-H4142/G4142</f>
        <v/>
      </c>
      <c r="J3112" s="16" t="n">
        <v>44701</v>
      </c>
      <c r="K3112">
        <f>+OPERAC[[#This Row],[cantidad]]</f>
        <v/>
      </c>
      <c r="L3112" t="n">
        <v>0</v>
      </c>
    </row>
    <row r="3113">
      <c r="A3113" t="n">
        <v>13185</v>
      </c>
      <c r="B3113" s="16" t="n">
        <v>44575</v>
      </c>
      <c r="C3113" t="inlineStr">
        <is>
          <t>CPR</t>
        </is>
      </c>
      <c r="D3113" t="n">
        <v>40</v>
      </c>
      <c r="E3113">
        <f>IF(D5932&gt;0,VLOOKUP(OPERAC[[#This Row],[COD CART]],[1]!MatrizCortoLargoCyl[#All],3,0),"")</f>
        <v/>
      </c>
      <c r="F3113" t="inlineStr">
        <is>
          <t>GBTC</t>
        </is>
      </c>
      <c r="G3113" t="n">
        <v>100</v>
      </c>
      <c r="H3113" t="n">
        <v>-3080.948</v>
      </c>
      <c r="I3113">
        <f>-H5932/G5932</f>
        <v/>
      </c>
      <c r="J3113" s="16" t="n">
        <v>44651</v>
      </c>
      <c r="K3113">
        <f>+OPERAC[[#This Row],[cantidad]]</f>
        <v/>
      </c>
      <c r="L3113">
        <f>+OPERAC[[#This Row],[cantidad venta]]*31.332</f>
        <v/>
      </c>
    </row>
    <row r="3114">
      <c r="A3114" t="n">
        <v>13185</v>
      </c>
      <c r="B3114" s="16" t="n">
        <v>44575</v>
      </c>
      <c r="C3114" t="inlineStr">
        <is>
          <t>VTA</t>
        </is>
      </c>
      <c r="D3114" t="n">
        <v>39</v>
      </c>
      <c r="E3114">
        <f>IF(D179&gt;0,VLOOKUP(OPERAC[[#This Row],[COD CART]],[1]!MatrizCortoLargoCyl[#All],3,0),"")</f>
        <v/>
      </c>
      <c r="F3114" t="inlineStr">
        <is>
          <t>TSLA/V/830,00/21-01-22</t>
        </is>
      </c>
      <c r="G3114" t="n">
        <v>-2000</v>
      </c>
      <c r="H3114" t="n">
        <v>2256.48</v>
      </c>
      <c r="I3114">
        <f>-H179/G179</f>
        <v/>
      </c>
      <c r="J3114" s="16" t="n">
        <v>44582</v>
      </c>
      <c r="K3114" t="n">
        <v>-2000</v>
      </c>
      <c r="L3114" t="n">
        <v>0</v>
      </c>
    </row>
    <row r="3115">
      <c r="A3115" t="n">
        <v>13185</v>
      </c>
      <c r="B3115" s="16" t="n">
        <v>44575</v>
      </c>
      <c r="C3115" t="inlineStr">
        <is>
          <t>VTA</t>
        </is>
      </c>
      <c r="D3115" t="n">
        <v>39</v>
      </c>
      <c r="E3115">
        <f>IF(D212&gt;0,VLOOKUP(OPERAC[[#This Row],[COD CART]],[1]!MatrizCortoLargoCyl[#All],3,0),"")</f>
        <v/>
      </c>
      <c r="F3115" t="inlineStr">
        <is>
          <t>TSLA/C/1275,00/21-01-22</t>
        </is>
      </c>
      <c r="G3115" t="n">
        <v>-2000</v>
      </c>
      <c r="H3115" t="n">
        <v>2077.92</v>
      </c>
      <c r="I3115">
        <f>-H212/G212</f>
        <v/>
      </c>
      <c r="J3115" s="16" t="n">
        <v>44582</v>
      </c>
      <c r="K3115" t="n">
        <v>-2000</v>
      </c>
      <c r="L3115" t="n">
        <v>0</v>
      </c>
    </row>
    <row r="3116">
      <c r="A3116" t="n">
        <v>13185</v>
      </c>
      <c r="B3116" s="16" t="n">
        <v>44579</v>
      </c>
      <c r="C3116" t="inlineStr">
        <is>
          <t>VTA</t>
        </is>
      </c>
      <c r="D3116" t="n">
        <v>39</v>
      </c>
      <c r="E3116">
        <f>IF(D538&gt;0,VLOOKUP(OPERAC[[#This Row],[COD CART]],[1]!MatrizCortoLargoCyl[#All],3,0),"")</f>
        <v/>
      </c>
      <c r="F3116" t="inlineStr">
        <is>
          <t>ACB/V/5,50/21-01-22</t>
        </is>
      </c>
      <c r="G3116" t="n">
        <v>-2600</v>
      </c>
      <c r="H3116" t="n">
        <v>830.336</v>
      </c>
      <c r="I3116">
        <f>-H538/G538</f>
        <v/>
      </c>
      <c r="J3116" s="16" t="n">
        <v>44581</v>
      </c>
      <c r="K3116">
        <f>+OPERAC[[#This Row],[cantidad]]</f>
        <v/>
      </c>
      <c r="L3116">
        <f>-OPERAC[[#This Row],[importe]]</f>
        <v/>
      </c>
    </row>
    <row r="3117">
      <c r="A3117" t="n">
        <v>13185</v>
      </c>
      <c r="B3117" s="16" t="n">
        <v>44579</v>
      </c>
      <c r="C3117" t="inlineStr">
        <is>
          <t>VTA</t>
        </is>
      </c>
      <c r="D3117" t="n">
        <v>39</v>
      </c>
      <c r="E3117">
        <f>IF(D1121&gt;0,VLOOKUP(OPERAC[[#This Row],[COD CART]],[1]!MatrizCortoLargoCyl[#All],3,0),"")</f>
        <v/>
      </c>
      <c r="F3117" t="inlineStr">
        <is>
          <t>YPF/V/5,00/15-07-22</t>
        </is>
      </c>
      <c r="G3117" t="n">
        <v>-20</v>
      </c>
      <c r="H3117" t="n">
        <v>21.698</v>
      </c>
      <c r="I3117">
        <f>-H1121/G1121</f>
        <v/>
      </c>
    </row>
    <row r="3118">
      <c r="A3118" t="n">
        <v>13185</v>
      </c>
      <c r="B3118" s="16" t="n">
        <v>44581</v>
      </c>
      <c r="C3118" t="inlineStr">
        <is>
          <t>VTA</t>
        </is>
      </c>
      <c r="D3118" t="n">
        <v>39</v>
      </c>
      <c r="E3118">
        <f>IF(D345&gt;0,VLOOKUP(OPERAC[[#This Row],[COD CART]],[1]!MatrizCortoLargoCyl[#All],3,0),"")</f>
        <v/>
      </c>
      <c r="F3118" t="inlineStr">
        <is>
          <t>ACB/V/5,50/25-02-22</t>
        </is>
      </c>
      <c r="G3118" t="n">
        <v>-1600</v>
      </c>
      <c r="H3118" t="n">
        <v>1312.9928</v>
      </c>
      <c r="I3118">
        <f>-H345/G345</f>
        <v/>
      </c>
      <c r="J3118" s="16" t="n">
        <v>44614</v>
      </c>
      <c r="K3118" t="n">
        <v>-1600</v>
      </c>
      <c r="L3118" t="n">
        <v>-1313</v>
      </c>
    </row>
    <row r="3119">
      <c r="A3119" t="n">
        <v>13185</v>
      </c>
      <c r="B3119" s="16" t="n">
        <v>44582</v>
      </c>
      <c r="C3119" t="inlineStr">
        <is>
          <t>CPR</t>
        </is>
      </c>
      <c r="D3119" t="n">
        <v>40</v>
      </c>
      <c r="E3119">
        <f>IF(D6214&gt;0,VLOOKUP(OPERAC[[#This Row],[COD CART]],[1]!MatrizCortoLargoCyl[#All],3,0),"")</f>
        <v/>
      </c>
      <c r="F3119" t="inlineStr">
        <is>
          <t>NFLX</t>
        </is>
      </c>
      <c r="G3119" t="n">
        <v>15</v>
      </c>
      <c r="H3119" t="n">
        <v>-5859.5565</v>
      </c>
      <c r="I3119">
        <f>-H6214/G6214</f>
        <v/>
      </c>
      <c r="J3119" s="16" t="n">
        <v>44593</v>
      </c>
      <c r="K3119">
        <f>+OPERAC[[#This Row],[cantidad]]</f>
        <v/>
      </c>
      <c r="L3119">
        <f>+OPERAC[[#This Row],[cantidad venta]]*448.602</f>
        <v/>
      </c>
    </row>
    <row r="3120">
      <c r="A3120" t="n">
        <v>13185</v>
      </c>
      <c r="B3120" s="16" t="n">
        <v>44586</v>
      </c>
      <c r="C3120" t="inlineStr">
        <is>
          <t>CPR</t>
        </is>
      </c>
      <c r="D3120" t="n">
        <v>43</v>
      </c>
      <c r="E3120">
        <f>IF(D4254&gt;0,VLOOKUP(OPERAC[[#This Row],[COD CART]],[1]!MatrizCortoLargoCyl[#All],3,0),"")</f>
        <v/>
      </c>
      <c r="F3120" t="inlineStr">
        <is>
          <t>GMBL/CYL-PUT/2,50/20-01-23</t>
        </is>
      </c>
      <c r="G3120" t="n">
        <v>1000</v>
      </c>
      <c r="H3120" t="n">
        <v>-1016.0423</v>
      </c>
      <c r="I3120">
        <f>-H4254/G4254</f>
        <v/>
      </c>
      <c r="J3120" s="16" t="n">
        <v>44636</v>
      </c>
      <c r="K3120" t="n">
        <v>1000</v>
      </c>
      <c r="L3120">
        <f>-1.36*OPERAC[[#This Row],[cantidad venta]]</f>
        <v/>
      </c>
    </row>
    <row r="3121">
      <c r="A3121" t="n">
        <v>13185</v>
      </c>
      <c r="B3121" s="16" t="n">
        <v>44587</v>
      </c>
      <c r="C3121" t="inlineStr">
        <is>
          <t>CPR</t>
        </is>
      </c>
      <c r="D3121" t="n">
        <v>40</v>
      </c>
      <c r="E3121">
        <f>IF(D5677&gt;0,VLOOKUP(OPERAC[[#This Row],[COD CART]],[1]!MatrizCortoLargoCyl[#All],3,0),"")</f>
        <v/>
      </c>
      <c r="F3121" t="inlineStr">
        <is>
          <t>AAPL</t>
        </is>
      </c>
      <c r="G3121" t="n">
        <v>15</v>
      </c>
      <c r="H3121" t="n">
        <v>-2460.8163</v>
      </c>
      <c r="I3121">
        <f>-H5677/G5677</f>
        <v/>
      </c>
      <c r="J3121" s="16" t="n">
        <v>44601</v>
      </c>
      <c r="K3121" t="n">
        <v>15</v>
      </c>
      <c r="L3121">
        <f>175.66*OPERAC[[#This Row],[cantidad venta]]</f>
        <v/>
      </c>
    </row>
    <row r="3122">
      <c r="A3122" t="n">
        <v>13185</v>
      </c>
      <c r="B3122" s="16" t="n">
        <v>44587</v>
      </c>
      <c r="C3122" t="inlineStr">
        <is>
          <t>CPR</t>
        </is>
      </c>
      <c r="D3122" t="n">
        <v>40</v>
      </c>
      <c r="E3122">
        <f>IF(D5920&gt;0,VLOOKUP(OPERAC[[#This Row],[COD CART]],[1]!MatrizCortoLargoCyl[#All],3,0),"")</f>
        <v/>
      </c>
      <c r="F3122" t="inlineStr">
        <is>
          <t>MSFT</t>
        </is>
      </c>
      <c r="G3122" t="n">
        <v>10</v>
      </c>
      <c r="H3122" t="n">
        <v>-3034.1126</v>
      </c>
      <c r="I3122">
        <f>-H5920/G5920</f>
        <v/>
      </c>
      <c r="J3122" s="16" t="n">
        <v>44606</v>
      </c>
      <c r="K3122">
        <f>+OPERAC[[#This Row],[cantidad]]</f>
        <v/>
      </c>
      <c r="L3122">
        <f>+OPERAC[[#This Row],[cantidad venta]]*290.091</f>
        <v/>
      </c>
    </row>
    <row r="3123">
      <c r="A3123" t="n">
        <v>13185</v>
      </c>
      <c r="B3123" s="16" t="n">
        <v>44599</v>
      </c>
      <c r="C3123" t="inlineStr">
        <is>
          <t>CPR</t>
        </is>
      </c>
      <c r="D3123" t="n">
        <v>40</v>
      </c>
      <c r="E3123">
        <f>IF(D4509&gt;0,VLOOKUP(OPERAC[[#This Row],[COD CART]],[1]!MatrizCortoLargoCyl[#All],3,0),"")</f>
        <v/>
      </c>
      <c r="F3123" t="inlineStr">
        <is>
          <t>FB</t>
        </is>
      </c>
      <c r="G3123" t="n">
        <v>5</v>
      </c>
      <c r="H3123" t="n">
        <v>-1192.3</v>
      </c>
      <c r="I3123">
        <f>-H4509/G4509</f>
        <v/>
      </c>
      <c r="J3123" s="16" t="n">
        <v>44616</v>
      </c>
      <c r="K3123">
        <f>+OPERAC[[#This Row],[cantidad]]</f>
        <v/>
      </c>
      <c r="L3123">
        <f>200.299*OPERAC[[#This Row],[cantidad venta]]</f>
        <v/>
      </c>
    </row>
    <row r="3124">
      <c r="A3124" t="n">
        <v>13185</v>
      </c>
      <c r="B3124" s="16" t="n">
        <v>44599</v>
      </c>
      <c r="C3124" t="inlineStr">
        <is>
          <t>CPR</t>
        </is>
      </c>
      <c r="D3124" t="n">
        <v>32</v>
      </c>
      <c r="E3124">
        <f>IF(D6265&gt;0,VLOOKUP(OPERAC[[#This Row],[COD CART]],[1]!MatrizCortoLargoCyl[#All],3,0),"")</f>
        <v/>
      </c>
      <c r="F3124" t="inlineStr">
        <is>
          <t>UPST/CYL/80,00/18-03-22</t>
        </is>
      </c>
      <c r="G3124" t="n">
        <v>100</v>
      </c>
      <c r="H3124" t="n">
        <v>-7492</v>
      </c>
      <c r="I3124">
        <f>-H6265/G6265</f>
        <v/>
      </c>
      <c r="J3124" s="16" t="n">
        <v>44608</v>
      </c>
      <c r="K3124" t="n">
        <v>100</v>
      </c>
      <c r="L3124" t="n">
        <v>7956.448</v>
      </c>
    </row>
    <row r="3125">
      <c r="A3125" t="n">
        <v>13185</v>
      </c>
      <c r="B3125" s="16" t="n">
        <v>44602</v>
      </c>
      <c r="C3125" t="inlineStr">
        <is>
          <t>CPR</t>
        </is>
      </c>
      <c r="D3125" t="n">
        <v>32</v>
      </c>
      <c r="E3125">
        <f>IF(D5776&gt;0,VLOOKUP(OPERAC[[#This Row],[COD CART]],[1]!MatrizCortoLargoCyl[#All],3,0),"")</f>
        <v/>
      </c>
      <c r="F3125" t="inlineStr">
        <is>
          <t>BIOX</t>
        </is>
      </c>
      <c r="G3125" t="n">
        <v>200</v>
      </c>
      <c r="H3125">
        <f>-2672+29.76</f>
        <v/>
      </c>
      <c r="I3125">
        <f>-H5776/G5776</f>
        <v/>
      </c>
      <c r="J3125" s="16" t="n">
        <v>44680</v>
      </c>
      <c r="K3125">
        <f>+OPERAC[[#This Row],[cantidad]]</f>
        <v/>
      </c>
      <c r="L3125">
        <f>13.688*OPERAC[[#This Row],[cantidad venta]]</f>
        <v/>
      </c>
    </row>
    <row r="3126">
      <c r="A3126" t="n">
        <v>13185</v>
      </c>
      <c r="B3126" s="16" t="n">
        <v>44606</v>
      </c>
      <c r="C3126" t="inlineStr">
        <is>
          <t>VTA</t>
        </is>
      </c>
      <c r="D3126" t="n">
        <v>39</v>
      </c>
      <c r="E3126">
        <f>IF(D296&gt;0,VLOOKUP(OPERAC[[#This Row],[COD CART]],[1]!MatrizCortoLargoCyl[#All],3,0),"")</f>
        <v/>
      </c>
      <c r="F3126" t="inlineStr">
        <is>
          <t>TSLA/V/805/18-02-22</t>
        </is>
      </c>
      <c r="G3126" t="n">
        <v>-400</v>
      </c>
      <c r="H3126" t="n">
        <v>1581.186</v>
      </c>
      <c r="I3126">
        <f>-H296/G296</f>
        <v/>
      </c>
      <c r="J3126" s="16" t="n">
        <v>44607</v>
      </c>
      <c r="K3126" t="n">
        <v>-400</v>
      </c>
      <c r="L3126" t="n">
        <v>-425.997</v>
      </c>
    </row>
    <row r="3127">
      <c r="A3127" t="n">
        <v>13185</v>
      </c>
      <c r="B3127" s="16" t="n">
        <v>44607</v>
      </c>
      <c r="C3127" t="inlineStr">
        <is>
          <t>VTA</t>
        </is>
      </c>
      <c r="D3127" t="n">
        <v>39</v>
      </c>
      <c r="E3127">
        <f>IF(D734&gt;0,VLOOKUP(OPERAC[[#This Row],[COD CART]],[1]!MatrizCortoLargoCyl[#All],3,0),"")</f>
        <v/>
      </c>
      <c r="F3127" t="inlineStr">
        <is>
          <t>TSLA/V/830,00/18-02-22</t>
        </is>
      </c>
      <c r="G3127" t="n">
        <v>-200</v>
      </c>
      <c r="H3127" t="n">
        <v>385.4955</v>
      </c>
      <c r="I3127">
        <f>-H734/G734</f>
        <v/>
      </c>
      <c r="J3127" s="16" t="n">
        <v>44609</v>
      </c>
      <c r="K3127" t="n">
        <v>-200</v>
      </c>
      <c r="L3127" t="n">
        <v>-384.418</v>
      </c>
    </row>
    <row r="3128">
      <c r="A3128" t="n">
        <v>13185</v>
      </c>
      <c r="B3128" s="16" t="n">
        <v>44607</v>
      </c>
      <c r="C3128" t="inlineStr">
        <is>
          <t>VTA</t>
        </is>
      </c>
      <c r="D3128" t="n">
        <v>32</v>
      </c>
      <c r="E3128">
        <f>IF(D5030&gt;0,VLOOKUP(OPERAC[[#This Row],[COD CART]],[1]!MatrizCortoLargoCyl[#All],3,0),"")</f>
        <v/>
      </c>
      <c r="F3128" t="inlineStr">
        <is>
          <t>DDD/CYL/16,00/18-03-22</t>
        </is>
      </c>
      <c r="G3128" t="n">
        <v>100</v>
      </c>
      <c r="H3128" t="n">
        <v>-1552.775</v>
      </c>
      <c r="I3128">
        <f>-H5030/G5030</f>
        <v/>
      </c>
      <c r="J3128" s="16" t="n">
        <v>44638</v>
      </c>
      <c r="K3128" t="n">
        <v>100</v>
      </c>
      <c r="L3128">
        <f>15.866*OPERAC[[#This Row],[cantidad venta]]</f>
        <v/>
      </c>
    </row>
    <row r="3129">
      <c r="A3129" t="n">
        <v>13185</v>
      </c>
      <c r="B3129" s="16" t="n">
        <v>44607</v>
      </c>
      <c r="C3129" t="inlineStr">
        <is>
          <t>VTA</t>
        </is>
      </c>
      <c r="D3129" t="n">
        <v>32</v>
      </c>
      <c r="E3129">
        <f>IF(D5085&gt;0,VLOOKUP(OPERAC[[#This Row],[COD CART]],[1]!MatrizCortoLargoCyl[#All],3,0),"")</f>
        <v/>
      </c>
      <c r="F3129" t="inlineStr">
        <is>
          <t>DDD/CYL/17,00/01-04-22</t>
        </is>
      </c>
      <c r="G3129" t="n">
        <v>100</v>
      </c>
      <c r="H3129">
        <f>-1620.23+19.7+16.45</f>
        <v/>
      </c>
      <c r="I3129">
        <f>-H5085/G5085</f>
        <v/>
      </c>
      <c r="J3129" s="16" t="n">
        <v>44649</v>
      </c>
      <c r="K3129" t="n">
        <v>100</v>
      </c>
      <c r="L3129" t="n">
        <v>1661.98</v>
      </c>
    </row>
    <row r="3130">
      <c r="A3130" t="n">
        <v>13185</v>
      </c>
      <c r="B3130" s="16" t="n">
        <v>44607</v>
      </c>
      <c r="C3130" t="inlineStr">
        <is>
          <t>VTA</t>
        </is>
      </c>
      <c r="D3130" t="n">
        <v>32</v>
      </c>
      <c r="E3130">
        <f>IF(D5309&gt;0,VLOOKUP(OPERAC[[#This Row],[COD CART]],[1]!MatrizCortoLargoCyl[#All],3,0),"")</f>
        <v/>
      </c>
      <c r="F3130" t="inlineStr">
        <is>
          <t>F</t>
        </is>
      </c>
      <c r="G3130" t="n">
        <v>100</v>
      </c>
      <c r="H3130" t="n">
        <v>-1719.296</v>
      </c>
      <c r="I3130">
        <f>-H5309/G5309</f>
        <v/>
      </c>
      <c r="J3130" s="16" t="n">
        <v>44649</v>
      </c>
      <c r="K3130" t="n">
        <v>100</v>
      </c>
      <c r="L3130">
        <f>17.636*OPERAC[[#This Row],[cantidad venta]]</f>
        <v/>
      </c>
    </row>
    <row r="3131">
      <c r="A3131" t="n">
        <v>13185</v>
      </c>
      <c r="B3131" s="16" t="n">
        <v>44608</v>
      </c>
      <c r="C3131" t="inlineStr">
        <is>
          <t>CPR</t>
        </is>
      </c>
      <c r="D3131" t="n">
        <v>40</v>
      </c>
      <c r="E3131">
        <f>IF(D4697&gt;0,VLOOKUP(OPERAC[[#This Row],[COD CART]],[1]!MatrizCortoLargoCyl[#All],3,0),"")</f>
        <v/>
      </c>
      <c r="F3131" t="inlineStr">
        <is>
          <t>NVDA</t>
        </is>
      </c>
      <c r="G3131" t="n">
        <v>5</v>
      </c>
      <c r="H3131" t="n">
        <v>-1317.57</v>
      </c>
      <c r="I3131">
        <f>-H4697/G4697</f>
        <v/>
      </c>
      <c r="J3131" s="16" t="n">
        <v>44616</v>
      </c>
      <c r="K3131">
        <f>+OPERAC[[#This Row],[cantidad]]</f>
        <v/>
      </c>
      <c r="L3131">
        <f>+OPERAC[[#This Row],[cantidad venta]]*224.117</f>
        <v/>
      </c>
    </row>
    <row r="3132">
      <c r="A3132" t="n">
        <v>13185</v>
      </c>
      <c r="B3132" s="16" t="n">
        <v>44608</v>
      </c>
      <c r="C3132" t="inlineStr">
        <is>
          <t>CPR</t>
        </is>
      </c>
      <c r="D3132" t="n">
        <v>32</v>
      </c>
      <c r="E3132">
        <f>IF(D5848&gt;0,VLOOKUP(OPERAC[[#This Row],[COD CART]],[1]!MatrizCortoLargoCyl[#All],3,0),"")</f>
        <v/>
      </c>
      <c r="F3132" t="inlineStr">
        <is>
          <t>SPWR/CYL/15,00/18-03-22</t>
        </is>
      </c>
      <c r="G3132" t="n">
        <v>200</v>
      </c>
      <c r="H3132" t="n">
        <v>-2883.624</v>
      </c>
      <c r="I3132">
        <f>-H5848/G5848</f>
        <v/>
      </c>
      <c r="J3132" s="16" t="n">
        <v>44628</v>
      </c>
      <c r="K3132" t="n">
        <v>200</v>
      </c>
      <c r="L3132" t="n">
        <v>3008.55</v>
      </c>
    </row>
    <row r="3133">
      <c r="A3133" t="n">
        <v>13185</v>
      </c>
      <c r="B3133" s="16" t="n">
        <v>44608</v>
      </c>
      <c r="C3133" t="inlineStr">
        <is>
          <t>VTA</t>
        </is>
      </c>
      <c r="D3133" t="n">
        <v>32</v>
      </c>
      <c r="E3133">
        <f>IF(D5107&gt;0,VLOOKUP(OPERAC[[#This Row],[COD CART]],[1]!MatrizCortoLargoCyl[#All],3,0),"")</f>
        <v/>
      </c>
      <c r="F3133" t="inlineStr">
        <is>
          <t>DDD/CYL/17,00/01-04-22</t>
        </is>
      </c>
      <c r="G3133" t="n">
        <v>100</v>
      </c>
      <c r="H3133">
        <f>-1629.4234+19.7+16.45</f>
        <v/>
      </c>
      <c r="I3133">
        <f>-H5107/G5107</f>
        <v/>
      </c>
      <c r="J3133" s="16" t="n">
        <v>44649</v>
      </c>
      <c r="K3133" t="n">
        <v>100</v>
      </c>
      <c r="L3133" t="n">
        <v>1661.98</v>
      </c>
    </row>
    <row r="3134">
      <c r="A3134" t="n">
        <v>13185</v>
      </c>
      <c r="B3134" s="16" t="n">
        <v>44609</v>
      </c>
      <c r="C3134" t="inlineStr">
        <is>
          <t>VTA</t>
        </is>
      </c>
      <c r="D3134" t="n">
        <v>32</v>
      </c>
      <c r="E3134">
        <f>IF(D5279&gt;0,VLOOKUP(OPERAC[[#This Row],[COD CART]],[1]!MatrizCortoLargoCyl[#All],3,0),"")</f>
        <v/>
      </c>
      <c r="F3134" t="inlineStr">
        <is>
          <t>F</t>
        </is>
      </c>
      <c r="G3134" t="n">
        <v>100</v>
      </c>
      <c r="H3134" t="n">
        <v>-1715.2776</v>
      </c>
      <c r="I3134">
        <f>-H5279/G5279</f>
        <v/>
      </c>
      <c r="J3134" s="16" t="n">
        <v>44649</v>
      </c>
      <c r="K3134" t="n">
        <v>100</v>
      </c>
      <c r="L3134">
        <f>17.636*OPERAC[[#This Row],[cantidad venta]]</f>
        <v/>
      </c>
    </row>
    <row r="3135">
      <c r="A3135" t="n">
        <v>13185</v>
      </c>
      <c r="B3135" s="16" t="n">
        <v>44614</v>
      </c>
      <c r="C3135" t="inlineStr">
        <is>
          <t>VTA</t>
        </is>
      </c>
      <c r="D3135" t="n">
        <v>39</v>
      </c>
      <c r="E3135">
        <f>IF(D1092&gt;0,VLOOKUP(OPERAC[[#This Row],[COD CART]],[1]!MatrizCortoLargoCyl[#All],3,0),"")</f>
        <v/>
      </c>
      <c r="F3135" t="inlineStr">
        <is>
          <t>FB/V/105,00/19-01-24</t>
        </is>
      </c>
      <c r="G3135" t="n">
        <v>-5</v>
      </c>
      <c r="H3135" t="n">
        <v>26.76</v>
      </c>
      <c r="I3135">
        <f>-H1092/G1092</f>
        <v/>
      </c>
    </row>
    <row r="3136">
      <c r="A3136" t="n">
        <v>13185</v>
      </c>
      <c r="B3136" s="16" t="n">
        <v>44616</v>
      </c>
      <c r="C3136" t="inlineStr">
        <is>
          <t>CPR</t>
        </is>
      </c>
      <c r="D3136" t="n">
        <v>32</v>
      </c>
      <c r="E3136">
        <f>IF(D5958&gt;0,VLOOKUP(OPERAC[[#This Row],[COD CART]],[1]!MatrizCortoLargoCyl[#All],3,0),"")</f>
        <v/>
      </c>
      <c r="F3136" t="inlineStr">
        <is>
          <t>PLTR/CYL/12,00/14-04-22</t>
        </is>
      </c>
      <c r="G3136" t="n">
        <v>300</v>
      </c>
      <c r="H3136" t="n">
        <v>-3158.1795</v>
      </c>
      <c r="I3136">
        <f>-H5958/G5958</f>
        <v/>
      </c>
      <c r="J3136" s="16" t="n">
        <v>44643</v>
      </c>
      <c r="K3136" t="n">
        <v>300</v>
      </c>
      <c r="L3136" t="n">
        <v>3440.17</v>
      </c>
    </row>
    <row r="3137">
      <c r="A3137" t="n">
        <v>13185</v>
      </c>
      <c r="B3137" s="16" t="n">
        <v>44622</v>
      </c>
      <c r="C3137" t="inlineStr">
        <is>
          <t>CPR</t>
        </is>
      </c>
      <c r="D3137" t="n">
        <v>32</v>
      </c>
      <c r="E3137">
        <f>IF(D4882&gt;0,VLOOKUP(OPERAC[[#This Row],[COD CART]],[1]!MatrizCortoLargoCyl[#All],3,0),"")</f>
        <v/>
      </c>
      <c r="F3137" t="inlineStr">
        <is>
          <t>AMC/CYL/16,00/14-04-22</t>
        </is>
      </c>
      <c r="G3137" t="n">
        <v>100</v>
      </c>
      <c r="H3137" t="n">
        <v>-1460.8686</v>
      </c>
      <c r="I3137">
        <f>-H4882/G4882</f>
        <v/>
      </c>
      <c r="J3137" s="16" t="n">
        <v>44648</v>
      </c>
      <c r="K3137">
        <f>+OPERAC[[#This Row],[cantidad]]</f>
        <v/>
      </c>
      <c r="L3137" t="n">
        <v>1581.776</v>
      </c>
    </row>
    <row r="3138">
      <c r="A3138" t="n">
        <v>13185</v>
      </c>
      <c r="B3138" s="16" t="n">
        <v>44628</v>
      </c>
      <c r="C3138" t="inlineStr">
        <is>
          <t>CPR</t>
        </is>
      </c>
      <c r="D3138" t="n">
        <v>32</v>
      </c>
      <c r="E3138">
        <f>IF(D4834&gt;0,VLOOKUP(OPERAC[[#This Row],[COD CART]],[1]!MatrizCortoLargoCyl[#All],3,0),"")</f>
        <v/>
      </c>
      <c r="F3138" t="inlineStr">
        <is>
          <t>COTY/CYL/8,00/14-04-22</t>
        </is>
      </c>
      <c r="G3138" t="n">
        <v>200</v>
      </c>
      <c r="H3138" t="n">
        <v>-1436.1102</v>
      </c>
      <c r="I3138">
        <f>-H4834/G4834</f>
        <v/>
      </c>
      <c r="J3138" s="16" t="n">
        <v>44643</v>
      </c>
      <c r="K3138" t="n">
        <v>200</v>
      </c>
      <c r="L3138" t="n">
        <v>1558.647</v>
      </c>
    </row>
    <row r="3139">
      <c r="A3139" t="n">
        <v>13185</v>
      </c>
      <c r="B3139" s="16" t="n">
        <v>44641</v>
      </c>
      <c r="C3139" t="inlineStr">
        <is>
          <t>VTA</t>
        </is>
      </c>
      <c r="D3139" t="n">
        <v>42</v>
      </c>
      <c r="E3139">
        <f>IF(D2420&gt;0,VLOOKUP(OPERAC[[#This Row],[COD CART]],[1]!MatrizCortoLargoCyl[#All],3,0),"")</f>
        <v/>
      </c>
      <c r="F3139" t="inlineStr">
        <is>
          <t>FB</t>
        </is>
      </c>
      <c r="G3139" t="n">
        <v>2</v>
      </c>
      <c r="H3139" t="n">
        <v>-424.31276</v>
      </c>
      <c r="I3139">
        <f>-H2420/G2420</f>
        <v/>
      </c>
      <c r="J3139" s="16" t="n">
        <v>44671</v>
      </c>
      <c r="K3139">
        <f>+OPERAC[[#This Row],[cantidad]]</f>
        <v/>
      </c>
      <c r="L3139">
        <f>+OPERAC[[#This Row],[cantidad venta]]*213.173</f>
        <v/>
      </c>
    </row>
    <row r="3140">
      <c r="A3140" t="n">
        <v>13185</v>
      </c>
      <c r="B3140" s="16" t="n">
        <v>44643</v>
      </c>
      <c r="C3140" t="inlineStr">
        <is>
          <t>CPR</t>
        </is>
      </c>
      <c r="D3140" t="n">
        <v>42</v>
      </c>
      <c r="E3140">
        <f>IF(D4371&gt;0,VLOOKUP(OPERAC[[#This Row],[COD CART]],[1]!MatrizCortoLargoCyl[#All],3,0),"")</f>
        <v/>
      </c>
      <c r="F3140" t="inlineStr">
        <is>
          <t>FB</t>
        </is>
      </c>
      <c r="G3140" t="n">
        <v>5</v>
      </c>
      <c r="H3140" t="n">
        <v>-1080.6163</v>
      </c>
      <c r="I3140">
        <f>-H4371/G4371</f>
        <v/>
      </c>
      <c r="J3140" s="16" t="n">
        <v>44671</v>
      </c>
      <c r="K3140">
        <f>+OPERAC[[#This Row],[cantidad]]</f>
        <v/>
      </c>
      <c r="L3140">
        <f>+OPERAC[[#This Row],[cantidad venta]]*213.173</f>
        <v/>
      </c>
    </row>
    <row r="3141">
      <c r="A3141" t="n">
        <v>13185</v>
      </c>
      <c r="B3141" s="16" t="n">
        <v>44643</v>
      </c>
      <c r="C3141" t="inlineStr">
        <is>
          <t>CPR</t>
        </is>
      </c>
      <c r="D3141" t="n">
        <v>31</v>
      </c>
      <c r="E3141">
        <f>IF(D4426&gt;0,VLOOKUP(OPERAC[[#This Row],[COD CART]],[1]!MatrizCortoLargoCyl[#All],3,0),"")</f>
        <v/>
      </c>
      <c r="F3141" t="inlineStr">
        <is>
          <t>COST</t>
        </is>
      </c>
      <c r="G3141" t="n">
        <v>2</v>
      </c>
      <c r="H3141" t="n">
        <v>-1116.5096</v>
      </c>
      <c r="I3141">
        <f>-H4426/G4426</f>
        <v/>
      </c>
      <c r="J3141" s="16" t="n">
        <v>44677</v>
      </c>
      <c r="K3141">
        <f>1+1</f>
        <v/>
      </c>
      <c r="L3141">
        <f>559.632+484.555</f>
        <v/>
      </c>
    </row>
    <row r="3142">
      <c r="A3142" t="n">
        <v>13185</v>
      </c>
      <c r="B3142" s="16" t="n">
        <v>44643</v>
      </c>
      <c r="C3142" t="inlineStr">
        <is>
          <t>CPR</t>
        </is>
      </c>
      <c r="D3142" t="n">
        <v>42</v>
      </c>
      <c r="E3142">
        <f>IF(D4437&gt;0,VLOOKUP(OPERAC[[#This Row],[COD CART]],[1]!MatrizCortoLargoCyl[#All],3,0),"")</f>
        <v/>
      </c>
      <c r="F3142" t="inlineStr">
        <is>
          <t>JPM</t>
        </is>
      </c>
      <c r="G3142" t="n">
        <v>8</v>
      </c>
      <c r="H3142" t="n">
        <v>-1129.97312</v>
      </c>
      <c r="I3142">
        <f>-H4437/G4437</f>
        <v/>
      </c>
      <c r="J3142" s="16" t="n">
        <v>44664</v>
      </c>
      <c r="K3142">
        <f>+OPERAC[[#This Row],[cantidad]]</f>
        <v/>
      </c>
      <c r="L3142">
        <f>+OPERAC[[#This Row],[cantidad venta]]*125.943</f>
        <v/>
      </c>
    </row>
    <row r="3143">
      <c r="A3143" t="n">
        <v>13185</v>
      </c>
      <c r="B3143" s="16" t="n">
        <v>44643</v>
      </c>
      <c r="C3143" t="inlineStr">
        <is>
          <t>CPR</t>
        </is>
      </c>
      <c r="D3143" t="n">
        <v>42</v>
      </c>
      <c r="E3143">
        <f>IF(D4719&gt;0,VLOOKUP(OPERAC[[#This Row],[COD CART]],[1]!MatrizCortoLargoCyl[#All],3,0),"")</f>
        <v/>
      </c>
      <c r="F3143" t="inlineStr">
        <is>
          <t>SMH</t>
        </is>
      </c>
      <c r="G3143" t="n">
        <v>5</v>
      </c>
      <c r="H3143" t="n">
        <v>-1335.81449</v>
      </c>
      <c r="I3143">
        <f>-H4719/G4719</f>
        <v/>
      </c>
      <c r="J3143" s="16" t="n">
        <v>44663</v>
      </c>
      <c r="K3143">
        <f>+OPERAC[[#This Row],[cantidad]]</f>
        <v/>
      </c>
      <c r="L3143">
        <f>+OPERAC[[#This Row],[cantidad venta]]*238.066</f>
        <v/>
      </c>
    </row>
    <row r="3144">
      <c r="A3144" t="n">
        <v>13185</v>
      </c>
      <c r="B3144" s="16" t="n">
        <v>44643</v>
      </c>
      <c r="C3144" t="inlineStr">
        <is>
          <t>VTA</t>
        </is>
      </c>
      <c r="D3144" t="n">
        <v>39</v>
      </c>
      <c r="E3144">
        <f>IF(D163&gt;0,VLOOKUP(OPERAC[[#This Row],[COD CART]],[1]!MatrizCortoLargoCyl[#All],3,0),"")</f>
        <v/>
      </c>
      <c r="F3144" t="inlineStr">
        <is>
          <t>TSLA/C/1150,00/25-03-22</t>
        </is>
      </c>
      <c r="G3144" t="n">
        <v>-2000</v>
      </c>
      <c r="H3144" t="n">
        <v>2474.56</v>
      </c>
      <c r="I3144">
        <f>-H163/G163</f>
        <v/>
      </c>
      <c r="J3144" s="16" t="n">
        <v>44645</v>
      </c>
      <c r="K3144" t="n">
        <v>-2000</v>
      </c>
      <c r="L3144" t="n">
        <v>0</v>
      </c>
    </row>
    <row r="3145">
      <c r="A3145" t="n">
        <v>13185</v>
      </c>
      <c r="B3145" s="16" t="n">
        <v>44643</v>
      </c>
      <c r="C3145" t="inlineStr">
        <is>
          <t>VTA</t>
        </is>
      </c>
      <c r="D3145" t="n">
        <v>39</v>
      </c>
      <c r="E3145">
        <f>IF(D634&gt;0,VLOOKUP(OPERAC[[#This Row],[COD CART]],[1]!MatrizCortoLargoCyl[#All],3,0),"")</f>
        <v/>
      </c>
      <c r="F3145" t="inlineStr">
        <is>
          <t>TSLA/C/1290,00/25-03-22</t>
        </is>
      </c>
      <c r="G3145" t="n">
        <v>-2000</v>
      </c>
      <c r="H3145" t="n">
        <v>561.53</v>
      </c>
      <c r="I3145">
        <f>-H634/G634</f>
        <v/>
      </c>
      <c r="J3145" s="16" t="n">
        <v>44645</v>
      </c>
      <c r="K3145" t="n">
        <v>-2000</v>
      </c>
      <c r="L3145" t="n">
        <v>0</v>
      </c>
    </row>
    <row r="3146">
      <c r="A3146" t="n">
        <v>13185</v>
      </c>
      <c r="B3146" s="16" t="n">
        <v>44643</v>
      </c>
      <c r="C3146" t="inlineStr">
        <is>
          <t>VTA</t>
        </is>
      </c>
      <c r="D3146" t="n">
        <v>42</v>
      </c>
      <c r="E3146">
        <f>IF(D2943&gt;0,VLOOKUP(OPERAC[[#This Row],[COD CART]],[1]!MatrizCortoLargoCyl[#All],3,0),"")</f>
        <v/>
      </c>
      <c r="F3146" t="inlineStr">
        <is>
          <t>DIS</t>
        </is>
      </c>
      <c r="G3146" t="n">
        <v>4</v>
      </c>
      <c r="H3146" t="n">
        <v>-558.8086000000001</v>
      </c>
      <c r="I3146">
        <f>-H2943/G2943</f>
        <v/>
      </c>
      <c r="J3146" s="16" t="n">
        <v>44671</v>
      </c>
      <c r="K3146">
        <f>+OPERAC[[#This Row],[cantidad]]</f>
        <v/>
      </c>
      <c r="L3146">
        <f>+OPERAC[[#This Row],[cantidad venta]]*123.621</f>
        <v/>
      </c>
    </row>
    <row r="3147">
      <c r="A3147" t="n">
        <v>13185</v>
      </c>
      <c r="B3147" s="16" t="n">
        <v>44643</v>
      </c>
      <c r="C3147" t="inlineStr">
        <is>
          <t>VTA</t>
        </is>
      </c>
      <c r="D3147" t="n">
        <v>42</v>
      </c>
      <c r="E3147">
        <f>IF(D3720&gt;0,VLOOKUP(OPERAC[[#This Row],[COD CART]],[1]!MatrizCortoLargoCyl[#All],3,0),"")</f>
        <v/>
      </c>
      <c r="F3147" t="inlineStr">
        <is>
          <t>ADBE</t>
        </is>
      </c>
      <c r="G3147" t="n">
        <v>2</v>
      </c>
      <c r="H3147" t="n">
        <v>-842.10955</v>
      </c>
      <c r="I3147">
        <f>-H3720/G3720</f>
        <v/>
      </c>
      <c r="J3147" s="16" t="n">
        <v>44687</v>
      </c>
      <c r="K3147">
        <f>+OPERAC[[#This Row],[cantidad]]</f>
        <v/>
      </c>
      <c r="L3147" t="n">
        <v>772.84</v>
      </c>
    </row>
    <row r="3148">
      <c r="A3148" t="n">
        <v>13185</v>
      </c>
      <c r="B3148" s="16" t="n">
        <v>44645</v>
      </c>
      <c r="C3148" t="inlineStr">
        <is>
          <t>CPR</t>
        </is>
      </c>
      <c r="D3148" t="n">
        <v>42</v>
      </c>
      <c r="E3148">
        <f>IF(D4797&gt;0,VLOOKUP(OPERAC[[#This Row],[COD CART]],[1]!MatrizCortoLargoCyl[#All],3,0),"")</f>
        <v/>
      </c>
      <c r="F3148" t="inlineStr">
        <is>
          <t>PLUG</t>
        </is>
      </c>
      <c r="G3148" t="n">
        <v>50</v>
      </c>
      <c r="H3148" t="n">
        <v>-1396.582</v>
      </c>
      <c r="I3148">
        <f>-H4797/G4797</f>
        <v/>
      </c>
      <c r="J3148" s="16" t="n">
        <v>44652</v>
      </c>
      <c r="K3148">
        <f>+OPERAC[[#This Row],[cantidad]]</f>
        <v/>
      </c>
      <c r="L3148">
        <f>+OPERAC[[#This Row],[cantidad venta]]*27.754</f>
        <v/>
      </c>
    </row>
    <row r="3149">
      <c r="A3149" t="n">
        <v>13185</v>
      </c>
      <c r="B3149" s="16" t="n">
        <v>44648</v>
      </c>
      <c r="C3149" t="inlineStr">
        <is>
          <t>VTA</t>
        </is>
      </c>
      <c r="D3149" t="n">
        <v>42</v>
      </c>
      <c r="E3149">
        <f>IF(D1397&gt;0,VLOOKUP(OPERAC[[#This Row],[COD CART]],[1]!MatrizCortoLargoCyl[#All],3,0),"")</f>
        <v/>
      </c>
      <c r="F3149" t="inlineStr">
        <is>
          <t>JPM</t>
        </is>
      </c>
      <c r="G3149" t="n">
        <v>1</v>
      </c>
      <c r="H3149" t="n">
        <v>-140.13048</v>
      </c>
      <c r="I3149">
        <f>-H1397/G1397</f>
        <v/>
      </c>
      <c r="J3149" s="16" t="n">
        <v>44664</v>
      </c>
      <c r="K3149">
        <f>+OPERAC[[#This Row],[cantidad]]</f>
        <v/>
      </c>
      <c r="L3149">
        <f>+OPERAC[[#This Row],[cantidad venta]]*125.943</f>
        <v/>
      </c>
    </row>
    <row r="3150">
      <c r="A3150" t="n">
        <v>13185</v>
      </c>
      <c r="B3150" s="16" t="n">
        <v>44648</v>
      </c>
      <c r="C3150" t="inlineStr">
        <is>
          <t>VTA</t>
        </is>
      </c>
      <c r="D3150" t="n">
        <v>42</v>
      </c>
      <c r="E3150">
        <f>IF(D1643&gt;0,VLOOKUP(OPERAC[[#This Row],[COD CART]],[1]!MatrizCortoLargoCyl[#All],3,0),"")</f>
        <v/>
      </c>
      <c r="F3150" t="inlineStr">
        <is>
          <t>FB</t>
        </is>
      </c>
      <c r="G3150" t="n">
        <v>1</v>
      </c>
      <c r="H3150" t="n">
        <v>-222.16543</v>
      </c>
      <c r="I3150">
        <f>-H1643/G1643</f>
        <v/>
      </c>
      <c r="J3150" s="16" t="n">
        <v>44671</v>
      </c>
      <c r="K3150">
        <f>+OPERAC[[#This Row],[cantidad]]</f>
        <v/>
      </c>
      <c r="L3150">
        <f>+OPERAC[[#This Row],[cantidad venta]]*213.173</f>
        <v/>
      </c>
    </row>
    <row r="3151">
      <c r="A3151" t="n">
        <v>13185</v>
      </c>
      <c r="B3151" s="16" t="n">
        <v>44648</v>
      </c>
      <c r="C3151" t="inlineStr">
        <is>
          <t>VTA</t>
        </is>
      </c>
      <c r="D3151" t="n">
        <v>42</v>
      </c>
      <c r="E3151">
        <f>IF(D1833&gt;0,VLOOKUP(OPERAC[[#This Row],[COD CART]],[1]!MatrizCortoLargoCyl[#All],3,0),"")</f>
        <v/>
      </c>
      <c r="F3151" t="inlineStr">
        <is>
          <t>SMH</t>
        </is>
      </c>
      <c r="G3151" t="n">
        <v>1</v>
      </c>
      <c r="H3151" t="n">
        <v>-273.38696</v>
      </c>
      <c r="I3151">
        <f>-H1833/G1833</f>
        <v/>
      </c>
      <c r="J3151" s="16" t="n">
        <v>44663</v>
      </c>
      <c r="K3151">
        <f>+OPERAC[[#This Row],[cantidad]]</f>
        <v/>
      </c>
      <c r="L3151">
        <f>+OPERAC[[#This Row],[cantidad venta]]*238.066</f>
        <v/>
      </c>
    </row>
    <row r="3152">
      <c r="A3152" t="n">
        <v>13185</v>
      </c>
      <c r="B3152" s="16" t="n">
        <v>44648</v>
      </c>
      <c r="C3152" t="inlineStr">
        <is>
          <t>VTA</t>
        </is>
      </c>
      <c r="D3152" t="n">
        <v>42</v>
      </c>
      <c r="E3152">
        <f>IF(D3950&gt;0,VLOOKUP(OPERAC[[#This Row],[COD CART]],[1]!MatrizCortoLargoCyl[#All],3,0),"")</f>
        <v/>
      </c>
      <c r="F3152" t="inlineStr">
        <is>
          <t>ADBE</t>
        </is>
      </c>
      <c r="G3152" t="n">
        <v>2</v>
      </c>
      <c r="H3152" t="n">
        <v>-882.8249</v>
      </c>
      <c r="I3152">
        <f>-H3950/G3950</f>
        <v/>
      </c>
      <c r="J3152" s="16" t="n">
        <v>44687</v>
      </c>
      <c r="K3152">
        <f>+OPERAC[[#This Row],[cantidad]]</f>
        <v/>
      </c>
      <c r="L3152" t="n">
        <v>772.84</v>
      </c>
    </row>
    <row r="3153">
      <c r="A3153" t="n">
        <v>13185</v>
      </c>
      <c r="B3153" s="16" t="n">
        <v>44649</v>
      </c>
      <c r="C3153" t="inlineStr">
        <is>
          <t>CPR</t>
        </is>
      </c>
      <c r="D3153" t="n">
        <v>32</v>
      </c>
      <c r="E3153">
        <f>IF(D4912&gt;0,VLOOKUP(OPERAC[[#This Row],[COD CART]],[1]!MatrizCortoLargoCyl[#All],3,0),"")</f>
        <v/>
      </c>
      <c r="F3153" t="inlineStr">
        <is>
          <t>DDD/CYL/20,00/19-08-22</t>
        </is>
      </c>
      <c r="G3153" t="n">
        <v>100</v>
      </c>
      <c r="H3153">
        <f>-1498.949+5.949</f>
        <v/>
      </c>
      <c r="I3153">
        <f>-H4912/G4912</f>
        <v/>
      </c>
    </row>
    <row r="3154">
      <c r="A3154" t="n">
        <v>13185</v>
      </c>
      <c r="B3154" s="16" t="n">
        <v>44649</v>
      </c>
      <c r="C3154" t="inlineStr">
        <is>
          <t>VTA</t>
        </is>
      </c>
      <c r="D3154" t="n">
        <v>32</v>
      </c>
      <c r="E3154">
        <f>IF(D5400&gt;0,VLOOKUP(OPERAC[[#This Row],[COD CART]],[1]!MatrizCortoLargoCyl[#All],3,0),"")</f>
        <v/>
      </c>
      <c r="F3154" t="inlineStr">
        <is>
          <t>SPWR/CYL/20,00/24-06-22</t>
        </is>
      </c>
      <c r="G3154" t="n">
        <v>100</v>
      </c>
      <c r="H3154">
        <f>-1865.225+39.66</f>
        <v/>
      </c>
      <c r="I3154">
        <f>-H5400/G5400</f>
        <v/>
      </c>
    </row>
    <row r="3155">
      <c r="A3155" t="n">
        <v>13185</v>
      </c>
      <c r="B3155" s="16" t="n">
        <v>44650</v>
      </c>
      <c r="C3155" t="inlineStr">
        <is>
          <t>CPR</t>
        </is>
      </c>
      <c r="D3155" t="n">
        <v>42</v>
      </c>
      <c r="E3155">
        <f>IF(D3348&gt;0,VLOOKUP(OPERAC[[#This Row],[COD CART]],[1]!MatrizCortoLargoCyl[#All],3,0),"")</f>
        <v/>
      </c>
      <c r="F3155" t="inlineStr">
        <is>
          <t>FB</t>
        </is>
      </c>
      <c r="G3155" t="n">
        <v>3</v>
      </c>
      <c r="H3155" t="n">
        <v>-697.38648</v>
      </c>
      <c r="I3155">
        <f>-H3348/G3348</f>
        <v/>
      </c>
      <c r="J3155" s="16" t="n">
        <v>44671</v>
      </c>
      <c r="K3155">
        <f>+OPERAC[[#This Row],[cantidad]]</f>
        <v/>
      </c>
      <c r="L3155">
        <f>+OPERAC[[#This Row],[cantidad venta]]*213.173</f>
        <v/>
      </c>
    </row>
    <row r="3156">
      <c r="A3156" t="n">
        <v>13185</v>
      </c>
      <c r="B3156" s="16" t="n">
        <v>44650</v>
      </c>
      <c r="C3156" t="inlineStr">
        <is>
          <t>CPR</t>
        </is>
      </c>
      <c r="D3156" t="n">
        <v>42</v>
      </c>
      <c r="E3156">
        <f>IF(D4031&gt;0,VLOOKUP(OPERAC[[#This Row],[COD CART]],[1]!MatrizCortoLargoCyl[#All],3,0),"")</f>
        <v/>
      </c>
      <c r="F3156" t="inlineStr">
        <is>
          <t>SPY</t>
        </is>
      </c>
      <c r="G3156" t="n">
        <v>2</v>
      </c>
      <c r="H3156" t="n">
        <v>-927.12872</v>
      </c>
      <c r="I3156">
        <f>-H4031/G4031</f>
        <v/>
      </c>
      <c r="J3156" s="16" t="n">
        <v>44693</v>
      </c>
      <c r="K3156" t="n">
        <v>2</v>
      </c>
      <c r="L3156" t="n">
        <v>772</v>
      </c>
    </row>
    <row r="3157">
      <c r="A3157" t="n">
        <v>13185</v>
      </c>
      <c r="B3157" s="16" t="n">
        <v>44650</v>
      </c>
      <c r="C3157" t="inlineStr">
        <is>
          <t>CPR</t>
        </is>
      </c>
      <c r="D3157" t="n">
        <v>42</v>
      </c>
      <c r="E3157">
        <f>IF(D4117&gt;0,VLOOKUP(OPERAC[[#This Row],[COD CART]],[1]!MatrizCortoLargoCyl[#All],3,0),"")</f>
        <v/>
      </c>
      <c r="F3157" t="inlineStr">
        <is>
          <t>MSFT</t>
        </is>
      </c>
      <c r="G3157" t="n">
        <v>3</v>
      </c>
      <c r="H3157" t="n">
        <v>-954.2483999999999</v>
      </c>
      <c r="I3157">
        <f>-H4117/G4117</f>
        <v/>
      </c>
      <c r="J3157" s="16" t="n">
        <v>44662</v>
      </c>
      <c r="K3157">
        <f>+OPERAC[[#This Row],[cantidad]]</f>
        <v/>
      </c>
      <c r="L3157">
        <f>287.546*OPERAC[[#This Row],[cantidad venta]]</f>
        <v/>
      </c>
    </row>
    <row r="3158">
      <c r="A3158" t="n">
        <v>13185</v>
      </c>
      <c r="B3158" s="16" t="n">
        <v>44650</v>
      </c>
      <c r="C3158" t="inlineStr">
        <is>
          <t>CPR</t>
        </is>
      </c>
      <c r="D3158" t="n">
        <v>42</v>
      </c>
      <c r="E3158">
        <f>IF(D4375&gt;0,VLOOKUP(OPERAC[[#This Row],[COD CART]],[1]!MatrizCortoLargoCyl[#All],3,0),"")</f>
        <v/>
      </c>
      <c r="F3158" t="inlineStr">
        <is>
          <t>BBAR</t>
        </is>
      </c>
      <c r="G3158" t="n">
        <v>300</v>
      </c>
      <c r="H3158" t="n">
        <v>-1096.188</v>
      </c>
      <c r="I3158">
        <f>-H4375/G4375</f>
        <v/>
      </c>
      <c r="J3158" s="16" t="n">
        <v>44704</v>
      </c>
      <c r="K3158" t="n">
        <v>300</v>
      </c>
      <c r="L3158" t="n">
        <v>925.664</v>
      </c>
    </row>
    <row r="3159">
      <c r="A3159" t="n">
        <v>13185</v>
      </c>
      <c r="B3159" s="16" t="n">
        <v>44650</v>
      </c>
      <c r="C3159" t="inlineStr">
        <is>
          <t>VTA</t>
        </is>
      </c>
      <c r="D3159" t="n">
        <v>42</v>
      </c>
      <c r="E3159">
        <f>IF(D2450&gt;0,VLOOKUP(OPERAC[[#This Row],[COD CART]],[1]!MatrizCortoLargoCyl[#All],3,0),"")</f>
        <v/>
      </c>
      <c r="F3159" t="inlineStr">
        <is>
          <t>DIS</t>
        </is>
      </c>
      <c r="G3159" t="n">
        <v>3</v>
      </c>
      <c r="H3159" t="n">
        <v>-430.6485000000001</v>
      </c>
      <c r="I3159">
        <f>-H2450/G2450</f>
        <v/>
      </c>
      <c r="J3159" s="16" t="n">
        <v>44671</v>
      </c>
      <c r="K3159">
        <f>+OPERAC[[#This Row],[cantidad]]</f>
        <v/>
      </c>
      <c r="L3159">
        <f>+OPERAC[[#This Row],[cantidad venta]]*123.621</f>
        <v/>
      </c>
    </row>
    <row r="3160">
      <c r="A3160" t="n">
        <v>13185</v>
      </c>
      <c r="B3160" s="16" t="n">
        <v>44651</v>
      </c>
      <c r="C3160" t="inlineStr">
        <is>
          <t>CPR</t>
        </is>
      </c>
      <c r="D3160" t="n">
        <v>42</v>
      </c>
      <c r="E3160">
        <f>IF(D5973&gt;0,VLOOKUP(OPERAC[[#This Row],[COD CART]],[1]!MatrizCortoLargoCyl[#All],3,0),"")</f>
        <v/>
      </c>
      <c r="F3160" t="inlineStr">
        <is>
          <t>AMD</t>
        </is>
      </c>
      <c r="G3160" t="n">
        <v>28</v>
      </c>
      <c r="H3160" t="n">
        <v>-3189.16976</v>
      </c>
      <c r="I3160">
        <f>-H5973/G5973</f>
        <v/>
      </c>
      <c r="J3160" s="16" t="n">
        <v>44693</v>
      </c>
      <c r="K3160">
        <f>+OPERAC[[#This Row],[cantidad]]</f>
        <v/>
      </c>
      <c r="L3160">
        <f>+OPERAC[[#This Row],[cantidad venta]]*85.26</f>
        <v/>
      </c>
    </row>
    <row r="3161">
      <c r="A3161" t="n">
        <v>13185</v>
      </c>
      <c r="B3161" s="16" t="n">
        <v>44652</v>
      </c>
      <c r="C3161" t="inlineStr">
        <is>
          <t>VTA</t>
        </is>
      </c>
      <c r="D3161" t="n">
        <v>42</v>
      </c>
      <c r="E3161">
        <f>IF(D5146&gt;0,VLOOKUP(OPERAC[[#This Row],[COD CART]],[1]!MatrizCortoLargoCyl[#All],3,0),"")</f>
        <v/>
      </c>
      <c r="F3161" t="inlineStr">
        <is>
          <t>GBTC</t>
        </is>
      </c>
      <c r="G3161" t="n">
        <v>50</v>
      </c>
      <c r="H3161" t="n">
        <v>-1605.49</v>
      </c>
      <c r="I3161">
        <f>-H5146/G5146</f>
        <v/>
      </c>
      <c r="J3161" s="16" t="n">
        <v>44662</v>
      </c>
      <c r="K3161">
        <f>+OPERAC[[#This Row],[cantidad]]</f>
        <v/>
      </c>
      <c r="L3161">
        <f>27.99*OPERAC[[#This Row],[cantidad venta]]</f>
        <v/>
      </c>
    </row>
    <row r="3162">
      <c r="A3162" t="n">
        <v>13185</v>
      </c>
      <c r="B3162" s="16" t="n">
        <v>44662</v>
      </c>
      <c r="C3162" t="inlineStr">
        <is>
          <t>CPR</t>
        </is>
      </c>
      <c r="D3162" t="n">
        <v>42</v>
      </c>
      <c r="E3162">
        <f>IF(D5704&gt;0,VLOOKUP(OPERAC[[#This Row],[COD CART]],[1]!MatrizCortoLargoCyl[#All],3,0),"")</f>
        <v/>
      </c>
      <c r="F3162" t="inlineStr">
        <is>
          <t>HYDR</t>
        </is>
      </c>
      <c r="G3162" t="n">
        <v>135</v>
      </c>
      <c r="H3162" t="n">
        <v>-2506.99644</v>
      </c>
      <c r="I3162">
        <f>-H5704/G5704</f>
        <v/>
      </c>
      <c r="J3162" s="16" t="n">
        <v>44693</v>
      </c>
      <c r="K3162">
        <f>+OPERAC[[#This Row],[cantidad]]</f>
        <v/>
      </c>
      <c r="L3162">
        <f>+OPERAC[[#This Row],[cantidad venta]]*12.027</f>
        <v/>
      </c>
    </row>
    <row r="3163">
      <c r="A3163" t="n">
        <v>13185</v>
      </c>
      <c r="B3163" s="16" t="n">
        <v>44664</v>
      </c>
      <c r="C3163" t="inlineStr">
        <is>
          <t>CPR</t>
        </is>
      </c>
      <c r="D3163" t="n">
        <v>42</v>
      </c>
      <c r="E3163">
        <f>IF(D5682&gt;0,VLOOKUP(OPERAC[[#This Row],[COD CART]],[1]!MatrizCortoLargoCyl[#All],3,0),"")</f>
        <v/>
      </c>
      <c r="F3163" t="inlineStr">
        <is>
          <t>AMD</t>
        </is>
      </c>
      <c r="G3163" t="n">
        <v>25</v>
      </c>
      <c r="H3163" t="n">
        <v>-2469.26636325</v>
      </c>
      <c r="I3163">
        <f>-H5682/G5682</f>
        <v/>
      </c>
      <c r="J3163" s="16" t="n">
        <v>44693</v>
      </c>
      <c r="K3163">
        <f>+OPERAC[[#This Row],[cantidad]]</f>
        <v/>
      </c>
      <c r="L3163">
        <f>+OPERAC[[#This Row],[cantidad venta]]*85.26</f>
        <v/>
      </c>
    </row>
    <row r="3164">
      <c r="A3164" t="n">
        <v>13185</v>
      </c>
      <c r="B3164" s="16" t="n">
        <v>44664</v>
      </c>
      <c r="C3164" t="inlineStr">
        <is>
          <t>CPR</t>
        </is>
      </c>
      <c r="D3164" t="n">
        <v>42</v>
      </c>
      <c r="E3164">
        <f>IF(D6234&gt;0,VLOOKUP(OPERAC[[#This Row],[COD CART]],[1]!MatrizCortoLargoCyl[#All],3,0),"")</f>
        <v/>
      </c>
      <c r="F3164" t="inlineStr">
        <is>
          <t>PSQ</t>
        </is>
      </c>
      <c r="G3164" t="n">
        <v>500</v>
      </c>
      <c r="H3164" t="n">
        <v>-6216.2860905</v>
      </c>
      <c r="I3164">
        <f>-H6234/G6234</f>
        <v/>
      </c>
      <c r="J3164" s="16" t="n">
        <v>44669</v>
      </c>
      <c r="K3164" t="n">
        <v>500</v>
      </c>
      <c r="L3164" t="n">
        <v>6124.991</v>
      </c>
    </row>
    <row r="3165">
      <c r="A3165" t="n">
        <v>13185</v>
      </c>
      <c r="B3165" s="16" t="n">
        <v>44671</v>
      </c>
      <c r="C3165" t="inlineStr">
        <is>
          <t>CPR</t>
        </is>
      </c>
      <c r="D3165" t="n">
        <v>42</v>
      </c>
      <c r="E3165">
        <f>IF(D2675&gt;0,VLOOKUP(OPERAC[[#This Row],[COD CART]],[1]!MatrizCortoLargoCyl[#All],3,0),"")</f>
        <v/>
      </c>
      <c r="F3165" t="inlineStr">
        <is>
          <t>TLT</t>
        </is>
      </c>
      <c r="G3165" t="n">
        <v>4</v>
      </c>
      <c r="H3165" t="n">
        <v>-490.25202</v>
      </c>
      <c r="I3165">
        <f>-H2675/G2675</f>
        <v/>
      </c>
      <c r="J3165" s="16" t="n">
        <v>44704</v>
      </c>
      <c r="K3165" t="n">
        <v>4</v>
      </c>
      <c r="L3165">
        <f>+OPERAC[[#This Row],[cantidad venta]]*115.779</f>
        <v/>
      </c>
    </row>
    <row r="3166">
      <c r="A3166" t="n">
        <v>13185</v>
      </c>
      <c r="B3166" s="16" t="n">
        <v>44671</v>
      </c>
      <c r="C3166" t="inlineStr">
        <is>
          <t>CPR</t>
        </is>
      </c>
      <c r="D3166" t="n">
        <v>42</v>
      </c>
      <c r="E3166">
        <f>IF(D5713&gt;0,VLOOKUP(OPERAC[[#This Row],[COD CART]],[1]!MatrizCortoLargoCyl[#All],3,0),"")</f>
        <v/>
      </c>
      <c r="F3166" t="inlineStr">
        <is>
          <t>NFLX</t>
        </is>
      </c>
      <c r="G3166" t="n">
        <v>10</v>
      </c>
      <c r="H3166" t="n">
        <v>-2545.0506</v>
      </c>
      <c r="I3166">
        <f>-H5713/G5713</f>
        <v/>
      </c>
      <c r="J3166" s="16" t="n">
        <v>44693</v>
      </c>
      <c r="K3166">
        <f>+OPERAC[[#This Row],[cantidad]]</f>
        <v/>
      </c>
      <c r="L3166">
        <f>+OPERAC[[#This Row],[cantidad venta]]*169.079</f>
        <v/>
      </c>
    </row>
    <row r="3167">
      <c r="A3167" t="n">
        <v>13185</v>
      </c>
      <c r="B3167" s="16" t="n">
        <v>44671</v>
      </c>
      <c r="C3167" t="inlineStr">
        <is>
          <t>VTA</t>
        </is>
      </c>
      <c r="D3167" t="n">
        <v>42</v>
      </c>
      <c r="E3167">
        <f>IF(D2198&gt;0,VLOOKUP(OPERAC[[#This Row],[COD CART]],[1]!MatrizCortoLargoCyl[#All],3,0),"")</f>
        <v/>
      </c>
      <c r="F3167" t="inlineStr">
        <is>
          <t>TLT</t>
        </is>
      </c>
      <c r="G3167" t="n">
        <v>3</v>
      </c>
      <c r="H3167" t="n">
        <v>-367.689015</v>
      </c>
      <c r="I3167">
        <f>-H2198/G2198</f>
        <v/>
      </c>
      <c r="J3167" s="16" t="n">
        <v>44704</v>
      </c>
      <c r="K3167" t="n">
        <v>3</v>
      </c>
      <c r="L3167">
        <f>+OPERAC[[#This Row],[cantidad venta]]*115.779</f>
        <v/>
      </c>
    </row>
    <row r="3168">
      <c r="A3168" t="n">
        <v>13185</v>
      </c>
      <c r="B3168" s="16" t="n">
        <v>44680</v>
      </c>
      <c r="C3168" t="inlineStr">
        <is>
          <t>CPR</t>
        </is>
      </c>
      <c r="D3168" t="n">
        <v>42</v>
      </c>
      <c r="E3168">
        <f>IF(D4089&gt;0,VLOOKUP(OPERAC[[#This Row],[COD CART]],[1]!MatrizCortoLargoCyl[#All],3,0),"")</f>
        <v/>
      </c>
      <c r="F3168" t="inlineStr">
        <is>
          <t>TS</t>
        </is>
      </c>
      <c r="G3168" t="n">
        <v>30</v>
      </c>
      <c r="H3168" t="n">
        <v>-938.9639249999999</v>
      </c>
      <c r="I3168">
        <f>-H4089/G4089</f>
        <v/>
      </c>
      <c r="J3168" s="16" t="n">
        <v>44693</v>
      </c>
      <c r="K3168">
        <f>+OPERAC[[#This Row],[cantidad]]</f>
        <v/>
      </c>
      <c r="L3168">
        <f>+OPERAC[[#This Row],[cantidad venta]]*29.07</f>
        <v/>
      </c>
    </row>
    <row r="3169">
      <c r="A3169" t="n">
        <v>13185</v>
      </c>
      <c r="B3169" s="16" t="n">
        <v>44680</v>
      </c>
      <c r="C3169" t="inlineStr">
        <is>
          <t>CPR</t>
        </is>
      </c>
      <c r="D3169" t="n">
        <v>32</v>
      </c>
      <c r="E3169">
        <f>IF(D4960&gt;0,VLOOKUP(OPERAC[[#This Row],[COD CART]],[1]!MatrizCortoLargoCyl[#All],3,0),"")</f>
        <v/>
      </c>
      <c r="F3169" t="inlineStr">
        <is>
          <t>COTY</t>
        </is>
      </c>
      <c r="G3169" t="n">
        <v>200</v>
      </c>
      <c r="H3169" t="n">
        <v>-1512.41</v>
      </c>
      <c r="I3169">
        <f>-H4960/G4960</f>
        <v/>
      </c>
      <c r="J3169" s="16" t="n">
        <v>44704</v>
      </c>
      <c r="K3169" t="n">
        <v>200</v>
      </c>
      <c r="L3169" t="n">
        <v>1247.561</v>
      </c>
    </row>
    <row r="3170">
      <c r="A3170" t="n">
        <v>13185</v>
      </c>
      <c r="B3170" s="16" t="n">
        <v>44687</v>
      </c>
      <c r="C3170" t="inlineStr">
        <is>
          <t>VTA</t>
        </is>
      </c>
      <c r="D3170" t="n">
        <v>43</v>
      </c>
      <c r="E3170">
        <f>IF(D5153&gt;0,VLOOKUP(OPERAC[[#This Row],[COD CART]],[1]!MatrizCortoLargoCyl[#All],3,0),"")</f>
        <v/>
      </c>
      <c r="F3170" t="inlineStr">
        <is>
          <t>SPWR/CYP/16,50-15,50/20-05-22</t>
        </is>
      </c>
      <c r="G3170" t="n">
        <v>100</v>
      </c>
      <c r="H3170" t="n">
        <v>-1607.83</v>
      </c>
      <c r="I3170">
        <f>-H5153/G5153</f>
        <v/>
      </c>
      <c r="J3170" s="16" t="n">
        <v>44701</v>
      </c>
      <c r="K3170" t="n">
        <v>100</v>
      </c>
      <c r="L3170" t="n">
        <v>1637.55</v>
      </c>
    </row>
    <row r="3171">
      <c r="A3171" t="n">
        <v>13185</v>
      </c>
      <c r="B3171" s="16" t="n">
        <v>44697</v>
      </c>
      <c r="C3171" t="inlineStr">
        <is>
          <t>CPR</t>
        </is>
      </c>
      <c r="D3171" t="n">
        <v>32</v>
      </c>
      <c r="E3171">
        <f>IF(D2615&gt;0,VLOOKUP(OPERAC[[#This Row],[COD CART]],[1]!MatrizCortoLargoCyl[#All],3,0),"")</f>
        <v/>
      </c>
      <c r="F3171" t="inlineStr">
        <is>
          <t>TLRY/CYL/5,50/17-06-22</t>
        </is>
      </c>
      <c r="G3171" t="n">
        <v>100</v>
      </c>
      <c r="H3171">
        <f>-484.256+11.898</f>
        <v/>
      </c>
      <c r="I3171">
        <f>-H2615/G2615</f>
        <v/>
      </c>
    </row>
    <row r="3172">
      <c r="A3172" t="n">
        <v>13185</v>
      </c>
      <c r="B3172" s="16" t="n">
        <v>44698</v>
      </c>
      <c r="C3172" t="inlineStr">
        <is>
          <t>CPR</t>
        </is>
      </c>
      <c r="D3172" t="n">
        <v>39</v>
      </c>
      <c r="E3172">
        <f>IF(D3463&gt;0,VLOOKUP(OPERAC[[#This Row],[COD CART]],[1]!MatrizCortoLargoCyl[#All],3,0),"")</f>
        <v/>
      </c>
      <c r="F3172" t="inlineStr">
        <is>
          <t>NTLA/C/65,00/15-07-22</t>
        </is>
      </c>
      <c r="G3172" t="n">
        <v>300</v>
      </c>
      <c r="H3172" t="n">
        <v>-756.375</v>
      </c>
      <c r="I3172">
        <f>-H3463/G3463</f>
        <v/>
      </c>
    </row>
    <row r="3173">
      <c r="A3173" t="n">
        <v>13185</v>
      </c>
      <c r="B3173" s="16" t="n">
        <v>44704</v>
      </c>
      <c r="C3173" t="inlineStr">
        <is>
          <t>CPR</t>
        </is>
      </c>
      <c r="D3173" t="n">
        <v>32</v>
      </c>
      <c r="E3173">
        <f>IF(D5792&gt;0,VLOOKUP(OPERAC[[#This Row],[COD CART]],[1]!MatrizCortoLargoCyl[#All],3,0),"")</f>
        <v/>
      </c>
      <c r="F3173" t="inlineStr">
        <is>
          <t>KWEB/CYL/35,00/24-06-22</t>
        </is>
      </c>
      <c r="G3173" t="n">
        <v>100</v>
      </c>
      <c r="H3173" t="n">
        <v>-2673.85</v>
      </c>
      <c r="I3173">
        <f>-H5792/G5792</f>
        <v/>
      </c>
    </row>
    <row r="3174">
      <c r="A3174" t="n">
        <v>13185</v>
      </c>
      <c r="B3174" s="16" t="n">
        <v>44704</v>
      </c>
      <c r="C3174" t="inlineStr">
        <is>
          <t>VTA</t>
        </is>
      </c>
      <c r="D3174" t="n">
        <v>32</v>
      </c>
      <c r="E3174">
        <f>IF(D2479&gt;0,VLOOKUP(OPERAC[[#This Row],[COD CART]],[1]!MatrizCortoLargoCyl[#All],3,0),"")</f>
        <v/>
      </c>
      <c r="F3174" t="inlineStr">
        <is>
          <t>TLRY/CYL/6,00/17-06-22</t>
        </is>
      </c>
      <c r="G3174" t="n">
        <v>100</v>
      </c>
      <c r="H3174" t="n">
        <v>-443.389</v>
      </c>
      <c r="I3174">
        <f>-H2479/G2479</f>
        <v/>
      </c>
    </row>
    <row r="3175">
      <c r="A3175" t="n">
        <v>13185</v>
      </c>
      <c r="B3175" s="16" t="n">
        <v>44704</v>
      </c>
      <c r="C3175" t="inlineStr">
        <is>
          <t>VTA</t>
        </is>
      </c>
      <c r="D3175" t="n">
        <v>32</v>
      </c>
      <c r="E3175">
        <f>IF(D3081&gt;0,VLOOKUP(OPERAC[[#This Row],[COD CART]],[1]!MatrizCortoLargoCyl[#All],3,0),"")</f>
        <v/>
      </c>
      <c r="F3175" t="inlineStr">
        <is>
          <t>UUUU/CYL/8,00/17-06-22</t>
        </is>
      </c>
      <c r="G3175" t="n">
        <v>100</v>
      </c>
      <c r="H3175" t="n">
        <v>-620.987</v>
      </c>
      <c r="I3175">
        <f>-H3081/G3081</f>
        <v/>
      </c>
    </row>
    <row r="3176">
      <c r="A3176" t="n">
        <v>13185</v>
      </c>
      <c r="B3176" s="16" t="n">
        <v>44705</v>
      </c>
      <c r="C3176" t="inlineStr">
        <is>
          <t>CPR</t>
        </is>
      </c>
      <c r="D3176" t="n">
        <v>42</v>
      </c>
      <c r="E3176">
        <f>IF(D5816&gt;0,VLOOKUP(OPERAC[[#This Row],[COD CART]],[1]!MatrizCortoLargoCyl[#All],3,0),"")</f>
        <v/>
      </c>
      <c r="F3176" t="inlineStr">
        <is>
          <t>AMD</t>
        </is>
      </c>
      <c r="G3176" t="n">
        <v>30</v>
      </c>
      <c r="H3176" t="n">
        <v>-2775.1062</v>
      </c>
      <c r="I3176">
        <f>-H5816/G5816</f>
        <v/>
      </c>
      <c r="J3176" s="16" t="n">
        <v>44707</v>
      </c>
      <c r="K3176">
        <f>+OPERAC[[#This Row],[cantidad]]</f>
        <v/>
      </c>
      <c r="L3176">
        <f>+OPERAC[[#This Row],[cantidad venta]]*94.8</f>
        <v/>
      </c>
    </row>
    <row r="3177">
      <c r="A3177" t="n">
        <v>13185</v>
      </c>
      <c r="B3177" s="16" t="n">
        <v>44707</v>
      </c>
      <c r="C3177" t="inlineStr">
        <is>
          <t>CPR</t>
        </is>
      </c>
      <c r="D3177" t="n">
        <v>32</v>
      </c>
      <c r="E3177">
        <f>IF(D5761&gt;0,VLOOKUP(OPERAC[[#This Row],[COD CART]],[1]!MatrizCortoLargoCyl[#All],3,0),"")</f>
        <v/>
      </c>
      <c r="F3177" t="inlineStr">
        <is>
          <t>BIG/CYL/27,50/17-06-22</t>
        </is>
      </c>
      <c r="G3177" t="n">
        <v>100</v>
      </c>
      <c r="H3177" t="n">
        <v>-2636.628</v>
      </c>
      <c r="I3177">
        <f>-H5761/G5761</f>
        <v/>
      </c>
    </row>
    <row r="3178">
      <c r="A3178" t="n">
        <v>13185</v>
      </c>
      <c r="B3178" s="16" t="n">
        <v>44708</v>
      </c>
      <c r="C3178" t="inlineStr">
        <is>
          <t>CPR</t>
        </is>
      </c>
      <c r="D3178" t="n">
        <v>42</v>
      </c>
      <c r="E3178">
        <f>IF(D3986&gt;0,VLOOKUP(OPERAC[[#This Row],[COD CART]],[1]!MatrizCortoLargoCyl[#All],3,0),"")</f>
        <v/>
      </c>
      <c r="F3178" t="inlineStr">
        <is>
          <t>ACB</t>
        </is>
      </c>
      <c r="G3178" t="n">
        <v>500</v>
      </c>
      <c r="H3178" t="n">
        <v>-912.6603944024999</v>
      </c>
      <c r="I3178">
        <f>-H3986/G3986</f>
        <v/>
      </c>
    </row>
    <row r="3179">
      <c r="A3179" t="n">
        <v>13185</v>
      </c>
      <c r="B3179" s="16" t="n">
        <v>44712</v>
      </c>
      <c r="C3179" t="inlineStr">
        <is>
          <t>CPR</t>
        </is>
      </c>
      <c r="D3179" t="n">
        <v>32</v>
      </c>
      <c r="E3179">
        <f>IF(D4564&gt;0,VLOOKUP(OPERAC[[#This Row],[COD CART]],[1]!MatrizCortoLargoCyl[#All],3,0),"")</f>
        <v/>
      </c>
      <c r="F3179" t="inlineStr">
        <is>
          <t>AMC/CYL/13,00/10-06-22</t>
        </is>
      </c>
      <c r="G3179" t="n">
        <v>100</v>
      </c>
      <c r="H3179" t="n">
        <v>-1232.75</v>
      </c>
      <c r="I3179">
        <f>-H4564/G4564</f>
        <v/>
      </c>
      <c r="J3179" s="16" t="n">
        <v>44722</v>
      </c>
      <c r="K3179" t="n">
        <v>100</v>
      </c>
      <c r="L3179" t="n">
        <v>1234.29</v>
      </c>
    </row>
    <row r="3180">
      <c r="A3180" t="n">
        <v>13185</v>
      </c>
      <c r="B3180" s="16" t="n">
        <v>44712</v>
      </c>
      <c r="C3180" t="inlineStr">
        <is>
          <t>CPR</t>
        </is>
      </c>
      <c r="D3180" t="n">
        <v>42</v>
      </c>
      <c r="E3180">
        <f>IF(D5882&gt;0,VLOOKUP(OPERAC[[#This Row],[COD CART]],[1]!MatrizCortoLargoCyl[#All],3,0),"")</f>
        <v/>
      </c>
      <c r="F3180" t="inlineStr">
        <is>
          <t>KWEB</t>
        </is>
      </c>
      <c r="G3180" t="n">
        <v>100</v>
      </c>
      <c r="H3180" t="n">
        <v>-2959.725</v>
      </c>
      <c r="I3180">
        <f>-H5882/G5882</f>
        <v/>
      </c>
      <c r="J3180" s="16" t="n">
        <v>44725</v>
      </c>
      <c r="K3180" t="n">
        <v>100</v>
      </c>
      <c r="L3180" t="n">
        <v>2921.46</v>
      </c>
    </row>
    <row r="3181">
      <c r="A3181" t="n">
        <v>13185</v>
      </c>
      <c r="B3181" s="16" t="n">
        <v>44712</v>
      </c>
      <c r="C3181" t="inlineStr">
        <is>
          <t>VTA</t>
        </is>
      </c>
      <c r="D3181" t="n">
        <v>39</v>
      </c>
      <c r="E3181">
        <f>IF(D1559&gt;0,VLOOKUP(OPERAC[[#This Row],[COD CART]],[1]!MatrizCortoLargoCyl[#All],3,0),"")</f>
        <v/>
      </c>
      <c r="F3181" t="inlineStr">
        <is>
          <t>ET/C/10,00/21-10-22</t>
        </is>
      </c>
      <c r="G3181" t="n">
        <v>100</v>
      </c>
      <c r="H3181" t="n">
        <v>-202.808</v>
      </c>
      <c r="I3181">
        <f>-H1559/G1559</f>
        <v/>
      </c>
    </row>
    <row r="3182">
      <c r="A3182" t="n">
        <v>13185</v>
      </c>
      <c r="B3182" s="16" t="n">
        <v>44715</v>
      </c>
      <c r="C3182" t="inlineStr">
        <is>
          <t>VTA</t>
        </is>
      </c>
      <c r="D3182" t="n">
        <v>32</v>
      </c>
      <c r="E3182">
        <f>IF(D5072&gt;0,VLOOKUP(OPERAC[[#This Row],[COD CART]],[1]!MatrizCortoLargoCyl[#All],3,0),"")</f>
        <v/>
      </c>
      <c r="F3182" t="inlineStr">
        <is>
          <t>AAL/CYL/16,50/17-06-22</t>
        </is>
      </c>
      <c r="G3182" t="n">
        <v>100</v>
      </c>
      <c r="H3182" t="n">
        <v>-1580.215</v>
      </c>
      <c r="I3182">
        <f>-H5072/G5072</f>
        <v/>
      </c>
    </row>
    <row r="3183">
      <c r="A3183" t="n">
        <v>13185</v>
      </c>
      <c r="B3183" s="16" t="n">
        <v>44720</v>
      </c>
      <c r="C3183" t="inlineStr">
        <is>
          <t>CPR</t>
        </is>
      </c>
      <c r="D3183" t="n">
        <v>42</v>
      </c>
      <c r="E3183">
        <f>IF(D5917&gt;0,VLOOKUP(OPERAC[[#This Row],[COD CART]],[1]!MatrizCortoLargoCyl[#All],3,0),"")</f>
        <v/>
      </c>
      <c r="F3183" t="inlineStr">
        <is>
          <t>HYDR</t>
        </is>
      </c>
      <c r="G3183" t="n">
        <v>200</v>
      </c>
      <c r="H3183" t="n">
        <v>-3025.5</v>
      </c>
      <c r="I3183">
        <f>-H5917/G5917</f>
        <v/>
      </c>
    </row>
    <row r="3184">
      <c r="A3184" t="n">
        <v>13185</v>
      </c>
      <c r="B3184" s="16" t="n">
        <v>44722</v>
      </c>
      <c r="C3184" t="inlineStr">
        <is>
          <t>VTA</t>
        </is>
      </c>
      <c r="D3184" t="n">
        <v>32</v>
      </c>
      <c r="E3184">
        <f>IF(D3750&gt;0,VLOOKUP(OPERAC[[#This Row],[COD CART]],[1]!MatrizCortoLargoCyl[#All],3,0),"")</f>
        <v/>
      </c>
      <c r="F3184" t="inlineStr">
        <is>
          <t>NNOX/CYL/9,00/17-06-22</t>
        </is>
      </c>
      <c r="G3184" t="n">
        <v>100</v>
      </c>
      <c r="H3184" t="n">
        <v>-844.8390000000001</v>
      </c>
      <c r="I3184">
        <f>-H3750/G3750</f>
        <v/>
      </c>
    </row>
    <row r="3185">
      <c r="A3185" t="n">
        <v>13188</v>
      </c>
      <c r="B3185" s="16" t="n">
        <v>43831</v>
      </c>
      <c r="C3185" t="inlineStr">
        <is>
          <t>CPR</t>
        </is>
      </c>
      <c r="D3185" t="n">
        <v>41</v>
      </c>
      <c r="E3185">
        <f>IF(D2630&gt;0,VLOOKUP(OPERAC[[#This Row],[COD CART]],[1]!MatrizCortoLargoCyl[#All],3,0),"")</f>
        <v/>
      </c>
      <c r="F3185" t="inlineStr">
        <is>
          <t>TGS</t>
        </is>
      </c>
      <c r="G3185" t="n">
        <v>52</v>
      </c>
      <c r="H3185" t="n">
        <v>-478.4</v>
      </c>
      <c r="I3185" t="n">
        <v>9.199999999999999</v>
      </c>
    </row>
    <row r="3186">
      <c r="A3186" t="n">
        <v>13188</v>
      </c>
      <c r="B3186" s="16" t="n">
        <v>43831</v>
      </c>
      <c r="C3186" t="inlineStr">
        <is>
          <t>CPR</t>
        </is>
      </c>
      <c r="D3186" t="n">
        <v>41</v>
      </c>
      <c r="E3186">
        <f>IF(D2631&gt;0,VLOOKUP(OPERAC[[#This Row],[COD CART]],[1]!MatrizCortoLargoCyl[#All],3,0),"")</f>
        <v/>
      </c>
      <c r="F3186" t="inlineStr">
        <is>
          <t>BBAR</t>
        </is>
      </c>
      <c r="G3186" t="n">
        <v>100</v>
      </c>
      <c r="H3186" t="n">
        <v>-480</v>
      </c>
      <c r="I3186" t="n">
        <v>4.8</v>
      </c>
    </row>
    <row r="3187">
      <c r="A3187" t="n">
        <v>13188</v>
      </c>
      <c r="B3187" s="16" t="n">
        <v>43831</v>
      </c>
      <c r="C3187" t="inlineStr">
        <is>
          <t>VTA</t>
        </is>
      </c>
      <c r="D3187" t="n">
        <v>41</v>
      </c>
      <c r="E3187">
        <f>IF(D1278&gt;0,VLOOKUP(OPERAC[[#This Row],[COD CART]],[1]!MatrizCortoLargoCyl[#All],3,0),"")</f>
        <v/>
      </c>
      <c r="F3187" t="inlineStr">
        <is>
          <t>PNTV</t>
        </is>
      </c>
      <c r="G3187" t="n">
        <v>1000</v>
      </c>
      <c r="H3187" t="n">
        <v>-60</v>
      </c>
      <c r="I3187" t="n">
        <v>0.06</v>
      </c>
    </row>
    <row r="3188">
      <c r="A3188" t="n">
        <v>13188</v>
      </c>
      <c r="B3188" s="16" t="n">
        <v>43831</v>
      </c>
      <c r="C3188" t="inlineStr">
        <is>
          <t>VTA</t>
        </is>
      </c>
      <c r="D3188" t="n">
        <v>41</v>
      </c>
      <c r="E3188">
        <f>IF(D1770&gt;0,VLOOKUP(OPERAC[[#This Row],[COD CART]],[1]!MatrizCortoLargoCyl[#All],3,0),"")</f>
        <v/>
      </c>
      <c r="F3188" t="inlineStr">
        <is>
          <t>CAAP</t>
        </is>
      </c>
      <c r="G3188" t="n">
        <v>50</v>
      </c>
      <c r="H3188" t="n">
        <v>-260.5</v>
      </c>
      <c r="I3188" t="n">
        <v>5.21</v>
      </c>
    </row>
    <row r="3189">
      <c r="A3189" t="n">
        <v>13188</v>
      </c>
      <c r="B3189" s="16" t="n">
        <v>43831</v>
      </c>
      <c r="C3189" t="inlineStr">
        <is>
          <t>VTA</t>
        </is>
      </c>
      <c r="D3189" t="n">
        <v>41</v>
      </c>
      <c r="E3189">
        <f>IF(D2622&gt;0,VLOOKUP(OPERAC[[#This Row],[COD CART]],[1]!MatrizCortoLargoCyl[#All],3,0),"")</f>
        <v/>
      </c>
      <c r="F3189" t="inlineStr">
        <is>
          <t>IPIX</t>
        </is>
      </c>
      <c r="G3189" t="n">
        <v>5720</v>
      </c>
      <c r="H3189" t="n">
        <v>-476.476</v>
      </c>
      <c r="I3189" t="n">
        <v>0.0833</v>
      </c>
    </row>
    <row r="3190">
      <c r="A3190" t="n">
        <v>13188</v>
      </c>
      <c r="B3190" s="16" t="n">
        <v>43831</v>
      </c>
      <c r="C3190" t="inlineStr">
        <is>
          <t>VTA</t>
        </is>
      </c>
      <c r="D3190" t="n">
        <v>41</v>
      </c>
      <c r="E3190">
        <f>IF(D5188&gt;0,VLOOKUP(OPERAC[[#This Row],[COD CART]],[1]!MatrizCortoLargoCyl[#All],3,0),"")</f>
        <v/>
      </c>
      <c r="F3190" t="inlineStr">
        <is>
          <t>YPF</t>
        </is>
      </c>
      <c r="G3190" t="n">
        <v>150</v>
      </c>
      <c r="H3190" t="n">
        <v>-1635</v>
      </c>
      <c r="I3190" t="n">
        <v>10.9</v>
      </c>
    </row>
    <row r="3191">
      <c r="A3191" t="n">
        <v>13188</v>
      </c>
      <c r="B3191" s="16" t="n">
        <v>43929</v>
      </c>
      <c r="C3191" t="inlineStr">
        <is>
          <t>CPR</t>
        </is>
      </c>
      <c r="D3191" t="n">
        <v>31</v>
      </c>
      <c r="E3191">
        <f>IF(D2709&gt;0,VLOOKUP(OPERAC[[#This Row],[COD CART]],[1]!MatrizCortoLargoCyl[#All],3,0),"")</f>
        <v/>
      </c>
      <c r="F3191" t="inlineStr">
        <is>
          <t>VIST</t>
        </is>
      </c>
      <c r="G3191" t="n">
        <v>210</v>
      </c>
      <c r="H3191" t="n">
        <v>-499.6236</v>
      </c>
      <c r="I3191" t="n">
        <v>2.37916</v>
      </c>
      <c r="J3191" s="16" t="n">
        <v>44357</v>
      </c>
      <c r="K3191">
        <f>10+200</f>
        <v/>
      </c>
      <c r="L3191">
        <f>38.212+1539.943</f>
        <v/>
      </c>
    </row>
    <row r="3192">
      <c r="A3192" t="n">
        <v>13188</v>
      </c>
      <c r="B3192" s="16" t="n">
        <v>43972</v>
      </c>
      <c r="C3192" t="inlineStr">
        <is>
          <t>VTA</t>
        </is>
      </c>
      <c r="D3192" t="n">
        <v>41</v>
      </c>
      <c r="E3192">
        <f>IF(D1713&gt;0,VLOOKUP(OPERAC[[#This Row],[COD CART]],[1]!MatrizCortoLargoCyl[#All],3,0),"")</f>
        <v/>
      </c>
      <c r="F3192" t="inlineStr">
        <is>
          <t>GPRK</t>
        </is>
      </c>
      <c r="G3192" t="n">
        <v>30</v>
      </c>
      <c r="H3192" t="n">
        <v>-246.117</v>
      </c>
      <c r="I3192" t="n">
        <v>8.203899999999999</v>
      </c>
    </row>
    <row r="3193">
      <c r="A3193" t="n">
        <v>13188</v>
      </c>
      <c r="B3193" s="16" t="n">
        <v>44259</v>
      </c>
      <c r="C3193" t="inlineStr">
        <is>
          <t>CPR</t>
        </is>
      </c>
      <c r="D3193" t="n">
        <v>41</v>
      </c>
      <c r="E3193">
        <f>IF(D4943&gt;0,VLOOKUP(OPERAC[[#This Row],[COD CART]],[1]!MatrizCortoLargoCyl[#All],3,0),"")</f>
        <v/>
      </c>
      <c r="F3193" t="inlineStr">
        <is>
          <t>MELI</t>
        </is>
      </c>
      <c r="G3193" t="n">
        <v>1</v>
      </c>
      <c r="H3193" t="n">
        <v>-1505.025</v>
      </c>
      <c r="I3193">
        <f>-H4943/G4943</f>
        <v/>
      </c>
    </row>
    <row r="3194">
      <c r="A3194" t="n">
        <v>13188</v>
      </c>
      <c r="B3194" s="16" t="n">
        <v>44515</v>
      </c>
      <c r="C3194" t="inlineStr">
        <is>
          <t>CPR</t>
        </is>
      </c>
      <c r="D3194" t="n">
        <v>41</v>
      </c>
      <c r="E3194">
        <f>IF(D3969&gt;0,VLOOKUP(OPERAC[[#This Row],[COD CART]],[1]!MatrizCortoLargoCyl[#All],3,0),"")</f>
        <v/>
      </c>
      <c r="F3194" t="inlineStr">
        <is>
          <t>AAPL</t>
        </is>
      </c>
      <c r="G3194" t="n">
        <v>6</v>
      </c>
      <c r="H3194" t="n">
        <v>-906.14368</v>
      </c>
      <c r="I3194">
        <f>-H3969/G3969</f>
        <v/>
      </c>
    </row>
    <row r="3195">
      <c r="A3195" t="n">
        <v>13188</v>
      </c>
      <c r="B3195" s="16" t="n">
        <v>44515</v>
      </c>
      <c r="C3195" t="inlineStr">
        <is>
          <t>VTA</t>
        </is>
      </c>
      <c r="D3195" t="n">
        <v>40</v>
      </c>
      <c r="E3195">
        <f>IF(D5191&gt;0,VLOOKUP(OPERAC[[#This Row],[COD CART]],[1]!MatrizCortoLargoCyl[#All],3,0),"")</f>
        <v/>
      </c>
      <c r="F3195" t="inlineStr">
        <is>
          <t>MELI</t>
        </is>
      </c>
      <c r="G3195" t="n">
        <v>1</v>
      </c>
      <c r="H3195" t="n">
        <v>-1640.30032</v>
      </c>
      <c r="I3195">
        <f>-H5191/G5191</f>
        <v/>
      </c>
      <c r="J3195" s="16" t="n">
        <v>44606</v>
      </c>
      <c r="K3195" t="n">
        <v>1</v>
      </c>
      <c r="L3195" t="n">
        <v>1073.609</v>
      </c>
    </row>
    <row r="3196">
      <c r="A3196" t="n">
        <v>13188</v>
      </c>
      <c r="B3196" s="16" t="n">
        <v>44531</v>
      </c>
      <c r="C3196" t="inlineStr">
        <is>
          <t>VTA</t>
        </is>
      </c>
      <c r="D3196" t="n">
        <v>39</v>
      </c>
      <c r="E3196">
        <f>IF(D1104&gt;0,VLOOKUP(OPERAC[[#This Row],[COD CART]],[1]!MatrizCortoLargoCyl[#All],3,0),"")</f>
        <v/>
      </c>
      <c r="F3196" t="inlineStr">
        <is>
          <t>V/V/145,00/16-09-22</t>
        </is>
      </c>
      <c r="G3196" t="n">
        <v>-5</v>
      </c>
      <c r="H3196" t="n">
        <v>24.7815</v>
      </c>
      <c r="I3196">
        <f>-H1104/G1104</f>
        <v/>
      </c>
      <c r="J3196" s="16" t="n">
        <v>44677</v>
      </c>
      <c r="K3196" t="n">
        <v>-5</v>
      </c>
      <c r="L3196" t="n">
        <v>-13.36263</v>
      </c>
    </row>
    <row r="3197">
      <c r="A3197" t="n">
        <v>13188</v>
      </c>
      <c r="B3197" s="16" t="n">
        <v>44531</v>
      </c>
      <c r="C3197" t="inlineStr">
        <is>
          <t>VTA</t>
        </is>
      </c>
      <c r="D3197" t="n">
        <v>39</v>
      </c>
      <c r="E3197">
        <f>IF(D1166&gt;0,VLOOKUP(OPERAC[[#This Row],[COD CART]],[1]!MatrizCortoLargoCyl[#All],3,0),"")</f>
        <v/>
      </c>
      <c r="F3197" t="inlineStr">
        <is>
          <t>SOLO/V/3,00/17-06-22</t>
        </is>
      </c>
      <c r="G3197" t="n">
        <v>-15</v>
      </c>
      <c r="H3197" t="n">
        <v>14.0985</v>
      </c>
      <c r="I3197">
        <f>-H1166/G1166</f>
        <v/>
      </c>
      <c r="J3197" s="16" t="n">
        <v>44690</v>
      </c>
      <c r="K3197" t="n">
        <v>-15</v>
      </c>
      <c r="L3197" t="n">
        <v>-21.93</v>
      </c>
    </row>
    <row r="3198">
      <c r="A3198" t="n">
        <v>13188</v>
      </c>
      <c r="B3198" s="16" t="n">
        <v>44537</v>
      </c>
      <c r="C3198" t="inlineStr">
        <is>
          <t>VTA</t>
        </is>
      </c>
      <c r="D3198" t="n">
        <v>39</v>
      </c>
      <c r="E3198">
        <f>IF(D1253&gt;0,VLOOKUP(OPERAC[[#This Row],[COD CART]],[1]!MatrizCortoLargoCyl[#All],3,0),"")</f>
        <v/>
      </c>
      <c r="F3198" t="inlineStr">
        <is>
          <t>MELI/V/740,00/16-09-22</t>
        </is>
      </c>
      <c r="G3198" t="n">
        <v>-1</v>
      </c>
      <c r="H3198">
        <f>-2*OPERAC[[#This Row],[cantidad]]</f>
        <v/>
      </c>
      <c r="I3198">
        <f>-H1253/G1253</f>
        <v/>
      </c>
    </row>
    <row r="3199">
      <c r="A3199" t="n">
        <v>13188</v>
      </c>
      <c r="B3199" s="16" t="n">
        <v>44538</v>
      </c>
      <c r="C3199" t="inlineStr">
        <is>
          <t>CPR</t>
        </is>
      </c>
      <c r="D3199" t="n">
        <v>43</v>
      </c>
      <c r="E3199">
        <f>IF(D4676&gt;0,VLOOKUP(OPERAC[[#This Row],[COD CART]],[1]!MatrizCortoLargoCyl[#All],3,0),"")</f>
        <v/>
      </c>
      <c r="F3199" t="inlineStr">
        <is>
          <t>NNDM/CYL-PUT/2,50/19-01-24</t>
        </is>
      </c>
      <c r="G3199" t="n">
        <v>1000</v>
      </c>
      <c r="H3199">
        <f>-1.306*OPERAC[[#This Row],[cantidad]]</f>
        <v/>
      </c>
      <c r="I3199">
        <f>-H4676/G4676</f>
        <v/>
      </c>
    </row>
    <row r="3200">
      <c r="A3200" t="n">
        <v>13188</v>
      </c>
      <c r="B3200" s="16" t="n">
        <v>44538</v>
      </c>
      <c r="C3200" t="inlineStr">
        <is>
          <t>VTA</t>
        </is>
      </c>
      <c r="D3200" t="n">
        <v>43</v>
      </c>
      <c r="E3200">
        <f>IF(D1524&gt;0,VLOOKUP(OPERAC[[#This Row],[COD CART]],[1]!MatrizCortoLargoCyl[#All],3,0),"")</f>
        <v/>
      </c>
      <c r="F3200" t="inlineStr">
        <is>
          <t>HEXO/CYL-PUT/1,00/20-01-23</t>
        </is>
      </c>
      <c r="G3200" t="n">
        <v>1000</v>
      </c>
      <c r="H3200">
        <f>-0.1886*OPERAC[[#This Row],[cantidad]]</f>
        <v/>
      </c>
      <c r="I3200">
        <f>-H1524/G1524</f>
        <v/>
      </c>
      <c r="J3200" s="16" t="n">
        <v>44615</v>
      </c>
      <c r="K3200" t="n">
        <v>1000</v>
      </c>
      <c r="L3200" t="n">
        <v>327.93</v>
      </c>
    </row>
    <row r="3201">
      <c r="A3201" t="n">
        <v>13188</v>
      </c>
      <c r="B3201" s="16" t="n">
        <v>44538</v>
      </c>
      <c r="C3201" t="inlineStr">
        <is>
          <t>VTA</t>
        </is>
      </c>
      <c r="D3201" t="n">
        <v>43</v>
      </c>
      <c r="E3201">
        <f>IF(D3018&gt;0,VLOOKUP(OPERAC[[#This Row],[COD CART]],[1]!MatrizCortoLargoCyl[#All],3,0),"")</f>
        <v/>
      </c>
      <c r="F3201" t="inlineStr">
        <is>
          <t>XSPA/CYL-PUT/1,50/20-01-23</t>
        </is>
      </c>
      <c r="G3201" t="n">
        <v>1000</v>
      </c>
      <c r="H3201">
        <f>-0.59863*OPERAC[[#This Row],[cantidad]]</f>
        <v/>
      </c>
      <c r="I3201">
        <f>-H3018/G3018</f>
        <v/>
      </c>
    </row>
    <row r="3202">
      <c r="A3202" t="n">
        <v>13188</v>
      </c>
      <c r="B3202" s="16" t="n">
        <v>44539</v>
      </c>
      <c r="C3202" t="inlineStr">
        <is>
          <t>CPR</t>
        </is>
      </c>
      <c r="D3202" t="n">
        <v>40</v>
      </c>
      <c r="E3202">
        <f>IF(D4648&gt;0,VLOOKUP(OPERAC[[#This Row],[COD CART]],[1]!MatrizCortoLargoCyl[#All],3,0),"")</f>
        <v/>
      </c>
      <c r="F3202" t="inlineStr">
        <is>
          <t>ROKU</t>
        </is>
      </c>
      <c r="G3202" t="n">
        <v>5</v>
      </c>
      <c r="H3202" t="n">
        <v>-1288.6018</v>
      </c>
      <c r="I3202">
        <f>-H4648/G4648</f>
        <v/>
      </c>
      <c r="J3202" s="16" t="n">
        <v>44606</v>
      </c>
      <c r="K3202">
        <f>+OPERAC[[#This Row],[cantidad]]</f>
        <v/>
      </c>
      <c r="L3202">
        <f>+OPERAC[[#This Row],[cantidad venta]]*160.574</f>
        <v/>
      </c>
    </row>
    <row r="3203">
      <c r="A3203" t="n">
        <v>13188</v>
      </c>
      <c r="B3203" s="16" t="n">
        <v>44557</v>
      </c>
      <c r="C3203" t="inlineStr">
        <is>
          <t>VTA</t>
        </is>
      </c>
      <c r="D3203" t="n">
        <v>40</v>
      </c>
      <c r="E3203">
        <f>IF(D5011&gt;0,VLOOKUP(OPERAC[[#This Row],[COD CART]],[1]!MatrizCortoLargoCyl[#All],3,0),"")</f>
        <v/>
      </c>
      <c r="F3203" t="inlineStr">
        <is>
          <t>TLRY</t>
        </is>
      </c>
      <c r="G3203" t="n">
        <v>200</v>
      </c>
      <c r="H3203" t="n">
        <v>-1543.24</v>
      </c>
      <c r="I3203">
        <f>-H5011/G5011</f>
        <v/>
      </c>
      <c r="J3203" s="16" t="n">
        <v>44585</v>
      </c>
      <c r="K3203">
        <f>+OPERAC[[#This Row],[cantidad]]</f>
        <v/>
      </c>
      <c r="L3203">
        <f>+OPERAC[[#This Row],[cantidad venta]]*5.263</f>
        <v/>
      </c>
    </row>
    <row r="3204">
      <c r="A3204" t="n">
        <v>13188</v>
      </c>
      <c r="B3204" s="16" t="n">
        <v>44558</v>
      </c>
      <c r="C3204" t="inlineStr">
        <is>
          <t>CPR</t>
        </is>
      </c>
      <c r="D3204" t="n">
        <v>40</v>
      </c>
      <c r="E3204">
        <f>IF(D3450&gt;0,VLOOKUP(OPERAC[[#This Row],[COD CART]],[1]!MatrizCortoLargoCyl[#All],3,0),"")</f>
        <v/>
      </c>
      <c r="F3204" t="inlineStr">
        <is>
          <t>UPST</t>
        </is>
      </c>
      <c r="G3204" t="n">
        <v>5</v>
      </c>
      <c r="H3204" t="n">
        <v>-753.001</v>
      </c>
      <c r="I3204">
        <f>-H3450/G3450</f>
        <v/>
      </c>
      <c r="J3204" s="16" t="n">
        <v>44606</v>
      </c>
      <c r="K3204">
        <f>+OPERAC[[#This Row],[cantidad]]</f>
        <v/>
      </c>
      <c r="L3204">
        <f>+OPERAC[[#This Row],[cantidad venta]]*98.994</f>
        <v/>
      </c>
    </row>
    <row r="3205">
      <c r="A3205" t="n">
        <v>13188</v>
      </c>
      <c r="B3205" s="16" t="n">
        <v>44560</v>
      </c>
      <c r="C3205" t="inlineStr">
        <is>
          <t>VTA</t>
        </is>
      </c>
      <c r="D3205" t="n">
        <v>39</v>
      </c>
      <c r="E3205">
        <f>IF(D339&gt;0,VLOOKUP(OPERAC[[#This Row],[COD CART]],[1]!MatrizCortoLargoCyl[#All],3,0),"")</f>
        <v/>
      </c>
      <c r="F3205" t="inlineStr">
        <is>
          <t>ACB/V/6,00/07-01-22</t>
        </is>
      </c>
      <c r="G3205" t="n">
        <v>-2800</v>
      </c>
      <c r="H3205" t="n">
        <v>1341.802</v>
      </c>
      <c r="I3205">
        <f>-H339/G339</f>
        <v/>
      </c>
      <c r="J3205" s="16" t="n">
        <v>44567</v>
      </c>
      <c r="K3205" t="n">
        <v>-2800</v>
      </c>
      <c r="L3205" t="n">
        <v>-1341.8</v>
      </c>
    </row>
    <row r="3206">
      <c r="A3206" t="n">
        <v>13188</v>
      </c>
      <c r="B3206" s="16" t="n">
        <v>44567</v>
      </c>
      <c r="C3206" t="inlineStr">
        <is>
          <t>VTA</t>
        </is>
      </c>
      <c r="D3206" t="n">
        <v>39</v>
      </c>
      <c r="E3206">
        <f>IF(D252&gt;0,VLOOKUP(OPERAC[[#This Row],[COD CART]],[1]!MatrizCortoLargoCyl[#All],3,0),"")</f>
        <v/>
      </c>
      <c r="F3206" t="inlineStr">
        <is>
          <t>ACB/V/6,00/14-01-22</t>
        </is>
      </c>
      <c r="G3206" t="n">
        <v>-2800</v>
      </c>
      <c r="H3206" t="n">
        <v>1780.8308</v>
      </c>
      <c r="I3206">
        <f>-H252/G252</f>
        <v/>
      </c>
      <c r="J3206" s="16" t="n">
        <v>44574</v>
      </c>
      <c r="K3206">
        <f>+OPERAC[[#This Row],[cantidad]]</f>
        <v/>
      </c>
      <c r="L3206" t="n">
        <v>-1295.053</v>
      </c>
    </row>
    <row r="3207">
      <c r="A3207" t="n">
        <v>13188</v>
      </c>
      <c r="B3207" s="16" t="n">
        <v>44574</v>
      </c>
      <c r="C3207" t="inlineStr">
        <is>
          <t>VTA</t>
        </is>
      </c>
      <c r="D3207" t="n">
        <v>39</v>
      </c>
      <c r="E3207">
        <f>IF(D333&gt;0,VLOOKUP(OPERAC[[#This Row],[COD CART]],[1]!MatrizCortoLargoCyl[#All],3,0),"")</f>
        <v/>
      </c>
      <c r="F3207" t="inlineStr">
        <is>
          <t>ACB/V/6,00/21-01-22</t>
        </is>
      </c>
      <c r="G3207" t="n">
        <v>-2800</v>
      </c>
      <c r="H3207" t="n">
        <v>1363.827</v>
      </c>
      <c r="I3207">
        <f>-H333/G333</f>
        <v/>
      </c>
      <c r="J3207" s="16" t="n">
        <v>44581</v>
      </c>
      <c r="K3207">
        <f>+OPERAC[[#This Row],[cantidad]]</f>
        <v/>
      </c>
      <c r="L3207">
        <f>-OPERAC[[#This Row],[importe]]</f>
        <v/>
      </c>
    </row>
    <row r="3208">
      <c r="A3208" t="n">
        <v>13188</v>
      </c>
      <c r="B3208" s="16" t="n">
        <v>44581</v>
      </c>
      <c r="C3208" t="inlineStr">
        <is>
          <t>CPR</t>
        </is>
      </c>
      <c r="D3208" t="n">
        <v>32</v>
      </c>
      <c r="E3208">
        <f>IF(D3581&gt;0,VLOOKUP(OPERAC[[#This Row],[COD CART]],[1]!MatrizCortoLargoCyl[#All],3,0),"")</f>
        <v/>
      </c>
      <c r="F3208" t="inlineStr">
        <is>
          <t>HMY/CYL/4,00/18-02-22</t>
        </is>
      </c>
      <c r="G3208" t="n">
        <v>200</v>
      </c>
      <c r="H3208" t="n">
        <v>-774.9359920000001</v>
      </c>
      <c r="I3208">
        <f>-H3581/G3581</f>
        <v/>
      </c>
      <c r="J3208" s="16" t="n">
        <v>44610</v>
      </c>
      <c r="K3208">
        <f>+OPERAC[[#This Row],[cantidad]]</f>
        <v/>
      </c>
      <c r="L3208">
        <f>+OPERAC[[#This Row],[cantidad venta]]*3.8323</f>
        <v/>
      </c>
    </row>
    <row r="3209">
      <c r="A3209" t="n">
        <v>13188</v>
      </c>
      <c r="B3209" s="16" t="n">
        <v>44581</v>
      </c>
      <c r="C3209" t="inlineStr">
        <is>
          <t>VTA</t>
        </is>
      </c>
      <c r="D3209" t="n">
        <v>39</v>
      </c>
      <c r="E3209">
        <f>IF(D135&gt;0,VLOOKUP(OPERAC[[#This Row],[COD CART]],[1]!MatrizCortoLargoCyl[#All],3,0),"")</f>
        <v/>
      </c>
      <c r="F3209" t="inlineStr">
        <is>
          <t>ACB/V/6,00/18-02-22</t>
        </is>
      </c>
      <c r="G3209" t="n">
        <v>-2500</v>
      </c>
      <c r="H3209" t="n">
        <v>3023.7875</v>
      </c>
      <c r="I3209">
        <f>-H135/G135</f>
        <v/>
      </c>
      <c r="J3209" s="16" t="n">
        <v>44601</v>
      </c>
      <c r="K3209" t="n">
        <v>-2500</v>
      </c>
      <c r="L3209">
        <f>1.21*OPERAC[[#This Row],[cantidad venta]]</f>
        <v/>
      </c>
    </row>
    <row r="3210">
      <c r="A3210" t="n">
        <v>13188</v>
      </c>
      <c r="B3210" s="16" t="n">
        <v>44582</v>
      </c>
      <c r="C3210" t="inlineStr">
        <is>
          <t>VTA</t>
        </is>
      </c>
      <c r="D3210" t="n">
        <v>40</v>
      </c>
      <c r="E3210">
        <f>IF(D2292&gt;0,VLOOKUP(OPERAC[[#This Row],[COD CART]],[1]!MatrizCortoLargoCyl[#All],3,0),"")</f>
        <v/>
      </c>
      <c r="F3210" t="inlineStr">
        <is>
          <t>NFLX</t>
        </is>
      </c>
      <c r="G3210" t="n">
        <v>1</v>
      </c>
      <c r="H3210" t="n">
        <v>-395.893</v>
      </c>
      <c r="I3210">
        <f>-H2292/G2292</f>
        <v/>
      </c>
      <c r="J3210" s="16" t="n">
        <v>44593</v>
      </c>
      <c r="K3210">
        <f>+OPERAC[[#This Row],[cantidad]]</f>
        <v/>
      </c>
      <c r="L3210">
        <f>+OPERAC[[#This Row],[cantidad venta]]*448.602</f>
        <v/>
      </c>
    </row>
    <row r="3211">
      <c r="A3211" t="n">
        <v>13188</v>
      </c>
      <c r="B3211" s="16" t="n">
        <v>44585</v>
      </c>
      <c r="C3211" t="inlineStr">
        <is>
          <t>VTA</t>
        </is>
      </c>
      <c r="D3211" t="n">
        <v>39</v>
      </c>
      <c r="E3211">
        <f>IF(D680&gt;0,VLOOKUP(OPERAC[[#This Row],[COD CART]],[1]!MatrizCortoLargoCyl[#All],3,0),"")</f>
        <v/>
      </c>
      <c r="F3211" t="inlineStr">
        <is>
          <t>TSLA/V/510,00/28-01-22</t>
        </is>
      </c>
      <c r="G3211" t="n">
        <v>-400</v>
      </c>
      <c r="H3211" t="n">
        <v>435.424</v>
      </c>
      <c r="I3211">
        <f>-H680/G680</f>
        <v/>
      </c>
      <c r="J3211" s="16" t="n">
        <v>44587</v>
      </c>
      <c r="K3211" t="n">
        <v>-400</v>
      </c>
      <c r="L3211" t="n">
        <v>-43.55</v>
      </c>
    </row>
    <row r="3212">
      <c r="A3212" t="n">
        <v>13188</v>
      </c>
      <c r="B3212" s="16" t="n">
        <v>44586</v>
      </c>
      <c r="C3212" t="inlineStr">
        <is>
          <t>CPR</t>
        </is>
      </c>
      <c r="D3212" t="n">
        <v>43</v>
      </c>
      <c r="E3212">
        <f>IF(D4255&gt;0,VLOOKUP(OPERAC[[#This Row],[COD CART]],[1]!MatrizCortoLargoCyl[#All],3,0),"")</f>
        <v/>
      </c>
      <c r="F3212" t="inlineStr">
        <is>
          <t>GMBL/CYL-PUT/2,50/20-01-23</t>
        </is>
      </c>
      <c r="G3212" t="n">
        <v>1000</v>
      </c>
      <c r="H3212" t="n">
        <v>-1016.0423</v>
      </c>
      <c r="I3212">
        <f>-H4255/G4255</f>
        <v/>
      </c>
      <c r="J3212" s="16" t="n">
        <v>44636</v>
      </c>
      <c r="K3212" t="n">
        <v>1000</v>
      </c>
      <c r="L3212">
        <f>-1.36*OPERAC[[#This Row],[cantidad venta]]</f>
        <v/>
      </c>
    </row>
    <row r="3213">
      <c r="A3213" t="n">
        <v>13188</v>
      </c>
      <c r="B3213" s="16" t="n">
        <v>44601</v>
      </c>
      <c r="C3213" t="inlineStr">
        <is>
          <t>VTA</t>
        </is>
      </c>
      <c r="D3213" t="n">
        <v>39</v>
      </c>
      <c r="E3213">
        <f>IF(D1037&gt;0,VLOOKUP(OPERAC[[#This Row],[COD CART]],[1]!MatrizCortoLargoCyl[#All],3,0),"")</f>
        <v/>
      </c>
      <c r="F3213" t="inlineStr">
        <is>
          <t>ACB/V/5,00/16-09-22</t>
        </is>
      </c>
      <c r="G3213" t="n">
        <v>-30</v>
      </c>
      <c r="H3213">
        <f>-1.56*OPERAC[[#This Row],[cantidad]]</f>
        <v/>
      </c>
      <c r="I3213">
        <f>-H1037/G1037</f>
        <v/>
      </c>
    </row>
    <row r="3214">
      <c r="A3214" t="n">
        <v>13188</v>
      </c>
      <c r="B3214" s="16" t="n">
        <v>44602</v>
      </c>
      <c r="C3214" t="inlineStr">
        <is>
          <t>VTA</t>
        </is>
      </c>
      <c r="D3214" t="n">
        <v>32</v>
      </c>
      <c r="E3214">
        <f>IF(D3832&gt;0,VLOOKUP(OPERAC[[#This Row],[COD CART]],[1]!MatrizCortoLargoCyl[#All],3,0),"")</f>
        <v/>
      </c>
      <c r="F3214" t="inlineStr">
        <is>
          <t>TEVA</t>
        </is>
      </c>
      <c r="G3214" t="n">
        <v>100</v>
      </c>
      <c r="H3214">
        <f>-8.59*OPERAC[[#This Row],[cantidad]]</f>
        <v/>
      </c>
      <c r="I3214">
        <f>-H3832/G3832</f>
        <v/>
      </c>
      <c r="J3214" s="16" t="n">
        <v>44643</v>
      </c>
      <c r="K3214">
        <f>+OPERAC[[#This Row],[cantidad]]</f>
        <v/>
      </c>
      <c r="L3214">
        <f>+OPERAC[[#This Row],[cantidad venta]]*8.051</f>
        <v/>
      </c>
    </row>
    <row r="3215">
      <c r="A3215" t="n">
        <v>13188</v>
      </c>
      <c r="B3215" s="16" t="n">
        <v>44607</v>
      </c>
      <c r="C3215" t="inlineStr">
        <is>
          <t>VTA</t>
        </is>
      </c>
      <c r="D3215" t="n">
        <v>32</v>
      </c>
      <c r="E3215">
        <f>IF(D5086&gt;0,VLOOKUP(OPERAC[[#This Row],[COD CART]],[1]!MatrizCortoLargoCyl[#All],3,0),"")</f>
        <v/>
      </c>
      <c r="F3215" t="inlineStr">
        <is>
          <t>DDD/CYL/17,00/01-04-22</t>
        </is>
      </c>
      <c r="G3215" t="n">
        <v>100</v>
      </c>
      <c r="H3215">
        <f>-1620.23+19.7+16.45</f>
        <v/>
      </c>
      <c r="I3215">
        <f>-H5086/G5086</f>
        <v/>
      </c>
      <c r="J3215" s="16" t="n">
        <v>44649</v>
      </c>
      <c r="K3215" t="n">
        <v>100</v>
      </c>
      <c r="L3215" t="n">
        <v>1661.98</v>
      </c>
    </row>
    <row r="3216">
      <c r="A3216" t="n">
        <v>13188</v>
      </c>
      <c r="B3216" s="16" t="n">
        <v>44609</v>
      </c>
      <c r="C3216" t="inlineStr">
        <is>
          <t>VTA</t>
        </is>
      </c>
      <c r="D3216" t="n">
        <v>32</v>
      </c>
      <c r="E3216">
        <f>IF(D3877&gt;0,VLOOKUP(OPERAC[[#This Row],[COD CART]],[1]!MatrizCortoLargoCyl[#All],3,0),"")</f>
        <v/>
      </c>
      <c r="F3216" t="inlineStr">
        <is>
          <t>HIMX/CYL/9,00/18-03-22</t>
        </is>
      </c>
      <c r="G3216" t="n">
        <v>100</v>
      </c>
      <c r="H3216" t="n">
        <v>-869.5839999999999</v>
      </c>
      <c r="I3216">
        <f>-H3877/G3877</f>
        <v/>
      </c>
      <c r="J3216" s="16" t="n">
        <v>44622</v>
      </c>
      <c r="K3216">
        <f>+OPERAC[[#This Row],[cantidad]]</f>
        <v/>
      </c>
      <c r="L3216" t="n">
        <v>883.576</v>
      </c>
    </row>
    <row r="3217">
      <c r="A3217" t="n">
        <v>13188</v>
      </c>
      <c r="B3217" s="16" t="n">
        <v>44616</v>
      </c>
      <c r="C3217" t="inlineStr">
        <is>
          <t>CPR</t>
        </is>
      </c>
      <c r="D3217" t="n">
        <v>32</v>
      </c>
      <c r="E3217">
        <f>IF(D4318&gt;0,VLOOKUP(OPERAC[[#This Row],[COD CART]],[1]!MatrizCortoLargoCyl[#All],3,0),"")</f>
        <v/>
      </c>
      <c r="F3217" t="inlineStr">
        <is>
          <t>PLTR/CYL/12,00/14-04-22</t>
        </is>
      </c>
      <c r="G3217" t="n">
        <v>100</v>
      </c>
      <c r="H3217" t="n">
        <v>-1052.7265</v>
      </c>
      <c r="I3217">
        <f>-H4318/G4318</f>
        <v/>
      </c>
      <c r="J3217" s="16" t="n">
        <v>44643</v>
      </c>
      <c r="K3217" t="n">
        <v>100</v>
      </c>
      <c r="L3217" t="n">
        <v>1146.72</v>
      </c>
    </row>
    <row r="3218">
      <c r="A3218" t="n">
        <v>13188</v>
      </c>
      <c r="B3218" s="16" t="n">
        <v>44628</v>
      </c>
      <c r="C3218" t="inlineStr">
        <is>
          <t>VTA</t>
        </is>
      </c>
      <c r="D3218" t="n">
        <v>40</v>
      </c>
      <c r="E3218">
        <f>IF(D2394&gt;0,VLOOKUP(OPERAC[[#This Row],[COD CART]],[1]!MatrizCortoLargoCyl[#All],3,0),"")</f>
        <v/>
      </c>
      <c r="F3218" t="inlineStr">
        <is>
          <t>CVV</t>
        </is>
      </c>
      <c r="G3218" t="n">
        <v>100</v>
      </c>
      <c r="H3218" t="n">
        <v>-422.4488</v>
      </c>
      <c r="I3218">
        <f>-H2394/G2394</f>
        <v/>
      </c>
      <c r="J3218" s="16" t="n">
        <v>44649</v>
      </c>
      <c r="K3218">
        <f>+OPERAC[[#This Row],[cantidad]]</f>
        <v/>
      </c>
      <c r="L3218">
        <f>+OPERAC[[#This Row],[cantidad venta]]*4.459</f>
        <v/>
      </c>
    </row>
    <row r="3219">
      <c r="A3219" t="n">
        <v>13188</v>
      </c>
      <c r="B3219" s="16" t="n">
        <v>44636</v>
      </c>
      <c r="C3219" t="inlineStr">
        <is>
          <t>CPR</t>
        </is>
      </c>
      <c r="D3219" t="n">
        <v>43</v>
      </c>
      <c r="E3219">
        <f>IF(D2669&gt;0,VLOOKUP(OPERAC[[#This Row],[COD CART]],[1]!MatrizCortoLargoCyl[#All],3,0),"")</f>
        <v/>
      </c>
      <c r="F3219" t="inlineStr">
        <is>
          <t>GMBL/CYL-PUT/1,00/20-01-23</t>
        </is>
      </c>
      <c r="G3219" t="n">
        <v>3000</v>
      </c>
      <c r="H3219" t="n">
        <v>-490.1659499999996</v>
      </c>
      <c r="I3219">
        <f>-H2669/G2669</f>
        <v/>
      </c>
    </row>
    <row r="3220">
      <c r="A3220" t="n">
        <v>13188</v>
      </c>
      <c r="B3220" s="16" t="n">
        <v>44643</v>
      </c>
      <c r="C3220" t="inlineStr">
        <is>
          <t>CPR</t>
        </is>
      </c>
      <c r="D3220" t="n">
        <v>32</v>
      </c>
      <c r="E3220">
        <f>IF(D3268&gt;0,VLOOKUP(OPERAC[[#This Row],[COD CART]],[1]!MatrizCortoLargoCyl[#All],3,0),"")</f>
        <v/>
      </c>
      <c r="F3220" t="inlineStr">
        <is>
          <t>CRESY</t>
        </is>
      </c>
      <c r="G3220" t="n">
        <v>100</v>
      </c>
      <c r="H3220" t="n">
        <v>-680.303</v>
      </c>
      <c r="I3220">
        <f>-H3268/G3268</f>
        <v/>
      </c>
      <c r="J3220" s="16" t="n">
        <v>44708</v>
      </c>
      <c r="K3220" t="n">
        <v>100</v>
      </c>
      <c r="L3220" t="n">
        <v>733.71</v>
      </c>
    </row>
    <row r="3221">
      <c r="A3221" t="n">
        <v>13188</v>
      </c>
      <c r="B3221" s="16" t="n">
        <v>44649</v>
      </c>
      <c r="C3221" t="inlineStr">
        <is>
          <t>CPR</t>
        </is>
      </c>
      <c r="D3221" t="n">
        <v>42</v>
      </c>
      <c r="E3221">
        <f>IF(D2650&gt;0,VLOOKUP(OPERAC[[#This Row],[COD CART]],[1]!MatrizCortoLargoCyl[#All],3,0),"")</f>
        <v/>
      </c>
      <c r="F3221" t="inlineStr">
        <is>
          <t>CRESY</t>
        </is>
      </c>
      <c r="G3221" t="n">
        <v>60</v>
      </c>
      <c r="H3221" t="n">
        <v>-485.53104</v>
      </c>
      <c r="I3221">
        <f>-H2650/G2650</f>
        <v/>
      </c>
      <c r="J3221" s="16" t="n">
        <v>44657</v>
      </c>
      <c r="K3221">
        <f>+OPERAC[[#This Row],[cantidad]]</f>
        <v/>
      </c>
      <c r="L3221">
        <f>+OPERAC[[#This Row],[cantidad venta]]*7.664</f>
        <v/>
      </c>
    </row>
    <row r="3222">
      <c r="A3222" t="n">
        <v>13188</v>
      </c>
      <c r="B3222" s="16" t="n">
        <v>44649</v>
      </c>
      <c r="C3222" t="inlineStr">
        <is>
          <t>CPR</t>
        </is>
      </c>
      <c r="D3222" t="n">
        <v>32</v>
      </c>
      <c r="E3222">
        <f>IF(D4923&gt;0,VLOOKUP(OPERAC[[#This Row],[COD CART]],[1]!MatrizCortoLargoCyl[#All],3,0),"")</f>
        <v/>
      </c>
      <c r="F3222" t="inlineStr">
        <is>
          <t>DDD</t>
        </is>
      </c>
      <c r="G3222" t="n">
        <v>100</v>
      </c>
      <c r="H3222" t="n">
        <v>-1498.949</v>
      </c>
      <c r="I3222">
        <f>-H4923/G4923</f>
        <v/>
      </c>
      <c r="J3222" s="16" t="n">
        <v>44712</v>
      </c>
      <c r="K3222" t="n">
        <v>100</v>
      </c>
      <c r="L3222" t="n">
        <v>1115.438</v>
      </c>
    </row>
    <row r="3223">
      <c r="A3223" t="n">
        <v>13188</v>
      </c>
      <c r="B3223" s="16" t="n">
        <v>44649</v>
      </c>
      <c r="C3223" t="inlineStr">
        <is>
          <t>VTA</t>
        </is>
      </c>
      <c r="D3223" t="n">
        <v>32</v>
      </c>
      <c r="E3223">
        <f>IF(D5234&gt;0,VLOOKUP(OPERAC[[#This Row],[COD CART]],[1]!MatrizCortoLargoCyl[#All],3,0),"")</f>
        <v/>
      </c>
      <c r="F3223" t="inlineStr">
        <is>
          <t>EDIT</t>
        </is>
      </c>
      <c r="G3223" t="n">
        <v>100</v>
      </c>
      <c r="H3223" t="n">
        <v>-1661.88</v>
      </c>
      <c r="I3223">
        <f>-H5234/G5234</f>
        <v/>
      </c>
      <c r="J3223" s="16" t="n">
        <v>44712</v>
      </c>
      <c r="K3223" t="n">
        <v>100</v>
      </c>
      <c r="L3223" t="n">
        <v>1150.14</v>
      </c>
    </row>
    <row r="3224">
      <c r="A3224" t="n">
        <v>13188</v>
      </c>
      <c r="B3224" s="16" t="n">
        <v>44664</v>
      </c>
      <c r="C3224" t="inlineStr">
        <is>
          <t>VTA</t>
        </is>
      </c>
      <c r="D3224" t="n">
        <v>42</v>
      </c>
      <c r="E3224">
        <f>IF(D3095&gt;0,VLOOKUP(OPERAC[[#This Row],[COD CART]],[1]!MatrizCortoLargoCyl[#All],3,0),"")</f>
        <v/>
      </c>
      <c r="F3224" t="inlineStr">
        <is>
          <t>PSQ</t>
        </is>
      </c>
      <c r="G3224" t="n">
        <v>50</v>
      </c>
      <c r="H3224" t="n">
        <v>-621.6286090499999</v>
      </c>
      <c r="I3224">
        <f>-H3095/G3095</f>
        <v/>
      </c>
      <c r="J3224" s="16" t="n">
        <v>44680</v>
      </c>
      <c r="K3224">
        <f>+OPERAC[[#This Row],[cantidad]]</f>
        <v/>
      </c>
      <c r="L3224">
        <f>12.848*OPERAC[[#This Row],[cantidad venta]]</f>
        <v/>
      </c>
    </row>
    <row r="3225">
      <c r="A3225" t="n">
        <v>13188</v>
      </c>
      <c r="B3225" s="16" t="n">
        <v>44677</v>
      </c>
      <c r="C3225" t="inlineStr">
        <is>
          <t>VTA</t>
        </is>
      </c>
      <c r="D3225" t="n">
        <v>39</v>
      </c>
      <c r="E3225">
        <f>IF(D351&gt;0,VLOOKUP(OPERAC[[#This Row],[COD CART]],[1]!MatrizCortoLargoCyl[#All],3,0),"")</f>
        <v/>
      </c>
      <c r="F3225" t="inlineStr">
        <is>
          <t>TSLA/V/750,00/29-04-22</t>
        </is>
      </c>
      <c r="G3225" t="n">
        <v>-500</v>
      </c>
      <c r="H3225" t="n">
        <v>1288.95</v>
      </c>
      <c r="I3225">
        <f>-H351/G351</f>
        <v/>
      </c>
      <c r="J3225" s="16" t="n">
        <v>44680</v>
      </c>
      <c r="K3225" t="n">
        <v>-500</v>
      </c>
      <c r="L3225" t="n">
        <v>-20.17</v>
      </c>
    </row>
    <row r="3226">
      <c r="A3226" t="n">
        <v>13188</v>
      </c>
      <c r="B3226" s="16" t="n">
        <v>44680</v>
      </c>
      <c r="C3226" t="inlineStr">
        <is>
          <t>VTA</t>
        </is>
      </c>
      <c r="D3226" t="n">
        <v>42</v>
      </c>
      <c r="E3226">
        <f>IF(D3141&gt;0,VLOOKUP(OPERAC[[#This Row],[COD CART]],[1]!MatrizCortoLargoCyl[#All],3,0),"")</f>
        <v/>
      </c>
      <c r="F3226" t="inlineStr">
        <is>
          <t>XLP</t>
        </is>
      </c>
      <c r="G3226" t="n">
        <v>8</v>
      </c>
      <c r="H3226" t="n">
        <v>-635.4760199999999</v>
      </c>
      <c r="I3226">
        <f>-H3141/G3141</f>
        <v/>
      </c>
      <c r="J3226" s="16" t="n">
        <v>44693</v>
      </c>
      <c r="K3226">
        <f>+OPERAC[[#This Row],[cantidad]]</f>
        <v/>
      </c>
      <c r="L3226">
        <f>+OPERAC[[#This Row],[cantidad venta]]*74.848</f>
        <v/>
      </c>
    </row>
    <row r="3227">
      <c r="A3227" t="n">
        <v>13190</v>
      </c>
      <c r="B3227" s="16" t="n">
        <v>44489</v>
      </c>
      <c r="C3227" t="inlineStr">
        <is>
          <t>CPR</t>
        </is>
      </c>
      <c r="D3227" t="n">
        <v>43</v>
      </c>
      <c r="E3227">
        <f>IF(D4095&gt;0,VLOOKUP(OPERAC[[#This Row],[COD CART]],[1]!MatrizCortoLargoCyl[#All],3,0),"")</f>
        <v/>
      </c>
      <c r="F3227" t="inlineStr">
        <is>
          <t>SESN/CYL-PUT/1,00/19-01-24</t>
        </is>
      </c>
      <c r="G3227" t="n">
        <v>5000</v>
      </c>
      <c r="H3227">
        <f>-0.1885*OPERAC[[#This Row],[cantidad]]</f>
        <v/>
      </c>
      <c r="I3227">
        <f>-H4095/G4095</f>
        <v/>
      </c>
      <c r="J3227" s="16" t="n">
        <v>44616</v>
      </c>
      <c r="K3227" t="n">
        <v>5000</v>
      </c>
      <c r="L3227" t="n">
        <v>1608.856</v>
      </c>
    </row>
    <row r="3228">
      <c r="A3228" t="n">
        <v>13190</v>
      </c>
      <c r="B3228" s="16" t="n">
        <v>44494</v>
      </c>
      <c r="C3228" t="inlineStr">
        <is>
          <t>CPR</t>
        </is>
      </c>
      <c r="D3228" t="n">
        <v>40</v>
      </c>
      <c r="E3228">
        <f>IF(D4063&gt;0,VLOOKUP(OPERAC[[#This Row],[COD CART]],[1]!MatrizCortoLargoCyl[#All],3,0),"")</f>
        <v/>
      </c>
      <c r="F3228" t="inlineStr">
        <is>
          <t>YPF</t>
        </is>
      </c>
      <c r="G3228" t="n">
        <v>200</v>
      </c>
      <c r="H3228" t="n">
        <v>-930.544</v>
      </c>
      <c r="I3228">
        <f>-H4063/G4063</f>
        <v/>
      </c>
      <c r="J3228" s="16" t="n">
        <v>44580</v>
      </c>
      <c r="K3228" t="n">
        <v>200</v>
      </c>
      <c r="L3228" t="n">
        <v>819.354</v>
      </c>
    </row>
    <row r="3229">
      <c r="A3229" t="n">
        <v>13190</v>
      </c>
      <c r="B3229" s="16" t="n">
        <v>44495</v>
      </c>
      <c r="C3229" t="inlineStr">
        <is>
          <t>VTA</t>
        </is>
      </c>
      <c r="D3229" t="n">
        <v>39</v>
      </c>
      <c r="E3229">
        <f>IF(D387&gt;0,VLOOKUP(OPERAC[[#This Row],[COD CART]],[1]!MatrizCortoLargoCyl[#All],3,0),"")</f>
        <v/>
      </c>
      <c r="F3229" t="inlineStr">
        <is>
          <t>YPF/CC10/LP7/CP3/19-01-24</t>
        </is>
      </c>
      <c r="G3229" t="n">
        <v>-500</v>
      </c>
      <c r="H3229">
        <f>-2.41*OPERAC[[#This Row],[cantidad]]</f>
        <v/>
      </c>
      <c r="I3229">
        <f>-H387/G387</f>
        <v/>
      </c>
    </row>
    <row r="3230">
      <c r="A3230" t="n">
        <v>13190</v>
      </c>
      <c r="B3230" s="16" t="n">
        <v>44495</v>
      </c>
      <c r="C3230" t="inlineStr">
        <is>
          <t>VTA</t>
        </is>
      </c>
      <c r="D3230" t="n">
        <v>39</v>
      </c>
      <c r="E3230">
        <f>IF(D517&gt;0,VLOOKUP(OPERAC[[#This Row],[COD CART]],[1]!MatrizCortoLargoCyl[#All],3,0),"")</f>
        <v/>
      </c>
      <c r="F3230" t="inlineStr">
        <is>
          <t>TLRY/V/11,00/21-01-22</t>
        </is>
      </c>
      <c r="G3230" t="n">
        <v>-500</v>
      </c>
      <c r="H3230" t="n">
        <v>863.1</v>
      </c>
      <c r="I3230">
        <f>-H517/G517</f>
        <v/>
      </c>
      <c r="J3230" s="16" t="n">
        <v>44571</v>
      </c>
      <c r="K3230">
        <f>+OPERAC[[#This Row],[cantidad]]</f>
        <v/>
      </c>
      <c r="L3230">
        <f>-OPERAC[[#This Row],[importe]]</f>
        <v/>
      </c>
    </row>
    <row r="3231">
      <c r="A3231" t="n">
        <v>13190</v>
      </c>
      <c r="B3231" s="16" t="n">
        <v>44511</v>
      </c>
      <c r="C3231" t="inlineStr">
        <is>
          <t>VTA</t>
        </is>
      </c>
      <c r="D3231" t="n">
        <v>31</v>
      </c>
      <c r="E3231">
        <f>IF(D1636&gt;0,VLOOKUP(OPERAC[[#This Row],[COD CART]],[1]!MatrizCortoLargoCyl[#All],3,0),"")</f>
        <v/>
      </c>
      <c r="F3231" t="inlineStr">
        <is>
          <t>IPIX</t>
        </is>
      </c>
      <c r="G3231" t="n">
        <v>2000</v>
      </c>
      <c r="H3231" t="n">
        <v>-219.98</v>
      </c>
      <c r="I3231">
        <f>-H1636/G1636</f>
        <v/>
      </c>
    </row>
    <row r="3232">
      <c r="A3232" t="n">
        <v>13190</v>
      </c>
      <c r="B3232" s="16" t="n">
        <v>44532</v>
      </c>
      <c r="C3232" t="inlineStr">
        <is>
          <t>VTA</t>
        </is>
      </c>
      <c r="D3232" t="n">
        <v>32</v>
      </c>
      <c r="E3232">
        <f>IF(D3947&gt;0,VLOOKUP(OPERAC[[#This Row],[COD CART]],[1]!MatrizCortoLargoCyl[#All],3,0),"")</f>
        <v/>
      </c>
      <c r="F3232" t="inlineStr">
        <is>
          <t>COTY/CYL/10,00/18-02-22</t>
        </is>
      </c>
      <c r="G3232" t="n">
        <v>100</v>
      </c>
      <c r="H3232">
        <f>-901.599+20.83</f>
        <v/>
      </c>
      <c r="I3232">
        <f>-H3947/G3947</f>
        <v/>
      </c>
      <c r="J3232" s="16" t="n">
        <v>44608</v>
      </c>
      <c r="K3232">
        <f>+OPERAC[[#This Row],[cantidad]]</f>
        <v/>
      </c>
      <c r="L3232" t="n">
        <v>941.701</v>
      </c>
    </row>
    <row r="3233">
      <c r="A3233" t="n">
        <v>13190</v>
      </c>
      <c r="B3233" s="16" t="n">
        <v>44539</v>
      </c>
      <c r="C3233" t="inlineStr">
        <is>
          <t>CPR</t>
        </is>
      </c>
      <c r="D3233" t="n">
        <v>40</v>
      </c>
      <c r="E3233">
        <f>IF(D4649&gt;0,VLOOKUP(OPERAC[[#This Row],[COD CART]],[1]!MatrizCortoLargoCyl[#All],3,0),"")</f>
        <v/>
      </c>
      <c r="F3233" t="inlineStr">
        <is>
          <t>ROKU</t>
        </is>
      </c>
      <c r="G3233" t="n">
        <v>5</v>
      </c>
      <c r="H3233" t="n">
        <v>-1288.6018</v>
      </c>
      <c r="I3233">
        <f>-H4649/G4649</f>
        <v/>
      </c>
      <c r="J3233" s="16" t="n">
        <v>44580</v>
      </c>
      <c r="K3233" t="n">
        <v>5</v>
      </c>
      <c r="L3233" t="n">
        <v>837.736</v>
      </c>
    </row>
    <row r="3234">
      <c r="A3234" t="n">
        <v>13190</v>
      </c>
      <c r="B3234" s="16" t="n">
        <v>44543</v>
      </c>
      <c r="C3234" t="inlineStr">
        <is>
          <t>CPR</t>
        </is>
      </c>
      <c r="D3234" t="n">
        <v>40</v>
      </c>
      <c r="E3234">
        <f>IF(D1870&gt;0,VLOOKUP(OPERAC[[#This Row],[COD CART]],[1]!MatrizCortoLargoCyl[#All],3,0),"")</f>
        <v/>
      </c>
      <c r="F3234" t="inlineStr">
        <is>
          <t>VIST</t>
        </is>
      </c>
      <c r="G3234" t="n">
        <v>50</v>
      </c>
      <c r="H3234" t="n">
        <v>-279.97</v>
      </c>
      <c r="I3234">
        <f>-H1870/G1870</f>
        <v/>
      </c>
      <c r="J3234" s="16" t="n">
        <v>44574</v>
      </c>
      <c r="K3234">
        <f>+OPERAC[[#This Row],[cantidad]]</f>
        <v/>
      </c>
      <c r="L3234">
        <f>+OPERAC[[#This Row],[cantidad venta]]*6.125</f>
        <v/>
      </c>
    </row>
    <row r="3235">
      <c r="A3235" t="n">
        <v>13190</v>
      </c>
      <c r="B3235" s="16" t="n">
        <v>44552</v>
      </c>
      <c r="C3235" t="inlineStr">
        <is>
          <t>VTA</t>
        </is>
      </c>
      <c r="D3235" t="n">
        <v>32</v>
      </c>
      <c r="E3235">
        <f>IF(D2244&gt;0,VLOOKUP(OPERAC[[#This Row],[COD CART]],[1]!MatrizCortoLargoCyl[#All],3,0),"")</f>
        <v/>
      </c>
      <c r="F3235" t="inlineStr">
        <is>
          <t>HMY/CYL/4,00/21-01-22</t>
        </is>
      </c>
      <c r="G3235" t="n">
        <v>100</v>
      </c>
      <c r="H3235">
        <f>-3.8*OPERAC[[#This Row],[cantidad]]</f>
        <v/>
      </c>
      <c r="I3235">
        <f>-H2244/G2244</f>
        <v/>
      </c>
      <c r="J3235" s="16" t="n">
        <v>44580</v>
      </c>
      <c r="K3235" t="n">
        <v>100</v>
      </c>
      <c r="L3235" t="n">
        <v>393.93</v>
      </c>
    </row>
    <row r="3236">
      <c r="A3236" t="n">
        <v>13190</v>
      </c>
      <c r="B3236" s="16" t="n">
        <v>44553</v>
      </c>
      <c r="C3236" t="inlineStr">
        <is>
          <t>VTA</t>
        </is>
      </c>
      <c r="D3236" t="n">
        <v>40</v>
      </c>
      <c r="E3236">
        <f>IF(D1811&gt;0,VLOOKUP(OPERAC[[#This Row],[COD CART]],[1]!MatrizCortoLargoCyl[#All],3,0),"")</f>
        <v/>
      </c>
      <c r="F3236" t="inlineStr">
        <is>
          <t>ON</t>
        </is>
      </c>
      <c r="G3236" t="n">
        <v>4</v>
      </c>
      <c r="H3236" t="n">
        <v>-268.4544319999999</v>
      </c>
      <c r="I3236">
        <f>-H1811/G1811</f>
        <v/>
      </c>
      <c r="J3236" s="16" t="n">
        <v>44606</v>
      </c>
      <c r="K3236">
        <f>+OPERAC[[#This Row],[cantidad]]</f>
        <v/>
      </c>
      <c r="L3236">
        <f>+OPERAC[[#This Row],[cantidad venta]]*58.449</f>
        <v/>
      </c>
    </row>
    <row r="3237">
      <c r="A3237" t="n">
        <v>13190</v>
      </c>
      <c r="B3237" s="16" t="n">
        <v>44558</v>
      </c>
      <c r="C3237" t="inlineStr">
        <is>
          <t>CPR</t>
        </is>
      </c>
      <c r="D3237" t="n">
        <v>40</v>
      </c>
      <c r="E3237">
        <f>IF(D3451&gt;0,VLOOKUP(OPERAC[[#This Row],[COD CART]],[1]!MatrizCortoLargoCyl[#All],3,0),"")</f>
        <v/>
      </c>
      <c r="F3237" t="inlineStr">
        <is>
          <t>UPST</t>
        </is>
      </c>
      <c r="G3237" t="n">
        <v>5</v>
      </c>
      <c r="H3237" t="n">
        <v>-753.001</v>
      </c>
      <c r="I3237">
        <f>-H3451/G3451</f>
        <v/>
      </c>
      <c r="J3237" s="16" t="n">
        <v>44580</v>
      </c>
      <c r="K3237" t="n">
        <v>5</v>
      </c>
      <c r="L3237" t="n">
        <v>539.045</v>
      </c>
    </row>
    <row r="3238">
      <c r="A3238" t="n">
        <v>13190</v>
      </c>
      <c r="B3238" s="16" t="n">
        <v>44571</v>
      </c>
      <c r="C3238" t="inlineStr">
        <is>
          <t>VTA</t>
        </is>
      </c>
      <c r="D3238" t="n">
        <v>39</v>
      </c>
      <c r="E3238">
        <f>IF(D262&gt;0,VLOOKUP(OPERAC[[#This Row],[COD CART]],[1]!MatrizCortoLargoCyl[#All],3,0),"")</f>
        <v/>
      </c>
      <c r="F3238" t="inlineStr">
        <is>
          <t>TSLA/V/870,00/21-01-22</t>
        </is>
      </c>
      <c r="G3238" t="n">
        <v>-300</v>
      </c>
      <c r="H3238" t="n">
        <v>1725.2811</v>
      </c>
      <c r="I3238">
        <f>-H262/G262</f>
        <v/>
      </c>
      <c r="J3238" s="16" t="n">
        <v>44574</v>
      </c>
      <c r="K3238" t="n">
        <v>-300</v>
      </c>
      <c r="L3238" t="n">
        <v>-499.7439</v>
      </c>
    </row>
    <row r="3239">
      <c r="A3239" t="n">
        <v>13190</v>
      </c>
      <c r="B3239" s="16" t="n">
        <v>44574</v>
      </c>
      <c r="C3239" t="inlineStr">
        <is>
          <t>VTA</t>
        </is>
      </c>
      <c r="D3239" t="n">
        <v>39</v>
      </c>
      <c r="E3239">
        <f>IF(D643&gt;0,VLOOKUP(OPERAC[[#This Row],[COD CART]],[1]!MatrizCortoLargoCyl[#All],3,0),"")</f>
        <v/>
      </c>
      <c r="F3239" t="inlineStr">
        <is>
          <t>TSLA/V/900,00/21-01-22</t>
        </is>
      </c>
      <c r="G3239" t="n">
        <v>-200</v>
      </c>
      <c r="H3239" t="n">
        <v>535.1504</v>
      </c>
      <c r="I3239">
        <f>-H643/G643</f>
        <v/>
      </c>
      <c r="J3239" s="16" t="n">
        <v>44582</v>
      </c>
      <c r="K3239">
        <f>+OPERAC[[#This Row],[cantidad]]</f>
        <v/>
      </c>
      <c r="L3239" t="n">
        <v>0</v>
      </c>
    </row>
    <row r="3240">
      <c r="A3240" t="n">
        <v>13190</v>
      </c>
      <c r="B3240" s="16" t="n">
        <v>44581</v>
      </c>
      <c r="C3240" t="inlineStr">
        <is>
          <t>CPR</t>
        </is>
      </c>
      <c r="D3240" t="n">
        <v>32</v>
      </c>
      <c r="E3240">
        <f>IF(D4463&gt;0,VLOOKUP(OPERAC[[#This Row],[COD CART]],[1]!MatrizCortoLargoCyl[#All],3,0),"")</f>
        <v/>
      </c>
      <c r="F3240" t="inlineStr">
        <is>
          <t>HMY/CYL/4,00/18-02-22</t>
        </is>
      </c>
      <c r="G3240" t="n">
        <v>300</v>
      </c>
      <c r="H3240" t="n">
        <v>-1162.403988</v>
      </c>
      <c r="I3240">
        <f>-H4463/G4463</f>
        <v/>
      </c>
      <c r="J3240" s="16" t="n">
        <v>44610</v>
      </c>
      <c r="K3240">
        <f>+OPERAC[[#This Row],[cantidad]]</f>
        <v/>
      </c>
      <c r="L3240">
        <f>+OPERAC[[#This Row],[cantidad venta]]*3.8323</f>
        <v/>
      </c>
    </row>
    <row r="3241">
      <c r="A3241" t="n">
        <v>13190</v>
      </c>
      <c r="B3241" s="16" t="n">
        <v>44609</v>
      </c>
      <c r="C3241" t="inlineStr">
        <is>
          <t>VTA</t>
        </is>
      </c>
      <c r="D3241" t="n">
        <v>32</v>
      </c>
      <c r="E3241">
        <f>IF(D3878&gt;0,VLOOKUP(OPERAC[[#This Row],[COD CART]],[1]!MatrizCortoLargoCyl[#All],3,0),"")</f>
        <v/>
      </c>
      <c r="F3241" t="inlineStr">
        <is>
          <t>HIMX/CYL/9,00/18-03-22</t>
        </is>
      </c>
      <c r="G3241" t="n">
        <v>100</v>
      </c>
      <c r="H3241" t="n">
        <v>-869.5839999999999</v>
      </c>
      <c r="I3241">
        <f>-H3878/G3878</f>
        <v/>
      </c>
      <c r="J3241" s="16" t="n">
        <v>44622</v>
      </c>
      <c r="K3241">
        <f>+OPERAC[[#This Row],[cantidad]]</f>
        <v/>
      </c>
      <c r="L3241" t="n">
        <v>883.576</v>
      </c>
    </row>
    <row r="3242">
      <c r="A3242" t="n">
        <v>13190</v>
      </c>
      <c r="B3242" s="16" t="n">
        <v>44616</v>
      </c>
      <c r="C3242" t="inlineStr">
        <is>
          <t>VTA</t>
        </is>
      </c>
      <c r="D3242" t="n">
        <v>32</v>
      </c>
      <c r="E3242">
        <f>IF(D5570&gt;0,VLOOKUP(OPERAC[[#This Row],[COD CART]],[1]!MatrizCortoLargoCyl[#All],3,0),"")</f>
        <v/>
      </c>
      <c r="F3242" t="inlineStr">
        <is>
          <t>PLTR/CYL/12,00/14-04-22</t>
        </is>
      </c>
      <c r="G3242" t="n">
        <v>200</v>
      </c>
      <c r="H3242" t="n">
        <v>-2105.453</v>
      </c>
      <c r="I3242">
        <f>-H5570/G5570</f>
        <v/>
      </c>
      <c r="J3242" s="16" t="n">
        <v>44643</v>
      </c>
      <c r="K3242" t="n">
        <v>200</v>
      </c>
      <c r="L3242" t="n">
        <v>2293.448</v>
      </c>
    </row>
    <row r="3243">
      <c r="A3243" t="n">
        <v>13190</v>
      </c>
      <c r="B3243" s="16" t="n">
        <v>44622</v>
      </c>
      <c r="C3243" t="inlineStr">
        <is>
          <t>CPR</t>
        </is>
      </c>
      <c r="D3243" t="n">
        <v>32</v>
      </c>
      <c r="E3243">
        <f>IF(D4059&gt;0,VLOOKUP(OPERAC[[#This Row],[COD CART]],[1]!MatrizCortoLargoCyl[#All],3,0),"")</f>
        <v/>
      </c>
      <c r="F3243" t="inlineStr">
        <is>
          <t>SABR/CYL/10,00/14-04-22</t>
        </is>
      </c>
      <c r="G3243" t="n">
        <v>100</v>
      </c>
      <c r="H3243" t="n">
        <v>-928.9848000000001</v>
      </c>
      <c r="I3243">
        <f>-H4059/G4059</f>
        <v/>
      </c>
      <c r="J3243" s="16" t="n">
        <v>44649</v>
      </c>
      <c r="K3243" t="n">
        <v>100</v>
      </c>
      <c r="L3243" t="n">
        <v>982.1799999999999</v>
      </c>
    </row>
    <row r="3244">
      <c r="A3244" t="n">
        <v>13190</v>
      </c>
      <c r="B3244" s="16" t="n">
        <v>44628</v>
      </c>
      <c r="C3244" t="inlineStr">
        <is>
          <t>VTA</t>
        </is>
      </c>
      <c r="D3244" t="n">
        <v>40</v>
      </c>
      <c r="E3244">
        <f>IF(D2395&gt;0,VLOOKUP(OPERAC[[#This Row],[COD CART]],[1]!MatrizCortoLargoCyl[#All],3,0),"")</f>
        <v/>
      </c>
      <c r="F3244" t="inlineStr">
        <is>
          <t>CVV</t>
        </is>
      </c>
      <c r="G3244" t="n">
        <v>100</v>
      </c>
      <c r="H3244" t="n">
        <v>-422.4488</v>
      </c>
      <c r="I3244">
        <f>-H2395/G2395</f>
        <v/>
      </c>
      <c r="J3244" s="16" t="n">
        <v>44649</v>
      </c>
      <c r="K3244">
        <f>+OPERAC[[#This Row],[cantidad]]</f>
        <v/>
      </c>
      <c r="L3244">
        <f>+OPERAC[[#This Row],[cantidad venta]]*4.459</f>
        <v/>
      </c>
    </row>
    <row r="3245">
      <c r="A3245" t="n">
        <v>13190</v>
      </c>
      <c r="B3245" s="16" t="n">
        <v>44641</v>
      </c>
      <c r="C3245" t="inlineStr">
        <is>
          <t>VTA</t>
        </is>
      </c>
      <c r="D3245" t="n">
        <v>42</v>
      </c>
      <c r="E3245">
        <f>IF(D2421&gt;0,VLOOKUP(OPERAC[[#This Row],[COD CART]],[1]!MatrizCortoLargoCyl[#All],3,0),"")</f>
        <v/>
      </c>
      <c r="F3245" t="inlineStr">
        <is>
          <t>FB</t>
        </is>
      </c>
      <c r="G3245" t="n">
        <v>2</v>
      </c>
      <c r="H3245" t="n">
        <v>-424.31276</v>
      </c>
      <c r="I3245">
        <f>-H2421/G2421</f>
        <v/>
      </c>
      <c r="J3245" s="16" t="n">
        <v>44671</v>
      </c>
      <c r="K3245">
        <f>+OPERAC[[#This Row],[cantidad]]</f>
        <v/>
      </c>
      <c r="L3245">
        <f>+OPERAC[[#This Row],[cantidad venta]]*213.173</f>
        <v/>
      </c>
    </row>
    <row r="3246">
      <c r="A3246" t="n">
        <v>13190</v>
      </c>
      <c r="B3246" s="16" t="n">
        <v>44643</v>
      </c>
      <c r="C3246" t="inlineStr">
        <is>
          <t>CPR</t>
        </is>
      </c>
      <c r="D3246" t="n">
        <v>31</v>
      </c>
      <c r="E3246">
        <f>IF(D4425&gt;0,VLOOKUP(OPERAC[[#This Row],[COD CART]],[1]!MatrizCortoLargoCyl[#All],3,0),"")</f>
        <v/>
      </c>
      <c r="F3246" t="inlineStr">
        <is>
          <t>COST</t>
        </is>
      </c>
      <c r="G3246" t="n">
        <v>2</v>
      </c>
      <c r="H3246" t="n">
        <v>-1116.5096</v>
      </c>
      <c r="I3246">
        <f>-H4425/G4425</f>
        <v/>
      </c>
      <c r="J3246" s="16" t="n">
        <v>44693</v>
      </c>
      <c r="K3246" t="n">
        <v>2</v>
      </c>
      <c r="L3246" t="n">
        <v>969.11</v>
      </c>
    </row>
    <row r="3247">
      <c r="A3247" t="n">
        <v>13190</v>
      </c>
      <c r="B3247" s="16" t="n">
        <v>44643</v>
      </c>
      <c r="C3247" t="inlineStr">
        <is>
          <t>VTA</t>
        </is>
      </c>
      <c r="D3247" t="n">
        <v>39</v>
      </c>
      <c r="E3247">
        <f>IF(D209&gt;0,VLOOKUP(OPERAC[[#This Row],[COD CART]],[1]!MatrizCortoLargoCyl[#All],3,0),"")</f>
        <v/>
      </c>
      <c r="F3247" t="inlineStr">
        <is>
          <t>TSLA/C/1200,00/25-03-22</t>
        </is>
      </c>
      <c r="G3247" t="n">
        <v>-2000</v>
      </c>
      <c r="H3247" t="n">
        <v>2089</v>
      </c>
      <c r="I3247">
        <f>-H209/G209</f>
        <v/>
      </c>
      <c r="J3247" s="16" t="n">
        <v>44645</v>
      </c>
      <c r="K3247" t="n">
        <v>-2000</v>
      </c>
      <c r="L3247" t="n">
        <v>0</v>
      </c>
    </row>
    <row r="3248">
      <c r="A3248" t="n">
        <v>13190</v>
      </c>
      <c r="B3248" s="16" t="n">
        <v>44643</v>
      </c>
      <c r="C3248" t="inlineStr">
        <is>
          <t>VTA</t>
        </is>
      </c>
      <c r="D3248" t="n">
        <v>32</v>
      </c>
      <c r="E3248">
        <f>IF(D5199&gt;0,VLOOKUP(OPERAC[[#This Row],[COD CART]],[1]!MatrizCortoLargoCyl[#All],3,0),"")</f>
        <v/>
      </c>
      <c r="F3248" t="inlineStr">
        <is>
          <t>EDIT/CYL/17,00/14-04-22</t>
        </is>
      </c>
      <c r="G3248" t="n">
        <v>100</v>
      </c>
      <c r="H3248" t="n">
        <v>-1650.54</v>
      </c>
      <c r="I3248">
        <f>-H5199/G5199</f>
        <v/>
      </c>
      <c r="J3248" s="16" t="n">
        <v>44648</v>
      </c>
      <c r="K3248" t="n">
        <v>100</v>
      </c>
      <c r="L3248">
        <f>-202.298+1898.018</f>
        <v/>
      </c>
    </row>
    <row r="3249">
      <c r="A3249" t="n">
        <v>13190</v>
      </c>
      <c r="B3249" s="16" t="n">
        <v>44645</v>
      </c>
      <c r="C3249" t="inlineStr">
        <is>
          <t>CPR</t>
        </is>
      </c>
      <c r="D3249" t="n">
        <v>42</v>
      </c>
      <c r="E3249">
        <f>IF(D1863&gt;0,VLOOKUP(OPERAC[[#This Row],[COD CART]],[1]!MatrizCortoLargoCyl[#All],3,0),"")</f>
        <v/>
      </c>
      <c r="F3249" t="inlineStr">
        <is>
          <t>PLUG</t>
        </is>
      </c>
      <c r="G3249" t="n">
        <v>10</v>
      </c>
      <c r="H3249" t="n">
        <v>-279.3164</v>
      </c>
      <c r="I3249">
        <f>-H1863/G1863</f>
        <v/>
      </c>
      <c r="J3249" s="16" t="n">
        <v>44652</v>
      </c>
      <c r="K3249">
        <f>+OPERAC[[#This Row],[cantidad]]</f>
        <v/>
      </c>
      <c r="L3249">
        <f>+OPERAC[[#This Row],[cantidad venta]]*27.754</f>
        <v/>
      </c>
    </row>
    <row r="3250">
      <c r="A3250" t="n">
        <v>13190</v>
      </c>
      <c r="B3250" s="16" t="n">
        <v>44649</v>
      </c>
      <c r="C3250" t="inlineStr">
        <is>
          <t>CPR</t>
        </is>
      </c>
      <c r="D3250" t="n">
        <v>42</v>
      </c>
      <c r="E3250">
        <f>IF(D2598&gt;0,VLOOKUP(OPERAC[[#This Row],[COD CART]],[1]!MatrizCortoLargoCyl[#All],3,0),"")</f>
        <v/>
      </c>
      <c r="F3250" t="inlineStr">
        <is>
          <t>ADBE</t>
        </is>
      </c>
      <c r="G3250" t="n">
        <v>1</v>
      </c>
      <c r="H3250" t="n">
        <v>-469.95584</v>
      </c>
      <c r="I3250">
        <f>-H2598/G2598</f>
        <v/>
      </c>
      <c r="J3250" s="16" t="n">
        <v>44687</v>
      </c>
      <c r="K3250">
        <f>+OPERAC[[#This Row],[cantidad]]</f>
        <v/>
      </c>
      <c r="L3250" t="n">
        <v>386.42</v>
      </c>
    </row>
    <row r="3251">
      <c r="A3251" t="n">
        <v>13190</v>
      </c>
      <c r="B3251" s="16" t="n">
        <v>44649</v>
      </c>
      <c r="C3251" t="inlineStr">
        <is>
          <t>CPR</t>
        </is>
      </c>
      <c r="D3251" t="n">
        <v>42</v>
      </c>
      <c r="E3251">
        <f>IF(D2651&gt;0,VLOOKUP(OPERAC[[#This Row],[COD CART]],[1]!MatrizCortoLargoCyl[#All],3,0),"")</f>
        <v/>
      </c>
      <c r="F3251" t="inlineStr">
        <is>
          <t>CRESY</t>
        </is>
      </c>
      <c r="G3251" t="n">
        <v>60</v>
      </c>
      <c r="H3251" t="n">
        <v>-485.53104</v>
      </c>
      <c r="I3251">
        <f>-H2651/G2651</f>
        <v/>
      </c>
      <c r="J3251" s="16" t="n">
        <v>44657</v>
      </c>
      <c r="K3251">
        <f>+OPERAC[[#This Row],[cantidad]]</f>
        <v/>
      </c>
      <c r="L3251">
        <f>+OPERAC[[#This Row],[cantidad venta]]*7.664</f>
        <v/>
      </c>
    </row>
    <row r="3252">
      <c r="A3252" t="n">
        <v>13190</v>
      </c>
      <c r="B3252" s="16" t="n">
        <v>44649</v>
      </c>
      <c r="C3252" t="inlineStr">
        <is>
          <t>CPR</t>
        </is>
      </c>
      <c r="D3252" t="n">
        <v>31</v>
      </c>
      <c r="E3252">
        <f>IF(D3394&gt;0,VLOOKUP(OPERAC[[#This Row],[COD CART]],[1]!MatrizCortoLargoCyl[#All],3,0),"")</f>
        <v/>
      </c>
      <c r="F3252" t="inlineStr">
        <is>
          <t>BRK B</t>
        </is>
      </c>
      <c r="G3252" t="n">
        <v>2</v>
      </c>
      <c r="H3252" t="n">
        <v>-716.3977600000001</v>
      </c>
      <c r="I3252">
        <f>-H3394/G3394</f>
        <v/>
      </c>
      <c r="J3252" s="16" t="n">
        <v>44663</v>
      </c>
      <c r="K3252" t="n">
        <v>2</v>
      </c>
      <c r="L3252" t="n">
        <v>697.348</v>
      </c>
    </row>
    <row r="3253">
      <c r="A3253" t="n">
        <v>13190</v>
      </c>
      <c r="B3253" s="16" t="n">
        <v>44649</v>
      </c>
      <c r="C3253" t="inlineStr">
        <is>
          <t>VTA</t>
        </is>
      </c>
      <c r="D3253" t="n">
        <v>42</v>
      </c>
      <c r="E3253">
        <f>IF(D1669&gt;0,VLOOKUP(OPERAC[[#This Row],[COD CART]],[1]!MatrizCortoLargoCyl[#All],3,0),"")</f>
        <v/>
      </c>
      <c r="F3253" t="inlineStr">
        <is>
          <t>FB</t>
        </is>
      </c>
      <c r="G3253" t="n">
        <v>1</v>
      </c>
      <c r="H3253" t="n">
        <v>-232.63644</v>
      </c>
      <c r="I3253">
        <f>-H1669/G1669</f>
        <v/>
      </c>
      <c r="J3253" s="16" t="n">
        <v>44671</v>
      </c>
      <c r="K3253">
        <f>+OPERAC[[#This Row],[cantidad]]</f>
        <v/>
      </c>
      <c r="L3253">
        <f>+OPERAC[[#This Row],[cantidad venta]]*213.173</f>
        <v/>
      </c>
    </row>
    <row r="3254">
      <c r="A3254" t="n">
        <v>13190</v>
      </c>
      <c r="B3254" s="16" t="n">
        <v>44649</v>
      </c>
      <c r="C3254" t="inlineStr">
        <is>
          <t>VTA</t>
        </is>
      </c>
      <c r="D3254" t="n">
        <v>42</v>
      </c>
      <c r="E3254">
        <f>IF(D1902&gt;0,VLOOKUP(OPERAC[[#This Row],[COD CART]],[1]!MatrizCortoLargoCyl[#All],3,0),"")</f>
        <v/>
      </c>
      <c r="F3254" t="inlineStr">
        <is>
          <t>DIS</t>
        </is>
      </c>
      <c r="G3254" t="n">
        <v>2</v>
      </c>
      <c r="H3254" t="n">
        <v>-287.700046</v>
      </c>
      <c r="I3254">
        <f>-H1902/G1902</f>
        <v/>
      </c>
      <c r="J3254" s="16" t="n">
        <v>44671</v>
      </c>
      <c r="K3254">
        <f>+OPERAC[[#This Row],[cantidad]]</f>
        <v/>
      </c>
      <c r="L3254">
        <f>+OPERAC[[#This Row],[cantidad venta]]*123.621</f>
        <v/>
      </c>
    </row>
    <row r="3255">
      <c r="A3255" t="n">
        <v>13190</v>
      </c>
      <c r="B3255" s="16" t="n">
        <v>44649</v>
      </c>
      <c r="C3255" t="inlineStr">
        <is>
          <t>VTA</t>
        </is>
      </c>
      <c r="D3255" t="n">
        <v>42</v>
      </c>
      <c r="E3255">
        <f>IF(D2440&gt;0,VLOOKUP(OPERAC[[#This Row],[COD CART]],[1]!MatrizCortoLargoCyl[#All],3,0),"")</f>
        <v/>
      </c>
      <c r="F3255" t="inlineStr">
        <is>
          <t>JPM</t>
        </is>
      </c>
      <c r="G3255" t="n">
        <v>3</v>
      </c>
      <c r="H3255" t="n">
        <v>-427.14519</v>
      </c>
      <c r="I3255">
        <f>-H2440/G2440</f>
        <v/>
      </c>
      <c r="J3255" s="16" t="n">
        <v>44664</v>
      </c>
      <c r="K3255">
        <f>+OPERAC[[#This Row],[cantidad]]</f>
        <v/>
      </c>
      <c r="L3255">
        <f>+OPERAC[[#This Row],[cantidad venta]]*125.943</f>
        <v/>
      </c>
    </row>
    <row r="3256">
      <c r="A3256" t="n">
        <v>13190</v>
      </c>
      <c r="B3256" s="16" t="n">
        <v>44649</v>
      </c>
      <c r="C3256" t="inlineStr">
        <is>
          <t>VTA</t>
        </is>
      </c>
      <c r="D3256" t="n">
        <v>42</v>
      </c>
      <c r="E3256">
        <f>IF(D2998&gt;0,VLOOKUP(OPERAC[[#This Row],[COD CART]],[1]!MatrizCortoLargoCyl[#All],3,0),"")</f>
        <v/>
      </c>
      <c r="F3256" t="inlineStr">
        <is>
          <t>SMH</t>
        </is>
      </c>
      <c r="G3256" t="n">
        <v>2</v>
      </c>
      <c r="H3256" t="n">
        <v>-573.31816</v>
      </c>
      <c r="I3256">
        <f>-H2998/G2998</f>
        <v/>
      </c>
      <c r="J3256" s="16" t="n">
        <v>44663</v>
      </c>
      <c r="K3256">
        <f>+OPERAC[[#This Row],[cantidad]]</f>
        <v/>
      </c>
      <c r="L3256">
        <f>+OPERAC[[#This Row],[cantidad venta]]*238.066</f>
        <v/>
      </c>
    </row>
    <row r="3257">
      <c r="A3257" t="n">
        <v>13190</v>
      </c>
      <c r="B3257" s="16" t="n">
        <v>44650</v>
      </c>
      <c r="C3257" t="inlineStr">
        <is>
          <t>CPR</t>
        </is>
      </c>
      <c r="D3257" t="n">
        <v>32</v>
      </c>
      <c r="E3257">
        <f>IF(D3432&gt;0,VLOOKUP(OPERAC[[#This Row],[COD CART]],[1]!MatrizCortoLargoCyl[#All],3,0),"")</f>
        <v/>
      </c>
      <c r="F3257" t="inlineStr">
        <is>
          <t>UUUU/CYL/8,00/20-05-22</t>
        </is>
      </c>
      <c r="G3257" t="n">
        <v>100</v>
      </c>
      <c r="H3257" t="n">
        <v>-748.0204</v>
      </c>
      <c r="I3257">
        <f>-H3432/G3432</f>
        <v/>
      </c>
      <c r="J3257" s="16" t="n">
        <v>44665</v>
      </c>
      <c r="K3257" t="n">
        <v>100</v>
      </c>
      <c r="L3257" t="n">
        <v>776</v>
      </c>
    </row>
    <row r="3258">
      <c r="A3258" t="n">
        <v>13190</v>
      </c>
      <c r="B3258" s="16" t="n">
        <v>44650</v>
      </c>
      <c r="C3258" t="inlineStr">
        <is>
          <t>CPR</t>
        </is>
      </c>
      <c r="D3258" t="n">
        <v>43</v>
      </c>
      <c r="E3258">
        <f>IF(D4047&gt;0,VLOOKUP(OPERAC[[#This Row],[COD CART]],[1]!MatrizCortoLargoCyl[#All],3,0),"")</f>
        <v/>
      </c>
      <c r="F3258" t="inlineStr">
        <is>
          <t>ACB/CYL-PUT/3,00/20-01-23</t>
        </is>
      </c>
      <c r="G3258" t="n">
        <v>500</v>
      </c>
      <c r="H3258" t="n">
        <v>-928.8890000000001</v>
      </c>
      <c r="I3258">
        <f>-H4047/G4047</f>
        <v/>
      </c>
    </row>
    <row r="3259">
      <c r="A3259" t="n">
        <v>13190</v>
      </c>
      <c r="B3259" s="16" t="n">
        <v>44652</v>
      </c>
      <c r="C3259" t="inlineStr">
        <is>
          <t>VTA</t>
        </is>
      </c>
      <c r="D3259" t="n">
        <v>42</v>
      </c>
      <c r="E3259">
        <f>IF(D2044&gt;0,VLOOKUP(OPERAC[[#This Row],[COD CART]],[1]!MatrizCortoLargoCyl[#All],3,0),"")</f>
        <v/>
      </c>
      <c r="F3259" t="inlineStr">
        <is>
          <t>GBTC</t>
        </is>
      </c>
      <c r="G3259" t="n">
        <v>10</v>
      </c>
      <c r="H3259" t="n">
        <v>-321.098</v>
      </c>
      <c r="I3259">
        <f>-H2044/G2044</f>
        <v/>
      </c>
      <c r="J3259" s="16" t="n">
        <v>44662</v>
      </c>
      <c r="K3259">
        <f>+OPERAC[[#This Row],[cantidad]]</f>
        <v/>
      </c>
      <c r="L3259">
        <f>27.99*OPERAC[[#This Row],[cantidad venta]]</f>
        <v/>
      </c>
    </row>
    <row r="3260">
      <c r="A3260" t="n">
        <v>13190</v>
      </c>
      <c r="B3260" s="16" t="n">
        <v>44662</v>
      </c>
      <c r="C3260" t="inlineStr">
        <is>
          <t>VTA</t>
        </is>
      </c>
      <c r="D3260" t="n">
        <v>42</v>
      </c>
      <c r="E3260">
        <f>IF(D2208&gt;0,VLOOKUP(OPERAC[[#This Row],[COD CART]],[1]!MatrizCortoLargoCyl[#All],3,0),"")</f>
        <v/>
      </c>
      <c r="F3260" t="inlineStr">
        <is>
          <t>HYDR</t>
        </is>
      </c>
      <c r="G3260" t="n">
        <v>20</v>
      </c>
      <c r="H3260" t="n">
        <v>-371.4068800000001</v>
      </c>
      <c r="I3260">
        <f>-H2208/G2208</f>
        <v/>
      </c>
      <c r="J3260" s="16" t="n">
        <v>44693</v>
      </c>
      <c r="K3260">
        <f>+OPERAC[[#This Row],[cantidad]]</f>
        <v/>
      </c>
      <c r="L3260">
        <f>+OPERAC[[#This Row],[cantidad venta]]*12.027</f>
        <v/>
      </c>
    </row>
    <row r="3261">
      <c r="A3261" t="n">
        <v>13190</v>
      </c>
      <c r="B3261" s="16" t="n">
        <v>44662</v>
      </c>
      <c r="C3261" t="inlineStr">
        <is>
          <t>VTA</t>
        </is>
      </c>
      <c r="D3261" t="n">
        <v>42</v>
      </c>
      <c r="E3261">
        <f>IF(D2502&gt;0,VLOOKUP(OPERAC[[#This Row],[COD CART]],[1]!MatrizCortoLargoCyl[#All],3,0),"")</f>
        <v/>
      </c>
      <c r="F3261" t="inlineStr">
        <is>
          <t>UPST</t>
        </is>
      </c>
      <c r="G3261" t="n">
        <v>5</v>
      </c>
      <c r="H3261" t="n">
        <v>-457.0018</v>
      </c>
      <c r="I3261">
        <f>-H2502/G2502</f>
        <v/>
      </c>
      <c r="J3261" s="16" t="n">
        <v>44693</v>
      </c>
      <c r="K3261" t="n">
        <v>5</v>
      </c>
      <c r="L3261" t="n">
        <v>153.722</v>
      </c>
    </row>
    <row r="3262">
      <c r="A3262" t="n">
        <v>13190</v>
      </c>
      <c r="B3262" s="16" t="n">
        <v>44664</v>
      </c>
      <c r="C3262" t="inlineStr">
        <is>
          <t>CPR</t>
        </is>
      </c>
      <c r="D3262" t="n">
        <v>42</v>
      </c>
      <c r="E3262">
        <f>IF(D4582&gt;0,VLOOKUP(OPERAC[[#This Row],[COD CART]],[1]!MatrizCortoLargoCyl[#All],3,0),"")</f>
        <v/>
      </c>
      <c r="F3262" t="inlineStr">
        <is>
          <t>PSQ</t>
        </is>
      </c>
      <c r="G3262" t="n">
        <v>100</v>
      </c>
      <c r="H3262" t="n">
        <v>-1243.2572181</v>
      </c>
      <c r="I3262">
        <f>-H4582/G4582</f>
        <v/>
      </c>
      <c r="J3262" s="16" t="n">
        <v>44680</v>
      </c>
      <c r="K3262">
        <f>+OPERAC[[#This Row],[cantidad]]</f>
        <v/>
      </c>
      <c r="L3262">
        <f>12.848*OPERAC[[#This Row],[cantidad venta]]</f>
        <v/>
      </c>
    </row>
    <row r="3263">
      <c r="A3263" t="n">
        <v>13190</v>
      </c>
      <c r="B3263" s="16" t="n">
        <v>44669</v>
      </c>
      <c r="C3263" t="inlineStr">
        <is>
          <t>CPR</t>
        </is>
      </c>
      <c r="D3263" t="n">
        <v>32</v>
      </c>
      <c r="E3263">
        <f>IF(D4039&gt;0,VLOOKUP(OPERAC[[#This Row],[COD CART]],[1]!MatrizCortoLargoCyl[#All],3,0),"")</f>
        <v/>
      </c>
      <c r="F3263" t="inlineStr">
        <is>
          <t>HMY</t>
        </is>
      </c>
      <c r="G3263" t="n">
        <v>200</v>
      </c>
      <c r="H3263">
        <f>-4.64*OPERAC[[#This Row],[cantidad]]</f>
        <v/>
      </c>
      <c r="I3263">
        <f>-H4039/G4039</f>
        <v/>
      </c>
    </row>
    <row r="3264">
      <c r="A3264" t="n">
        <v>13190</v>
      </c>
      <c r="B3264" s="16" t="n">
        <v>44671</v>
      </c>
      <c r="C3264" t="inlineStr">
        <is>
          <t>CPR</t>
        </is>
      </c>
      <c r="D3264" t="n">
        <v>42</v>
      </c>
      <c r="E3264">
        <f>IF(D3505&gt;0,VLOOKUP(OPERAC[[#This Row],[COD CART]],[1]!MatrizCortoLargoCyl[#All],3,0),"")</f>
        <v/>
      </c>
      <c r="F3264" t="inlineStr">
        <is>
          <t>NFLX</t>
        </is>
      </c>
      <c r="G3264" t="n">
        <v>3</v>
      </c>
      <c r="H3264" t="n">
        <v>-763.51518</v>
      </c>
      <c r="I3264">
        <f>-H3505/G3505</f>
        <v/>
      </c>
      <c r="J3264" s="16" t="n">
        <v>44693</v>
      </c>
      <c r="K3264">
        <f>+OPERAC[[#This Row],[cantidad]]</f>
        <v/>
      </c>
      <c r="L3264">
        <f>+OPERAC[[#This Row],[cantidad venta]]*169.079</f>
        <v/>
      </c>
    </row>
    <row r="3265">
      <c r="A3265" t="n">
        <v>13190</v>
      </c>
      <c r="B3265" s="16" t="n">
        <v>44671</v>
      </c>
      <c r="C3265" t="inlineStr">
        <is>
          <t>VTA</t>
        </is>
      </c>
      <c r="D3265" t="n">
        <v>42</v>
      </c>
      <c r="E3265">
        <f>IF(D1712&gt;0,VLOOKUP(OPERAC[[#This Row],[COD CART]],[1]!MatrizCortoLargoCyl[#All],3,0),"")</f>
        <v/>
      </c>
      <c r="F3265" t="inlineStr">
        <is>
          <t>TLT</t>
        </is>
      </c>
      <c r="G3265" t="n">
        <v>2</v>
      </c>
      <c r="H3265" t="n">
        <v>-245.12601</v>
      </c>
      <c r="I3265">
        <f>-H1712/G1712</f>
        <v/>
      </c>
    </row>
    <row r="3266">
      <c r="A3266" t="n">
        <v>13190</v>
      </c>
      <c r="B3266" s="16" t="n">
        <v>44680</v>
      </c>
      <c r="C3266" t="inlineStr">
        <is>
          <t>CPR</t>
        </is>
      </c>
      <c r="D3266" t="n">
        <v>42</v>
      </c>
      <c r="E3266">
        <f>IF(D4742&gt;0,VLOOKUP(OPERAC[[#This Row],[COD CART]],[1]!MatrizCortoLargoCyl[#All],3,0),"")</f>
        <v/>
      </c>
      <c r="F3266" t="inlineStr">
        <is>
          <t>XLP</t>
        </is>
      </c>
      <c r="G3266" t="n">
        <v>17</v>
      </c>
      <c r="H3266" t="n">
        <v>-1350.3865425</v>
      </c>
      <c r="I3266">
        <f>-H4742/G4742</f>
        <v/>
      </c>
      <c r="J3266" s="16" t="n">
        <v>44693</v>
      </c>
      <c r="K3266">
        <f>+OPERAC[[#This Row],[cantidad]]</f>
        <v/>
      </c>
      <c r="L3266">
        <f>+OPERAC[[#This Row],[cantidad venta]]*74.848</f>
        <v/>
      </c>
    </row>
    <row r="3267">
      <c r="A3267" t="n">
        <v>13190</v>
      </c>
      <c r="B3267" s="16" t="n">
        <v>44704</v>
      </c>
      <c r="C3267" t="inlineStr">
        <is>
          <t>CPR</t>
        </is>
      </c>
      <c r="D3267" t="n">
        <v>32</v>
      </c>
      <c r="E3267">
        <f>IF(D4075&gt;0,VLOOKUP(OPERAC[[#This Row],[COD CART]],[1]!MatrizCortoLargoCyl[#All],3,0),"")</f>
        <v/>
      </c>
      <c r="F3267" t="inlineStr">
        <is>
          <t>AMC/CYL/9,50/03-06-22</t>
        </is>
      </c>
      <c r="G3267" t="n">
        <v>100</v>
      </c>
      <c r="H3267" t="n">
        <v>-933.579</v>
      </c>
      <c r="I3267">
        <f>-H4075/G4075</f>
        <v/>
      </c>
      <c r="J3267" s="16" t="n">
        <v>44715</v>
      </c>
      <c r="K3267">
        <f>+OPERAC[[#This Row],[cantidad]]</f>
        <v/>
      </c>
      <c r="L3267">
        <f>+OPERAC[[#This Row],[cantidad venta]]*9.457</f>
        <v/>
      </c>
    </row>
    <row r="3268">
      <c r="A3268" t="n">
        <v>13190</v>
      </c>
      <c r="B3268" s="16" t="n">
        <v>44705</v>
      </c>
      <c r="C3268" t="inlineStr">
        <is>
          <t>CPR</t>
        </is>
      </c>
      <c r="D3268" t="n">
        <v>42</v>
      </c>
      <c r="E3268">
        <f>IF(D4026&gt;0,VLOOKUP(OPERAC[[#This Row],[COD CART]],[1]!MatrizCortoLargoCyl[#All],3,0),"")</f>
        <v/>
      </c>
      <c r="F3268" t="inlineStr">
        <is>
          <t>AMD</t>
        </is>
      </c>
      <c r="G3268" t="n">
        <v>10</v>
      </c>
      <c r="H3268" t="n">
        <v>-925.0354</v>
      </c>
      <c r="I3268">
        <f>-H4026/G4026</f>
        <v/>
      </c>
      <c r="J3268" s="16" t="n">
        <v>44707</v>
      </c>
      <c r="K3268">
        <f>+OPERAC[[#This Row],[cantidad]]</f>
        <v/>
      </c>
      <c r="L3268">
        <f>+OPERAC[[#This Row],[cantidad venta]]*94.8</f>
        <v/>
      </c>
    </row>
    <row r="3269">
      <c r="A3269" t="n">
        <v>13190</v>
      </c>
      <c r="B3269" s="16" t="n">
        <v>44707</v>
      </c>
      <c r="C3269" t="inlineStr">
        <is>
          <t>CPR</t>
        </is>
      </c>
      <c r="D3269" t="n">
        <v>42</v>
      </c>
      <c r="E3269">
        <f>IF(D4481&gt;0,VLOOKUP(OPERAC[[#This Row],[COD CART]],[1]!MatrizCortoLargoCyl[#All],3,0),"")</f>
        <v/>
      </c>
      <c r="F3269" t="inlineStr">
        <is>
          <t>ET</t>
        </is>
      </c>
      <c r="G3269" t="n">
        <v>100</v>
      </c>
      <c r="H3269" t="n">
        <v>-1172.38125</v>
      </c>
      <c r="I3269">
        <f>-H4481/G4481</f>
        <v/>
      </c>
      <c r="J3269" s="16" t="n">
        <v>44712</v>
      </c>
      <c r="K3269" t="n">
        <v>100</v>
      </c>
      <c r="L3269" t="n">
        <v>1156.52</v>
      </c>
    </row>
    <row r="3270">
      <c r="A3270" t="n">
        <v>13190</v>
      </c>
      <c r="B3270" s="16" t="n">
        <v>44708</v>
      </c>
      <c r="C3270" t="inlineStr">
        <is>
          <t>VTA</t>
        </is>
      </c>
      <c r="D3270" t="n">
        <v>42</v>
      </c>
      <c r="E3270">
        <f>IF(D2188&gt;0,VLOOKUP(OPERAC[[#This Row],[COD CART]],[1]!MatrizCortoLargoCyl[#All],3,0),"")</f>
        <v/>
      </c>
      <c r="F3270" t="inlineStr">
        <is>
          <t>ACB</t>
        </is>
      </c>
      <c r="G3270" t="n">
        <v>200</v>
      </c>
      <c r="H3270" t="n">
        <v>-365.064157761</v>
      </c>
      <c r="I3270">
        <f>-H2188/G2188</f>
        <v/>
      </c>
    </row>
    <row r="3271">
      <c r="A3271" t="n">
        <v>13190</v>
      </c>
      <c r="B3271" s="16" t="n">
        <v>44712</v>
      </c>
      <c r="C3271" t="inlineStr">
        <is>
          <t>VTA</t>
        </is>
      </c>
      <c r="D3271" t="n">
        <v>39</v>
      </c>
      <c r="E3271">
        <f>IF(D1560&gt;0,VLOOKUP(OPERAC[[#This Row],[COD CART]],[1]!MatrizCortoLargoCyl[#All],3,0),"")</f>
        <v/>
      </c>
      <c r="F3271" t="inlineStr">
        <is>
          <t>ET/C/10,00/21-10-22</t>
        </is>
      </c>
      <c r="G3271" t="n">
        <v>100</v>
      </c>
      <c r="H3271" t="n">
        <v>-202.808</v>
      </c>
      <c r="I3271">
        <f>-H1560/G1560</f>
        <v/>
      </c>
    </row>
    <row r="3272">
      <c r="A3272" t="n">
        <v>13190</v>
      </c>
      <c r="B3272" s="16" t="n">
        <v>44712</v>
      </c>
      <c r="C3272" t="inlineStr">
        <is>
          <t>VTA</t>
        </is>
      </c>
      <c r="D3272" t="n">
        <v>39</v>
      </c>
      <c r="E3272">
        <f>IF(D1568&gt;0,VLOOKUP(OPERAC[[#This Row],[COD CART]],[1]!MatrizCortoLargoCyl[#All],3,0),"")</f>
        <v/>
      </c>
      <c r="F3272" t="inlineStr">
        <is>
          <t>ET/C/10,00/21-10-22</t>
        </is>
      </c>
      <c r="G3272" t="n">
        <v>100</v>
      </c>
      <c r="H3272" t="n">
        <v>-202.808</v>
      </c>
      <c r="I3272">
        <f>-H1568/G1568</f>
        <v/>
      </c>
      <c r="J3272" s="16" t="n">
        <v>44719</v>
      </c>
      <c r="K3272" t="n">
        <v>100</v>
      </c>
      <c r="L3272" t="n">
        <v>247.875</v>
      </c>
    </row>
    <row r="3273">
      <c r="A3273" t="n">
        <v>13190</v>
      </c>
      <c r="B3273" s="16" t="n">
        <v>44718</v>
      </c>
      <c r="C3273" t="inlineStr">
        <is>
          <t>VTA</t>
        </is>
      </c>
      <c r="D3273" t="n">
        <v>42</v>
      </c>
      <c r="E3273">
        <f>IF(D5032&gt;0,VLOOKUP(OPERAC[[#This Row],[COD CART]],[1]!MatrizCortoLargoCyl[#All],3,0),"")</f>
        <v/>
      </c>
      <c r="F3273" t="inlineStr">
        <is>
          <t>KWEB</t>
        </is>
      </c>
      <c r="G3273" t="n">
        <v>50</v>
      </c>
      <c r="H3273" t="n">
        <v>-1554.1694</v>
      </c>
      <c r="I3273">
        <f>-H5032/G5032</f>
        <v/>
      </c>
    </row>
    <row r="3274">
      <c r="A3274" t="n">
        <v>13190</v>
      </c>
      <c r="B3274" s="16" t="n">
        <v>44720</v>
      </c>
      <c r="C3274" t="inlineStr">
        <is>
          <t>CPR</t>
        </is>
      </c>
      <c r="D3274" t="n">
        <v>42</v>
      </c>
      <c r="E3274">
        <f>IF(D4968&gt;0,VLOOKUP(OPERAC[[#This Row],[COD CART]],[1]!MatrizCortoLargoCyl[#All],3,0),"")</f>
        <v/>
      </c>
      <c r="F3274" t="inlineStr">
        <is>
          <t>HYDR</t>
        </is>
      </c>
      <c r="G3274" t="n">
        <v>100</v>
      </c>
      <c r="H3274" t="n">
        <v>-1512.75</v>
      </c>
      <c r="I3274">
        <f>-H4968/G4968</f>
        <v/>
      </c>
    </row>
    <row r="3275">
      <c r="A3275" t="n">
        <v>13204</v>
      </c>
      <c r="B3275" s="16" t="n">
        <v>44461</v>
      </c>
      <c r="C3275" t="inlineStr">
        <is>
          <t>VTA</t>
        </is>
      </c>
      <c r="D3275" t="n">
        <v>40</v>
      </c>
      <c r="E3275">
        <f>IF(D2020&gt;0,VLOOKUP(OPERAC[[#This Row],[COD CART]],[1]!MatrizCortoLargoCyl[#All],3,0),"")</f>
        <v/>
      </c>
      <c r="F3275" t="inlineStr">
        <is>
          <t>EDU</t>
        </is>
      </c>
      <c r="G3275" t="n">
        <v>300</v>
      </c>
      <c r="H3275">
        <f>-1.0864*OPERAC[[#This Row],[cantidad]]+0.04*OPERAC[[#This Row],[cantidad]]</f>
        <v/>
      </c>
      <c r="I3275">
        <f>-H2020/G2020</f>
        <v/>
      </c>
      <c r="J3275" s="16" t="n">
        <v>44614</v>
      </c>
      <c r="K3275">
        <f>+OPERAC[[#This Row],[cantidad]]</f>
        <v/>
      </c>
      <c r="L3275">
        <f>1.483*OPERAC[[#This Row],[cantidad venta]]</f>
        <v/>
      </c>
    </row>
    <row r="3276">
      <c r="A3276" t="n">
        <v>13204</v>
      </c>
      <c r="B3276" s="16" t="n">
        <v>44523</v>
      </c>
      <c r="C3276" t="inlineStr">
        <is>
          <t>VTA</t>
        </is>
      </c>
      <c r="D3276" t="n">
        <v>40</v>
      </c>
      <c r="E3276">
        <f>IF(D1475&gt;0,VLOOKUP(OPERAC[[#This Row],[COD CART]],[1]!MatrizCortoLargoCyl[#All],3,0),"")</f>
        <v/>
      </c>
      <c r="F3276" t="inlineStr">
        <is>
          <t>EDU</t>
        </is>
      </c>
      <c r="G3276" t="n">
        <v>100</v>
      </c>
      <c r="H3276">
        <f>-177.949+0.026*OPERAC[[#This Row],[cantidad]]</f>
        <v/>
      </c>
      <c r="I3276">
        <f>-H1475/G1475</f>
        <v/>
      </c>
      <c r="J3276" s="16" t="n">
        <v>44614</v>
      </c>
      <c r="K3276">
        <f>+OPERAC[[#This Row],[cantidad]]</f>
        <v/>
      </c>
      <c r="L3276">
        <f>1.483*OPERAC[[#This Row],[cantidad venta]]</f>
        <v/>
      </c>
    </row>
    <row r="3277">
      <c r="A3277" t="n">
        <v>13204</v>
      </c>
      <c r="B3277" s="16" t="n">
        <v>44557</v>
      </c>
      <c r="C3277" t="inlineStr">
        <is>
          <t>VTA</t>
        </is>
      </c>
      <c r="D3277" t="n">
        <v>39</v>
      </c>
      <c r="E3277">
        <f>IF(D681&gt;0,VLOOKUP(OPERAC[[#This Row],[COD CART]],[1]!MatrizCortoLargoCyl[#All],3,0),"")</f>
        <v/>
      </c>
      <c r="F3277" t="inlineStr">
        <is>
          <t>TSLA/V/850,00/07-01-22</t>
        </is>
      </c>
      <c r="G3277" t="n">
        <v>-300</v>
      </c>
      <c r="H3277" t="n">
        <v>434.166</v>
      </c>
      <c r="I3277">
        <f>-H681/G681</f>
        <v/>
      </c>
      <c r="J3277" s="16" t="n">
        <v>44564</v>
      </c>
      <c r="K3277" t="n">
        <v>-300</v>
      </c>
      <c r="L3277" t="n">
        <v>-84.71299999999999</v>
      </c>
    </row>
    <row r="3278">
      <c r="A3278" t="n">
        <v>13204</v>
      </c>
      <c r="B3278" s="16" t="n">
        <v>44564</v>
      </c>
      <c r="C3278" t="inlineStr">
        <is>
          <t>VTA</t>
        </is>
      </c>
      <c r="D3278" t="n">
        <v>39</v>
      </c>
      <c r="E3278">
        <f>IF(D975&gt;0,VLOOKUP(OPERAC[[#This Row],[COD CART]],[1]!MatrizCortoLargoCyl[#All],3,0),"")</f>
        <v/>
      </c>
      <c r="F3278" t="inlineStr">
        <is>
          <t>TSLA/V/975,00/07-01-22</t>
        </is>
      </c>
      <c r="G3278" t="n">
        <v>-100</v>
      </c>
      <c r="H3278" t="n">
        <v>77.2578</v>
      </c>
      <c r="I3278">
        <f>-H975/G975</f>
        <v/>
      </c>
      <c r="J3278" s="16" t="n">
        <v>44567</v>
      </c>
      <c r="K3278" t="n">
        <v>-100</v>
      </c>
      <c r="L3278" t="n">
        <v>-77.26000000000001</v>
      </c>
    </row>
    <row r="3279">
      <c r="A3279" t="n">
        <v>13204</v>
      </c>
      <c r="B3279" s="16" t="n">
        <v>44567</v>
      </c>
      <c r="C3279" t="inlineStr">
        <is>
          <t>VTA</t>
        </is>
      </c>
      <c r="D3279" t="n">
        <v>39</v>
      </c>
      <c r="E3279">
        <f>IF(D615&gt;0,VLOOKUP(OPERAC[[#This Row],[COD CART]],[1]!MatrizCortoLargoCyl[#All],3,0),"")</f>
        <v/>
      </c>
      <c r="F3279" t="inlineStr">
        <is>
          <t>TSLA/V/880,00/14-01-22</t>
        </is>
      </c>
      <c r="G3279" t="n">
        <v>-100</v>
      </c>
      <c r="H3279" t="n">
        <v>594.9337</v>
      </c>
      <c r="I3279">
        <f>-H615/G615</f>
        <v/>
      </c>
      <c r="J3279" s="16" t="n">
        <v>44571</v>
      </c>
      <c r="K3279" t="n">
        <v>-100</v>
      </c>
      <c r="L3279" t="n">
        <v>-336.3553</v>
      </c>
    </row>
    <row r="3280">
      <c r="A3280" t="n">
        <v>13204</v>
      </c>
      <c r="B3280" s="16" t="n">
        <v>44571</v>
      </c>
      <c r="C3280" t="inlineStr">
        <is>
          <t>VTA</t>
        </is>
      </c>
      <c r="D3280" t="n">
        <v>39</v>
      </c>
      <c r="E3280">
        <f>IF(D625&gt;0,VLOOKUP(OPERAC[[#This Row],[COD CART]],[1]!MatrizCortoLargoCyl[#All],3,0),"")</f>
        <v/>
      </c>
      <c r="F3280" t="inlineStr">
        <is>
          <t>TSLA/V/870,00/21-01-22</t>
        </is>
      </c>
      <c r="G3280" t="n">
        <v>-100</v>
      </c>
      <c r="H3280" t="n">
        <v>575.0937</v>
      </c>
      <c r="I3280">
        <f>-H625/G625</f>
        <v/>
      </c>
      <c r="J3280" s="16" t="n">
        <v>44574</v>
      </c>
      <c r="K3280" t="n">
        <v>-100</v>
      </c>
      <c r="L3280" t="n">
        <v>-166.5813</v>
      </c>
    </row>
    <row r="3281">
      <c r="A3281" t="n">
        <v>13204</v>
      </c>
      <c r="B3281" s="16" t="n">
        <v>44581</v>
      </c>
      <c r="C3281" t="inlineStr">
        <is>
          <t>CPR</t>
        </is>
      </c>
      <c r="D3281" t="n">
        <v>32</v>
      </c>
      <c r="E3281">
        <f>IF(D3582&gt;0,VLOOKUP(OPERAC[[#This Row],[COD CART]],[1]!MatrizCortoLargoCyl[#All],3,0),"")</f>
        <v/>
      </c>
      <c r="F3281" t="inlineStr">
        <is>
          <t>HMY/CYL/4,00/18-02-22</t>
        </is>
      </c>
      <c r="G3281" t="n">
        <v>200</v>
      </c>
      <c r="H3281" t="n">
        <v>-774.9359920000001</v>
      </c>
      <c r="I3281">
        <f>-H3582/G3582</f>
        <v/>
      </c>
      <c r="J3281" s="16" t="n">
        <v>44610</v>
      </c>
      <c r="K3281">
        <f>+OPERAC[[#This Row],[cantidad]]</f>
        <v/>
      </c>
      <c r="L3281">
        <f>+OPERAC[[#This Row],[cantidad venta]]*3.8323</f>
        <v/>
      </c>
    </row>
    <row r="3282">
      <c r="A3282" t="n">
        <v>13204</v>
      </c>
      <c r="B3282" s="16" t="n">
        <v>44594</v>
      </c>
      <c r="C3282" t="inlineStr">
        <is>
          <t>VTA</t>
        </is>
      </c>
      <c r="D3282" t="n">
        <v>40</v>
      </c>
      <c r="E3282">
        <f>IF(D3038&gt;0,VLOOKUP(OPERAC[[#This Row],[COD CART]],[1]!MatrizCortoLargoCyl[#All],3,0),"")</f>
        <v/>
      </c>
      <c r="F3282" t="inlineStr">
        <is>
          <t>EDU</t>
        </is>
      </c>
      <c r="G3282" t="n">
        <v>300</v>
      </c>
      <c r="H3282" t="n">
        <v>-604.8</v>
      </c>
      <c r="I3282">
        <f>-H3038/G3038</f>
        <v/>
      </c>
      <c r="J3282" s="16" t="n">
        <v>44599</v>
      </c>
      <c r="K3282" t="n">
        <v>300</v>
      </c>
      <c r="L3282" t="n">
        <v>462</v>
      </c>
    </row>
    <row r="3283">
      <c r="A3283" t="n">
        <v>13204</v>
      </c>
      <c r="B3283" s="16" t="n">
        <v>44616</v>
      </c>
      <c r="C3283" t="inlineStr">
        <is>
          <t>CPR</t>
        </is>
      </c>
      <c r="D3283" t="n">
        <v>32</v>
      </c>
      <c r="E3283">
        <f>IF(D4319&gt;0,VLOOKUP(OPERAC[[#This Row],[COD CART]],[1]!MatrizCortoLargoCyl[#All],3,0),"")</f>
        <v/>
      </c>
      <c r="F3283" t="inlineStr">
        <is>
          <t>PLTR/CYL/12,00/14-04-22</t>
        </is>
      </c>
      <c r="G3283" t="n">
        <v>100</v>
      </c>
      <c r="H3283" t="n">
        <v>-1052.7265</v>
      </c>
      <c r="I3283">
        <f>-H4319/G4319</f>
        <v/>
      </c>
      <c r="J3283" s="16" t="n">
        <v>44643</v>
      </c>
      <c r="K3283" t="n">
        <v>100</v>
      </c>
      <c r="L3283" t="n">
        <v>1146.72</v>
      </c>
    </row>
    <row r="3284">
      <c r="A3284" t="n">
        <v>13204</v>
      </c>
      <c r="B3284" s="16" t="n">
        <v>44634</v>
      </c>
      <c r="C3284" t="inlineStr">
        <is>
          <t>VTA</t>
        </is>
      </c>
      <c r="D3284" t="n">
        <v>42</v>
      </c>
      <c r="E3284">
        <f>IF(D2089&gt;0,VLOOKUP(OPERAC[[#This Row],[COD CART]],[1]!MatrizCortoLargoCyl[#All],3,0),"")</f>
        <v/>
      </c>
      <c r="F3284" t="inlineStr">
        <is>
          <t>INO</t>
        </is>
      </c>
      <c r="G3284" t="n">
        <v>100</v>
      </c>
      <c r="H3284" t="n">
        <v>-332.0816</v>
      </c>
      <c r="I3284">
        <f>-H2089/G2089</f>
        <v/>
      </c>
      <c r="J3284" s="16" t="n">
        <v>44634</v>
      </c>
      <c r="K3284" t="n">
        <v>100</v>
      </c>
      <c r="L3284" t="n">
        <v>298.8855</v>
      </c>
    </row>
    <row r="3285">
      <c r="A3285" t="n">
        <v>13204</v>
      </c>
      <c r="B3285" s="16" t="n">
        <v>44641</v>
      </c>
      <c r="C3285" t="inlineStr">
        <is>
          <t>VTA</t>
        </is>
      </c>
      <c r="D3285" t="n">
        <v>42</v>
      </c>
      <c r="E3285">
        <f>IF(D1404&gt;0,VLOOKUP(OPERAC[[#This Row],[COD CART]],[1]!MatrizCortoLargoCyl[#All],3,0),"")</f>
        <v/>
      </c>
      <c r="F3285" t="inlineStr">
        <is>
          <t>JPM</t>
        </is>
      </c>
      <c r="G3285" t="n">
        <v>1</v>
      </c>
      <c r="H3285" t="n">
        <v>-140.45434</v>
      </c>
      <c r="I3285">
        <f>-H1404/G1404</f>
        <v/>
      </c>
      <c r="J3285" s="16" t="n">
        <v>44664</v>
      </c>
      <c r="K3285">
        <f>+OPERAC[[#This Row],[cantidad]]</f>
        <v/>
      </c>
      <c r="L3285">
        <f>+OPERAC[[#This Row],[cantidad venta]]*125.943</f>
        <v/>
      </c>
    </row>
    <row r="3286">
      <c r="A3286" t="n">
        <v>13204</v>
      </c>
      <c r="B3286" s="16" t="n">
        <v>44641</v>
      </c>
      <c r="C3286" t="inlineStr">
        <is>
          <t>VTA</t>
        </is>
      </c>
      <c r="D3286" t="n">
        <v>42</v>
      </c>
      <c r="E3286">
        <f>IF(D1601&gt;0,VLOOKUP(OPERAC[[#This Row],[COD CART]],[1]!MatrizCortoLargoCyl[#All],3,0),"")</f>
        <v/>
      </c>
      <c r="F3286" t="inlineStr">
        <is>
          <t>FB</t>
        </is>
      </c>
      <c r="G3286" t="n">
        <v>1</v>
      </c>
      <c r="H3286" t="n">
        <v>-212.15638</v>
      </c>
      <c r="I3286">
        <f>-H1601/G1601</f>
        <v/>
      </c>
      <c r="J3286" s="16" t="n">
        <v>44671</v>
      </c>
      <c r="K3286">
        <f>+OPERAC[[#This Row],[cantidad]]</f>
        <v/>
      </c>
      <c r="L3286">
        <f>+OPERAC[[#This Row],[cantidad venta]]*213.173</f>
        <v/>
      </c>
    </row>
    <row r="3287">
      <c r="A3287" t="n">
        <v>13204</v>
      </c>
      <c r="B3287" s="16" t="n">
        <v>44643</v>
      </c>
      <c r="C3287" t="inlineStr">
        <is>
          <t>VTA</t>
        </is>
      </c>
      <c r="D3287" t="n">
        <v>42</v>
      </c>
      <c r="E3287">
        <f>IF(D1620&gt;0,VLOOKUP(OPERAC[[#This Row],[COD CART]],[1]!MatrizCortoLargoCyl[#All],3,0),"")</f>
        <v/>
      </c>
      <c r="F3287" t="inlineStr">
        <is>
          <t>FB</t>
        </is>
      </c>
      <c r="G3287" t="n">
        <v>1</v>
      </c>
      <c r="H3287" t="n">
        <v>-216.12326</v>
      </c>
      <c r="I3287">
        <f>-H1620/G1620</f>
        <v/>
      </c>
      <c r="J3287" s="16" t="n">
        <v>44671</v>
      </c>
      <c r="K3287">
        <f>+OPERAC[[#This Row],[cantidad]]</f>
        <v/>
      </c>
      <c r="L3287">
        <f>+OPERAC[[#This Row],[cantidad venta]]*213.173</f>
        <v/>
      </c>
    </row>
    <row r="3288">
      <c r="A3288" t="n">
        <v>13204</v>
      </c>
      <c r="B3288" s="16" t="n">
        <v>44643</v>
      </c>
      <c r="C3288" t="inlineStr">
        <is>
          <t>VTA</t>
        </is>
      </c>
      <c r="D3288" t="n">
        <v>42</v>
      </c>
      <c r="E3288">
        <f>IF(D1891&gt;0,VLOOKUP(OPERAC[[#This Row],[COD CART]],[1]!MatrizCortoLargoCyl[#All],3,0),"")</f>
        <v/>
      </c>
      <c r="F3288" t="inlineStr">
        <is>
          <t>JPM</t>
        </is>
      </c>
      <c r="G3288" t="n">
        <v>2</v>
      </c>
      <c r="H3288" t="n">
        <v>-282.49328</v>
      </c>
      <c r="I3288">
        <f>-H1891/G1891</f>
        <v/>
      </c>
      <c r="J3288" s="16" t="n">
        <v>44664</v>
      </c>
      <c r="K3288">
        <f>+OPERAC[[#This Row],[cantidad]]</f>
        <v/>
      </c>
      <c r="L3288">
        <f>+OPERAC[[#This Row],[cantidad venta]]*125.943</f>
        <v/>
      </c>
    </row>
    <row r="3289">
      <c r="A3289" t="n">
        <v>13204</v>
      </c>
      <c r="B3289" s="16" t="n">
        <v>44643</v>
      </c>
      <c r="C3289" t="inlineStr">
        <is>
          <t>VTA</t>
        </is>
      </c>
      <c r="D3289" t="n">
        <v>42</v>
      </c>
      <c r="E3289">
        <f>IF(D2856&gt;0,VLOOKUP(OPERAC[[#This Row],[COD CART]],[1]!MatrizCortoLargoCyl[#All],3,0),"")</f>
        <v/>
      </c>
      <c r="F3289" t="inlineStr">
        <is>
          <t>SMH</t>
        </is>
      </c>
      <c r="G3289" t="n">
        <v>2</v>
      </c>
      <c r="H3289" t="n">
        <v>-534.325796</v>
      </c>
      <c r="I3289">
        <f>-H2856/G2856</f>
        <v/>
      </c>
      <c r="J3289" s="16" t="n">
        <v>44663</v>
      </c>
      <c r="K3289">
        <f>+OPERAC[[#This Row],[cantidad]]</f>
        <v/>
      </c>
      <c r="L3289">
        <f>+OPERAC[[#This Row],[cantidad venta]]*238.066</f>
        <v/>
      </c>
    </row>
    <row r="3290">
      <c r="A3290" t="n">
        <v>13204</v>
      </c>
      <c r="B3290" s="16" t="n">
        <v>44662</v>
      </c>
      <c r="C3290" t="inlineStr">
        <is>
          <t>VTA</t>
        </is>
      </c>
      <c r="D3290" t="n">
        <v>42</v>
      </c>
      <c r="E3290">
        <f>IF(D1304&gt;0,VLOOKUP(OPERAC[[#This Row],[COD CART]],[1]!MatrizCortoLargoCyl[#All],3,0),"")</f>
        <v/>
      </c>
      <c r="F3290" t="inlineStr">
        <is>
          <t>HYDR</t>
        </is>
      </c>
      <c r="G3290" t="n">
        <v>5</v>
      </c>
      <c r="H3290" t="n">
        <v>-92.85172000000001</v>
      </c>
      <c r="I3290">
        <f>-H1304/G1304</f>
        <v/>
      </c>
      <c r="J3290" s="16" t="n">
        <v>44693</v>
      </c>
      <c r="K3290">
        <f>+OPERAC[[#This Row],[cantidad]]</f>
        <v/>
      </c>
      <c r="L3290">
        <f>+OPERAC[[#This Row],[cantidad venta]]*12.027</f>
        <v/>
      </c>
    </row>
    <row r="3291">
      <c r="A3291" t="n">
        <v>13204</v>
      </c>
      <c r="B3291" s="16" t="n">
        <v>44664</v>
      </c>
      <c r="C3291" t="inlineStr">
        <is>
          <t>VTA</t>
        </is>
      </c>
      <c r="D3291" t="n">
        <v>42</v>
      </c>
      <c r="E3291">
        <f>IF(D3089&gt;0,VLOOKUP(OPERAC[[#This Row],[COD CART]],[1]!MatrizCortoLargoCyl[#All],3,0),"")</f>
        <v/>
      </c>
      <c r="F3291" t="inlineStr">
        <is>
          <t>PSQ</t>
        </is>
      </c>
      <c r="G3291" t="n">
        <v>50</v>
      </c>
      <c r="H3291" t="n">
        <v>-621.6286090499999</v>
      </c>
      <c r="I3291">
        <f>-H3089/G3089</f>
        <v/>
      </c>
      <c r="J3291" s="16" t="n">
        <v>44680</v>
      </c>
      <c r="K3291">
        <f>+OPERAC[[#This Row],[cantidad]]</f>
        <v/>
      </c>
      <c r="L3291">
        <f>12.848*OPERAC[[#This Row],[cantidad venta]]</f>
        <v/>
      </c>
    </row>
    <row r="3292">
      <c r="A3292" t="n">
        <v>13204</v>
      </c>
      <c r="B3292" s="16" t="n">
        <v>44671</v>
      </c>
      <c r="C3292" t="inlineStr">
        <is>
          <t>CPR</t>
        </is>
      </c>
      <c r="D3292" t="n">
        <v>42</v>
      </c>
      <c r="E3292">
        <f>IF(D2767&gt;0,VLOOKUP(OPERAC[[#This Row],[COD CART]],[1]!MatrizCortoLargoCyl[#All],3,0),"")</f>
        <v/>
      </c>
      <c r="F3292" t="inlineStr">
        <is>
          <t>NFLX</t>
        </is>
      </c>
      <c r="G3292" t="n">
        <v>2</v>
      </c>
      <c r="H3292" t="n">
        <v>-509.01012</v>
      </c>
      <c r="I3292">
        <f>-H2767/G2767</f>
        <v/>
      </c>
      <c r="J3292" s="16" t="n">
        <v>44693</v>
      </c>
      <c r="K3292">
        <f>+OPERAC[[#This Row],[cantidad]]</f>
        <v/>
      </c>
      <c r="L3292">
        <f>+OPERAC[[#This Row],[cantidad venta]]*169.079</f>
        <v/>
      </c>
    </row>
    <row r="3293">
      <c r="A3293" t="n">
        <v>13204</v>
      </c>
      <c r="B3293" s="16" t="n">
        <v>44680</v>
      </c>
      <c r="C3293" t="inlineStr">
        <is>
          <t>VTA</t>
        </is>
      </c>
      <c r="D3293" t="n">
        <v>42</v>
      </c>
      <c r="E3293">
        <f>IF(D3142&gt;0,VLOOKUP(OPERAC[[#This Row],[COD CART]],[1]!MatrizCortoLargoCyl[#All],3,0),"")</f>
        <v/>
      </c>
      <c r="F3293" t="inlineStr">
        <is>
          <t>XLP</t>
        </is>
      </c>
      <c r="G3293" t="n">
        <v>8</v>
      </c>
      <c r="H3293" t="n">
        <v>-635.4760199999999</v>
      </c>
      <c r="I3293">
        <f>-H3142/G3142</f>
        <v/>
      </c>
      <c r="J3293" s="16" t="n">
        <v>44693</v>
      </c>
      <c r="K3293">
        <f>+OPERAC[[#This Row],[cantidad]]</f>
        <v/>
      </c>
      <c r="L3293">
        <f>+OPERAC[[#This Row],[cantidad venta]]*74.848</f>
        <v/>
      </c>
    </row>
    <row r="3294">
      <c r="A3294" t="n">
        <v>13204</v>
      </c>
      <c r="B3294" s="16" t="n">
        <v>44694</v>
      </c>
      <c r="C3294" t="inlineStr">
        <is>
          <t>CPR</t>
        </is>
      </c>
      <c r="D3294" t="n">
        <v>32</v>
      </c>
      <c r="E3294">
        <f>IF(D4244&gt;0,VLOOKUP(OPERAC[[#This Row],[COD CART]],[1]!MatrizCortoLargoCyl[#All],3,0),"")</f>
        <v/>
      </c>
      <c r="F3294" t="inlineStr">
        <is>
          <t>DDD/CYL/13,00/17-06-22</t>
        </is>
      </c>
      <c r="G3294" t="n">
        <v>100</v>
      </c>
      <c r="H3294" t="n">
        <v>-1010.053</v>
      </c>
      <c r="I3294">
        <f>-H4244/G4244</f>
        <v/>
      </c>
    </row>
    <row r="3295">
      <c r="A3295" t="n">
        <v>13230</v>
      </c>
      <c r="B3295" s="16" t="n">
        <v>44237</v>
      </c>
      <c r="C3295" t="inlineStr">
        <is>
          <t>VTA</t>
        </is>
      </c>
      <c r="D3295" t="n">
        <v>39</v>
      </c>
      <c r="E3295">
        <f>IF(D851&gt;0,VLOOKUP(OPERAC[[#This Row],[COD CART]],[1]!MatrizCortoLargoCyl[#All],3,0),"")</f>
        <v/>
      </c>
      <c r="F3295" t="inlineStr">
        <is>
          <t>TLRY1/V/10,00/20-01-23</t>
        </is>
      </c>
      <c r="G3295" t="n">
        <v>-200</v>
      </c>
      <c r="H3295" t="n">
        <v>200</v>
      </c>
      <c r="I3295">
        <f>-H851/G851</f>
        <v/>
      </c>
      <c r="J3295" s="16" t="n">
        <v>44614</v>
      </c>
      <c r="K3295" t="n">
        <v>-200</v>
      </c>
      <c r="L3295" t="n">
        <v>-1170.679</v>
      </c>
    </row>
    <row r="3296">
      <c r="A3296" t="n">
        <v>13230</v>
      </c>
      <c r="B3296" s="16" t="n">
        <v>44441</v>
      </c>
      <c r="C3296" t="inlineStr">
        <is>
          <t>VTA</t>
        </is>
      </c>
      <c r="D3296" t="n">
        <v>39</v>
      </c>
      <c r="E3296">
        <f>IF(D1199&gt;0,VLOOKUP(OPERAC[[#This Row],[COD CART]],[1]!MatrizCortoLargoCyl[#All],3,0),"")</f>
        <v/>
      </c>
      <c r="F3296" t="inlineStr">
        <is>
          <t>DDD/V/15,00/20-01-23</t>
        </is>
      </c>
      <c r="G3296" t="n">
        <v>-5</v>
      </c>
      <c r="H3296" t="n">
        <v>9.19</v>
      </c>
      <c r="I3296">
        <f>-H1199/G1199</f>
        <v/>
      </c>
      <c r="J3296" s="16" t="n">
        <v>44719</v>
      </c>
      <c r="K3296" t="n">
        <v>-5</v>
      </c>
      <c r="L3296" t="n">
        <v>-27.01</v>
      </c>
    </row>
    <row r="3297">
      <c r="A3297" t="n">
        <v>13230</v>
      </c>
      <c r="B3297" s="16" t="n">
        <v>44461</v>
      </c>
      <c r="C3297" t="inlineStr">
        <is>
          <t>VTA</t>
        </is>
      </c>
      <c r="D3297" t="n">
        <v>40</v>
      </c>
      <c r="E3297">
        <f>IF(D2815&gt;0,VLOOKUP(OPERAC[[#This Row],[COD CART]],[1]!MatrizCortoLargoCyl[#All],3,0),"")</f>
        <v/>
      </c>
      <c r="F3297" t="inlineStr">
        <is>
          <t>EDU</t>
        </is>
      </c>
      <c r="G3297" t="n">
        <v>500</v>
      </c>
      <c r="H3297">
        <f>-1.0864*OPERAC[[#This Row],[cantidad]]+0.04*OPERAC[[#This Row],[cantidad]]</f>
        <v/>
      </c>
      <c r="I3297">
        <f>-H2815/G2815</f>
        <v/>
      </c>
      <c r="J3297" s="16" t="n">
        <v>44614</v>
      </c>
      <c r="K3297">
        <f>+OPERAC[[#This Row],[cantidad]]</f>
        <v/>
      </c>
      <c r="L3297">
        <f>1.483*OPERAC[[#This Row],[cantidad venta]]</f>
        <v/>
      </c>
    </row>
    <row r="3298">
      <c r="A3298" t="n">
        <v>13230</v>
      </c>
      <c r="B3298" s="16" t="n">
        <v>44523</v>
      </c>
      <c r="C3298" t="inlineStr">
        <is>
          <t>VTA</t>
        </is>
      </c>
      <c r="D3298" t="n">
        <v>32</v>
      </c>
      <c r="E3298">
        <f>IF(D3743&gt;0,VLOOKUP(OPERAC[[#This Row],[COD CART]],[1]!MatrizCortoLargoCyl[#All],3,0),"")</f>
        <v/>
      </c>
      <c r="F3298" t="inlineStr">
        <is>
          <t>TEVA/CYL/9,00/21-01-22</t>
        </is>
      </c>
      <c r="G3298" t="n">
        <v>100</v>
      </c>
      <c r="H3298">
        <f>-861.6332+18.874</f>
        <v/>
      </c>
      <c r="I3298">
        <f>-H3743/G3743</f>
        <v/>
      </c>
      <c r="J3298" s="16" t="n">
        <v>44575</v>
      </c>
      <c r="K3298" t="n">
        <v>100</v>
      </c>
      <c r="L3298" t="n">
        <v>878.913</v>
      </c>
    </row>
    <row r="3299">
      <c r="A3299" t="n">
        <v>13230</v>
      </c>
      <c r="B3299" s="16" t="n">
        <v>44538</v>
      </c>
      <c r="C3299" t="inlineStr">
        <is>
          <t>VTA</t>
        </is>
      </c>
      <c r="D3299" t="n">
        <v>39</v>
      </c>
      <c r="E3299">
        <f>IF(D453&gt;0,VLOOKUP(OPERAC[[#This Row],[COD CART]],[1]!MatrizCortoLargoCyl[#All],3,0),"")</f>
        <v/>
      </c>
      <c r="F3299" t="inlineStr">
        <is>
          <t>MELI/V/880,00/21-01-22</t>
        </is>
      </c>
      <c r="G3299" t="n">
        <v>-100</v>
      </c>
      <c r="H3299" t="n">
        <v>1011.84</v>
      </c>
      <c r="I3299">
        <f>-H453/G453</f>
        <v/>
      </c>
      <c r="J3299" s="16" t="n">
        <v>44582</v>
      </c>
      <c r="K3299">
        <f>+OPERAC[[#This Row],[cantidad]]</f>
        <v/>
      </c>
      <c r="L3299" t="n">
        <v>0</v>
      </c>
    </row>
    <row r="3300">
      <c r="A3300" t="n">
        <v>13230</v>
      </c>
      <c r="B3300" s="16" t="n">
        <v>44547</v>
      </c>
      <c r="C3300" t="inlineStr">
        <is>
          <t>VTA</t>
        </is>
      </c>
      <c r="D3300" t="n">
        <v>32</v>
      </c>
      <c r="E3300">
        <f>IF(D3794&gt;0,VLOOKUP(OPERAC[[#This Row],[COD CART]],[1]!MatrizCortoLargoCyl[#All],3,0),"")</f>
        <v/>
      </c>
      <c r="F3300" t="inlineStr">
        <is>
          <t>ARLO/CYL/9,00/18-02-22</t>
        </is>
      </c>
      <c r="G3300" t="n">
        <v>100</v>
      </c>
      <c r="H3300">
        <f>-866.74+14.88</f>
        <v/>
      </c>
      <c r="I3300">
        <f>-H3794/G3794</f>
        <v/>
      </c>
      <c r="J3300" s="16" t="n">
        <v>44607</v>
      </c>
      <c r="K3300" t="n">
        <v>100</v>
      </c>
      <c r="L3300" t="n">
        <v>875.33</v>
      </c>
    </row>
    <row r="3301">
      <c r="A3301" t="n">
        <v>13230</v>
      </c>
      <c r="B3301" s="16" t="n">
        <v>44557</v>
      </c>
      <c r="C3301" t="inlineStr">
        <is>
          <t>CPR</t>
        </is>
      </c>
      <c r="D3301" t="n">
        <v>40</v>
      </c>
      <c r="E3301">
        <f>IF(D3549&gt;0,VLOOKUP(OPERAC[[#This Row],[COD CART]],[1]!MatrizCortoLargoCyl[#All],3,0),"")</f>
        <v/>
      </c>
      <c r="F3301" t="inlineStr">
        <is>
          <t>TLRY</t>
        </is>
      </c>
      <c r="G3301" t="n">
        <v>100</v>
      </c>
      <c r="H3301" t="n">
        <v>-771.62</v>
      </c>
      <c r="I3301">
        <f>-H3549/G3549</f>
        <v/>
      </c>
      <c r="J3301" s="16" t="n">
        <v>44585</v>
      </c>
      <c r="K3301">
        <f>+OPERAC[[#This Row],[cantidad]]</f>
        <v/>
      </c>
      <c r="L3301">
        <f>+OPERAC[[#This Row],[cantidad venta]]*5.263</f>
        <v/>
      </c>
    </row>
    <row r="3302">
      <c r="A3302" t="n">
        <v>13230</v>
      </c>
      <c r="B3302" s="16" t="n">
        <v>44579</v>
      </c>
      <c r="C3302" t="inlineStr">
        <is>
          <t>VTA</t>
        </is>
      </c>
      <c r="D3302" t="n">
        <v>39</v>
      </c>
      <c r="E3302">
        <f>IF(D701&gt;0,VLOOKUP(OPERAC[[#This Row],[COD CART]],[1]!MatrizCortoLargoCyl[#All],3,0),"")</f>
        <v/>
      </c>
      <c r="F3302" t="inlineStr">
        <is>
          <t>TSLA/V/865,00/21-01-22</t>
        </is>
      </c>
      <c r="G3302" t="n">
        <v>-400</v>
      </c>
      <c r="H3302" t="n">
        <v>415.584</v>
      </c>
      <c r="I3302">
        <f>-H701/G701</f>
        <v/>
      </c>
      <c r="J3302" s="16" t="n">
        <v>44582</v>
      </c>
      <c r="K3302" t="n">
        <v>-400</v>
      </c>
      <c r="L3302" t="n">
        <v>0</v>
      </c>
    </row>
    <row r="3303">
      <c r="A3303" t="n">
        <v>13230</v>
      </c>
      <c r="B3303" s="16" t="n">
        <v>44579</v>
      </c>
      <c r="C3303" t="inlineStr">
        <is>
          <t>VTA</t>
        </is>
      </c>
      <c r="D3303" t="n">
        <v>39</v>
      </c>
      <c r="E3303">
        <f>IF(D709&gt;0,VLOOKUP(OPERAC[[#This Row],[COD CART]],[1]!MatrizCortoLargoCyl[#All],3,0),"")</f>
        <v/>
      </c>
      <c r="F3303" t="inlineStr">
        <is>
          <t>TSLA/C/1215,00/21-01-22</t>
        </is>
      </c>
      <c r="G3303" t="n">
        <v>-400</v>
      </c>
      <c r="H3303" t="n">
        <v>413.904</v>
      </c>
      <c r="I3303">
        <f>-H709/G709</f>
        <v/>
      </c>
      <c r="J3303" s="16" t="n">
        <v>44582</v>
      </c>
      <c r="K3303" t="n">
        <v>-400</v>
      </c>
      <c r="L3303" t="n">
        <v>0</v>
      </c>
    </row>
    <row r="3304">
      <c r="A3304" t="n">
        <v>13230</v>
      </c>
      <c r="B3304" s="16" t="n">
        <v>44585</v>
      </c>
      <c r="C3304" t="inlineStr">
        <is>
          <t>VTA</t>
        </is>
      </c>
      <c r="D3304" t="n">
        <v>39</v>
      </c>
      <c r="E3304">
        <f>IF(D850&gt;0,VLOOKUP(OPERAC[[#This Row],[COD CART]],[1]!MatrizCortoLargoCyl[#All],3,0),"")</f>
        <v/>
      </c>
      <c r="F3304" t="inlineStr">
        <is>
          <t>TSLA/C/1200,00/28-01-22</t>
        </is>
      </c>
      <c r="G3304" t="n">
        <v>-200</v>
      </c>
      <c r="H3304" t="n">
        <v>201.84</v>
      </c>
      <c r="I3304">
        <f>-H850/G850</f>
        <v/>
      </c>
      <c r="J3304" s="16" t="n">
        <v>44589</v>
      </c>
      <c r="K3304" t="n">
        <v>-200</v>
      </c>
      <c r="L3304" t="n">
        <v>0</v>
      </c>
    </row>
    <row r="3305">
      <c r="A3305" t="n">
        <v>13230</v>
      </c>
      <c r="B3305" s="16" t="n">
        <v>44587</v>
      </c>
      <c r="C3305" t="inlineStr">
        <is>
          <t>CPR</t>
        </is>
      </c>
      <c r="D3305" t="n">
        <v>40</v>
      </c>
      <c r="E3305">
        <f>IF(D4981&gt;0,VLOOKUP(OPERAC[[#This Row],[COD CART]],[1]!MatrizCortoLargoCyl[#All],3,0),"")</f>
        <v/>
      </c>
      <c r="F3305" t="inlineStr">
        <is>
          <t>MSFT</t>
        </is>
      </c>
      <c r="G3305" t="n">
        <v>5</v>
      </c>
      <c r="H3305" t="n">
        <v>-1517.0563</v>
      </c>
      <c r="I3305">
        <f>-H4981/G4981</f>
        <v/>
      </c>
      <c r="J3305" s="16" t="n">
        <v>44606</v>
      </c>
      <c r="K3305">
        <f>+OPERAC[[#This Row],[cantidad]]</f>
        <v/>
      </c>
      <c r="L3305">
        <f>+OPERAC[[#This Row],[cantidad venta]]*290.091</f>
        <v/>
      </c>
    </row>
    <row r="3306">
      <c r="A3306" t="n">
        <v>13230</v>
      </c>
      <c r="B3306" s="16" t="n">
        <v>44594</v>
      </c>
      <c r="C3306" t="inlineStr">
        <is>
          <t>CPR</t>
        </is>
      </c>
      <c r="D3306" t="n">
        <v>40</v>
      </c>
      <c r="E3306">
        <f>IF(D4226&gt;0,VLOOKUP(OPERAC[[#This Row],[COD CART]],[1]!MatrizCortoLargoCyl[#All],3,0),"")</f>
        <v/>
      </c>
      <c r="F3306" t="inlineStr">
        <is>
          <t>EDU</t>
        </is>
      </c>
      <c r="G3306" t="n">
        <v>500</v>
      </c>
      <c r="H3306" t="n">
        <v>-1008</v>
      </c>
      <c r="I3306">
        <f>-H4226/G4226</f>
        <v/>
      </c>
      <c r="J3306" s="16" t="n">
        <v>44601</v>
      </c>
      <c r="K3306" t="n">
        <v>500</v>
      </c>
      <c r="L3306">
        <f>1.642*500</f>
        <v/>
      </c>
    </row>
    <row r="3307">
      <c r="A3307" t="n">
        <v>13230</v>
      </c>
      <c r="B3307" s="16" t="n">
        <v>44607</v>
      </c>
      <c r="C3307" t="inlineStr">
        <is>
          <t>VTA</t>
        </is>
      </c>
      <c r="D3307" t="n">
        <v>32</v>
      </c>
      <c r="E3307">
        <f>IF(D5215&gt;0,VLOOKUP(OPERAC[[#This Row],[COD CART]],[1]!MatrizCortoLargoCyl[#All],3,0),"")</f>
        <v/>
      </c>
      <c r="F3307" t="inlineStr">
        <is>
          <t>F/CYL/17,00/18-03-22</t>
        </is>
      </c>
      <c r="G3307" t="n">
        <v>100</v>
      </c>
      <c r="H3307" t="n">
        <v>-1658.76</v>
      </c>
      <c r="I3307">
        <f>-H5215/G5215</f>
        <v/>
      </c>
      <c r="J3307" s="16" t="n">
        <v>44638</v>
      </c>
      <c r="K3307">
        <f>+OPERAC[[#This Row],[cantidad]]</f>
        <v/>
      </c>
      <c r="L3307">
        <f>+OPERAC[[#This Row],[cantidad venta]]*16.75</f>
        <v/>
      </c>
    </row>
    <row r="3308">
      <c r="A3308" t="n">
        <v>13230</v>
      </c>
      <c r="B3308" s="16" t="n">
        <v>44608</v>
      </c>
      <c r="C3308" t="inlineStr">
        <is>
          <t>VTA</t>
        </is>
      </c>
      <c r="D3308" t="n">
        <v>32</v>
      </c>
      <c r="E3308">
        <f>IF(D5108&gt;0,VLOOKUP(OPERAC[[#This Row],[COD CART]],[1]!MatrizCortoLargoCyl[#All],3,0),"")</f>
        <v/>
      </c>
      <c r="F3308" t="inlineStr">
        <is>
          <t>DDD/CYL/17,00/01-04-22</t>
        </is>
      </c>
      <c r="G3308" t="n">
        <v>100</v>
      </c>
      <c r="H3308">
        <f>-1629.4234+19.7+16.45</f>
        <v/>
      </c>
      <c r="I3308">
        <f>-H5108/G5108</f>
        <v/>
      </c>
      <c r="J3308" s="16" t="n">
        <v>44649</v>
      </c>
      <c r="K3308" t="n">
        <v>100</v>
      </c>
      <c r="L3308" t="n">
        <v>1661.98</v>
      </c>
    </row>
    <row r="3309">
      <c r="A3309" t="n">
        <v>13230</v>
      </c>
      <c r="B3309" s="16" t="n">
        <v>44609</v>
      </c>
      <c r="C3309" t="inlineStr">
        <is>
          <t>VTA</t>
        </is>
      </c>
      <c r="D3309" t="n">
        <v>32</v>
      </c>
      <c r="E3309">
        <f>IF(D3879&gt;0,VLOOKUP(OPERAC[[#This Row],[COD CART]],[1]!MatrizCortoLargoCyl[#All],3,0),"")</f>
        <v/>
      </c>
      <c r="F3309" t="inlineStr">
        <is>
          <t>HIMX/CYL/9,00/18-03-22</t>
        </is>
      </c>
      <c r="G3309" t="n">
        <v>100</v>
      </c>
      <c r="H3309" t="n">
        <v>-869.5839999999999</v>
      </c>
      <c r="I3309">
        <f>-H3879/G3879</f>
        <v/>
      </c>
      <c r="J3309" s="16" t="n">
        <v>44622</v>
      </c>
      <c r="K3309">
        <f>+OPERAC[[#This Row],[cantidad]]</f>
        <v/>
      </c>
      <c r="L3309" t="n">
        <v>883.576</v>
      </c>
    </row>
    <row r="3310">
      <c r="A3310" t="n">
        <v>13230</v>
      </c>
      <c r="B3310" s="16" t="n">
        <v>44641</v>
      </c>
      <c r="C3310" t="inlineStr">
        <is>
          <t>VTA</t>
        </is>
      </c>
      <c r="D3310" t="n">
        <v>42</v>
      </c>
      <c r="E3310">
        <f>IF(D2879&gt;0,VLOOKUP(OPERAC[[#This Row],[COD CART]],[1]!MatrizCortoLargoCyl[#All],3,0),"")</f>
        <v/>
      </c>
      <c r="F3310" t="inlineStr">
        <is>
          <t>SMH</t>
        </is>
      </c>
      <c r="G3310" t="n">
        <v>2</v>
      </c>
      <c r="H3310" t="n">
        <v>-537.9153000000001</v>
      </c>
      <c r="I3310">
        <f>-H2879/G2879</f>
        <v/>
      </c>
      <c r="J3310" s="16" t="n">
        <v>44645</v>
      </c>
      <c r="K3310" t="n">
        <v>2</v>
      </c>
      <c r="L3310" t="n">
        <v>545.691</v>
      </c>
    </row>
    <row r="3311">
      <c r="A3311" t="n">
        <v>13230</v>
      </c>
      <c r="B3311" s="16" t="n">
        <v>44641</v>
      </c>
      <c r="C3311" t="inlineStr">
        <is>
          <t>VTA</t>
        </is>
      </c>
      <c r="D3311" t="n">
        <v>42</v>
      </c>
      <c r="E3311">
        <f>IF(D2930&gt;0,VLOOKUP(OPERAC[[#This Row],[COD CART]],[1]!MatrizCortoLargoCyl[#All],3,0),"")</f>
        <v/>
      </c>
      <c r="F3311" t="inlineStr">
        <is>
          <t>DIS</t>
        </is>
      </c>
      <c r="G3311" t="n">
        <v>4</v>
      </c>
      <c r="H3311" t="n">
        <v>-557.0848</v>
      </c>
      <c r="I3311">
        <f>-H2930/G2930</f>
        <v/>
      </c>
      <c r="J3311" s="16" t="n">
        <v>44645</v>
      </c>
      <c r="K3311" t="n">
        <v>4</v>
      </c>
      <c r="L3311" t="n">
        <v>554.361</v>
      </c>
    </row>
    <row r="3312">
      <c r="A3312" t="n">
        <v>13230</v>
      </c>
      <c r="B3312" s="16" t="n">
        <v>44641</v>
      </c>
      <c r="C3312" t="inlineStr">
        <is>
          <t>VTA</t>
        </is>
      </c>
      <c r="D3312" t="n">
        <v>42</v>
      </c>
      <c r="E3312">
        <f>IF(D2963&gt;0,VLOOKUP(OPERAC[[#This Row],[COD CART]],[1]!MatrizCortoLargoCyl[#All],3,0),"")</f>
        <v/>
      </c>
      <c r="F3312" t="inlineStr">
        <is>
          <t>JPM</t>
        </is>
      </c>
      <c r="G3312" t="n">
        <v>4</v>
      </c>
      <c r="H3312" t="n">
        <v>-561.8173600000001</v>
      </c>
      <c r="I3312">
        <f>-H2963/G2963</f>
        <v/>
      </c>
      <c r="J3312" s="16" t="n">
        <v>44645</v>
      </c>
      <c r="K3312" t="n">
        <v>4</v>
      </c>
      <c r="L3312" t="n">
        <v>565.313</v>
      </c>
    </row>
    <row r="3313">
      <c r="A3313" t="n">
        <v>13230</v>
      </c>
      <c r="B3313" s="16" t="n">
        <v>44641</v>
      </c>
      <c r="C3313" t="inlineStr">
        <is>
          <t>VTA</t>
        </is>
      </c>
      <c r="D3313" t="n">
        <v>42</v>
      </c>
      <c r="E3313">
        <f>IF(D3158&gt;0,VLOOKUP(OPERAC[[#This Row],[COD CART]],[1]!MatrizCortoLargoCyl[#All],3,0),"")</f>
        <v/>
      </c>
      <c r="F3313" t="inlineStr">
        <is>
          <t>FB</t>
        </is>
      </c>
      <c r="G3313" t="n">
        <v>3</v>
      </c>
      <c r="H3313" t="n">
        <v>-636.4691399999999</v>
      </c>
      <c r="I3313">
        <f>-H3158/G3158</f>
        <v/>
      </c>
      <c r="J3313" s="16" t="n">
        <v>44645</v>
      </c>
      <c r="K3313">
        <f>2+1</f>
        <v/>
      </c>
      <c r="L3313">
        <f>444.13+213.17</f>
        <v/>
      </c>
    </row>
    <row r="3314">
      <c r="A3314" t="n">
        <v>13230</v>
      </c>
      <c r="B3314" s="16" t="n">
        <v>44649</v>
      </c>
      <c r="C3314" t="inlineStr">
        <is>
          <t>VTA</t>
        </is>
      </c>
      <c r="D3314" t="n">
        <v>42</v>
      </c>
      <c r="E3314">
        <f>IF(D1659&gt;0,VLOOKUP(OPERAC[[#This Row],[COD CART]],[1]!MatrizCortoLargoCyl[#All],3,0),"")</f>
        <v/>
      </c>
      <c r="F3314" t="inlineStr">
        <is>
          <t>FB</t>
        </is>
      </c>
      <c r="G3314" t="n">
        <v>1</v>
      </c>
      <c r="H3314" t="n">
        <v>-229.9994</v>
      </c>
      <c r="I3314">
        <f>-H1659/G1659</f>
        <v/>
      </c>
      <c r="J3314" s="16" t="n">
        <v>44671</v>
      </c>
      <c r="K3314">
        <f>+OPERAC[[#This Row],[cantidad]]</f>
        <v/>
      </c>
      <c r="L3314">
        <f>+OPERAC[[#This Row],[cantidad venta]]*213.173</f>
        <v/>
      </c>
    </row>
    <row r="3315">
      <c r="A3315" t="n">
        <v>13230</v>
      </c>
      <c r="B3315" s="16" t="n">
        <v>44649</v>
      </c>
      <c r="C3315" t="inlineStr">
        <is>
          <t>VTA</t>
        </is>
      </c>
      <c r="D3315" t="n">
        <v>42</v>
      </c>
      <c r="E3315">
        <f>IF(D2438&gt;0,VLOOKUP(OPERAC[[#This Row],[COD CART]],[1]!MatrizCortoLargoCyl[#All],3,0),"")</f>
        <v/>
      </c>
      <c r="F3315" t="inlineStr">
        <is>
          <t>JPM</t>
        </is>
      </c>
      <c r="G3315" t="n">
        <v>3</v>
      </c>
      <c r="H3315" t="n">
        <v>-425.7268</v>
      </c>
      <c r="I3315">
        <f>-H2438/G2438</f>
        <v/>
      </c>
      <c r="J3315" s="16" t="n">
        <v>44664</v>
      </c>
      <c r="K3315">
        <f>+OPERAC[[#This Row],[cantidad]]</f>
        <v/>
      </c>
      <c r="L3315">
        <f>+OPERAC[[#This Row],[cantidad venta]]*125.943</f>
        <v/>
      </c>
    </row>
    <row r="3316">
      <c r="A3316" t="n">
        <v>13230</v>
      </c>
      <c r="B3316" s="16" t="n">
        <v>44649</v>
      </c>
      <c r="C3316" t="inlineStr">
        <is>
          <t>VTA</t>
        </is>
      </c>
      <c r="D3316" t="n">
        <v>42</v>
      </c>
      <c r="E3316">
        <f>IF(D2448&gt;0,VLOOKUP(OPERAC[[#This Row],[COD CART]],[1]!MatrizCortoLargoCyl[#All],3,0),"")</f>
        <v/>
      </c>
      <c r="F3316" t="inlineStr">
        <is>
          <t>DIS</t>
        </is>
      </c>
      <c r="G3316" t="n">
        <v>3</v>
      </c>
      <c r="H3316" t="n">
        <v>-429.7866799999999</v>
      </c>
      <c r="I3316">
        <f>-H2448/G2448</f>
        <v/>
      </c>
      <c r="J3316" s="16" t="n">
        <v>44671</v>
      </c>
      <c r="K3316">
        <f>+OPERAC[[#This Row],[cantidad]]</f>
        <v/>
      </c>
      <c r="L3316">
        <f>+OPERAC[[#This Row],[cantidad venta]]*123.621</f>
        <v/>
      </c>
    </row>
    <row r="3317">
      <c r="A3317" t="n">
        <v>13230</v>
      </c>
      <c r="B3317" s="16" t="n">
        <v>44649</v>
      </c>
      <c r="C3317" t="inlineStr">
        <is>
          <t>VTA</t>
        </is>
      </c>
      <c r="D3317" t="n">
        <v>42</v>
      </c>
      <c r="E3317">
        <f>IF(D2973&gt;0,VLOOKUP(OPERAC[[#This Row],[COD CART]],[1]!MatrizCortoLargoCyl[#All],3,0),"")</f>
        <v/>
      </c>
      <c r="F3317" t="inlineStr">
        <is>
          <t>SMH</t>
        </is>
      </c>
      <c r="G3317" t="n">
        <v>2</v>
      </c>
      <c r="H3317" t="n">
        <v>-563.8843999999999</v>
      </c>
      <c r="I3317">
        <f>-H2973/G2973</f>
        <v/>
      </c>
      <c r="J3317" s="16" t="n">
        <v>44663</v>
      </c>
      <c r="K3317">
        <f>+OPERAC[[#This Row],[cantidad]]</f>
        <v/>
      </c>
      <c r="L3317">
        <f>+OPERAC[[#This Row],[cantidad venta]]*238.066</f>
        <v/>
      </c>
    </row>
    <row r="3318">
      <c r="A3318" t="n">
        <v>13230</v>
      </c>
      <c r="B3318" s="16" t="n">
        <v>44662</v>
      </c>
      <c r="C3318" t="inlineStr">
        <is>
          <t>VTA</t>
        </is>
      </c>
      <c r="D3318" t="n">
        <v>42</v>
      </c>
      <c r="E3318">
        <f>IF(D1500&gt;0,VLOOKUP(OPERAC[[#This Row],[COD CART]],[1]!MatrizCortoLargoCyl[#All],3,0),"")</f>
        <v/>
      </c>
      <c r="F3318" t="inlineStr">
        <is>
          <t>HYDR</t>
        </is>
      </c>
      <c r="G3318" t="n">
        <v>10</v>
      </c>
      <c r="H3318" t="n">
        <v>-185.70344</v>
      </c>
      <c r="I3318">
        <f>-H1500/G1500</f>
        <v/>
      </c>
      <c r="J3318" s="16" t="n">
        <v>44693</v>
      </c>
      <c r="K3318">
        <f>+OPERAC[[#This Row],[cantidad]]</f>
        <v/>
      </c>
      <c r="L3318">
        <f>+OPERAC[[#This Row],[cantidad venta]]*12.027</f>
        <v/>
      </c>
    </row>
    <row r="3319">
      <c r="A3319" t="n">
        <v>13230</v>
      </c>
      <c r="B3319" s="16" t="n">
        <v>44664</v>
      </c>
      <c r="C3319" t="inlineStr">
        <is>
          <t>CPR</t>
        </is>
      </c>
      <c r="D3319" t="n">
        <v>42</v>
      </c>
      <c r="E3319">
        <f>IF(D4583&gt;0,VLOOKUP(OPERAC[[#This Row],[COD CART]],[1]!MatrizCortoLargoCyl[#All],3,0),"")</f>
        <v/>
      </c>
      <c r="F3319" t="inlineStr">
        <is>
          <t>PSQ</t>
        </is>
      </c>
      <c r="G3319" t="n">
        <v>100</v>
      </c>
      <c r="H3319" t="n">
        <v>-1243.2572181</v>
      </c>
      <c r="I3319">
        <f>-H4583/G4583</f>
        <v/>
      </c>
      <c r="J3319" s="16" t="n">
        <v>44680</v>
      </c>
      <c r="K3319">
        <f>+OPERAC[[#This Row],[cantidad]]</f>
        <v/>
      </c>
      <c r="L3319">
        <f>12.848*OPERAC[[#This Row],[cantidad venta]]</f>
        <v/>
      </c>
    </row>
    <row r="3320">
      <c r="A3320" t="n">
        <v>13230</v>
      </c>
      <c r="B3320" s="16" t="n">
        <v>44671</v>
      </c>
      <c r="C3320" t="inlineStr">
        <is>
          <t>CPR</t>
        </is>
      </c>
      <c r="D3320" t="n">
        <v>42</v>
      </c>
      <c r="E3320">
        <f>IF(D2768&gt;0,VLOOKUP(OPERAC[[#This Row],[COD CART]],[1]!MatrizCortoLargoCyl[#All],3,0),"")</f>
        <v/>
      </c>
      <c r="F3320" t="inlineStr">
        <is>
          <t>NFLX</t>
        </is>
      </c>
      <c r="G3320" t="n">
        <v>2</v>
      </c>
      <c r="H3320" t="n">
        <v>-509.01012</v>
      </c>
      <c r="I3320">
        <f>-H2768/G2768</f>
        <v/>
      </c>
      <c r="J3320" s="16" t="n">
        <v>44693</v>
      </c>
      <c r="K3320">
        <f>+OPERAC[[#This Row],[cantidad]]</f>
        <v/>
      </c>
      <c r="L3320">
        <f>+OPERAC[[#This Row],[cantidad venta]]*169.079</f>
        <v/>
      </c>
    </row>
    <row r="3321">
      <c r="A3321" t="n">
        <v>13230</v>
      </c>
      <c r="B3321" s="16" t="n">
        <v>44671</v>
      </c>
      <c r="C3321" t="inlineStr">
        <is>
          <t>VTA</t>
        </is>
      </c>
      <c r="D3321" t="n">
        <v>42</v>
      </c>
      <c r="E3321">
        <f>IF(D2195&gt;0,VLOOKUP(OPERAC[[#This Row],[COD CART]],[1]!MatrizCortoLargoCyl[#All],3,0),"")</f>
        <v/>
      </c>
      <c r="F3321" t="inlineStr">
        <is>
          <t>TLT</t>
        </is>
      </c>
      <c r="G3321" t="n">
        <v>3</v>
      </c>
      <c r="H3321" t="n">
        <v>-367.689015</v>
      </c>
      <c r="I3321">
        <f>-H2195/G2195</f>
        <v/>
      </c>
      <c r="J3321" s="16" t="n">
        <v>44708</v>
      </c>
      <c r="K3321" t="n">
        <v>3</v>
      </c>
      <c r="L3321" t="n">
        <v>355.18</v>
      </c>
    </row>
    <row r="3322">
      <c r="A3322" t="n">
        <v>13230</v>
      </c>
      <c r="B3322" s="16" t="n">
        <v>44680</v>
      </c>
      <c r="C3322" t="inlineStr">
        <is>
          <t>CPR</t>
        </is>
      </c>
      <c r="D3322" t="n">
        <v>42</v>
      </c>
      <c r="E3322">
        <f>IF(D4743&gt;0,VLOOKUP(OPERAC[[#This Row],[COD CART]],[1]!MatrizCortoLargoCyl[#All],3,0),"")</f>
        <v/>
      </c>
      <c r="F3322" t="inlineStr">
        <is>
          <t>XLP</t>
        </is>
      </c>
      <c r="G3322" t="n">
        <v>17</v>
      </c>
      <c r="H3322" t="n">
        <v>-1350.3865425</v>
      </c>
      <c r="I3322">
        <f>-H4743/G4743</f>
        <v/>
      </c>
      <c r="J3322" s="16" t="n">
        <v>44693</v>
      </c>
      <c r="K3322">
        <f>+OPERAC[[#This Row],[cantidad]]</f>
        <v/>
      </c>
      <c r="L3322">
        <f>+OPERAC[[#This Row],[cantidad venta]]*74.848</f>
        <v/>
      </c>
    </row>
    <row r="3323">
      <c r="A3323" t="n">
        <v>13230</v>
      </c>
      <c r="B3323" s="16" t="n">
        <v>44707</v>
      </c>
      <c r="C3323" t="inlineStr">
        <is>
          <t>CPR</t>
        </is>
      </c>
      <c r="D3323" t="n">
        <v>42</v>
      </c>
      <c r="E3323">
        <f>IF(D4482&gt;0,VLOOKUP(OPERAC[[#This Row],[COD CART]],[1]!MatrizCortoLargoCyl[#All],3,0),"")</f>
        <v/>
      </c>
      <c r="F3323" t="inlineStr">
        <is>
          <t>ET</t>
        </is>
      </c>
      <c r="G3323" t="n">
        <v>100</v>
      </c>
      <c r="H3323" t="n">
        <v>-1172.38125</v>
      </c>
      <c r="I3323">
        <f>-H4482/G4482</f>
        <v/>
      </c>
      <c r="J3323" s="16" t="n">
        <v>44712</v>
      </c>
      <c r="K3323" t="n">
        <v>100</v>
      </c>
      <c r="L3323" t="n">
        <v>1156.52</v>
      </c>
    </row>
    <row r="3324">
      <c r="A3324" t="n">
        <v>13230</v>
      </c>
      <c r="B3324" s="16" t="n">
        <v>44707</v>
      </c>
      <c r="C3324" t="inlineStr">
        <is>
          <t>VTA</t>
        </is>
      </c>
      <c r="D3324" t="n">
        <v>43</v>
      </c>
      <c r="E3324">
        <f>IF(D5303&gt;0,VLOOKUP(OPERAC[[#This Row],[COD CART]],[1]!MatrizCortoLargoCyl[#All],3,0),"")</f>
        <v/>
      </c>
      <c r="F3324" t="inlineStr">
        <is>
          <t>SPWR/CYP/17,50-15,00/17-06-22</t>
        </is>
      </c>
      <c r="G3324" t="n">
        <v>100</v>
      </c>
      <c r="H3324" t="n">
        <v>-1717.027</v>
      </c>
      <c r="I3324">
        <f>-H5303/G5303</f>
        <v/>
      </c>
    </row>
    <row r="3325">
      <c r="A3325" t="n">
        <v>13230</v>
      </c>
      <c r="B3325" s="16" t="n">
        <v>44712</v>
      </c>
      <c r="C3325" t="inlineStr">
        <is>
          <t>VTA</t>
        </is>
      </c>
      <c r="D3325" t="n">
        <v>39</v>
      </c>
      <c r="E3325">
        <f>IF(D1569&gt;0,VLOOKUP(OPERAC[[#This Row],[COD CART]],[1]!MatrizCortoLargoCyl[#All],3,0),"")</f>
        <v/>
      </c>
      <c r="F3325" t="inlineStr">
        <is>
          <t>ET/C/10,00/21-10-22</t>
        </is>
      </c>
      <c r="G3325" t="n">
        <v>100</v>
      </c>
      <c r="H3325" t="n">
        <v>-202.808</v>
      </c>
      <c r="I3325">
        <f>-H1569/G1569</f>
        <v/>
      </c>
      <c r="J3325" s="16" t="n">
        <v>44719</v>
      </c>
      <c r="K3325" t="n">
        <v>100</v>
      </c>
      <c r="L3325" t="n">
        <v>247.875</v>
      </c>
    </row>
    <row r="3326">
      <c r="A3326" t="n">
        <v>13230</v>
      </c>
      <c r="B3326" s="16" t="n">
        <v>44719</v>
      </c>
      <c r="C3326" t="inlineStr">
        <is>
          <t>VTA</t>
        </is>
      </c>
      <c r="D3326" t="n">
        <v>39</v>
      </c>
      <c r="E3326">
        <f>IF(D299&gt;0,VLOOKUP(OPERAC[[#This Row],[COD CART]],[1]!MatrizCortoLargoCyl[#All],3,0),"")</f>
        <v/>
      </c>
      <c r="F3326" t="inlineStr">
        <is>
          <t>TSLA/C/800,00/10-06-22</t>
        </is>
      </c>
      <c r="G3326" t="n">
        <v>-1000</v>
      </c>
      <c r="H3326" t="n">
        <v>1544.4</v>
      </c>
      <c r="I3326">
        <f>-H299/G299</f>
        <v/>
      </c>
      <c r="J3326" s="16" t="n">
        <v>44722</v>
      </c>
      <c r="K3326">
        <f>+OPERAC[[#This Row],[cantidad]]</f>
        <v/>
      </c>
      <c r="L3326" t="n">
        <v>0</v>
      </c>
    </row>
    <row r="3327">
      <c r="A3327" t="n">
        <v>13230</v>
      </c>
      <c r="B3327" s="16" t="n">
        <v>44719</v>
      </c>
      <c r="C3327" t="inlineStr">
        <is>
          <t>VTA</t>
        </is>
      </c>
      <c r="D3327" t="n">
        <v>39</v>
      </c>
      <c r="E3327">
        <f>IF(D460&gt;0,VLOOKUP(OPERAC[[#This Row],[COD CART]],[1]!MatrizCortoLargoCyl[#All],3,0),"")</f>
        <v/>
      </c>
      <c r="F3327" t="inlineStr">
        <is>
          <t>TSLA/P/615,00/10-06-22</t>
        </is>
      </c>
      <c r="G3327" t="n">
        <v>-600</v>
      </c>
      <c r="H3327" t="n">
        <v>1000.593</v>
      </c>
      <c r="I3327">
        <f>-H460/G460</f>
        <v/>
      </c>
      <c r="J3327" s="16" t="n">
        <v>44719</v>
      </c>
      <c r="K3327" t="n">
        <v>-600</v>
      </c>
      <c r="L3327" t="n">
        <v>-648.36465</v>
      </c>
    </row>
    <row r="3328">
      <c r="A3328" t="n">
        <v>13230</v>
      </c>
      <c r="B3328" s="16" t="n">
        <v>44719</v>
      </c>
      <c r="C3328" t="inlineStr">
        <is>
          <t>VTA</t>
        </is>
      </c>
      <c r="D3328" t="n">
        <v>39</v>
      </c>
      <c r="E3328">
        <f>IF(D629&gt;0,VLOOKUP(OPERAC[[#This Row],[COD CART]],[1]!MatrizCortoLargoCyl[#All],3,0),"")</f>
        <v/>
      </c>
      <c r="F3328" t="inlineStr">
        <is>
          <t>TSLA/V/625,00/10-06-22</t>
        </is>
      </c>
      <c r="G3328" t="n">
        <v>-400</v>
      </c>
      <c r="H3328" t="n">
        <v>575.0700000000001</v>
      </c>
      <c r="I3328">
        <f>-H629/G629</f>
        <v/>
      </c>
      <c r="J3328" s="16" t="n">
        <v>44721</v>
      </c>
      <c r="K3328" t="n">
        <v>-400</v>
      </c>
      <c r="L3328" t="n">
        <v>-92.092</v>
      </c>
    </row>
    <row r="3329">
      <c r="A3329" t="n">
        <v>13238</v>
      </c>
      <c r="B3329" s="16" t="n">
        <v>44523</v>
      </c>
      <c r="C3329" t="inlineStr">
        <is>
          <t>VTA</t>
        </is>
      </c>
      <c r="D3329" t="n">
        <v>40</v>
      </c>
      <c r="E3329">
        <f>IF(D2150&gt;0,VLOOKUP(OPERAC[[#This Row],[COD CART]],[1]!MatrizCortoLargoCyl[#All],3,0),"")</f>
        <v/>
      </c>
      <c r="F3329" t="inlineStr">
        <is>
          <t>EDU</t>
        </is>
      </c>
      <c r="G3329" t="n">
        <v>200</v>
      </c>
      <c r="H3329">
        <f>-355.898+0.026*OPERAC[[#This Row],[cantidad]]</f>
        <v/>
      </c>
      <c r="I3329">
        <f>-H2150/G2150</f>
        <v/>
      </c>
      <c r="J3329" s="16" t="n">
        <v>44614</v>
      </c>
      <c r="K3329">
        <f>+OPERAC[[#This Row],[cantidad]]</f>
        <v/>
      </c>
      <c r="L3329">
        <f>1.483*OPERAC[[#This Row],[cantidad venta]]</f>
        <v/>
      </c>
    </row>
    <row r="3330">
      <c r="A3330" t="n">
        <v>13238</v>
      </c>
      <c r="B3330" s="16" t="n">
        <v>44581</v>
      </c>
      <c r="C3330" t="inlineStr">
        <is>
          <t>VTA</t>
        </is>
      </c>
      <c r="D3330" t="n">
        <v>40</v>
      </c>
      <c r="E3330">
        <f>IF(D1471&gt;0,VLOOKUP(OPERAC[[#This Row],[COD CART]],[1]!MatrizCortoLargoCyl[#All],3,0),"")</f>
        <v/>
      </c>
      <c r="F3330" t="inlineStr">
        <is>
          <t>ROKU</t>
        </is>
      </c>
      <c r="G3330" t="n">
        <v>1</v>
      </c>
      <c r="H3330" t="n">
        <v>-174.275</v>
      </c>
      <c r="I3330">
        <f>-H1471/G1471</f>
        <v/>
      </c>
      <c r="J3330" s="16" t="n">
        <v>44606</v>
      </c>
      <c r="K3330">
        <f>+OPERAC[[#This Row],[cantidad]]</f>
        <v/>
      </c>
      <c r="L3330">
        <f>+OPERAC[[#This Row],[cantidad venta]]*160.574</f>
        <v/>
      </c>
    </row>
    <row r="3331">
      <c r="A3331" t="n">
        <v>13238</v>
      </c>
      <c r="B3331" s="16" t="n">
        <v>44581</v>
      </c>
      <c r="C3331" t="inlineStr">
        <is>
          <t>VTA</t>
        </is>
      </c>
      <c r="D3331" t="n">
        <v>32</v>
      </c>
      <c r="E3331">
        <f>IF(D2275&gt;0,VLOOKUP(OPERAC[[#This Row],[COD CART]],[1]!MatrizCortoLargoCyl[#All],3,0),"")</f>
        <v/>
      </c>
      <c r="F3331" t="inlineStr">
        <is>
          <t>HMY/CYL/4,00/18-02-22</t>
        </is>
      </c>
      <c r="G3331" t="n">
        <v>100</v>
      </c>
      <c r="H3331" t="n">
        <v>-387.467996</v>
      </c>
      <c r="I3331">
        <f>-H2275/G2275</f>
        <v/>
      </c>
      <c r="J3331" s="16" t="n">
        <v>44610</v>
      </c>
      <c r="K3331">
        <f>+OPERAC[[#This Row],[cantidad]]</f>
        <v/>
      </c>
      <c r="L3331">
        <f>+OPERAC[[#This Row],[cantidad venta]]*3.8323</f>
        <v/>
      </c>
    </row>
    <row r="3332">
      <c r="A3332" t="n">
        <v>13238</v>
      </c>
      <c r="B3332" s="16" t="n">
        <v>44616</v>
      </c>
      <c r="C3332" t="inlineStr">
        <is>
          <t>CPR</t>
        </is>
      </c>
      <c r="D3332" t="n">
        <v>32</v>
      </c>
      <c r="E3332">
        <f>IF(D4320&gt;0,VLOOKUP(OPERAC[[#This Row],[COD CART]],[1]!MatrizCortoLargoCyl[#All],3,0),"")</f>
        <v/>
      </c>
      <c r="F3332" t="inlineStr">
        <is>
          <t>PLTR/CYL/12,00/14-04-22</t>
        </is>
      </c>
      <c r="G3332" t="n">
        <v>100</v>
      </c>
      <c r="H3332" t="n">
        <v>-1052.7265</v>
      </c>
      <c r="I3332">
        <f>-H4320/G4320</f>
        <v/>
      </c>
      <c r="J3332" s="16" t="n">
        <v>44643</v>
      </c>
      <c r="K3332" t="n">
        <v>100</v>
      </c>
      <c r="L3332" t="n">
        <v>1146.72</v>
      </c>
    </row>
    <row r="3333">
      <c r="A3333" t="n">
        <v>13238</v>
      </c>
      <c r="B3333" s="16" t="n">
        <v>44643</v>
      </c>
      <c r="C3333" t="inlineStr">
        <is>
          <t>VTA</t>
        </is>
      </c>
      <c r="D3333" t="n">
        <v>42</v>
      </c>
      <c r="E3333">
        <f>IF(D2455&gt;0,VLOOKUP(OPERAC[[#This Row],[COD CART]],[1]!MatrizCortoLargoCyl[#All],3,0),"")</f>
        <v/>
      </c>
      <c r="F3333" t="inlineStr">
        <is>
          <t>FB</t>
        </is>
      </c>
      <c r="G3333" t="n">
        <v>2</v>
      </c>
      <c r="H3333" t="n">
        <v>-432.24652</v>
      </c>
      <c r="I3333">
        <f>-H2455/G2455</f>
        <v/>
      </c>
      <c r="J3333" s="16" t="n">
        <v>44671</v>
      </c>
      <c r="K3333">
        <f>+OPERAC[[#This Row],[cantidad]]</f>
        <v/>
      </c>
      <c r="L3333">
        <f>+OPERAC[[#This Row],[cantidad venta]]*213.173</f>
        <v/>
      </c>
    </row>
    <row r="3334">
      <c r="A3334" t="n">
        <v>13238</v>
      </c>
      <c r="B3334" s="16" t="n">
        <v>44643</v>
      </c>
      <c r="C3334" t="inlineStr">
        <is>
          <t>VTA</t>
        </is>
      </c>
      <c r="D3334" t="n">
        <v>42</v>
      </c>
      <c r="E3334">
        <f>IF(D2976&gt;0,VLOOKUP(OPERAC[[#This Row],[COD CART]],[1]!MatrizCortoLargoCyl[#All],3,0),"")</f>
        <v/>
      </c>
      <c r="F3334" t="inlineStr">
        <is>
          <t>JPM</t>
        </is>
      </c>
      <c r="G3334" t="n">
        <v>4</v>
      </c>
      <c r="H3334" t="n">
        <v>-564.9865600000001</v>
      </c>
      <c r="I3334">
        <f>-H2976/G2976</f>
        <v/>
      </c>
      <c r="J3334" s="16" t="n">
        <v>44664</v>
      </c>
      <c r="K3334">
        <f>+OPERAC[[#This Row],[cantidad]]</f>
        <v/>
      </c>
      <c r="L3334">
        <f>+OPERAC[[#This Row],[cantidad venta]]*125.943</f>
        <v/>
      </c>
    </row>
    <row r="3335">
      <c r="A3335" t="n">
        <v>13238</v>
      </c>
      <c r="B3335" s="16" t="n">
        <v>44662</v>
      </c>
      <c r="C3335" t="inlineStr">
        <is>
          <t>VTA</t>
        </is>
      </c>
      <c r="D3335" t="n">
        <v>42</v>
      </c>
      <c r="E3335">
        <f>IF(D1305&gt;0,VLOOKUP(OPERAC[[#This Row],[COD CART]],[1]!MatrizCortoLargoCyl[#All],3,0),"")</f>
        <v/>
      </c>
      <c r="F3335" t="inlineStr">
        <is>
          <t>HYDR</t>
        </is>
      </c>
      <c r="G3335" t="n">
        <v>5</v>
      </c>
      <c r="H3335" t="n">
        <v>-92.85172000000001</v>
      </c>
      <c r="I3335">
        <f>-H1305/G1305</f>
        <v/>
      </c>
      <c r="J3335" s="16" t="n">
        <v>44693</v>
      </c>
      <c r="K3335">
        <f>+OPERAC[[#This Row],[cantidad]]</f>
        <v/>
      </c>
      <c r="L3335">
        <f>+OPERAC[[#This Row],[cantidad venta]]*12.027</f>
        <v/>
      </c>
    </row>
    <row r="3336">
      <c r="A3336" t="n">
        <v>13238</v>
      </c>
      <c r="B3336" s="16" t="n">
        <v>44669</v>
      </c>
      <c r="C3336" t="inlineStr">
        <is>
          <t>VTA</t>
        </is>
      </c>
      <c r="D3336" t="n">
        <v>32</v>
      </c>
      <c r="E3336">
        <f>IF(D2532&gt;0,VLOOKUP(OPERAC[[#This Row],[COD CART]],[1]!MatrizCortoLargoCyl[#All],3,0),"")</f>
        <v/>
      </c>
      <c r="F3336" t="inlineStr">
        <is>
          <t>HMY</t>
        </is>
      </c>
      <c r="G3336" t="n">
        <v>100</v>
      </c>
      <c r="H3336">
        <f>-4.64*OPERAC[[#This Row],[cantidad]]</f>
        <v/>
      </c>
      <c r="I3336">
        <f>-H2532/G2532</f>
        <v/>
      </c>
    </row>
    <row r="3337">
      <c r="A3337" t="n">
        <v>13238</v>
      </c>
      <c r="B3337" s="16" t="n">
        <v>44671</v>
      </c>
      <c r="C3337" t="inlineStr">
        <is>
          <t>CPR</t>
        </is>
      </c>
      <c r="D3337" t="n">
        <v>42</v>
      </c>
      <c r="E3337">
        <f>IF(D2769&gt;0,VLOOKUP(OPERAC[[#This Row],[COD CART]],[1]!MatrizCortoLargoCyl[#All],3,0),"")</f>
        <v/>
      </c>
      <c r="F3337" t="inlineStr">
        <is>
          <t>NFLX</t>
        </is>
      </c>
      <c r="G3337" t="n">
        <v>2</v>
      </c>
      <c r="H3337" t="n">
        <v>-509.01012</v>
      </c>
      <c r="I3337">
        <f>-H2769/G2769</f>
        <v/>
      </c>
      <c r="J3337" s="16" t="n">
        <v>44693</v>
      </c>
      <c r="K3337">
        <f>+OPERAC[[#This Row],[cantidad]]</f>
        <v/>
      </c>
      <c r="L3337">
        <f>+OPERAC[[#This Row],[cantidad venta]]*169.079</f>
        <v/>
      </c>
    </row>
    <row r="3338">
      <c r="A3338" t="n">
        <v>13238</v>
      </c>
      <c r="B3338" s="16" t="n">
        <v>44721</v>
      </c>
      <c r="C3338" t="inlineStr">
        <is>
          <t>VTA</t>
        </is>
      </c>
      <c r="D3338" t="n">
        <v>32</v>
      </c>
      <c r="E3338">
        <f>IF(D1291&gt;0,VLOOKUP(OPERAC[[#This Row],[COD CART]],[1]!MatrizCortoLargoCyl[#All],3,0),"")</f>
        <v/>
      </c>
      <c r="F3338" t="inlineStr">
        <is>
          <t>SESN/CYP/1,00/20-01-23</t>
        </is>
      </c>
      <c r="G3338" t="n">
        <v>500</v>
      </c>
      <c r="H3338">
        <f>-0.176*OPERAC[[#This Row],[cantidad]]</f>
        <v/>
      </c>
      <c r="I3338">
        <f>-H1291/G1291</f>
        <v/>
      </c>
    </row>
    <row r="3339">
      <c r="A3339" t="n">
        <v>13240</v>
      </c>
      <c r="B3339" s="16" t="n">
        <v>44131</v>
      </c>
      <c r="C3339" t="inlineStr">
        <is>
          <t>CPR</t>
        </is>
      </c>
      <c r="D3339" t="n">
        <v>31</v>
      </c>
      <c r="E3339">
        <f>IF(D6295&gt;0,VLOOKUP(OPERAC[[#This Row],[COD CART]],[1]!MatrizCortoLargoCyl[#All],3,0),"")</f>
        <v/>
      </c>
      <c r="F3339" t="inlineStr">
        <is>
          <t>CYC LETRA</t>
        </is>
      </c>
      <c r="G3339" t="n">
        <v>10000</v>
      </c>
      <c r="H3339" t="n">
        <v>-10343</v>
      </c>
      <c r="I3339">
        <f>-H6295/G6295</f>
        <v/>
      </c>
    </row>
    <row r="3340">
      <c r="A3340" t="n">
        <v>13240</v>
      </c>
      <c r="B3340" s="16" t="n">
        <v>44453</v>
      </c>
      <c r="C3340" t="inlineStr">
        <is>
          <t>VTA</t>
        </is>
      </c>
      <c r="D3340" t="n">
        <v>32</v>
      </c>
      <c r="E3340">
        <f>IF(D3187&gt;0,VLOOKUP(OPERAC[[#This Row],[COD CART]],[1]!MatrizCortoLargoCyl[#All],3,0),"")</f>
        <v/>
      </c>
      <c r="F3340" t="inlineStr">
        <is>
          <t>GMBL/CYL/7,50/21-01-22</t>
        </is>
      </c>
      <c r="G3340" t="n">
        <v>100</v>
      </c>
      <c r="H3340">
        <f>-702.83+31.802+21.796</f>
        <v/>
      </c>
      <c r="I3340">
        <f>-H3187/G3187</f>
        <v/>
      </c>
      <c r="J3340" s="16" t="n">
        <v>44573</v>
      </c>
      <c r="K3340" t="n">
        <v>100</v>
      </c>
      <c r="L3340" t="n">
        <v>343.214</v>
      </c>
    </row>
    <row r="3341">
      <c r="A3341" t="n">
        <v>13240</v>
      </c>
      <c r="B3341" s="16" t="n">
        <v>44460</v>
      </c>
      <c r="C3341" t="inlineStr">
        <is>
          <t>CPR</t>
        </is>
      </c>
      <c r="D3341" t="n">
        <v>40</v>
      </c>
      <c r="E3341">
        <f>IF(D5954&gt;0,VLOOKUP(OPERAC[[#This Row],[COD CART]],[1]!MatrizCortoLargoCyl[#All],3,0),"")</f>
        <v/>
      </c>
      <c r="F3341" t="inlineStr">
        <is>
          <t>EDU</t>
        </is>
      </c>
      <c r="G3341" t="n">
        <v>3000</v>
      </c>
      <c r="H3341">
        <f>OPERAC[[#This Row],[cantidad]]*-1.084+0.04*OPERAC[[#This Row],[cantidad]]</f>
        <v/>
      </c>
      <c r="I3341">
        <f>-H5954/G5954</f>
        <v/>
      </c>
      <c r="J3341" s="16" t="n">
        <v>44630</v>
      </c>
      <c r="K3341" t="n">
        <v>3000</v>
      </c>
      <c r="L3341" t="n">
        <v>3442.702</v>
      </c>
    </row>
    <row r="3342">
      <c r="A3342" t="n">
        <v>13240</v>
      </c>
      <c r="B3342" s="16" t="n">
        <v>44462</v>
      </c>
      <c r="C3342" t="inlineStr">
        <is>
          <t>VTA</t>
        </is>
      </c>
      <c r="D3342" t="n">
        <v>43</v>
      </c>
      <c r="E3342">
        <f>IF(D2052&gt;0,VLOOKUP(OPERAC[[#This Row],[COD CART]],[1]!MatrizCortoLargoCyl[#All],3,0),"")</f>
        <v/>
      </c>
      <c r="F3342" t="inlineStr">
        <is>
          <t>SOLO/CYL-PUT/4,00/16-09-22</t>
        </is>
      </c>
      <c r="G3342" t="n">
        <v>200</v>
      </c>
      <c r="H3342">
        <f>OPERAC[[#This Row],[cantidad]]*-2.54+0.32*OPERAC[[#This Row],[cantidad]]+0.387*OPERAC[[#This Row],[cantidad]]+0.22*OPERAC[[#This Row],[cantidad]]</f>
        <v/>
      </c>
      <c r="I3342">
        <f>-H2052/G2052</f>
        <v/>
      </c>
    </row>
    <row r="3343">
      <c r="A3343" t="n">
        <v>13240</v>
      </c>
      <c r="B3343" s="16" t="n">
        <v>44489</v>
      </c>
      <c r="C3343" t="inlineStr">
        <is>
          <t>VTA</t>
        </is>
      </c>
      <c r="D3343" t="n">
        <v>43</v>
      </c>
      <c r="E3343">
        <f>IF(D5449&gt;0,VLOOKUP(OPERAC[[#This Row],[COD CART]],[1]!MatrizCortoLargoCyl[#All],3,0),"")</f>
        <v/>
      </c>
      <c r="F3343" t="inlineStr">
        <is>
          <t>SESN/CYL-PUT/1,00/19-01-24</t>
        </is>
      </c>
      <c r="G3343" t="n">
        <v>10000</v>
      </c>
      <c r="H3343">
        <f>-0.1885*OPERAC[[#This Row],[cantidad]]</f>
        <v/>
      </c>
      <c r="I3343">
        <f>-H5449/G5449</f>
        <v/>
      </c>
    </row>
    <row r="3344">
      <c r="A3344" t="n">
        <v>13240</v>
      </c>
      <c r="B3344" s="16" t="n">
        <v>44495</v>
      </c>
      <c r="C3344" t="inlineStr">
        <is>
          <t>VTA</t>
        </is>
      </c>
      <c r="D3344" t="n">
        <v>39</v>
      </c>
      <c r="E3344">
        <f>IF(D372&gt;0,VLOOKUP(OPERAC[[#This Row],[COD CART]],[1]!MatrizCortoLargoCyl[#All],3,0),"")</f>
        <v/>
      </c>
      <c r="F3344" t="inlineStr">
        <is>
          <t>YPF/CC10/LP7/CP3/19-01-24</t>
        </is>
      </c>
      <c r="G3344" t="n">
        <v>-500</v>
      </c>
      <c r="H3344">
        <f>-2.41*OPERAC[[#This Row],[cantidad]]</f>
        <v/>
      </c>
      <c r="I3344">
        <f>-H372/G372</f>
        <v/>
      </c>
    </row>
    <row r="3345">
      <c r="A3345" t="n">
        <v>13240</v>
      </c>
      <c r="B3345" s="16" t="n">
        <v>44501</v>
      </c>
      <c r="C3345" t="inlineStr">
        <is>
          <t>VTA</t>
        </is>
      </c>
      <c r="D3345" t="n">
        <v>40</v>
      </c>
      <c r="E3345">
        <f>IF(D5036&gt;0,VLOOKUP(OPERAC[[#This Row],[COD CART]],[1]!MatrizCortoLargoCyl[#All],3,0),"")</f>
        <v/>
      </c>
      <c r="F3345" t="inlineStr">
        <is>
          <t>SOLO</t>
        </is>
      </c>
      <c r="G3345" t="n">
        <v>500</v>
      </c>
      <c r="H3345">
        <f>-1675.624+114.435</f>
        <v/>
      </c>
      <c r="I3345">
        <f>-H5036/G5036</f>
        <v/>
      </c>
      <c r="J3345" s="16" t="n">
        <v>44606</v>
      </c>
      <c r="K3345" t="n">
        <v>500</v>
      </c>
      <c r="L3345" t="n">
        <v>1010.263</v>
      </c>
    </row>
    <row r="3346">
      <c r="A3346" t="n">
        <v>13240</v>
      </c>
      <c r="B3346" s="16" t="n">
        <v>44511</v>
      </c>
      <c r="C3346" t="inlineStr">
        <is>
          <t>CPR</t>
        </is>
      </c>
      <c r="D3346" t="n">
        <v>31</v>
      </c>
      <c r="E3346">
        <f>IF(D4385&gt;0,VLOOKUP(OPERAC[[#This Row],[COD CART]],[1]!MatrizCortoLargoCyl[#All],3,0),"")</f>
        <v/>
      </c>
      <c r="F3346" t="inlineStr">
        <is>
          <t>IPIX</t>
        </is>
      </c>
      <c r="G3346" t="n">
        <v>10000</v>
      </c>
      <c r="H3346" t="n">
        <v>-1099.9</v>
      </c>
      <c r="I3346">
        <f>-H4385/G4385</f>
        <v/>
      </c>
    </row>
    <row r="3347">
      <c r="A3347" t="n">
        <v>13240</v>
      </c>
      <c r="B3347" s="16" t="n">
        <v>44515</v>
      </c>
      <c r="C3347" t="inlineStr">
        <is>
          <t>CPR</t>
        </is>
      </c>
      <c r="D3347" t="n">
        <v>38</v>
      </c>
      <c r="E3347">
        <f>IF(D4079&gt;0,VLOOKUP(OPERAC[[#This Row],[COD CART]],[1]!MatrizCortoLargoCyl[#All],3,0),"")</f>
        <v/>
      </c>
      <c r="F3347" t="inlineStr">
        <is>
          <t>SLV</t>
        </is>
      </c>
      <c r="G3347" t="n">
        <v>40</v>
      </c>
      <c r="H3347" t="n">
        <v>-936.0208</v>
      </c>
      <c r="I3347">
        <f>-H4079/G4079</f>
        <v/>
      </c>
    </row>
    <row r="3348">
      <c r="A3348" t="n">
        <v>13240</v>
      </c>
      <c r="B3348" s="16" t="n">
        <v>44515</v>
      </c>
      <c r="C3348" t="inlineStr">
        <is>
          <t>CPR</t>
        </is>
      </c>
      <c r="D3348" t="n">
        <v>31</v>
      </c>
      <c r="E3348">
        <f>IF(D4122&gt;0,VLOOKUP(OPERAC[[#This Row],[COD CART]],[1]!MatrizCortoLargoCyl[#All],3,0),"")</f>
        <v/>
      </c>
      <c r="F3348" t="inlineStr">
        <is>
          <t>DRIV</t>
        </is>
      </c>
      <c r="G3348" t="n">
        <v>30</v>
      </c>
      <c r="H3348" t="n">
        <v>-958.5495999999999</v>
      </c>
      <c r="I3348">
        <f>-H4122/G4122</f>
        <v/>
      </c>
    </row>
    <row r="3349">
      <c r="A3349" t="n">
        <v>13240</v>
      </c>
      <c r="B3349" s="16" t="n">
        <v>44515</v>
      </c>
      <c r="C3349" t="inlineStr">
        <is>
          <t>CPR</t>
        </is>
      </c>
      <c r="D3349" t="n">
        <v>38</v>
      </c>
      <c r="E3349">
        <f>IF(D4133&gt;0,VLOOKUP(OPERAC[[#This Row],[COD CART]],[1]!MatrizCortoLargoCyl[#All],3,0),"")</f>
        <v/>
      </c>
      <c r="F3349" t="inlineStr">
        <is>
          <t>DIS</t>
        </is>
      </c>
      <c r="G3349" t="n">
        <v>6</v>
      </c>
      <c r="H3349" t="n">
        <v>-963.1763199999999</v>
      </c>
      <c r="I3349">
        <f>-H4133/G4133</f>
        <v/>
      </c>
    </row>
    <row r="3350">
      <c r="A3350" t="n">
        <v>13240</v>
      </c>
      <c r="B3350" s="16" t="n">
        <v>44515</v>
      </c>
      <c r="C3350" t="inlineStr">
        <is>
          <t>CPR</t>
        </is>
      </c>
      <c r="D3350" t="n">
        <v>31</v>
      </c>
      <c r="E3350">
        <f>IF(D4213&gt;0,VLOOKUP(OPERAC[[#This Row],[COD CART]],[1]!MatrizCortoLargoCyl[#All],3,0),"")</f>
        <v/>
      </c>
      <c r="F3350" t="inlineStr">
        <is>
          <t>ICLN</t>
        </is>
      </c>
      <c r="G3350" t="n">
        <v>40</v>
      </c>
      <c r="H3350" t="n">
        <v>-1002.3472</v>
      </c>
      <c r="I3350">
        <f>-H4213/G4213</f>
        <v/>
      </c>
    </row>
    <row r="3351">
      <c r="A3351" t="n">
        <v>13240</v>
      </c>
      <c r="B3351" s="16" t="n">
        <v>44515</v>
      </c>
      <c r="C3351" t="inlineStr">
        <is>
          <t>CPR</t>
        </is>
      </c>
      <c r="D3351" t="n">
        <v>31</v>
      </c>
      <c r="E3351">
        <f>IF(D4225&gt;0,VLOOKUP(OPERAC[[#This Row],[COD CART]],[1]!MatrizCortoLargoCyl[#All],3,0),"")</f>
        <v/>
      </c>
      <c r="F3351" t="inlineStr">
        <is>
          <t>PFE</t>
        </is>
      </c>
      <c r="G3351" t="n">
        <v>20</v>
      </c>
      <c r="H3351" t="n">
        <v>-1006.33888</v>
      </c>
      <c r="I3351">
        <f>-H4225/G4225</f>
        <v/>
      </c>
    </row>
    <row r="3352">
      <c r="A3352" t="n">
        <v>13240</v>
      </c>
      <c r="B3352" s="16" t="n">
        <v>44515</v>
      </c>
      <c r="C3352" t="inlineStr">
        <is>
          <t>CPR</t>
        </is>
      </c>
      <c r="D3352" t="n">
        <v>31</v>
      </c>
      <c r="E3352">
        <f>IF(D4274&gt;0,VLOOKUP(OPERAC[[#This Row],[COD CART]],[1]!MatrizCortoLargoCyl[#All],3,0),"")</f>
        <v/>
      </c>
      <c r="F3352" t="inlineStr">
        <is>
          <t>BMA</t>
        </is>
      </c>
      <c r="G3352" t="n">
        <v>60</v>
      </c>
      <c r="H3352" t="n">
        <v>-1023.112</v>
      </c>
      <c r="I3352">
        <f>-H4274/G4274</f>
        <v/>
      </c>
    </row>
    <row r="3353">
      <c r="A3353" t="n">
        <v>13240</v>
      </c>
      <c r="B3353" s="16" t="n">
        <v>44515</v>
      </c>
      <c r="C3353" t="inlineStr">
        <is>
          <t>VTA</t>
        </is>
      </c>
      <c r="D3353" t="n">
        <v>38</v>
      </c>
      <c r="E3353">
        <f>IF(D3915&gt;0,VLOOKUP(OPERAC[[#This Row],[COD CART]],[1]!MatrizCortoLargoCyl[#All],3,0),"")</f>
        <v/>
      </c>
      <c r="F3353" t="inlineStr">
        <is>
          <t>GLD</t>
        </is>
      </c>
      <c r="G3353" t="n">
        <v>5</v>
      </c>
      <c r="H3353" t="n">
        <v>-879.0083199999999</v>
      </c>
      <c r="I3353">
        <f>-H3915/G3915</f>
        <v/>
      </c>
    </row>
    <row r="3354">
      <c r="A3354" t="n">
        <v>13240</v>
      </c>
      <c r="B3354" s="16" t="n">
        <v>44515</v>
      </c>
      <c r="C3354" t="inlineStr">
        <is>
          <t>VTA</t>
        </is>
      </c>
      <c r="D3354" t="n">
        <v>31</v>
      </c>
      <c r="E3354">
        <f>IF(D5460&gt;0,VLOOKUP(OPERAC[[#This Row],[COD CART]],[1]!MatrizCortoLargoCyl[#All],3,0),"")</f>
        <v/>
      </c>
      <c r="F3354" t="inlineStr">
        <is>
          <t>PRNT</t>
        </is>
      </c>
      <c r="G3354" t="n">
        <v>50</v>
      </c>
      <c r="H3354" t="n">
        <v>-1905.616</v>
      </c>
      <c r="I3354">
        <f>-H5460/G5460</f>
        <v/>
      </c>
    </row>
    <row r="3355">
      <c r="A3355" t="n">
        <v>13240</v>
      </c>
      <c r="B3355" s="16" t="n">
        <v>44515</v>
      </c>
      <c r="C3355" t="inlineStr">
        <is>
          <t>VTA</t>
        </is>
      </c>
      <c r="D3355" t="n">
        <v>38</v>
      </c>
      <c r="E3355">
        <f>IF(D5478&gt;0,VLOOKUP(OPERAC[[#This Row],[COD CART]],[1]!MatrizCortoLargoCyl[#All],3,0),"")</f>
        <v/>
      </c>
      <c r="F3355" t="inlineStr">
        <is>
          <t>FNV</t>
        </is>
      </c>
      <c r="G3355" t="n">
        <v>13</v>
      </c>
      <c r="H3355" t="n">
        <v>-1944.3232</v>
      </c>
      <c r="I3355">
        <f>-H5478/G5478</f>
        <v/>
      </c>
    </row>
    <row r="3356">
      <c r="A3356" t="n">
        <v>13240</v>
      </c>
      <c r="B3356" s="16" t="n">
        <v>44515</v>
      </c>
      <c r="C3356" t="inlineStr">
        <is>
          <t>VTA</t>
        </is>
      </c>
      <c r="D3356" t="n">
        <v>38</v>
      </c>
      <c r="E3356">
        <f>IF(D5480&gt;0,VLOOKUP(OPERAC[[#This Row],[COD CART]],[1]!MatrizCortoLargoCyl[#All],3,0),"")</f>
        <v/>
      </c>
      <c r="F3356" t="inlineStr">
        <is>
          <t>MPW</t>
        </is>
      </c>
      <c r="G3356" t="n">
        <v>90</v>
      </c>
      <c r="H3356" t="n">
        <v>-1950.1192</v>
      </c>
      <c r="I3356">
        <f>-H5480/G5480</f>
        <v/>
      </c>
    </row>
    <row r="3357">
      <c r="A3357" t="n">
        <v>13240</v>
      </c>
      <c r="B3357" s="16" t="n">
        <v>44515</v>
      </c>
      <c r="C3357" t="inlineStr">
        <is>
          <t>VTA</t>
        </is>
      </c>
      <c r="D3357" t="n">
        <v>31</v>
      </c>
      <c r="E3357">
        <f>IF(D5513&gt;0,VLOOKUP(OPERAC[[#This Row],[COD CART]],[1]!MatrizCortoLargoCyl[#All],3,0),"")</f>
        <v/>
      </c>
      <c r="F3357" t="inlineStr">
        <is>
          <t>CEPU</t>
        </is>
      </c>
      <c r="G3357" t="n">
        <v>530</v>
      </c>
      <c r="H3357" t="n">
        <v>-2009.25544</v>
      </c>
      <c r="I3357">
        <f>-H5513/G5513</f>
        <v/>
      </c>
    </row>
    <row r="3358">
      <c r="A3358" t="n">
        <v>13240</v>
      </c>
      <c r="B3358" s="16" t="n">
        <v>44515</v>
      </c>
      <c r="C3358" t="inlineStr">
        <is>
          <t>VTA</t>
        </is>
      </c>
      <c r="D3358" t="n">
        <v>31</v>
      </c>
      <c r="E3358">
        <f>IF(D5529&gt;0,VLOOKUP(OPERAC[[#This Row],[COD CART]],[1]!MatrizCortoLargoCyl[#All],3,0),"")</f>
        <v/>
      </c>
      <c r="F3358" t="inlineStr">
        <is>
          <t>YPF</t>
        </is>
      </c>
      <c r="G3358" t="n">
        <v>470</v>
      </c>
      <c r="H3358" t="n">
        <v>-2024.35768</v>
      </c>
      <c r="I3358">
        <f>-H5529/G5529</f>
        <v/>
      </c>
    </row>
    <row r="3359">
      <c r="A3359" t="n">
        <v>13240</v>
      </c>
      <c r="B3359" s="16" t="n">
        <v>44515</v>
      </c>
      <c r="C3359" t="inlineStr">
        <is>
          <t>VTA</t>
        </is>
      </c>
      <c r="D3359" t="n">
        <v>38</v>
      </c>
      <c r="E3359">
        <f>IF(D5599&gt;0,VLOOKUP(OPERAC[[#This Row],[COD CART]],[1]!MatrizCortoLargoCyl[#All],3,0),"")</f>
        <v/>
      </c>
      <c r="F3359" t="inlineStr">
        <is>
          <t>JEPI</t>
        </is>
      </c>
      <c r="G3359" t="n">
        <v>35</v>
      </c>
      <c r="H3359" t="n">
        <v>-2189.4184</v>
      </c>
      <c r="I3359">
        <f>-H5599/G5599</f>
        <v/>
      </c>
    </row>
    <row r="3360">
      <c r="A3360" t="n">
        <v>13240</v>
      </c>
      <c r="B3360" s="16" t="n">
        <v>44523</v>
      </c>
      <c r="C3360" t="inlineStr">
        <is>
          <t>CPR</t>
        </is>
      </c>
      <c r="D3360" t="n">
        <v>32</v>
      </c>
      <c r="E3360">
        <f>IF(D4572&gt;0,VLOOKUP(OPERAC[[#This Row],[COD CART]],[1]!MatrizCortoLargoCyl[#All],3,0),"")</f>
        <v/>
      </c>
      <c r="F3360" t="inlineStr">
        <is>
          <t>GMBL/CYL/5,00/18-02-22</t>
        </is>
      </c>
      <c r="G3360" t="n">
        <v>300</v>
      </c>
      <c r="H3360" t="n">
        <v>-1235.793</v>
      </c>
      <c r="I3360">
        <f>-H4572/G4572</f>
        <v/>
      </c>
      <c r="J3360" s="16" t="n">
        <v>44589</v>
      </c>
      <c r="K3360" t="n">
        <v>300</v>
      </c>
      <c r="L3360" t="n">
        <v>787.097</v>
      </c>
    </row>
    <row r="3361">
      <c r="A3361" t="n">
        <v>13240</v>
      </c>
      <c r="B3361" s="16" t="n">
        <v>44523</v>
      </c>
      <c r="C3361" t="inlineStr">
        <is>
          <t>CPR</t>
        </is>
      </c>
      <c r="D3361" t="n">
        <v>32</v>
      </c>
      <c r="E3361">
        <f>IF(D5710&gt;0,VLOOKUP(OPERAC[[#This Row],[COD CART]],[1]!MatrizCortoLargoCyl[#All],3,0),"")</f>
        <v/>
      </c>
      <c r="F3361" t="inlineStr">
        <is>
          <t>TEVA/CYL/9,00/21-01-22</t>
        </is>
      </c>
      <c r="G3361" t="n">
        <v>300</v>
      </c>
      <c r="H3361">
        <f>-2584.8996+56.621</f>
        <v/>
      </c>
      <c r="I3361">
        <f>-H5710/G5710</f>
        <v/>
      </c>
      <c r="J3361" s="16" t="n">
        <v>44575</v>
      </c>
      <c r="K3361" t="n">
        <v>300</v>
      </c>
      <c r="L3361" t="n">
        <v>2636.75</v>
      </c>
    </row>
    <row r="3362">
      <c r="A3362" t="n">
        <v>13240</v>
      </c>
      <c r="B3362" s="16" t="n">
        <v>44532</v>
      </c>
      <c r="C3362" t="inlineStr">
        <is>
          <t>VTA</t>
        </is>
      </c>
      <c r="D3362" t="n">
        <v>32</v>
      </c>
      <c r="E3362">
        <f>IF(D5343&gt;0,VLOOKUP(OPERAC[[#This Row],[COD CART]],[1]!MatrizCortoLargoCyl[#All],3,0),"")</f>
        <v/>
      </c>
      <c r="F3362" t="inlineStr">
        <is>
          <t>COTY/CYL/10,00/18-02-22</t>
        </is>
      </c>
      <c r="G3362" t="n">
        <v>200</v>
      </c>
      <c r="H3362">
        <f>-1803.198+41.676</f>
        <v/>
      </c>
      <c r="I3362">
        <f>-H5343/G5343</f>
        <v/>
      </c>
      <c r="J3362" s="16" t="n">
        <v>44608</v>
      </c>
      <c r="K3362">
        <f>+OPERAC[[#This Row],[cantidad]]</f>
        <v/>
      </c>
      <c r="L3362" t="n">
        <v>1889.088</v>
      </c>
    </row>
    <row r="3363">
      <c r="A3363" t="n">
        <v>13240</v>
      </c>
      <c r="B3363" s="16" t="n">
        <v>44533</v>
      </c>
      <c r="C3363" t="inlineStr">
        <is>
          <t>CPR</t>
        </is>
      </c>
      <c r="D3363" t="n">
        <v>32</v>
      </c>
      <c r="E3363">
        <f>IF(D6184&gt;0,VLOOKUP(OPERAC[[#This Row],[COD CART]],[1]!MatrizCortoLargoCyl[#All],3,0),"")</f>
        <v/>
      </c>
      <c r="F3363" t="inlineStr">
        <is>
          <t>EDIT/CYL/30,00/19-08-22</t>
        </is>
      </c>
      <c r="G3363" t="n">
        <v>200</v>
      </c>
      <c r="H3363">
        <f>-26.42*OPERAC[[#This Row],[cantidad]]+59.52+49.6+15.864</f>
        <v/>
      </c>
      <c r="I3363">
        <f>-H6184/G6184</f>
        <v/>
      </c>
    </row>
    <row r="3364">
      <c r="A3364" t="n">
        <v>13240</v>
      </c>
      <c r="B3364" s="16" t="n">
        <v>44533</v>
      </c>
      <c r="C3364" t="inlineStr">
        <is>
          <t>VTA</t>
        </is>
      </c>
      <c r="D3364" t="n">
        <v>32</v>
      </c>
      <c r="E3364">
        <f>IF(D5162&gt;0,VLOOKUP(OPERAC[[#This Row],[COD CART]],[1]!MatrizCortoLargoCyl[#All],3,0),"")</f>
        <v/>
      </c>
      <c r="F3364" t="inlineStr">
        <is>
          <t>TLRY/CYL/10,00/21-01-22</t>
        </is>
      </c>
      <c r="G3364" t="n">
        <v>200</v>
      </c>
      <c r="H3364">
        <f>-8.04*OPERAC[[#This Row],[cantidad]]</f>
        <v/>
      </c>
      <c r="I3364">
        <f>-H5162/G5162</f>
        <v/>
      </c>
      <c r="J3364" s="16" t="n">
        <v>44564</v>
      </c>
      <c r="K3364" t="n">
        <v>200</v>
      </c>
      <c r="L3364" t="n">
        <v>1423.014</v>
      </c>
    </row>
    <row r="3365">
      <c r="A3365" t="n">
        <v>13240</v>
      </c>
      <c r="B3365" s="16" t="n">
        <v>44533</v>
      </c>
      <c r="C3365" t="inlineStr">
        <is>
          <t>VTA</t>
        </is>
      </c>
      <c r="D3365" t="n">
        <v>32</v>
      </c>
      <c r="E3365">
        <f>IF(D5624&gt;0,VLOOKUP(OPERAC[[#This Row],[COD CART]],[1]!MatrizCortoLargoCyl[#All],3,0),"")</f>
        <v/>
      </c>
      <c r="F3365" t="inlineStr">
        <is>
          <t>SKLZ/CYL/10,00/21-01-22</t>
        </is>
      </c>
      <c r="G3365" t="n">
        <v>300</v>
      </c>
      <c r="H3365">
        <f>-7.94*OPERAC[[#This Row],[cantidad]]+66.878</f>
        <v/>
      </c>
      <c r="I3365">
        <f>-H5624/G5624</f>
        <v/>
      </c>
      <c r="J3365" s="16" t="n">
        <v>44579</v>
      </c>
      <c r="K3365">
        <f>+OPERAC[[#This Row],[cantidad]]</f>
        <v/>
      </c>
      <c r="L3365">
        <f>+OPERAC[[#This Row],[cantidad venta]]*5.679</f>
        <v/>
      </c>
    </row>
    <row r="3366">
      <c r="A3366" t="n">
        <v>13240</v>
      </c>
      <c r="B3366" s="16" t="n">
        <v>44536</v>
      </c>
      <c r="C3366" t="inlineStr">
        <is>
          <t>VTA</t>
        </is>
      </c>
      <c r="D3366" t="n">
        <v>43</v>
      </c>
      <c r="E3366">
        <f>IF(D1390&gt;0,VLOOKUP(OPERAC[[#This Row],[COD CART]],[1]!MatrizCortoLargoCyl[#All],3,0),"")</f>
        <v/>
      </c>
      <c r="F3366" t="inlineStr">
        <is>
          <t>HEXO/CYL-PUT/1,00/20-01-23</t>
        </is>
      </c>
      <c r="G3366" t="n">
        <v>800</v>
      </c>
      <c r="H3366">
        <f>-0.1671*OPERAC[[#This Row],[cantidad]]</f>
        <v/>
      </c>
      <c r="I3366">
        <f>-H1390/G1390</f>
        <v/>
      </c>
      <c r="J3366" s="16" t="n">
        <v>44614</v>
      </c>
      <c r="K3366" t="n">
        <v>800</v>
      </c>
      <c r="L3366">
        <f>0.3306*OPERAC[[#This Row],[cantidad venta]]</f>
        <v/>
      </c>
    </row>
    <row r="3367">
      <c r="A3367" t="n">
        <v>13240</v>
      </c>
      <c r="B3367" s="16" t="n">
        <v>44536</v>
      </c>
      <c r="C3367" t="inlineStr">
        <is>
          <t>VTA</t>
        </is>
      </c>
      <c r="D3367" t="n">
        <v>43</v>
      </c>
      <c r="E3367">
        <f>IF(D1798&gt;0,VLOOKUP(OPERAC[[#This Row],[COD CART]],[1]!MatrizCortoLargoCyl[#All],3,0),"")</f>
        <v/>
      </c>
      <c r="F3367" t="inlineStr">
        <is>
          <t>XSPA/CYL-PUT/1,50/20-01-23</t>
        </is>
      </c>
      <c r="G3367" t="n">
        <v>600</v>
      </c>
      <c r="H3367">
        <f>-0.4462*OPERAC[[#This Row],[cantidad]]</f>
        <v/>
      </c>
      <c r="I3367">
        <f>-H1798/G1798</f>
        <v/>
      </c>
    </row>
    <row r="3368">
      <c r="A3368" t="n">
        <v>13240</v>
      </c>
      <c r="B3368" s="16" t="n">
        <v>44536</v>
      </c>
      <c r="C3368" t="inlineStr">
        <is>
          <t>VTA</t>
        </is>
      </c>
      <c r="D3368" t="n">
        <v>43</v>
      </c>
      <c r="E3368">
        <f>IF(D2891&gt;0,VLOOKUP(OPERAC[[#This Row],[COD CART]],[1]!MatrizCortoLargoCyl[#All],3,0),"")</f>
        <v/>
      </c>
      <c r="F3368" t="inlineStr">
        <is>
          <t>NNDM/CYL-PUT/2,50/19-01-24</t>
        </is>
      </c>
      <c r="G3368" t="n">
        <v>500</v>
      </c>
      <c r="H3368">
        <f>-1.08*OPERAC[[#This Row],[cantidad]]</f>
        <v/>
      </c>
      <c r="I3368">
        <f>-H2891/G2891</f>
        <v/>
      </c>
    </row>
    <row r="3369">
      <c r="A3369" t="n">
        <v>13240</v>
      </c>
      <c r="B3369" s="16" t="n">
        <v>44538</v>
      </c>
      <c r="C3369" t="inlineStr">
        <is>
          <t>VTA</t>
        </is>
      </c>
      <c r="D3369" t="n">
        <v>43</v>
      </c>
      <c r="E3369">
        <f>IF(D2237&gt;0,VLOOKUP(OPERAC[[#This Row],[COD CART]],[1]!MatrizCortoLargoCyl[#All],3,0),"")</f>
        <v/>
      </c>
      <c r="F3369" t="inlineStr">
        <is>
          <t>HEXO/CYL-PUT/1,00/20-01-23</t>
        </is>
      </c>
      <c r="G3369" t="n">
        <v>2000</v>
      </c>
      <c r="H3369">
        <f>-0.1886*OPERAC[[#This Row],[cantidad]]</f>
        <v/>
      </c>
      <c r="I3369">
        <f>-H2237/G2237</f>
        <v/>
      </c>
      <c r="J3369" s="16" t="n">
        <v>44614</v>
      </c>
      <c r="K3369" t="n">
        <v>2000</v>
      </c>
      <c r="L3369">
        <f>0.3306*OPERAC[[#This Row],[cantidad venta]]</f>
        <v/>
      </c>
    </row>
    <row r="3370">
      <c r="A3370" t="n">
        <v>13240</v>
      </c>
      <c r="B3370" s="16" t="n">
        <v>44539</v>
      </c>
      <c r="C3370" t="inlineStr">
        <is>
          <t>CPR</t>
        </is>
      </c>
      <c r="D3370" t="n">
        <v>40</v>
      </c>
      <c r="E3370">
        <f>IF(D5723&gt;0,VLOOKUP(OPERAC[[#This Row],[COD CART]],[1]!MatrizCortoLargoCyl[#All],3,0),"")</f>
        <v/>
      </c>
      <c r="F3370" t="inlineStr">
        <is>
          <t>ROKU</t>
        </is>
      </c>
      <c r="G3370" t="n">
        <v>10</v>
      </c>
      <c r="H3370" t="n">
        <v>-2577.2036</v>
      </c>
      <c r="I3370">
        <f>-H5723/G5723</f>
        <v/>
      </c>
      <c r="J3370" s="16" t="n">
        <v>44606</v>
      </c>
      <c r="K3370">
        <f>+OPERAC[[#This Row],[cantidad]]</f>
        <v/>
      </c>
      <c r="L3370">
        <f>+OPERAC[[#This Row],[cantidad venta]]*160.574</f>
        <v/>
      </c>
    </row>
    <row r="3371">
      <c r="A3371" t="n">
        <v>13240</v>
      </c>
      <c r="B3371" s="16" t="n">
        <v>44543</v>
      </c>
      <c r="C3371" t="inlineStr">
        <is>
          <t>VTA</t>
        </is>
      </c>
      <c r="D3371" t="n">
        <v>40</v>
      </c>
      <c r="E3371">
        <f>IF(D2951&gt;0,VLOOKUP(OPERAC[[#This Row],[COD CART]],[1]!MatrizCortoLargoCyl[#All],3,0),"")</f>
        <v/>
      </c>
      <c r="F3371" t="inlineStr">
        <is>
          <t>VIST</t>
        </is>
      </c>
      <c r="G3371" t="n">
        <v>100</v>
      </c>
      <c r="H3371" t="n">
        <v>-559.9400000000001</v>
      </c>
      <c r="I3371">
        <f>-H2951/G2951</f>
        <v/>
      </c>
      <c r="J3371" s="16" t="n">
        <v>44574</v>
      </c>
      <c r="K3371">
        <f>+OPERAC[[#This Row],[cantidad]]</f>
        <v/>
      </c>
      <c r="L3371">
        <f>+OPERAC[[#This Row],[cantidad venta]]*6.125</f>
        <v/>
      </c>
    </row>
    <row r="3372">
      <c r="A3372" t="n">
        <v>13240</v>
      </c>
      <c r="B3372" s="16" t="n">
        <v>44550</v>
      </c>
      <c r="C3372" t="inlineStr">
        <is>
          <t>CPR</t>
        </is>
      </c>
      <c r="D3372" t="n">
        <v>40</v>
      </c>
      <c r="E3372">
        <f>IF(D5863&gt;0,VLOOKUP(OPERAC[[#This Row],[COD CART]],[1]!MatrizCortoLargoCyl[#All],3,0),"")</f>
        <v/>
      </c>
      <c r="F3372" t="inlineStr">
        <is>
          <t>SMH</t>
        </is>
      </c>
      <c r="G3372" t="n">
        <v>10</v>
      </c>
      <c r="H3372" t="n">
        <v>-2939.7304</v>
      </c>
      <c r="I3372">
        <f>-H5863/G5863</f>
        <v/>
      </c>
      <c r="J3372" s="16" t="n">
        <v>44574</v>
      </c>
      <c r="K3372">
        <f>+OPERAC[[#This Row],[cantidad]]</f>
        <v/>
      </c>
      <c r="L3372">
        <f>+OPERAC[[#This Row],[cantidad venta]]*306.843</f>
        <v/>
      </c>
    </row>
    <row r="3373">
      <c r="A3373" t="n">
        <v>13240</v>
      </c>
      <c r="B3373" s="16" t="n">
        <v>44552</v>
      </c>
      <c r="C3373" t="inlineStr">
        <is>
          <t>CPR</t>
        </is>
      </c>
      <c r="D3373" t="n">
        <v>32</v>
      </c>
      <c r="E3373">
        <f>IF(D3474&gt;0,VLOOKUP(OPERAC[[#This Row],[COD CART]],[1]!MatrizCortoLargoCyl[#All],3,0),"")</f>
        <v/>
      </c>
      <c r="F3373" t="inlineStr">
        <is>
          <t>HMY/CYL/4,00/21-01-22</t>
        </is>
      </c>
      <c r="G3373" t="n">
        <v>200</v>
      </c>
      <c r="H3373">
        <f>-3.8*OPERAC[[#This Row],[cantidad]]</f>
        <v/>
      </c>
      <c r="I3373">
        <f>-H3474/G3474</f>
        <v/>
      </c>
      <c r="J3373" s="16" t="n">
        <v>44580</v>
      </c>
      <c r="K3373" t="n">
        <v>200</v>
      </c>
      <c r="L3373" t="n">
        <v>787.86</v>
      </c>
    </row>
    <row r="3374">
      <c r="A3374" t="n">
        <v>13240</v>
      </c>
      <c r="B3374" s="16" t="n">
        <v>44552</v>
      </c>
      <c r="C3374" t="inlineStr">
        <is>
          <t>VTA</t>
        </is>
      </c>
      <c r="D3374" t="n">
        <v>32</v>
      </c>
      <c r="E3374">
        <f>IF(D5381&gt;0,VLOOKUP(OPERAC[[#This Row],[COD CART]],[1]!MatrizCortoLargoCyl[#All],3,0),"")</f>
        <v/>
      </c>
      <c r="F3374" t="inlineStr">
        <is>
          <t>GOLD/CYL/19,00/21-01-22</t>
        </is>
      </c>
      <c r="G3374" t="n">
        <v>100</v>
      </c>
      <c r="H3374">
        <f>-18.08*OPERAC[[#This Row],[cantidad]]</f>
        <v/>
      </c>
      <c r="I3374">
        <f>-H5381/G5381</f>
        <v/>
      </c>
      <c r="J3374" s="16" t="n">
        <v>44580</v>
      </c>
      <c r="K3374" t="n">
        <v>100</v>
      </c>
      <c r="L3374" t="n">
        <v>1876.846</v>
      </c>
    </row>
    <row r="3375">
      <c r="A3375" t="n">
        <v>13240</v>
      </c>
      <c r="B3375" s="16" t="n">
        <v>44553</v>
      </c>
      <c r="C3375" t="inlineStr">
        <is>
          <t>CPR</t>
        </is>
      </c>
      <c r="D3375" t="n">
        <v>40</v>
      </c>
      <c r="E3375">
        <f>IF(D4727&gt;0,VLOOKUP(OPERAC[[#This Row],[COD CART]],[1]!MatrizCortoLargoCyl[#All],3,0),"")</f>
        <v/>
      </c>
      <c r="F3375" t="inlineStr">
        <is>
          <t>ON</t>
        </is>
      </c>
      <c r="G3375" t="n">
        <v>20</v>
      </c>
      <c r="H3375" t="n">
        <v>-1342.27216</v>
      </c>
      <c r="I3375">
        <f>-H4727/G4727</f>
        <v/>
      </c>
      <c r="J3375" s="16" t="n">
        <v>44606</v>
      </c>
      <c r="K3375">
        <f>+OPERAC[[#This Row],[cantidad]]</f>
        <v/>
      </c>
      <c r="L3375">
        <f>+OPERAC[[#This Row],[cantidad venta]]*58.449</f>
        <v/>
      </c>
    </row>
    <row r="3376">
      <c r="A3376" t="n">
        <v>13240</v>
      </c>
      <c r="B3376" s="16" t="n">
        <v>44564</v>
      </c>
      <c r="C3376" t="inlineStr">
        <is>
          <t>VTA</t>
        </is>
      </c>
      <c r="D3376" t="n">
        <v>39</v>
      </c>
      <c r="E3376">
        <f>IF(D599&gt;0,VLOOKUP(OPERAC[[#This Row],[COD CART]],[1]!MatrizCortoLargoCyl[#All],3,0),"")</f>
        <v/>
      </c>
      <c r="F3376" t="inlineStr">
        <is>
          <t>TSLA/V/975,00/07-01-22</t>
        </is>
      </c>
      <c r="G3376" t="n">
        <v>-800</v>
      </c>
      <c r="H3376" t="n">
        <v>618.0624</v>
      </c>
      <c r="I3376">
        <f>-H599/G599</f>
        <v/>
      </c>
      <c r="J3376" s="16" t="n">
        <v>44567</v>
      </c>
      <c r="K3376" t="n">
        <v>-800</v>
      </c>
      <c r="L3376" t="n">
        <v>-618.0599999999999</v>
      </c>
    </row>
    <row r="3377">
      <c r="A3377" t="n">
        <v>13240</v>
      </c>
      <c r="B3377" s="16" t="n">
        <v>44567</v>
      </c>
      <c r="C3377" t="inlineStr">
        <is>
          <t>VTA</t>
        </is>
      </c>
      <c r="D3377" t="n">
        <v>39</v>
      </c>
      <c r="E3377">
        <f>IF(D59&gt;0,VLOOKUP(OPERAC[[#This Row],[COD CART]],[1]!MatrizCortoLargoCyl[#All],3,0),"")</f>
        <v/>
      </c>
      <c r="F3377" t="inlineStr">
        <is>
          <t>TSLA/V/880,00/14-01-22</t>
        </is>
      </c>
      <c r="G3377" t="n">
        <v>-800</v>
      </c>
      <c r="H3377" t="n">
        <v>4759.4696</v>
      </c>
      <c r="I3377">
        <f>-H59/G59</f>
        <v/>
      </c>
      <c r="J3377" s="16" t="n">
        <v>44571</v>
      </c>
      <c r="K3377" t="n">
        <v>-800</v>
      </c>
      <c r="L3377" t="n">
        <v>-2690.8424</v>
      </c>
    </row>
    <row r="3378">
      <c r="A3378" t="n">
        <v>13240</v>
      </c>
      <c r="B3378" s="16" t="n">
        <v>44571</v>
      </c>
      <c r="C3378" t="inlineStr">
        <is>
          <t>VTA</t>
        </is>
      </c>
      <c r="D3378" t="n">
        <v>39</v>
      </c>
      <c r="E3378">
        <f>IF(D261&gt;0,VLOOKUP(OPERAC[[#This Row],[COD CART]],[1]!MatrizCortoLargoCyl[#All],3,0),"")</f>
        <v/>
      </c>
      <c r="F3378" t="inlineStr">
        <is>
          <t>TSLA/V/870,00/21-01-22</t>
        </is>
      </c>
      <c r="G3378" t="n">
        <v>-300</v>
      </c>
      <c r="H3378" t="n">
        <v>1725.2811</v>
      </c>
      <c r="I3378">
        <f>-H261/G261</f>
        <v/>
      </c>
      <c r="J3378" s="16" t="n">
        <v>44574</v>
      </c>
      <c r="K3378" t="n">
        <v>-300</v>
      </c>
      <c r="L3378" t="n">
        <v>-499.7439</v>
      </c>
    </row>
    <row r="3379">
      <c r="A3379" t="n">
        <v>13240</v>
      </c>
      <c r="B3379" s="16" t="n">
        <v>44573</v>
      </c>
      <c r="C3379" t="inlineStr">
        <is>
          <t>VTA</t>
        </is>
      </c>
      <c r="D3379" t="n">
        <v>39</v>
      </c>
      <c r="E3379">
        <f>IF(D584&gt;0,VLOOKUP(OPERAC[[#This Row],[COD CART]],[1]!MatrizCortoLargoCyl[#All],3,0),"")</f>
        <v/>
      </c>
      <c r="F3379" t="inlineStr">
        <is>
          <t>ROKU/V/170,00/21-01-22</t>
        </is>
      </c>
      <c r="G3379" t="n">
        <v>-200</v>
      </c>
      <c r="H3379" t="n">
        <v>653.92</v>
      </c>
      <c r="I3379">
        <f>-H584/G584</f>
        <v/>
      </c>
      <c r="J3379" s="16" t="n">
        <v>44582</v>
      </c>
      <c r="K3379" t="n">
        <v>-200</v>
      </c>
      <c r="L3379">
        <f>-OPERAC[[#This Row],[importe]]</f>
        <v/>
      </c>
    </row>
    <row r="3380">
      <c r="A3380" t="n">
        <v>13240</v>
      </c>
      <c r="B3380" s="16" t="n">
        <v>44574</v>
      </c>
      <c r="C3380" t="inlineStr">
        <is>
          <t>VTA</t>
        </is>
      </c>
      <c r="D3380" t="n">
        <v>39</v>
      </c>
      <c r="E3380">
        <f>IF(D641&gt;0,VLOOKUP(OPERAC[[#This Row],[COD CART]],[1]!MatrizCortoLargoCyl[#All],3,0),"")</f>
        <v/>
      </c>
      <c r="F3380" t="inlineStr">
        <is>
          <t>TSLA/V/900,00/21-01-22</t>
        </is>
      </c>
      <c r="G3380" t="n">
        <v>-200</v>
      </c>
      <c r="H3380" t="n">
        <v>535.1504</v>
      </c>
      <c r="I3380">
        <f>-H641/G641</f>
        <v/>
      </c>
      <c r="J3380" s="16" t="n">
        <v>44582</v>
      </c>
      <c r="K3380">
        <f>+OPERAC[[#This Row],[cantidad]]</f>
        <v/>
      </c>
      <c r="L3380" t="n">
        <v>0</v>
      </c>
    </row>
    <row r="3381">
      <c r="A3381" t="n">
        <v>13240</v>
      </c>
      <c r="B3381" s="16" t="n">
        <v>44579</v>
      </c>
      <c r="C3381" t="inlineStr">
        <is>
          <t>CPR</t>
        </is>
      </c>
      <c r="D3381" t="n">
        <v>40</v>
      </c>
      <c r="E3381">
        <f>IF(D5902&gt;0,VLOOKUP(OPERAC[[#This Row],[COD CART]],[1]!MatrizCortoLargoCyl[#All],3,0),"")</f>
        <v/>
      </c>
      <c r="F3381" t="inlineStr">
        <is>
          <t>VLY</t>
        </is>
      </c>
      <c r="G3381" t="n">
        <v>200</v>
      </c>
      <c r="H3381" t="n">
        <v>-3008.87</v>
      </c>
      <c r="I3381">
        <f>-H5902/G5902</f>
        <v/>
      </c>
      <c r="J3381" s="16" t="n">
        <v>44606</v>
      </c>
      <c r="K3381">
        <f>+OPERAC[[#This Row],[cantidad]]</f>
        <v/>
      </c>
      <c r="L3381">
        <f>+OPERAC[[#This Row],[cantidad venta]]*14.121</f>
        <v/>
      </c>
    </row>
    <row r="3382">
      <c r="A3382" t="n">
        <v>13240</v>
      </c>
      <c r="B3382" s="16" t="n">
        <v>44579</v>
      </c>
      <c r="C3382" t="inlineStr">
        <is>
          <t>VTA</t>
        </is>
      </c>
      <c r="D3382" t="n">
        <v>39</v>
      </c>
      <c r="E3382">
        <f>IF(D360&gt;0,VLOOKUP(OPERAC[[#This Row],[COD CART]],[1]!MatrizCortoLargoCyl[#All],3,0),"")</f>
        <v/>
      </c>
      <c r="F3382" t="inlineStr">
        <is>
          <t>ACB/V/5,50/21-01-22</t>
        </is>
      </c>
      <c r="G3382" t="n">
        <v>-3900</v>
      </c>
      <c r="H3382" t="n">
        <v>1245.504</v>
      </c>
      <c r="I3382">
        <f>-H360/G360</f>
        <v/>
      </c>
      <c r="J3382" s="16" t="n">
        <v>44581</v>
      </c>
      <c r="K3382">
        <f>+OPERAC[[#This Row],[cantidad]]</f>
        <v/>
      </c>
      <c r="L3382">
        <f>-OPERAC[[#This Row],[importe]]</f>
        <v/>
      </c>
    </row>
    <row r="3383">
      <c r="A3383" t="n">
        <v>13240</v>
      </c>
      <c r="B3383" s="16" t="n">
        <v>44581</v>
      </c>
      <c r="C3383" t="inlineStr">
        <is>
          <t>CPR</t>
        </is>
      </c>
      <c r="D3383" t="n">
        <v>32</v>
      </c>
      <c r="E3383">
        <f>IF(D6188&gt;0,VLOOKUP(OPERAC[[#This Row],[COD CART]],[1]!MatrizCortoLargoCyl[#All],3,0),"")</f>
        <v/>
      </c>
      <c r="F3383" t="inlineStr">
        <is>
          <t>PFE/CYL/54,50/18-03-22</t>
        </is>
      </c>
      <c r="G3383" t="n">
        <v>100</v>
      </c>
      <c r="H3383">
        <f>-5311.596+32.93+37.416</f>
        <v/>
      </c>
      <c r="I3383">
        <f>-H6188/G6188</f>
        <v/>
      </c>
      <c r="J3383" s="16" t="n">
        <v>44638</v>
      </c>
      <c r="K3383" t="n">
        <v>100</v>
      </c>
      <c r="L3383" t="n">
        <v>5367.07</v>
      </c>
    </row>
    <row r="3384">
      <c r="A3384" t="n">
        <v>13240</v>
      </c>
      <c r="B3384" s="16" t="n">
        <v>44581</v>
      </c>
      <c r="C3384" t="inlineStr">
        <is>
          <t>VTA</t>
        </is>
      </c>
      <c r="D3384" t="n">
        <v>39</v>
      </c>
      <c r="E3384">
        <f>IF(D216&gt;0,VLOOKUP(OPERAC[[#This Row],[COD CART]],[1]!MatrizCortoLargoCyl[#All],3,0),"")</f>
        <v/>
      </c>
      <c r="F3384" t="inlineStr">
        <is>
          <t>ACB/V/5,50/25-02-22</t>
        </is>
      </c>
      <c r="G3384" t="n">
        <v>-2500</v>
      </c>
      <c r="H3384" t="n">
        <v>2051.55125</v>
      </c>
      <c r="I3384">
        <f>-H216/G216</f>
        <v/>
      </c>
      <c r="J3384" s="16" t="n">
        <v>44614</v>
      </c>
      <c r="K3384" t="n">
        <v>-2500</v>
      </c>
      <c r="L3384" t="n">
        <v>-2051</v>
      </c>
    </row>
    <row r="3385">
      <c r="A3385" t="n">
        <v>13240</v>
      </c>
      <c r="B3385" s="16" t="n">
        <v>44582</v>
      </c>
      <c r="C3385" t="inlineStr">
        <is>
          <t>VTA</t>
        </is>
      </c>
      <c r="D3385" t="n">
        <v>39</v>
      </c>
      <c r="E3385">
        <f>IF(D123&gt;0,VLOOKUP(OPERAC[[#This Row],[COD CART]],[1]!MatrizCortoLargoCyl[#All],3,0),"")</f>
        <v/>
      </c>
      <c r="F3385" t="inlineStr">
        <is>
          <t>ROKU/V/160,00/28-01-22</t>
        </is>
      </c>
      <c r="G3385" t="n">
        <v>-300</v>
      </c>
      <c r="H3385" t="n">
        <v>3169.1364</v>
      </c>
      <c r="I3385">
        <f>-H123/G123</f>
        <v/>
      </c>
      <c r="J3385" s="16" t="n">
        <v>44587</v>
      </c>
      <c r="K3385">
        <f>+OPERAC[[#This Row],[cantidad]]</f>
        <v/>
      </c>
      <c r="L3385">
        <f>-OPERAC[[#This Row],[importe]]</f>
        <v/>
      </c>
    </row>
    <row r="3386">
      <c r="A3386" t="n">
        <v>13240</v>
      </c>
      <c r="B3386" s="16" t="n">
        <v>44582</v>
      </c>
      <c r="C3386" t="inlineStr">
        <is>
          <t>VTA</t>
        </is>
      </c>
      <c r="D3386" t="n">
        <v>40</v>
      </c>
      <c r="E3386">
        <f>IF(D5486&gt;0,VLOOKUP(OPERAC[[#This Row],[COD CART]],[1]!MatrizCortoLargoCyl[#All],3,0),"")</f>
        <v/>
      </c>
      <c r="F3386" t="inlineStr">
        <is>
          <t>NFLX</t>
        </is>
      </c>
      <c r="G3386" t="n">
        <v>5</v>
      </c>
      <c r="H3386" t="n">
        <v>-1953.1855</v>
      </c>
      <c r="I3386">
        <f>-H5486/G5486</f>
        <v/>
      </c>
      <c r="J3386" s="16" t="n">
        <v>44593</v>
      </c>
      <c r="K3386">
        <f>+OPERAC[[#This Row],[cantidad]]</f>
        <v/>
      </c>
      <c r="L3386">
        <f>+OPERAC[[#This Row],[cantidad venta]]*448.602</f>
        <v/>
      </c>
    </row>
    <row r="3387">
      <c r="A3387" t="n">
        <v>13240</v>
      </c>
      <c r="B3387" s="16" t="n">
        <v>44586</v>
      </c>
      <c r="C3387" t="inlineStr">
        <is>
          <t>VTA</t>
        </is>
      </c>
      <c r="D3387" t="n">
        <v>43</v>
      </c>
      <c r="E3387">
        <f>IF(D5532&gt;0,VLOOKUP(OPERAC[[#This Row],[COD CART]],[1]!MatrizCortoLargoCyl[#All],3,0),"")</f>
        <v/>
      </c>
      <c r="F3387" t="inlineStr">
        <is>
          <t>GMBL/CYL-PUT/2,50/20-01-23</t>
        </is>
      </c>
      <c r="G3387" t="n">
        <v>2000</v>
      </c>
      <c r="H3387" t="n">
        <v>-2032.0823</v>
      </c>
      <c r="I3387">
        <f>-H5532/G5532</f>
        <v/>
      </c>
      <c r="J3387" s="16" t="n">
        <v>44636</v>
      </c>
      <c r="K3387" t="n">
        <v>2000</v>
      </c>
      <c r="L3387">
        <f>-1.36*OPERAC[[#This Row],[cantidad venta]]</f>
        <v/>
      </c>
    </row>
    <row r="3388">
      <c r="A3388" t="n">
        <v>13240</v>
      </c>
      <c r="B3388" s="16" t="n">
        <v>44587</v>
      </c>
      <c r="C3388" t="inlineStr">
        <is>
          <t>CPR</t>
        </is>
      </c>
      <c r="D3388" t="n">
        <v>40</v>
      </c>
      <c r="E3388">
        <f>IF(D3671&gt;0,VLOOKUP(OPERAC[[#This Row],[COD CART]],[1]!MatrizCortoLargoCyl[#All],3,0),"")</f>
        <v/>
      </c>
      <c r="F3388" t="inlineStr">
        <is>
          <t>AAPL</t>
        </is>
      </c>
      <c r="G3388" t="n">
        <v>5</v>
      </c>
      <c r="H3388" t="n">
        <v>-820.2721</v>
      </c>
      <c r="I3388">
        <f>-H3671/G3671</f>
        <v/>
      </c>
      <c r="J3388" s="16" t="n">
        <v>44601</v>
      </c>
      <c r="K3388" t="n">
        <v>5</v>
      </c>
      <c r="L3388">
        <f>175.66*OPERAC[[#This Row],[cantidad venta]]</f>
        <v/>
      </c>
    </row>
    <row r="3389">
      <c r="A3389" t="n">
        <v>13240</v>
      </c>
      <c r="B3389" s="16" t="n">
        <v>44587</v>
      </c>
      <c r="C3389" t="inlineStr">
        <is>
          <t>CPR</t>
        </is>
      </c>
      <c r="D3389" t="n">
        <v>40</v>
      </c>
      <c r="E3389">
        <f>IF(D4982&gt;0,VLOOKUP(OPERAC[[#This Row],[COD CART]],[1]!MatrizCortoLargoCyl[#All],3,0),"")</f>
        <v/>
      </c>
      <c r="F3389" t="inlineStr">
        <is>
          <t>MSFT</t>
        </is>
      </c>
      <c r="G3389" t="n">
        <v>5</v>
      </c>
      <c r="H3389" t="n">
        <v>-1517.0563</v>
      </c>
      <c r="I3389">
        <f>-H4982/G4982</f>
        <v/>
      </c>
      <c r="J3389" s="16" t="n">
        <v>44606</v>
      </c>
      <c r="K3389">
        <f>+OPERAC[[#This Row],[cantidad]]</f>
        <v/>
      </c>
      <c r="L3389">
        <f>+OPERAC[[#This Row],[cantidad venta]]*290.091</f>
        <v/>
      </c>
    </row>
    <row r="3390">
      <c r="A3390" t="n">
        <v>13240</v>
      </c>
      <c r="B3390" s="16" t="n">
        <v>44587</v>
      </c>
      <c r="C3390" t="inlineStr">
        <is>
          <t>VTA</t>
        </is>
      </c>
      <c r="D3390" t="n">
        <v>39</v>
      </c>
      <c r="E3390">
        <f>IF(D170&gt;0,VLOOKUP(OPERAC[[#This Row],[COD CART]],[1]!MatrizCortoLargoCyl[#All],3,0),"")</f>
        <v/>
      </c>
      <c r="F3390" t="inlineStr">
        <is>
          <t>ROKU/V/155,00/04-02-22</t>
        </is>
      </c>
      <c r="G3390" t="n">
        <v>-300</v>
      </c>
      <c r="H3390" t="n">
        <v>2381.988</v>
      </c>
      <c r="I3390">
        <f>-H170/G170</f>
        <v/>
      </c>
      <c r="J3390" s="16" t="n">
        <v>44592</v>
      </c>
      <c r="K3390">
        <f>+OPERAC[[#This Row],[cantidad]]</f>
        <v/>
      </c>
      <c r="L3390" t="n">
        <v>-1074.6942</v>
      </c>
    </row>
    <row r="3391">
      <c r="A3391" t="n">
        <v>13240</v>
      </c>
      <c r="B3391" s="16" t="n">
        <v>44589</v>
      </c>
      <c r="C3391" t="inlineStr">
        <is>
          <t>VTA</t>
        </is>
      </c>
      <c r="D3391" t="n">
        <v>39</v>
      </c>
      <c r="E3391">
        <f>IF(D568&gt;0,VLOOKUP(OPERAC[[#This Row],[COD CART]],[1]!MatrizCortoLargoCyl[#All],3,0),"")</f>
        <v/>
      </c>
      <c r="F3391" t="inlineStr">
        <is>
          <t>TSLA/V/680,00/04-02-22</t>
        </is>
      </c>
      <c r="G3391" t="n">
        <v>-300</v>
      </c>
      <c r="H3391" t="n">
        <v>684.477355</v>
      </c>
      <c r="I3391">
        <f>-H568/G568</f>
        <v/>
      </c>
      <c r="J3391" s="16" t="n">
        <v>44596</v>
      </c>
      <c r="K3391">
        <f>+OPERAC[[#This Row],[cantidad]]</f>
        <v/>
      </c>
      <c r="L3391" t="n">
        <v>-6.048</v>
      </c>
    </row>
    <row r="3392">
      <c r="A3392" t="n">
        <v>13240</v>
      </c>
      <c r="B3392" s="16" t="n">
        <v>44592</v>
      </c>
      <c r="C3392" t="inlineStr">
        <is>
          <t>VTA</t>
        </is>
      </c>
      <c r="D3392" t="n">
        <v>39</v>
      </c>
      <c r="E3392">
        <f>IF(D489&gt;0,VLOOKUP(OPERAC[[#This Row],[COD CART]],[1]!MatrizCortoLargoCyl[#All],3,0),"")</f>
        <v/>
      </c>
      <c r="F3392" t="inlineStr">
        <is>
          <t>ROKU/V/150,00/11-02-22</t>
        </is>
      </c>
      <c r="G3392" t="n">
        <v>-200</v>
      </c>
      <c r="H3392" t="n">
        <v>951.528</v>
      </c>
      <c r="I3392">
        <f>-H489/G489</f>
        <v/>
      </c>
      <c r="J3392" s="16" t="n">
        <v>44601</v>
      </c>
      <c r="K3392">
        <f>+OPERAC[[#This Row],[cantidad]]</f>
        <v/>
      </c>
      <c r="L3392">
        <f>0.67*OPERAC[[#This Row],[cantidad venta]]</f>
        <v/>
      </c>
    </row>
    <row r="3393">
      <c r="A3393" t="n">
        <v>13240</v>
      </c>
      <c r="B3393" s="16" t="n">
        <v>44594</v>
      </c>
      <c r="C3393" t="inlineStr">
        <is>
          <t>CPR</t>
        </is>
      </c>
      <c r="D3393" t="n">
        <v>40</v>
      </c>
      <c r="E3393">
        <f>IF(D6224&gt;0,VLOOKUP(OPERAC[[#This Row],[COD CART]],[1]!MatrizCortoLargoCyl[#All],3,0),"")</f>
        <v/>
      </c>
      <c r="F3393" t="inlineStr">
        <is>
          <t>EDU</t>
        </is>
      </c>
      <c r="G3393" t="n">
        <v>3000</v>
      </c>
      <c r="H3393" t="n">
        <v>-6048</v>
      </c>
      <c r="I3393">
        <f>-H6224/G6224</f>
        <v/>
      </c>
      <c r="J3393" s="16" t="n">
        <v>44599</v>
      </c>
      <c r="K3393" t="n">
        <v>3000</v>
      </c>
      <c r="L3393">
        <f>3000*1.642</f>
        <v/>
      </c>
    </row>
    <row r="3394">
      <c r="A3394" t="n">
        <v>13240</v>
      </c>
      <c r="B3394" s="16" t="n">
        <v>44602</v>
      </c>
      <c r="C3394" t="inlineStr">
        <is>
          <t>CPR</t>
        </is>
      </c>
      <c r="D3394" t="n">
        <v>32</v>
      </c>
      <c r="E3394">
        <f>IF(D6091&gt;0,VLOOKUP(OPERAC[[#This Row],[COD CART]],[1]!MatrizCortoLargoCyl[#All],3,0),"")</f>
        <v/>
      </c>
      <c r="F3394" t="inlineStr">
        <is>
          <t>BIOX/CYL/15,00/17-06-22</t>
        </is>
      </c>
      <c r="G3394" t="n">
        <v>300</v>
      </c>
      <c r="H3394">
        <f>-13.71*OPERAC[[#This Row],[cantidad]]+89.235</f>
        <v/>
      </c>
      <c r="I3394">
        <f>-H6091/G6091</f>
        <v/>
      </c>
    </row>
    <row r="3395">
      <c r="A3395" t="n">
        <v>13240</v>
      </c>
      <c r="B3395" s="16" t="n">
        <v>44602</v>
      </c>
      <c r="C3395" t="inlineStr">
        <is>
          <t>VTA</t>
        </is>
      </c>
      <c r="D3395" t="n">
        <v>32</v>
      </c>
      <c r="E3395">
        <f>IF(D3833&gt;0,VLOOKUP(OPERAC[[#This Row],[COD CART]],[1]!MatrizCortoLargoCyl[#All],3,0),"")</f>
        <v/>
      </c>
      <c r="F3395" t="inlineStr">
        <is>
          <t>TEVA</t>
        </is>
      </c>
      <c r="G3395" t="n">
        <v>100</v>
      </c>
      <c r="H3395">
        <f>-8.59*OPERAC[[#This Row],[cantidad]]</f>
        <v/>
      </c>
      <c r="I3395">
        <f>-H3833/G3833</f>
        <v/>
      </c>
      <c r="J3395" s="16" t="n">
        <v>44643</v>
      </c>
      <c r="K3395">
        <f>+OPERAC[[#This Row],[cantidad]]</f>
        <v/>
      </c>
      <c r="L3395">
        <f>+OPERAC[[#This Row],[cantidad venta]]*8.051</f>
        <v/>
      </c>
    </row>
    <row r="3396">
      <c r="A3396" t="n">
        <v>13240</v>
      </c>
      <c r="B3396" s="16" t="n">
        <v>44607</v>
      </c>
      <c r="C3396" t="inlineStr">
        <is>
          <t>CPR</t>
        </is>
      </c>
      <c r="D3396" t="n">
        <v>32</v>
      </c>
      <c r="E3396">
        <f>IF(D6270&gt;0,VLOOKUP(OPERAC[[#This Row],[COD CART]],[1]!MatrizCortoLargoCyl[#All],3,0),"")</f>
        <v/>
      </c>
      <c r="F3396" t="inlineStr">
        <is>
          <t>UPST/CYL/80,00/18-03-22</t>
        </is>
      </c>
      <c r="G3396" t="n">
        <v>100</v>
      </c>
      <c r="H3396" t="n">
        <v>-7567.157770000001</v>
      </c>
      <c r="I3396">
        <f>-H6270/G6270</f>
        <v/>
      </c>
      <c r="J3396" s="16" t="n">
        <v>44608</v>
      </c>
      <c r="K3396" t="n">
        <v>100</v>
      </c>
      <c r="L3396" t="n">
        <v>7956.448</v>
      </c>
    </row>
    <row r="3397">
      <c r="A3397" t="n">
        <v>13240</v>
      </c>
      <c r="B3397" s="16" t="n">
        <v>44608</v>
      </c>
      <c r="C3397" t="inlineStr">
        <is>
          <t>CPR</t>
        </is>
      </c>
      <c r="D3397" t="n">
        <v>32</v>
      </c>
      <c r="E3397">
        <f>IF(D5849&gt;0,VLOOKUP(OPERAC[[#This Row],[COD CART]],[1]!MatrizCortoLargoCyl[#All],3,0),"")</f>
        <v/>
      </c>
      <c r="F3397" t="inlineStr">
        <is>
          <t>SPWR/CYL/15,00/18-03-22</t>
        </is>
      </c>
      <c r="G3397" t="n">
        <v>200</v>
      </c>
      <c r="H3397" t="n">
        <v>-2883.624</v>
      </c>
      <c r="I3397">
        <f>-H5849/G5849</f>
        <v/>
      </c>
      <c r="J3397" s="16" t="n">
        <v>44628</v>
      </c>
      <c r="K3397" t="n">
        <v>200</v>
      </c>
      <c r="L3397" t="n">
        <v>3008.55</v>
      </c>
    </row>
    <row r="3398">
      <c r="A3398" t="n">
        <v>13240</v>
      </c>
      <c r="B3398" s="16" t="n">
        <v>44608</v>
      </c>
      <c r="C3398" t="inlineStr">
        <is>
          <t>VTA</t>
        </is>
      </c>
      <c r="D3398" t="n">
        <v>40</v>
      </c>
      <c r="E3398">
        <f>IF(D2848&gt;0,VLOOKUP(OPERAC[[#This Row],[COD CART]],[1]!MatrizCortoLargoCyl[#All],3,0),"")</f>
        <v/>
      </c>
      <c r="F3398" t="inlineStr">
        <is>
          <t>NVDA</t>
        </is>
      </c>
      <c r="G3398" t="n">
        <v>2</v>
      </c>
      <c r="H3398" t="n">
        <v>-527.0279999999999</v>
      </c>
      <c r="I3398">
        <f>-H2848/G2848</f>
        <v/>
      </c>
      <c r="J3398" s="16" t="n">
        <v>44616</v>
      </c>
      <c r="K3398">
        <f>+OPERAC[[#This Row],[cantidad]]</f>
        <v/>
      </c>
      <c r="L3398">
        <f>+OPERAC[[#This Row],[cantidad venta]]*224.117</f>
        <v/>
      </c>
    </row>
    <row r="3399">
      <c r="A3399" t="n">
        <v>13240</v>
      </c>
      <c r="B3399" s="16" t="n">
        <v>44609</v>
      </c>
      <c r="C3399" t="inlineStr">
        <is>
          <t>VTA</t>
        </is>
      </c>
      <c r="D3399" t="n">
        <v>32</v>
      </c>
      <c r="E3399">
        <f>IF(D5280&gt;0,VLOOKUP(OPERAC[[#This Row],[COD CART]],[1]!MatrizCortoLargoCyl[#All],3,0),"")</f>
        <v/>
      </c>
      <c r="F3399" t="inlineStr">
        <is>
          <t>F</t>
        </is>
      </c>
      <c r="G3399" t="n">
        <v>100</v>
      </c>
      <c r="H3399" t="n">
        <v>-1715.2776</v>
      </c>
      <c r="I3399">
        <f>-H5280/G5280</f>
        <v/>
      </c>
      <c r="J3399" s="16" t="n">
        <v>44649</v>
      </c>
      <c r="K3399" t="n">
        <v>100</v>
      </c>
      <c r="L3399">
        <f>17.636*OPERAC[[#This Row],[cantidad venta]]</f>
        <v/>
      </c>
    </row>
    <row r="3400">
      <c r="A3400" t="n">
        <v>13240</v>
      </c>
      <c r="B3400" s="16" t="n">
        <v>44609</v>
      </c>
      <c r="C3400" t="inlineStr">
        <is>
          <t>VTA</t>
        </is>
      </c>
      <c r="D3400" t="n">
        <v>32</v>
      </c>
      <c r="E3400">
        <f>IF(D5325&gt;0,VLOOKUP(OPERAC[[#This Row],[COD CART]],[1]!MatrizCortoLargoCyl[#All],3,0),"")</f>
        <v/>
      </c>
      <c r="F3400" t="inlineStr">
        <is>
          <t>HIMX/CYL/9,00/18-03-22</t>
        </is>
      </c>
      <c r="G3400" t="n">
        <v>200</v>
      </c>
      <c r="H3400" t="n">
        <v>-1739.168</v>
      </c>
      <c r="I3400">
        <f>-H5325/G5325</f>
        <v/>
      </c>
      <c r="J3400" s="16" t="n">
        <v>44622</v>
      </c>
      <c r="K3400" t="n">
        <v>200</v>
      </c>
      <c r="L3400" t="n">
        <v>1767.151</v>
      </c>
    </row>
    <row r="3401">
      <c r="A3401" t="n">
        <v>13240</v>
      </c>
      <c r="B3401" s="16" t="n">
        <v>44614</v>
      </c>
      <c r="C3401" t="inlineStr">
        <is>
          <t>VTA</t>
        </is>
      </c>
      <c r="D3401" t="n">
        <v>39</v>
      </c>
      <c r="E3401">
        <f>IF(D1006&gt;0,VLOOKUP(OPERAC[[#This Row],[COD CART]],[1]!MatrizCortoLargoCyl[#All],3,0),"")</f>
        <v/>
      </c>
      <c r="F3401" t="inlineStr">
        <is>
          <t>MELI/V/500,00/19-01-24</t>
        </is>
      </c>
      <c r="G3401" t="n">
        <v>-1</v>
      </c>
      <c r="H3401" t="n">
        <v>64.48</v>
      </c>
      <c r="I3401">
        <f>-H1006/G1006</f>
        <v/>
      </c>
    </row>
    <row r="3402">
      <c r="A3402" t="n">
        <v>13240</v>
      </c>
      <c r="B3402" s="16" t="n">
        <v>44616</v>
      </c>
      <c r="C3402" t="inlineStr">
        <is>
          <t>CPR</t>
        </is>
      </c>
      <c r="D3402" t="n">
        <v>32</v>
      </c>
      <c r="E3402">
        <f>IF(D6065&gt;0,VLOOKUP(OPERAC[[#This Row],[COD CART]],[1]!MatrizCortoLargoCyl[#All],3,0),"")</f>
        <v/>
      </c>
      <c r="F3402" t="inlineStr">
        <is>
          <t>HMY/CYL/4,00/18-03-22</t>
        </is>
      </c>
      <c r="G3402" t="n">
        <v>1000</v>
      </c>
      <c r="H3402" t="n">
        <v>-3837.05</v>
      </c>
      <c r="I3402">
        <f>-H6065/G6065</f>
        <v/>
      </c>
      <c r="J3402" s="16" t="n">
        <v>44622</v>
      </c>
      <c r="K3402" t="n">
        <v>1000</v>
      </c>
      <c r="L3402" t="n">
        <v>3939.5</v>
      </c>
    </row>
    <row r="3403">
      <c r="A3403" t="n">
        <v>13240</v>
      </c>
      <c r="B3403" s="16" t="n">
        <v>44616</v>
      </c>
      <c r="C3403" t="inlineStr">
        <is>
          <t>VTA</t>
        </is>
      </c>
      <c r="D3403" t="n">
        <v>32</v>
      </c>
      <c r="E3403">
        <f>IF(D4996&gt;0,VLOOKUP(OPERAC[[#This Row],[COD CART]],[1]!MatrizCortoLargoCyl[#All],3,0),"")</f>
        <v/>
      </c>
      <c r="F3403" t="inlineStr">
        <is>
          <t>TEVA/CYL/8,00/18-03-22</t>
        </is>
      </c>
      <c r="G3403" t="n">
        <v>200</v>
      </c>
      <c r="H3403" t="n">
        <v>-1524.5108</v>
      </c>
      <c r="I3403">
        <f>-H4996/G4996</f>
        <v/>
      </c>
      <c r="J3403" s="16" t="n">
        <v>44638</v>
      </c>
      <c r="K3403" t="n">
        <v>200</v>
      </c>
      <c r="L3403">
        <f>7.8242*OPERAC[[#This Row],[cantidad venta]]</f>
        <v/>
      </c>
    </row>
    <row r="3404">
      <c r="A3404" t="n">
        <v>13240</v>
      </c>
      <c r="B3404" s="16" t="n">
        <v>44616</v>
      </c>
      <c r="C3404" t="inlineStr">
        <is>
          <t>VTA</t>
        </is>
      </c>
      <c r="D3404" t="n">
        <v>32</v>
      </c>
      <c r="E3404">
        <f>IF(D5169&gt;0,VLOOKUP(OPERAC[[#This Row],[COD CART]],[1]!MatrizCortoLargoCyl[#All],3,0),"")</f>
        <v/>
      </c>
      <c r="F3404" t="inlineStr">
        <is>
          <t>COTY/CYL/8,50/18-03-22</t>
        </is>
      </c>
      <c r="G3404" t="n">
        <v>200</v>
      </c>
      <c r="H3404" t="n">
        <v>-1614.2812</v>
      </c>
      <c r="I3404">
        <f>-H5169/G5169</f>
        <v/>
      </c>
      <c r="J3404" s="16" t="n">
        <v>44636</v>
      </c>
      <c r="K3404" t="n">
        <v>200</v>
      </c>
      <c r="L3404" t="n">
        <v>1675.159</v>
      </c>
    </row>
    <row r="3405">
      <c r="A3405" t="n">
        <v>13240</v>
      </c>
      <c r="B3405" s="16" t="n">
        <v>44622</v>
      </c>
      <c r="C3405" t="inlineStr">
        <is>
          <t>CPR</t>
        </is>
      </c>
      <c r="D3405" t="n">
        <v>32</v>
      </c>
      <c r="E3405">
        <f>IF(D4883&gt;0,VLOOKUP(OPERAC[[#This Row],[COD CART]],[1]!MatrizCortoLargoCyl[#All],3,0),"")</f>
        <v/>
      </c>
      <c r="F3405" t="inlineStr">
        <is>
          <t>AMC/CYL/16,00/14-04-22</t>
        </is>
      </c>
      <c r="G3405" t="n">
        <v>100</v>
      </c>
      <c r="H3405" t="n">
        <v>-1460.8686</v>
      </c>
      <c r="I3405">
        <f>-H4883/G4883</f>
        <v/>
      </c>
      <c r="J3405" s="16" t="n">
        <v>44648</v>
      </c>
      <c r="K3405">
        <f>+OPERAC[[#This Row],[cantidad]]</f>
        <v/>
      </c>
      <c r="L3405" t="n">
        <v>1581.776</v>
      </c>
    </row>
    <row r="3406">
      <c r="A3406" t="n">
        <v>13240</v>
      </c>
      <c r="B3406" s="16" t="n">
        <v>44622</v>
      </c>
      <c r="C3406" t="inlineStr">
        <is>
          <t>CPR</t>
        </is>
      </c>
      <c r="D3406" t="n">
        <v>32</v>
      </c>
      <c r="E3406">
        <f>IF(D6132&gt;0,VLOOKUP(OPERAC[[#This Row],[COD CART]],[1]!MatrizCortoLargoCyl[#All],3,0),"")</f>
        <v/>
      </c>
      <c r="F3406" t="inlineStr">
        <is>
          <t>HMY/CYL/5,00/18-03-22</t>
        </is>
      </c>
      <c r="G3406" t="n">
        <v>1000</v>
      </c>
      <c r="H3406" t="n">
        <v>-4685.320000000001</v>
      </c>
      <c r="I3406">
        <f>-H6132/G6132</f>
        <v/>
      </c>
      <c r="J3406" s="16" t="n">
        <v>44637</v>
      </c>
      <c r="K3406">
        <f>+OPERAC[[#This Row],[cantidad]]</f>
        <v/>
      </c>
      <c r="L3406">
        <f>4.85553*OPERAC[[#This Row],[cantidad venta]]</f>
        <v/>
      </c>
    </row>
    <row r="3407">
      <c r="A3407" t="n">
        <v>13240</v>
      </c>
      <c r="B3407" s="16" t="n">
        <v>44631</v>
      </c>
      <c r="C3407" t="inlineStr">
        <is>
          <t>CPR</t>
        </is>
      </c>
      <c r="D3407" t="n">
        <v>42</v>
      </c>
      <c r="E3407">
        <f>IF(D5894&gt;0,VLOOKUP(OPERAC[[#This Row],[COD CART]],[1]!MatrizCortoLargoCyl[#All],3,0),"")</f>
        <v/>
      </c>
      <c r="F3407" t="inlineStr">
        <is>
          <t>AMZN</t>
        </is>
      </c>
      <c r="G3407" t="n">
        <v>1</v>
      </c>
      <c r="H3407" t="n">
        <v>-2978.80936</v>
      </c>
      <c r="I3407">
        <f>-H5894/G5894</f>
        <v/>
      </c>
      <c r="J3407" s="16" t="n">
        <v>44642</v>
      </c>
      <c r="K3407" t="n">
        <v>1</v>
      </c>
      <c r="L3407" t="n">
        <v>3273.35</v>
      </c>
    </row>
    <row r="3408">
      <c r="A3408" t="n">
        <v>13240</v>
      </c>
      <c r="B3408" s="16" t="n">
        <v>44634</v>
      </c>
      <c r="C3408" t="inlineStr">
        <is>
          <t>CPR</t>
        </is>
      </c>
      <c r="D3408" t="n">
        <v>42</v>
      </c>
      <c r="E3408">
        <f>IF(D5995&gt;0,VLOOKUP(OPERAC[[#This Row],[COD CART]],[1]!MatrizCortoLargoCyl[#All],3,0),"")</f>
        <v/>
      </c>
      <c r="F3408" t="inlineStr">
        <is>
          <t>INO</t>
        </is>
      </c>
      <c r="G3408" t="n">
        <v>1000</v>
      </c>
      <c r="H3408" t="n">
        <v>-3320.816</v>
      </c>
      <c r="I3408">
        <f>-H5995/G5995</f>
        <v/>
      </c>
      <c r="J3408" s="16" t="n">
        <v>44634</v>
      </c>
      <c r="K3408" t="n">
        <v>1000</v>
      </c>
      <c r="L3408" t="n">
        <v>2988.855</v>
      </c>
    </row>
    <row r="3409">
      <c r="A3409" t="n">
        <v>13240</v>
      </c>
      <c r="B3409" s="16" t="n">
        <v>44636</v>
      </c>
      <c r="C3409" t="inlineStr">
        <is>
          <t>CPR</t>
        </is>
      </c>
      <c r="D3409" t="n">
        <v>43</v>
      </c>
      <c r="E3409">
        <f>IF(D4170&gt;0,VLOOKUP(OPERAC[[#This Row],[COD CART]],[1]!MatrizCortoLargoCyl[#All],3,0),"")</f>
        <v/>
      </c>
      <c r="F3409" t="inlineStr">
        <is>
          <t>GMBL/CYL-PUT/1,00/20-01-23</t>
        </is>
      </c>
      <c r="G3409" t="n">
        <v>6000</v>
      </c>
      <c r="H3409" t="n">
        <v>-980.3318999999992</v>
      </c>
      <c r="I3409">
        <f>-H4170/G4170</f>
        <v/>
      </c>
    </row>
    <row r="3410">
      <c r="A3410" t="n">
        <v>13240</v>
      </c>
      <c r="B3410" s="16" t="n">
        <v>44641</v>
      </c>
      <c r="C3410" t="inlineStr">
        <is>
          <t>CPR</t>
        </is>
      </c>
      <c r="D3410" t="n">
        <v>32</v>
      </c>
      <c r="E3410">
        <f>IF(D6138&gt;0,VLOOKUP(OPERAC[[#This Row],[COD CART]],[1]!MatrizCortoLargoCyl[#All],3,0),"")</f>
        <v/>
      </c>
      <c r="F3410" t="inlineStr">
        <is>
          <t>HMY</t>
        </is>
      </c>
      <c r="G3410" t="n">
        <v>1000</v>
      </c>
      <c r="H3410" t="n">
        <v>-4759.039</v>
      </c>
      <c r="I3410">
        <f>-H6138/G6138</f>
        <v/>
      </c>
      <c r="J3410" s="16" t="n">
        <v>44669</v>
      </c>
      <c r="K3410">
        <f>+OPERAC[[#This Row],[cantidad]]</f>
        <v/>
      </c>
      <c r="L3410">
        <f>4.925*OPERAC[[#This Row],[cantidad venta]]</f>
        <v/>
      </c>
    </row>
    <row r="3411">
      <c r="A3411" t="n">
        <v>13240</v>
      </c>
      <c r="B3411" s="16" t="n">
        <v>44641</v>
      </c>
      <c r="C3411" t="inlineStr">
        <is>
          <t>VTA</t>
        </is>
      </c>
      <c r="D3411" t="n">
        <v>42</v>
      </c>
      <c r="E3411">
        <f>IF(D5461&gt;0,VLOOKUP(OPERAC[[#This Row],[COD CART]],[1]!MatrizCortoLargoCyl[#All],3,0),"")</f>
        <v/>
      </c>
      <c r="F3411" t="inlineStr">
        <is>
          <t>FB</t>
        </is>
      </c>
      <c r="G3411" t="n">
        <v>9</v>
      </c>
      <c r="H3411" t="n">
        <v>-1909.40742</v>
      </c>
      <c r="I3411">
        <f>-H5461/G5461</f>
        <v/>
      </c>
      <c r="J3411" s="16" t="n">
        <v>44671</v>
      </c>
      <c r="K3411">
        <f>+OPERAC[[#This Row],[cantidad]]</f>
        <v/>
      </c>
      <c r="L3411">
        <f>+OPERAC[[#This Row],[cantidad venta]]*213.173</f>
        <v/>
      </c>
    </row>
    <row r="3412">
      <c r="A3412" t="n">
        <v>13240</v>
      </c>
      <c r="B3412" s="16" t="n">
        <v>44641</v>
      </c>
      <c r="C3412" t="inlineStr">
        <is>
          <t>VTA</t>
        </is>
      </c>
      <c r="D3412" t="n">
        <v>42</v>
      </c>
      <c r="E3412">
        <f>IF(D5479&gt;0,VLOOKUP(OPERAC[[#This Row],[COD CART]],[1]!MatrizCortoLargoCyl[#All],3,0),"")</f>
        <v/>
      </c>
      <c r="F3412" t="inlineStr">
        <is>
          <t>DIS</t>
        </is>
      </c>
      <c r="G3412" t="n">
        <v>14</v>
      </c>
      <c r="H3412" t="n">
        <v>-1949.7968</v>
      </c>
      <c r="I3412">
        <f>-H5479/G5479</f>
        <v/>
      </c>
      <c r="J3412" s="16" t="n">
        <v>44671</v>
      </c>
      <c r="K3412">
        <f>+OPERAC[[#This Row],[cantidad]]</f>
        <v/>
      </c>
      <c r="L3412">
        <f>+OPERAC[[#This Row],[cantidad venta]]*123.621</f>
        <v/>
      </c>
    </row>
    <row r="3413">
      <c r="A3413" t="n">
        <v>13240</v>
      </c>
      <c r="B3413" s="16" t="n">
        <v>44641</v>
      </c>
      <c r="C3413" t="inlineStr">
        <is>
          <t>VTA</t>
        </is>
      </c>
      <c r="D3413" t="n">
        <v>42</v>
      </c>
      <c r="E3413">
        <f>IF(D5499&gt;0,VLOOKUP(OPERAC[[#This Row],[COD CART]],[1]!MatrizCortoLargoCyl[#All],3,0),"")</f>
        <v/>
      </c>
      <c r="F3413" t="inlineStr">
        <is>
          <t>JPM</t>
        </is>
      </c>
      <c r="G3413" t="n">
        <v>14</v>
      </c>
      <c r="H3413" t="n">
        <v>-1966.36076</v>
      </c>
      <c r="I3413">
        <f>-H5499/G5499</f>
        <v/>
      </c>
      <c r="J3413" s="16" t="n">
        <v>44664</v>
      </c>
      <c r="K3413">
        <f>+OPERAC[[#This Row],[cantidad]]</f>
        <v/>
      </c>
      <c r="L3413">
        <f>+OPERAC[[#This Row],[cantidad venta]]*125.943</f>
        <v/>
      </c>
    </row>
    <row r="3414">
      <c r="A3414" t="n">
        <v>13240</v>
      </c>
      <c r="B3414" s="16" t="n">
        <v>44641</v>
      </c>
      <c r="C3414" t="inlineStr">
        <is>
          <t>VTA</t>
        </is>
      </c>
      <c r="D3414" t="n">
        <v>42</v>
      </c>
      <c r="E3414">
        <f>IF(D5593&gt;0,VLOOKUP(OPERAC[[#This Row],[COD CART]],[1]!MatrizCortoLargoCyl[#All],3,0),"")</f>
        <v/>
      </c>
      <c r="F3414" t="inlineStr">
        <is>
          <t>SMH</t>
        </is>
      </c>
      <c r="G3414" t="n">
        <v>8</v>
      </c>
      <c r="H3414" t="n">
        <v>-2151.6612</v>
      </c>
      <c r="I3414">
        <f>-H5593/G5593</f>
        <v/>
      </c>
      <c r="J3414" s="16" t="n">
        <v>44663</v>
      </c>
      <c r="K3414">
        <f>+OPERAC[[#This Row],[cantidad]]</f>
        <v/>
      </c>
      <c r="L3414">
        <f>+OPERAC[[#This Row],[cantidad venta]]*238.066</f>
        <v/>
      </c>
    </row>
    <row r="3415">
      <c r="A3415" t="n">
        <v>13240</v>
      </c>
      <c r="B3415" s="16" t="n">
        <v>44642</v>
      </c>
      <c r="C3415" t="inlineStr">
        <is>
          <t>CPR</t>
        </is>
      </c>
      <c r="D3415" t="n">
        <v>42</v>
      </c>
      <c r="E3415">
        <f>IF(D4273&gt;0,VLOOKUP(OPERAC[[#This Row],[COD CART]],[1]!MatrizCortoLargoCyl[#All],3,0),"")</f>
        <v/>
      </c>
      <c r="F3415" t="inlineStr">
        <is>
          <t>AAPL</t>
        </is>
      </c>
      <c r="G3415" t="n">
        <v>6</v>
      </c>
      <c r="H3415" t="n">
        <v>-1022.62344</v>
      </c>
      <c r="I3415">
        <f>-H4273/G4273</f>
        <v/>
      </c>
      <c r="J3415" s="16" t="n">
        <v>44651</v>
      </c>
      <c r="K3415" t="n">
        <v>6</v>
      </c>
      <c r="L3415" t="n">
        <v>1058.104</v>
      </c>
    </row>
    <row r="3416">
      <c r="A3416" t="n">
        <v>13240</v>
      </c>
      <c r="B3416" s="16" t="n">
        <v>44642</v>
      </c>
      <c r="C3416" t="inlineStr">
        <is>
          <t>CPR</t>
        </is>
      </c>
      <c r="D3416" t="n">
        <v>42</v>
      </c>
      <c r="E3416">
        <f>IF(D4369&gt;0,VLOOKUP(OPERAC[[#This Row],[COD CART]],[1]!MatrizCortoLargoCyl[#All],3,0),"")</f>
        <v/>
      </c>
      <c r="F3416" t="inlineStr">
        <is>
          <t>QQQ</t>
        </is>
      </c>
      <c r="G3416" t="n">
        <v>3</v>
      </c>
      <c r="H3416" t="n">
        <v>-1080.01896</v>
      </c>
      <c r="I3416">
        <f>-H4369/G4369</f>
        <v/>
      </c>
      <c r="J3416" s="16" t="n">
        <v>44690</v>
      </c>
      <c r="K3416" t="n">
        <v>3</v>
      </c>
      <c r="L3416" t="n">
        <v>883.367</v>
      </c>
    </row>
    <row r="3417">
      <c r="A3417" t="n">
        <v>13240</v>
      </c>
      <c r="B3417" s="16" t="n">
        <v>44643</v>
      </c>
      <c r="C3417" t="inlineStr">
        <is>
          <t>CPR</t>
        </is>
      </c>
      <c r="D3417" t="n">
        <v>32</v>
      </c>
      <c r="E3417">
        <f>IF(D3269&gt;0,VLOOKUP(OPERAC[[#This Row],[COD CART]],[1]!MatrizCortoLargoCyl[#All],3,0),"")</f>
        <v/>
      </c>
      <c r="F3417" t="inlineStr">
        <is>
          <t>CRESY</t>
        </is>
      </c>
      <c r="G3417" t="n">
        <v>100</v>
      </c>
      <c r="H3417" t="n">
        <v>-680.303</v>
      </c>
      <c r="I3417">
        <f>-H3269/G3269</f>
        <v/>
      </c>
      <c r="J3417" s="16" t="n">
        <v>44708</v>
      </c>
      <c r="K3417" t="n">
        <v>100</v>
      </c>
      <c r="L3417" t="n">
        <v>733.71</v>
      </c>
    </row>
    <row r="3418">
      <c r="A3418" t="n">
        <v>13240</v>
      </c>
      <c r="B3418" s="16" t="n">
        <v>44648</v>
      </c>
      <c r="C3418" t="inlineStr">
        <is>
          <t>VTA</t>
        </is>
      </c>
      <c r="D3418" t="n">
        <v>32</v>
      </c>
      <c r="E3418">
        <f>IF(D5048&gt;0,VLOOKUP(OPERAC[[#This Row],[COD CART]],[1]!MatrizCortoLargoCyl[#All],3,0),"")</f>
        <v/>
      </c>
      <c r="F3418" t="inlineStr">
        <is>
          <t>F/CYL/18,00/17-06-22</t>
        </is>
      </c>
      <c r="G3418" t="n">
        <v>100</v>
      </c>
      <c r="H3418">
        <f>-1616.534+43.626</f>
        <v/>
      </c>
      <c r="I3418">
        <f>-H5048/G5048</f>
        <v/>
      </c>
    </row>
    <row r="3419">
      <c r="A3419" t="n">
        <v>13240</v>
      </c>
      <c r="B3419" s="16" t="n">
        <v>44650</v>
      </c>
      <c r="C3419" t="inlineStr">
        <is>
          <t>VTA</t>
        </is>
      </c>
      <c r="D3419" t="n">
        <v>42</v>
      </c>
      <c r="E3419">
        <f>IF(D1666&gt;0,VLOOKUP(OPERAC[[#This Row],[COD CART]],[1]!MatrizCortoLargoCyl[#All],3,0),"")</f>
        <v/>
      </c>
      <c r="F3419" t="inlineStr">
        <is>
          <t>FB</t>
        </is>
      </c>
      <c r="G3419" t="n">
        <v>1</v>
      </c>
      <c r="H3419" t="n">
        <v>-232.46216</v>
      </c>
      <c r="I3419">
        <f>-H1666/G1666</f>
        <v/>
      </c>
      <c r="J3419" s="16" t="n">
        <v>44671</v>
      </c>
      <c r="K3419">
        <f>+OPERAC[[#This Row],[cantidad]]</f>
        <v/>
      </c>
      <c r="L3419">
        <f>+OPERAC[[#This Row],[cantidad venta]]*213.173</f>
        <v/>
      </c>
    </row>
    <row r="3420">
      <c r="A3420" t="n">
        <v>13240</v>
      </c>
      <c r="B3420" s="16" t="n">
        <v>44650</v>
      </c>
      <c r="C3420" t="inlineStr">
        <is>
          <t>VTA</t>
        </is>
      </c>
      <c r="D3420" t="n">
        <v>42</v>
      </c>
      <c r="E3420">
        <f>IF(D5437&gt;0,VLOOKUP(OPERAC[[#This Row],[COD CART]],[1]!MatrizCortoLargoCyl[#All],3,0),"")</f>
        <v/>
      </c>
      <c r="F3420" t="inlineStr">
        <is>
          <t>ADBE</t>
        </is>
      </c>
      <c r="G3420" t="n">
        <v>4</v>
      </c>
      <c r="H3420" t="n">
        <v>-1865.2516</v>
      </c>
      <c r="I3420">
        <f>-H5437/G5437</f>
        <v/>
      </c>
      <c r="J3420" s="16" t="n">
        <v>44687</v>
      </c>
      <c r="K3420">
        <f>+OPERAC[[#This Row],[cantidad]]</f>
        <v/>
      </c>
      <c r="L3420" t="n">
        <v>1545.69</v>
      </c>
    </row>
    <row r="3421">
      <c r="A3421" t="n">
        <v>13240</v>
      </c>
      <c r="B3421" s="16" t="n">
        <v>44651</v>
      </c>
      <c r="C3421" t="inlineStr">
        <is>
          <t>CPR</t>
        </is>
      </c>
      <c r="D3421" t="n">
        <v>42</v>
      </c>
      <c r="E3421">
        <f>IF(D4459&gt;0,VLOOKUP(OPERAC[[#This Row],[COD CART]],[1]!MatrizCortoLargoCyl[#All],3,0),"")</f>
        <v/>
      </c>
      <c r="F3421" t="inlineStr">
        <is>
          <t>NFLX</t>
        </is>
      </c>
      <c r="G3421" t="n">
        <v>3</v>
      </c>
      <c r="H3421" t="n">
        <v>-1160.639</v>
      </c>
      <c r="I3421">
        <f>-H4459/G4459</f>
        <v/>
      </c>
      <c r="J3421" s="16" t="n">
        <v>44658</v>
      </c>
      <c r="K3421" t="n">
        <v>3</v>
      </c>
      <c r="L3421" t="n">
        <v>1069.889</v>
      </c>
    </row>
    <row r="3422">
      <c r="A3422" t="n">
        <v>13240</v>
      </c>
      <c r="B3422" s="16" t="n">
        <v>44658</v>
      </c>
      <c r="C3422" t="inlineStr">
        <is>
          <t>CPR</t>
        </is>
      </c>
      <c r="D3422" t="n">
        <v>42</v>
      </c>
      <c r="E3422">
        <f>IF(D4074&gt;0,VLOOKUP(OPERAC[[#This Row],[COD CART]],[1]!MatrizCortoLargoCyl[#All],3,0),"")</f>
        <v/>
      </c>
      <c r="F3422" t="inlineStr">
        <is>
          <t>AMD</t>
        </is>
      </c>
      <c r="G3422" t="n">
        <v>9</v>
      </c>
      <c r="H3422" t="n">
        <v>-932.841</v>
      </c>
      <c r="I3422">
        <f>-H4074/G4074</f>
        <v/>
      </c>
      <c r="J3422" s="16" t="n">
        <v>44672</v>
      </c>
      <c r="K3422" t="n">
        <v>9</v>
      </c>
      <c r="L3422" t="n">
        <v>830.71</v>
      </c>
    </row>
    <row r="3423">
      <c r="A3423" t="n">
        <v>13240</v>
      </c>
      <c r="B3423" s="16" t="n">
        <v>44662</v>
      </c>
      <c r="C3423" t="inlineStr">
        <is>
          <t>CPR</t>
        </is>
      </c>
      <c r="D3423" t="n">
        <v>42</v>
      </c>
      <c r="E3423">
        <f>IF(D6086&gt;0,VLOOKUP(OPERAC[[#This Row],[COD CART]],[1]!MatrizCortoLargoCyl[#All],3,0),"")</f>
        <v/>
      </c>
      <c r="F3423" t="inlineStr">
        <is>
          <t>HYDR</t>
        </is>
      </c>
      <c r="G3423" t="n">
        <v>215</v>
      </c>
      <c r="H3423" t="n">
        <v>-3992.62396</v>
      </c>
      <c r="I3423">
        <f>-H6086/G6086</f>
        <v/>
      </c>
    </row>
    <row r="3424">
      <c r="A3424" t="n">
        <v>13240</v>
      </c>
      <c r="B3424" s="16" t="n">
        <v>44669</v>
      </c>
      <c r="C3424" t="inlineStr">
        <is>
          <t>CPR</t>
        </is>
      </c>
      <c r="D3424" t="n">
        <v>32</v>
      </c>
      <c r="E3424">
        <f>IF(D6130&gt;0,VLOOKUP(OPERAC[[#This Row],[COD CART]],[1]!MatrizCortoLargoCyl[#All],3,0),"")</f>
        <v/>
      </c>
      <c r="F3424" t="inlineStr">
        <is>
          <t>HMY</t>
        </is>
      </c>
      <c r="G3424" t="n">
        <v>1000</v>
      </c>
      <c r="H3424">
        <f>-4.64*OPERAC[[#This Row],[cantidad]]</f>
        <v/>
      </c>
      <c r="I3424">
        <f>-H6130/G6130</f>
        <v/>
      </c>
    </row>
    <row r="3425">
      <c r="A3425" t="n">
        <v>13240</v>
      </c>
      <c r="B3425" s="16" t="n">
        <v>44671</v>
      </c>
      <c r="C3425" t="inlineStr">
        <is>
          <t>VTA</t>
        </is>
      </c>
      <c r="D3425" t="n">
        <v>42</v>
      </c>
      <c r="E3425">
        <f>IF(D5285&gt;0,VLOOKUP(OPERAC[[#This Row],[COD CART]],[1]!MatrizCortoLargoCyl[#All],3,0),"")</f>
        <v/>
      </c>
      <c r="F3425" t="inlineStr">
        <is>
          <t>TLT</t>
        </is>
      </c>
      <c r="G3425" t="n">
        <v>14</v>
      </c>
      <c r="H3425" t="n">
        <v>-1715.88207</v>
      </c>
      <c r="I3425">
        <f>-H5285/G5285</f>
        <v/>
      </c>
    </row>
    <row r="3426">
      <c r="A3426" t="n">
        <v>13240</v>
      </c>
      <c r="B3426" s="16" t="n">
        <v>44671</v>
      </c>
      <c r="C3426" t="inlineStr">
        <is>
          <t>VTA</t>
        </is>
      </c>
      <c r="D3426" t="n">
        <v>42</v>
      </c>
      <c r="E3426">
        <f>IF(D5618&gt;0,VLOOKUP(OPERAC[[#This Row],[COD CART]],[1]!MatrizCortoLargoCyl[#All],3,0),"")</f>
        <v/>
      </c>
      <c r="F3426" t="inlineStr">
        <is>
          <t>NFLX</t>
        </is>
      </c>
      <c r="G3426" t="n">
        <v>9</v>
      </c>
      <c r="H3426" t="n">
        <v>-2290.54554</v>
      </c>
      <c r="I3426">
        <f>-H5618/G5618</f>
        <v/>
      </c>
    </row>
    <row r="3427">
      <c r="A3427" t="n">
        <v>13240</v>
      </c>
      <c r="B3427" s="16" t="n">
        <v>44672</v>
      </c>
      <c r="C3427" t="inlineStr">
        <is>
          <t>VTA</t>
        </is>
      </c>
      <c r="D3427" t="n">
        <v>43</v>
      </c>
      <c r="E3427">
        <f>IF(D3077&gt;0,VLOOKUP(OPERAC[[#This Row],[COD CART]],[1]!MatrizCortoLargoCyl[#All],3,0),"")</f>
        <v/>
      </c>
      <c r="F3427" t="inlineStr">
        <is>
          <t>PCT/CYL-PUT/7,50/19-01-24</t>
        </is>
      </c>
      <c r="G3427" t="n">
        <v>500</v>
      </c>
      <c r="H3427" t="n">
        <v>-618.42</v>
      </c>
      <c r="I3427">
        <f>-H3077/G3077</f>
        <v/>
      </c>
    </row>
    <row r="3428">
      <c r="A3428" t="n">
        <v>13240</v>
      </c>
      <c r="B3428" s="16" t="n">
        <v>44687</v>
      </c>
      <c r="C3428" t="inlineStr">
        <is>
          <t>VTA</t>
        </is>
      </c>
      <c r="D3428" t="n">
        <v>43</v>
      </c>
      <c r="E3428">
        <f>IF(D5154&gt;0,VLOOKUP(OPERAC[[#This Row],[COD CART]],[1]!MatrizCortoLargoCyl[#All],3,0),"")</f>
        <v/>
      </c>
      <c r="F3428" t="inlineStr">
        <is>
          <t>SPWR/CYP/16,50-15,50/20-05-22</t>
        </is>
      </c>
      <c r="G3428" t="n">
        <v>100</v>
      </c>
      <c r="H3428" t="n">
        <v>-1607.83</v>
      </c>
      <c r="I3428">
        <f>-H5154/G5154</f>
        <v/>
      </c>
      <c r="J3428" s="16" t="n">
        <v>44701</v>
      </c>
      <c r="K3428" t="n">
        <v>100</v>
      </c>
      <c r="L3428" t="n">
        <v>1637.55</v>
      </c>
    </row>
    <row r="3429">
      <c r="A3429" t="n">
        <v>13240</v>
      </c>
      <c r="B3429" s="16" t="n">
        <v>44698</v>
      </c>
      <c r="C3429" t="inlineStr">
        <is>
          <t>CPR</t>
        </is>
      </c>
      <c r="D3429" t="n">
        <v>39</v>
      </c>
      <c r="E3429">
        <f>IF(D2723&gt;0,VLOOKUP(OPERAC[[#This Row],[COD CART]],[1]!MatrizCortoLargoCyl[#All],3,0),"")</f>
        <v/>
      </c>
      <c r="F3429" t="inlineStr">
        <is>
          <t>NTLA/C/65,00/15-07-22</t>
        </is>
      </c>
      <c r="G3429" t="n">
        <v>200</v>
      </c>
      <c r="H3429" t="n">
        <v>-504.25</v>
      </c>
      <c r="I3429">
        <f>-H2723/G2723</f>
        <v/>
      </c>
    </row>
    <row r="3430">
      <c r="A3430" t="n">
        <v>13240</v>
      </c>
      <c r="B3430" s="16" t="n">
        <v>44712</v>
      </c>
      <c r="C3430" t="inlineStr">
        <is>
          <t>CPR</t>
        </is>
      </c>
      <c r="D3430" t="n">
        <v>42</v>
      </c>
      <c r="E3430">
        <f>IF(D5883&gt;0,VLOOKUP(OPERAC[[#This Row],[COD CART]],[1]!MatrizCortoLargoCyl[#All],3,0),"")</f>
        <v/>
      </c>
      <c r="F3430" t="inlineStr">
        <is>
          <t>KWEB</t>
        </is>
      </c>
      <c r="G3430" t="n">
        <v>100</v>
      </c>
      <c r="H3430" t="n">
        <v>-2959.725</v>
      </c>
      <c r="I3430">
        <f>-H5883/G5883</f>
        <v/>
      </c>
    </row>
    <row r="3431">
      <c r="A3431" t="n">
        <v>13246</v>
      </c>
      <c r="B3431" s="16" t="n">
        <v>44340</v>
      </c>
      <c r="C3431" t="inlineStr">
        <is>
          <t>VTA</t>
        </is>
      </c>
      <c r="D3431" t="n">
        <v>39</v>
      </c>
      <c r="E3431">
        <f>IF(D106&gt;0,VLOOKUP(OPERAC[[#This Row],[COD CART]],[1]!MatrizCortoLargoCyl[#All],3,0),"")</f>
        <v/>
      </c>
      <c r="F3431" t="inlineStr">
        <is>
          <t>SOLO/V/3,50/21-01-22</t>
        </is>
      </c>
      <c r="G3431" t="n">
        <v>-3000</v>
      </c>
      <c r="H3431" t="n">
        <v>3356.88</v>
      </c>
      <c r="I3431">
        <f>-H106/G106</f>
        <v/>
      </c>
      <c r="J3431" s="16" t="n">
        <v>44579</v>
      </c>
      <c r="K3431">
        <f>+OPERAC[[#This Row],[cantidad]]</f>
        <v/>
      </c>
      <c r="L3431">
        <f>-OPERAC[[#This Row],[importe]]</f>
        <v/>
      </c>
    </row>
    <row r="3432">
      <c r="A3432" t="n">
        <v>13246</v>
      </c>
      <c r="B3432" s="16" t="n">
        <v>44341</v>
      </c>
      <c r="C3432" t="inlineStr">
        <is>
          <t>VTA</t>
        </is>
      </c>
      <c r="D3432" t="n">
        <v>39</v>
      </c>
      <c r="E3432">
        <f>IF(D561&gt;0,VLOOKUP(OPERAC[[#This Row],[COD CART]],[1]!MatrizCortoLargoCyl[#All],3,0),"")</f>
        <v/>
      </c>
      <c r="F3432" t="inlineStr">
        <is>
          <t>INO/V/5,00/21-01-22</t>
        </is>
      </c>
      <c r="G3432" t="n">
        <v>-700</v>
      </c>
      <c r="H3432">
        <f>700*1.05</f>
        <v/>
      </c>
      <c r="I3432">
        <f>-H561/G561</f>
        <v/>
      </c>
      <c r="J3432" s="16" t="n">
        <v>44580</v>
      </c>
      <c r="K3432" t="n">
        <v>-700</v>
      </c>
      <c r="L3432" t="n">
        <v>-547.127</v>
      </c>
    </row>
    <row r="3433">
      <c r="A3433" t="n">
        <v>13246</v>
      </c>
      <c r="B3433" s="16" t="n">
        <v>44441</v>
      </c>
      <c r="C3433" t="inlineStr">
        <is>
          <t>VTA</t>
        </is>
      </c>
      <c r="D3433" t="n">
        <v>39</v>
      </c>
      <c r="E3433">
        <f>IF(D1200&gt;0,VLOOKUP(OPERAC[[#This Row],[COD CART]],[1]!MatrizCortoLargoCyl[#All],3,0),"")</f>
        <v/>
      </c>
      <c r="F3433" t="inlineStr">
        <is>
          <t>DDD/V/15,00/20-01-23</t>
        </is>
      </c>
      <c r="G3433" t="n">
        <v>-5</v>
      </c>
      <c r="H3433" t="n">
        <v>9.19</v>
      </c>
      <c r="I3433">
        <f>-H1200/G1200</f>
        <v/>
      </c>
    </row>
    <row r="3434">
      <c r="A3434" t="n">
        <v>13246</v>
      </c>
      <c r="B3434" s="16" t="n">
        <v>44489</v>
      </c>
      <c r="C3434" t="inlineStr">
        <is>
          <t>VTA</t>
        </is>
      </c>
      <c r="D3434" t="n">
        <v>43</v>
      </c>
      <c r="E3434">
        <f>IF(D2984&gt;0,VLOOKUP(OPERAC[[#This Row],[COD CART]],[1]!MatrizCortoLargoCyl[#All],3,0),"")</f>
        <v/>
      </c>
      <c r="F3434" t="inlineStr">
        <is>
          <t>SESN/CYL-PUT/1,00/19-01-24</t>
        </is>
      </c>
      <c r="G3434" t="n">
        <v>3000</v>
      </c>
      <c r="H3434">
        <f>-0.1885*OPERAC[[#This Row],[cantidad]]</f>
        <v/>
      </c>
      <c r="I3434">
        <f>-H2984/G2984</f>
        <v/>
      </c>
    </row>
    <row r="3435">
      <c r="A3435" t="n">
        <v>13246</v>
      </c>
      <c r="B3435" s="16" t="n">
        <v>44490</v>
      </c>
      <c r="C3435" t="inlineStr">
        <is>
          <t>CPR</t>
        </is>
      </c>
      <c r="D3435" t="n">
        <v>31</v>
      </c>
      <c r="E3435">
        <f>IF(D4751&gt;0,VLOOKUP(OPERAC[[#This Row],[COD CART]],[1]!MatrizCortoLargoCyl[#All],3,0),"")</f>
        <v/>
      </c>
      <c r="F3435" t="inlineStr">
        <is>
          <t>CEPU</t>
        </is>
      </c>
      <c r="G3435" t="n">
        <v>350</v>
      </c>
      <c r="H3435" t="n">
        <v>-1352.974</v>
      </c>
      <c r="I3435">
        <f>-H4751/G4751</f>
        <v/>
      </c>
    </row>
    <row r="3436">
      <c r="A3436" t="n">
        <v>13246</v>
      </c>
      <c r="B3436" s="16" t="n">
        <v>44511</v>
      </c>
      <c r="C3436" t="inlineStr">
        <is>
          <t>CPR</t>
        </is>
      </c>
      <c r="D3436" t="n">
        <v>31</v>
      </c>
      <c r="E3436">
        <f>IF(D4386&gt;0,VLOOKUP(OPERAC[[#This Row],[COD CART]],[1]!MatrizCortoLargoCyl[#All],3,0),"")</f>
        <v/>
      </c>
      <c r="F3436" t="inlineStr">
        <is>
          <t>IPIX</t>
        </is>
      </c>
      <c r="G3436" t="n">
        <v>10000</v>
      </c>
      <c r="H3436" t="n">
        <v>-1099.9</v>
      </c>
      <c r="I3436">
        <f>-H4386/G4386</f>
        <v/>
      </c>
    </row>
    <row r="3437">
      <c r="A3437" t="n">
        <v>13246</v>
      </c>
      <c r="B3437" s="16" t="n">
        <v>44532</v>
      </c>
      <c r="C3437" t="inlineStr">
        <is>
          <t>VTA</t>
        </is>
      </c>
      <c r="D3437" t="n">
        <v>32</v>
      </c>
      <c r="E3437">
        <f>IF(D3933&gt;0,VLOOKUP(OPERAC[[#This Row],[COD CART]],[1]!MatrizCortoLargoCyl[#All],3,0),"")</f>
        <v/>
      </c>
      <c r="F3437" t="inlineStr">
        <is>
          <t>COTY/CYL/10,00/18-02-22</t>
        </is>
      </c>
      <c r="G3437" t="n">
        <v>100</v>
      </c>
      <c r="H3437">
        <f>-901.599+20.838</f>
        <v/>
      </c>
      <c r="I3437">
        <f>-H3933/G3933</f>
        <v/>
      </c>
      <c r="J3437" s="16" t="n">
        <v>44608</v>
      </c>
      <c r="K3437">
        <f>+OPERAC[[#This Row],[cantidad]]</f>
        <v/>
      </c>
      <c r="L3437" t="n">
        <v>941.701</v>
      </c>
    </row>
    <row r="3438">
      <c r="A3438" t="n">
        <v>13246</v>
      </c>
      <c r="B3438" s="16" t="n">
        <v>44533</v>
      </c>
      <c r="C3438" t="inlineStr">
        <is>
          <t>CPR</t>
        </is>
      </c>
      <c r="D3438" t="n">
        <v>32</v>
      </c>
      <c r="E3438">
        <f>IF(D5664&gt;0,VLOOKUP(OPERAC[[#This Row],[COD CART]],[1]!MatrizCortoLargoCyl[#All],3,0),"")</f>
        <v/>
      </c>
      <c r="F3438" t="inlineStr">
        <is>
          <t>TLRY/CYL/10,00/21-01-22</t>
        </is>
      </c>
      <c r="G3438" t="n">
        <v>300</v>
      </c>
      <c r="H3438">
        <f>-8.04*OPERAC[[#This Row],[cantidad]]</f>
        <v/>
      </c>
      <c r="I3438">
        <f>-H5664/G5664</f>
        <v/>
      </c>
      <c r="J3438" s="16" t="n">
        <v>44572</v>
      </c>
      <c r="K3438" t="n">
        <v>300</v>
      </c>
      <c r="L3438" t="n">
        <v>2213.49</v>
      </c>
    </row>
    <row r="3439">
      <c r="A3439" t="n">
        <v>13246</v>
      </c>
      <c r="B3439" s="16" t="n">
        <v>44533</v>
      </c>
      <c r="C3439" t="inlineStr">
        <is>
          <t>CPR</t>
        </is>
      </c>
      <c r="D3439" t="n">
        <v>32</v>
      </c>
      <c r="E3439">
        <f>IF(D5727&gt;0,VLOOKUP(OPERAC[[#This Row],[COD CART]],[1]!MatrizCortoLargoCyl[#All],3,0),"")</f>
        <v/>
      </c>
      <c r="F3439" t="inlineStr">
        <is>
          <t>EDIT/CYL/30,00/20-05-22</t>
        </is>
      </c>
      <c r="G3439" t="n">
        <v>100</v>
      </c>
      <c r="H3439">
        <f>-26.42*OPERAC[[#This Row],[cantidad]]+29.76+24.8</f>
        <v/>
      </c>
      <c r="I3439">
        <f>-H5727/G5727</f>
        <v/>
      </c>
      <c r="J3439" s="16" t="n">
        <v>44692</v>
      </c>
      <c r="K3439" t="n">
        <v>100</v>
      </c>
      <c r="L3439" t="n">
        <v>1086.684</v>
      </c>
    </row>
    <row r="3440">
      <c r="A3440" t="n">
        <v>13246</v>
      </c>
      <c r="B3440" s="16" t="n">
        <v>44533</v>
      </c>
      <c r="C3440" t="inlineStr">
        <is>
          <t>CPR</t>
        </is>
      </c>
      <c r="D3440" t="n">
        <v>32</v>
      </c>
      <c r="E3440">
        <f>IF(D6208&gt;0,VLOOKUP(OPERAC[[#This Row],[COD CART]],[1]!MatrizCortoLargoCyl[#All],3,0),"")</f>
        <v/>
      </c>
      <c r="F3440" t="inlineStr">
        <is>
          <t>INO/CYL/7,00/21-01-22</t>
        </is>
      </c>
      <c r="G3440" t="n">
        <v>1000</v>
      </c>
      <c r="H3440">
        <f>-5.7*OPERAC[[#This Row],[cantidad]]</f>
        <v/>
      </c>
      <c r="I3440">
        <f>-H6208/G6208</f>
        <v/>
      </c>
      <c r="J3440" s="16" t="n">
        <v>44581</v>
      </c>
      <c r="K3440" t="n">
        <v>1000</v>
      </c>
      <c r="L3440" t="n">
        <v>4232.624</v>
      </c>
    </row>
    <row r="3441">
      <c r="A3441" t="n">
        <v>13246</v>
      </c>
      <c r="B3441" s="16" t="n">
        <v>44533</v>
      </c>
      <c r="C3441" t="inlineStr">
        <is>
          <t>VTA</t>
        </is>
      </c>
      <c r="D3441" t="n">
        <v>32</v>
      </c>
      <c r="E3441">
        <f>IF(D5464&gt;0,VLOOKUP(OPERAC[[#This Row],[COD CART]],[1]!MatrizCortoLargoCyl[#All],3,0),"")</f>
        <v/>
      </c>
      <c r="F3441" t="inlineStr">
        <is>
          <t>GMBL/CYL/5,00/21-01-22</t>
        </is>
      </c>
      <c r="G3441" t="n">
        <v>500</v>
      </c>
      <c r="H3441">
        <f>-3.83*OPERAC[[#This Row],[cantidad]]</f>
        <v/>
      </c>
      <c r="I3441">
        <f>-H5464/G5464</f>
        <v/>
      </c>
      <c r="J3441" s="16" t="n">
        <v>44581</v>
      </c>
      <c r="K3441" t="n">
        <v>500</v>
      </c>
      <c r="L3441" t="n">
        <v>1466.579</v>
      </c>
    </row>
    <row r="3442">
      <c r="A3442" t="n">
        <v>13246</v>
      </c>
      <c r="B3442" s="16" t="n">
        <v>44533</v>
      </c>
      <c r="C3442" t="inlineStr">
        <is>
          <t>VTA</t>
        </is>
      </c>
      <c r="D3442" t="n">
        <v>32</v>
      </c>
      <c r="E3442">
        <f>IF(D5507&gt;0,VLOOKUP(OPERAC[[#This Row],[COD CART]],[1]!MatrizCortoLargoCyl[#All],3,0),"")</f>
        <v/>
      </c>
      <c r="F3442" t="inlineStr">
        <is>
          <t>HIMX/CYL/12,00/21-01-22</t>
        </is>
      </c>
      <c r="G3442" t="n">
        <v>200</v>
      </c>
      <c r="H3442">
        <f>-9.9*OPERAC[[#This Row],[cantidad]]</f>
        <v/>
      </c>
      <c r="I3442">
        <f>-H5507/G5507</f>
        <v/>
      </c>
      <c r="J3442" s="16" t="n">
        <v>44575</v>
      </c>
      <c r="K3442" t="n">
        <v>200</v>
      </c>
      <c r="L3442" t="n">
        <v>2341.236</v>
      </c>
    </row>
    <row r="3443">
      <c r="A3443" t="n">
        <v>13246</v>
      </c>
      <c r="B3443" s="16" t="n">
        <v>44538</v>
      </c>
      <c r="C3443" t="inlineStr">
        <is>
          <t>CPR</t>
        </is>
      </c>
      <c r="D3443" t="n">
        <v>43</v>
      </c>
      <c r="E3443">
        <f>IF(D4677&gt;0,VLOOKUP(OPERAC[[#This Row],[COD CART]],[1]!MatrizCortoLargoCyl[#All],3,0),"")</f>
        <v/>
      </c>
      <c r="F3443" t="inlineStr">
        <is>
          <t>NNDM/CYL-PUT/2,50/19-01-24</t>
        </is>
      </c>
      <c r="G3443" t="n">
        <v>1000</v>
      </c>
      <c r="H3443">
        <f>-1.306*OPERAC[[#This Row],[cantidad]]</f>
        <v/>
      </c>
      <c r="I3443">
        <f>-H4677/G4677</f>
        <v/>
      </c>
    </row>
    <row r="3444">
      <c r="A3444" t="n">
        <v>13246</v>
      </c>
      <c r="B3444" s="16" t="n">
        <v>44538</v>
      </c>
      <c r="C3444" t="inlineStr">
        <is>
          <t>VTA</t>
        </is>
      </c>
      <c r="D3444" t="n">
        <v>39</v>
      </c>
      <c r="E3444">
        <f>IF(D21&gt;0,VLOOKUP(OPERAC[[#This Row],[COD CART]],[1]!MatrizCortoLargoCyl[#All],3,0),"")</f>
        <v/>
      </c>
      <c r="F3444" t="inlineStr">
        <is>
          <t>MELI/V/880,00/21-01-22</t>
        </is>
      </c>
      <c r="G3444" t="n">
        <v>-800</v>
      </c>
      <c r="H3444" t="n">
        <v>8094.719999999999</v>
      </c>
      <c r="I3444">
        <f>-H21/G21</f>
        <v/>
      </c>
      <c r="J3444" s="16" t="n">
        <v>44582</v>
      </c>
      <c r="K3444">
        <f>+OPERAC[[#This Row],[cantidad]]</f>
        <v/>
      </c>
      <c r="L3444" t="n">
        <v>0</v>
      </c>
    </row>
    <row r="3445">
      <c r="A3445" t="n">
        <v>13246</v>
      </c>
      <c r="B3445" s="16" t="n">
        <v>44538</v>
      </c>
      <c r="C3445" t="inlineStr">
        <is>
          <t>VTA</t>
        </is>
      </c>
      <c r="D3445" t="n">
        <v>43</v>
      </c>
      <c r="E3445">
        <f>IF(D2238&gt;0,VLOOKUP(OPERAC[[#This Row],[COD CART]],[1]!MatrizCortoLargoCyl[#All],3,0),"")</f>
        <v/>
      </c>
      <c r="F3445" t="inlineStr">
        <is>
          <t>HEXO/CYL-PUT/1,00/20-01-23</t>
        </is>
      </c>
      <c r="G3445" t="n">
        <v>2000</v>
      </c>
      <c r="H3445">
        <f>-0.1886*OPERAC[[#This Row],[cantidad]]</f>
        <v/>
      </c>
      <c r="I3445">
        <f>-H2238/G2238</f>
        <v/>
      </c>
    </row>
    <row r="3446">
      <c r="A3446" t="n">
        <v>13246</v>
      </c>
      <c r="B3446" s="16" t="n">
        <v>44547</v>
      </c>
      <c r="C3446" t="inlineStr">
        <is>
          <t>VTA</t>
        </is>
      </c>
      <c r="D3446" t="n">
        <v>39</v>
      </c>
      <c r="E3446">
        <f>IF(D477&gt;0,VLOOKUP(OPERAC[[#This Row],[COD CART]],[1]!MatrizCortoLargoCyl[#All],3,0),"")</f>
        <v/>
      </c>
      <c r="F3446" t="inlineStr">
        <is>
          <t>TLRY/V/8,00/18-02-22</t>
        </is>
      </c>
      <c r="G3446" t="n">
        <v>-700</v>
      </c>
      <c r="H3446" t="n">
        <v>968.6537</v>
      </c>
      <c r="I3446">
        <f>-H477/G477</f>
        <v/>
      </c>
      <c r="J3446" s="16" t="n">
        <v>44601</v>
      </c>
      <c r="K3446" t="n">
        <v>-700</v>
      </c>
      <c r="L3446">
        <f>1.38*OPERAC[[#This Row],[cantidad venta]]</f>
        <v/>
      </c>
    </row>
    <row r="3447">
      <c r="A3447" t="n">
        <v>13246</v>
      </c>
      <c r="B3447" s="16" t="n">
        <v>44558</v>
      </c>
      <c r="C3447" t="inlineStr">
        <is>
          <t>VTA</t>
        </is>
      </c>
      <c r="D3447" t="n">
        <v>40</v>
      </c>
      <c r="E3447">
        <f>IF(D1429&gt;0,VLOOKUP(OPERAC[[#This Row],[COD CART]],[1]!MatrizCortoLargoCyl[#All],3,0),"")</f>
        <v/>
      </c>
      <c r="F3447" t="inlineStr">
        <is>
          <t>UPST</t>
        </is>
      </c>
      <c r="G3447" t="n">
        <v>1</v>
      </c>
      <c r="H3447" t="n">
        <v>-150.6002</v>
      </c>
      <c r="I3447">
        <f>-H1429/G1429</f>
        <v/>
      </c>
      <c r="J3447" s="16" t="n">
        <v>44606</v>
      </c>
      <c r="K3447">
        <f>+OPERAC[[#This Row],[cantidad]]</f>
        <v/>
      </c>
      <c r="L3447">
        <f>+OPERAC[[#This Row],[cantidad venta]]*98.994</f>
        <v/>
      </c>
    </row>
    <row r="3448">
      <c r="A3448" t="n">
        <v>13246</v>
      </c>
      <c r="B3448" s="16" t="n">
        <v>44572</v>
      </c>
      <c r="C3448" t="inlineStr">
        <is>
          <t>VTA</t>
        </is>
      </c>
      <c r="D3448" t="n">
        <v>39</v>
      </c>
      <c r="E3448">
        <f>IF(D838&gt;0,VLOOKUP(OPERAC[[#This Row],[COD CART]],[1]!MatrizCortoLargoCyl[#All],3,0),"")</f>
        <v/>
      </c>
      <c r="F3448" t="inlineStr">
        <is>
          <t>BABA/V/128,00/14-01-22</t>
        </is>
      </c>
      <c r="G3448" t="n">
        <v>-200</v>
      </c>
      <c r="H3448" t="n">
        <v>208.364</v>
      </c>
      <c r="I3448">
        <f>-H838/G838</f>
        <v/>
      </c>
      <c r="J3448" s="16" t="n">
        <v>44575</v>
      </c>
      <c r="K3448" t="n">
        <v>-200</v>
      </c>
      <c r="L3448" t="n">
        <v>-61.842</v>
      </c>
    </row>
    <row r="3449">
      <c r="A3449" t="n">
        <v>13246</v>
      </c>
      <c r="B3449" s="16" t="n">
        <v>44573</v>
      </c>
      <c r="C3449" t="inlineStr">
        <is>
          <t>VTA</t>
        </is>
      </c>
      <c r="D3449" t="n">
        <v>39</v>
      </c>
      <c r="E3449">
        <f>IF(D475&gt;0,VLOOKUP(OPERAC[[#This Row],[COD CART]],[1]!MatrizCortoLargoCyl[#All],3,0),"")</f>
        <v/>
      </c>
      <c r="F3449" t="inlineStr">
        <is>
          <t>ROKU/V/170,00/21-01-22</t>
        </is>
      </c>
      <c r="G3449" t="n">
        <v>-300</v>
      </c>
      <c r="H3449" t="n">
        <v>980.88</v>
      </c>
      <c r="I3449">
        <f>-H475/G475</f>
        <v/>
      </c>
      <c r="J3449" s="16" t="n">
        <v>44582</v>
      </c>
      <c r="K3449" t="n">
        <v>-300</v>
      </c>
      <c r="L3449">
        <f>-OPERAC[[#This Row],[importe]]</f>
        <v/>
      </c>
    </row>
    <row r="3450">
      <c r="A3450" t="n">
        <v>13246</v>
      </c>
      <c r="B3450" s="16" t="n">
        <v>44574</v>
      </c>
      <c r="C3450" t="inlineStr">
        <is>
          <t>CPR</t>
        </is>
      </c>
      <c r="D3450" t="n">
        <v>39</v>
      </c>
      <c r="E3450">
        <f>IF(D4136&gt;0,VLOOKUP(OPERAC[[#This Row],[COD CART]],[1]!MatrizCortoLargoCyl[#All],3,0),"")</f>
        <v/>
      </c>
      <c r="F3450" t="inlineStr">
        <is>
          <t>BABA/BULL/120,0-135,0/20-05-22</t>
        </is>
      </c>
      <c r="G3450" t="n">
        <v>100</v>
      </c>
      <c r="H3450" t="n">
        <v>-965.8</v>
      </c>
      <c r="I3450">
        <f>-H4136/G4136</f>
        <v/>
      </c>
      <c r="J3450" s="16" t="n">
        <v>44701</v>
      </c>
      <c r="K3450">
        <f>+OPERAC[[#This Row],[cantidad]]</f>
        <v/>
      </c>
      <c r="L3450" t="n">
        <v>0</v>
      </c>
    </row>
    <row r="3451">
      <c r="A3451" t="n">
        <v>13246</v>
      </c>
      <c r="B3451" s="16" t="n">
        <v>44579</v>
      </c>
      <c r="C3451" t="inlineStr">
        <is>
          <t>CPR</t>
        </is>
      </c>
      <c r="D3451" t="n">
        <v>40</v>
      </c>
      <c r="E3451">
        <f>IF(D5903&gt;0,VLOOKUP(OPERAC[[#This Row],[COD CART]],[1]!MatrizCortoLargoCyl[#All],3,0),"")</f>
        <v/>
      </c>
      <c r="F3451" t="inlineStr">
        <is>
          <t>VLY</t>
        </is>
      </c>
      <c r="G3451" t="n">
        <v>200</v>
      </c>
      <c r="H3451" t="n">
        <v>-3008.87</v>
      </c>
      <c r="I3451">
        <f>-H5903/G5903</f>
        <v/>
      </c>
      <c r="J3451" s="16" t="n">
        <v>44606</v>
      </c>
      <c r="K3451">
        <f>+OPERAC[[#This Row],[cantidad]]</f>
        <v/>
      </c>
      <c r="L3451">
        <f>+OPERAC[[#This Row],[cantidad venta]]*14.121</f>
        <v/>
      </c>
    </row>
    <row r="3452">
      <c r="A3452" t="n">
        <v>13246</v>
      </c>
      <c r="B3452" s="16" t="n">
        <v>44579</v>
      </c>
      <c r="C3452" t="inlineStr">
        <is>
          <t>VTA</t>
        </is>
      </c>
      <c r="D3452" t="n">
        <v>39</v>
      </c>
      <c r="E3452">
        <f>IF(D73&gt;0,VLOOKUP(OPERAC[[#This Row],[COD CART]],[1]!MatrizCortoLargoCyl[#All],3,0),"")</f>
        <v/>
      </c>
      <c r="F3452" t="inlineStr">
        <is>
          <t>SOLO/V/3,50/25-02-22</t>
        </is>
      </c>
      <c r="G3452" t="n">
        <v>-3000</v>
      </c>
      <c r="H3452" t="n">
        <v>4145.5722</v>
      </c>
      <c r="I3452">
        <f>-H73/G73</f>
        <v/>
      </c>
      <c r="J3452" s="16" t="n">
        <v>44608</v>
      </c>
      <c r="K3452">
        <f>+OPERAC[[#This Row],[cantidad]]</f>
        <v/>
      </c>
      <c r="L3452" t="n">
        <v>-4185.12</v>
      </c>
    </row>
    <row r="3453">
      <c r="A3453" t="n">
        <v>13246</v>
      </c>
      <c r="B3453" s="16" t="n">
        <v>44580</v>
      </c>
      <c r="C3453" t="inlineStr">
        <is>
          <t>VTA</t>
        </is>
      </c>
      <c r="D3453" t="n">
        <v>39</v>
      </c>
      <c r="E3453">
        <f>IF(D583&gt;0,VLOOKUP(OPERAC[[#This Row],[COD CART]],[1]!MatrizCortoLargoCyl[#All],3,0),"")</f>
        <v/>
      </c>
      <c r="F3453" t="inlineStr">
        <is>
          <t>INO/V/5,00/18-02-22</t>
        </is>
      </c>
      <c r="G3453" t="n">
        <v>-700</v>
      </c>
      <c r="H3453" t="n">
        <v>654.822</v>
      </c>
      <c r="I3453">
        <f>-H583/G583</f>
        <v/>
      </c>
      <c r="J3453" s="16" t="n">
        <v>44600</v>
      </c>
      <c r="K3453" t="n">
        <v>-700</v>
      </c>
      <c r="L3453" t="n">
        <v>-654</v>
      </c>
    </row>
    <row r="3454">
      <c r="A3454" t="n">
        <v>13246</v>
      </c>
      <c r="B3454" s="16" t="n">
        <v>44581</v>
      </c>
      <c r="C3454" t="inlineStr">
        <is>
          <t>VTA</t>
        </is>
      </c>
      <c r="D3454" t="n">
        <v>39</v>
      </c>
      <c r="E3454">
        <f>IF(D184&gt;0,VLOOKUP(OPERAC[[#This Row],[COD CART]],[1]!MatrizCortoLargoCyl[#All],3,0),"")</f>
        <v/>
      </c>
      <c r="F3454" t="inlineStr">
        <is>
          <t>DIS/V/155,00/18-02-22</t>
        </is>
      </c>
      <c r="G3454" t="n">
        <v>-300</v>
      </c>
      <c r="H3454" t="n">
        <v>2231.169</v>
      </c>
      <c r="I3454">
        <f>-H184/G184</f>
        <v/>
      </c>
      <c r="J3454" s="16" t="n">
        <v>44607</v>
      </c>
      <c r="K3454" t="n">
        <v>-300</v>
      </c>
      <c r="L3454" t="n">
        <v>-652.26</v>
      </c>
    </row>
    <row r="3455">
      <c r="A3455" t="n">
        <v>13246</v>
      </c>
      <c r="B3455" s="16" t="n">
        <v>44581</v>
      </c>
      <c r="C3455" t="inlineStr">
        <is>
          <t>VTA</t>
        </is>
      </c>
      <c r="D3455" t="n">
        <v>39</v>
      </c>
      <c r="E3455">
        <f>IF(D480&gt;0,VLOOKUP(OPERAC[[#This Row],[COD CART]],[1]!MatrizCortoLargoCyl[#All],3,0),"")</f>
        <v/>
      </c>
      <c r="F3455" t="inlineStr">
        <is>
          <t>ACB/V/6,00/18-02-22</t>
        </is>
      </c>
      <c r="G3455" t="n">
        <v>-800</v>
      </c>
      <c r="H3455" t="n">
        <v>967.6120000000001</v>
      </c>
      <c r="I3455">
        <f>-H480/G480</f>
        <v/>
      </c>
      <c r="J3455" s="16" t="n">
        <v>44601</v>
      </c>
      <c r="K3455" t="n">
        <v>-800</v>
      </c>
      <c r="L3455">
        <f>1.21*OPERAC[[#This Row],[cantidad venta]]</f>
        <v/>
      </c>
    </row>
    <row r="3456">
      <c r="A3456" t="n">
        <v>13246</v>
      </c>
      <c r="B3456" s="16" t="n">
        <v>44581</v>
      </c>
      <c r="C3456" t="inlineStr">
        <is>
          <t>VTA</t>
        </is>
      </c>
      <c r="D3456" t="n">
        <v>32</v>
      </c>
      <c r="E3456">
        <f>IF(D5474&gt;0,VLOOKUP(OPERAC[[#This Row],[COD CART]],[1]!MatrizCortoLargoCyl[#All],3,0),"")</f>
        <v/>
      </c>
      <c r="F3456" t="inlineStr">
        <is>
          <t>HMY/CYL/4,00/18-02-22</t>
        </is>
      </c>
      <c r="G3456" t="n">
        <v>500</v>
      </c>
      <c r="H3456" t="n">
        <v>-1937.33998</v>
      </c>
      <c r="I3456">
        <f>-H5474/G5474</f>
        <v/>
      </c>
      <c r="J3456" s="16" t="n">
        <v>44610</v>
      </c>
      <c r="K3456">
        <f>+OPERAC[[#This Row],[cantidad]]</f>
        <v/>
      </c>
      <c r="L3456">
        <f>+OPERAC[[#This Row],[cantidad venta]]*3.8323</f>
        <v/>
      </c>
    </row>
    <row r="3457">
      <c r="A3457" t="n">
        <v>13246</v>
      </c>
      <c r="B3457" s="16" t="n">
        <v>44582</v>
      </c>
      <c r="C3457" t="inlineStr">
        <is>
          <t>VTA</t>
        </is>
      </c>
      <c r="D3457" t="n">
        <v>39</v>
      </c>
      <c r="E3457">
        <f>IF(D72&gt;0,VLOOKUP(OPERAC[[#This Row],[COD CART]],[1]!MatrizCortoLargoCyl[#All],3,0),"")</f>
        <v/>
      </c>
      <c r="F3457" t="inlineStr">
        <is>
          <t>ROKU/V/160,00/28-01-22</t>
        </is>
      </c>
      <c r="G3457" t="n">
        <v>-400</v>
      </c>
      <c r="H3457" t="n">
        <v>4225.5152</v>
      </c>
      <c r="I3457">
        <f>-H72/G72</f>
        <v/>
      </c>
      <c r="J3457" s="16" t="n">
        <v>44587</v>
      </c>
      <c r="K3457">
        <f>+OPERAC[[#This Row],[cantidad]]</f>
        <v/>
      </c>
      <c r="L3457">
        <f>-OPERAC[[#This Row],[importe]]</f>
        <v/>
      </c>
    </row>
    <row r="3458">
      <c r="A3458" t="n">
        <v>13246</v>
      </c>
      <c r="B3458" s="16" t="n">
        <v>44582</v>
      </c>
      <c r="C3458" t="inlineStr">
        <is>
          <t>VTA</t>
        </is>
      </c>
      <c r="D3458" t="n">
        <v>40</v>
      </c>
      <c r="E3458">
        <f>IF(D5487&gt;0,VLOOKUP(OPERAC[[#This Row],[COD CART]],[1]!MatrizCortoLargoCyl[#All],3,0),"")</f>
        <v/>
      </c>
      <c r="F3458" t="inlineStr">
        <is>
          <t>NFLX</t>
        </is>
      </c>
      <c r="G3458" t="n">
        <v>5</v>
      </c>
      <c r="H3458" t="n">
        <v>-1953.1855</v>
      </c>
      <c r="I3458">
        <f>-H5487/G5487</f>
        <v/>
      </c>
      <c r="J3458" s="16" t="n">
        <v>44593</v>
      </c>
      <c r="K3458">
        <f>+OPERAC[[#This Row],[cantidad]]</f>
        <v/>
      </c>
      <c r="L3458">
        <f>+OPERAC[[#This Row],[cantidad venta]]*448.602</f>
        <v/>
      </c>
    </row>
    <row r="3459">
      <c r="A3459" t="n">
        <v>13246</v>
      </c>
      <c r="B3459" s="16" t="n">
        <v>44586</v>
      </c>
      <c r="C3459" t="inlineStr">
        <is>
          <t>VTA</t>
        </is>
      </c>
      <c r="D3459" t="n">
        <v>43</v>
      </c>
      <c r="E3459">
        <f>IF(D5533&gt;0,VLOOKUP(OPERAC[[#This Row],[COD CART]],[1]!MatrizCortoLargoCyl[#All],3,0),"")</f>
        <v/>
      </c>
      <c r="F3459" t="inlineStr">
        <is>
          <t>GMBL/CYL-PUT/2,50/20-01-23</t>
        </is>
      </c>
      <c r="G3459" t="n">
        <v>2000</v>
      </c>
      <c r="H3459" t="n">
        <v>-2032.0823</v>
      </c>
      <c r="I3459">
        <f>-H5533/G5533</f>
        <v/>
      </c>
    </row>
    <row r="3460">
      <c r="A3460" t="n">
        <v>13246</v>
      </c>
      <c r="B3460" s="16" t="n">
        <v>44587</v>
      </c>
      <c r="C3460" t="inlineStr">
        <is>
          <t>CPR</t>
        </is>
      </c>
      <c r="D3460" t="n">
        <v>40</v>
      </c>
      <c r="E3460">
        <f>IF(D3672&gt;0,VLOOKUP(OPERAC[[#This Row],[COD CART]],[1]!MatrizCortoLargoCyl[#All],3,0),"")</f>
        <v/>
      </c>
      <c r="F3460" t="inlineStr">
        <is>
          <t>AAPL</t>
        </is>
      </c>
      <c r="G3460" t="n">
        <v>5</v>
      </c>
      <c r="H3460" t="n">
        <v>-820.2721</v>
      </c>
      <c r="I3460">
        <f>-H3672/G3672</f>
        <v/>
      </c>
      <c r="J3460" s="16" t="n">
        <v>44601</v>
      </c>
      <c r="K3460" t="n">
        <v>5</v>
      </c>
      <c r="L3460">
        <f>175.66*OPERAC[[#This Row],[cantidad venta]]</f>
        <v/>
      </c>
    </row>
    <row r="3461">
      <c r="A3461" t="n">
        <v>13246</v>
      </c>
      <c r="B3461" s="16" t="n">
        <v>44587</v>
      </c>
      <c r="C3461" t="inlineStr">
        <is>
          <t>CPR</t>
        </is>
      </c>
      <c r="D3461" t="n">
        <v>40</v>
      </c>
      <c r="E3461">
        <f>IF(D4983&gt;0,VLOOKUP(OPERAC[[#This Row],[COD CART]],[1]!MatrizCortoLargoCyl[#All],3,0),"")</f>
        <v/>
      </c>
      <c r="F3461" t="inlineStr">
        <is>
          <t>MSFT</t>
        </is>
      </c>
      <c r="G3461" t="n">
        <v>5</v>
      </c>
      <c r="H3461" t="n">
        <v>-1517.0563</v>
      </c>
      <c r="I3461">
        <f>-H4983/G4983</f>
        <v/>
      </c>
      <c r="J3461" s="16" t="n">
        <v>44606</v>
      </c>
      <c r="K3461">
        <f>+OPERAC[[#This Row],[cantidad]]</f>
        <v/>
      </c>
      <c r="L3461">
        <f>+OPERAC[[#This Row],[cantidad venta]]*290.091</f>
        <v/>
      </c>
    </row>
    <row r="3462">
      <c r="A3462" t="n">
        <v>13246</v>
      </c>
      <c r="B3462" s="16" t="n">
        <v>44587</v>
      </c>
      <c r="C3462" t="inlineStr">
        <is>
          <t>VTA</t>
        </is>
      </c>
      <c r="D3462" t="n">
        <v>39</v>
      </c>
      <c r="E3462">
        <f>IF(D121&gt;0,VLOOKUP(OPERAC[[#This Row],[COD CART]],[1]!MatrizCortoLargoCyl[#All],3,0),"")</f>
        <v/>
      </c>
      <c r="F3462" t="inlineStr">
        <is>
          <t>ROKU/V/155,00/04-02-22</t>
        </is>
      </c>
      <c r="G3462" t="n">
        <v>-400</v>
      </c>
      <c r="H3462" t="n">
        <v>3175.984</v>
      </c>
      <c r="I3462">
        <f>-H121/G121</f>
        <v/>
      </c>
      <c r="J3462" s="16" t="n">
        <v>44592</v>
      </c>
      <c r="K3462">
        <f>+OPERAC[[#This Row],[cantidad]]</f>
        <v/>
      </c>
      <c r="L3462" t="n">
        <v>-1432.9256</v>
      </c>
    </row>
    <row r="3463">
      <c r="A3463" t="n">
        <v>13246</v>
      </c>
      <c r="B3463" s="16" t="n">
        <v>44592</v>
      </c>
      <c r="C3463" t="inlineStr">
        <is>
          <t>VTA</t>
        </is>
      </c>
      <c r="D3463" t="n">
        <v>39</v>
      </c>
      <c r="E3463">
        <f>IF(D317&gt;0,VLOOKUP(OPERAC[[#This Row],[COD CART]],[1]!MatrizCortoLargoCyl[#All],3,0),"")</f>
        <v/>
      </c>
      <c r="F3463" t="inlineStr">
        <is>
          <t>ROKU/V/150,00/11-02-22</t>
        </is>
      </c>
      <c r="G3463" t="n">
        <v>-300</v>
      </c>
      <c r="H3463" t="n">
        <v>1427.292</v>
      </c>
      <c r="I3463">
        <f>-H317/G317</f>
        <v/>
      </c>
      <c r="J3463" s="16" t="n">
        <v>44601</v>
      </c>
      <c r="K3463">
        <f>+OPERAC[[#This Row],[cantidad]]</f>
        <v/>
      </c>
      <c r="L3463">
        <f>0.67*OPERAC[[#This Row],[cantidad venta]]</f>
        <v/>
      </c>
    </row>
    <row r="3464">
      <c r="A3464" t="n">
        <v>13246</v>
      </c>
      <c r="B3464" s="16" t="n">
        <v>44599</v>
      </c>
      <c r="C3464" t="inlineStr">
        <is>
          <t>CPR</t>
        </is>
      </c>
      <c r="D3464" t="n">
        <v>40</v>
      </c>
      <c r="E3464">
        <f>IF(D5657&gt;0,VLOOKUP(OPERAC[[#This Row],[COD CART]],[1]!MatrizCortoLargoCyl[#All],3,0),"")</f>
        <v/>
      </c>
      <c r="F3464" t="inlineStr">
        <is>
          <t>FB</t>
        </is>
      </c>
      <c r="G3464" t="n">
        <v>10</v>
      </c>
      <c r="H3464" t="n">
        <v>-2384.6</v>
      </c>
      <c r="I3464">
        <f>-H5657/G5657</f>
        <v/>
      </c>
      <c r="J3464" s="16" t="n">
        <v>44614</v>
      </c>
      <c r="K3464" t="n">
        <v>10</v>
      </c>
      <c r="L3464" t="n">
        <v>2050.019</v>
      </c>
    </row>
    <row r="3465">
      <c r="A3465" t="n">
        <v>13246</v>
      </c>
      <c r="B3465" s="16" t="n">
        <v>44600</v>
      </c>
      <c r="C3465" t="inlineStr">
        <is>
          <t>VTA</t>
        </is>
      </c>
      <c r="D3465" t="n">
        <v>39</v>
      </c>
      <c r="E3465">
        <f>IF(D1110&gt;0,VLOOKUP(OPERAC[[#This Row],[COD CART]],[1]!MatrizCortoLargoCyl[#All],3,0),"")</f>
        <v/>
      </c>
      <c r="F3465" t="inlineStr">
        <is>
          <t>DDD/V/12,00/20-01-23</t>
        </is>
      </c>
      <c r="G3465" t="n">
        <v>-15</v>
      </c>
      <c r="H3465">
        <f>-1.55*OPERAC[[#This Row],[cantidad]]</f>
        <v/>
      </c>
      <c r="I3465">
        <f>-H1110/G1110</f>
        <v/>
      </c>
    </row>
    <row r="3466">
      <c r="A3466" t="n">
        <v>13246</v>
      </c>
      <c r="B3466" s="16" t="n">
        <v>44601</v>
      </c>
      <c r="C3466" t="inlineStr">
        <is>
          <t>VTA</t>
        </is>
      </c>
      <c r="D3466" t="n">
        <v>39</v>
      </c>
      <c r="E3466">
        <f>IF(D1151&gt;0,VLOOKUP(OPERAC[[#This Row],[COD CART]],[1]!MatrizCortoLargoCyl[#All],3,0),"")</f>
        <v/>
      </c>
      <c r="F3466" t="inlineStr">
        <is>
          <t>TLRY/V/8,00/14-04-22</t>
        </is>
      </c>
      <c r="G3466" t="n">
        <v>-8</v>
      </c>
      <c r="H3466">
        <f>-2.1*OPERAC[[#This Row],[cantidad]]</f>
        <v/>
      </c>
      <c r="I3466">
        <f>-H1151/G1151</f>
        <v/>
      </c>
      <c r="J3466" s="16" t="n">
        <v>44645</v>
      </c>
      <c r="K3466" t="n">
        <v>-8</v>
      </c>
      <c r="L3466" t="n">
        <v>-9.571440000000001</v>
      </c>
    </row>
    <row r="3467">
      <c r="A3467" t="n">
        <v>13246</v>
      </c>
      <c r="B3467" s="16" t="n">
        <v>44602</v>
      </c>
      <c r="C3467" t="inlineStr">
        <is>
          <t>CPR</t>
        </is>
      </c>
      <c r="D3467" t="n">
        <v>32</v>
      </c>
      <c r="E3467">
        <f>IF(D5778&gt;0,VLOOKUP(OPERAC[[#This Row],[COD CART]],[1]!MatrizCortoLargoCyl[#All],3,0),"")</f>
        <v/>
      </c>
      <c r="F3467" t="inlineStr">
        <is>
          <t>BIOX</t>
        </is>
      </c>
      <c r="G3467" t="n">
        <v>200</v>
      </c>
      <c r="H3467">
        <f>-2672+29.76</f>
        <v/>
      </c>
      <c r="I3467">
        <f>-H5778/G5778</f>
        <v/>
      </c>
      <c r="J3467" s="16" t="n">
        <v>44680</v>
      </c>
      <c r="K3467">
        <f>+OPERAC[[#This Row],[cantidad]]</f>
        <v/>
      </c>
      <c r="L3467">
        <f>13.688*OPERAC[[#This Row],[cantidad venta]]</f>
        <v/>
      </c>
    </row>
    <row r="3468">
      <c r="A3468" t="n">
        <v>13246</v>
      </c>
      <c r="B3468" s="16" t="n">
        <v>44607</v>
      </c>
      <c r="C3468" t="inlineStr">
        <is>
          <t>CPR</t>
        </is>
      </c>
      <c r="D3468" t="n">
        <v>32</v>
      </c>
      <c r="E3468">
        <f>IF(D5940&gt;0,VLOOKUP(OPERAC[[#This Row],[COD CART]],[1]!MatrizCortoLargoCyl[#All],3,0),"")</f>
        <v/>
      </c>
      <c r="F3468" t="inlineStr">
        <is>
          <t>DDD/CYL/16,00/18-03-22</t>
        </is>
      </c>
      <c r="G3468" t="n">
        <v>200</v>
      </c>
      <c r="H3468" t="n">
        <v>-3105.55</v>
      </c>
      <c r="I3468">
        <f>-H5940/G5940</f>
        <v/>
      </c>
      <c r="J3468" s="16" t="n">
        <v>44638</v>
      </c>
      <c r="K3468" t="n">
        <v>200</v>
      </c>
      <c r="L3468">
        <f>15.866*OPERAC[[#This Row],[cantidad venta]]</f>
        <v/>
      </c>
    </row>
    <row r="3469">
      <c r="A3469" t="n">
        <v>13246</v>
      </c>
      <c r="B3469" s="16" t="n">
        <v>44607</v>
      </c>
      <c r="C3469" t="inlineStr">
        <is>
          <t>VTA</t>
        </is>
      </c>
      <c r="D3469" t="n">
        <v>39</v>
      </c>
      <c r="E3469">
        <f>IF(D587&gt;0,VLOOKUP(OPERAC[[#This Row],[COD CART]],[1]!MatrizCortoLargoCyl[#All],3,0),"")</f>
        <v/>
      </c>
      <c r="F3469" t="inlineStr">
        <is>
          <t>ROKU/V/120,00/18-02-22</t>
        </is>
      </c>
      <c r="G3469" t="n">
        <v>-600</v>
      </c>
      <c r="H3469" t="n">
        <v>646.356</v>
      </c>
      <c r="I3469">
        <f>-H587/G587</f>
        <v/>
      </c>
      <c r="J3469" s="16" t="n">
        <v>44609</v>
      </c>
      <c r="K3469" t="n">
        <v>-600</v>
      </c>
      <c r="L3469" t="n">
        <v>-2422.56</v>
      </c>
    </row>
    <row r="3470">
      <c r="A3470" t="n">
        <v>13246</v>
      </c>
      <c r="B3470" s="16" t="n">
        <v>44607</v>
      </c>
      <c r="C3470" t="inlineStr">
        <is>
          <t>VTA</t>
        </is>
      </c>
      <c r="D3470" t="n">
        <v>32</v>
      </c>
      <c r="E3470">
        <f>IF(D5216&gt;0,VLOOKUP(OPERAC[[#This Row],[COD CART]],[1]!MatrizCortoLargoCyl[#All],3,0),"")</f>
        <v/>
      </c>
      <c r="F3470" t="inlineStr">
        <is>
          <t>F/CYL/17,00/18-03-22</t>
        </is>
      </c>
      <c r="G3470" t="n">
        <v>100</v>
      </c>
      <c r="H3470" t="n">
        <v>-1658.76</v>
      </c>
      <c r="I3470">
        <f>-H5216/G5216</f>
        <v/>
      </c>
      <c r="J3470" s="16" t="n">
        <v>44638</v>
      </c>
      <c r="K3470">
        <f>+OPERAC[[#This Row],[cantidad]]</f>
        <v/>
      </c>
      <c r="L3470">
        <f>+OPERAC[[#This Row],[cantidad venta]]*16.75</f>
        <v/>
      </c>
    </row>
    <row r="3471">
      <c r="A3471" t="n">
        <v>13246</v>
      </c>
      <c r="B3471" s="16" t="n">
        <v>44608</v>
      </c>
      <c r="C3471" t="inlineStr">
        <is>
          <t>VTA</t>
        </is>
      </c>
      <c r="D3471" t="n">
        <v>39</v>
      </c>
      <c r="E3471">
        <f>IF(D156&gt;0,VLOOKUP(OPERAC[[#This Row],[COD CART]],[1]!MatrizCortoLargoCyl[#All],3,0),"")</f>
        <v/>
      </c>
      <c r="F3471" t="inlineStr">
        <is>
          <t>SOLO/V/3,00/18-03-22</t>
        </is>
      </c>
      <c r="G3471" t="n">
        <v>-3000</v>
      </c>
      <c r="H3471" t="n">
        <v>2565.12</v>
      </c>
      <c r="I3471">
        <f>-H156/G156</f>
        <v/>
      </c>
      <c r="J3471" s="16" t="n">
        <v>44630</v>
      </c>
      <c r="K3471" t="n">
        <v>-3000</v>
      </c>
      <c r="L3471" t="n">
        <v>-3338.37</v>
      </c>
    </row>
    <row r="3472">
      <c r="A3472" t="n">
        <v>13246</v>
      </c>
      <c r="B3472" s="16" t="n">
        <v>44609</v>
      </c>
      <c r="C3472" t="inlineStr">
        <is>
          <t>VTA</t>
        </is>
      </c>
      <c r="D3472" t="n">
        <v>39</v>
      </c>
      <c r="E3472">
        <f>IF(D187&gt;0,VLOOKUP(OPERAC[[#This Row],[COD CART]],[1]!MatrizCortoLargoCyl[#All],3,0),"")</f>
        <v/>
      </c>
      <c r="F3472" t="inlineStr">
        <is>
          <t>MELI/V/850,00/25-02-22</t>
        </is>
      </c>
      <c r="G3472" t="n">
        <v>-400</v>
      </c>
      <c r="H3472" t="n">
        <v>2222.08</v>
      </c>
      <c r="I3472">
        <f>-H187/G187</f>
        <v/>
      </c>
      <c r="J3472" s="16" t="n">
        <v>44610</v>
      </c>
      <c r="K3472" t="n">
        <v>-400</v>
      </c>
      <c r="L3472" t="n">
        <v>-9679.596</v>
      </c>
    </row>
    <row r="3473">
      <c r="A3473" t="n">
        <v>13246</v>
      </c>
      <c r="B3473" s="16" t="n">
        <v>44610</v>
      </c>
      <c r="C3473" t="inlineStr">
        <is>
          <t>VTA</t>
        </is>
      </c>
      <c r="D3473" t="n">
        <v>39</v>
      </c>
      <c r="E3473">
        <f>IF(D968&gt;0,VLOOKUP(OPERAC[[#This Row],[COD CART]],[1]!MatrizCortoLargoCyl[#All],3,0),"")</f>
        <v/>
      </c>
      <c r="F3473" t="inlineStr">
        <is>
          <t>MELI/V/540,00/16-09-22</t>
        </is>
      </c>
      <c r="G3473" t="n">
        <v>-3</v>
      </c>
      <c r="H3473" t="n">
        <v>83.31999999999999</v>
      </c>
      <c r="I3473">
        <f>-H968/G968</f>
        <v/>
      </c>
    </row>
    <row r="3474">
      <c r="A3474" t="n">
        <v>13246</v>
      </c>
      <c r="B3474" s="16" t="n">
        <v>44616</v>
      </c>
      <c r="C3474" t="inlineStr">
        <is>
          <t>VTA</t>
        </is>
      </c>
      <c r="D3474" t="n">
        <v>32</v>
      </c>
      <c r="E3474">
        <f>IF(D5003&gt;0,VLOOKUP(OPERAC[[#This Row],[COD CART]],[1]!MatrizCortoLargoCyl[#All],3,0),"")</f>
        <v/>
      </c>
      <c r="F3474" t="inlineStr">
        <is>
          <t>HMY/CYL/4,00/18-03-22</t>
        </is>
      </c>
      <c r="G3474" t="n">
        <v>400</v>
      </c>
      <c r="H3474" t="n">
        <v>-1534.82</v>
      </c>
      <c r="I3474">
        <f>-H5003/G5003</f>
        <v/>
      </c>
      <c r="J3474" s="16" t="n">
        <v>44622</v>
      </c>
      <c r="K3474" t="n">
        <v>400</v>
      </c>
      <c r="L3474" t="n">
        <v>1575.8</v>
      </c>
    </row>
    <row r="3475">
      <c r="A3475" t="n">
        <v>13246</v>
      </c>
      <c r="B3475" s="16" t="n">
        <v>44622</v>
      </c>
      <c r="C3475" t="inlineStr">
        <is>
          <t>CPR</t>
        </is>
      </c>
      <c r="D3475" t="n">
        <v>32</v>
      </c>
      <c r="E3475">
        <f>IF(D4812&gt;0,VLOOKUP(OPERAC[[#This Row],[COD CART]],[1]!MatrizCortoLargoCyl[#All],3,0),"")</f>
        <v/>
      </c>
      <c r="F3475" t="inlineStr">
        <is>
          <t>HMY/CYL/5,00/18-03-22</t>
        </is>
      </c>
      <c r="G3475" t="n">
        <v>300</v>
      </c>
      <c r="H3475" t="n">
        <v>-1405.596</v>
      </c>
      <c r="I3475">
        <f>-H4812/G4812</f>
        <v/>
      </c>
      <c r="J3475" s="16" t="n">
        <v>44637</v>
      </c>
      <c r="K3475">
        <f>+OPERAC[[#This Row],[cantidad]]</f>
        <v/>
      </c>
      <c r="L3475">
        <f>4.85553*OPERAC[[#This Row],[cantidad venta]]</f>
        <v/>
      </c>
    </row>
    <row r="3476">
      <c r="A3476" t="n">
        <v>13246</v>
      </c>
      <c r="B3476" s="16" t="n">
        <v>44630</v>
      </c>
      <c r="C3476" t="inlineStr">
        <is>
          <t>VTA</t>
        </is>
      </c>
      <c r="D3476" t="n">
        <v>39</v>
      </c>
      <c r="E3476">
        <f>IF(D107&gt;0,VLOOKUP(OPERAC[[#This Row],[COD CART]],[1]!MatrizCortoLargoCyl[#All],3,0),"")</f>
        <v/>
      </c>
      <c r="F3476" t="inlineStr">
        <is>
          <t>SOLO/V/2,50/20-01-23</t>
        </is>
      </c>
      <c r="G3476" t="n">
        <v>-3000</v>
      </c>
      <c r="H3476" t="n">
        <v>3321.06</v>
      </c>
      <c r="I3476">
        <f>-H107/G107</f>
        <v/>
      </c>
    </row>
    <row r="3477">
      <c r="A3477" t="n">
        <v>13246</v>
      </c>
      <c r="B3477" s="16" t="n">
        <v>44641</v>
      </c>
      <c r="C3477" t="inlineStr">
        <is>
          <t>CPR</t>
        </is>
      </c>
      <c r="D3477" t="n">
        <v>32</v>
      </c>
      <c r="E3477">
        <f>IF(D6139&gt;0,VLOOKUP(OPERAC[[#This Row],[COD CART]],[1]!MatrizCortoLargoCyl[#All],3,0),"")</f>
        <v/>
      </c>
      <c r="F3477" t="inlineStr">
        <is>
          <t>HMY</t>
        </is>
      </c>
      <c r="G3477" t="n">
        <v>1000</v>
      </c>
      <c r="H3477" t="n">
        <v>-4759.039</v>
      </c>
      <c r="I3477">
        <f>-H6139/G6139</f>
        <v/>
      </c>
      <c r="J3477" s="16" t="n">
        <v>44669</v>
      </c>
      <c r="K3477">
        <f>+OPERAC[[#This Row],[cantidad]]</f>
        <v/>
      </c>
      <c r="L3477">
        <f>4.925*OPERAC[[#This Row],[cantidad venta]]</f>
        <v/>
      </c>
    </row>
    <row r="3478">
      <c r="A3478" t="n">
        <v>13246</v>
      </c>
      <c r="B3478" s="16" t="n">
        <v>44643</v>
      </c>
      <c r="C3478" t="inlineStr">
        <is>
          <t>VTA</t>
        </is>
      </c>
      <c r="D3478" t="n">
        <v>32</v>
      </c>
      <c r="E3478">
        <f>IF(D5200&gt;0,VLOOKUP(OPERAC[[#This Row],[COD CART]],[1]!MatrizCortoLargoCyl[#All],3,0),"")</f>
        <v/>
      </c>
      <c r="F3478" t="inlineStr">
        <is>
          <t>EDIT/CYL/17,00/14-04-22</t>
        </is>
      </c>
      <c r="G3478" t="n">
        <v>100</v>
      </c>
      <c r="H3478" t="n">
        <v>-1650.54</v>
      </c>
      <c r="I3478">
        <f>-H5200/G5200</f>
        <v/>
      </c>
      <c r="J3478" s="16" t="n">
        <v>44648</v>
      </c>
      <c r="K3478" t="n">
        <v>100</v>
      </c>
      <c r="L3478">
        <f>-202.298+1898.018</f>
        <v/>
      </c>
    </row>
    <row r="3479">
      <c r="A3479" t="n">
        <v>13246</v>
      </c>
      <c r="B3479" s="16" t="n">
        <v>44645</v>
      </c>
      <c r="C3479" t="inlineStr">
        <is>
          <t>VTA</t>
        </is>
      </c>
      <c r="D3479" t="n">
        <v>39</v>
      </c>
      <c r="E3479">
        <f>IF(D1208&gt;0,VLOOKUP(OPERAC[[#This Row],[COD CART]],[1]!MatrizCortoLargoCyl[#All],3,0),"")</f>
        <v/>
      </c>
      <c r="F3479" t="inlineStr">
        <is>
          <t>TLRY/V/6,00/16-09-22</t>
        </is>
      </c>
      <c r="G3479" t="n">
        <v>-8</v>
      </c>
      <c r="H3479" t="n">
        <v>8.2768</v>
      </c>
      <c r="I3479">
        <f>-H1208/G1208</f>
        <v/>
      </c>
    </row>
    <row r="3480">
      <c r="A3480" t="n">
        <v>13246</v>
      </c>
      <c r="B3480" s="16" t="n">
        <v>44649</v>
      </c>
      <c r="C3480" t="inlineStr">
        <is>
          <t>VTA</t>
        </is>
      </c>
      <c r="D3480" t="n">
        <v>32</v>
      </c>
      <c r="E3480">
        <f>IF(D5206&gt;0,VLOOKUP(OPERAC[[#This Row],[COD CART]],[1]!MatrizCortoLargoCyl[#All],3,0),"")</f>
        <v/>
      </c>
      <c r="F3480" t="inlineStr">
        <is>
          <t>EDIT/CYL/20,00/15-07-22</t>
        </is>
      </c>
      <c r="G3480" t="n">
        <v>100</v>
      </c>
      <c r="H3480">
        <f>-1661.88+7.932</f>
        <v/>
      </c>
      <c r="I3480">
        <f>-H5206/G5206</f>
        <v/>
      </c>
    </row>
    <row r="3481">
      <c r="A3481" t="n">
        <v>13246</v>
      </c>
      <c r="B3481" s="16" t="n">
        <v>44662</v>
      </c>
      <c r="C3481" t="inlineStr">
        <is>
          <t>CPR</t>
        </is>
      </c>
      <c r="D3481" t="n">
        <v>42</v>
      </c>
      <c r="E3481">
        <f>IF(D4909&gt;0,VLOOKUP(OPERAC[[#This Row],[COD CART]],[1]!MatrizCortoLargoCyl[#All],3,0),"")</f>
        <v/>
      </c>
      <c r="F3481" t="inlineStr">
        <is>
          <t>HYDR</t>
        </is>
      </c>
      <c r="G3481" t="n">
        <v>80</v>
      </c>
      <c r="H3481" t="n">
        <v>-1485.62752</v>
      </c>
      <c r="I3481">
        <f>-H4909/G4909</f>
        <v/>
      </c>
      <c r="J3481" s="16" t="n">
        <v>44693</v>
      </c>
      <c r="K3481">
        <f>+OPERAC[[#This Row],[cantidad]]</f>
        <v/>
      </c>
      <c r="L3481">
        <f>+OPERAC[[#This Row],[cantidad venta]]*12.027</f>
        <v/>
      </c>
    </row>
    <row r="3482">
      <c r="A3482" t="n">
        <v>13246</v>
      </c>
      <c r="B3482" s="16" t="n">
        <v>44664</v>
      </c>
      <c r="C3482" t="inlineStr">
        <is>
          <t>CPR</t>
        </is>
      </c>
      <c r="D3482" t="n">
        <v>42</v>
      </c>
      <c r="E3482">
        <f>IF(D4192&gt;0,VLOOKUP(OPERAC[[#This Row],[COD CART]],[1]!MatrizCortoLargoCyl[#All],3,0),"")</f>
        <v/>
      </c>
      <c r="F3482" t="inlineStr">
        <is>
          <t>AMD</t>
        </is>
      </c>
      <c r="G3482" t="n">
        <v>10</v>
      </c>
      <c r="H3482" t="n">
        <v>-987.7065453</v>
      </c>
      <c r="I3482">
        <f>-H4192/G4192</f>
        <v/>
      </c>
      <c r="J3482" s="16" t="n">
        <v>44693</v>
      </c>
      <c r="K3482">
        <f>+OPERAC[[#This Row],[cantidad]]</f>
        <v/>
      </c>
      <c r="L3482">
        <f>+OPERAC[[#This Row],[cantidad venta]]*85.26</f>
        <v/>
      </c>
    </row>
    <row r="3483">
      <c r="A3483" t="n">
        <v>13246</v>
      </c>
      <c r="B3483" s="16" t="n">
        <v>44669</v>
      </c>
      <c r="C3483" t="inlineStr">
        <is>
          <t>VTA</t>
        </is>
      </c>
      <c r="D3483" t="n">
        <v>32</v>
      </c>
      <c r="E3483">
        <f>IF(D5617&gt;0,VLOOKUP(OPERAC[[#This Row],[COD CART]],[1]!MatrizCortoLargoCyl[#All],3,0),"")</f>
        <v/>
      </c>
      <c r="F3483" t="inlineStr">
        <is>
          <t>HMY/CYL/5,00/19-08-22</t>
        </is>
      </c>
      <c r="G3483" t="n">
        <v>500</v>
      </c>
      <c r="H3483">
        <f>-4.64*OPERAC[[#This Row],[cantidad]]+34.703</f>
        <v/>
      </c>
      <c r="I3483">
        <f>-H5617/G5617</f>
        <v/>
      </c>
    </row>
    <row r="3484">
      <c r="A3484" t="n">
        <v>13246</v>
      </c>
      <c r="B3484" s="16" t="n">
        <v>44680</v>
      </c>
      <c r="C3484" t="inlineStr">
        <is>
          <t>CPR</t>
        </is>
      </c>
      <c r="D3484" t="n">
        <v>42</v>
      </c>
      <c r="E3484">
        <f>IF(D4090&gt;0,VLOOKUP(OPERAC[[#This Row],[COD CART]],[1]!MatrizCortoLargoCyl[#All],3,0),"")</f>
        <v/>
      </c>
      <c r="F3484" t="inlineStr">
        <is>
          <t>TS</t>
        </is>
      </c>
      <c r="G3484" t="n">
        <v>30</v>
      </c>
      <c r="H3484" t="n">
        <v>-938.9639249999999</v>
      </c>
      <c r="I3484">
        <f>-H4090/G4090</f>
        <v/>
      </c>
      <c r="J3484" s="16" t="n">
        <v>44693</v>
      </c>
      <c r="K3484">
        <f>+OPERAC[[#This Row],[cantidad]]</f>
        <v/>
      </c>
      <c r="L3484">
        <f>+OPERAC[[#This Row],[cantidad venta]]*29.07</f>
        <v/>
      </c>
    </row>
    <row r="3485">
      <c r="A3485" t="n">
        <v>13246</v>
      </c>
      <c r="B3485" s="16" t="n">
        <v>44680</v>
      </c>
      <c r="C3485" t="inlineStr">
        <is>
          <t>CPR</t>
        </is>
      </c>
      <c r="D3485" t="n">
        <v>32</v>
      </c>
      <c r="E3485">
        <f>IF(D4941&gt;0,VLOOKUP(OPERAC[[#This Row],[COD CART]],[1]!MatrizCortoLargoCyl[#All],3,0),"")</f>
        <v/>
      </c>
      <c r="F3485" t="inlineStr">
        <is>
          <t>COTY/CYL/9,00/17-06-22</t>
        </is>
      </c>
      <c r="G3485" t="n">
        <v>200</v>
      </c>
      <c r="H3485">
        <f>-1512.41+7.932</f>
        <v/>
      </c>
      <c r="I3485">
        <f>-H4941/G4941</f>
        <v/>
      </c>
    </row>
    <row r="3486">
      <c r="A3486" t="n">
        <v>13246</v>
      </c>
      <c r="B3486" s="16" t="n">
        <v>44691</v>
      </c>
      <c r="C3486" t="inlineStr">
        <is>
          <t>CPR</t>
        </is>
      </c>
      <c r="D3486" t="n">
        <v>32</v>
      </c>
      <c r="E3486">
        <f>IF(D5997&gt;0,VLOOKUP(OPERAC[[#This Row],[COD CART]],[1]!MatrizCortoLargoCyl[#All],3,0),"")</f>
        <v/>
      </c>
      <c r="F3486" t="inlineStr">
        <is>
          <t>UPST</t>
        </is>
      </c>
      <c r="G3486" t="n">
        <v>100</v>
      </c>
      <c r="H3486" t="n">
        <v>-3321.11</v>
      </c>
      <c r="I3486">
        <f>-H5997/G5997</f>
        <v/>
      </c>
      <c r="J3486" s="16" t="n">
        <v>44701</v>
      </c>
      <c r="K3486" t="n">
        <v>100</v>
      </c>
      <c r="L3486" t="n">
        <v>4386.11</v>
      </c>
    </row>
    <row r="3487">
      <c r="A3487" t="n">
        <v>13246</v>
      </c>
      <c r="B3487" s="16" t="n">
        <v>44698</v>
      </c>
      <c r="C3487" t="inlineStr">
        <is>
          <t>VTA</t>
        </is>
      </c>
      <c r="D3487" t="n">
        <v>39</v>
      </c>
      <c r="E3487">
        <f>IF(D1743&gt;0,VLOOKUP(OPERAC[[#This Row],[COD CART]],[1]!MatrizCortoLargoCyl[#All],3,0),"")</f>
        <v/>
      </c>
      <c r="F3487" t="inlineStr">
        <is>
          <t>NTLA/C/65,00/15-07-22</t>
        </is>
      </c>
      <c r="G3487" t="n">
        <v>100</v>
      </c>
      <c r="H3487" t="n">
        <v>-252.125</v>
      </c>
      <c r="I3487">
        <f>-H1743/G1743</f>
        <v/>
      </c>
    </row>
    <row r="3488">
      <c r="A3488" t="n">
        <v>13246</v>
      </c>
      <c r="B3488" s="16" t="n">
        <v>44705</v>
      </c>
      <c r="C3488" t="inlineStr">
        <is>
          <t>CPR</t>
        </is>
      </c>
      <c r="D3488" t="n">
        <v>42</v>
      </c>
      <c r="E3488">
        <f>IF(D3376&gt;0,VLOOKUP(OPERAC[[#This Row],[COD CART]],[1]!MatrizCortoLargoCyl[#All],3,0),"")</f>
        <v/>
      </c>
      <c r="F3488" t="inlineStr">
        <is>
          <t>MELI</t>
        </is>
      </c>
      <c r="G3488" t="n">
        <v>1</v>
      </c>
      <c r="H3488" t="n">
        <v>-704.808</v>
      </c>
      <c r="I3488">
        <f>-H3376/G3376</f>
        <v/>
      </c>
      <c r="J3488" s="16" t="n">
        <v>44706</v>
      </c>
      <c r="K3488" t="n">
        <v>1</v>
      </c>
      <c r="L3488" t="n">
        <v>725.8734000000001</v>
      </c>
    </row>
    <row r="3489">
      <c r="A3489" t="n">
        <v>13246</v>
      </c>
      <c r="B3489" s="16" t="n">
        <v>44705</v>
      </c>
      <c r="C3489" t="inlineStr">
        <is>
          <t>CPR</t>
        </is>
      </c>
      <c r="D3489" t="n">
        <v>42</v>
      </c>
      <c r="E3489">
        <f>IF(D4027&gt;0,VLOOKUP(OPERAC[[#This Row],[COD CART]],[1]!MatrizCortoLargoCyl[#All],3,0),"")</f>
        <v/>
      </c>
      <c r="F3489" t="inlineStr">
        <is>
          <t>AMD</t>
        </is>
      </c>
      <c r="G3489" t="n">
        <v>10</v>
      </c>
      <c r="H3489" t="n">
        <v>-925.0354</v>
      </c>
      <c r="I3489">
        <f>-H4027/G4027</f>
        <v/>
      </c>
      <c r="J3489" s="16" t="n">
        <v>44707</v>
      </c>
      <c r="K3489">
        <f>+OPERAC[[#This Row],[cantidad]]</f>
        <v/>
      </c>
      <c r="L3489">
        <f>+OPERAC[[#This Row],[cantidad venta]]*94.8</f>
        <v/>
      </c>
    </row>
    <row r="3490">
      <c r="A3490" t="n">
        <v>13246</v>
      </c>
      <c r="B3490" s="16" t="n">
        <v>44707</v>
      </c>
      <c r="C3490" t="inlineStr">
        <is>
          <t>VTA</t>
        </is>
      </c>
      <c r="D3490" t="n">
        <v>43</v>
      </c>
      <c r="E3490">
        <f>IF(D5302&gt;0,VLOOKUP(OPERAC[[#This Row],[COD CART]],[1]!MatrizCortoLargoCyl[#All],3,0),"")</f>
        <v/>
      </c>
      <c r="F3490" t="inlineStr">
        <is>
          <t>SPWR/CYP/17,50-15,00/17-06-22</t>
        </is>
      </c>
      <c r="G3490" t="n">
        <v>100</v>
      </c>
      <c r="H3490" t="n">
        <v>-1717.027</v>
      </c>
      <c r="I3490">
        <f>-H5302/G5302</f>
        <v/>
      </c>
    </row>
    <row r="3491">
      <c r="A3491" t="n">
        <v>13246</v>
      </c>
      <c r="B3491" s="16" t="n">
        <v>44708</v>
      </c>
      <c r="C3491" t="inlineStr">
        <is>
          <t>CPR</t>
        </is>
      </c>
      <c r="D3491" t="n">
        <v>32</v>
      </c>
      <c r="E3491">
        <f>IF(D4631&gt;0,VLOOKUP(OPERAC[[#This Row],[COD CART]],[1]!MatrizCortoLargoCyl[#All],3,0),"")</f>
        <v/>
      </c>
      <c r="F3491" t="inlineStr">
        <is>
          <t>CCL/CYL/13,00/03-06-22</t>
        </is>
      </c>
      <c r="G3491" t="n">
        <v>100</v>
      </c>
      <c r="H3491" t="n">
        <v>-1276.4</v>
      </c>
      <c r="I3491">
        <f>-H4631/G4631</f>
        <v/>
      </c>
      <c r="J3491" s="16" t="n">
        <v>44715</v>
      </c>
      <c r="K3491">
        <f>+OPERAC[[#This Row],[cantidad]]</f>
        <v/>
      </c>
      <c r="L3491">
        <f>+OPERAC[[#This Row],[cantidad venta]]*12.942</f>
        <v/>
      </c>
    </row>
    <row r="3492">
      <c r="A3492" t="n">
        <v>13246</v>
      </c>
      <c r="B3492" s="16" t="n">
        <v>44712</v>
      </c>
      <c r="C3492" t="inlineStr">
        <is>
          <t>CPR</t>
        </is>
      </c>
      <c r="D3492" t="n">
        <v>32</v>
      </c>
      <c r="E3492">
        <f>IF(D4779&gt;0,VLOOKUP(OPERAC[[#This Row],[COD CART]],[1]!MatrizCortoLargoCyl[#All],3,0),"")</f>
        <v/>
      </c>
      <c r="F3492" t="inlineStr">
        <is>
          <t>CRESY/CYL/7,50/17-06-22</t>
        </is>
      </c>
      <c r="G3492" t="n">
        <v>200</v>
      </c>
      <c r="H3492" t="n">
        <v>-1386.15</v>
      </c>
      <c r="I3492">
        <f>-H4779/G4779</f>
        <v/>
      </c>
    </row>
    <row r="3493">
      <c r="A3493" t="n">
        <v>13246</v>
      </c>
      <c r="B3493" s="16" t="n">
        <v>44718</v>
      </c>
      <c r="C3493" t="inlineStr">
        <is>
          <t>VTA</t>
        </is>
      </c>
      <c r="D3493" t="n">
        <v>42</v>
      </c>
      <c r="E3493">
        <f>IF(D5033&gt;0,VLOOKUP(OPERAC[[#This Row],[COD CART]],[1]!MatrizCortoLargoCyl[#All],3,0),"")</f>
        <v/>
      </c>
      <c r="F3493" t="inlineStr">
        <is>
          <t>KWEB</t>
        </is>
      </c>
      <c r="G3493" t="n">
        <v>50</v>
      </c>
      <c r="H3493" t="n">
        <v>-1554.1694</v>
      </c>
      <c r="I3493">
        <f>-H5033/G5033</f>
        <v/>
      </c>
    </row>
    <row r="3494">
      <c r="A3494" t="n">
        <v>13253</v>
      </c>
      <c r="B3494" s="16" t="n">
        <v>44200</v>
      </c>
      <c r="C3494" t="inlineStr">
        <is>
          <t>CPR</t>
        </is>
      </c>
      <c r="D3494" t="n">
        <v>41</v>
      </c>
      <c r="E3494">
        <f>IF(D2668&gt;0,VLOOKUP(OPERAC[[#This Row],[COD CART]],[1]!MatrizCortoLargoCyl[#All],3,0),"")</f>
        <v/>
      </c>
      <c r="F3494" t="inlineStr">
        <is>
          <t>STOR</t>
        </is>
      </c>
      <c r="G3494" t="n">
        <v>15</v>
      </c>
      <c r="H3494" t="n">
        <v>-489.6784</v>
      </c>
      <c r="I3494">
        <f>-H2668/G2668</f>
        <v/>
      </c>
    </row>
    <row r="3495">
      <c r="A3495" t="n">
        <v>13253</v>
      </c>
      <c r="B3495" s="16" t="n">
        <v>44200</v>
      </c>
      <c r="C3495" t="inlineStr">
        <is>
          <t>VTA</t>
        </is>
      </c>
      <c r="D3495" t="n">
        <v>41</v>
      </c>
      <c r="E3495">
        <f>IF(D2432&gt;0,VLOOKUP(OPERAC[[#This Row],[COD CART]],[1]!MatrizCortoLargoCyl[#All],3,0),"")</f>
        <v/>
      </c>
      <c r="F3495" t="inlineStr">
        <is>
          <t>MPW</t>
        </is>
      </c>
      <c r="G3495" t="n">
        <v>20</v>
      </c>
      <c r="H3495" t="n">
        <v>-424.36</v>
      </c>
      <c r="I3495">
        <f>-H2432/G2432</f>
        <v/>
      </c>
    </row>
    <row r="3496">
      <c r="A3496" t="n">
        <v>13253</v>
      </c>
      <c r="B3496" s="16" t="n">
        <v>44201</v>
      </c>
      <c r="C3496" t="inlineStr">
        <is>
          <t>VTA</t>
        </is>
      </c>
      <c r="D3496" t="n">
        <v>41</v>
      </c>
      <c r="E3496">
        <f>IF(D2333&gt;0,VLOOKUP(OPERAC[[#This Row],[COD CART]],[1]!MatrizCortoLargoCyl[#All],3,0),"")</f>
        <v/>
      </c>
      <c r="F3496" t="inlineStr">
        <is>
          <t>HIPS</t>
        </is>
      </c>
      <c r="G3496" t="n">
        <v>30</v>
      </c>
      <c r="H3496" t="n">
        <v>-406.4256</v>
      </c>
      <c r="I3496">
        <f>-H2333/G2333</f>
        <v/>
      </c>
    </row>
    <row r="3497">
      <c r="A3497" t="n">
        <v>13253</v>
      </c>
      <c r="B3497" s="16" t="n">
        <v>44203</v>
      </c>
      <c r="C3497" t="inlineStr">
        <is>
          <t>VTA</t>
        </is>
      </c>
      <c r="D3497" t="n">
        <v>41</v>
      </c>
      <c r="E3497">
        <f>IF(D1578&gt;0,VLOOKUP(OPERAC[[#This Row],[COD CART]],[1]!MatrizCortoLargoCyl[#All],3,0),"")</f>
        <v/>
      </c>
      <c r="F3497" t="inlineStr">
        <is>
          <t>MPW</t>
        </is>
      </c>
      <c r="G3497" t="n">
        <v>10</v>
      </c>
      <c r="H3497" t="n">
        <v>-203.4608</v>
      </c>
      <c r="I3497">
        <f>-H1578/G1578</f>
        <v/>
      </c>
    </row>
    <row r="3498">
      <c r="A3498" t="n">
        <v>13253</v>
      </c>
      <c r="B3498" s="16" t="n">
        <v>44211</v>
      </c>
      <c r="C3498" t="inlineStr">
        <is>
          <t>VTA</t>
        </is>
      </c>
      <c r="D3498" t="n">
        <v>41</v>
      </c>
      <c r="E3498">
        <f>IF(D2111&gt;0,VLOOKUP(OPERAC[[#This Row],[COD CART]],[1]!MatrizCortoLargoCyl[#All],3,0),"")</f>
        <v/>
      </c>
      <c r="F3498" t="inlineStr">
        <is>
          <t>MORT</t>
        </is>
      </c>
      <c r="G3498" t="n">
        <v>20</v>
      </c>
      <c r="H3498" t="n">
        <v>-338.020768</v>
      </c>
      <c r="I3498">
        <f>-H2111/G2111</f>
        <v/>
      </c>
    </row>
    <row r="3499">
      <c r="A3499" t="n">
        <v>13253</v>
      </c>
      <c r="B3499" s="16" t="n">
        <v>44215</v>
      </c>
      <c r="C3499" t="inlineStr">
        <is>
          <t>CPR</t>
        </is>
      </c>
      <c r="D3499" t="n">
        <v>41</v>
      </c>
      <c r="E3499">
        <f>IF(D1877&gt;0,VLOOKUP(OPERAC[[#This Row],[COD CART]],[1]!MatrizCortoLargoCyl[#All],3,0),"")</f>
        <v/>
      </c>
      <c r="F3499" t="inlineStr">
        <is>
          <t>HIPS</t>
        </is>
      </c>
      <c r="G3499" t="n">
        <v>20</v>
      </c>
      <c r="H3499" t="n">
        <v>-280.6272</v>
      </c>
      <c r="I3499">
        <f>-H1877/G1877</f>
        <v/>
      </c>
    </row>
    <row r="3500">
      <c r="A3500" t="n">
        <v>13253</v>
      </c>
      <c r="B3500" s="16" t="n">
        <v>44215</v>
      </c>
      <c r="C3500" t="inlineStr">
        <is>
          <t>VTA</t>
        </is>
      </c>
      <c r="D3500" t="n">
        <v>41</v>
      </c>
      <c r="E3500">
        <f>IF(D2013&gt;0,VLOOKUP(OPERAC[[#This Row],[COD CART]],[1]!MatrizCortoLargoCyl[#All],3,0),"")</f>
        <v/>
      </c>
      <c r="F3500" t="inlineStr">
        <is>
          <t>STOR</t>
        </is>
      </c>
      <c r="G3500" t="n">
        <v>10</v>
      </c>
      <c r="H3500" t="n">
        <v>-312.2704</v>
      </c>
      <c r="I3500">
        <f>-H2013/G2013</f>
        <v/>
      </c>
    </row>
    <row r="3501">
      <c r="A3501" t="n">
        <v>13253</v>
      </c>
      <c r="B3501" s="16" t="n">
        <v>44215</v>
      </c>
      <c r="C3501" t="inlineStr">
        <is>
          <t>VTA</t>
        </is>
      </c>
      <c r="D3501" t="n">
        <v>41</v>
      </c>
      <c r="E3501">
        <f>IF(D2113&gt;0,VLOOKUP(OPERAC[[#This Row],[COD CART]],[1]!MatrizCortoLargoCyl[#All],3,0),"")</f>
        <v/>
      </c>
      <c r="F3501" t="inlineStr">
        <is>
          <t>MORT</t>
        </is>
      </c>
      <c r="G3501" t="n">
        <v>20</v>
      </c>
      <c r="H3501" t="n">
        <v>-339.02272</v>
      </c>
      <c r="I3501">
        <f>-H2113/G2113</f>
        <v/>
      </c>
    </row>
    <row r="3502">
      <c r="A3502" t="n">
        <v>13253</v>
      </c>
      <c r="B3502" s="16" t="n">
        <v>44221</v>
      </c>
      <c r="C3502" t="inlineStr">
        <is>
          <t>CPR</t>
        </is>
      </c>
      <c r="D3502" t="n">
        <v>41</v>
      </c>
      <c r="E3502">
        <f>IF(D2639&gt;0,VLOOKUP(OPERAC[[#This Row],[COD CART]],[1]!MatrizCortoLargoCyl[#All],3,0),"")</f>
        <v/>
      </c>
      <c r="F3502" t="inlineStr">
        <is>
          <t>BEP</t>
        </is>
      </c>
      <c r="G3502" t="n">
        <v>10</v>
      </c>
      <c r="H3502" t="n">
        <v>-483.9</v>
      </c>
      <c r="I3502">
        <f>-H2639/G2639</f>
        <v/>
      </c>
    </row>
    <row r="3503">
      <c r="A3503" t="n">
        <v>13253</v>
      </c>
      <c r="B3503" s="16" t="n">
        <v>44228</v>
      </c>
      <c r="C3503" t="inlineStr">
        <is>
          <t>VTA</t>
        </is>
      </c>
      <c r="D3503" t="n">
        <v>41</v>
      </c>
      <c r="E3503">
        <f>IF(D1408&gt;0,VLOOKUP(OPERAC[[#This Row],[COD CART]],[1]!MatrizCortoLargoCyl[#All],3,0),"")</f>
        <v/>
      </c>
      <c r="F3503" t="inlineStr">
        <is>
          <t>SPWR</t>
        </is>
      </c>
      <c r="G3503" t="n">
        <v>3</v>
      </c>
      <c r="H3503" t="n">
        <v>-140.46688</v>
      </c>
      <c r="I3503">
        <f>-H1408/G1408</f>
        <v/>
      </c>
      <c r="J3503" s="16" t="n">
        <v>44629</v>
      </c>
      <c r="K3503" t="n">
        <v>3</v>
      </c>
      <c r="L3503">
        <f>+OPERAC[[#This Row],[cantidad venta]]*20.538</f>
        <v/>
      </c>
    </row>
    <row r="3504">
      <c r="A3504" t="n">
        <v>13253</v>
      </c>
      <c r="B3504" s="16" t="n">
        <v>44238</v>
      </c>
      <c r="C3504" t="inlineStr">
        <is>
          <t>VTA</t>
        </is>
      </c>
      <c r="D3504" t="n">
        <v>41</v>
      </c>
      <c r="E3504">
        <f>IF(D1536&gt;0,VLOOKUP(OPERAC[[#This Row],[COD CART]],[1]!MatrizCortoLargoCyl[#All],3,0),"")</f>
        <v/>
      </c>
      <c r="F3504" t="inlineStr">
        <is>
          <t>TLRY</t>
        </is>
      </c>
      <c r="G3504" t="n">
        <v>8</v>
      </c>
      <c r="H3504" t="n">
        <v>-194.133</v>
      </c>
      <c r="I3504">
        <f>-H1536/G1536</f>
        <v/>
      </c>
    </row>
    <row r="3505">
      <c r="A3505" t="n">
        <v>13253</v>
      </c>
      <c r="B3505" s="16" t="n">
        <v>44238</v>
      </c>
      <c r="C3505" t="inlineStr">
        <is>
          <t>VTA</t>
        </is>
      </c>
      <c r="D3505" t="n">
        <v>41</v>
      </c>
      <c r="E3505">
        <f>IF(D2252&gt;0,VLOOKUP(OPERAC[[#This Row],[COD CART]],[1]!MatrizCortoLargoCyl[#All],3,0),"")</f>
        <v/>
      </c>
      <c r="F3505" t="inlineStr">
        <is>
          <t>HEOFF</t>
        </is>
      </c>
      <c r="G3505" t="n">
        <v>150</v>
      </c>
      <c r="H3505" t="n">
        <v>-382.024</v>
      </c>
      <c r="I3505">
        <f>-H2252/G2252</f>
        <v/>
      </c>
    </row>
    <row r="3506">
      <c r="A3506" t="n">
        <v>13253</v>
      </c>
      <c r="B3506" s="16" t="n">
        <v>44239</v>
      </c>
      <c r="C3506" t="inlineStr">
        <is>
          <t>VTA</t>
        </is>
      </c>
      <c r="D3506" t="n">
        <v>41</v>
      </c>
      <c r="E3506">
        <f>IF(D2164&gt;0,VLOOKUP(OPERAC[[#This Row],[COD CART]],[1]!MatrizCortoLargoCyl[#All],3,0),"")</f>
        <v/>
      </c>
      <c r="F3506" t="inlineStr">
        <is>
          <t>HIPS</t>
        </is>
      </c>
      <c r="G3506" t="n">
        <v>25</v>
      </c>
      <c r="H3506" t="n">
        <v>-359.032</v>
      </c>
      <c r="I3506">
        <f>-H2164/G2164</f>
        <v/>
      </c>
    </row>
    <row r="3507">
      <c r="A3507" t="n">
        <v>13253</v>
      </c>
      <c r="B3507" s="16" t="n">
        <v>44244</v>
      </c>
      <c r="C3507" t="inlineStr">
        <is>
          <t>VTA</t>
        </is>
      </c>
      <c r="D3507" t="n">
        <v>41</v>
      </c>
      <c r="E3507">
        <f>IF(D1654&gt;0,VLOOKUP(OPERAC[[#This Row],[COD CART]],[1]!MatrizCortoLargoCyl[#All],3,0),"")</f>
        <v/>
      </c>
      <c r="F3507" t="inlineStr">
        <is>
          <t>HEOFF</t>
        </is>
      </c>
      <c r="G3507" t="n">
        <v>100</v>
      </c>
      <c r="H3507" t="n">
        <v>-227.8</v>
      </c>
      <c r="I3507">
        <f>-H1654/G1654</f>
        <v/>
      </c>
    </row>
    <row r="3508">
      <c r="A3508" t="n">
        <v>13253</v>
      </c>
      <c r="B3508" s="16" t="n">
        <v>44245</v>
      </c>
      <c r="C3508" t="inlineStr">
        <is>
          <t>VTA</t>
        </is>
      </c>
      <c r="D3508" t="n">
        <v>41</v>
      </c>
      <c r="E3508">
        <f>IF(D2433&gt;0,VLOOKUP(OPERAC[[#This Row],[COD CART]],[1]!MatrizCortoLargoCyl[#All],3,0),"")</f>
        <v/>
      </c>
      <c r="F3508" t="inlineStr">
        <is>
          <t>HIPS</t>
        </is>
      </c>
      <c r="G3508" t="n">
        <v>30</v>
      </c>
      <c r="H3508" t="n">
        <v>-424.5696</v>
      </c>
      <c r="I3508">
        <f>-H2433/G2433</f>
        <v/>
      </c>
    </row>
    <row r="3509">
      <c r="A3509" t="n">
        <v>13253</v>
      </c>
      <c r="B3509" s="16" t="n">
        <v>44260</v>
      </c>
      <c r="C3509" t="inlineStr">
        <is>
          <t>VTA</t>
        </is>
      </c>
      <c r="D3509" t="n">
        <v>41</v>
      </c>
      <c r="E3509">
        <f>IF(D1538&gt;0,VLOOKUP(OPERAC[[#This Row],[COD CART]],[1]!MatrizCortoLargoCyl[#All],3,0),"")</f>
        <v/>
      </c>
      <c r="F3509" t="inlineStr">
        <is>
          <t>BEP</t>
        </is>
      </c>
      <c r="G3509" t="n">
        <v>5</v>
      </c>
      <c r="H3509" t="n">
        <v>-195.9976</v>
      </c>
      <c r="I3509">
        <f>-H1538/G1538</f>
        <v/>
      </c>
    </row>
    <row r="3510">
      <c r="A3510" t="n">
        <v>13253</v>
      </c>
      <c r="B3510" s="16" t="n">
        <v>44272</v>
      </c>
      <c r="C3510" t="inlineStr">
        <is>
          <t>VTA</t>
        </is>
      </c>
      <c r="D3510" t="n">
        <v>41</v>
      </c>
      <c r="E3510">
        <f>IF(D1547&gt;0,VLOOKUP(OPERAC[[#This Row],[COD CART]],[1]!MatrizCortoLargoCyl[#All],3,0),"")</f>
        <v/>
      </c>
      <c r="F3510" t="inlineStr">
        <is>
          <t>VIOT</t>
        </is>
      </c>
      <c r="G3510" t="n">
        <v>15</v>
      </c>
      <c r="H3510" t="n">
        <v>-198.7696</v>
      </c>
      <c r="I3510">
        <f>-H1547/G1547</f>
        <v/>
      </c>
    </row>
    <row r="3511">
      <c r="A3511" t="n">
        <v>13253</v>
      </c>
      <c r="B3511" s="16" t="n">
        <v>44294</v>
      </c>
      <c r="C3511" t="inlineStr">
        <is>
          <t>VTA</t>
        </is>
      </c>
      <c r="D3511" t="n">
        <v>41</v>
      </c>
      <c r="E3511">
        <f>IF(D930&gt;0,VLOOKUP(OPERAC[[#This Row],[COD CART]],[1]!MatrizCortoLargoCyl[#All],3,0),"")</f>
        <v/>
      </c>
      <c r="F3511" t="inlineStr">
        <is>
          <t>TLRY1/V/10,00/20-01-23</t>
        </is>
      </c>
      <c r="G3511" t="n">
        <v>-100</v>
      </c>
      <c r="H3511" t="n">
        <v>100</v>
      </c>
      <c r="I3511">
        <f>-H930/G930</f>
        <v/>
      </c>
    </row>
    <row r="3512">
      <c r="A3512" t="n">
        <v>13253</v>
      </c>
      <c r="B3512" s="16" t="n">
        <v>44299</v>
      </c>
      <c r="C3512" t="inlineStr">
        <is>
          <t>VTA</t>
        </is>
      </c>
      <c r="D3512" t="n">
        <v>41</v>
      </c>
      <c r="E3512">
        <f>IF(D2160&gt;0,VLOOKUP(OPERAC[[#This Row],[COD CART]],[1]!MatrizCortoLargoCyl[#All],3,0),"")</f>
        <v/>
      </c>
      <c r="F3512" t="inlineStr">
        <is>
          <t>JEPI</t>
        </is>
      </c>
      <c r="G3512" t="n">
        <v>6</v>
      </c>
      <c r="H3512" t="n">
        <v>-355.38</v>
      </c>
      <c r="I3512">
        <f>-H2160/G2160</f>
        <v/>
      </c>
    </row>
    <row r="3513">
      <c r="A3513" t="n">
        <v>13253</v>
      </c>
      <c r="B3513" s="16" t="n">
        <v>44300</v>
      </c>
      <c r="C3513" t="inlineStr">
        <is>
          <t>VTA</t>
        </is>
      </c>
      <c r="D3513" t="n">
        <v>41</v>
      </c>
      <c r="E3513">
        <f>IF(D1608&gt;0,VLOOKUP(OPERAC[[#This Row],[COD CART]],[1]!MatrizCortoLargoCyl[#All],3,0),"")</f>
        <v/>
      </c>
      <c r="F3513" t="inlineStr">
        <is>
          <t>TCNNF</t>
        </is>
      </c>
      <c r="G3513" t="n">
        <v>5</v>
      </c>
      <c r="H3513" t="n">
        <v>-212.2</v>
      </c>
      <c r="I3513">
        <f>-H1608/G1608</f>
        <v/>
      </c>
    </row>
    <row r="3514">
      <c r="A3514" t="n">
        <v>13253</v>
      </c>
      <c r="B3514" s="16" t="n">
        <v>44308</v>
      </c>
      <c r="C3514" t="inlineStr">
        <is>
          <t>VTA</t>
        </is>
      </c>
      <c r="D3514" t="n">
        <v>41</v>
      </c>
      <c r="E3514">
        <f>IF(D2163&gt;0,VLOOKUP(OPERAC[[#This Row],[COD CART]],[1]!MatrizCortoLargoCyl[#All],3,0),"")</f>
        <v/>
      </c>
      <c r="F3514" t="inlineStr">
        <is>
          <t>JEPI</t>
        </is>
      </c>
      <c r="G3514" t="n">
        <v>6</v>
      </c>
      <c r="H3514" t="n">
        <v>-358.31584</v>
      </c>
      <c r="I3514">
        <f>-H2163/G2163</f>
        <v/>
      </c>
    </row>
    <row r="3515">
      <c r="A3515" t="n">
        <v>13253</v>
      </c>
      <c r="B3515" s="16" t="n">
        <v>44334</v>
      </c>
      <c r="C3515" t="inlineStr">
        <is>
          <t>VTA</t>
        </is>
      </c>
      <c r="D3515" t="n">
        <v>41</v>
      </c>
      <c r="E3515">
        <f>IF(D2032&gt;0,VLOOKUP(OPERAC[[#This Row],[COD CART]],[1]!MatrizCortoLargoCyl[#All],3,0),"")</f>
        <v/>
      </c>
      <c r="F3515" t="inlineStr">
        <is>
          <t>NRZ</t>
        </is>
      </c>
      <c r="G3515" t="n">
        <v>30</v>
      </c>
      <c r="H3515" t="n">
        <v>-317.24992</v>
      </c>
      <c r="I3515">
        <f>-H2032/G2032</f>
        <v/>
      </c>
    </row>
    <row r="3516">
      <c r="A3516" t="n">
        <v>13253</v>
      </c>
      <c r="B3516" s="16" t="n">
        <v>44334</v>
      </c>
      <c r="C3516" t="inlineStr">
        <is>
          <t>VTA</t>
        </is>
      </c>
      <c r="D3516" t="n">
        <v>41</v>
      </c>
      <c r="E3516">
        <f>IF(D2169&gt;0,VLOOKUP(OPERAC[[#This Row],[COD CART]],[1]!MatrizCortoLargoCyl[#All],3,0),"")</f>
        <v/>
      </c>
      <c r="F3516" t="inlineStr">
        <is>
          <t>JEPI</t>
        </is>
      </c>
      <c r="G3516" t="n">
        <v>6</v>
      </c>
      <c r="H3516" t="n">
        <v>-361.40032</v>
      </c>
      <c r="I3516">
        <f>-H2169/G2169</f>
        <v/>
      </c>
    </row>
    <row r="3517">
      <c r="A3517" t="n">
        <v>13253</v>
      </c>
      <c r="B3517" s="16" t="n">
        <v>44393</v>
      </c>
      <c r="C3517" t="inlineStr">
        <is>
          <t>VTA</t>
        </is>
      </c>
      <c r="D3517" t="n">
        <v>41</v>
      </c>
      <c r="E3517">
        <f>IF(D1912&gt;0,VLOOKUP(OPERAC[[#This Row],[COD CART]],[1]!MatrizCortoLargoCyl[#All],3,0),"")</f>
        <v/>
      </c>
      <c r="F3517" t="inlineStr">
        <is>
          <t>NRZ</t>
        </is>
      </c>
      <c r="G3517" t="n">
        <v>30</v>
      </c>
      <c r="H3517" t="n">
        <v>-292.0315</v>
      </c>
      <c r="I3517">
        <f>-H1912/G1912</f>
        <v/>
      </c>
    </row>
    <row r="3518">
      <c r="A3518" t="n">
        <v>13253</v>
      </c>
      <c r="B3518" s="16" t="n">
        <v>44414</v>
      </c>
      <c r="C3518" t="inlineStr">
        <is>
          <t>VTA</t>
        </is>
      </c>
      <c r="D3518" t="n">
        <v>41</v>
      </c>
      <c r="E3518">
        <f>IF(D1771&gt;0,VLOOKUP(OPERAC[[#This Row],[COD CART]],[1]!MatrizCortoLargoCyl[#All],3,0),"")</f>
        <v/>
      </c>
      <c r="F3518" t="inlineStr">
        <is>
          <t>SESN</t>
        </is>
      </c>
      <c r="G3518" t="n">
        <v>100</v>
      </c>
      <c r="H3518" t="n">
        <v>-260.515</v>
      </c>
      <c r="I3518">
        <f>-H1771/G1771</f>
        <v/>
      </c>
    </row>
    <row r="3519">
      <c r="A3519" t="n">
        <v>13253</v>
      </c>
      <c r="B3519" s="16" t="n">
        <v>44432</v>
      </c>
      <c r="C3519" t="inlineStr">
        <is>
          <t>VTA</t>
        </is>
      </c>
      <c r="D3519" t="n">
        <v>41</v>
      </c>
      <c r="E3519">
        <f>IF(D2358&gt;0,VLOOKUP(OPERAC[[#This Row],[COD CART]],[1]!MatrizCortoLargoCyl[#All],3,0),"")</f>
        <v/>
      </c>
      <c r="F3519" t="inlineStr">
        <is>
          <t>TCNNF</t>
        </is>
      </c>
      <c r="G3519" t="n">
        <v>15</v>
      </c>
      <c r="H3519" t="n">
        <v>-418.614</v>
      </c>
      <c r="I3519">
        <f>-H2358/G2358</f>
        <v/>
      </c>
    </row>
    <row r="3520">
      <c r="A3520" t="n">
        <v>13253</v>
      </c>
      <c r="B3520" s="16" t="n">
        <v>44435</v>
      </c>
      <c r="C3520" t="inlineStr">
        <is>
          <t>VTA</t>
        </is>
      </c>
      <c r="D3520" t="n">
        <v>41</v>
      </c>
      <c r="E3520">
        <f>IF(D970&gt;0,VLOOKUP(OPERAC[[#This Row],[COD CART]],[1]!MatrizCortoLargoCyl[#All],3,0),"")</f>
        <v/>
      </c>
      <c r="F3520" t="inlineStr">
        <is>
          <t>EDU/V/20,00/20-01-23</t>
        </is>
      </c>
      <c r="G3520" t="n">
        <v>-100</v>
      </c>
      <c r="H3520" t="n">
        <v>83.005</v>
      </c>
      <c r="I3520">
        <f>-H970/G970</f>
        <v/>
      </c>
    </row>
    <row r="3521">
      <c r="A3521" t="n">
        <v>13253</v>
      </c>
      <c r="B3521" s="16" t="n">
        <v>44439</v>
      </c>
      <c r="C3521" t="inlineStr">
        <is>
          <t>VTA</t>
        </is>
      </c>
      <c r="D3521" t="n">
        <v>41</v>
      </c>
      <c r="E3521">
        <f>IF(D2071&gt;0,VLOOKUP(OPERAC[[#This Row],[COD CART]],[1]!MatrizCortoLargoCyl[#All],3,0),"")</f>
        <v/>
      </c>
      <c r="F3521" t="inlineStr">
        <is>
          <t>MTCR</t>
        </is>
      </c>
      <c r="G3521" t="n">
        <v>100</v>
      </c>
      <c r="H3521" t="n">
        <v>-329.608</v>
      </c>
      <c r="I3521">
        <f>-H2071/G2071</f>
        <v/>
      </c>
    </row>
    <row r="3522">
      <c r="A3522" t="n">
        <v>13253</v>
      </c>
      <c r="B3522" s="16" t="n">
        <v>44459</v>
      </c>
      <c r="C3522" t="inlineStr">
        <is>
          <t>VTA</t>
        </is>
      </c>
      <c r="D3522" t="n">
        <v>41</v>
      </c>
      <c r="E3522">
        <f>IF(D2073&gt;0,VLOOKUP(OPERAC[[#This Row],[COD CART]],[1]!MatrizCortoLargoCyl[#All],3,0),"")</f>
        <v/>
      </c>
      <c r="F3522" t="inlineStr">
        <is>
          <t>SSYS</t>
        </is>
      </c>
      <c r="G3522" t="n">
        <v>15</v>
      </c>
      <c r="H3522" t="n">
        <v>-330.7208</v>
      </c>
      <c r="I3522">
        <f>-H2073/G2073</f>
        <v/>
      </c>
      <c r="J3522" s="16" t="n">
        <v>44649</v>
      </c>
      <c r="K3522" t="n">
        <v>15</v>
      </c>
      <c r="L3522" t="n">
        <v>399.718</v>
      </c>
    </row>
    <row r="3523">
      <c r="A3523" t="n">
        <v>13253</v>
      </c>
      <c r="B3523" s="16" t="n">
        <v>44505</v>
      </c>
      <c r="C3523" t="inlineStr">
        <is>
          <t>CPR</t>
        </is>
      </c>
      <c r="D3523" t="n">
        <v>41</v>
      </c>
      <c r="E3523">
        <f>IF(D4487&gt;0,VLOOKUP(OPERAC[[#This Row],[COD CART]],[1]!MatrizCortoLargoCyl[#All],3,0),"")</f>
        <v/>
      </c>
      <c r="F3523" t="inlineStr">
        <is>
          <t>ABBV</t>
        </is>
      </c>
      <c r="G3523" t="n">
        <v>10</v>
      </c>
      <c r="H3523" t="n">
        <v>-1175.78</v>
      </c>
      <c r="I3523">
        <f>-H4487/G4487</f>
        <v/>
      </c>
    </row>
    <row r="3524">
      <c r="A3524" t="n">
        <v>13253</v>
      </c>
      <c r="B3524" s="16" t="n">
        <v>44530</v>
      </c>
      <c r="C3524" t="inlineStr">
        <is>
          <t>CPR</t>
        </is>
      </c>
      <c r="D3524" t="n">
        <v>41</v>
      </c>
      <c r="E3524">
        <f>IF(D3522&gt;0,VLOOKUP(OPERAC[[#This Row],[COD CART]],[1]!MatrizCortoLargoCyl[#All],3,0),"")</f>
        <v/>
      </c>
      <c r="F3524" t="inlineStr">
        <is>
          <t>NRZ</t>
        </is>
      </c>
      <c r="G3524" t="n">
        <v>70</v>
      </c>
      <c r="H3524" t="n">
        <v>-765.1648</v>
      </c>
      <c r="I3524">
        <f>-H3522/G3522</f>
        <v/>
      </c>
    </row>
    <row r="3525">
      <c r="A3525" t="n">
        <v>13253</v>
      </c>
      <c r="B3525" s="16" t="n">
        <v>44530</v>
      </c>
      <c r="C3525" t="inlineStr">
        <is>
          <t>VTA</t>
        </is>
      </c>
      <c r="D3525" t="n">
        <v>41</v>
      </c>
      <c r="E3525">
        <f>IF(D1380&gt;0,VLOOKUP(OPERAC[[#This Row],[COD CART]],[1]!MatrizCortoLargoCyl[#All],3,0),"")</f>
        <v/>
      </c>
      <c r="F3525" t="inlineStr">
        <is>
          <t>TLRY</t>
        </is>
      </c>
      <c r="G3525" t="n">
        <v>12</v>
      </c>
      <c r="H3525" t="n">
        <v>-125.70976</v>
      </c>
      <c r="I3525">
        <f>-H1380/G1380</f>
        <v/>
      </c>
    </row>
    <row r="3526">
      <c r="A3526" t="n">
        <v>13253</v>
      </c>
      <c r="B3526" s="16" t="n">
        <v>44530</v>
      </c>
      <c r="C3526" t="inlineStr">
        <is>
          <t>VTA</t>
        </is>
      </c>
      <c r="D3526" t="n">
        <v>41</v>
      </c>
      <c r="E3526">
        <f>IF(D1450&gt;0,VLOOKUP(OPERAC[[#This Row],[COD CART]],[1]!MatrizCortoLargoCyl[#All],3,0),"")</f>
        <v/>
      </c>
      <c r="F3526" t="inlineStr">
        <is>
          <t>VIOT</t>
        </is>
      </c>
      <c r="G3526" t="n">
        <v>50</v>
      </c>
      <c r="H3526" t="n">
        <v>-159.62392</v>
      </c>
      <c r="I3526">
        <f>-H1450/G1450</f>
        <v/>
      </c>
    </row>
    <row r="3527">
      <c r="A3527" t="n">
        <v>13253</v>
      </c>
      <c r="B3527" s="16" t="n">
        <v>44530</v>
      </c>
      <c r="C3527" t="inlineStr">
        <is>
          <t>VTA</t>
        </is>
      </c>
      <c r="D3527" t="n">
        <v>41</v>
      </c>
      <c r="E3527">
        <f>IF(D1896&gt;0,VLOOKUP(OPERAC[[#This Row],[COD CART]],[1]!MatrizCortoLargoCyl[#All],3,0),"")</f>
        <v/>
      </c>
      <c r="F3527" t="inlineStr">
        <is>
          <t>TCNNF</t>
        </is>
      </c>
      <c r="G3527" t="n">
        <v>10</v>
      </c>
      <c r="H3527" t="n">
        <v>-283.9456</v>
      </c>
      <c r="I3527">
        <f>-H1896/G1896</f>
        <v/>
      </c>
      <c r="J3527" s="16" t="n">
        <v>44602</v>
      </c>
      <c r="K3527" t="n">
        <v>5</v>
      </c>
      <c r="L3527">
        <f>26.98*5</f>
        <v/>
      </c>
    </row>
    <row r="3528">
      <c r="A3528" t="n">
        <v>13253</v>
      </c>
      <c r="B3528" s="16" t="n">
        <v>44531</v>
      </c>
      <c r="C3528" t="inlineStr">
        <is>
          <t>VTA</t>
        </is>
      </c>
      <c r="D3528" t="n">
        <v>41</v>
      </c>
      <c r="E3528">
        <f>IF(D1980&gt;0,VLOOKUP(OPERAC[[#This Row],[COD CART]],[1]!MatrizCortoLargoCyl[#All],3,0),"")</f>
        <v/>
      </c>
      <c r="F3528" t="inlineStr">
        <is>
          <t>JEPI</t>
        </is>
      </c>
      <c r="G3528" t="n">
        <v>5</v>
      </c>
      <c r="H3528" t="n">
        <v>-305.021</v>
      </c>
      <c r="I3528">
        <f>-H1980/G1980</f>
        <v/>
      </c>
    </row>
    <row r="3529">
      <c r="A3529" t="n">
        <v>13253</v>
      </c>
      <c r="B3529" s="16" t="n">
        <v>44531</v>
      </c>
      <c r="C3529" t="inlineStr">
        <is>
          <t>VTA</t>
        </is>
      </c>
      <c r="D3529" t="n">
        <v>41</v>
      </c>
      <c r="E3529">
        <f>IF(D2080&gt;0,VLOOKUP(OPERAC[[#This Row],[COD CART]],[1]!MatrizCortoLargoCyl[#All],3,0),"")</f>
        <v/>
      </c>
      <c r="F3529" t="inlineStr">
        <is>
          <t>DDD</t>
        </is>
      </c>
      <c r="G3529" t="n">
        <v>15</v>
      </c>
      <c r="H3529" t="n">
        <v>-331.884</v>
      </c>
      <c r="I3529">
        <f>-H2080/G2080</f>
        <v/>
      </c>
    </row>
    <row r="3530">
      <c r="A3530" t="n">
        <v>13253</v>
      </c>
      <c r="B3530" s="16" t="n">
        <v>44536</v>
      </c>
      <c r="C3530" t="inlineStr">
        <is>
          <t>CPR</t>
        </is>
      </c>
      <c r="D3530" t="n">
        <v>41</v>
      </c>
      <c r="E3530">
        <f>IF(D3237&gt;0,VLOOKUP(OPERAC[[#This Row],[COD CART]],[1]!MatrizCortoLargoCyl[#All],3,0),"")</f>
        <v/>
      </c>
      <c r="F3530" t="inlineStr">
        <is>
          <t>LTC</t>
        </is>
      </c>
      <c r="G3530" t="n">
        <v>20</v>
      </c>
      <c r="H3530" t="n">
        <v>-665.33248</v>
      </c>
      <c r="I3530">
        <f>-H3237/G3237</f>
        <v/>
      </c>
    </row>
    <row r="3531">
      <c r="A3531" t="n">
        <v>13253</v>
      </c>
      <c r="B3531" s="16" t="n">
        <v>44536</v>
      </c>
      <c r="C3531" t="inlineStr">
        <is>
          <t>VTA</t>
        </is>
      </c>
      <c r="D3531" t="n">
        <v>41</v>
      </c>
      <c r="E3531">
        <f>IF(D1703&gt;0,VLOOKUP(OPERAC[[#This Row],[COD CART]],[1]!MatrizCortoLargoCyl[#All],3,0),"")</f>
        <v/>
      </c>
      <c r="F3531" t="inlineStr">
        <is>
          <t>SPWR</t>
        </is>
      </c>
      <c r="G3531" t="n">
        <v>10</v>
      </c>
      <c r="H3531" t="n">
        <v>-241.2064</v>
      </c>
      <c r="I3531">
        <f>-H1703/G1703</f>
        <v/>
      </c>
      <c r="J3531" s="16" t="n">
        <v>44585</v>
      </c>
      <c r="K3531" t="n">
        <v>10</v>
      </c>
      <c r="L3531">
        <f>16.368*OPERAC[[#This Row],[cantidad venta]]</f>
        <v/>
      </c>
    </row>
    <row r="3532">
      <c r="A3532" t="n">
        <v>13253</v>
      </c>
      <c r="B3532" s="16" t="n">
        <v>44536</v>
      </c>
      <c r="C3532" t="inlineStr">
        <is>
          <t>VTA</t>
        </is>
      </c>
      <c r="D3532" t="n">
        <v>41</v>
      </c>
      <c r="E3532">
        <f>IF(D2211&gt;0,VLOOKUP(OPERAC[[#This Row],[COD CART]],[1]!MatrizCortoLargoCyl[#All],3,0),"")</f>
        <v/>
      </c>
      <c r="F3532" t="inlineStr">
        <is>
          <t>SSYS</t>
        </is>
      </c>
      <c r="G3532" t="n">
        <v>15</v>
      </c>
      <c r="H3532" t="n">
        <v>-371.8936</v>
      </c>
      <c r="I3532">
        <f>-H2211/G2211</f>
        <v/>
      </c>
    </row>
    <row r="3533">
      <c r="A3533" t="n">
        <v>13253</v>
      </c>
      <c r="B3533" s="16" t="n">
        <v>44539</v>
      </c>
      <c r="C3533" t="inlineStr">
        <is>
          <t>CPR</t>
        </is>
      </c>
      <c r="D3533" t="n">
        <v>41</v>
      </c>
      <c r="E3533">
        <f>IF(D3346&gt;0,VLOOKUP(OPERAC[[#This Row],[COD CART]],[1]!MatrizCortoLargoCyl[#All],3,0),"")</f>
        <v/>
      </c>
      <c r="F3533" t="inlineStr">
        <is>
          <t>BEP</t>
        </is>
      </c>
      <c r="G3533" t="n">
        <v>20</v>
      </c>
      <c r="H3533" t="n">
        <v>-697.2659200000001</v>
      </c>
      <c r="I3533">
        <f>-H3346/G3346</f>
        <v/>
      </c>
    </row>
    <row r="3534">
      <c r="A3534" t="n">
        <v>13253</v>
      </c>
      <c r="B3534" s="16" t="n">
        <v>44539</v>
      </c>
      <c r="C3534" t="inlineStr">
        <is>
          <t>CPR</t>
        </is>
      </c>
      <c r="D3534" t="n">
        <v>41</v>
      </c>
      <c r="E3534">
        <f>IF(D3358&gt;0,VLOOKUP(OPERAC[[#This Row],[COD CART]],[1]!MatrizCortoLargoCyl[#All],3,0),"")</f>
        <v/>
      </c>
      <c r="F3534" t="inlineStr">
        <is>
          <t>T</t>
        </is>
      </c>
      <c r="G3534" t="n">
        <v>40</v>
      </c>
      <c r="H3534">
        <f>-17.52*OPERAC[[#This Row],[cantidad]]</f>
        <v/>
      </c>
      <c r="I3534">
        <f>-H3358/G3358</f>
        <v/>
      </c>
    </row>
    <row r="3535">
      <c r="A3535" t="n">
        <v>13253</v>
      </c>
      <c r="B3535" s="16" t="n">
        <v>44539</v>
      </c>
      <c r="C3535" t="inlineStr">
        <is>
          <t>VTA</t>
        </is>
      </c>
      <c r="D3535" t="n">
        <v>41</v>
      </c>
      <c r="E3535">
        <f>IF(D1775&gt;0,VLOOKUP(OPERAC[[#This Row],[COD CART]],[1]!MatrizCortoLargoCyl[#All],3,0),"")</f>
        <v/>
      </c>
      <c r="F3535" t="inlineStr">
        <is>
          <t>TCNNF</t>
        </is>
      </c>
      <c r="G3535" t="n">
        <v>10</v>
      </c>
      <c r="H3535" t="n">
        <v>-261.47</v>
      </c>
      <c r="I3535">
        <f>-H1775/G1775</f>
        <v/>
      </c>
      <c r="J3535" s="16" t="n">
        <v>44602</v>
      </c>
      <c r="K3535" t="n">
        <v>10</v>
      </c>
      <c r="L3535" t="n">
        <v>266.42</v>
      </c>
    </row>
    <row r="3536">
      <c r="A3536" t="n">
        <v>13253</v>
      </c>
      <c r="B3536" s="16" t="n">
        <v>44544</v>
      </c>
      <c r="C3536" t="inlineStr">
        <is>
          <t>VTA</t>
        </is>
      </c>
      <c r="D3536" t="n">
        <v>41</v>
      </c>
      <c r="E3536">
        <f>IF(D1649&gt;0,VLOOKUP(OPERAC[[#This Row],[COD CART]],[1]!MatrizCortoLargoCyl[#All],3,0),"")</f>
        <v/>
      </c>
      <c r="F3536" t="inlineStr">
        <is>
          <t>NRZ</t>
        </is>
      </c>
      <c r="G3536" t="n">
        <v>20</v>
      </c>
      <c r="H3536" t="n">
        <v>-223.526</v>
      </c>
      <c r="I3536">
        <f>-H1649/G1649</f>
        <v/>
      </c>
    </row>
    <row r="3537">
      <c r="A3537" t="n">
        <v>13253</v>
      </c>
      <c r="B3537" s="16" t="n">
        <v>44544</v>
      </c>
      <c r="C3537" t="inlineStr">
        <is>
          <t>VTA</t>
        </is>
      </c>
      <c r="D3537" t="n">
        <v>41</v>
      </c>
      <c r="E3537">
        <f>IF(D2486&gt;0,VLOOKUP(OPERAC[[#This Row],[COD CART]],[1]!MatrizCortoLargoCyl[#All],3,0),"")</f>
        <v/>
      </c>
      <c r="F3537" t="inlineStr">
        <is>
          <t>MPW</t>
        </is>
      </c>
      <c r="G3537" t="n">
        <v>20</v>
      </c>
      <c r="H3537" t="n">
        <v>-445.226</v>
      </c>
      <c r="I3537">
        <f>-H2486/G2486</f>
        <v/>
      </c>
    </row>
    <row r="3538">
      <c r="A3538" t="n">
        <v>13253</v>
      </c>
      <c r="B3538" s="16" t="n">
        <v>44546</v>
      </c>
      <c r="C3538" t="inlineStr">
        <is>
          <t>VTA</t>
        </is>
      </c>
      <c r="D3538" t="n">
        <v>41</v>
      </c>
      <c r="E3538">
        <f>IF(D2025&gt;0,VLOOKUP(OPERAC[[#This Row],[COD CART]],[1]!MatrizCortoLargoCyl[#All],3,0),"")</f>
        <v/>
      </c>
      <c r="F3538" t="inlineStr">
        <is>
          <t>SPWR</t>
        </is>
      </c>
      <c r="G3538" t="n">
        <v>15</v>
      </c>
      <c r="H3538" t="n">
        <v>-314.256</v>
      </c>
      <c r="I3538">
        <f>-H2025/G2025</f>
        <v/>
      </c>
      <c r="J3538" s="16" t="n">
        <v>44585</v>
      </c>
      <c r="K3538">
        <f>10+5</f>
        <v/>
      </c>
      <c r="L3538">
        <f>163.68+83.77</f>
        <v/>
      </c>
    </row>
    <row r="3539">
      <c r="A3539" t="n">
        <v>13253</v>
      </c>
      <c r="B3539" s="16" t="n">
        <v>44550</v>
      </c>
      <c r="C3539" t="inlineStr">
        <is>
          <t>VTA</t>
        </is>
      </c>
      <c r="D3539" t="n">
        <v>41</v>
      </c>
      <c r="E3539">
        <f>IF(D2922&gt;0,VLOOKUP(OPERAC[[#This Row],[COD CART]],[1]!MatrizCortoLargoCyl[#All],3,0),"")</f>
        <v/>
      </c>
      <c r="F3539" t="inlineStr">
        <is>
          <t>EWZ</t>
        </is>
      </c>
      <c r="G3539" t="n">
        <v>20</v>
      </c>
      <c r="H3539" t="n">
        <v>-555.4</v>
      </c>
      <c r="I3539">
        <f>-H2922/G2922</f>
        <v/>
      </c>
      <c r="J3539" s="16" t="n">
        <v>44574</v>
      </c>
      <c r="K3539" t="n">
        <v>20</v>
      </c>
      <c r="L3539" t="n">
        <v>570.692</v>
      </c>
    </row>
    <row r="3540">
      <c r="A3540" t="n">
        <v>13253</v>
      </c>
      <c r="B3540" s="16" t="n">
        <v>44550</v>
      </c>
      <c r="C3540" t="inlineStr">
        <is>
          <t>VTA</t>
        </is>
      </c>
      <c r="D3540" t="n">
        <v>41</v>
      </c>
      <c r="E3540">
        <f>IF(D3100&gt;0,VLOOKUP(OPERAC[[#This Row],[COD CART]],[1]!MatrizCortoLargoCyl[#All],3,0),"")</f>
        <v/>
      </c>
      <c r="F3540" t="inlineStr">
        <is>
          <t>JEPI</t>
        </is>
      </c>
      <c r="G3540" t="n">
        <v>10</v>
      </c>
      <c r="H3540" t="n">
        <v>-621.726</v>
      </c>
      <c r="I3540">
        <f>-H3100/G3100</f>
        <v/>
      </c>
    </row>
    <row r="3541">
      <c r="A3541" t="n">
        <v>13253</v>
      </c>
      <c r="B3541" s="16" t="n">
        <v>44552</v>
      </c>
      <c r="C3541" t="inlineStr">
        <is>
          <t>CPR</t>
        </is>
      </c>
      <c r="D3541" t="n">
        <v>41</v>
      </c>
      <c r="E3541">
        <f>IF(D3704&gt;0,VLOOKUP(OPERAC[[#This Row],[COD CART]],[1]!MatrizCortoLargoCyl[#All],3,0),"")</f>
        <v/>
      </c>
      <c r="F3541" t="inlineStr">
        <is>
          <t>EWZ</t>
        </is>
      </c>
      <c r="G3541" t="n">
        <v>30</v>
      </c>
      <c r="H3541" t="n">
        <v>-836.38</v>
      </c>
      <c r="I3541">
        <f>-H3704/G3704</f>
        <v/>
      </c>
      <c r="J3541" s="16" t="n">
        <v>44587</v>
      </c>
      <c r="K3541">
        <f>20+10</f>
        <v/>
      </c>
      <c r="L3541">
        <f>609.566+341.51</f>
        <v/>
      </c>
    </row>
    <row r="3542">
      <c r="A3542" t="n">
        <v>13253</v>
      </c>
      <c r="B3542" s="16" t="n">
        <v>44552</v>
      </c>
      <c r="C3542" t="inlineStr">
        <is>
          <t>CPR</t>
        </is>
      </c>
      <c r="D3542" t="n">
        <v>41</v>
      </c>
      <c r="E3542">
        <f>IF(D4249&gt;0,VLOOKUP(OPERAC[[#This Row],[COD CART]],[1]!MatrizCortoLargoCyl[#All],3,0),"")</f>
        <v/>
      </c>
      <c r="F3542" t="inlineStr">
        <is>
          <t>LTC</t>
        </is>
      </c>
      <c r="G3542" t="n">
        <v>30</v>
      </c>
      <c r="H3542" t="n">
        <v>-1012.2256</v>
      </c>
      <c r="I3542">
        <f>-H4249/G4249</f>
        <v/>
      </c>
    </row>
    <row r="3543">
      <c r="A3543" t="n">
        <v>13253</v>
      </c>
      <c r="B3543" s="16" t="n">
        <v>44552</v>
      </c>
      <c r="C3543" t="inlineStr">
        <is>
          <t>VTA</t>
        </is>
      </c>
      <c r="D3543" t="n">
        <v>41</v>
      </c>
      <c r="E3543">
        <f>IF(D1637&gt;0,VLOOKUP(OPERAC[[#This Row],[COD CART]],[1]!MatrizCortoLargoCyl[#All],3,0),"")</f>
        <v/>
      </c>
      <c r="F3543" t="inlineStr">
        <is>
          <t>NRZ</t>
        </is>
      </c>
      <c r="G3543" t="n">
        <v>20</v>
      </c>
      <c r="H3543" t="n">
        <v>-220.50208</v>
      </c>
      <c r="I3543">
        <f>-H1637/G1637</f>
        <v/>
      </c>
    </row>
    <row r="3544">
      <c r="A3544" t="n">
        <v>13253</v>
      </c>
      <c r="B3544" s="16" t="n">
        <v>44552</v>
      </c>
      <c r="C3544" t="inlineStr">
        <is>
          <t>VTA</t>
        </is>
      </c>
      <c r="D3544" t="n">
        <v>41</v>
      </c>
      <c r="E3544">
        <f>IF(D1974&gt;0,VLOOKUP(OPERAC[[#This Row],[COD CART]],[1]!MatrizCortoLargoCyl[#All],3,0),"")</f>
        <v/>
      </c>
      <c r="F3544" t="inlineStr">
        <is>
          <t>HIPS</t>
        </is>
      </c>
      <c r="G3544" t="n">
        <v>20</v>
      </c>
      <c r="H3544" t="n">
        <v>-304.408</v>
      </c>
      <c r="I3544">
        <f>-H1974/G1974</f>
        <v/>
      </c>
    </row>
    <row r="3545">
      <c r="A3545" t="n">
        <v>13253</v>
      </c>
      <c r="B3545" s="16" t="n">
        <v>44552</v>
      </c>
      <c r="C3545" t="inlineStr">
        <is>
          <t>VTA</t>
        </is>
      </c>
      <c r="D3545" t="n">
        <v>41</v>
      </c>
      <c r="E3545">
        <f>IF(D2029&gt;0,VLOOKUP(OPERAC[[#This Row],[COD CART]],[1]!MatrizCortoLargoCyl[#All],3,0),"")</f>
        <v/>
      </c>
      <c r="F3545" t="inlineStr">
        <is>
          <t>JEPI</t>
        </is>
      </c>
      <c r="G3545" t="n">
        <v>5</v>
      </c>
      <c r="H3545" t="n">
        <v>-315.6472</v>
      </c>
      <c r="I3545">
        <f>-H2029/G2029</f>
        <v/>
      </c>
    </row>
    <row r="3546">
      <c r="A3546" t="n">
        <v>13253</v>
      </c>
      <c r="B3546" s="16" t="n">
        <v>44552</v>
      </c>
      <c r="C3546" t="inlineStr">
        <is>
          <t>VTA</t>
        </is>
      </c>
      <c r="D3546" t="n">
        <v>41</v>
      </c>
      <c r="E3546">
        <f>IF(D2225&gt;0,VLOOKUP(OPERAC[[#This Row],[COD CART]],[1]!MatrizCortoLargoCyl[#All],3,0),"")</f>
        <v/>
      </c>
      <c r="F3546" t="inlineStr">
        <is>
          <t>HIMX</t>
        </is>
      </c>
      <c r="G3546" t="n">
        <v>30</v>
      </c>
      <c r="H3546" t="n">
        <v>-376.8832</v>
      </c>
      <c r="I3546">
        <f>-H2225/G2225</f>
        <v/>
      </c>
      <c r="J3546" s="16" t="n">
        <v>44560</v>
      </c>
      <c r="K3546" t="n">
        <v>20</v>
      </c>
      <c r="L3546" t="n">
        <v>301.758</v>
      </c>
    </row>
    <row r="3547">
      <c r="A3547" t="n">
        <v>13253</v>
      </c>
      <c r="B3547" s="16" t="n">
        <v>44559</v>
      </c>
      <c r="C3547" t="inlineStr">
        <is>
          <t>CPR</t>
        </is>
      </c>
      <c r="D3547" t="n">
        <v>41</v>
      </c>
      <c r="E3547">
        <f>IF(D2590&gt;0,VLOOKUP(OPERAC[[#This Row],[COD CART]],[1]!MatrizCortoLargoCyl[#All],3,0),"")</f>
        <v/>
      </c>
      <c r="F3547" t="inlineStr">
        <is>
          <t>DIS</t>
        </is>
      </c>
      <c r="G3547" t="n">
        <v>3</v>
      </c>
      <c r="H3547" t="n">
        <v>-469.055</v>
      </c>
      <c r="I3547">
        <f>-H2590/G2590</f>
        <v/>
      </c>
    </row>
    <row r="3548">
      <c r="A3548" t="n">
        <v>13253</v>
      </c>
      <c r="B3548" s="16" t="n">
        <v>44559</v>
      </c>
      <c r="C3548" t="inlineStr">
        <is>
          <t>CPR</t>
        </is>
      </c>
      <c r="D3548" t="n">
        <v>41</v>
      </c>
      <c r="E3548">
        <f>IF(D3361&gt;0,VLOOKUP(OPERAC[[#This Row],[COD CART]],[1]!MatrizCortoLargoCyl[#All],3,0),"")</f>
        <v/>
      </c>
      <c r="F3548" t="inlineStr">
        <is>
          <t>BEP</t>
        </is>
      </c>
      <c r="G3548" t="n">
        <v>20</v>
      </c>
      <c r="H3548" t="n">
        <v>-702.165</v>
      </c>
      <c r="I3548">
        <f>-H3361/G3361</f>
        <v/>
      </c>
    </row>
    <row r="3549">
      <c r="A3549" t="n">
        <v>13253</v>
      </c>
      <c r="B3549" s="16" t="n">
        <v>44565</v>
      </c>
      <c r="C3549" t="inlineStr">
        <is>
          <t>VTA</t>
        </is>
      </c>
      <c r="D3549" t="n">
        <v>41</v>
      </c>
      <c r="E3549">
        <f>IF(D2224&gt;0,VLOOKUP(OPERAC[[#This Row],[COD CART]],[1]!MatrizCortoLargoCyl[#All],3,0),"")</f>
        <v/>
      </c>
      <c r="F3549" t="inlineStr">
        <is>
          <t>HIMX</t>
        </is>
      </c>
      <c r="G3549" t="n">
        <v>30</v>
      </c>
      <c r="H3549" t="n">
        <v>-376.2784</v>
      </c>
      <c r="I3549">
        <f>-H2224/G2224</f>
        <v/>
      </c>
    </row>
    <row r="3550">
      <c r="A3550" t="n">
        <v>13253</v>
      </c>
      <c r="B3550" s="16" t="n">
        <v>44567</v>
      </c>
      <c r="C3550" t="inlineStr">
        <is>
          <t>CPR</t>
        </is>
      </c>
      <c r="D3550" t="n">
        <v>41</v>
      </c>
      <c r="E3550">
        <f>IF(D3659&gt;0,VLOOKUP(OPERAC[[#This Row],[COD CART]],[1]!MatrizCortoLargoCyl[#All],3,0),"")</f>
        <v/>
      </c>
      <c r="F3550" t="inlineStr">
        <is>
          <t>EWZ</t>
        </is>
      </c>
      <c r="G3550" t="n">
        <v>30</v>
      </c>
      <c r="H3550" t="n">
        <v>-812.3311199999999</v>
      </c>
      <c r="I3550">
        <f>-H3659/G3659</f>
        <v/>
      </c>
      <c r="J3550" s="16" t="n">
        <v>44623</v>
      </c>
      <c r="K3550" t="n">
        <v>10</v>
      </c>
      <c r="L3550">
        <f>+OPERAC[[#This Row],[cantidad venta]]*34.151</f>
        <v/>
      </c>
    </row>
    <row r="3551">
      <c r="A3551" t="n">
        <v>13253</v>
      </c>
      <c r="B3551" s="16" t="n">
        <v>44567</v>
      </c>
      <c r="C3551" t="inlineStr">
        <is>
          <t>CPR</t>
        </is>
      </c>
      <c r="D3551" t="n">
        <v>41</v>
      </c>
      <c r="E3551">
        <f>IF(D4457&gt;0,VLOOKUP(OPERAC[[#This Row],[COD CART]],[1]!MatrizCortoLargoCyl[#All],3,0),"")</f>
        <v/>
      </c>
      <c r="F3551" t="inlineStr">
        <is>
          <t>HIMX</t>
        </is>
      </c>
      <c r="G3551" t="n">
        <v>100</v>
      </c>
      <c r="H3551">
        <f>-1203.544+44.592</f>
        <v/>
      </c>
      <c r="I3551">
        <f>-H4457/G4457</f>
        <v/>
      </c>
    </row>
    <row r="3552">
      <c r="A3552" t="n">
        <v>13253</v>
      </c>
      <c r="B3552" s="16" t="n">
        <v>44567</v>
      </c>
      <c r="C3552" t="inlineStr">
        <is>
          <t>CPR</t>
        </is>
      </c>
      <c r="D3552" t="n">
        <v>41</v>
      </c>
      <c r="E3552">
        <f>IF(D5963&gt;0,VLOOKUP(OPERAC[[#This Row],[COD CART]],[1]!MatrizCortoLargoCyl[#All],3,0),"")</f>
        <v/>
      </c>
      <c r="F3552" t="inlineStr">
        <is>
          <t>JEPI</t>
        </is>
      </c>
      <c r="G3552" t="n">
        <v>50</v>
      </c>
      <c r="H3552" t="n">
        <v>-3164.104</v>
      </c>
      <c r="I3552">
        <f>-H5963/G5963</f>
        <v/>
      </c>
    </row>
    <row r="3553">
      <c r="A3553" t="n">
        <v>13253</v>
      </c>
      <c r="B3553" s="16" t="n">
        <v>44571</v>
      </c>
      <c r="C3553" t="inlineStr">
        <is>
          <t>CPR</t>
        </is>
      </c>
      <c r="D3553" t="n">
        <v>41</v>
      </c>
      <c r="E3553">
        <f>IF(D5705&gt;0,VLOOKUP(OPERAC[[#This Row],[COD CART]],[1]!MatrizCortoLargoCyl[#All],3,0),"")</f>
        <v/>
      </c>
      <c r="F3553" t="inlineStr">
        <is>
          <t>CSDOO</t>
        </is>
      </c>
      <c r="G3553" t="n">
        <v>2500</v>
      </c>
      <c r="H3553" t="n">
        <v>-2507.4</v>
      </c>
      <c r="I3553">
        <f>-H5705/G5705</f>
        <v/>
      </c>
    </row>
    <row r="3554">
      <c r="A3554" t="n">
        <v>13253</v>
      </c>
      <c r="B3554" s="16" t="n">
        <v>44571</v>
      </c>
      <c r="C3554" t="inlineStr">
        <is>
          <t>CPR</t>
        </is>
      </c>
      <c r="D3554" t="n">
        <v>41</v>
      </c>
      <c r="E3554">
        <f>IF(D5926&gt;0,VLOOKUP(OPERAC[[#This Row],[COD CART]],[1]!MatrizCortoLargoCyl[#All],3,0),"")</f>
        <v/>
      </c>
      <c r="F3554" t="inlineStr">
        <is>
          <t>TLC50</t>
        </is>
      </c>
      <c r="G3554" t="n">
        <v>3000</v>
      </c>
      <c r="H3554" t="n">
        <v>-3075.41</v>
      </c>
      <c r="I3554">
        <f>-H5926/G5926</f>
        <v/>
      </c>
    </row>
    <row r="3555">
      <c r="A3555" t="n">
        <v>13253</v>
      </c>
      <c r="B3555" s="16" t="n">
        <v>44572</v>
      </c>
      <c r="C3555" t="inlineStr">
        <is>
          <t>VTA</t>
        </is>
      </c>
      <c r="D3555" t="n">
        <v>41</v>
      </c>
      <c r="E3555">
        <f>IF(D3118&gt;0,VLOOKUP(OPERAC[[#This Row],[COD CART]],[1]!MatrizCortoLargoCyl[#All],3,0),"")</f>
        <v/>
      </c>
      <c r="F3555" t="inlineStr">
        <is>
          <t>TLRY</t>
        </is>
      </c>
      <c r="G3555" t="n">
        <v>100</v>
      </c>
      <c r="H3555">
        <f>-719.736+48.55+25.734+15.864</f>
        <v/>
      </c>
      <c r="I3555">
        <f>-H3118/G3118</f>
        <v/>
      </c>
    </row>
    <row r="3556">
      <c r="A3556" t="n">
        <v>13253</v>
      </c>
      <c r="B3556" s="16" t="n">
        <v>44579</v>
      </c>
      <c r="C3556" t="inlineStr">
        <is>
          <t>CPR</t>
        </is>
      </c>
      <c r="D3556" t="n">
        <v>41</v>
      </c>
      <c r="E3556">
        <f>IF(D4667&gt;0,VLOOKUP(OPERAC[[#This Row],[COD CART]],[1]!MatrizCortoLargoCyl[#All],3,0),"")</f>
        <v/>
      </c>
      <c r="F3556" t="inlineStr">
        <is>
          <t>FL</t>
        </is>
      </c>
      <c r="G3556" t="n">
        <v>30</v>
      </c>
      <c r="H3556">
        <f>-873.598-425</f>
        <v/>
      </c>
      <c r="I3556">
        <f>-H4667/G4667</f>
        <v/>
      </c>
    </row>
    <row r="3557">
      <c r="A3557" t="n">
        <v>13253</v>
      </c>
      <c r="B3557" s="16" t="n">
        <v>44581</v>
      </c>
      <c r="C3557" t="inlineStr">
        <is>
          <t>CPR</t>
        </is>
      </c>
      <c r="D3557" t="n">
        <v>41</v>
      </c>
      <c r="E3557">
        <f>IF(D5645&gt;0,VLOOKUP(OPERAC[[#This Row],[COD CART]],[1]!MatrizCortoLargoCyl[#All],3,0),"")</f>
        <v/>
      </c>
      <c r="F3557" t="inlineStr">
        <is>
          <t>MPW</t>
        </is>
      </c>
      <c r="G3557" t="n">
        <v>100</v>
      </c>
      <c r="H3557" t="n">
        <v>-2358.2266</v>
      </c>
      <c r="I3557">
        <f>-H5645/G5645</f>
        <v/>
      </c>
    </row>
    <row r="3558">
      <c r="A3558" t="n">
        <v>13253</v>
      </c>
      <c r="B3558" s="16" t="n">
        <v>44582</v>
      </c>
      <c r="C3558" t="inlineStr">
        <is>
          <t>VTA</t>
        </is>
      </c>
      <c r="D3558" t="n">
        <v>41</v>
      </c>
      <c r="E3558">
        <f>IF(D2037&gt;0,VLOOKUP(OPERAC[[#This Row],[COD CART]],[1]!MatrizCortoLargoCyl[#All],3,0),"")</f>
        <v/>
      </c>
      <c r="F3558" t="inlineStr">
        <is>
          <t>NRZ</t>
        </is>
      </c>
      <c r="G3558" t="n">
        <v>30</v>
      </c>
      <c r="H3558" t="n">
        <v>-320.3344</v>
      </c>
      <c r="I3558">
        <f>-H2037/G2037</f>
        <v/>
      </c>
    </row>
    <row r="3559">
      <c r="A3559" t="n">
        <v>13253</v>
      </c>
      <c r="B3559" s="16" t="n">
        <v>44582</v>
      </c>
      <c r="C3559" t="inlineStr">
        <is>
          <t>VTA</t>
        </is>
      </c>
      <c r="D3559" t="n">
        <v>41</v>
      </c>
      <c r="E3559">
        <f>IF(D5208&gt;0,VLOOKUP(OPERAC[[#This Row],[COD CART]],[1]!MatrizCortoLargoCyl[#All],3,0),"")</f>
        <v/>
      </c>
      <c r="F3559" t="inlineStr">
        <is>
          <t>DDD</t>
        </is>
      </c>
      <c r="G3559" t="n">
        <v>100</v>
      </c>
      <c r="H3559">
        <f>-1799.272+35.964+52+34.7-23.196+43.626</f>
        <v/>
      </c>
      <c r="I3559">
        <f>-H5208/G5208</f>
        <v/>
      </c>
    </row>
    <row r="3560">
      <c r="A3560" t="n">
        <v>13253</v>
      </c>
      <c r="B3560" s="16" t="n">
        <v>44585</v>
      </c>
      <c r="C3560" t="inlineStr">
        <is>
          <t>CPR</t>
        </is>
      </c>
      <c r="D3560" t="n">
        <v>41</v>
      </c>
      <c r="E3560">
        <f>IF(D5908&gt;0,VLOOKUP(OPERAC[[#This Row],[COD CART]],[1]!MatrizCortoLargoCyl[#All],3,0),"")</f>
        <v/>
      </c>
      <c r="F3560" t="inlineStr">
        <is>
          <t>STOR</t>
        </is>
      </c>
      <c r="G3560" t="n">
        <v>100</v>
      </c>
      <c r="H3560" t="n">
        <v>-3023.99</v>
      </c>
      <c r="I3560">
        <f>-H5908/G5908</f>
        <v/>
      </c>
    </row>
    <row r="3561">
      <c r="A3561" t="n">
        <v>13253</v>
      </c>
      <c r="B3561" s="16" t="n">
        <v>44585</v>
      </c>
      <c r="C3561" t="inlineStr">
        <is>
          <t>VTA</t>
        </is>
      </c>
      <c r="D3561" t="n">
        <v>41</v>
      </c>
      <c r="E3561">
        <f>IF(D3016&gt;0,VLOOKUP(OPERAC[[#This Row],[COD CART]],[1]!MatrizCortoLargoCyl[#All],3,0),"")</f>
        <v/>
      </c>
      <c r="F3561" t="inlineStr">
        <is>
          <t>SPWR</t>
        </is>
      </c>
      <c r="G3561" t="n">
        <v>40</v>
      </c>
      <c r="H3561" t="n">
        <v>-592.789</v>
      </c>
      <c r="I3561">
        <f>-H3016/G3016</f>
        <v/>
      </c>
      <c r="J3561" s="16" t="n">
        <v>44587</v>
      </c>
      <c r="K3561">
        <f>5+15</f>
        <v/>
      </c>
      <c r="L3561">
        <f>83.77+308.07</f>
        <v/>
      </c>
    </row>
    <row r="3562">
      <c r="A3562" t="n">
        <v>13253</v>
      </c>
      <c r="B3562" s="16" t="n">
        <v>44589</v>
      </c>
      <c r="C3562" t="inlineStr">
        <is>
          <t>CPR</t>
        </is>
      </c>
      <c r="D3562" t="n">
        <v>41</v>
      </c>
      <c r="E3562">
        <f>IF(D2781&gt;0,VLOOKUP(OPERAC[[#This Row],[COD CART]],[1]!MatrizCortoLargoCyl[#All],3,0),"")</f>
        <v/>
      </c>
      <c r="F3562" t="inlineStr">
        <is>
          <t>NRZ</t>
        </is>
      </c>
      <c r="G3562" t="n">
        <v>50</v>
      </c>
      <c r="H3562" t="n">
        <v>-513.064</v>
      </c>
      <c r="I3562">
        <f>-H2781/G2781</f>
        <v/>
      </c>
    </row>
    <row r="3563">
      <c r="A3563" t="n">
        <v>13253</v>
      </c>
      <c r="B3563" s="16" t="n">
        <v>44589</v>
      </c>
      <c r="C3563" t="inlineStr">
        <is>
          <t>VTA</t>
        </is>
      </c>
      <c r="D3563" t="n">
        <v>41</v>
      </c>
      <c r="E3563">
        <f>IF(D1920&gt;0,VLOOKUP(OPERAC[[#This Row],[COD CART]],[1]!MatrizCortoLargoCyl[#All],3,0),"")</f>
        <v/>
      </c>
      <c r="F3563" t="inlineStr">
        <is>
          <t>SPWR</t>
        </is>
      </c>
      <c r="G3563" t="n">
        <v>20</v>
      </c>
      <c r="H3563" t="n">
        <v>-296.1170285714285</v>
      </c>
      <c r="I3563">
        <f>-H1920/G1920</f>
        <v/>
      </c>
      <c r="J3563" s="16" t="n">
        <v>44592</v>
      </c>
      <c r="K3563" t="n">
        <v>20</v>
      </c>
      <c r="L3563" t="n">
        <v>323.41</v>
      </c>
    </row>
    <row r="3564">
      <c r="A3564" t="n">
        <v>13253</v>
      </c>
      <c r="B3564" s="16" t="n">
        <v>44589</v>
      </c>
      <c r="C3564" t="inlineStr">
        <is>
          <t>VTA</t>
        </is>
      </c>
      <c r="D3564" t="n">
        <v>41</v>
      </c>
      <c r="E3564">
        <f>IF(D1982&gt;0,VLOOKUP(OPERAC[[#This Row],[COD CART]],[1]!MatrizCortoLargoCyl[#All],3,0),"")</f>
        <v/>
      </c>
      <c r="F3564" t="inlineStr">
        <is>
          <t>HIMX</t>
        </is>
      </c>
      <c r="G3564" t="n">
        <v>30</v>
      </c>
      <c r="H3564" t="n">
        <v>-305.8192</v>
      </c>
      <c r="I3564">
        <f>-H1982/G1982</f>
        <v/>
      </c>
    </row>
    <row r="3565">
      <c r="A3565" t="n">
        <v>13253</v>
      </c>
      <c r="B3565" s="16" t="n">
        <v>44589</v>
      </c>
      <c r="C3565" t="inlineStr">
        <is>
          <t>VTA</t>
        </is>
      </c>
      <c r="D3565" t="n">
        <v>41</v>
      </c>
      <c r="E3565">
        <f>IF(D2469&gt;0,VLOOKUP(OPERAC[[#This Row],[COD CART]],[1]!MatrizCortoLargoCyl[#All],3,0),"")</f>
        <v/>
      </c>
      <c r="F3565" t="inlineStr">
        <is>
          <t>HIPS</t>
        </is>
      </c>
      <c r="G3565" t="n">
        <v>30</v>
      </c>
      <c r="H3565" t="n">
        <v>-439.32672</v>
      </c>
      <c r="I3565">
        <f>-H2469/G2469</f>
        <v/>
      </c>
    </row>
    <row r="3566">
      <c r="A3566" t="n">
        <v>13253</v>
      </c>
      <c r="B3566" s="16" t="n">
        <v>44594</v>
      </c>
      <c r="C3566" t="inlineStr">
        <is>
          <t>CPR</t>
        </is>
      </c>
      <c r="D3566" t="n">
        <v>41</v>
      </c>
      <c r="E3566">
        <f>IF(D4781&gt;0,VLOOKUP(OPERAC[[#This Row],[COD CART]],[1]!MatrizCortoLargoCyl[#All],3,0),"")</f>
        <v/>
      </c>
      <c r="F3566" t="inlineStr">
        <is>
          <t>SFM</t>
        </is>
      </c>
      <c r="G3566" t="n">
        <v>50</v>
      </c>
      <c r="H3566" t="n">
        <v>-1389.353</v>
      </c>
      <c r="I3566">
        <f>-H4781/G4781</f>
        <v/>
      </c>
      <c r="J3566" s="16" t="n">
        <v>44624</v>
      </c>
      <c r="K3566">
        <f>20+20</f>
        <v/>
      </c>
      <c r="L3566">
        <f>661.646+675.874</f>
        <v/>
      </c>
    </row>
    <row r="3567">
      <c r="A3567" t="n">
        <v>13253</v>
      </c>
      <c r="B3567" s="16" t="n">
        <v>44607</v>
      </c>
      <c r="C3567" t="inlineStr">
        <is>
          <t>CPR</t>
        </is>
      </c>
      <c r="D3567" t="n">
        <v>41</v>
      </c>
      <c r="E3567">
        <f>IF(D4153&gt;0,VLOOKUP(OPERAC[[#This Row],[COD CART]],[1]!MatrizCortoLargoCyl[#All],3,0),"")</f>
        <v/>
      </c>
      <c r="F3567" t="inlineStr">
        <is>
          <t>INTC</t>
        </is>
      </c>
      <c r="G3567" t="n">
        <v>20</v>
      </c>
      <c r="H3567" t="n">
        <v>-970.696</v>
      </c>
      <c r="I3567">
        <f>-H4153/G4153</f>
        <v/>
      </c>
    </row>
    <row r="3568">
      <c r="A3568" t="n">
        <v>13253</v>
      </c>
      <c r="B3568" s="16" t="n">
        <v>44610</v>
      </c>
      <c r="C3568" t="inlineStr">
        <is>
          <t>CPR</t>
        </is>
      </c>
      <c r="D3568" t="n">
        <v>41</v>
      </c>
      <c r="E3568">
        <f>IF(D4304&gt;0,VLOOKUP(OPERAC[[#This Row],[COD CART]],[1]!MatrizCortoLargoCyl[#All],3,0),"")</f>
        <v/>
      </c>
      <c r="F3568" t="inlineStr">
        <is>
          <t>FB</t>
        </is>
      </c>
      <c r="G3568" t="n">
        <v>5</v>
      </c>
      <c r="H3568" t="n">
        <v>-1048.8664</v>
      </c>
      <c r="I3568">
        <f>-H4304/G4304</f>
        <v/>
      </c>
      <c r="J3568" s="16" t="n">
        <v>44680</v>
      </c>
      <c r="K3568" t="n">
        <v>5</v>
      </c>
      <c r="L3568" t="n">
        <v>1046.677</v>
      </c>
    </row>
    <row r="3569">
      <c r="A3569" t="n">
        <v>13253</v>
      </c>
      <c r="B3569" s="16" t="n">
        <v>44610</v>
      </c>
      <c r="C3569" t="inlineStr">
        <is>
          <t>CPR</t>
        </is>
      </c>
      <c r="D3569" t="n">
        <v>41</v>
      </c>
      <c r="E3569">
        <f>IF(D4871&gt;0,VLOOKUP(OPERAC[[#This Row],[COD CART]],[1]!MatrizCortoLargoCyl[#All],3,0),"")</f>
        <v/>
      </c>
      <c r="F3569" t="inlineStr">
        <is>
          <t>MSFT</t>
        </is>
      </c>
      <c r="G3569" t="n">
        <v>5</v>
      </c>
      <c r="H3569" t="n">
        <v>-1458.064</v>
      </c>
      <c r="I3569">
        <f>-H4871/G4871</f>
        <v/>
      </c>
    </row>
    <row r="3570">
      <c r="A3570" t="n">
        <v>13253</v>
      </c>
      <c r="B3570" s="16" t="n">
        <v>44614</v>
      </c>
      <c r="C3570" t="inlineStr">
        <is>
          <t>CPR</t>
        </is>
      </c>
      <c r="D3570" t="n">
        <v>41</v>
      </c>
      <c r="E3570">
        <f>IF(D3310&gt;0,VLOOKUP(OPERAC[[#This Row],[COD CART]],[1]!MatrizCortoLargoCyl[#All],3,0),"")</f>
        <v/>
      </c>
      <c r="F3570" t="inlineStr">
        <is>
          <t>LTC</t>
        </is>
      </c>
      <c r="G3570" t="n">
        <v>20</v>
      </c>
      <c r="H3570" t="n">
        <v>-688.053</v>
      </c>
      <c r="I3570">
        <f>-H3310/G3310</f>
        <v/>
      </c>
    </row>
    <row r="3571">
      <c r="A3571" t="n">
        <v>13253</v>
      </c>
      <c r="B3571" s="16" t="n">
        <v>44614</v>
      </c>
      <c r="C3571" t="inlineStr">
        <is>
          <t>CPR</t>
        </is>
      </c>
      <c r="D3571" t="n">
        <v>41</v>
      </c>
      <c r="E3571">
        <f>IF(D5750&gt;0,VLOOKUP(OPERAC[[#This Row],[COD CART]],[1]!MatrizCortoLargoCyl[#All],3,0),"")</f>
        <v/>
      </c>
      <c r="F3571" t="inlineStr">
        <is>
          <t>NRZ</t>
        </is>
      </c>
      <c r="G3571" t="n">
        <v>250</v>
      </c>
      <c r="H3571" t="n">
        <v>-2629.61</v>
      </c>
      <c r="I3571">
        <f>-H5750/G5750</f>
        <v/>
      </c>
    </row>
    <row r="3572">
      <c r="A3572" t="n">
        <v>13253</v>
      </c>
      <c r="B3572" s="16" t="n">
        <v>44615</v>
      </c>
      <c r="C3572" t="inlineStr">
        <is>
          <t>CPR</t>
        </is>
      </c>
      <c r="D3572" t="n">
        <v>41</v>
      </c>
      <c r="E3572">
        <f>IF(D4837&gt;0,VLOOKUP(OPERAC[[#This Row],[COD CART]],[1]!MatrizCortoLargoCyl[#All],3,0),"")</f>
        <v/>
      </c>
      <c r="F3572" t="inlineStr">
        <is>
          <t>HIPS</t>
        </is>
      </c>
      <c r="G3572" t="n">
        <v>100</v>
      </c>
      <c r="H3572" t="n">
        <v>-1439.416</v>
      </c>
      <c r="I3572">
        <f>-H4837/G4837</f>
        <v/>
      </c>
    </row>
    <row r="3573">
      <c r="A3573" t="n">
        <v>13253</v>
      </c>
      <c r="B3573" s="16" t="n">
        <v>44615</v>
      </c>
      <c r="C3573" t="inlineStr">
        <is>
          <t>VTA</t>
        </is>
      </c>
      <c r="D3573" t="n">
        <v>41</v>
      </c>
      <c r="E3573">
        <f>IF(D2483&gt;0,VLOOKUP(OPERAC[[#This Row],[COD CART]],[1]!MatrizCortoLargoCyl[#All],3,0),"")</f>
        <v/>
      </c>
      <c r="F3573" t="inlineStr">
        <is>
          <t>TCNNF</t>
        </is>
      </c>
      <c r="G3573" t="n">
        <v>20</v>
      </c>
      <c r="H3573" t="n">
        <v>-444.7216</v>
      </c>
      <c r="I3573">
        <f>-H2483/G2483</f>
        <v/>
      </c>
    </row>
    <row r="3574">
      <c r="A3574" t="n">
        <v>13253</v>
      </c>
      <c r="B3574" s="16" t="n">
        <v>44616</v>
      </c>
      <c r="C3574" t="inlineStr">
        <is>
          <t>CPR</t>
        </is>
      </c>
      <c r="D3574" t="n">
        <v>41</v>
      </c>
      <c r="E3574">
        <f>IF(D2710&gt;0,VLOOKUP(OPERAC[[#This Row],[COD CART]],[1]!MatrizCortoLargoCyl[#All],3,0),"")</f>
        <v/>
      </c>
      <c r="F3574" t="inlineStr">
        <is>
          <t>NRZ</t>
        </is>
      </c>
      <c r="G3574" t="n">
        <v>50</v>
      </c>
      <c r="H3574" t="n">
        <v>-499.708</v>
      </c>
      <c r="I3574">
        <f>-H2710/G2710</f>
        <v/>
      </c>
    </row>
    <row r="3575">
      <c r="A3575" t="n">
        <v>13253</v>
      </c>
      <c r="B3575" s="16" t="n">
        <v>44616</v>
      </c>
      <c r="C3575" t="inlineStr">
        <is>
          <t>CPR</t>
        </is>
      </c>
      <c r="D3575" t="n">
        <v>41</v>
      </c>
      <c r="E3575">
        <f>IF(D4205&gt;0,VLOOKUP(OPERAC[[#This Row],[COD CART]],[1]!MatrizCortoLargoCyl[#All],3,0),"")</f>
        <v/>
      </c>
      <c r="F3575" t="inlineStr">
        <is>
          <t>LTC</t>
        </is>
      </c>
      <c r="G3575" t="n">
        <v>30</v>
      </c>
      <c r="H3575" t="n">
        <v>-993.7791999999999</v>
      </c>
      <c r="I3575">
        <f>-H4205/G4205</f>
        <v/>
      </c>
    </row>
    <row r="3576">
      <c r="A3576" t="n">
        <v>13253</v>
      </c>
      <c r="B3576" s="16" t="n">
        <v>44616</v>
      </c>
      <c r="C3576" t="inlineStr">
        <is>
          <t>CPR</t>
        </is>
      </c>
      <c r="D3576" t="n">
        <v>41</v>
      </c>
      <c r="E3576">
        <f>IF(D4211&gt;0,VLOOKUP(OPERAC[[#This Row],[COD CART]],[1]!MatrizCortoLargoCyl[#All],3,0),"")</f>
        <v/>
      </c>
      <c r="F3576" t="inlineStr">
        <is>
          <t>BEP</t>
        </is>
      </c>
      <c r="G3576" t="n">
        <v>30</v>
      </c>
      <c r="H3576" t="n">
        <v>-1000.7344</v>
      </c>
      <c r="I3576">
        <f>-H4211/G4211</f>
        <v/>
      </c>
    </row>
    <row r="3577">
      <c r="A3577" t="n">
        <v>13253</v>
      </c>
      <c r="B3577" s="16" t="n">
        <v>44616</v>
      </c>
      <c r="C3577" t="inlineStr">
        <is>
          <t>CPR</t>
        </is>
      </c>
      <c r="D3577" t="n">
        <v>41</v>
      </c>
      <c r="E3577">
        <f>IF(D4212&gt;0,VLOOKUP(OPERAC[[#This Row],[COD CART]],[1]!MatrizCortoLargoCyl[#All],3,0),"")</f>
        <v/>
      </c>
      <c r="F3577" t="inlineStr">
        <is>
          <t>MPW</t>
        </is>
      </c>
      <c r="G3577" t="n">
        <v>50</v>
      </c>
      <c r="H3577" t="n">
        <v>-1001.944</v>
      </c>
      <c r="I3577">
        <f>-H4212/G4212</f>
        <v/>
      </c>
    </row>
    <row r="3578">
      <c r="A3578" t="n">
        <v>13253</v>
      </c>
      <c r="B3578" s="16" t="n">
        <v>44616</v>
      </c>
      <c r="C3578" t="inlineStr">
        <is>
          <t>CPR</t>
        </is>
      </c>
      <c r="D3578" t="n">
        <v>41</v>
      </c>
      <c r="E3578">
        <f>IF(D4458&gt;0,VLOOKUP(OPERAC[[#This Row],[COD CART]],[1]!MatrizCortoLargoCyl[#All],3,0),"")</f>
        <v/>
      </c>
      <c r="F3578" t="inlineStr">
        <is>
          <t>JEPI</t>
        </is>
      </c>
      <c r="G3578" t="n">
        <v>20</v>
      </c>
      <c r="H3578" t="n">
        <v>-1160.2</v>
      </c>
      <c r="I3578">
        <f>-H4458/G4458</f>
        <v/>
      </c>
    </row>
    <row r="3579">
      <c r="A3579" t="n">
        <v>13253</v>
      </c>
      <c r="B3579" s="16" t="n">
        <v>44616</v>
      </c>
      <c r="C3579" t="inlineStr">
        <is>
          <t>CPR</t>
        </is>
      </c>
      <c r="D3579" t="n">
        <v>41</v>
      </c>
      <c r="E3579">
        <f>IF(D5897&gt;0,VLOOKUP(OPERAC[[#This Row],[COD CART]],[1]!MatrizCortoLargoCyl[#All],3,0),"")</f>
        <v/>
      </c>
      <c r="F3579" t="inlineStr">
        <is>
          <t>KWEB/CYL/30,00/10-06-22</t>
        </is>
      </c>
      <c r="G3579" t="n">
        <v>100</v>
      </c>
      <c r="H3579">
        <f>-30.41*OPERAC[[#This Row],[cantidad]]+52.55</f>
        <v/>
      </c>
      <c r="I3579">
        <f>-H5897/G5897</f>
        <v/>
      </c>
      <c r="J3579" s="16" t="n">
        <v>44722</v>
      </c>
      <c r="K3579" t="n">
        <v>100</v>
      </c>
      <c r="L3579" t="n">
        <v>2974.5</v>
      </c>
    </row>
    <row r="3580">
      <c r="A3580" t="n">
        <v>13253</v>
      </c>
      <c r="B3580" s="16" t="n">
        <v>44616</v>
      </c>
      <c r="C3580" t="inlineStr">
        <is>
          <t>VTA</t>
        </is>
      </c>
      <c r="D3580" t="n">
        <v>41</v>
      </c>
      <c r="E3580">
        <f>IF(D2347&gt;0,VLOOKUP(OPERAC[[#This Row],[COD CART]],[1]!MatrizCortoLargoCyl[#All],3,0),"")</f>
        <v/>
      </c>
      <c r="F3580" t="inlineStr">
        <is>
          <t>TCNNF</t>
        </is>
      </c>
      <c r="G3580" t="n">
        <v>20</v>
      </c>
      <c r="H3580" t="n">
        <v>-411.8608</v>
      </c>
      <c r="I3580">
        <f>-H2347/G2347</f>
        <v/>
      </c>
    </row>
    <row r="3581">
      <c r="A3581" t="n">
        <v>13253</v>
      </c>
      <c r="B3581" s="16" t="n">
        <v>44617</v>
      </c>
      <c r="C3581" t="inlineStr">
        <is>
          <t>VTA</t>
        </is>
      </c>
      <c r="D3581" t="n">
        <v>41</v>
      </c>
      <c r="E3581">
        <f>IF(D2901&gt;0,VLOOKUP(OPERAC[[#This Row],[COD CART]],[1]!MatrizCortoLargoCyl[#All],3,0),"")</f>
        <v/>
      </c>
      <c r="F3581" t="inlineStr">
        <is>
          <t>FL</t>
        </is>
      </c>
      <c r="G3581" t="n">
        <v>20</v>
      </c>
      <c r="H3581" t="n">
        <v>-548.65</v>
      </c>
      <c r="I3581">
        <f>-H2901/G2901</f>
        <v/>
      </c>
    </row>
    <row r="3582">
      <c r="A3582" t="n">
        <v>13253</v>
      </c>
      <c r="B3582" s="16" t="n">
        <v>44623</v>
      </c>
      <c r="C3582" t="inlineStr">
        <is>
          <t>VTA</t>
        </is>
      </c>
      <c r="D3582" t="n">
        <v>41</v>
      </c>
      <c r="E3582">
        <f>IF(D1971&gt;0,VLOOKUP(OPERAC[[#This Row],[COD CART]],[1]!MatrizCortoLargoCyl[#All],3,0),"")</f>
        <v/>
      </c>
      <c r="F3582" t="inlineStr">
        <is>
          <t>KWEB</t>
        </is>
      </c>
      <c r="G3582" t="n">
        <v>10</v>
      </c>
      <c r="H3582">
        <f>-30.41*OPERAC[[#This Row],[cantidad]]</f>
        <v/>
      </c>
      <c r="I3582">
        <f>-H1971/G1971</f>
        <v/>
      </c>
    </row>
    <row r="3583">
      <c r="A3583" t="n">
        <v>13253</v>
      </c>
      <c r="B3583" s="16" t="n">
        <v>44628</v>
      </c>
      <c r="C3583" t="inlineStr">
        <is>
          <t>CPR</t>
        </is>
      </c>
      <c r="D3583" t="n">
        <v>41</v>
      </c>
      <c r="E3583">
        <f>IF(D4105&gt;0,VLOOKUP(OPERAC[[#This Row],[COD CART]],[1]!MatrizCortoLargoCyl[#All],3,0),"")</f>
        <v/>
      </c>
      <c r="F3583" t="inlineStr">
        <is>
          <t>FB</t>
        </is>
      </c>
      <c r="G3583" t="n">
        <v>5</v>
      </c>
      <c r="H3583" t="n">
        <v>-946.706</v>
      </c>
      <c r="I3583">
        <f>-H4105/G4105</f>
        <v/>
      </c>
    </row>
    <row r="3584">
      <c r="A3584" t="n">
        <v>13253</v>
      </c>
      <c r="B3584" s="16" t="n">
        <v>44628</v>
      </c>
      <c r="C3584" t="inlineStr">
        <is>
          <t>VTA</t>
        </is>
      </c>
      <c r="D3584" t="n">
        <v>41</v>
      </c>
      <c r="E3584">
        <f>IF(D2470&gt;0,VLOOKUP(OPERAC[[#This Row],[COD CART]],[1]!MatrizCortoLargoCyl[#All],3,0),"")</f>
        <v/>
      </c>
      <c r="F3584" t="inlineStr">
        <is>
          <t>FL</t>
        </is>
      </c>
      <c r="G3584" t="n">
        <v>15</v>
      </c>
      <c r="H3584" t="n">
        <v>-439.631</v>
      </c>
      <c r="I3584">
        <f>-H2470/G2470</f>
        <v/>
      </c>
    </row>
    <row r="3585">
      <c r="A3585" t="n">
        <v>13253</v>
      </c>
      <c r="B3585" s="16" t="n">
        <v>44629</v>
      </c>
      <c r="C3585" t="inlineStr">
        <is>
          <t>VTA</t>
        </is>
      </c>
      <c r="D3585" t="n">
        <v>41</v>
      </c>
      <c r="E3585">
        <f>IF(D2507&gt;0,VLOOKUP(OPERAC[[#This Row],[COD CART]],[1]!MatrizCortoLargoCyl[#All],3,0),"")</f>
        <v/>
      </c>
      <c r="F3585" t="inlineStr">
        <is>
          <t>SFM</t>
        </is>
      </c>
      <c r="G3585" t="n">
        <v>15</v>
      </c>
      <c r="H3585" t="n">
        <v>-458.38</v>
      </c>
      <c r="I3585">
        <f>-H2507/G2507</f>
        <v/>
      </c>
      <c r="J3585" s="16" t="n">
        <v>44714</v>
      </c>
      <c r="K3585" t="n">
        <v>15</v>
      </c>
      <c r="L3585" t="n">
        <v>406.361</v>
      </c>
    </row>
    <row r="3586">
      <c r="A3586" t="n">
        <v>13253</v>
      </c>
      <c r="B3586" s="16" t="n">
        <v>44635</v>
      </c>
      <c r="C3586" t="inlineStr">
        <is>
          <t>VTA</t>
        </is>
      </c>
      <c r="D3586" t="n">
        <v>41</v>
      </c>
      <c r="E3586">
        <f>IF(D3178&gt;0,VLOOKUP(OPERAC[[#This Row],[COD CART]],[1]!MatrizCortoLargoCyl[#All],3,0),"")</f>
        <v/>
      </c>
      <c r="F3586" t="inlineStr">
        <is>
          <t>EWZ</t>
        </is>
      </c>
      <c r="G3586" t="n">
        <v>20</v>
      </c>
      <c r="H3586" t="n">
        <v>-646.729</v>
      </c>
      <c r="I3586">
        <f>-H3178/G3178</f>
        <v/>
      </c>
    </row>
    <row r="3587">
      <c r="A3587" t="n">
        <v>13253</v>
      </c>
      <c r="B3587" s="16" t="n">
        <v>44638</v>
      </c>
      <c r="C3587" t="inlineStr">
        <is>
          <t>CPR</t>
        </is>
      </c>
      <c r="D3587" t="n">
        <v>41</v>
      </c>
      <c r="E3587">
        <f>IF(D4910&gt;0,VLOOKUP(OPERAC[[#This Row],[COD CART]],[1]!MatrizCortoLargoCyl[#All],3,0),"")</f>
        <v/>
      </c>
      <c r="F3587" t="inlineStr">
        <is>
          <t>MSFT</t>
        </is>
      </c>
      <c r="G3587" t="n">
        <v>5</v>
      </c>
      <c r="H3587" t="n">
        <v>-1487.85</v>
      </c>
      <c r="I3587">
        <f>-H4910/G4910</f>
        <v/>
      </c>
    </row>
    <row r="3588">
      <c r="A3588" t="n">
        <v>13253</v>
      </c>
      <c r="B3588" s="16" t="n">
        <v>44638</v>
      </c>
      <c r="C3588" t="inlineStr">
        <is>
          <t>CPR</t>
        </is>
      </c>
      <c r="D3588" t="n">
        <v>41</v>
      </c>
      <c r="E3588">
        <f>IF(D6022&gt;0,VLOOKUP(OPERAC[[#This Row],[COD CART]],[1]!MatrizCortoLargoCyl[#All],3,0),"")</f>
        <v/>
      </c>
      <c r="F3588" t="inlineStr">
        <is>
          <t>YCA6O</t>
        </is>
      </c>
      <c r="G3588" t="n">
        <v>4000</v>
      </c>
      <c r="H3588" t="n">
        <v>-3432.11</v>
      </c>
      <c r="I3588">
        <f>-H6022/G6022</f>
        <v/>
      </c>
    </row>
    <row r="3589">
      <c r="A3589" t="n">
        <v>13253</v>
      </c>
      <c r="B3589" s="16" t="n">
        <v>44652</v>
      </c>
      <c r="C3589" t="inlineStr">
        <is>
          <t>VTA</t>
        </is>
      </c>
      <c r="D3589" t="n">
        <v>41</v>
      </c>
      <c r="E3589">
        <f>IF(D871&gt;0,VLOOKUP(OPERAC[[#This Row],[COD CART]],[1]!MatrizCortoLargoCyl[#All],3,0),"")</f>
        <v/>
      </c>
      <c r="F3589" t="inlineStr">
        <is>
          <t>HIMX/V/10,00/20-01-23</t>
        </is>
      </c>
      <c r="G3589" t="n">
        <v>-100</v>
      </c>
      <c r="H3589" t="n">
        <v>198.1</v>
      </c>
      <c r="I3589">
        <f>-H871/G871</f>
        <v/>
      </c>
    </row>
    <row r="3590">
      <c r="A3590" t="n">
        <v>13253</v>
      </c>
      <c r="B3590" s="16" t="n">
        <v>44657</v>
      </c>
      <c r="C3590" t="inlineStr">
        <is>
          <t>CPR</t>
        </is>
      </c>
      <c r="D3590" t="n">
        <v>41</v>
      </c>
      <c r="E3590">
        <f>IF(D4121&gt;0,VLOOKUP(OPERAC[[#This Row],[COD CART]],[1]!MatrizCortoLargoCyl[#All],3,0),"")</f>
        <v/>
      </c>
      <c r="F3590" t="inlineStr">
        <is>
          <t>INTC</t>
        </is>
      </c>
      <c r="G3590" t="n">
        <v>20</v>
      </c>
      <c r="H3590" t="n">
        <v>-956.4832000000001</v>
      </c>
      <c r="I3590">
        <f>-H4121/G4121</f>
        <v/>
      </c>
    </row>
    <row r="3591">
      <c r="A3591" t="n">
        <v>13253</v>
      </c>
      <c r="B3591" s="16" t="n">
        <v>44657</v>
      </c>
      <c r="C3591" t="inlineStr">
        <is>
          <t>VTA</t>
        </is>
      </c>
      <c r="D3591" t="n">
        <v>41</v>
      </c>
      <c r="E3591">
        <f>IF(D2519&gt;0,VLOOKUP(OPERAC[[#This Row],[COD CART]],[1]!MatrizCortoLargoCyl[#All],3,0),"")</f>
        <v/>
      </c>
      <c r="F3591" t="inlineStr">
        <is>
          <t>SSYS</t>
        </is>
      </c>
      <c r="G3591" t="n">
        <v>20</v>
      </c>
      <c r="H3591" t="n">
        <v>-462.8656</v>
      </c>
      <c r="I3591">
        <f>-H2519/G2519</f>
        <v/>
      </c>
    </row>
    <row r="3592">
      <c r="A3592" t="n">
        <v>13253</v>
      </c>
      <c r="B3592" s="16" t="n">
        <v>44669</v>
      </c>
      <c r="C3592" t="inlineStr">
        <is>
          <t>VTA</t>
        </is>
      </c>
      <c r="D3592" t="n">
        <v>41</v>
      </c>
      <c r="E3592">
        <f>IF(D1275&gt;0,VLOOKUP(OPERAC[[#This Row],[COD CART]],[1]!MatrizCortoLargoCyl[#All],3,0),"")</f>
        <v/>
      </c>
      <c r="F3592" t="inlineStr">
        <is>
          <t>WBD</t>
        </is>
      </c>
      <c r="G3592" t="n">
        <v>10</v>
      </c>
      <c r="H3592">
        <f>-5.6*OPERAC[[#This Row],[cantidad]]</f>
        <v/>
      </c>
      <c r="I3592">
        <f>-H1275/G1275</f>
        <v/>
      </c>
    </row>
    <row r="3593">
      <c r="A3593" t="n">
        <v>13253</v>
      </c>
      <c r="B3593" s="16" t="n">
        <v>44669</v>
      </c>
      <c r="C3593" t="inlineStr">
        <is>
          <t>VTA</t>
        </is>
      </c>
      <c r="D3593" t="n">
        <v>41</v>
      </c>
      <c r="E3593">
        <f>IF(D3167&gt;0,VLOOKUP(OPERAC[[#This Row],[COD CART]],[1]!MatrizCortoLargoCyl[#All],3,0),"")</f>
        <v/>
      </c>
      <c r="F3593" t="inlineStr">
        <is>
          <t>SFM</t>
        </is>
      </c>
      <c r="G3593" t="n">
        <v>20</v>
      </c>
      <c r="H3593" t="n">
        <v>-638.925</v>
      </c>
      <c r="I3593">
        <f>-H3167/G3167</f>
        <v/>
      </c>
    </row>
    <row r="3594">
      <c r="A3594" t="n">
        <v>13253</v>
      </c>
      <c r="B3594" s="16" t="n">
        <v>44670</v>
      </c>
      <c r="C3594" t="inlineStr">
        <is>
          <t>VTA</t>
        </is>
      </c>
      <c r="D3594" t="n">
        <v>41</v>
      </c>
      <c r="E3594">
        <f>IF(D2551&gt;0,VLOOKUP(OPERAC[[#This Row],[COD CART]],[1]!MatrizCortoLargoCyl[#All],3,0),"")</f>
        <v/>
      </c>
      <c r="F3594" t="inlineStr">
        <is>
          <t>HMY</t>
        </is>
      </c>
      <c r="G3594" t="n">
        <v>100</v>
      </c>
      <c r="H3594" t="n">
        <v>-464.414</v>
      </c>
      <c r="I3594">
        <f>-H2551/G2551</f>
        <v/>
      </c>
    </row>
    <row r="3595">
      <c r="A3595" t="n">
        <v>13253</v>
      </c>
      <c r="B3595" s="16" t="n">
        <v>44672</v>
      </c>
      <c r="C3595" t="inlineStr">
        <is>
          <t>CPR</t>
        </is>
      </c>
      <c r="D3595" t="n">
        <v>41</v>
      </c>
      <c r="E3595">
        <f>IF(D4109&gt;0,VLOOKUP(OPERAC[[#This Row],[COD CART]],[1]!MatrizCortoLargoCyl[#All],3,0),"")</f>
        <v/>
      </c>
      <c r="F3595" t="inlineStr">
        <is>
          <t>FB</t>
        </is>
      </c>
      <c r="G3595" t="n">
        <v>5</v>
      </c>
      <c r="H3595" t="n">
        <v>-948.64</v>
      </c>
      <c r="I3595">
        <f>-H4109/G4109</f>
        <v/>
      </c>
    </row>
    <row r="3596">
      <c r="A3596" t="n">
        <v>13253</v>
      </c>
      <c r="B3596" s="16" t="n">
        <v>44676</v>
      </c>
      <c r="C3596" t="inlineStr">
        <is>
          <t>VTA</t>
        </is>
      </c>
      <c r="D3596" t="n">
        <v>41</v>
      </c>
      <c r="E3596">
        <f>IF(D2969&gt;0,VLOOKUP(OPERAC[[#This Row],[COD CART]],[1]!MatrizCortoLargoCyl[#All],3,0),"")</f>
        <v/>
      </c>
      <c r="F3596" t="inlineStr">
        <is>
          <t>MPW</t>
        </is>
      </c>
      <c r="G3596" t="n">
        <v>30</v>
      </c>
      <c r="H3596" t="n">
        <v>-563.499</v>
      </c>
      <c r="I3596">
        <f>-H2969/G2969</f>
        <v/>
      </c>
    </row>
    <row r="3597">
      <c r="A3597" t="n">
        <v>13253</v>
      </c>
      <c r="B3597" s="16" t="n">
        <v>44677</v>
      </c>
      <c r="C3597" t="inlineStr">
        <is>
          <t>CPR</t>
        </is>
      </c>
      <c r="D3597" t="n">
        <v>41</v>
      </c>
      <c r="E3597">
        <f>IF(D3388&gt;0,VLOOKUP(OPERAC[[#This Row],[COD CART]],[1]!MatrizCortoLargoCyl[#All],3,0),"")</f>
        <v/>
      </c>
      <c r="F3597" t="inlineStr">
        <is>
          <t>COTY</t>
        </is>
      </c>
      <c r="G3597" t="n">
        <v>100</v>
      </c>
      <c r="H3597">
        <f>-722.052-3.026+13.881</f>
        <v/>
      </c>
      <c r="I3597">
        <f>-H3388/G3388</f>
        <v/>
      </c>
      <c r="J3597" s="16" t="n">
        <v>44708</v>
      </c>
      <c r="K3597" t="n">
        <v>100</v>
      </c>
      <c r="L3597" t="n">
        <v>692.308</v>
      </c>
    </row>
    <row r="3598">
      <c r="A3598" t="n">
        <v>13253</v>
      </c>
      <c r="B3598" s="16" t="n">
        <v>44687</v>
      </c>
      <c r="C3598" t="inlineStr">
        <is>
          <t>VTA</t>
        </is>
      </c>
      <c r="D3598" t="n">
        <v>41</v>
      </c>
      <c r="E3598">
        <f>IF(D2115&gt;0,VLOOKUP(OPERAC[[#This Row],[COD CART]],[1]!MatrizCortoLargoCyl[#All],3,0),"")</f>
        <v/>
      </c>
      <c r="F3598" t="inlineStr">
        <is>
          <t>NRZ</t>
        </is>
      </c>
      <c r="G3598" t="n">
        <v>30</v>
      </c>
      <c r="H3598" t="n">
        <v>-339.31</v>
      </c>
      <c r="I3598">
        <f>-H2115/G2115</f>
        <v/>
      </c>
    </row>
    <row r="3599">
      <c r="A3599" t="n">
        <v>13253</v>
      </c>
      <c r="B3599" s="16" t="n">
        <v>44687</v>
      </c>
      <c r="C3599" t="inlineStr">
        <is>
          <t>VTA</t>
        </is>
      </c>
      <c r="D3599" t="n">
        <v>41</v>
      </c>
      <c r="E3599">
        <f>IF(D3057&gt;0,VLOOKUP(OPERAC[[#This Row],[COD CART]],[1]!MatrizCortoLargoCyl[#All],3,0),"")</f>
        <v/>
      </c>
      <c r="F3599" t="inlineStr">
        <is>
          <t>SFM</t>
        </is>
      </c>
      <c r="G3599" t="n">
        <v>25</v>
      </c>
      <c r="H3599" t="n">
        <v>-610.596</v>
      </c>
      <c r="I3599">
        <f>-H3057/G3057</f>
        <v/>
      </c>
    </row>
    <row r="3600">
      <c r="A3600" t="n">
        <v>13253</v>
      </c>
      <c r="B3600" s="16" t="n">
        <v>44690</v>
      </c>
      <c r="C3600" t="inlineStr">
        <is>
          <t>VTA</t>
        </is>
      </c>
      <c r="D3600" t="n">
        <v>41</v>
      </c>
      <c r="E3600">
        <f>IF(D3848&gt;0,VLOOKUP(OPERAC[[#This Row],[COD CART]],[1]!MatrizCortoLargoCyl[#All],3,0),"")</f>
        <v/>
      </c>
      <c r="F3600" t="inlineStr">
        <is>
          <t>JEPI</t>
        </is>
      </c>
      <c r="G3600" t="n">
        <v>15</v>
      </c>
      <c r="H3600" t="n">
        <v>-862.418775</v>
      </c>
      <c r="I3600">
        <f>-H3848/G3848</f>
        <v/>
      </c>
    </row>
    <row r="3601">
      <c r="A3601" t="n">
        <v>13253</v>
      </c>
      <c r="B3601" s="16" t="n">
        <v>44714</v>
      </c>
      <c r="C3601" t="inlineStr">
        <is>
          <t>CPR</t>
        </is>
      </c>
      <c r="D3601" t="n">
        <v>41</v>
      </c>
      <c r="E3601">
        <f>IF(D4450&gt;0,VLOOKUP(OPERAC[[#This Row],[COD CART]],[1]!MatrizCortoLargoCyl[#All],3,0),"")</f>
        <v/>
      </c>
      <c r="F3601" t="inlineStr">
        <is>
          <t>ET/CYL/12,00/17-06-22</t>
        </is>
      </c>
      <c r="G3601" t="n">
        <v>100</v>
      </c>
      <c r="H3601" t="n">
        <v>-1149.129</v>
      </c>
      <c r="I3601">
        <f>-H4450/G4450</f>
        <v/>
      </c>
    </row>
    <row r="3602">
      <c r="A3602" t="n">
        <v>13253</v>
      </c>
      <c r="B3602" s="16" t="n">
        <v>44714</v>
      </c>
      <c r="C3602" t="inlineStr">
        <is>
          <t>CPR</t>
        </is>
      </c>
      <c r="D3602" t="n">
        <v>41</v>
      </c>
      <c r="E3602">
        <f>IF(D4488&gt;0,VLOOKUP(OPERAC[[#This Row],[COD CART]],[1]!MatrizCortoLargoCyl[#All],3,0),"")</f>
        <v/>
      </c>
      <c r="F3602" t="inlineStr">
        <is>
          <t>ET</t>
        </is>
      </c>
      <c r="G3602" t="n">
        <v>100</v>
      </c>
      <c r="H3602">
        <f>+OPERAC[[#This Row],[cantidad]]*-11.759</f>
        <v/>
      </c>
      <c r="I3602">
        <f>-H4488/G4488</f>
        <v/>
      </c>
    </row>
    <row r="3603">
      <c r="A3603" t="n">
        <v>13253</v>
      </c>
      <c r="B3603" s="16" t="n">
        <v>44714</v>
      </c>
      <c r="C3603" t="inlineStr">
        <is>
          <t>VTA</t>
        </is>
      </c>
      <c r="D3603" t="n">
        <v>41</v>
      </c>
      <c r="E3603">
        <f>IF(D5371&gt;0,VLOOKUP(OPERAC[[#This Row],[COD CART]],[1]!MatrizCortoLargoCyl[#All],3,0),"")</f>
        <v/>
      </c>
      <c r="F3603" t="inlineStr">
        <is>
          <t>MPW</t>
        </is>
      </c>
      <c r="G3603" t="n">
        <v>100</v>
      </c>
      <c r="H3603" t="n">
        <v>-1800.677</v>
      </c>
      <c r="I3603">
        <f>-H5371/G5371</f>
        <v/>
      </c>
    </row>
    <row r="3604">
      <c r="A3604" t="n">
        <v>13253</v>
      </c>
      <c r="B3604" s="16" t="n">
        <v>44719</v>
      </c>
      <c r="C3604" t="inlineStr">
        <is>
          <t>CPR</t>
        </is>
      </c>
      <c r="D3604" t="n">
        <v>41</v>
      </c>
      <c r="E3604">
        <f>IF(D3998&gt;0,VLOOKUP(OPERAC[[#This Row],[COD CART]],[1]!MatrizCortoLargoCyl[#All],3,0),"")</f>
        <v/>
      </c>
      <c r="F3604" t="inlineStr">
        <is>
          <t>HIMX/CYL/9,50/17-06-22</t>
        </is>
      </c>
      <c r="G3604" t="n">
        <v>100</v>
      </c>
      <c r="H3604" t="n">
        <v>-915.87</v>
      </c>
      <c r="I3604">
        <f>-H3998/G3998</f>
        <v/>
      </c>
    </row>
    <row r="3605">
      <c r="A3605" t="n">
        <v>13253</v>
      </c>
      <c r="B3605" s="16" t="n">
        <v>44720</v>
      </c>
      <c r="C3605" t="inlineStr">
        <is>
          <t>CPR</t>
        </is>
      </c>
      <c r="D3605" t="n">
        <v>41</v>
      </c>
      <c r="E3605">
        <f>IF(D6211&gt;0,VLOOKUP(OPERAC[[#This Row],[COD CART]],[1]!MatrizCortoLargoCyl[#All],3,0),"")</f>
        <v/>
      </c>
      <c r="F3605" t="inlineStr">
        <is>
          <t>JEPI</t>
        </is>
      </c>
      <c r="G3605" t="n">
        <v>100</v>
      </c>
      <c r="H3605" t="n">
        <v>-5818.0365</v>
      </c>
      <c r="I3605">
        <f>-H6211/G6211</f>
        <v/>
      </c>
    </row>
    <row r="3606">
      <c r="A3606" t="n">
        <v>13253</v>
      </c>
      <c r="B3606" s="16" t="n">
        <v>44720</v>
      </c>
      <c r="C3606" t="inlineStr">
        <is>
          <t>VTA</t>
        </is>
      </c>
      <c r="D3606" t="n">
        <v>41</v>
      </c>
      <c r="E3606">
        <f>IF(D5553&gt;0,VLOOKUP(OPERAC[[#This Row],[COD CART]],[1]!MatrizCortoLargoCyl[#All],3,0),"")</f>
        <v/>
      </c>
      <c r="F3606" t="inlineStr">
        <is>
          <t>INTC</t>
        </is>
      </c>
      <c r="G3606" t="n">
        <v>50</v>
      </c>
      <c r="H3606" t="n">
        <v>-2084.06525</v>
      </c>
      <c r="I3606">
        <f>-H5553/G5553</f>
        <v/>
      </c>
    </row>
    <row r="3607">
      <c r="A3607" t="n">
        <v>13253</v>
      </c>
      <c r="B3607" s="16" t="n">
        <v>44722</v>
      </c>
      <c r="C3607" t="inlineStr">
        <is>
          <t>CPR</t>
        </is>
      </c>
      <c r="D3607" t="n">
        <v>32</v>
      </c>
      <c r="E3607">
        <f>IF(D3279&gt;0,VLOOKUP(OPERAC[[#This Row],[COD CART]],[1]!MatrizCortoLargoCyl[#All],3,0),"")</f>
        <v/>
      </c>
      <c r="F3607" t="inlineStr">
        <is>
          <t>COTY/CYL/7,00/17-06-22</t>
        </is>
      </c>
      <c r="G3607" t="n">
        <v>100</v>
      </c>
      <c r="H3607" t="n">
        <v>-681.46</v>
      </c>
      <c r="I3607">
        <f>-H3279/G3279</f>
        <v/>
      </c>
    </row>
    <row r="3608">
      <c r="A3608" t="n">
        <v>13253</v>
      </c>
      <c r="B3608" s="16" t="n">
        <v>44722</v>
      </c>
      <c r="C3608" t="inlineStr">
        <is>
          <t>CPR</t>
        </is>
      </c>
      <c r="D3608" t="n">
        <v>41</v>
      </c>
      <c r="E3608">
        <f>IF(D5830&gt;0,VLOOKUP(OPERAC[[#This Row],[COD CART]],[1]!MatrizCortoLargoCyl[#All],3,0),"")</f>
        <v/>
      </c>
      <c r="F3608" t="inlineStr">
        <is>
          <t>JEPI</t>
        </is>
      </c>
      <c r="G3608" t="n">
        <v>50</v>
      </c>
      <c r="H3608" t="n">
        <v>-2816.23625</v>
      </c>
      <c r="I3608">
        <f>-H5830/G5830</f>
        <v/>
      </c>
    </row>
    <row r="3609">
      <c r="A3609" t="n">
        <v>13253</v>
      </c>
      <c r="B3609" s="16" t="n">
        <v>44725</v>
      </c>
      <c r="C3609" t="inlineStr">
        <is>
          <t>CPR</t>
        </is>
      </c>
      <c r="D3609" t="n">
        <v>41</v>
      </c>
      <c r="E3609">
        <f>IF(D4393&gt;0,VLOOKUP(OPERAC[[#This Row],[COD CART]],[1]!MatrizCortoLargoCyl[#All],3,0),"")</f>
        <v/>
      </c>
      <c r="F3609" t="inlineStr">
        <is>
          <t>JEPI</t>
        </is>
      </c>
      <c r="G3609" t="n">
        <v>20</v>
      </c>
      <c r="H3609" t="n">
        <v>-1100.017341</v>
      </c>
      <c r="I3609">
        <f>-H4393/G4393</f>
        <v/>
      </c>
    </row>
    <row r="3610">
      <c r="A3610" t="n">
        <v>13253</v>
      </c>
      <c r="B3610" s="16" t="n">
        <v>44725</v>
      </c>
      <c r="C3610" t="inlineStr">
        <is>
          <t>VTA</t>
        </is>
      </c>
      <c r="D3610" t="n">
        <v>41</v>
      </c>
      <c r="E3610">
        <f>IF(D1913&gt;0,VLOOKUP(OPERAC[[#This Row],[COD CART]],[1]!MatrizCortoLargoCyl[#All],3,0),"")</f>
        <v/>
      </c>
      <c r="F3610" t="inlineStr">
        <is>
          <t>NRZ</t>
        </is>
      </c>
      <c r="G3610" t="n">
        <v>30</v>
      </c>
      <c r="H3610" t="n">
        <v>-293.624775</v>
      </c>
      <c r="I3610">
        <f>-H1913/G1913</f>
        <v/>
      </c>
    </row>
    <row r="3611">
      <c r="A3611" t="n">
        <v>13253</v>
      </c>
      <c r="B3611" s="16" t="n">
        <v>44725</v>
      </c>
      <c r="C3611" t="inlineStr">
        <is>
          <t>VTA</t>
        </is>
      </c>
      <c r="D3611" t="n">
        <v>41</v>
      </c>
      <c r="E3611">
        <f>IF(D3007&gt;0,VLOOKUP(OPERAC[[#This Row],[COD CART]],[1]!MatrizCortoLargoCyl[#All],3,0),"")</f>
        <v/>
      </c>
      <c r="F3611" t="inlineStr">
        <is>
          <t>FL</t>
        </is>
      </c>
      <c r="G3611" t="n">
        <v>20</v>
      </c>
      <c r="H3611" t="n">
        <v>-580.6943</v>
      </c>
      <c r="I3611">
        <f>-H3007/G3007</f>
        <v/>
      </c>
    </row>
    <row r="3612">
      <c r="A3612" t="n">
        <v>13253</v>
      </c>
      <c r="B3612" s="16" t="n">
        <v>44725</v>
      </c>
      <c r="C3612" t="inlineStr">
        <is>
          <t>VTA</t>
        </is>
      </c>
      <c r="D3612" t="n">
        <v>41</v>
      </c>
      <c r="E3612">
        <f>IF(D5476&gt;0,VLOOKUP(OPERAC[[#This Row],[COD CART]],[1]!MatrizCortoLargoCyl[#All],3,0),"")</f>
        <v/>
      </c>
      <c r="F3612" t="inlineStr">
        <is>
          <t>INTC</t>
        </is>
      </c>
      <c r="G3612" t="n">
        <v>50</v>
      </c>
      <c r="H3612" t="n">
        <v>-1940.7574</v>
      </c>
      <c r="I3612">
        <f>-H5476/G5476</f>
        <v/>
      </c>
    </row>
    <row r="3613">
      <c r="A3613" t="n">
        <v>13268</v>
      </c>
      <c r="B3613" s="16" t="n">
        <v>44539</v>
      </c>
      <c r="C3613" t="inlineStr">
        <is>
          <t>VTA</t>
        </is>
      </c>
      <c r="D3613" t="n">
        <v>41</v>
      </c>
      <c r="E3613">
        <f>IF(D3132&gt;0,VLOOKUP(OPERAC[[#This Row],[COD CART]],[1]!MatrizCortoLargoCyl[#All],3,0),"")</f>
        <v/>
      </c>
      <c r="F3613" t="inlineStr">
        <is>
          <t>BABA</t>
        </is>
      </c>
      <c r="G3613" t="n">
        <v>5</v>
      </c>
      <c r="H3613" t="n">
        <v>-635.1327999999999</v>
      </c>
      <c r="I3613">
        <f>-H3132/G3132</f>
        <v/>
      </c>
      <c r="J3613" s="16" t="n">
        <v>44606</v>
      </c>
      <c r="K3613" t="n">
        <v>5</v>
      </c>
      <c r="L3613" t="n">
        <v>593.149</v>
      </c>
    </row>
    <row r="3614">
      <c r="A3614" t="n">
        <v>13268</v>
      </c>
      <c r="B3614" s="16" t="n">
        <v>44614</v>
      </c>
      <c r="C3614" t="inlineStr">
        <is>
          <t>VTA</t>
        </is>
      </c>
      <c r="D3614" t="n">
        <v>32</v>
      </c>
      <c r="E3614">
        <f>IF(D1828&gt;0,VLOOKUP(OPERAC[[#This Row],[COD CART]],[1]!MatrizCortoLargoCyl[#All],3,0),"")</f>
        <v/>
      </c>
      <c r="F3614" t="inlineStr">
        <is>
          <t>NNDM/CYL/3,00/17-06-22</t>
        </is>
      </c>
      <c r="G3614" t="n">
        <v>100</v>
      </c>
      <c r="H3614">
        <f>-2.7*OPERAC[[#This Row],[cantidad]]</f>
        <v/>
      </c>
      <c r="I3614">
        <f>-H1828/G1828</f>
        <v/>
      </c>
    </row>
    <row r="3615">
      <c r="A3615" t="n">
        <v>13268</v>
      </c>
      <c r="B3615" s="16" t="n">
        <v>44641</v>
      </c>
      <c r="C3615" t="inlineStr">
        <is>
          <t>VTA</t>
        </is>
      </c>
      <c r="D3615" t="n">
        <v>42</v>
      </c>
      <c r="E3615">
        <f>IF(D1602&gt;0,VLOOKUP(OPERAC[[#This Row],[COD CART]],[1]!MatrizCortoLargoCyl[#All],3,0),"")</f>
        <v/>
      </c>
      <c r="F3615" t="inlineStr">
        <is>
          <t>FB</t>
        </is>
      </c>
      <c r="G3615" t="n">
        <v>1</v>
      </c>
      <c r="H3615" t="n">
        <v>-212.15638</v>
      </c>
      <c r="I3615">
        <f>-H1602/G1602</f>
        <v/>
      </c>
      <c r="J3615" s="16" t="n">
        <v>44671</v>
      </c>
      <c r="K3615">
        <f>+OPERAC[[#This Row],[cantidad]]</f>
        <v/>
      </c>
      <c r="L3615">
        <f>+OPERAC[[#This Row],[cantidad venta]]*213.173</f>
        <v/>
      </c>
    </row>
    <row r="3616">
      <c r="A3616" t="n">
        <v>13268</v>
      </c>
      <c r="B3616" s="16" t="n">
        <v>44662</v>
      </c>
      <c r="C3616" t="inlineStr">
        <is>
          <t>VTA</t>
        </is>
      </c>
      <c r="D3616" t="n">
        <v>42</v>
      </c>
      <c r="E3616">
        <f>IF(D1306&gt;0,VLOOKUP(OPERAC[[#This Row],[COD CART]],[1]!MatrizCortoLargoCyl[#All],3,0),"")</f>
        <v/>
      </c>
      <c r="F3616" t="inlineStr">
        <is>
          <t>HYDR</t>
        </is>
      </c>
      <c r="G3616" t="n">
        <v>5</v>
      </c>
      <c r="H3616" t="n">
        <v>-92.85172000000001</v>
      </c>
      <c r="I3616">
        <f>-H1306/G1306</f>
        <v/>
      </c>
      <c r="J3616" s="16" t="n">
        <v>44693</v>
      </c>
      <c r="K3616">
        <f>+OPERAC[[#This Row],[cantidad]]</f>
        <v/>
      </c>
      <c r="L3616">
        <f>+OPERAC[[#This Row],[cantidad venta]]*12.027</f>
        <v/>
      </c>
    </row>
    <row r="3617">
      <c r="A3617" t="n">
        <v>13268</v>
      </c>
      <c r="B3617" s="16" t="n">
        <v>44664</v>
      </c>
      <c r="C3617" t="inlineStr">
        <is>
          <t>VTA</t>
        </is>
      </c>
      <c r="D3617" t="n">
        <v>42</v>
      </c>
      <c r="E3617">
        <f>IF(D1281&gt;0,VLOOKUP(OPERAC[[#This Row],[COD CART]],[1]!MatrizCortoLargoCyl[#All],3,0),"")</f>
        <v/>
      </c>
      <c r="F3617" t="inlineStr">
        <is>
          <t>PSQ</t>
        </is>
      </c>
      <c r="G3617" t="n">
        <v>5</v>
      </c>
      <c r="H3617" t="n">
        <v>-62.162860905</v>
      </c>
      <c r="I3617">
        <f>-H1281/G1281</f>
        <v/>
      </c>
      <c r="J3617" s="16" t="n">
        <v>44680</v>
      </c>
      <c r="K3617">
        <f>+OPERAC[[#This Row],[cantidad]]</f>
        <v/>
      </c>
      <c r="L3617">
        <f>12.848*OPERAC[[#This Row],[cantidad venta]]</f>
        <v/>
      </c>
    </row>
    <row r="3618">
      <c r="A3618" t="n">
        <v>13268</v>
      </c>
      <c r="B3618" s="16" t="n">
        <v>44671</v>
      </c>
      <c r="C3618" t="inlineStr">
        <is>
          <t>VTA</t>
        </is>
      </c>
      <c r="D3618" t="n">
        <v>42</v>
      </c>
      <c r="E3618">
        <f>IF(D1750&gt;0,VLOOKUP(OPERAC[[#This Row],[COD CART]],[1]!MatrizCortoLargoCyl[#All],3,0),"")</f>
        <v/>
      </c>
      <c r="F3618" t="inlineStr">
        <is>
          <t>NFLX</t>
        </is>
      </c>
      <c r="G3618" t="n">
        <v>1</v>
      </c>
      <c r="H3618" t="n">
        <v>-254.50506</v>
      </c>
      <c r="I3618">
        <f>-H1750/G1750</f>
        <v/>
      </c>
      <c r="J3618" s="16" t="n">
        <v>44691</v>
      </c>
      <c r="K3618" t="n">
        <v>1</v>
      </c>
      <c r="L3618" t="n">
        <v>177.548</v>
      </c>
    </row>
    <row r="3619">
      <c r="A3619" t="n">
        <v>13268</v>
      </c>
      <c r="B3619" s="16" t="n">
        <v>44680</v>
      </c>
      <c r="C3619" t="inlineStr">
        <is>
          <t>VTA</t>
        </is>
      </c>
      <c r="D3619" t="n">
        <v>42</v>
      </c>
      <c r="E3619">
        <f>IF(D1286&gt;0,VLOOKUP(OPERAC[[#This Row],[COD CART]],[1]!MatrizCortoLargoCyl[#All],3,0),"")</f>
        <v/>
      </c>
      <c r="F3619" t="inlineStr">
        <is>
          <t>XLP</t>
        </is>
      </c>
      <c r="G3619" t="n">
        <v>1</v>
      </c>
      <c r="H3619" t="n">
        <v>-79.43450249999999</v>
      </c>
      <c r="I3619">
        <f>-H1286/G1286</f>
        <v/>
      </c>
      <c r="J3619" s="16" t="n">
        <v>44693</v>
      </c>
      <c r="K3619">
        <f>+OPERAC[[#This Row],[cantidad]]</f>
        <v/>
      </c>
      <c r="L3619">
        <f>+OPERAC[[#This Row],[cantidad venta]]*74.848</f>
        <v/>
      </c>
    </row>
    <row r="3620">
      <c r="A3620" t="n">
        <v>13268</v>
      </c>
      <c r="B3620" s="16" t="n">
        <v>44721</v>
      </c>
      <c r="C3620" t="inlineStr">
        <is>
          <t>VTA</t>
        </is>
      </c>
      <c r="D3620" t="n">
        <v>32</v>
      </c>
      <c r="E3620">
        <f>IF(D2027&gt;0,VLOOKUP(OPERAC[[#This Row],[COD CART]],[1]!MatrizCortoLargoCyl[#All],3,0),"")</f>
        <v/>
      </c>
      <c r="F3620" t="inlineStr">
        <is>
          <t>SESN/CYL/1,00/18-11-22</t>
        </is>
      </c>
      <c r="G3620" t="n">
        <v>500</v>
      </c>
      <c r="H3620" t="n">
        <v>-315</v>
      </c>
      <c r="I3620">
        <f>-H2027/G2027</f>
        <v/>
      </c>
    </row>
    <row r="3621">
      <c r="A3621" t="n">
        <v>13269</v>
      </c>
      <c r="B3621" s="16" t="n">
        <v>44439</v>
      </c>
      <c r="C3621" t="inlineStr">
        <is>
          <t>VTA</t>
        </is>
      </c>
      <c r="D3621" t="n">
        <v>39</v>
      </c>
      <c r="E3621">
        <f>IF(D137&gt;0,VLOOKUP(OPERAC[[#This Row],[COD CART]],[1]!MatrizCortoLargoCyl[#All],3,0),"")</f>
        <v/>
      </c>
      <c r="F3621" t="inlineStr">
        <is>
          <t>SKLZ/P/7,50/20-01-23</t>
        </is>
      </c>
      <c r="G3621" t="n">
        <v>-1500</v>
      </c>
      <c r="H3621" t="n">
        <v>2976</v>
      </c>
      <c r="I3621">
        <f>-H137/G137</f>
        <v/>
      </c>
      <c r="J3621" s="16" t="n">
        <v>44614</v>
      </c>
      <c r="K3621">
        <f>+OPERAC[[#This Row],[cantidad]]</f>
        <v/>
      </c>
      <c r="L3621">
        <f>+OPERAC[[#This Row],[cantidad venta]]*4.488</f>
        <v/>
      </c>
    </row>
    <row r="3622">
      <c r="A3622" t="n">
        <v>13269</v>
      </c>
      <c r="B3622" s="16" t="n">
        <v>44489</v>
      </c>
      <c r="C3622" t="inlineStr">
        <is>
          <t>CPR</t>
        </is>
      </c>
      <c r="D3622" t="n">
        <v>43</v>
      </c>
      <c r="E3622">
        <f>IF(D4950&gt;0,VLOOKUP(OPERAC[[#This Row],[COD CART]],[1]!MatrizCortoLargoCyl[#All],3,0),"")</f>
        <v/>
      </c>
      <c r="F3622" t="inlineStr">
        <is>
          <t>SESN/CYL-PUT/1,00/19-01-24</t>
        </is>
      </c>
      <c r="G3622" t="n">
        <v>8000</v>
      </c>
      <c r="H3622">
        <f>-0.1885*OPERAC[[#This Row],[cantidad]]</f>
        <v/>
      </c>
      <c r="I3622">
        <f>-H4950/G4950</f>
        <v/>
      </c>
      <c r="J3622" s="16" t="n">
        <v>44616</v>
      </c>
      <c r="K3622" t="n">
        <v>2000</v>
      </c>
      <c r="L3622" t="n">
        <v>643.54</v>
      </c>
    </row>
    <row r="3623">
      <c r="A3623" t="n">
        <v>13269</v>
      </c>
      <c r="B3623" s="16" t="n">
        <v>44511</v>
      </c>
      <c r="C3623" t="inlineStr">
        <is>
          <t>VTA</t>
        </is>
      </c>
      <c r="D3623" t="n">
        <v>31</v>
      </c>
      <c r="E3623">
        <f>IF(D2908&gt;0,VLOOKUP(OPERAC[[#This Row],[COD CART]],[1]!MatrizCortoLargoCyl[#All],3,0),"")</f>
        <v/>
      </c>
      <c r="F3623" t="inlineStr">
        <is>
          <t>IPIX</t>
        </is>
      </c>
      <c r="G3623" t="n">
        <v>5000</v>
      </c>
      <c r="H3623" t="n">
        <v>-549.95</v>
      </c>
      <c r="I3623">
        <f>-H2908/G2908</f>
        <v/>
      </c>
    </row>
    <row r="3624">
      <c r="A3624" t="n">
        <v>13269</v>
      </c>
      <c r="B3624" s="16" t="n">
        <v>44532</v>
      </c>
      <c r="C3624" t="inlineStr">
        <is>
          <t>VTA</t>
        </is>
      </c>
      <c r="D3624" t="n">
        <v>32</v>
      </c>
      <c r="E3624">
        <f>IF(D3934&gt;0,VLOOKUP(OPERAC[[#This Row],[COD CART]],[1]!MatrizCortoLargoCyl[#All],3,0),"")</f>
        <v/>
      </c>
      <c r="F3624" t="inlineStr">
        <is>
          <t>COTY/CYL/10,00/18-02-22</t>
        </is>
      </c>
      <c r="G3624" t="n">
        <v>100</v>
      </c>
      <c r="H3624">
        <f>-901.599+20.838</f>
        <v/>
      </c>
      <c r="I3624">
        <f>-H3934/G3934</f>
        <v/>
      </c>
      <c r="J3624" s="16" t="n">
        <v>44608</v>
      </c>
      <c r="K3624">
        <f>+OPERAC[[#This Row],[cantidad]]</f>
        <v/>
      </c>
      <c r="L3624" t="n">
        <v>941.701</v>
      </c>
    </row>
    <row r="3625">
      <c r="A3625" t="n">
        <v>13269</v>
      </c>
      <c r="B3625" s="16" t="n">
        <v>44536</v>
      </c>
      <c r="C3625" t="inlineStr">
        <is>
          <t>CPR</t>
        </is>
      </c>
      <c r="D3625" t="n">
        <v>40</v>
      </c>
      <c r="E3625">
        <f>IF(D5818&gt;0,VLOOKUP(OPERAC[[#This Row],[COD CART]],[1]!MatrizCortoLargoCyl[#All],3,0),"")</f>
        <v/>
      </c>
      <c r="F3625" t="inlineStr">
        <is>
          <t>UVXY</t>
        </is>
      </c>
      <c r="G3625" t="n">
        <v>120</v>
      </c>
      <c r="H3625" t="n">
        <v>-2781.4704</v>
      </c>
      <c r="I3625">
        <f>-H5818/G5818</f>
        <v/>
      </c>
      <c r="J3625" s="16" t="n">
        <v>44571</v>
      </c>
      <c r="K3625">
        <f>+OPERAC[[#This Row],[cantidad]]</f>
        <v/>
      </c>
      <c r="L3625">
        <f>+OPERAC[[#This Row],[cantidad venta]]*14.135</f>
        <v/>
      </c>
    </row>
    <row r="3626">
      <c r="A3626" t="n">
        <v>13269</v>
      </c>
      <c r="B3626" s="16" t="n">
        <v>44539</v>
      </c>
      <c r="C3626" t="inlineStr">
        <is>
          <t>CPR</t>
        </is>
      </c>
      <c r="D3626" t="n">
        <v>40</v>
      </c>
      <c r="E3626">
        <f>IF(D4650&gt;0,VLOOKUP(OPERAC[[#This Row],[COD CART]],[1]!MatrizCortoLargoCyl[#All],3,0),"")</f>
        <v/>
      </c>
      <c r="F3626" t="inlineStr">
        <is>
          <t>ROKU</t>
        </is>
      </c>
      <c r="G3626" t="n">
        <v>5</v>
      </c>
      <c r="H3626" t="n">
        <v>-1288.6018</v>
      </c>
      <c r="I3626">
        <f>-H4650/G4650</f>
        <v/>
      </c>
      <c r="J3626" s="16" t="n">
        <v>44606</v>
      </c>
      <c r="K3626">
        <f>+OPERAC[[#This Row],[cantidad]]</f>
        <v/>
      </c>
      <c r="L3626">
        <f>+OPERAC[[#This Row],[cantidad venta]]*160.574</f>
        <v/>
      </c>
    </row>
    <row r="3627">
      <c r="A3627" t="n">
        <v>13269</v>
      </c>
      <c r="B3627" s="16" t="n">
        <v>44550</v>
      </c>
      <c r="C3627" t="inlineStr">
        <is>
          <t>VTA</t>
        </is>
      </c>
      <c r="D3627" t="n">
        <v>40</v>
      </c>
      <c r="E3627">
        <f>IF(D3015&gt;0,VLOOKUP(OPERAC[[#This Row],[COD CART]],[1]!MatrizCortoLargoCyl[#All],3,0),"")</f>
        <v/>
      </c>
      <c r="F3627" t="inlineStr">
        <is>
          <t>SMH</t>
        </is>
      </c>
      <c r="G3627" t="n">
        <v>2</v>
      </c>
      <c r="H3627" t="n">
        <v>-587.9460799999999</v>
      </c>
      <c r="I3627">
        <f>-H3015/G3015</f>
        <v/>
      </c>
      <c r="J3627" s="16" t="n">
        <v>44574</v>
      </c>
      <c r="K3627">
        <f>+OPERAC[[#This Row],[cantidad]]</f>
        <v/>
      </c>
      <c r="L3627">
        <f>+OPERAC[[#This Row],[cantidad venta]]*306.843</f>
        <v/>
      </c>
    </row>
    <row r="3628">
      <c r="A3628" t="n">
        <v>13269</v>
      </c>
      <c r="B3628" s="16" t="n">
        <v>44553</v>
      </c>
      <c r="C3628" t="inlineStr">
        <is>
          <t>VTA</t>
        </is>
      </c>
      <c r="D3628" t="n">
        <v>40</v>
      </c>
      <c r="E3628">
        <f>IF(D1812&gt;0,VLOOKUP(OPERAC[[#This Row],[COD CART]],[1]!MatrizCortoLargoCyl[#All],3,0),"")</f>
        <v/>
      </c>
      <c r="F3628" t="inlineStr">
        <is>
          <t>ON</t>
        </is>
      </c>
      <c r="G3628" t="n">
        <v>4</v>
      </c>
      <c r="H3628" t="n">
        <v>-268.4544319999999</v>
      </c>
      <c r="I3628">
        <f>-H1812/G1812</f>
        <v/>
      </c>
      <c r="J3628" s="16" t="n">
        <v>44606</v>
      </c>
      <c r="K3628">
        <f>+OPERAC[[#This Row],[cantidad]]</f>
        <v/>
      </c>
      <c r="L3628">
        <f>+OPERAC[[#This Row],[cantidad venta]]*58.449</f>
        <v/>
      </c>
    </row>
    <row r="3629">
      <c r="A3629" t="n">
        <v>13269</v>
      </c>
      <c r="B3629" s="16" t="n">
        <v>44582</v>
      </c>
      <c r="C3629" t="inlineStr">
        <is>
          <t>VTA</t>
        </is>
      </c>
      <c r="D3629" t="n">
        <v>40</v>
      </c>
      <c r="E3629">
        <f>IF(D5040&gt;0,VLOOKUP(OPERAC[[#This Row],[COD CART]],[1]!MatrizCortoLargoCyl[#All],3,0),"")</f>
        <v/>
      </c>
      <c r="F3629" t="inlineStr">
        <is>
          <t>NFLX</t>
        </is>
      </c>
      <c r="G3629" t="n">
        <v>4</v>
      </c>
      <c r="H3629" t="n">
        <v>-1562.5484</v>
      </c>
      <c r="I3629">
        <f>-H5040/G5040</f>
        <v/>
      </c>
      <c r="J3629" s="16" t="n">
        <v>44593</v>
      </c>
      <c r="K3629">
        <f>+OPERAC[[#This Row],[cantidad]]</f>
        <v/>
      </c>
      <c r="L3629">
        <f>+OPERAC[[#This Row],[cantidad venta]]*448.602</f>
        <v/>
      </c>
    </row>
    <row r="3630">
      <c r="A3630" t="n">
        <v>13269</v>
      </c>
      <c r="B3630" s="16" t="n">
        <v>44586</v>
      </c>
      <c r="C3630" t="inlineStr">
        <is>
          <t>VTA</t>
        </is>
      </c>
      <c r="D3630" t="n">
        <v>43</v>
      </c>
      <c r="E3630">
        <f>IF(D5349&gt;0,VLOOKUP(OPERAC[[#This Row],[COD CART]],[1]!MatrizCortoLargoCyl[#All],3,0),"")</f>
        <v/>
      </c>
      <c r="F3630" t="inlineStr">
        <is>
          <t>GMBL</t>
        </is>
      </c>
      <c r="G3630">
        <f>500+500</f>
        <v/>
      </c>
      <c r="H3630">
        <f>-508.0223-1255</f>
        <v/>
      </c>
      <c r="I3630">
        <f>-H5349/G5349</f>
        <v/>
      </c>
      <c r="J3630" s="16" t="n">
        <v>44714</v>
      </c>
      <c r="K3630" t="n">
        <v>1000</v>
      </c>
      <c r="L3630" t="n">
        <v>397.096</v>
      </c>
    </row>
    <row r="3631">
      <c r="A3631" t="n">
        <v>13269</v>
      </c>
      <c r="B3631" s="16" t="n">
        <v>44602</v>
      </c>
      <c r="C3631" t="inlineStr">
        <is>
          <t>CPR</t>
        </is>
      </c>
      <c r="D3631" t="n">
        <v>32</v>
      </c>
      <c r="E3631">
        <f>IF(D4498&gt;0,VLOOKUP(OPERAC[[#This Row],[COD CART]],[1]!MatrizCortoLargoCyl[#All],3,0),"")</f>
        <v/>
      </c>
      <c r="F3631" t="inlineStr">
        <is>
          <t>BIOX/CYL/12,50/18-03-22</t>
        </is>
      </c>
      <c r="G3631" t="n">
        <v>100</v>
      </c>
      <c r="H3631" t="n">
        <v>-1176</v>
      </c>
      <c r="I3631">
        <f>-H4498/G4498</f>
        <v/>
      </c>
      <c r="J3631" s="16" t="n">
        <v>44634</v>
      </c>
      <c r="K3631" t="n">
        <v>100</v>
      </c>
      <c r="L3631" t="n">
        <v>1235.48</v>
      </c>
    </row>
    <row r="3632">
      <c r="A3632" t="n">
        <v>13269</v>
      </c>
      <c r="B3632" s="16" t="n">
        <v>44607</v>
      </c>
      <c r="C3632" t="inlineStr">
        <is>
          <t>VTA</t>
        </is>
      </c>
      <c r="D3632" t="n">
        <v>32</v>
      </c>
      <c r="E3632">
        <f>IF(D5217&gt;0,VLOOKUP(OPERAC[[#This Row],[COD CART]],[1]!MatrizCortoLargoCyl[#All],3,0),"")</f>
        <v/>
      </c>
      <c r="F3632" t="inlineStr">
        <is>
          <t>F/CYL/17,00/18-03-22</t>
        </is>
      </c>
      <c r="G3632" t="n">
        <v>100</v>
      </c>
      <c r="H3632" t="n">
        <v>-1658.76</v>
      </c>
      <c r="I3632">
        <f>-H5217/G5217</f>
        <v/>
      </c>
      <c r="J3632" s="16" t="n">
        <v>44638</v>
      </c>
      <c r="K3632">
        <f>+OPERAC[[#This Row],[cantidad]]</f>
        <v/>
      </c>
      <c r="L3632">
        <f>+OPERAC[[#This Row],[cantidad venta]]*16.75</f>
        <v/>
      </c>
    </row>
    <row r="3633">
      <c r="A3633" t="n">
        <v>13269</v>
      </c>
      <c r="B3633" s="16" t="n">
        <v>44608</v>
      </c>
      <c r="C3633" t="inlineStr">
        <is>
          <t>VTA</t>
        </is>
      </c>
      <c r="D3633" t="n">
        <v>32</v>
      </c>
      <c r="E3633">
        <f>IF(D5109&gt;0,VLOOKUP(OPERAC[[#This Row],[COD CART]],[1]!MatrizCortoLargoCyl[#All],3,0),"")</f>
        <v/>
      </c>
      <c r="F3633" t="inlineStr">
        <is>
          <t>DDD/CYL/17,00/01-04-22</t>
        </is>
      </c>
      <c r="G3633" t="n">
        <v>100</v>
      </c>
      <c r="H3633">
        <f>-1629.4234+19.7+16.45</f>
        <v/>
      </c>
      <c r="I3633">
        <f>-H5109/G5109</f>
        <v/>
      </c>
      <c r="J3633" s="16" t="n">
        <v>44649</v>
      </c>
      <c r="K3633" t="n">
        <v>100</v>
      </c>
      <c r="L3633" t="n">
        <v>1661.98</v>
      </c>
    </row>
    <row r="3634">
      <c r="A3634" t="n">
        <v>13269</v>
      </c>
      <c r="B3634" s="16" t="n">
        <v>44609</v>
      </c>
      <c r="C3634" t="inlineStr">
        <is>
          <t>VTA</t>
        </is>
      </c>
      <c r="D3634" t="n">
        <v>32</v>
      </c>
      <c r="E3634">
        <f>IF(D5281&gt;0,VLOOKUP(OPERAC[[#This Row],[COD CART]],[1]!MatrizCortoLargoCyl[#All],3,0),"")</f>
        <v/>
      </c>
      <c r="F3634" t="inlineStr">
        <is>
          <t>F</t>
        </is>
      </c>
      <c r="G3634" t="n">
        <v>100</v>
      </c>
      <c r="H3634" t="n">
        <v>-1715.2776</v>
      </c>
      <c r="I3634">
        <f>-H5281/G5281</f>
        <v/>
      </c>
      <c r="J3634" s="16" t="n">
        <v>44649</v>
      </c>
      <c r="K3634" t="n">
        <v>100</v>
      </c>
      <c r="L3634">
        <f>17.636*OPERAC[[#This Row],[cantidad venta]]</f>
        <v/>
      </c>
    </row>
    <row r="3635">
      <c r="A3635" t="n">
        <v>13269</v>
      </c>
      <c r="B3635" s="16" t="n">
        <v>44614</v>
      </c>
      <c r="C3635" t="inlineStr">
        <is>
          <t>VTA</t>
        </is>
      </c>
      <c r="D3635" t="n">
        <v>39</v>
      </c>
      <c r="E3635">
        <f>IF(D1046&gt;0,VLOOKUP(OPERAC[[#This Row],[COD CART]],[1]!MatrizCortoLargoCyl[#All],3,0),"")</f>
        <v/>
      </c>
      <c r="F3635" t="inlineStr">
        <is>
          <t>MELI/V/540,00/20-01-23</t>
        </is>
      </c>
      <c r="G3635" t="n">
        <v>-1</v>
      </c>
      <c r="H3635" t="n">
        <v>43.64</v>
      </c>
      <c r="I3635">
        <f>-H1046/G1046</f>
        <v/>
      </c>
    </row>
    <row r="3636">
      <c r="A3636" t="n">
        <v>13269</v>
      </c>
      <c r="B3636" s="16" t="n">
        <v>44614</v>
      </c>
      <c r="C3636" t="inlineStr">
        <is>
          <t>VTA</t>
        </is>
      </c>
      <c r="D3636" t="n">
        <v>39</v>
      </c>
      <c r="E3636">
        <f>IF(D1132&gt;0,VLOOKUP(OPERAC[[#This Row],[COD CART]],[1]!MatrizCortoLargoCyl[#All],3,0),"")</f>
        <v/>
      </c>
      <c r="F3636" t="inlineStr">
        <is>
          <t>ACB/V/5,00/20-01-23</t>
        </is>
      </c>
      <c r="G3636" t="n">
        <v>-10</v>
      </c>
      <c r="H3636" t="n">
        <v>20.26</v>
      </c>
      <c r="I3636">
        <f>-H1132/G1132</f>
        <v/>
      </c>
    </row>
    <row r="3637">
      <c r="A3637" t="n">
        <v>13269</v>
      </c>
      <c r="B3637" s="16" t="n">
        <v>44614</v>
      </c>
      <c r="C3637" t="inlineStr">
        <is>
          <t>VTA</t>
        </is>
      </c>
      <c r="D3637" t="n">
        <v>39</v>
      </c>
      <c r="E3637">
        <f>IF(D1220&gt;0,VLOOKUP(OPERAC[[#This Row],[COD CART]],[1]!MatrizCortoLargoCyl[#All],3,0),"")</f>
        <v/>
      </c>
      <c r="F3637" t="inlineStr">
        <is>
          <t>SOLO/V/2,00/20-01-23</t>
        </is>
      </c>
      <c r="G3637" t="n">
        <v>-10</v>
      </c>
      <c r="H3637" t="n">
        <v>6.9</v>
      </c>
      <c r="I3637">
        <f>-H1220/G1220</f>
        <v/>
      </c>
    </row>
    <row r="3638">
      <c r="A3638" t="n">
        <v>13269</v>
      </c>
      <c r="B3638" s="16" t="n">
        <v>44622</v>
      </c>
      <c r="C3638" t="inlineStr">
        <is>
          <t>CPR</t>
        </is>
      </c>
      <c r="D3638" t="n">
        <v>32</v>
      </c>
      <c r="E3638">
        <f>IF(D2582&gt;0,VLOOKUP(OPERAC[[#This Row],[COD CART]],[1]!MatrizCortoLargoCyl[#All],3,0),"")</f>
        <v/>
      </c>
      <c r="F3638" t="inlineStr">
        <is>
          <t>HMY/CYL/5,00/18-03-22</t>
        </is>
      </c>
      <c r="G3638" t="n">
        <v>100</v>
      </c>
      <c r="H3638" t="n">
        <v>-468.532</v>
      </c>
      <c r="I3638">
        <f>-H2582/G2582</f>
        <v/>
      </c>
      <c r="J3638" s="16" t="n">
        <v>44637</v>
      </c>
      <c r="K3638">
        <f>+OPERAC[[#This Row],[cantidad]]</f>
        <v/>
      </c>
      <c r="L3638">
        <f>4.85553*OPERAC[[#This Row],[cantidad venta]]</f>
        <v/>
      </c>
    </row>
    <row r="3639">
      <c r="A3639" t="n">
        <v>13269</v>
      </c>
      <c r="B3639" s="16" t="n">
        <v>44641</v>
      </c>
      <c r="C3639" t="inlineStr">
        <is>
          <t>CPR</t>
        </is>
      </c>
      <c r="D3639" t="n">
        <v>42</v>
      </c>
      <c r="E3639">
        <f>IF(D3646&gt;0,VLOOKUP(OPERAC[[#This Row],[COD CART]],[1]!MatrizCortoLargoCyl[#All],3,0),"")</f>
        <v/>
      </c>
      <c r="F3639" t="inlineStr">
        <is>
          <t>SMH</t>
        </is>
      </c>
      <c r="G3639" t="n">
        <v>3</v>
      </c>
      <c r="H3639" t="n">
        <v>-806.8729500000001</v>
      </c>
      <c r="I3639">
        <f>-H3646/G3646</f>
        <v/>
      </c>
      <c r="J3639" s="16" t="n">
        <v>44663</v>
      </c>
      <c r="K3639">
        <f>+OPERAC[[#This Row],[cantidad]]</f>
        <v/>
      </c>
      <c r="L3639">
        <f>+OPERAC[[#This Row],[cantidad venta]]*238.066</f>
        <v/>
      </c>
    </row>
    <row r="3640">
      <c r="A3640" t="n">
        <v>13269</v>
      </c>
      <c r="B3640" s="16" t="n">
        <v>44641</v>
      </c>
      <c r="C3640" t="inlineStr">
        <is>
          <t>CPR</t>
        </is>
      </c>
      <c r="D3640" t="n">
        <v>42</v>
      </c>
      <c r="E3640">
        <f>IF(D4163&gt;0,VLOOKUP(OPERAC[[#This Row],[COD CART]],[1]!MatrizCortoLargoCyl[#All],3,0),"")</f>
        <v/>
      </c>
      <c r="F3640" t="inlineStr">
        <is>
          <t>DIS</t>
        </is>
      </c>
      <c r="G3640" t="n">
        <v>7</v>
      </c>
      <c r="H3640" t="n">
        <v>-974.8984</v>
      </c>
      <c r="I3640">
        <f>-H4163/G4163</f>
        <v/>
      </c>
      <c r="J3640" s="16" t="n">
        <v>44671</v>
      </c>
      <c r="K3640">
        <f>+OPERAC[[#This Row],[cantidad]]</f>
        <v/>
      </c>
      <c r="L3640">
        <f>+OPERAC[[#This Row],[cantidad venta]]*123.621</f>
        <v/>
      </c>
    </row>
    <row r="3641">
      <c r="A3641" t="n">
        <v>13269</v>
      </c>
      <c r="B3641" s="16" t="n">
        <v>44641</v>
      </c>
      <c r="C3641" t="inlineStr">
        <is>
          <t>CPR</t>
        </is>
      </c>
      <c r="D3641" t="n">
        <v>42</v>
      </c>
      <c r="E3641">
        <f>IF(D4184&gt;0,VLOOKUP(OPERAC[[#This Row],[COD CART]],[1]!MatrizCortoLargoCyl[#All],3,0),"")</f>
        <v/>
      </c>
      <c r="F3641" t="inlineStr">
        <is>
          <t>JPM</t>
        </is>
      </c>
      <c r="G3641" t="n">
        <v>7</v>
      </c>
      <c r="H3641" t="n">
        <v>-983.18038</v>
      </c>
      <c r="I3641">
        <f>-H4184/G4184</f>
        <v/>
      </c>
      <c r="J3641" s="16" t="n">
        <v>44664</v>
      </c>
      <c r="K3641">
        <f>+OPERAC[[#This Row],[cantidad]]</f>
        <v/>
      </c>
      <c r="L3641">
        <f>+OPERAC[[#This Row],[cantidad venta]]*125.943</f>
        <v/>
      </c>
    </row>
    <row r="3642">
      <c r="A3642" t="n">
        <v>13269</v>
      </c>
      <c r="B3642" s="16" t="n">
        <v>44641</v>
      </c>
      <c r="C3642" t="inlineStr">
        <is>
          <t>VTA</t>
        </is>
      </c>
      <c r="D3642" t="n">
        <v>42</v>
      </c>
      <c r="E3642">
        <f>IF(D3776&gt;0,VLOOKUP(OPERAC[[#This Row],[COD CART]],[1]!MatrizCortoLargoCyl[#All],3,0),"")</f>
        <v/>
      </c>
      <c r="F3642" t="inlineStr">
        <is>
          <t>FB</t>
        </is>
      </c>
      <c r="G3642" t="n">
        <v>4</v>
      </c>
      <c r="H3642" t="n">
        <v>-848.6255200000001</v>
      </c>
      <c r="I3642">
        <f>-H3776/G3776</f>
        <v/>
      </c>
      <c r="J3642" s="16" t="n">
        <v>44671</v>
      </c>
      <c r="K3642">
        <f>+OPERAC[[#This Row],[cantidad]]</f>
        <v/>
      </c>
      <c r="L3642">
        <f>+OPERAC[[#This Row],[cantidad venta]]*213.173</f>
        <v/>
      </c>
    </row>
    <row r="3643">
      <c r="A3643" t="n">
        <v>13269</v>
      </c>
      <c r="B3643" s="16" t="n">
        <v>44649</v>
      </c>
      <c r="C3643" t="inlineStr">
        <is>
          <t>CPR</t>
        </is>
      </c>
      <c r="D3643" t="n">
        <v>32</v>
      </c>
      <c r="E3643">
        <f>IF(D3691&gt;0,VLOOKUP(OPERAC[[#This Row],[COD CART]],[1]!MatrizCortoLargoCyl[#All],3,0),"")</f>
        <v/>
      </c>
      <c r="F3643" t="inlineStr">
        <is>
          <t>ARLO</t>
        </is>
      </c>
      <c r="G3643" t="n">
        <v>100</v>
      </c>
      <c r="H3643" t="n">
        <v>-827.412</v>
      </c>
      <c r="I3643">
        <f>-H3691/G3691</f>
        <v/>
      </c>
      <c r="J3643" s="16" t="n">
        <v>44704</v>
      </c>
      <c r="K3643" t="n">
        <v>100</v>
      </c>
      <c r="L3643" t="n">
        <v>678.682</v>
      </c>
    </row>
    <row r="3644">
      <c r="A3644" t="n">
        <v>13269</v>
      </c>
      <c r="B3644" s="16" t="n">
        <v>44650</v>
      </c>
      <c r="C3644" t="inlineStr">
        <is>
          <t>CPR</t>
        </is>
      </c>
      <c r="D3644" t="n">
        <v>42</v>
      </c>
      <c r="E3644">
        <f>IF(D2620&gt;0,VLOOKUP(OPERAC[[#This Row],[COD CART]],[1]!MatrizCortoLargoCyl[#All],3,0),"")</f>
        <v/>
      </c>
      <c r="F3644" t="inlineStr">
        <is>
          <t>BBAR</t>
        </is>
      </c>
      <c r="G3644" t="n">
        <v>130</v>
      </c>
      <c r="H3644" t="n">
        <v>-475.0148</v>
      </c>
      <c r="I3644">
        <f>-H2620/G2620</f>
        <v/>
      </c>
    </row>
    <row r="3645">
      <c r="A3645" t="n">
        <v>13269</v>
      </c>
      <c r="B3645" s="16" t="n">
        <v>44650</v>
      </c>
      <c r="C3645" t="inlineStr">
        <is>
          <t>CPR</t>
        </is>
      </c>
      <c r="D3645" t="n">
        <v>42</v>
      </c>
      <c r="E3645">
        <f>IF(D4073&gt;0,VLOOKUP(OPERAC[[#This Row],[COD CART]],[1]!MatrizCortoLargoCyl[#All],3,0),"")</f>
        <v/>
      </c>
      <c r="F3645" t="inlineStr">
        <is>
          <t>ADBE</t>
        </is>
      </c>
      <c r="G3645" t="n">
        <v>2</v>
      </c>
      <c r="H3645" t="n">
        <v>-932.6258</v>
      </c>
      <c r="I3645">
        <f>-H4073/G4073</f>
        <v/>
      </c>
      <c r="J3645" s="16" t="n">
        <v>44687</v>
      </c>
      <c r="K3645">
        <f>+OPERAC[[#This Row],[cantidad]]</f>
        <v/>
      </c>
      <c r="L3645" t="n">
        <v>772.84</v>
      </c>
    </row>
    <row r="3646">
      <c r="A3646" t="n">
        <v>13269</v>
      </c>
      <c r="B3646" s="16" t="n">
        <v>44650</v>
      </c>
      <c r="C3646" t="inlineStr">
        <is>
          <t>VTA</t>
        </is>
      </c>
      <c r="D3646" t="n">
        <v>42</v>
      </c>
      <c r="E3646">
        <f>IF(D2520&gt;0,VLOOKUP(OPERAC[[#This Row],[COD CART]],[1]!MatrizCortoLargoCyl[#All],3,0),"")</f>
        <v/>
      </c>
      <c r="F3646" t="inlineStr">
        <is>
          <t>SPY</t>
        </is>
      </c>
      <c r="G3646" t="n">
        <v>1</v>
      </c>
      <c r="H3646" t="n">
        <v>-463.56436</v>
      </c>
      <c r="I3646">
        <f>-H2520/G2520</f>
        <v/>
      </c>
      <c r="J3646" s="16" t="n">
        <v>44693</v>
      </c>
      <c r="K3646" t="n">
        <v>1</v>
      </c>
      <c r="L3646" t="n">
        <v>386</v>
      </c>
    </row>
    <row r="3647">
      <c r="A3647" t="n">
        <v>13269</v>
      </c>
      <c r="B3647" s="16" t="n">
        <v>44650</v>
      </c>
      <c r="C3647" t="inlineStr">
        <is>
          <t>VTA</t>
        </is>
      </c>
      <c r="D3647" t="n">
        <v>42</v>
      </c>
      <c r="E3647">
        <f>IF(D3149&gt;0,VLOOKUP(OPERAC[[#This Row],[COD CART]],[1]!MatrizCortoLargoCyl[#All],3,0),"")</f>
        <v/>
      </c>
      <c r="F3647" t="inlineStr">
        <is>
          <t>MSFT</t>
        </is>
      </c>
      <c r="G3647" t="n">
        <v>2</v>
      </c>
      <c r="H3647" t="n">
        <v>-636.1656</v>
      </c>
      <c r="I3647">
        <f>-H3149/G3149</f>
        <v/>
      </c>
      <c r="J3647" s="16" t="n">
        <v>44662</v>
      </c>
      <c r="K3647">
        <f>+OPERAC[[#This Row],[cantidad]]</f>
        <v/>
      </c>
      <c r="L3647">
        <f>287.546*OPERAC[[#This Row],[cantidad venta]]</f>
        <v/>
      </c>
    </row>
    <row r="3648">
      <c r="A3648" t="n">
        <v>13269</v>
      </c>
      <c r="B3648" s="16" t="n">
        <v>44662</v>
      </c>
      <c r="C3648" t="inlineStr">
        <is>
          <t>CPR</t>
        </is>
      </c>
      <c r="D3648" t="n">
        <v>42</v>
      </c>
      <c r="E3648">
        <f>IF(D3426&gt;0,VLOOKUP(OPERAC[[#This Row],[COD CART]],[1]!MatrizCortoLargoCyl[#All],3,0),"")</f>
        <v/>
      </c>
      <c r="F3648" t="inlineStr">
        <is>
          <t>HYDR</t>
        </is>
      </c>
      <c r="G3648" t="n">
        <v>40</v>
      </c>
      <c r="H3648" t="n">
        <v>-742.8137600000001</v>
      </c>
      <c r="I3648">
        <f>-H3426/G3426</f>
        <v/>
      </c>
      <c r="J3648" s="16" t="n">
        <v>44693</v>
      </c>
      <c r="K3648">
        <f>+OPERAC[[#This Row],[cantidad]]</f>
        <v/>
      </c>
      <c r="L3648">
        <f>+OPERAC[[#This Row],[cantidad venta]]*12.027</f>
        <v/>
      </c>
    </row>
    <row r="3649">
      <c r="A3649" t="n">
        <v>13269</v>
      </c>
      <c r="B3649" s="16" t="n">
        <v>44664</v>
      </c>
      <c r="C3649" t="inlineStr">
        <is>
          <t>CPR</t>
        </is>
      </c>
      <c r="D3649" t="n">
        <v>42</v>
      </c>
      <c r="E3649">
        <f>IF(D2692&gt;0,VLOOKUP(OPERAC[[#This Row],[COD CART]],[1]!MatrizCortoLargoCyl[#All],3,0),"")</f>
        <v/>
      </c>
      <c r="F3649" t="inlineStr">
        <is>
          <t>AMD</t>
        </is>
      </c>
      <c r="G3649" t="n">
        <v>5</v>
      </c>
      <c r="H3649" t="n">
        <v>-493.85327265</v>
      </c>
      <c r="I3649">
        <f>-H2692/G2692</f>
        <v/>
      </c>
      <c r="J3649" s="16" t="n">
        <v>44693</v>
      </c>
      <c r="K3649">
        <f>+OPERAC[[#This Row],[cantidad]]</f>
        <v/>
      </c>
      <c r="L3649">
        <f>+OPERAC[[#This Row],[cantidad venta]]*85.26</f>
        <v/>
      </c>
    </row>
    <row r="3650">
      <c r="A3650" t="n">
        <v>13269</v>
      </c>
      <c r="B3650" s="16" t="n">
        <v>44664</v>
      </c>
      <c r="C3650" t="inlineStr">
        <is>
          <t>VTA</t>
        </is>
      </c>
      <c r="D3650" t="n">
        <v>42</v>
      </c>
      <c r="E3650">
        <f>IF(D3090&gt;0,VLOOKUP(OPERAC[[#This Row],[COD CART]],[1]!MatrizCortoLargoCyl[#All],3,0),"")</f>
        <v/>
      </c>
      <c r="F3650" t="inlineStr">
        <is>
          <t>PSQ</t>
        </is>
      </c>
      <c r="G3650" t="n">
        <v>50</v>
      </c>
      <c r="H3650" t="n">
        <v>-621.6286090499999</v>
      </c>
      <c r="I3650">
        <f>-H3090/G3090</f>
        <v/>
      </c>
      <c r="J3650" s="16" t="n">
        <v>44680</v>
      </c>
      <c r="K3650">
        <f>+OPERAC[[#This Row],[cantidad]]</f>
        <v/>
      </c>
      <c r="L3650">
        <f>12.848*OPERAC[[#This Row],[cantidad venta]]</f>
        <v/>
      </c>
    </row>
    <row r="3651">
      <c r="A3651" t="n">
        <v>13269</v>
      </c>
      <c r="B3651" s="16" t="n">
        <v>44669</v>
      </c>
      <c r="C3651" t="inlineStr">
        <is>
          <t>VTA</t>
        </is>
      </c>
      <c r="D3651" t="n">
        <v>32</v>
      </c>
      <c r="E3651">
        <f>IF(D2498&gt;0,VLOOKUP(OPERAC[[#This Row],[COD CART]],[1]!MatrizCortoLargoCyl[#All],3,0),"")</f>
        <v/>
      </c>
      <c r="F3651" t="inlineStr">
        <is>
          <t>HMY/CYL/5,00/19-08-22</t>
        </is>
      </c>
      <c r="G3651" t="n">
        <v>100</v>
      </c>
      <c r="H3651">
        <f>-4.64*OPERAC[[#This Row],[cantidad]]+9.92</f>
        <v/>
      </c>
      <c r="I3651">
        <f>-H2498/G2498</f>
        <v/>
      </c>
    </row>
    <row r="3652">
      <c r="A3652" t="n">
        <v>13269</v>
      </c>
      <c r="B3652" s="16" t="n">
        <v>44671</v>
      </c>
      <c r="C3652" t="inlineStr">
        <is>
          <t>CPR</t>
        </is>
      </c>
      <c r="D3652" t="n">
        <v>42</v>
      </c>
      <c r="E3652">
        <f>IF(D3506&gt;0,VLOOKUP(OPERAC[[#This Row],[COD CART]],[1]!MatrizCortoLargoCyl[#All],3,0),"")</f>
        <v/>
      </c>
      <c r="F3652" t="inlineStr">
        <is>
          <t>NFLX</t>
        </is>
      </c>
      <c r="G3652" t="n">
        <v>3</v>
      </c>
      <c r="H3652" t="n">
        <v>-763.51518</v>
      </c>
      <c r="I3652">
        <f>-H3506/G3506</f>
        <v/>
      </c>
      <c r="J3652" s="16" t="n">
        <v>44693</v>
      </c>
      <c r="K3652">
        <f>+OPERAC[[#This Row],[cantidad]]</f>
        <v/>
      </c>
      <c r="L3652">
        <f>+OPERAC[[#This Row],[cantidad venta]]*169.079</f>
        <v/>
      </c>
    </row>
    <row r="3653">
      <c r="A3653" t="n">
        <v>13269</v>
      </c>
      <c r="B3653" s="16" t="n">
        <v>44671</v>
      </c>
      <c r="C3653" t="inlineStr">
        <is>
          <t>VTA</t>
        </is>
      </c>
      <c r="D3653" t="n">
        <v>42</v>
      </c>
      <c r="E3653">
        <f>IF(D3819&gt;0,VLOOKUP(OPERAC[[#This Row],[COD CART]],[1]!MatrizCortoLargoCyl[#All],3,0),"")</f>
        <v/>
      </c>
      <c r="F3653" t="inlineStr">
        <is>
          <t>TLT</t>
        </is>
      </c>
      <c r="G3653" t="n">
        <v>7</v>
      </c>
      <c r="H3653" t="n">
        <v>-857.9410350000001</v>
      </c>
      <c r="I3653">
        <f>-H3819/G3819</f>
        <v/>
      </c>
    </row>
    <row r="3654">
      <c r="A3654" t="n">
        <v>13269</v>
      </c>
      <c r="B3654" s="16" t="n">
        <v>44680</v>
      </c>
      <c r="C3654" t="inlineStr">
        <is>
          <t>VTA</t>
        </is>
      </c>
      <c r="D3654" t="n">
        <v>42</v>
      </c>
      <c r="E3654">
        <f>IF(D3143&gt;0,VLOOKUP(OPERAC[[#This Row],[COD CART]],[1]!MatrizCortoLargoCyl[#All],3,0),"")</f>
        <v/>
      </c>
      <c r="F3654" t="inlineStr">
        <is>
          <t>XLP</t>
        </is>
      </c>
      <c r="G3654" t="n">
        <v>8</v>
      </c>
      <c r="H3654" t="n">
        <v>-635.4760199999999</v>
      </c>
      <c r="I3654">
        <f>-H3143/G3143</f>
        <v/>
      </c>
      <c r="J3654" s="16" t="n">
        <v>44693</v>
      </c>
      <c r="K3654">
        <f>+OPERAC[[#This Row],[cantidad]]</f>
        <v/>
      </c>
      <c r="L3654">
        <f>+OPERAC[[#This Row],[cantidad venta]]*74.848</f>
        <v/>
      </c>
    </row>
    <row r="3655">
      <c r="A3655" t="n">
        <v>13269</v>
      </c>
      <c r="B3655" s="16" t="n">
        <v>44705</v>
      </c>
      <c r="C3655" t="inlineStr">
        <is>
          <t>VTA</t>
        </is>
      </c>
      <c r="D3655" t="n">
        <v>42</v>
      </c>
      <c r="E3655">
        <f>IF(D1839&gt;0,VLOOKUP(OPERAC[[#This Row],[COD CART]],[1]!MatrizCortoLargoCyl[#All],3,0),"")</f>
        <v/>
      </c>
      <c r="F3655" t="inlineStr">
        <is>
          <t>AMD</t>
        </is>
      </c>
      <c r="G3655" t="n">
        <v>3</v>
      </c>
      <c r="H3655" t="n">
        <v>-277.51062</v>
      </c>
      <c r="I3655">
        <f>-H1839/G1839</f>
        <v/>
      </c>
      <c r="J3655" s="16" t="n">
        <v>44707</v>
      </c>
      <c r="K3655">
        <f>+OPERAC[[#This Row],[cantidad]]</f>
        <v/>
      </c>
      <c r="L3655">
        <f>+OPERAC[[#This Row],[cantidad venta]]*94.8</f>
        <v/>
      </c>
    </row>
    <row r="3656">
      <c r="A3656" t="n">
        <v>13269</v>
      </c>
      <c r="B3656" s="16" t="n">
        <v>44708</v>
      </c>
      <c r="C3656" t="inlineStr">
        <is>
          <t>CPR</t>
        </is>
      </c>
      <c r="D3656" t="n">
        <v>32</v>
      </c>
      <c r="E3656">
        <f>IF(D4630&gt;0,VLOOKUP(OPERAC[[#This Row],[COD CART]],[1]!MatrizCortoLargoCyl[#All],3,0),"")</f>
        <v/>
      </c>
      <c r="F3656" t="inlineStr">
        <is>
          <t>CCL/CYL/13,00/03-06-22</t>
        </is>
      </c>
      <c r="G3656" t="n">
        <v>100</v>
      </c>
      <c r="H3656" t="n">
        <v>-1276.4</v>
      </c>
      <c r="I3656">
        <f>-H4630/G4630</f>
        <v/>
      </c>
      <c r="J3656" s="16" t="n">
        <v>44715</v>
      </c>
      <c r="K3656">
        <f>+OPERAC[[#This Row],[cantidad]]</f>
        <v/>
      </c>
      <c r="L3656">
        <f>+OPERAC[[#This Row],[cantidad venta]]*12.942</f>
        <v/>
      </c>
    </row>
    <row r="3657">
      <c r="A3657" t="n">
        <v>13269</v>
      </c>
      <c r="B3657" s="16" t="n">
        <v>44708</v>
      </c>
      <c r="C3657" t="inlineStr">
        <is>
          <t>VTA</t>
        </is>
      </c>
      <c r="D3657" t="n">
        <v>42</v>
      </c>
      <c r="E3657">
        <f>IF(D2189&gt;0,VLOOKUP(OPERAC[[#This Row],[COD CART]],[1]!MatrizCortoLargoCyl[#All],3,0),"")</f>
        <v/>
      </c>
      <c r="F3657" t="inlineStr">
        <is>
          <t>ACB</t>
        </is>
      </c>
      <c r="G3657" t="n">
        <v>200</v>
      </c>
      <c r="H3657" t="n">
        <v>-365.064157761</v>
      </c>
      <c r="I3657">
        <f>-H2189/G2189</f>
        <v/>
      </c>
    </row>
    <row r="3658">
      <c r="A3658" t="n">
        <v>13269</v>
      </c>
      <c r="B3658" s="16" t="n">
        <v>44712</v>
      </c>
      <c r="C3658" t="inlineStr">
        <is>
          <t>VTA</t>
        </is>
      </c>
      <c r="D3658" t="n">
        <v>39</v>
      </c>
      <c r="E3658">
        <f>IF(D1561&gt;0,VLOOKUP(OPERAC[[#This Row],[COD CART]],[1]!MatrizCortoLargoCyl[#All],3,0),"")</f>
        <v/>
      </c>
      <c r="F3658" t="inlineStr">
        <is>
          <t>ET/C/10,00/21-10-22</t>
        </is>
      </c>
      <c r="G3658" t="n">
        <v>100</v>
      </c>
      <c r="H3658" t="n">
        <v>-202.808</v>
      </c>
      <c r="I3658">
        <f>-H1561/G1561</f>
        <v/>
      </c>
    </row>
    <row r="3659">
      <c r="A3659" t="n">
        <v>13269</v>
      </c>
      <c r="B3659" s="16" t="n">
        <v>44714</v>
      </c>
      <c r="C3659" t="inlineStr">
        <is>
          <t>VTA</t>
        </is>
      </c>
      <c r="D3659" t="n">
        <v>39</v>
      </c>
      <c r="E3659">
        <f>IF(D677&gt;0,VLOOKUP(OPERAC[[#This Row],[COD CART]],[1]!MatrizCortoLargoCyl[#All],3,0),"")</f>
        <v/>
      </c>
      <c r="F3659" t="inlineStr">
        <is>
          <t>TSLA/V/685,00/03-06-22</t>
        </is>
      </c>
      <c r="G3659" t="n">
        <v>-1000</v>
      </c>
      <c r="H3659" t="n">
        <v>436.26</v>
      </c>
      <c r="I3659">
        <f>-H677/G677</f>
        <v/>
      </c>
      <c r="J3659" s="16" t="n">
        <v>44715</v>
      </c>
      <c r="K3659" t="n">
        <v>-1000</v>
      </c>
      <c r="L3659" t="n">
        <v>-100.85</v>
      </c>
    </row>
    <row r="3660">
      <c r="A3660" t="n">
        <v>13269</v>
      </c>
      <c r="B3660" s="16" t="n">
        <v>44714</v>
      </c>
      <c r="C3660" t="inlineStr">
        <is>
          <t>VTA</t>
        </is>
      </c>
      <c r="D3660" t="n">
        <v>39</v>
      </c>
      <c r="E3660">
        <f>IF(D768&gt;0,VLOOKUP(OPERAC[[#This Row],[COD CART]],[1]!MatrizCortoLargoCyl[#All],3,0),"")</f>
        <v/>
      </c>
      <c r="F3660" t="inlineStr">
        <is>
          <t>TSLA/C/855,00/03-06-22</t>
        </is>
      </c>
      <c r="G3660" t="n">
        <v>-1000</v>
      </c>
      <c r="H3660" t="n">
        <v>317.28</v>
      </c>
      <c r="I3660">
        <f>-H768/G768</f>
        <v/>
      </c>
      <c r="J3660" s="16" t="n">
        <v>44715</v>
      </c>
      <c r="K3660">
        <f>+OPERAC[[#This Row],[cantidad]]</f>
        <v/>
      </c>
      <c r="L3660" t="n">
        <v>0</v>
      </c>
    </row>
    <row r="3661">
      <c r="A3661" t="n">
        <v>13269</v>
      </c>
      <c r="B3661" s="16" t="n">
        <v>44715</v>
      </c>
      <c r="C3661" t="inlineStr">
        <is>
          <t>VTA</t>
        </is>
      </c>
      <c r="D3661" t="n">
        <v>32</v>
      </c>
      <c r="E3661">
        <f>IF(D5071&gt;0,VLOOKUP(OPERAC[[#This Row],[COD CART]],[1]!MatrizCortoLargoCyl[#All],3,0),"")</f>
        <v/>
      </c>
      <c r="F3661" t="inlineStr">
        <is>
          <t>AAL/CYL/16,50/17-06-22</t>
        </is>
      </c>
      <c r="G3661" t="n">
        <v>100</v>
      </c>
      <c r="H3661" t="n">
        <v>-1580.215</v>
      </c>
      <c r="I3661">
        <f>-H5071/G5071</f>
        <v/>
      </c>
    </row>
    <row r="3662">
      <c r="A3662" t="n">
        <v>13269</v>
      </c>
      <c r="B3662" s="16" t="n">
        <v>44718</v>
      </c>
      <c r="C3662" t="inlineStr">
        <is>
          <t>CPR</t>
        </is>
      </c>
      <c r="D3662" t="n">
        <v>42</v>
      </c>
      <c r="E3662">
        <f>IF(D5944&gt;0,VLOOKUP(OPERAC[[#This Row],[COD CART]],[1]!MatrizCortoLargoCyl[#All],3,0),"")</f>
        <v/>
      </c>
      <c r="F3662" t="inlineStr">
        <is>
          <t>KWEB</t>
        </is>
      </c>
      <c r="G3662" t="n">
        <v>100</v>
      </c>
      <c r="H3662" t="n">
        <v>-3108.3388</v>
      </c>
      <c r="I3662">
        <f>-H5944/G5944</f>
        <v/>
      </c>
    </row>
    <row r="3663">
      <c r="A3663" t="n">
        <v>13269</v>
      </c>
      <c r="B3663" s="16" t="n">
        <v>44720</v>
      </c>
      <c r="C3663" t="inlineStr">
        <is>
          <t>CPR</t>
        </is>
      </c>
      <c r="D3663" t="n">
        <v>42</v>
      </c>
      <c r="E3663">
        <f>IF(D3465&gt;0,VLOOKUP(OPERAC[[#This Row],[COD CART]],[1]!MatrizCortoLargoCyl[#All],3,0),"")</f>
        <v/>
      </c>
      <c r="F3663" t="inlineStr">
        <is>
          <t>HYDR</t>
        </is>
      </c>
      <c r="G3663" t="n">
        <v>50</v>
      </c>
      <c r="H3663" t="n">
        <v>-756.375</v>
      </c>
      <c r="I3663">
        <f>-H3465/G3465</f>
        <v/>
      </c>
    </row>
    <row r="3664">
      <c r="A3664" t="n">
        <v>13271</v>
      </c>
      <c r="B3664" s="16" t="n">
        <v>44523</v>
      </c>
      <c r="C3664" t="inlineStr">
        <is>
          <t>VTA</t>
        </is>
      </c>
      <c r="D3664" t="n">
        <v>40</v>
      </c>
      <c r="E3664">
        <f>IF(D2151&gt;0,VLOOKUP(OPERAC[[#This Row],[COD CART]],[1]!MatrizCortoLargoCyl[#All],3,0),"")</f>
        <v/>
      </c>
      <c r="F3664" t="inlineStr">
        <is>
          <t>EDU</t>
        </is>
      </c>
      <c r="G3664" t="n">
        <v>200</v>
      </c>
      <c r="H3664">
        <f>-355.898+0.026*OPERAC[[#This Row],[cantidad]]</f>
        <v/>
      </c>
      <c r="I3664">
        <f>-H2151/G2151</f>
        <v/>
      </c>
      <c r="J3664" s="16" t="n">
        <v>44614</v>
      </c>
      <c r="K3664">
        <f>+OPERAC[[#This Row],[cantidad]]</f>
        <v/>
      </c>
      <c r="L3664">
        <f>1.483*OPERAC[[#This Row],[cantidad venta]]</f>
        <v/>
      </c>
    </row>
    <row r="3665">
      <c r="A3665" t="n">
        <v>13271</v>
      </c>
      <c r="B3665" s="16" t="n">
        <v>44523</v>
      </c>
      <c r="C3665" t="inlineStr">
        <is>
          <t>VTA</t>
        </is>
      </c>
      <c r="D3665" t="n">
        <v>32</v>
      </c>
      <c r="E3665">
        <f>IF(D3744&gt;0,VLOOKUP(OPERAC[[#This Row],[COD CART]],[1]!MatrizCortoLargoCyl[#All],3,0),"")</f>
        <v/>
      </c>
      <c r="F3665" t="inlineStr">
        <is>
          <t>TEVA/CYL/9,00/21-01-22</t>
        </is>
      </c>
      <c r="G3665" t="n">
        <v>100</v>
      </c>
      <c r="H3665">
        <f>-861.6332+18.874</f>
        <v/>
      </c>
      <c r="I3665">
        <f>-H3744/G3744</f>
        <v/>
      </c>
      <c r="J3665" s="16" t="n">
        <v>44575</v>
      </c>
      <c r="K3665" t="n">
        <v>100</v>
      </c>
      <c r="L3665" t="n">
        <v>878.913</v>
      </c>
    </row>
    <row r="3666">
      <c r="A3666" t="n">
        <v>13271</v>
      </c>
      <c r="B3666" s="16" t="n">
        <v>44537</v>
      </c>
      <c r="C3666" t="inlineStr">
        <is>
          <t>VTA</t>
        </is>
      </c>
      <c r="D3666" t="n">
        <v>43</v>
      </c>
      <c r="E3666">
        <f>IF(D1769&gt;0,VLOOKUP(OPERAC[[#This Row],[COD CART]],[1]!MatrizCortoLargoCyl[#All],3,0),"")</f>
        <v/>
      </c>
      <c r="F3666" t="inlineStr">
        <is>
          <t>XSPA/CYL-PUT/1,50/20-01-23</t>
        </is>
      </c>
      <c r="G3666" t="n">
        <v>500</v>
      </c>
      <c r="H3666">
        <f>-0.52*OPERAC[[#This Row],[cantidad]]</f>
        <v/>
      </c>
      <c r="I3666">
        <f>-H1769/G1769</f>
        <v/>
      </c>
    </row>
    <row r="3667">
      <c r="A3667" t="n">
        <v>13271</v>
      </c>
      <c r="B3667" s="16" t="n">
        <v>44539</v>
      </c>
      <c r="C3667" t="inlineStr">
        <is>
          <t>CPR</t>
        </is>
      </c>
      <c r="D3667" t="n">
        <v>40</v>
      </c>
      <c r="E3667">
        <f>IF(D4651&gt;0,VLOOKUP(OPERAC[[#This Row],[COD CART]],[1]!MatrizCortoLargoCyl[#All],3,0),"")</f>
        <v/>
      </c>
      <c r="F3667" t="inlineStr">
        <is>
          <t>ROKU</t>
        </is>
      </c>
      <c r="G3667" t="n">
        <v>5</v>
      </c>
      <c r="H3667" t="n">
        <v>-1288.6018</v>
      </c>
      <c r="I3667">
        <f>-H4651/G4651</f>
        <v/>
      </c>
      <c r="J3667" s="16" t="n">
        <v>44606</v>
      </c>
      <c r="K3667">
        <f>+OPERAC[[#This Row],[cantidad]]</f>
        <v/>
      </c>
      <c r="L3667">
        <f>+OPERAC[[#This Row],[cantidad venta]]*160.574</f>
        <v/>
      </c>
    </row>
    <row r="3668">
      <c r="A3668" t="n">
        <v>13271</v>
      </c>
      <c r="B3668" s="16" t="n">
        <v>44575</v>
      </c>
      <c r="C3668" t="inlineStr">
        <is>
          <t>VTA</t>
        </is>
      </c>
      <c r="D3668" t="n">
        <v>40</v>
      </c>
      <c r="E3668">
        <f>IF(D1998&gt;0,VLOOKUP(OPERAC[[#This Row],[COD CART]],[1]!MatrizCortoLargoCyl[#All],3,0),"")</f>
        <v/>
      </c>
      <c r="F3668" t="inlineStr">
        <is>
          <t>GBTC</t>
        </is>
      </c>
      <c r="G3668" t="n">
        <v>10</v>
      </c>
      <c r="H3668" t="n">
        <v>-308.0948</v>
      </c>
      <c r="I3668">
        <f>-H1998/G1998</f>
        <v/>
      </c>
      <c r="J3668" s="16" t="n">
        <v>44651</v>
      </c>
      <c r="K3668">
        <f>+OPERAC[[#This Row],[cantidad]]</f>
        <v/>
      </c>
      <c r="L3668">
        <f>+OPERAC[[#This Row],[cantidad venta]]*31.332</f>
        <v/>
      </c>
    </row>
    <row r="3669">
      <c r="A3669" t="n">
        <v>13271</v>
      </c>
      <c r="B3669" s="16" t="n">
        <v>44582</v>
      </c>
      <c r="C3669" t="inlineStr">
        <is>
          <t>VTA</t>
        </is>
      </c>
      <c r="D3669" t="n">
        <v>40</v>
      </c>
      <c r="E3669">
        <f>IF(D2286&gt;0,VLOOKUP(OPERAC[[#This Row],[COD CART]],[1]!MatrizCortoLargoCyl[#All],3,0),"")</f>
        <v/>
      </c>
      <c r="F3669" t="inlineStr">
        <is>
          <t>NFLX</t>
        </is>
      </c>
      <c r="G3669" t="n">
        <v>1</v>
      </c>
      <c r="H3669" t="n">
        <v>-390.6371</v>
      </c>
      <c r="I3669">
        <f>-H2286/G2286</f>
        <v/>
      </c>
      <c r="J3669" s="16" t="n">
        <v>44593</v>
      </c>
      <c r="K3669">
        <f>+OPERAC[[#This Row],[cantidad]]</f>
        <v/>
      </c>
      <c r="L3669">
        <f>+OPERAC[[#This Row],[cantidad venta]]*448.602</f>
        <v/>
      </c>
    </row>
    <row r="3670">
      <c r="A3670" t="n">
        <v>13271</v>
      </c>
      <c r="B3670" s="16" t="n">
        <v>44586</v>
      </c>
      <c r="C3670" t="inlineStr">
        <is>
          <t>CPR</t>
        </is>
      </c>
      <c r="D3670" t="n">
        <v>43</v>
      </c>
      <c r="E3670">
        <f>IF(D2742&gt;0,VLOOKUP(OPERAC[[#This Row],[COD CART]],[1]!MatrizCortoLargoCyl[#All],3,0),"")</f>
        <v/>
      </c>
      <c r="F3670" t="inlineStr">
        <is>
          <t>GMBL/CYL-PUT/2,50/20-01-23</t>
        </is>
      </c>
      <c r="G3670" t="n">
        <v>500</v>
      </c>
      <c r="H3670" t="n">
        <v>-508.0223000000001</v>
      </c>
      <c r="I3670">
        <f>-H2742/G2742</f>
        <v/>
      </c>
      <c r="J3670" s="16" t="n">
        <v>44636</v>
      </c>
      <c r="K3670" t="n">
        <v>500</v>
      </c>
      <c r="L3670">
        <f>-1.36*OPERAC[[#This Row],[cantidad venta]]</f>
        <v/>
      </c>
    </row>
    <row r="3671">
      <c r="A3671" t="n">
        <v>13271</v>
      </c>
      <c r="B3671" s="16" t="n">
        <v>44602</v>
      </c>
      <c r="C3671" t="inlineStr">
        <is>
          <t>VTA</t>
        </is>
      </c>
      <c r="D3671" t="n">
        <v>32</v>
      </c>
      <c r="E3671">
        <f>IF(D3834&gt;0,VLOOKUP(OPERAC[[#This Row],[COD CART]],[1]!MatrizCortoLargoCyl[#All],3,0),"")</f>
        <v/>
      </c>
      <c r="F3671" t="inlineStr">
        <is>
          <t>TEVA</t>
        </is>
      </c>
      <c r="G3671" t="n">
        <v>100</v>
      </c>
      <c r="H3671">
        <f>-8.59*OPERAC[[#This Row],[cantidad]]</f>
        <v/>
      </c>
      <c r="I3671">
        <f>-H3834/G3834</f>
        <v/>
      </c>
      <c r="J3671" s="16" t="n">
        <v>44643</v>
      </c>
      <c r="K3671">
        <f>+OPERAC[[#This Row],[cantidad]]</f>
        <v/>
      </c>
      <c r="L3671">
        <f>+OPERAC[[#This Row],[cantidad venta]]*8.051</f>
        <v/>
      </c>
    </row>
    <row r="3672">
      <c r="A3672" t="n">
        <v>13271</v>
      </c>
      <c r="B3672" s="16" t="n">
        <v>44609</v>
      </c>
      <c r="C3672" t="inlineStr">
        <is>
          <t>VTA</t>
        </is>
      </c>
      <c r="D3672" t="n">
        <v>32</v>
      </c>
      <c r="E3672">
        <f>IF(D3880&gt;0,VLOOKUP(OPERAC[[#This Row],[COD CART]],[1]!MatrizCortoLargoCyl[#All],3,0),"")</f>
        <v/>
      </c>
      <c r="F3672" t="inlineStr">
        <is>
          <t>HIMX/CYL/9,00/18-03-22</t>
        </is>
      </c>
      <c r="G3672" t="n">
        <v>100</v>
      </c>
      <c r="H3672" t="n">
        <v>-869.5839999999999</v>
      </c>
      <c r="I3672">
        <f>-H3880/G3880</f>
        <v/>
      </c>
      <c r="J3672" s="16" t="n">
        <v>44622</v>
      </c>
      <c r="K3672">
        <f>+OPERAC[[#This Row],[cantidad]]</f>
        <v/>
      </c>
      <c r="L3672" t="n">
        <v>883.576</v>
      </c>
    </row>
    <row r="3673">
      <c r="A3673" t="n">
        <v>13271</v>
      </c>
      <c r="B3673" s="16" t="n">
        <v>44628</v>
      </c>
      <c r="C3673" t="inlineStr">
        <is>
          <t>CPR</t>
        </is>
      </c>
      <c r="D3673" t="n">
        <v>32</v>
      </c>
      <c r="E3673">
        <f>IF(D3399&gt;0,VLOOKUP(OPERAC[[#This Row],[COD CART]],[1]!MatrizCortoLargoCyl[#All],3,0),"")</f>
        <v/>
      </c>
      <c r="F3673" t="inlineStr">
        <is>
          <t>COTY/CYL/8,00/14-04-22</t>
        </is>
      </c>
      <c r="G3673" t="n">
        <v>100</v>
      </c>
      <c r="H3673" t="n">
        <v>-718.0550999999999</v>
      </c>
      <c r="I3673">
        <f>-H3399/G3399</f>
        <v/>
      </c>
      <c r="J3673" s="16" t="n">
        <v>44643</v>
      </c>
      <c r="K3673" t="n">
        <v>100</v>
      </c>
      <c r="L3673" t="n">
        <v>779.3200000000001</v>
      </c>
    </row>
    <row r="3674">
      <c r="A3674" t="n">
        <v>13271</v>
      </c>
      <c r="B3674" s="16" t="n">
        <v>44636</v>
      </c>
      <c r="C3674" t="inlineStr">
        <is>
          <t>VTA</t>
        </is>
      </c>
      <c r="D3674" t="n">
        <v>43</v>
      </c>
      <c r="E3674">
        <f>IF(D1710&gt;0,VLOOKUP(OPERAC[[#This Row],[COD CART]],[1]!MatrizCortoLargoCyl[#All],3,0),"")</f>
        <v/>
      </c>
      <c r="F3674" t="inlineStr">
        <is>
          <t>GMBL/CYL-PUT/1,00/20-01-23</t>
        </is>
      </c>
      <c r="G3674" t="n">
        <v>1500</v>
      </c>
      <c r="H3674" t="n">
        <v>-245.0829749999998</v>
      </c>
      <c r="I3674">
        <f>-H1710/G1710</f>
        <v/>
      </c>
    </row>
    <row r="3675">
      <c r="A3675" t="n">
        <v>13271</v>
      </c>
      <c r="B3675" s="16" t="n">
        <v>44643</v>
      </c>
      <c r="C3675" t="inlineStr">
        <is>
          <t>CPR</t>
        </is>
      </c>
      <c r="D3675" t="n">
        <v>32</v>
      </c>
      <c r="E3675">
        <f>IF(D3270&gt;0,VLOOKUP(OPERAC[[#This Row],[COD CART]],[1]!MatrizCortoLargoCyl[#All],3,0),"")</f>
        <v/>
      </c>
      <c r="F3675" t="inlineStr">
        <is>
          <t>CRESY</t>
        </is>
      </c>
      <c r="G3675" t="n">
        <v>100</v>
      </c>
      <c r="H3675" t="n">
        <v>-680.303</v>
      </c>
      <c r="I3675">
        <f>-H3270/G3270</f>
        <v/>
      </c>
      <c r="J3675" s="16" t="n">
        <v>44708</v>
      </c>
      <c r="K3675" t="n">
        <v>100</v>
      </c>
      <c r="L3675" t="n">
        <v>733.71</v>
      </c>
    </row>
    <row r="3676">
      <c r="A3676" t="n">
        <v>13271</v>
      </c>
      <c r="B3676" s="16" t="n">
        <v>44651</v>
      </c>
      <c r="C3676" t="inlineStr">
        <is>
          <t>VTA</t>
        </is>
      </c>
      <c r="D3676" t="n">
        <v>42</v>
      </c>
      <c r="E3676">
        <f>IF(D2128&gt;0,VLOOKUP(OPERAC[[#This Row],[COD CART]],[1]!MatrizCortoLargoCyl[#All],3,0),"")</f>
        <v/>
      </c>
      <c r="F3676" t="inlineStr">
        <is>
          <t>AMD</t>
        </is>
      </c>
      <c r="G3676" t="n">
        <v>3</v>
      </c>
      <c r="H3676" t="n">
        <v>-341.69676</v>
      </c>
      <c r="I3676">
        <f>-H2128/G2128</f>
        <v/>
      </c>
      <c r="J3676" s="16" t="n">
        <v>44694</v>
      </c>
      <c r="K3676" t="n">
        <v>3</v>
      </c>
      <c r="L3676" t="n">
        <v>283.321</v>
      </c>
    </row>
    <row r="3677">
      <c r="A3677" t="n">
        <v>13271</v>
      </c>
      <c r="B3677" s="16" t="n">
        <v>44659</v>
      </c>
      <c r="C3677" t="inlineStr">
        <is>
          <t>CPR</t>
        </is>
      </c>
      <c r="D3677" t="n">
        <v>32</v>
      </c>
      <c r="E3677">
        <f>IF(D3679&gt;0,VLOOKUP(OPERAC[[#This Row],[COD CART]],[1]!MatrizCortoLargoCyl[#All],3,0),"")</f>
        <v/>
      </c>
      <c r="F3677" t="inlineStr">
        <is>
          <t>COTY</t>
        </is>
      </c>
      <c r="G3677" t="n">
        <v>100</v>
      </c>
      <c r="H3677" t="n">
        <v>-821.716</v>
      </c>
      <c r="I3677">
        <f>-H3679/G3679</f>
        <v/>
      </c>
      <c r="J3677" s="16" t="n">
        <v>44704</v>
      </c>
      <c r="K3677" t="n">
        <v>100</v>
      </c>
      <c r="L3677" t="n">
        <v>623.78</v>
      </c>
    </row>
    <row r="3678">
      <c r="A3678" t="n">
        <v>13271</v>
      </c>
      <c r="B3678" s="16" t="n">
        <v>44662</v>
      </c>
      <c r="C3678" t="inlineStr">
        <is>
          <t>VTA</t>
        </is>
      </c>
      <c r="D3678" t="n">
        <v>42</v>
      </c>
      <c r="E3678">
        <f>IF(D1501&gt;0,VLOOKUP(OPERAC[[#This Row],[COD CART]],[1]!MatrizCortoLargoCyl[#All],3,0),"")</f>
        <v/>
      </c>
      <c r="F3678" t="inlineStr">
        <is>
          <t>HYDR</t>
        </is>
      </c>
      <c r="G3678" t="n">
        <v>10</v>
      </c>
      <c r="H3678" t="n">
        <v>-185.70344</v>
      </c>
      <c r="I3678">
        <f>-H1501/G1501</f>
        <v/>
      </c>
      <c r="J3678" s="16" t="n">
        <v>44693</v>
      </c>
      <c r="K3678" t="n">
        <v>10</v>
      </c>
      <c r="L3678" t="n">
        <v>116.3</v>
      </c>
    </row>
    <row r="3679">
      <c r="A3679" t="n">
        <v>13271</v>
      </c>
      <c r="B3679" s="16" t="n">
        <v>44705</v>
      </c>
      <c r="C3679" t="inlineStr">
        <is>
          <t>CPR</t>
        </is>
      </c>
      <c r="D3679" t="n">
        <v>42</v>
      </c>
      <c r="E3679">
        <f>IF(D3377&gt;0,VLOOKUP(OPERAC[[#This Row],[COD CART]],[1]!MatrizCortoLargoCyl[#All],3,0),"")</f>
        <v/>
      </c>
      <c r="F3679" t="inlineStr">
        <is>
          <t>MELI</t>
        </is>
      </c>
      <c r="G3679" t="n">
        <v>1</v>
      </c>
      <c r="H3679" t="n">
        <v>-704.808</v>
      </c>
      <c r="I3679">
        <f>-H3377/G3377</f>
        <v/>
      </c>
      <c r="J3679" s="16" t="n">
        <v>44706</v>
      </c>
      <c r="K3679">
        <f>+OPERAC[[#This Row],[cantidad]]</f>
        <v/>
      </c>
      <c r="L3679" t="n">
        <v>725.8734000000001</v>
      </c>
    </row>
    <row r="3680">
      <c r="A3680" t="n">
        <v>13271</v>
      </c>
      <c r="B3680" s="16" t="n">
        <v>44708</v>
      </c>
      <c r="C3680" t="inlineStr">
        <is>
          <t>VTA</t>
        </is>
      </c>
      <c r="D3680" t="n">
        <v>42</v>
      </c>
      <c r="E3680">
        <f>IF(D1484&gt;0,VLOOKUP(OPERAC[[#This Row],[COD CART]],[1]!MatrizCortoLargoCyl[#All],3,0),"")</f>
        <v/>
      </c>
      <c r="F3680" t="inlineStr">
        <is>
          <t>ACB</t>
        </is>
      </c>
      <c r="G3680" t="n">
        <v>100</v>
      </c>
      <c r="H3680" t="n">
        <v>-182.5320788805</v>
      </c>
      <c r="I3680">
        <f>-H1484/G1484</f>
        <v/>
      </c>
      <c r="J3680" s="16" t="n">
        <v>44726</v>
      </c>
      <c r="K3680" t="n">
        <v>100</v>
      </c>
      <c r="L3680" t="n">
        <v>124.14</v>
      </c>
    </row>
    <row r="3681">
      <c r="A3681" t="n">
        <v>13271</v>
      </c>
      <c r="B3681" s="16" t="n">
        <v>44712</v>
      </c>
      <c r="C3681" t="inlineStr">
        <is>
          <t>VTA</t>
        </is>
      </c>
      <c r="D3681" t="n">
        <v>39</v>
      </c>
      <c r="E3681">
        <f>IF(D1562&gt;0,VLOOKUP(OPERAC[[#This Row],[COD CART]],[1]!MatrizCortoLargoCyl[#All],3,0),"")</f>
        <v/>
      </c>
      <c r="F3681" t="inlineStr">
        <is>
          <t>ET/C/10,00/21-10-22</t>
        </is>
      </c>
      <c r="G3681" t="n">
        <v>100</v>
      </c>
      <c r="H3681" t="n">
        <v>-202.808</v>
      </c>
      <c r="I3681">
        <f>-H1562/G1562</f>
        <v/>
      </c>
    </row>
    <row r="3682">
      <c r="A3682" t="n">
        <v>13271</v>
      </c>
      <c r="B3682" s="16" t="n">
        <v>44718</v>
      </c>
      <c r="C3682" t="inlineStr">
        <is>
          <t>VTA</t>
        </is>
      </c>
      <c r="D3682" t="n">
        <v>42</v>
      </c>
      <c r="E3682">
        <f>IF(D2560&gt;0,VLOOKUP(OPERAC[[#This Row],[COD CART]],[1]!MatrizCortoLargoCyl[#All],3,0),"")</f>
        <v/>
      </c>
      <c r="F3682" t="inlineStr">
        <is>
          <t>KWEB</t>
        </is>
      </c>
      <c r="G3682" t="n">
        <v>15</v>
      </c>
      <c r="H3682" t="n">
        <v>-466.25082</v>
      </c>
      <c r="I3682">
        <f>-H2560/G2560</f>
        <v/>
      </c>
    </row>
    <row r="3683">
      <c r="A3683" t="n">
        <v>13271</v>
      </c>
      <c r="B3683" s="16" t="n">
        <v>44725</v>
      </c>
      <c r="C3683" t="inlineStr">
        <is>
          <t>CPR</t>
        </is>
      </c>
      <c r="D3683" t="n">
        <v>40</v>
      </c>
      <c r="E3683">
        <f>IF(D3240&gt;0,VLOOKUP(OPERAC[[#This Row],[COD CART]],[1]!MatrizCortoLargoCyl[#All],3,0),"")</f>
        <v/>
      </c>
      <c r="F3683" t="inlineStr">
        <is>
          <t>COTY</t>
        </is>
      </c>
      <c r="G3683" t="n">
        <v>100</v>
      </c>
      <c r="H3683" t="n">
        <v>-666.619</v>
      </c>
      <c r="I3683">
        <f>-H3240/G3240</f>
        <v/>
      </c>
    </row>
    <row r="3684">
      <c r="A3684" t="n">
        <v>13271</v>
      </c>
      <c r="B3684" s="16" t="n">
        <v>44725</v>
      </c>
      <c r="C3684" t="inlineStr">
        <is>
          <t>VTA</t>
        </is>
      </c>
      <c r="D3684" t="n">
        <v>40</v>
      </c>
      <c r="E3684">
        <f>IF(D2031&gt;0,VLOOKUP(OPERAC[[#This Row],[COD CART]],[1]!MatrizCortoLargoCyl[#All],3,0),"")</f>
        <v/>
      </c>
      <c r="F3684" t="inlineStr">
        <is>
          <t>AMZN</t>
        </is>
      </c>
      <c r="G3684" t="n">
        <v>3</v>
      </c>
      <c r="H3684" t="n">
        <v>-316.797</v>
      </c>
      <c r="I3684">
        <f>-H2031/G2031</f>
        <v/>
      </c>
    </row>
    <row r="3685">
      <c r="A3685" t="n">
        <v>13273</v>
      </c>
      <c r="B3685" s="16" t="n">
        <v>44491</v>
      </c>
      <c r="C3685" t="inlineStr">
        <is>
          <t>VTA</t>
        </is>
      </c>
      <c r="D3685" t="n">
        <v>41</v>
      </c>
      <c r="E3685">
        <f>IF(D1379&gt;0,VLOOKUP(OPERAC[[#This Row],[COD CART]],[1]!MatrizCortoLargoCyl[#All],3,0),"")</f>
        <v/>
      </c>
      <c r="F3685" t="inlineStr">
        <is>
          <t>FAST</t>
        </is>
      </c>
      <c r="G3685" t="n">
        <v>2</v>
      </c>
      <c r="H3685">
        <f>-109.848-14.89</f>
        <v/>
      </c>
      <c r="I3685">
        <f>-H1379/G1379</f>
        <v/>
      </c>
    </row>
    <row r="3686">
      <c r="A3686" t="n">
        <v>13273</v>
      </c>
      <c r="B3686" s="16" t="n">
        <v>44523</v>
      </c>
      <c r="C3686" t="inlineStr">
        <is>
          <t>VTA</t>
        </is>
      </c>
      <c r="D3686" t="n">
        <v>40</v>
      </c>
      <c r="E3686">
        <f>IF(D3906&gt;0,VLOOKUP(OPERAC[[#This Row],[COD CART]],[1]!MatrizCortoLargoCyl[#All],3,0),"")</f>
        <v/>
      </c>
      <c r="F3686" t="inlineStr">
        <is>
          <t>EDU</t>
        </is>
      </c>
      <c r="G3686" t="n">
        <v>500</v>
      </c>
      <c r="H3686">
        <f>-889.745+0.026*OPERAC[[#This Row],[cantidad]]</f>
        <v/>
      </c>
      <c r="I3686">
        <f>-H3906/G3906</f>
        <v/>
      </c>
      <c r="J3686" s="16" t="n">
        <v>44630</v>
      </c>
      <c r="K3686" t="n">
        <v>500</v>
      </c>
      <c r="L3686" t="n">
        <v>574.278</v>
      </c>
    </row>
    <row r="3687">
      <c r="A3687" t="n">
        <v>13273</v>
      </c>
      <c r="B3687" s="16" t="n">
        <v>44523</v>
      </c>
      <c r="C3687" t="inlineStr">
        <is>
          <t>VTA</t>
        </is>
      </c>
      <c r="D3687" t="n">
        <v>32</v>
      </c>
      <c r="E3687">
        <f>IF(D5254&gt;0,VLOOKUP(OPERAC[[#This Row],[COD CART]],[1]!MatrizCortoLargoCyl[#All],3,0),"")</f>
        <v/>
      </c>
      <c r="F3687" t="inlineStr">
        <is>
          <t>TEVA/CYL/9,00/21-01-22</t>
        </is>
      </c>
      <c r="G3687" t="n">
        <v>200</v>
      </c>
      <c r="H3687">
        <f>-1723.2664+37.748</f>
        <v/>
      </c>
      <c r="I3687">
        <f>-H5254/G5254</f>
        <v/>
      </c>
      <c r="J3687" s="16" t="n">
        <v>44575</v>
      </c>
      <c r="K3687" t="n">
        <v>200</v>
      </c>
      <c r="L3687" t="n">
        <v>1757.83</v>
      </c>
    </row>
    <row r="3688">
      <c r="A3688" t="n">
        <v>13273</v>
      </c>
      <c r="B3688" s="16" t="n">
        <v>44558</v>
      </c>
      <c r="C3688" t="inlineStr">
        <is>
          <t>VTA</t>
        </is>
      </c>
      <c r="D3688" t="n">
        <v>40</v>
      </c>
      <c r="E3688">
        <f>IF(D1945&gt;0,VLOOKUP(OPERAC[[#This Row],[COD CART]],[1]!MatrizCortoLargoCyl[#All],3,0),"")</f>
        <v/>
      </c>
      <c r="F3688" t="inlineStr">
        <is>
          <t>UPST</t>
        </is>
      </c>
      <c r="G3688" t="n">
        <v>2</v>
      </c>
      <c r="H3688" t="n">
        <v>-301.2004</v>
      </c>
      <c r="I3688">
        <f>-H1945/G1945</f>
        <v/>
      </c>
      <c r="J3688" s="16" t="n">
        <v>44606</v>
      </c>
      <c r="K3688">
        <f>+OPERAC[[#This Row],[cantidad]]</f>
        <v/>
      </c>
      <c r="L3688">
        <f>+OPERAC[[#This Row],[cantidad venta]]*98.994</f>
        <v/>
      </c>
    </row>
    <row r="3689">
      <c r="A3689" t="n">
        <v>13273</v>
      </c>
      <c r="B3689" s="16" t="n">
        <v>44586</v>
      </c>
      <c r="C3689" t="inlineStr">
        <is>
          <t>CPR</t>
        </is>
      </c>
      <c r="D3689" t="n">
        <v>43</v>
      </c>
      <c r="E3689">
        <f>IF(D2743&gt;0,VLOOKUP(OPERAC[[#This Row],[COD CART]],[1]!MatrizCortoLargoCyl[#All],3,0),"")</f>
        <v/>
      </c>
      <c r="F3689" t="inlineStr">
        <is>
          <t>GMBL/CYL-PUT/2,50/20-01-23</t>
        </is>
      </c>
      <c r="G3689" t="n">
        <v>500</v>
      </c>
      <c r="H3689" t="n">
        <v>-508.0223000000001</v>
      </c>
      <c r="I3689">
        <f>-H2743/G2743</f>
        <v/>
      </c>
      <c r="J3689" s="16" t="n">
        <v>44636</v>
      </c>
      <c r="K3689" t="n">
        <v>500</v>
      </c>
      <c r="L3689">
        <f>-1.36*OPERAC[[#This Row],[cantidad venta]]</f>
        <v/>
      </c>
    </row>
    <row r="3690">
      <c r="A3690" t="n">
        <v>13273</v>
      </c>
      <c r="B3690" s="16" t="n">
        <v>44602</v>
      </c>
      <c r="C3690" t="inlineStr">
        <is>
          <t>VTA</t>
        </is>
      </c>
      <c r="D3690" t="n">
        <v>32</v>
      </c>
      <c r="E3690">
        <f>IF(D3835&gt;0,VLOOKUP(OPERAC[[#This Row],[COD CART]],[1]!MatrizCortoLargoCyl[#All],3,0),"")</f>
        <v/>
      </c>
      <c r="F3690" t="inlineStr">
        <is>
          <t>TEVA</t>
        </is>
      </c>
      <c r="G3690" t="n">
        <v>100</v>
      </c>
      <c r="H3690">
        <f>-8.59*OPERAC[[#This Row],[cantidad]]</f>
        <v/>
      </c>
      <c r="I3690">
        <f>-H3835/G3835</f>
        <v/>
      </c>
      <c r="J3690" s="16" t="n">
        <v>44643</v>
      </c>
      <c r="K3690">
        <f>+OPERAC[[#This Row],[cantidad]]</f>
        <v/>
      </c>
      <c r="L3690">
        <f>+OPERAC[[#This Row],[cantidad venta]]*8.051</f>
        <v/>
      </c>
    </row>
    <row r="3691">
      <c r="A3691" t="n">
        <v>13273</v>
      </c>
      <c r="B3691" s="16" t="n">
        <v>44622</v>
      </c>
      <c r="C3691" t="inlineStr">
        <is>
          <t>CPR</t>
        </is>
      </c>
      <c r="D3691" t="n">
        <v>32</v>
      </c>
      <c r="E3691">
        <f>IF(D2583&gt;0,VLOOKUP(OPERAC[[#This Row],[COD CART]],[1]!MatrizCortoLargoCyl[#All],3,0),"")</f>
        <v/>
      </c>
      <c r="F3691" t="inlineStr">
        <is>
          <t>HMY/CYL/5,00/18-03-22</t>
        </is>
      </c>
      <c r="G3691" t="n">
        <v>100</v>
      </c>
      <c r="H3691" t="n">
        <v>-468.532</v>
      </c>
      <c r="I3691">
        <f>-H2583/G2583</f>
        <v/>
      </c>
      <c r="J3691" s="16" t="n">
        <v>44637</v>
      </c>
      <c r="K3691">
        <f>+OPERAC[[#This Row],[cantidad]]</f>
        <v/>
      </c>
      <c r="L3691">
        <f>4.85553*OPERAC[[#This Row],[cantidad venta]]</f>
        <v/>
      </c>
    </row>
    <row r="3692">
      <c r="A3692" t="n">
        <v>13273</v>
      </c>
      <c r="B3692" s="16" t="n">
        <v>44636</v>
      </c>
      <c r="C3692" t="inlineStr">
        <is>
          <t>VTA</t>
        </is>
      </c>
      <c r="D3692" t="n">
        <v>43</v>
      </c>
      <c r="E3692">
        <f>IF(D1711&gt;0,VLOOKUP(OPERAC[[#This Row],[COD CART]],[1]!MatrizCortoLargoCyl[#All],3,0),"")</f>
        <v/>
      </c>
      <c r="F3692" t="inlineStr">
        <is>
          <t>GMBL/CYL-PUT/1,00/20-01-23</t>
        </is>
      </c>
      <c r="G3692" t="n">
        <v>1500</v>
      </c>
      <c r="H3692" t="n">
        <v>-245.0829749999998</v>
      </c>
      <c r="I3692">
        <f>-H1711/G1711</f>
        <v/>
      </c>
      <c r="J3692" s="16" t="n">
        <v>44705</v>
      </c>
      <c r="K3692" t="n">
        <v>1000</v>
      </c>
      <c r="L3692" t="n">
        <v>-438.16</v>
      </c>
    </row>
    <row r="3693">
      <c r="A3693" t="n">
        <v>13273</v>
      </c>
      <c r="B3693" s="16" t="n">
        <v>44637</v>
      </c>
      <c r="C3693" t="inlineStr">
        <is>
          <t>VTA</t>
        </is>
      </c>
      <c r="D3693" t="n">
        <v>43</v>
      </c>
      <c r="E3693">
        <f>IF(D1333&gt;0,VLOOKUP(OPERAC[[#This Row],[COD CART]],[1]!MatrizCortoLargoCyl[#All],3,0),"")</f>
        <v/>
      </c>
      <c r="F3693" t="inlineStr">
        <is>
          <t>GMBL/CYL-PUT/1,00/20-01-23</t>
        </is>
      </c>
      <c r="G3693" t="n">
        <v>500</v>
      </c>
      <c r="H3693" t="n">
        <v>-103.91588</v>
      </c>
      <c r="I3693">
        <f>-H1333/G1333</f>
        <v/>
      </c>
    </row>
    <row r="3694">
      <c r="A3694" t="n">
        <v>13273</v>
      </c>
      <c r="B3694" s="16" t="n">
        <v>44641</v>
      </c>
      <c r="C3694" t="inlineStr">
        <is>
          <t>VTA</t>
        </is>
      </c>
      <c r="D3694" t="n">
        <v>42</v>
      </c>
      <c r="E3694">
        <f>IF(D1603&gt;0,VLOOKUP(OPERAC[[#This Row],[COD CART]],[1]!MatrizCortoLargoCyl[#All],3,0),"")</f>
        <v/>
      </c>
      <c r="F3694" t="inlineStr">
        <is>
          <t>FB</t>
        </is>
      </c>
      <c r="G3694" t="n">
        <v>1</v>
      </c>
      <c r="H3694" t="n">
        <v>-212.15638</v>
      </c>
      <c r="I3694">
        <f>-H1603/G1603</f>
        <v/>
      </c>
      <c r="J3694" s="16" t="n">
        <v>44671</v>
      </c>
      <c r="K3694">
        <f>+OPERAC[[#This Row],[cantidad]]</f>
        <v/>
      </c>
      <c r="L3694">
        <f>+OPERAC[[#This Row],[cantidad venta]]*213.173</f>
        <v/>
      </c>
    </row>
    <row r="3695">
      <c r="A3695" t="n">
        <v>13273</v>
      </c>
      <c r="B3695" s="16" t="n">
        <v>44643</v>
      </c>
      <c r="C3695" t="inlineStr">
        <is>
          <t>CPR</t>
        </is>
      </c>
      <c r="D3695" t="n">
        <v>32</v>
      </c>
      <c r="E3695">
        <f>IF(D3271&gt;0,VLOOKUP(OPERAC[[#This Row],[COD CART]],[1]!MatrizCortoLargoCyl[#All],3,0),"")</f>
        <v/>
      </c>
      <c r="F3695" t="inlineStr">
        <is>
          <t>CRESY</t>
        </is>
      </c>
      <c r="G3695" t="n">
        <v>100</v>
      </c>
      <c r="H3695" t="n">
        <v>-680.303</v>
      </c>
      <c r="I3695">
        <f>-H3271/G3271</f>
        <v/>
      </c>
      <c r="J3695" s="16" t="n">
        <v>44708</v>
      </c>
      <c r="K3695" t="n">
        <v>100</v>
      </c>
      <c r="L3695" t="n">
        <v>733.71</v>
      </c>
    </row>
    <row r="3696">
      <c r="A3696" t="n">
        <v>13273</v>
      </c>
      <c r="B3696" s="16" t="n">
        <v>44662</v>
      </c>
      <c r="C3696" t="inlineStr">
        <is>
          <t>VTA</t>
        </is>
      </c>
      <c r="D3696" t="n">
        <v>42</v>
      </c>
      <c r="E3696">
        <f>IF(D1502&gt;0,VLOOKUP(OPERAC[[#This Row],[COD CART]],[1]!MatrizCortoLargoCyl[#All],3,0),"")</f>
        <v/>
      </c>
      <c r="F3696" t="inlineStr">
        <is>
          <t>HYDR</t>
        </is>
      </c>
      <c r="G3696" t="n">
        <v>10</v>
      </c>
      <c r="H3696" t="n">
        <v>-185.70344</v>
      </c>
      <c r="I3696">
        <f>-H1502/G1502</f>
        <v/>
      </c>
      <c r="J3696" s="16" t="n">
        <v>44693</v>
      </c>
      <c r="K3696">
        <f>+OPERAC[[#This Row],[cantidad]]</f>
        <v/>
      </c>
      <c r="L3696">
        <f>+OPERAC[[#This Row],[cantidad venta]]*12.027</f>
        <v/>
      </c>
    </row>
    <row r="3697">
      <c r="A3697" t="n">
        <v>13273</v>
      </c>
      <c r="B3697" s="16" t="n">
        <v>44671</v>
      </c>
      <c r="C3697" t="inlineStr">
        <is>
          <t>VTA</t>
        </is>
      </c>
      <c r="D3697" t="n">
        <v>42</v>
      </c>
      <c r="E3697">
        <f>IF(D1751&gt;0,VLOOKUP(OPERAC[[#This Row],[COD CART]],[1]!MatrizCortoLargoCyl[#All],3,0),"")</f>
        <v/>
      </c>
      <c r="F3697" t="inlineStr">
        <is>
          <t>NFLX</t>
        </is>
      </c>
      <c r="G3697" t="n">
        <v>1</v>
      </c>
      <c r="H3697" t="n">
        <v>-254.50506</v>
      </c>
      <c r="I3697">
        <f>-H1751/G1751</f>
        <v/>
      </c>
      <c r="J3697" s="16" t="n">
        <v>44693</v>
      </c>
      <c r="K3697">
        <f>+OPERAC[[#This Row],[cantidad]]</f>
        <v/>
      </c>
      <c r="L3697">
        <f>+OPERAC[[#This Row],[cantidad venta]]*169.079</f>
        <v/>
      </c>
    </row>
    <row r="3698">
      <c r="A3698" t="n">
        <v>13273</v>
      </c>
      <c r="B3698" s="16" t="n">
        <v>44715</v>
      </c>
      <c r="C3698" t="inlineStr">
        <is>
          <t>CPR</t>
        </is>
      </c>
      <c r="D3698" t="n">
        <v>32</v>
      </c>
      <c r="E3698">
        <f>IF(D3412&gt;0,VLOOKUP(OPERAC[[#This Row],[COD CART]],[1]!MatrizCortoLargoCyl[#All],3,0),"")</f>
        <v/>
      </c>
      <c r="F3698" t="inlineStr">
        <is>
          <t>COTY/CYL/8,00/17-06-22</t>
        </is>
      </c>
      <c r="G3698" t="n">
        <v>100</v>
      </c>
      <c r="H3698" t="n">
        <v>-725.0599999999999</v>
      </c>
      <c r="I3698">
        <f>-H3412/G3412</f>
        <v/>
      </c>
    </row>
    <row r="3699">
      <c r="A3699" t="n">
        <v>13273</v>
      </c>
      <c r="B3699" s="16" t="n">
        <v>44715</v>
      </c>
      <c r="C3699" t="inlineStr">
        <is>
          <t>CPR</t>
        </is>
      </c>
      <c r="D3699" t="n">
        <v>32</v>
      </c>
      <c r="E3699">
        <f>IF(D4084&gt;0,VLOOKUP(OPERAC[[#This Row],[COD CART]],[1]!MatrizCortoLargoCyl[#All],3,0),"")</f>
        <v/>
      </c>
      <c r="F3699" t="inlineStr">
        <is>
          <t>HIMX/CYL/10,50/17-06-22</t>
        </is>
      </c>
      <c r="G3699" t="n">
        <v>100</v>
      </c>
      <c r="H3699" t="n">
        <v>-937.87</v>
      </c>
      <c r="I3699">
        <f>-H4084/G4084</f>
        <v/>
      </c>
    </row>
    <row r="3700">
      <c r="A3700" t="n">
        <v>13281</v>
      </c>
      <c r="B3700" s="16" t="n">
        <v>43985</v>
      </c>
      <c r="C3700" t="inlineStr">
        <is>
          <t>CPR</t>
        </is>
      </c>
      <c r="D3700" t="n">
        <v>41</v>
      </c>
      <c r="E3700">
        <f>IF(D4632&gt;0,VLOOKUP(OPERAC[[#This Row],[COD CART]],[1]!MatrizCortoLargoCyl[#All],3,0),"")</f>
        <v/>
      </c>
      <c r="F3700" t="inlineStr">
        <is>
          <t>YPF</t>
        </is>
      </c>
      <c r="G3700" t="n">
        <v>230</v>
      </c>
      <c r="H3700" t="n">
        <v>-1278.5884</v>
      </c>
      <c r="I3700" t="n">
        <v>5.55908</v>
      </c>
    </row>
    <row r="3701">
      <c r="A3701" t="n">
        <v>13281</v>
      </c>
      <c r="B3701" s="16" t="n">
        <v>43990</v>
      </c>
      <c r="C3701" t="inlineStr">
        <is>
          <t>VTA</t>
        </is>
      </c>
      <c r="D3701" t="n">
        <v>41</v>
      </c>
      <c r="E3701">
        <f>IF(D3105&gt;0,VLOOKUP(OPERAC[[#This Row],[COD CART]],[1]!MatrizCortoLargoCyl[#All],3,0),"")</f>
        <v/>
      </c>
      <c r="F3701" t="inlineStr">
        <is>
          <t>GGAL</t>
        </is>
      </c>
      <c r="G3701" t="n">
        <v>55</v>
      </c>
      <c r="H3701" t="n">
        <v>-623.975</v>
      </c>
      <c r="I3701" t="n">
        <v>11.345</v>
      </c>
    </row>
    <row r="3702">
      <c r="A3702" t="n">
        <v>13281</v>
      </c>
      <c r="B3702" s="16" t="n">
        <v>44217</v>
      </c>
      <c r="C3702" t="inlineStr">
        <is>
          <t>CPR</t>
        </is>
      </c>
      <c r="D3702" t="n">
        <v>41</v>
      </c>
      <c r="E3702">
        <f>IF(D3428&gt;0,VLOOKUP(OPERAC[[#This Row],[COD CART]],[1]!MatrizCortoLargoCyl[#All],3,0),"")</f>
        <v/>
      </c>
      <c r="F3702" t="inlineStr">
        <is>
          <t>YPF</t>
        </is>
      </c>
      <c r="G3702" t="n">
        <v>220</v>
      </c>
      <c r="H3702" t="n">
        <v>-747.77</v>
      </c>
      <c r="I3702">
        <f>-H3428/G3428</f>
        <v/>
      </c>
    </row>
    <row r="3703">
      <c r="A3703" t="n">
        <v>13281</v>
      </c>
      <c r="B3703" s="16" t="n">
        <v>44218</v>
      </c>
      <c r="C3703" t="inlineStr">
        <is>
          <t>VTA</t>
        </is>
      </c>
      <c r="D3703" t="n">
        <v>41</v>
      </c>
      <c r="E3703">
        <f>IF(D2888&gt;0,VLOOKUP(OPERAC[[#This Row],[COD CART]],[1]!MatrizCortoLargoCyl[#All],3,0),"")</f>
        <v/>
      </c>
      <c r="F3703" t="inlineStr">
        <is>
          <t>AXU</t>
        </is>
      </c>
      <c r="G3703" t="n">
        <v>200</v>
      </c>
      <c r="H3703" t="n">
        <v>-539.27</v>
      </c>
      <c r="I3703">
        <f>-H2888/G2888</f>
        <v/>
      </c>
    </row>
    <row r="3704">
      <c r="A3704" t="n">
        <v>13281</v>
      </c>
      <c r="B3704" s="16" t="n">
        <v>44523</v>
      </c>
      <c r="C3704" t="inlineStr">
        <is>
          <t>VTA</t>
        </is>
      </c>
      <c r="D3704" t="n">
        <v>32</v>
      </c>
      <c r="E3704">
        <f>IF(D2317&gt;0,VLOOKUP(OPERAC[[#This Row],[COD CART]],[1]!MatrizCortoLargoCyl[#All],3,0),"")</f>
        <v/>
      </c>
      <c r="F3704" t="inlineStr">
        <is>
          <t>GMBL</t>
        </is>
      </c>
      <c r="G3704" t="n">
        <v>100</v>
      </c>
      <c r="H3704">
        <f>-411.931+9.067</f>
        <v/>
      </c>
      <c r="I3704">
        <f>-H2317/G2317</f>
        <v/>
      </c>
      <c r="J3704" s="16" t="n">
        <v>44659</v>
      </c>
      <c r="K3704" t="n">
        <v>100</v>
      </c>
      <c r="L3704" t="n">
        <v>71.744</v>
      </c>
    </row>
    <row r="3705">
      <c r="A3705" t="n">
        <v>13281</v>
      </c>
      <c r="B3705" s="16" t="n">
        <v>44539</v>
      </c>
      <c r="C3705" t="inlineStr">
        <is>
          <t>VTA</t>
        </is>
      </c>
      <c r="D3705" t="n">
        <v>40</v>
      </c>
      <c r="E3705">
        <f>IF(D1765&gt;0,VLOOKUP(OPERAC[[#This Row],[COD CART]],[1]!MatrizCortoLargoCyl[#All],3,0),"")</f>
        <v/>
      </c>
      <c r="F3705" t="inlineStr">
        <is>
          <t>ROKU</t>
        </is>
      </c>
      <c r="G3705" t="n">
        <v>1</v>
      </c>
      <c r="H3705" t="n">
        <v>-257.72036</v>
      </c>
      <c r="I3705">
        <f>-H1765/G1765</f>
        <v/>
      </c>
      <c r="J3705" s="16" t="n">
        <v>44606</v>
      </c>
      <c r="K3705">
        <f>+OPERAC[[#This Row],[cantidad]]</f>
        <v/>
      </c>
      <c r="L3705">
        <f>+OPERAC[[#This Row],[cantidad venta]]*160.574</f>
        <v/>
      </c>
    </row>
    <row r="3706">
      <c r="A3706" t="n">
        <v>13281</v>
      </c>
      <c r="B3706" s="16" t="n">
        <v>44564</v>
      </c>
      <c r="C3706" t="inlineStr">
        <is>
          <t>CPR</t>
        </is>
      </c>
      <c r="D3706" t="n">
        <v>41</v>
      </c>
      <c r="E3706">
        <f>IF(D2784&gt;0,VLOOKUP(OPERAC[[#This Row],[COD CART]],[1]!MatrizCortoLargoCyl[#All],3,0),"")</f>
        <v/>
      </c>
      <c r="F3706" t="inlineStr">
        <is>
          <t>ACB</t>
        </is>
      </c>
      <c r="G3706" t="n">
        <v>88</v>
      </c>
      <c r="H3706" t="n">
        <v>-514.419</v>
      </c>
      <c r="I3706">
        <f>-H2784/G2784</f>
        <v/>
      </c>
    </row>
    <row r="3707">
      <c r="A3707" t="n">
        <v>13281</v>
      </c>
      <c r="B3707" s="16" t="n">
        <v>44565</v>
      </c>
      <c r="C3707" t="inlineStr">
        <is>
          <t>CPR</t>
        </is>
      </c>
      <c r="D3707" t="n">
        <v>41</v>
      </c>
      <c r="E3707">
        <f>IF(D2623&gt;0,VLOOKUP(OPERAC[[#This Row],[COD CART]],[1]!MatrizCortoLargoCyl[#All],3,0),"")</f>
        <v/>
      </c>
      <c r="F3707" t="inlineStr">
        <is>
          <t>ACB</t>
        </is>
      </c>
      <c r="G3707" t="n">
        <v>84</v>
      </c>
      <c r="H3707" t="n">
        <v>-476.6280256</v>
      </c>
      <c r="I3707">
        <f>-H2623/G2623</f>
        <v/>
      </c>
    </row>
    <row r="3708">
      <c r="A3708" t="n">
        <v>13281</v>
      </c>
      <c r="B3708" s="16" t="n">
        <v>44641</v>
      </c>
      <c r="C3708" t="inlineStr">
        <is>
          <t>VTA</t>
        </is>
      </c>
      <c r="D3708" t="n">
        <v>42</v>
      </c>
      <c r="E3708">
        <f>IF(D1405&gt;0,VLOOKUP(OPERAC[[#This Row],[COD CART]],[1]!MatrizCortoLargoCyl[#All],3,0),"")</f>
        <v/>
      </c>
      <c r="F3708" t="inlineStr">
        <is>
          <t>JPM</t>
        </is>
      </c>
      <c r="G3708" t="n">
        <v>1</v>
      </c>
      <c r="H3708" t="n">
        <v>-140.45434</v>
      </c>
      <c r="I3708">
        <f>-H1405/G1405</f>
        <v/>
      </c>
      <c r="J3708" s="16" t="n">
        <v>44664</v>
      </c>
      <c r="K3708">
        <f>+OPERAC[[#This Row],[cantidad]]</f>
        <v/>
      </c>
      <c r="L3708">
        <f>+OPERAC[[#This Row],[cantidad venta]]*125.943</f>
        <v/>
      </c>
    </row>
    <row r="3709">
      <c r="A3709" t="n">
        <v>13281</v>
      </c>
      <c r="B3709" s="16" t="n">
        <v>44641</v>
      </c>
      <c r="C3709" t="inlineStr">
        <is>
          <t>VTA</t>
        </is>
      </c>
      <c r="D3709" t="n">
        <v>42</v>
      </c>
      <c r="E3709">
        <f>IF(D1604&gt;0,VLOOKUP(OPERAC[[#This Row],[COD CART]],[1]!MatrizCortoLargoCyl[#All],3,0),"")</f>
        <v/>
      </c>
      <c r="F3709" t="inlineStr">
        <is>
          <t>FB</t>
        </is>
      </c>
      <c r="G3709" t="n">
        <v>1</v>
      </c>
      <c r="H3709" t="n">
        <v>-212.15638</v>
      </c>
      <c r="I3709">
        <f>-H1604/G1604</f>
        <v/>
      </c>
      <c r="J3709" s="16" t="n">
        <v>44671</v>
      </c>
      <c r="K3709">
        <f>+OPERAC[[#This Row],[cantidad]]</f>
        <v/>
      </c>
      <c r="L3709">
        <f>+OPERAC[[#This Row],[cantidad venta]]*213.173</f>
        <v/>
      </c>
    </row>
    <row r="3710">
      <c r="A3710" t="n">
        <v>13281</v>
      </c>
      <c r="B3710" s="16" t="n">
        <v>44659</v>
      </c>
      <c r="C3710" t="inlineStr">
        <is>
          <t>VTA</t>
        </is>
      </c>
      <c r="D3710" t="n">
        <v>42</v>
      </c>
      <c r="E3710">
        <f>IF(D1734&gt;0,VLOOKUP(OPERAC[[#This Row],[COD CART]],[1]!MatrizCortoLargoCyl[#All],3,0),"")</f>
        <v/>
      </c>
      <c r="F3710" t="inlineStr">
        <is>
          <t>SMH</t>
        </is>
      </c>
      <c r="G3710" t="n">
        <v>1</v>
      </c>
      <c r="H3710" t="n">
        <v>-250.692</v>
      </c>
      <c r="I3710">
        <f>-H1734/G1734</f>
        <v/>
      </c>
      <c r="J3710" s="16" t="n">
        <v>44663</v>
      </c>
      <c r="K3710">
        <f>+OPERAC[[#This Row],[cantidad]]</f>
        <v/>
      </c>
      <c r="L3710">
        <f>+OPERAC[[#This Row],[cantidad venta]]*238.066</f>
        <v/>
      </c>
    </row>
    <row r="3711">
      <c r="A3711" t="n">
        <v>13281</v>
      </c>
      <c r="B3711" s="16" t="n">
        <v>44671</v>
      </c>
      <c r="C3711" t="inlineStr">
        <is>
          <t>VTA</t>
        </is>
      </c>
      <c r="D3711" t="n">
        <v>42</v>
      </c>
      <c r="E3711">
        <f>IF(D1752&gt;0,VLOOKUP(OPERAC[[#This Row],[COD CART]],[1]!MatrizCortoLargoCyl[#All],3,0),"")</f>
        <v/>
      </c>
      <c r="F3711" t="inlineStr">
        <is>
          <t>NFLX</t>
        </is>
      </c>
      <c r="G3711" t="n">
        <v>1</v>
      </c>
      <c r="H3711" t="n">
        <v>-254.50506</v>
      </c>
      <c r="I3711">
        <f>-H1752/G1752</f>
        <v/>
      </c>
    </row>
    <row r="3712">
      <c r="A3712" t="n">
        <v>15189</v>
      </c>
      <c r="B3712" s="16" t="n">
        <v>44166</v>
      </c>
      <c r="C3712" t="inlineStr">
        <is>
          <t>CPR</t>
        </is>
      </c>
      <c r="D3712" t="n">
        <v>40</v>
      </c>
      <c r="E3712">
        <f>IF(D4770&gt;0,VLOOKUP(OPERAC[[#This Row],[COD CART]],[1]!MatrizCortoLargoCyl[#All],3,0),"")</f>
        <v/>
      </c>
      <c r="F3712" t="inlineStr">
        <is>
          <t>HMY</t>
        </is>
      </c>
      <c r="G3712" t="n">
        <v>200</v>
      </c>
      <c r="H3712" t="n">
        <v>-1384.95</v>
      </c>
      <c r="I3712">
        <f>-H4770/G4770</f>
        <v/>
      </c>
      <c r="J3712" s="16" t="n">
        <v>44704</v>
      </c>
      <c r="K3712" t="n">
        <v>200</v>
      </c>
      <c r="L3712" t="n">
        <v>732.7190000000001</v>
      </c>
    </row>
    <row r="3713">
      <c r="A3713" t="n">
        <v>15189</v>
      </c>
      <c r="B3713" s="16" t="n">
        <v>44237</v>
      </c>
      <c r="C3713" t="inlineStr">
        <is>
          <t>CPR</t>
        </is>
      </c>
      <c r="D3713" t="n">
        <v>40</v>
      </c>
      <c r="E3713">
        <f>IF(D5982&gt;0,VLOOKUP(OPERAC[[#This Row],[COD CART]],[1]!MatrizCortoLargoCyl[#All],3,0),"")</f>
        <v/>
      </c>
      <c r="F3713" t="inlineStr">
        <is>
          <t>DDD</t>
        </is>
      </c>
      <c r="G3713" t="n">
        <v>100</v>
      </c>
      <c r="H3713">
        <f>-3950.37+3.56+207.61+90+342.24+10.237+39.782+29.76</f>
        <v/>
      </c>
      <c r="I3713">
        <f>-H5982/G5982</f>
        <v/>
      </c>
      <c r="J3713" s="16" t="n">
        <v>44606</v>
      </c>
      <c r="K3713" t="n">
        <v>100</v>
      </c>
      <c r="L3713">
        <f>+OPERAC[[#This Row],[cantidad venta]]*18.06</f>
        <v/>
      </c>
    </row>
    <row r="3714">
      <c r="A3714" t="n">
        <v>15189</v>
      </c>
      <c r="B3714" s="16" t="n">
        <v>44307</v>
      </c>
      <c r="C3714" t="inlineStr">
        <is>
          <t>VTA</t>
        </is>
      </c>
      <c r="D3714" t="n">
        <v>39</v>
      </c>
      <c r="E3714">
        <f>IF(D66&gt;0,VLOOKUP(OPERAC[[#This Row],[COD CART]],[1]!MatrizCortoLargoCyl[#All],3,0),"")</f>
        <v/>
      </c>
      <c r="F3714" t="inlineStr">
        <is>
          <t>ACB/V/12,00/20-01-23</t>
        </is>
      </c>
      <c r="G3714" t="n">
        <v>-700</v>
      </c>
      <c r="H3714" t="n">
        <v>4707.69</v>
      </c>
      <c r="I3714">
        <f>-H66/G66</f>
        <v/>
      </c>
      <c r="J3714" s="16" t="n">
        <v>44614</v>
      </c>
      <c r="K3714" t="n">
        <v>-700</v>
      </c>
      <c r="L3714" t="n">
        <v>-4707</v>
      </c>
    </row>
    <row r="3715">
      <c r="A3715" t="n">
        <v>15189</v>
      </c>
      <c r="B3715" s="16" t="n">
        <v>44340</v>
      </c>
      <c r="C3715" t="inlineStr">
        <is>
          <t>VTA</t>
        </is>
      </c>
      <c r="D3715" t="n">
        <v>39</v>
      </c>
      <c r="E3715">
        <f>IF(D1321&gt;0,VLOOKUP(OPERAC[[#This Row],[COD CART]],[1]!MatrizCortoLargoCyl[#All],3,0),"")</f>
        <v/>
      </c>
      <c r="F3715" t="inlineStr">
        <is>
          <t>SOLO/V/2,50/20-01-23</t>
        </is>
      </c>
      <c r="G3715" t="n">
        <v>-10</v>
      </c>
      <c r="H3715" t="n">
        <v>-99.69</v>
      </c>
      <c r="I3715">
        <f>-H1321/G1321</f>
        <v/>
      </c>
      <c r="J3715" s="16" t="n">
        <v>44617</v>
      </c>
      <c r="K3715" t="n">
        <v>-5</v>
      </c>
      <c r="L3715" t="n">
        <v>-5.816</v>
      </c>
    </row>
    <row r="3716">
      <c r="A3716" t="n">
        <v>15189</v>
      </c>
      <c r="B3716" s="16" t="n">
        <v>44369</v>
      </c>
      <c r="C3716" t="inlineStr">
        <is>
          <t>CPR</t>
        </is>
      </c>
      <c r="D3716" t="n">
        <v>40</v>
      </c>
      <c r="E3716">
        <f>IF(D5786&gt;0,VLOOKUP(OPERAC[[#This Row],[COD CART]],[1]!MatrizCortoLargoCyl[#All],3,0),"")</f>
        <v/>
      </c>
      <c r="F3716" t="inlineStr">
        <is>
          <t>DDD</t>
        </is>
      </c>
      <c r="G3716" t="n">
        <v>100</v>
      </c>
      <c r="H3716">
        <f>-3080.779+342.24+10.237+39.782+29.76</f>
        <v/>
      </c>
      <c r="I3716">
        <f>-H5786/G5786</f>
        <v/>
      </c>
      <c r="J3716" s="16" t="n">
        <v>44606</v>
      </c>
      <c r="K3716" t="n">
        <v>100</v>
      </c>
      <c r="L3716">
        <f>+OPERAC[[#This Row],[cantidad venta]]*18.06</f>
        <v/>
      </c>
    </row>
    <row r="3717">
      <c r="A3717" t="n">
        <v>15189</v>
      </c>
      <c r="B3717" s="16" t="n">
        <v>44377</v>
      </c>
      <c r="C3717" t="inlineStr">
        <is>
          <t>VTA</t>
        </is>
      </c>
      <c r="D3717" t="n">
        <v>40</v>
      </c>
      <c r="E3717">
        <f>IF(D5088&gt;0,VLOOKUP(OPERAC[[#This Row],[COD CART]],[1]!MatrizCortoLargoCyl[#All],3,0),"")</f>
        <v/>
      </c>
      <c r="F3717" t="inlineStr">
        <is>
          <t>HIMX</t>
        </is>
      </c>
      <c r="G3717" t="n">
        <v>100</v>
      </c>
      <c r="H3717" t="n">
        <v>-1585.0936</v>
      </c>
      <c r="I3717">
        <f>-H5088/G5088</f>
        <v/>
      </c>
      <c r="J3717" s="16" t="n">
        <v>44606</v>
      </c>
      <c r="K3717" t="n">
        <v>100</v>
      </c>
      <c r="L3717" t="n">
        <v>1103.82</v>
      </c>
    </row>
    <row r="3718">
      <c r="A3718" t="n">
        <v>15189</v>
      </c>
      <c r="B3718" s="16" t="n">
        <v>44441</v>
      </c>
      <c r="C3718" t="inlineStr">
        <is>
          <t>VTA</t>
        </is>
      </c>
      <c r="D3718" t="n">
        <v>39</v>
      </c>
      <c r="E3718">
        <f>IF(D239&gt;0,VLOOKUP(OPERAC[[#This Row],[COD CART]],[1]!MatrizCortoLargoCyl[#All],3,0),"")</f>
        <v/>
      </c>
      <c r="F3718" t="inlineStr">
        <is>
          <t>EDIT/V/35,00/20-01-23</t>
        </is>
      </c>
      <c r="G3718" t="n">
        <v>-300</v>
      </c>
      <c r="H3718" t="n">
        <v>1850</v>
      </c>
      <c r="I3718">
        <f>-H239/G239</f>
        <v/>
      </c>
      <c r="J3718" s="16" t="n">
        <v>44614</v>
      </c>
      <c r="K3718" t="n">
        <v>-300</v>
      </c>
      <c r="L3718" t="n">
        <v>-6410.8</v>
      </c>
    </row>
    <row r="3719">
      <c r="A3719" t="n">
        <v>15189</v>
      </c>
      <c r="B3719" s="16" t="n">
        <v>44441</v>
      </c>
      <c r="C3719" t="inlineStr">
        <is>
          <t>VTA</t>
        </is>
      </c>
      <c r="D3719" t="n">
        <v>39</v>
      </c>
      <c r="E3719">
        <f>IF(D1147&gt;0,VLOOKUP(OPERAC[[#This Row],[COD CART]],[1]!MatrizCortoLargoCyl[#All],3,0),"")</f>
        <v/>
      </c>
      <c r="F3719" t="inlineStr">
        <is>
          <t>DDD/V/15,00/20-01-23</t>
        </is>
      </c>
      <c r="G3719" t="n">
        <v>-10</v>
      </c>
      <c r="H3719" t="n">
        <v>18.39</v>
      </c>
      <c r="I3719">
        <f>-H1147/G1147</f>
        <v/>
      </c>
      <c r="J3719" s="16" t="n">
        <v>44637</v>
      </c>
      <c r="K3719" t="n">
        <v>-2</v>
      </c>
      <c r="L3719" t="n">
        <v>-7.568</v>
      </c>
    </row>
    <row r="3720">
      <c r="A3720" t="n">
        <v>15189</v>
      </c>
      <c r="B3720" s="16" t="n">
        <v>44489</v>
      </c>
      <c r="C3720" t="inlineStr">
        <is>
          <t>CPR</t>
        </is>
      </c>
      <c r="D3720" t="n">
        <v>43</v>
      </c>
      <c r="E3720">
        <f>IF(D4951&gt;0,VLOOKUP(OPERAC[[#This Row],[COD CART]],[1]!MatrizCortoLargoCyl[#All],3,0),"")</f>
        <v/>
      </c>
      <c r="F3720" t="inlineStr">
        <is>
          <t>SESN/CYL-PUT/1,00/19-01-24</t>
        </is>
      </c>
      <c r="G3720" t="n">
        <v>8000</v>
      </c>
      <c r="H3720">
        <f>-0.1885*OPERAC[[#This Row],[cantidad]]</f>
        <v/>
      </c>
      <c r="I3720">
        <f>-H4951/G4951</f>
        <v/>
      </c>
    </row>
    <row r="3721">
      <c r="A3721" t="n">
        <v>15189</v>
      </c>
      <c r="B3721" s="16" t="n">
        <v>44489</v>
      </c>
      <c r="C3721" t="inlineStr">
        <is>
          <t>VTA</t>
        </is>
      </c>
      <c r="D3721" t="n">
        <v>41</v>
      </c>
      <c r="E3721">
        <f>IF(D5598&gt;0,VLOOKUP(OPERAC[[#This Row],[COD CART]],[1]!MatrizCortoLargoCyl[#All],3,0),"")</f>
        <v/>
      </c>
      <c r="F3721" t="inlineStr">
        <is>
          <t>BITO</t>
        </is>
      </c>
      <c r="G3721" t="n">
        <v>50</v>
      </c>
      <c r="H3721" t="n">
        <v>-2189.116</v>
      </c>
      <c r="I3721">
        <f>-H5598/G5598</f>
        <v/>
      </c>
    </row>
    <row r="3722">
      <c r="A3722" t="n">
        <v>15189</v>
      </c>
      <c r="B3722" s="16" t="n">
        <v>44494</v>
      </c>
      <c r="C3722" t="inlineStr">
        <is>
          <t>CPR</t>
        </is>
      </c>
      <c r="D3722" t="n">
        <v>40</v>
      </c>
      <c r="E3722">
        <f>IF(D4466&gt;0,VLOOKUP(OPERAC[[#This Row],[COD CART]],[1]!MatrizCortoLargoCyl[#All],3,0),"")</f>
        <v/>
      </c>
      <c r="F3722" t="inlineStr">
        <is>
          <t>YPF</t>
        </is>
      </c>
      <c r="G3722" t="n">
        <v>250</v>
      </c>
      <c r="H3722" t="n">
        <v>-1163.18</v>
      </c>
      <c r="I3722">
        <f>-H4466/G4466</f>
        <v/>
      </c>
      <c r="J3722" s="16" t="n">
        <v>44606</v>
      </c>
      <c r="K3722">
        <f>+OPERAC[[#This Row],[cantidad]]</f>
        <v/>
      </c>
      <c r="L3722">
        <f>+OPERAC[[#This Row],[cantidad venta]]*4.161</f>
        <v/>
      </c>
    </row>
    <row r="3723">
      <c r="A3723" t="n">
        <v>15189</v>
      </c>
      <c r="B3723" s="16" t="n">
        <v>44495</v>
      </c>
      <c r="C3723" t="inlineStr">
        <is>
          <t>VTA</t>
        </is>
      </c>
      <c r="D3723" t="n">
        <v>39</v>
      </c>
      <c r="E3723">
        <f>IF(D388&gt;0,VLOOKUP(OPERAC[[#This Row],[COD CART]],[1]!MatrizCortoLargoCyl[#All],3,0),"")</f>
        <v/>
      </c>
      <c r="F3723" t="inlineStr">
        <is>
          <t>YPF/CC10/LP7/CP3/19-01-24</t>
        </is>
      </c>
      <c r="G3723" t="n">
        <v>-500</v>
      </c>
      <c r="H3723">
        <f>-2.41*OPERAC[[#This Row],[cantidad]]</f>
        <v/>
      </c>
      <c r="I3723">
        <f>-H388/G388</f>
        <v/>
      </c>
    </row>
    <row r="3724">
      <c r="A3724" t="n">
        <v>15189</v>
      </c>
      <c r="B3724" s="16" t="n">
        <v>44511</v>
      </c>
      <c r="C3724" t="inlineStr">
        <is>
          <t>VTA</t>
        </is>
      </c>
      <c r="D3724" t="n">
        <v>31</v>
      </c>
      <c r="E3724">
        <f>IF(D2909&gt;0,VLOOKUP(OPERAC[[#This Row],[COD CART]],[1]!MatrizCortoLargoCyl[#All],3,0),"")</f>
        <v/>
      </c>
      <c r="F3724" t="inlineStr">
        <is>
          <t>IPIX</t>
        </is>
      </c>
      <c r="G3724" t="n">
        <v>5000</v>
      </c>
      <c r="H3724" t="n">
        <v>-549.95</v>
      </c>
      <c r="I3724">
        <f>-H2909/G2909</f>
        <v/>
      </c>
    </row>
    <row r="3725">
      <c r="A3725" t="n">
        <v>15189</v>
      </c>
      <c r="B3725" s="16" t="n">
        <v>44533</v>
      </c>
      <c r="C3725" t="inlineStr">
        <is>
          <t>CPR</t>
        </is>
      </c>
      <c r="D3725" t="n">
        <v>32</v>
      </c>
      <c r="E3725">
        <f>IF(D5856&gt;0,VLOOKUP(OPERAC[[#This Row],[COD CART]],[1]!MatrizCortoLargoCyl[#All],3,0),"")</f>
        <v/>
      </c>
      <c r="F3725" t="inlineStr">
        <is>
          <t>INO/CYL/8,00/18-02-22</t>
        </is>
      </c>
      <c r="G3725" t="n">
        <v>500</v>
      </c>
      <c r="H3725">
        <f>-5.87*OPERAC[[#This Row],[cantidad]]+23.536</f>
        <v/>
      </c>
      <c r="I3725">
        <f>-H5856/G5856</f>
        <v/>
      </c>
      <c r="J3725" s="16" t="n">
        <v>44594</v>
      </c>
      <c r="K3725">
        <f>200+300</f>
        <v/>
      </c>
      <c r="L3725">
        <f>771.343+1070.708</f>
        <v/>
      </c>
    </row>
    <row r="3726">
      <c r="A3726" t="n">
        <v>15189</v>
      </c>
      <c r="B3726" s="16" t="n">
        <v>44533</v>
      </c>
      <c r="C3726" t="inlineStr">
        <is>
          <t>CPR</t>
        </is>
      </c>
      <c r="D3726" t="n">
        <v>32</v>
      </c>
      <c r="E3726">
        <f>IF(D5890&gt;0,VLOOKUP(OPERAC[[#This Row],[COD CART]],[1]!MatrizCortoLargoCyl[#All],3,0),"")</f>
        <v/>
      </c>
      <c r="F3726" t="inlineStr">
        <is>
          <t>HIMX/CYL/12,00/21-01-22</t>
        </is>
      </c>
      <c r="G3726" t="n">
        <v>300</v>
      </c>
      <c r="H3726">
        <f>-9.9*OPERAC[[#This Row],[cantidad]]</f>
        <v/>
      </c>
      <c r="I3726">
        <f>-H5890/G5890</f>
        <v/>
      </c>
      <c r="J3726" s="16" t="n">
        <v>44575</v>
      </c>
      <c r="K3726" t="n">
        <v>300</v>
      </c>
      <c r="L3726" t="n">
        <v>3511.854</v>
      </c>
    </row>
    <row r="3727">
      <c r="A3727" t="n">
        <v>15189</v>
      </c>
      <c r="B3727" s="16" t="n">
        <v>44533</v>
      </c>
      <c r="C3727" t="inlineStr">
        <is>
          <t>CPR</t>
        </is>
      </c>
      <c r="D3727" t="n">
        <v>32</v>
      </c>
      <c r="E3727">
        <f>IF(D6197&gt;0,VLOOKUP(OPERAC[[#This Row],[COD CART]],[1]!MatrizCortoLargoCyl[#All],3,0),"")</f>
        <v/>
      </c>
      <c r="F3727" t="inlineStr">
        <is>
          <t>EDIT/CYL/30,00/17-06-22</t>
        </is>
      </c>
      <c r="G3727" t="n">
        <v>200</v>
      </c>
      <c r="H3727">
        <f>-26.92*OPERAC[[#This Row],[cantidad]]+4.952+21.813</f>
        <v/>
      </c>
      <c r="I3727">
        <f>-H6197/G6197</f>
        <v/>
      </c>
      <c r="J3727" s="16" t="n">
        <v>44692</v>
      </c>
      <c r="K3727" t="n">
        <v>200</v>
      </c>
      <c r="L3727" t="n">
        <v>2154.53</v>
      </c>
    </row>
    <row r="3728">
      <c r="A3728" t="n">
        <v>15189</v>
      </c>
      <c r="B3728" s="16" t="n">
        <v>44537</v>
      </c>
      <c r="C3728" t="inlineStr">
        <is>
          <t>VTA</t>
        </is>
      </c>
      <c r="D3728" t="n">
        <v>43</v>
      </c>
      <c r="E3728">
        <f>IF(D5370&gt;0,VLOOKUP(OPERAC[[#This Row],[COD CART]],[1]!MatrizCortoLargoCyl[#All],3,0),"")</f>
        <v/>
      </c>
      <c r="F3728" t="inlineStr">
        <is>
          <t>HEXO/CYL-PUT/1,00/20-01-23</t>
        </is>
      </c>
      <c r="G3728" t="n">
        <v>10000</v>
      </c>
      <c r="H3728">
        <f>-0.18*OPERAC[[#This Row],[cantidad]]</f>
        <v/>
      </c>
      <c r="I3728">
        <f>-H5370/G5370</f>
        <v/>
      </c>
    </row>
    <row r="3729">
      <c r="A3729" t="n">
        <v>15189</v>
      </c>
      <c r="B3729" s="16" t="n">
        <v>44557</v>
      </c>
      <c r="C3729" t="inlineStr">
        <is>
          <t>CPR</t>
        </is>
      </c>
      <c r="D3729" t="n">
        <v>40</v>
      </c>
      <c r="E3729">
        <f>IF(D3550&gt;0,VLOOKUP(OPERAC[[#This Row],[COD CART]],[1]!MatrizCortoLargoCyl[#All],3,0),"")</f>
        <v/>
      </c>
      <c r="F3729" t="inlineStr">
        <is>
          <t>TLRY</t>
        </is>
      </c>
      <c r="G3729" t="n">
        <v>100</v>
      </c>
      <c r="H3729" t="n">
        <v>-771.62</v>
      </c>
      <c r="I3729">
        <f>-H3550/G3550</f>
        <v/>
      </c>
      <c r="J3729" s="16" t="n">
        <v>44585</v>
      </c>
      <c r="K3729">
        <f>+OPERAC[[#This Row],[cantidad]]</f>
        <v/>
      </c>
      <c r="L3729">
        <f>+OPERAC[[#This Row],[cantidad venta]]*5.263</f>
        <v/>
      </c>
    </row>
    <row r="3730">
      <c r="A3730" t="n">
        <v>15189</v>
      </c>
      <c r="B3730" s="16" t="n">
        <v>44575</v>
      </c>
      <c r="C3730" t="inlineStr">
        <is>
          <t>VTA</t>
        </is>
      </c>
      <c r="D3730" t="n">
        <v>40</v>
      </c>
      <c r="E3730">
        <f>IF(D5007&gt;0,VLOOKUP(OPERAC[[#This Row],[COD CART]],[1]!MatrizCortoLargoCyl[#All],3,0),"")</f>
        <v/>
      </c>
      <c r="F3730" t="inlineStr">
        <is>
          <t>GBTC</t>
        </is>
      </c>
      <c r="G3730" t="n">
        <v>50</v>
      </c>
      <c r="H3730" t="n">
        <v>-1540.474</v>
      </c>
      <c r="I3730">
        <f>-H5007/G5007</f>
        <v/>
      </c>
      <c r="J3730" s="16" t="n">
        <v>44651</v>
      </c>
      <c r="K3730">
        <f>+OPERAC[[#This Row],[cantidad]]</f>
        <v/>
      </c>
      <c r="L3730">
        <f>+OPERAC[[#This Row],[cantidad venta]]*31.332</f>
        <v/>
      </c>
    </row>
    <row r="3731">
      <c r="A3731" t="n">
        <v>15189</v>
      </c>
      <c r="B3731" s="16" t="n">
        <v>44582</v>
      </c>
      <c r="C3731" t="inlineStr">
        <is>
          <t>VTA</t>
        </is>
      </c>
      <c r="D3731" t="n">
        <v>40</v>
      </c>
      <c r="E3731">
        <f>IF(D5488&gt;0,VLOOKUP(OPERAC[[#This Row],[COD CART]],[1]!MatrizCortoLargoCyl[#All],3,0),"")</f>
        <v/>
      </c>
      <c r="F3731" t="inlineStr">
        <is>
          <t>NFLX</t>
        </is>
      </c>
      <c r="G3731" t="n">
        <v>5</v>
      </c>
      <c r="H3731" t="n">
        <v>-1953.1855</v>
      </c>
      <c r="I3731">
        <f>-H5488/G5488</f>
        <v/>
      </c>
      <c r="J3731" s="16" t="n">
        <v>44593</v>
      </c>
      <c r="K3731">
        <f>+OPERAC[[#This Row],[cantidad]]</f>
        <v/>
      </c>
      <c r="L3731">
        <f>+OPERAC[[#This Row],[cantidad venta]]*448.602</f>
        <v/>
      </c>
    </row>
    <row r="3732">
      <c r="A3732" t="n">
        <v>15189</v>
      </c>
      <c r="B3732" s="16" t="n">
        <v>44585</v>
      </c>
      <c r="C3732" t="inlineStr">
        <is>
          <t>VTA</t>
        </is>
      </c>
      <c r="D3732" t="n">
        <v>39</v>
      </c>
      <c r="E3732">
        <f>IF(D824&gt;0,VLOOKUP(OPERAC[[#This Row],[COD CART]],[1]!MatrizCortoLargoCyl[#All],3,0),"")</f>
        <v/>
      </c>
      <c r="F3732" t="inlineStr">
        <is>
          <t>TSLA/V/510,00/28-01-22</t>
        </is>
      </c>
      <c r="G3732" t="n">
        <v>-200</v>
      </c>
      <c r="H3732" t="n">
        <v>217.712</v>
      </c>
      <c r="I3732">
        <f>-H824/G824</f>
        <v/>
      </c>
      <c r="J3732" s="16" t="n">
        <v>44587</v>
      </c>
      <c r="K3732" t="n">
        <v>-200</v>
      </c>
      <c r="L3732" t="n">
        <v>-21.776</v>
      </c>
    </row>
    <row r="3733">
      <c r="A3733" t="n">
        <v>15189</v>
      </c>
      <c r="B3733" s="16" t="n">
        <v>44586</v>
      </c>
      <c r="C3733" t="inlineStr">
        <is>
          <t>CPR</t>
        </is>
      </c>
      <c r="D3733" t="n">
        <v>43</v>
      </c>
      <c r="E3733">
        <f>IF(D6039&gt;0,VLOOKUP(OPERAC[[#This Row],[COD CART]],[1]!MatrizCortoLargoCyl[#All],3,0),"")</f>
        <v/>
      </c>
      <c r="F3733" t="inlineStr">
        <is>
          <t>GMBL</t>
        </is>
      </c>
      <c r="G3733">
        <f>1000+1000</f>
        <v/>
      </c>
      <c r="H3733">
        <f>-1016.0423-2510</f>
        <v/>
      </c>
      <c r="I3733">
        <f>-H6039/G6039</f>
        <v/>
      </c>
    </row>
    <row r="3734">
      <c r="A3734" t="n">
        <v>15189</v>
      </c>
      <c r="B3734" s="16" t="n">
        <v>44588</v>
      </c>
      <c r="C3734" t="inlineStr">
        <is>
          <t>VTA</t>
        </is>
      </c>
      <c r="D3734" t="n">
        <v>39</v>
      </c>
      <c r="E3734">
        <f>IF(D94&gt;0,VLOOKUP(OPERAC[[#This Row],[COD CART]],[1]!MatrizCortoLargoCyl[#All],3,0),"")</f>
        <v/>
      </c>
      <c r="F3734" t="inlineStr">
        <is>
          <t>SMH/V/255,00/04-02-22</t>
        </is>
      </c>
      <c r="G3734" t="n">
        <v>-500</v>
      </c>
      <c r="H3734" t="n">
        <v>3666.7225</v>
      </c>
      <c r="I3734">
        <f>-H94/G94</f>
        <v/>
      </c>
      <c r="J3734" s="16" t="n">
        <v>44596</v>
      </c>
      <c r="K3734" t="n">
        <v>-500</v>
      </c>
      <c r="L3734" t="n">
        <v>-9.614999999999998</v>
      </c>
    </row>
    <row r="3735">
      <c r="A3735" t="n">
        <v>15189</v>
      </c>
      <c r="B3735" s="16" t="n">
        <v>44594</v>
      </c>
      <c r="C3735" t="inlineStr">
        <is>
          <t>VTA</t>
        </is>
      </c>
      <c r="D3735" t="n">
        <v>39</v>
      </c>
      <c r="E3735">
        <f>IF(D694&gt;0,VLOOKUP(OPERAC[[#This Row],[COD CART]],[1]!MatrizCortoLargoCyl[#All],3,0),"")</f>
        <v/>
      </c>
      <c r="F3735" t="inlineStr">
        <is>
          <t>TSLA/C/1030,00/04-02-22</t>
        </is>
      </c>
      <c r="G3735" t="n">
        <v>-400</v>
      </c>
      <c r="H3735" t="n">
        <v>417.844</v>
      </c>
      <c r="I3735">
        <f>-H694/G694</f>
        <v/>
      </c>
      <c r="J3735" s="16" t="n">
        <v>44596</v>
      </c>
      <c r="K3735" t="n">
        <v>-400</v>
      </c>
      <c r="L3735" t="n">
        <v>0</v>
      </c>
    </row>
    <row r="3736">
      <c r="A3736" t="n">
        <v>15189</v>
      </c>
      <c r="B3736" s="16" t="n">
        <v>44594</v>
      </c>
      <c r="C3736" t="inlineStr">
        <is>
          <t>VTA</t>
        </is>
      </c>
      <c r="D3736" t="n">
        <v>39</v>
      </c>
      <c r="E3736">
        <f>IF(D733&gt;0,VLOOKUP(OPERAC[[#This Row],[COD CART]],[1]!MatrizCortoLargoCyl[#All],3,0),"")</f>
        <v/>
      </c>
      <c r="F3736" t="inlineStr">
        <is>
          <t>TSLA/V/830,00/04-02-22</t>
        </is>
      </c>
      <c r="G3736" t="n">
        <v>-400</v>
      </c>
      <c r="H3736" t="n">
        <v>386.088</v>
      </c>
      <c r="I3736">
        <f>-H733/G733</f>
        <v/>
      </c>
      <c r="J3736" s="16" t="n">
        <v>44596</v>
      </c>
      <c r="K3736" t="n">
        <v>-400</v>
      </c>
      <c r="L3736" t="n">
        <v>0</v>
      </c>
    </row>
    <row r="3737">
      <c r="A3737" t="n">
        <v>15189</v>
      </c>
      <c r="B3737" s="16" t="n">
        <v>44595</v>
      </c>
      <c r="C3737" t="inlineStr">
        <is>
          <t>VTA</t>
        </is>
      </c>
      <c r="D3737" t="n">
        <v>39</v>
      </c>
      <c r="E3737">
        <f>IF(D307&gt;0,VLOOKUP(OPERAC[[#This Row],[COD CART]],[1]!MatrizCortoLargoCyl[#All],3,0),"")</f>
        <v/>
      </c>
      <c r="F3737" t="inlineStr">
        <is>
          <t>ROKU/V/145,00/11-02-22</t>
        </is>
      </c>
      <c r="G3737" t="n">
        <v>-200</v>
      </c>
      <c r="H3737" t="n">
        <v>1487.186</v>
      </c>
      <c r="I3737">
        <f>-H307/G307</f>
        <v/>
      </c>
      <c r="J3737" s="16" t="n">
        <v>44603</v>
      </c>
      <c r="K3737" t="n">
        <v>-200</v>
      </c>
      <c r="L3737" t="n">
        <v>0</v>
      </c>
    </row>
    <row r="3738">
      <c r="A3738" t="n">
        <v>15189</v>
      </c>
      <c r="B3738" s="16" t="n">
        <v>44599</v>
      </c>
      <c r="C3738" t="inlineStr">
        <is>
          <t>CPR</t>
        </is>
      </c>
      <c r="D3738" t="n">
        <v>40</v>
      </c>
      <c r="E3738">
        <f>IF(D4511&gt;0,VLOOKUP(OPERAC[[#This Row],[COD CART]],[1]!MatrizCortoLargoCyl[#All],3,0),"")</f>
        <v/>
      </c>
      <c r="F3738" t="inlineStr">
        <is>
          <t>FB</t>
        </is>
      </c>
      <c r="G3738" t="n">
        <v>5</v>
      </c>
      <c r="H3738" t="n">
        <v>-1192.3</v>
      </c>
      <c r="I3738">
        <f>-H4511/G4511</f>
        <v/>
      </c>
      <c r="J3738" s="16" t="n">
        <v>44616</v>
      </c>
      <c r="K3738">
        <f>+OPERAC[[#This Row],[cantidad]]</f>
        <v/>
      </c>
      <c r="L3738">
        <f>200.299*OPERAC[[#This Row],[cantidad venta]]</f>
        <v/>
      </c>
    </row>
    <row r="3739">
      <c r="A3739" t="n">
        <v>15189</v>
      </c>
      <c r="B3739" s="16" t="n">
        <v>44599</v>
      </c>
      <c r="C3739" t="inlineStr">
        <is>
          <t>CPR</t>
        </is>
      </c>
      <c r="D3739" t="n">
        <v>32</v>
      </c>
      <c r="E3739">
        <f>IF(D6262&gt;0,VLOOKUP(OPERAC[[#This Row],[COD CART]],[1]!MatrizCortoLargoCyl[#All],3,0),"")</f>
        <v/>
      </c>
      <c r="F3739" t="inlineStr">
        <is>
          <t>UPST/CYL/80,00/18-03-22</t>
        </is>
      </c>
      <c r="G3739" t="n">
        <v>100</v>
      </c>
      <c r="H3739" t="n">
        <v>-7492</v>
      </c>
      <c r="I3739">
        <f>-H6262/G6262</f>
        <v/>
      </c>
      <c r="J3739" s="16" t="n">
        <v>44608</v>
      </c>
      <c r="K3739" t="n">
        <v>100</v>
      </c>
      <c r="L3739" t="n">
        <v>7956.448</v>
      </c>
    </row>
    <row r="3740">
      <c r="A3740" t="n">
        <v>15189</v>
      </c>
      <c r="B3740" s="16" t="n">
        <v>44602</v>
      </c>
      <c r="C3740" t="inlineStr">
        <is>
          <t>VTA</t>
        </is>
      </c>
      <c r="D3740" t="n">
        <v>32</v>
      </c>
      <c r="E3740">
        <f>IF(D3836&gt;0,VLOOKUP(OPERAC[[#This Row],[COD CART]],[1]!MatrizCortoLargoCyl[#All],3,0),"")</f>
        <v/>
      </c>
      <c r="F3740" t="inlineStr">
        <is>
          <t>TEVA</t>
        </is>
      </c>
      <c r="G3740" t="n">
        <v>100</v>
      </c>
      <c r="H3740">
        <f>-8.59*OPERAC[[#This Row],[cantidad]]</f>
        <v/>
      </c>
      <c r="I3740">
        <f>-H3836/G3836</f>
        <v/>
      </c>
      <c r="J3740" s="16" t="n">
        <v>44643</v>
      </c>
      <c r="K3740">
        <f>+OPERAC[[#This Row],[cantidad]]</f>
        <v/>
      </c>
      <c r="L3740">
        <f>+OPERAC[[#This Row],[cantidad venta]]*8.051</f>
        <v/>
      </c>
    </row>
    <row r="3741">
      <c r="A3741" t="n">
        <v>15189</v>
      </c>
      <c r="B3741" s="16" t="n">
        <v>44607</v>
      </c>
      <c r="C3741" t="inlineStr">
        <is>
          <t>VTA</t>
        </is>
      </c>
      <c r="D3741" t="n">
        <v>32</v>
      </c>
      <c r="E3741">
        <f>IF(D5087&gt;0,VLOOKUP(OPERAC[[#This Row],[COD CART]],[1]!MatrizCortoLargoCyl[#All],3,0),"")</f>
        <v/>
      </c>
      <c r="F3741" t="inlineStr">
        <is>
          <t>DDD/CYL/17,00/01-04-22</t>
        </is>
      </c>
      <c r="G3741" t="n">
        <v>100</v>
      </c>
      <c r="H3741">
        <f>-1620.23+19.7+16.45</f>
        <v/>
      </c>
      <c r="I3741">
        <f>-H5087/G5087</f>
        <v/>
      </c>
      <c r="J3741" s="16" t="n">
        <v>44649</v>
      </c>
      <c r="K3741" t="n">
        <v>100</v>
      </c>
      <c r="L3741" t="n">
        <v>1661.98</v>
      </c>
    </row>
    <row r="3742">
      <c r="A3742" t="n">
        <v>15189</v>
      </c>
      <c r="B3742" s="16" t="n">
        <v>44607</v>
      </c>
      <c r="C3742" t="inlineStr">
        <is>
          <t>VTA</t>
        </is>
      </c>
      <c r="D3742" t="n">
        <v>32</v>
      </c>
      <c r="E3742">
        <f>IF(D5310&gt;0,VLOOKUP(OPERAC[[#This Row],[COD CART]],[1]!MatrizCortoLargoCyl[#All],3,0),"")</f>
        <v/>
      </c>
      <c r="F3742" t="inlineStr">
        <is>
          <t>F</t>
        </is>
      </c>
      <c r="G3742" t="n">
        <v>100</v>
      </c>
      <c r="H3742" t="n">
        <v>-1719.296</v>
      </c>
      <c r="I3742">
        <f>-H5310/G5310</f>
        <v/>
      </c>
      <c r="J3742" s="16" t="n">
        <v>44642</v>
      </c>
      <c r="K3742" t="n">
        <v>100</v>
      </c>
      <c r="L3742">
        <f>+OPERAC[[#This Row],[cantidad venta]]*16.76</f>
        <v/>
      </c>
    </row>
    <row r="3743">
      <c r="A3743" t="n">
        <v>15189</v>
      </c>
      <c r="B3743" s="16" t="n">
        <v>44608</v>
      </c>
      <c r="C3743" t="inlineStr">
        <is>
          <t>CPR</t>
        </is>
      </c>
      <c r="D3743" t="n">
        <v>40</v>
      </c>
      <c r="E3743">
        <f>IF(D5752&gt;0,VLOOKUP(OPERAC[[#This Row],[COD CART]],[1]!MatrizCortoLargoCyl[#All],3,0),"")</f>
        <v/>
      </c>
      <c r="F3743" t="inlineStr">
        <is>
          <t>NVDA</t>
        </is>
      </c>
      <c r="G3743" t="n">
        <v>10</v>
      </c>
      <c r="H3743" t="n">
        <v>-2635.14</v>
      </c>
      <c r="I3743">
        <f>-H5752/G5752</f>
        <v/>
      </c>
      <c r="J3743" s="16" t="n">
        <v>44616</v>
      </c>
      <c r="K3743">
        <f>+OPERAC[[#This Row],[cantidad]]</f>
        <v/>
      </c>
      <c r="L3743">
        <f>+OPERAC[[#This Row],[cantidad venta]]*224.117</f>
        <v/>
      </c>
    </row>
    <row r="3744">
      <c r="A3744" t="n">
        <v>15189</v>
      </c>
      <c r="B3744" s="16" t="n">
        <v>44608</v>
      </c>
      <c r="C3744" t="inlineStr">
        <is>
          <t>CPR</t>
        </is>
      </c>
      <c r="D3744" t="n">
        <v>32</v>
      </c>
      <c r="E3744">
        <f>IF(D5850&gt;0,VLOOKUP(OPERAC[[#This Row],[COD CART]],[1]!MatrizCortoLargoCyl[#All],3,0),"")</f>
        <v/>
      </c>
      <c r="F3744" t="inlineStr">
        <is>
          <t>SPWR/CYL/15,00/18-03-22</t>
        </is>
      </c>
      <c r="G3744" t="n">
        <v>200</v>
      </c>
      <c r="H3744" t="n">
        <v>-2883.624</v>
      </c>
      <c r="I3744">
        <f>-H5850/G5850</f>
        <v/>
      </c>
      <c r="J3744" s="16" t="n">
        <v>44628</v>
      </c>
      <c r="K3744" t="n">
        <v>200</v>
      </c>
      <c r="L3744" t="n">
        <v>3008.55</v>
      </c>
    </row>
    <row r="3745">
      <c r="A3745" t="n">
        <v>15189</v>
      </c>
      <c r="B3745" s="16" t="n">
        <v>44608</v>
      </c>
      <c r="C3745" t="inlineStr">
        <is>
          <t>VTA</t>
        </is>
      </c>
      <c r="D3745" t="n">
        <v>32</v>
      </c>
      <c r="E3745">
        <f>IF(D5110&gt;0,VLOOKUP(OPERAC[[#This Row],[COD CART]],[1]!MatrizCortoLargoCyl[#All],3,0),"")</f>
        <v/>
      </c>
      <c r="F3745" t="inlineStr">
        <is>
          <t>DDD/CYL/17,00/01-04-22</t>
        </is>
      </c>
      <c r="G3745" t="n">
        <v>100</v>
      </c>
      <c r="H3745">
        <f>-1629.4234+19.7+16.45</f>
        <v/>
      </c>
      <c r="I3745">
        <f>-H5110/G5110</f>
        <v/>
      </c>
      <c r="J3745" s="16" t="n">
        <v>44649</v>
      </c>
      <c r="K3745" t="n">
        <v>100</v>
      </c>
      <c r="L3745" t="n">
        <v>1661.98</v>
      </c>
    </row>
    <row r="3746">
      <c r="A3746" t="n">
        <v>15189</v>
      </c>
      <c r="B3746" s="16" t="n">
        <v>44609</v>
      </c>
      <c r="C3746" t="inlineStr">
        <is>
          <t>CPR</t>
        </is>
      </c>
      <c r="D3746" t="n">
        <v>32</v>
      </c>
      <c r="E3746">
        <f>IF(D6019&gt;0,VLOOKUP(OPERAC[[#This Row],[COD CART]],[1]!MatrizCortoLargoCyl[#All],3,0),"")</f>
        <v/>
      </c>
      <c r="F3746" t="inlineStr">
        <is>
          <t>F</t>
        </is>
      </c>
      <c r="G3746" t="n">
        <v>200</v>
      </c>
      <c r="H3746" t="n">
        <v>-3430.5552</v>
      </c>
      <c r="I3746">
        <f>-H6019/G6019</f>
        <v/>
      </c>
      <c r="J3746" s="16" t="n">
        <v>44642</v>
      </c>
      <c r="K3746" t="n">
        <v>200</v>
      </c>
      <c r="L3746">
        <f>+OPERAC[[#This Row],[cantidad venta]]*16.76</f>
        <v/>
      </c>
    </row>
    <row r="3747">
      <c r="A3747" t="n">
        <v>15189</v>
      </c>
      <c r="B3747" s="16" t="n">
        <v>44614</v>
      </c>
      <c r="C3747" t="inlineStr">
        <is>
          <t>VTA</t>
        </is>
      </c>
      <c r="D3747" t="n">
        <v>39</v>
      </c>
      <c r="E3747">
        <f>IF(D1047&gt;0,VLOOKUP(OPERAC[[#This Row],[COD CART]],[1]!MatrizCortoLargoCyl[#All],3,0),"")</f>
        <v/>
      </c>
      <c r="F3747" t="inlineStr">
        <is>
          <t>MELI/V/540,00/20-01-23</t>
        </is>
      </c>
      <c r="G3747" t="n">
        <v>-1</v>
      </c>
      <c r="H3747" t="n">
        <v>43.64</v>
      </c>
      <c r="I3747">
        <f>-H1047/G1047</f>
        <v/>
      </c>
    </row>
    <row r="3748">
      <c r="A3748" t="n">
        <v>15189</v>
      </c>
      <c r="B3748" s="16" t="n">
        <v>44614</v>
      </c>
      <c r="C3748" t="inlineStr">
        <is>
          <t>VTA</t>
        </is>
      </c>
      <c r="D3748" t="n">
        <v>39</v>
      </c>
      <c r="E3748">
        <f>IF(D1095&gt;0,VLOOKUP(OPERAC[[#This Row],[COD CART]],[1]!MatrizCortoLargoCyl[#All],3,0),"")</f>
        <v/>
      </c>
      <c r="F3748" t="inlineStr">
        <is>
          <t>NFLX/V/250,00/20-01-23</t>
        </is>
      </c>
      <c r="G3748" t="n">
        <v>-2</v>
      </c>
      <c r="H3748" t="n">
        <v>25.38</v>
      </c>
      <c r="I3748">
        <f>-H1095/G1095</f>
        <v/>
      </c>
    </row>
    <row r="3749">
      <c r="A3749" t="n">
        <v>15189</v>
      </c>
      <c r="B3749" s="16" t="n">
        <v>44614</v>
      </c>
      <c r="C3749" t="inlineStr">
        <is>
          <t>VTA</t>
        </is>
      </c>
      <c r="D3749" t="n">
        <v>39</v>
      </c>
      <c r="E3749">
        <f>IF(D1127&gt;0,VLOOKUP(OPERAC[[#This Row],[COD CART]],[1]!MatrizCortoLargoCyl[#All],3,0),"")</f>
        <v/>
      </c>
      <c r="F3749" t="inlineStr">
        <is>
          <t>SOLO/V/2,00/20-01-23</t>
        </is>
      </c>
      <c r="G3749" t="n">
        <v>-30</v>
      </c>
      <c r="H3749" t="n">
        <v>20.71</v>
      </c>
      <c r="I3749">
        <f>-H1127/G1127</f>
        <v/>
      </c>
    </row>
    <row r="3750">
      <c r="A3750" t="n">
        <v>15189</v>
      </c>
      <c r="B3750" s="16" t="n">
        <v>44615</v>
      </c>
      <c r="C3750" t="inlineStr">
        <is>
          <t>VTA</t>
        </is>
      </c>
      <c r="D3750" t="n">
        <v>39</v>
      </c>
      <c r="E3750">
        <f>IF(D1065&gt;0,VLOOKUP(OPERAC[[#This Row],[COD CART]],[1]!MatrizCortoLargoCyl[#All],3,0),"")</f>
        <v/>
      </c>
      <c r="F3750" t="inlineStr">
        <is>
          <t>TSLA/V/380,00/20-01-23</t>
        </is>
      </c>
      <c r="G3750" t="n">
        <v>-2</v>
      </c>
      <c r="H3750" t="n">
        <v>37.69</v>
      </c>
      <c r="I3750">
        <f>-H1065/G1065</f>
        <v/>
      </c>
    </row>
    <row r="3751">
      <c r="A3751" t="n">
        <v>15189</v>
      </c>
      <c r="B3751" s="16" t="n">
        <v>44616</v>
      </c>
      <c r="C3751" t="inlineStr">
        <is>
          <t>CPR</t>
        </is>
      </c>
      <c r="D3751" t="n">
        <v>32</v>
      </c>
      <c r="E3751">
        <f>IF(D5959&gt;0,VLOOKUP(OPERAC[[#This Row],[COD CART]],[1]!MatrizCortoLargoCyl[#All],3,0),"")</f>
        <v/>
      </c>
      <c r="F3751" t="inlineStr">
        <is>
          <t>PLTR/CYL/12,00/14-04-22</t>
        </is>
      </c>
      <c r="G3751" t="n">
        <v>300</v>
      </c>
      <c r="H3751" t="n">
        <v>-3158.1795</v>
      </c>
      <c r="I3751">
        <f>-H5959/G5959</f>
        <v/>
      </c>
      <c r="J3751" s="16" t="n">
        <v>44643</v>
      </c>
      <c r="K3751" t="n">
        <v>300</v>
      </c>
      <c r="L3751" t="n">
        <v>3440.17</v>
      </c>
    </row>
    <row r="3752">
      <c r="A3752" t="n">
        <v>15189</v>
      </c>
      <c r="B3752" s="16" t="n">
        <v>44628</v>
      </c>
      <c r="C3752" t="inlineStr">
        <is>
          <t>CPR</t>
        </is>
      </c>
      <c r="D3752" t="n">
        <v>32</v>
      </c>
      <c r="E3752">
        <f>IF(D3400&gt;0,VLOOKUP(OPERAC[[#This Row],[COD CART]],[1]!MatrizCortoLargoCyl[#All],3,0),"")</f>
        <v/>
      </c>
      <c r="F3752" t="inlineStr">
        <is>
          <t>COTY/CYL/8,00/14-04-22</t>
        </is>
      </c>
      <c r="G3752" t="n">
        <v>100</v>
      </c>
      <c r="H3752" t="n">
        <v>-718.0550999999999</v>
      </c>
      <c r="I3752">
        <f>-H3400/G3400</f>
        <v/>
      </c>
      <c r="J3752" s="16" t="n">
        <v>44643</v>
      </c>
      <c r="K3752" t="n">
        <v>100</v>
      </c>
      <c r="L3752" t="n">
        <v>779.3200000000001</v>
      </c>
    </row>
    <row r="3753">
      <c r="A3753" t="n">
        <v>15189</v>
      </c>
      <c r="B3753" s="16" t="n">
        <v>44628</v>
      </c>
      <c r="C3753" t="inlineStr">
        <is>
          <t>VTA</t>
        </is>
      </c>
      <c r="D3753" t="n">
        <v>40</v>
      </c>
      <c r="E3753">
        <f>IF(D5582&gt;0,VLOOKUP(OPERAC[[#This Row],[COD CART]],[1]!MatrizCortoLargoCyl[#All],3,0),"")</f>
        <v/>
      </c>
      <c r="F3753" t="inlineStr">
        <is>
          <t>CVV</t>
        </is>
      </c>
      <c r="G3753" t="n">
        <v>500</v>
      </c>
      <c r="H3753" t="n">
        <v>-2112.244</v>
      </c>
      <c r="I3753">
        <f>-H5582/G5582</f>
        <v/>
      </c>
      <c r="J3753" s="16" t="n">
        <v>44649</v>
      </c>
      <c r="K3753">
        <f>+OPERAC[[#This Row],[cantidad]]</f>
        <v/>
      </c>
      <c r="L3753">
        <f>+OPERAC[[#This Row],[cantidad venta]]*4.459</f>
        <v/>
      </c>
    </row>
    <row r="3754">
      <c r="A3754" t="n">
        <v>15189</v>
      </c>
      <c r="B3754" s="16" t="n">
        <v>44642</v>
      </c>
      <c r="C3754" t="inlineStr">
        <is>
          <t>VTA</t>
        </is>
      </c>
      <c r="D3754" t="n">
        <v>42</v>
      </c>
      <c r="E3754">
        <f>IF(D5540&gt;0,VLOOKUP(OPERAC[[#This Row],[COD CART]],[1]!MatrizCortoLargoCyl[#All],3,0),"")</f>
        <v/>
      </c>
      <c r="F3754" t="inlineStr">
        <is>
          <t>HYDR</t>
        </is>
      </c>
      <c r="G3754" t="n">
        <v>105</v>
      </c>
      <c r="H3754">
        <f>-19.39*OPERAC[[#This Row],[cantidad]]</f>
        <v/>
      </c>
      <c r="I3754">
        <f>-H5540/G5540</f>
        <v/>
      </c>
      <c r="J3754" s="16" t="n">
        <v>44692</v>
      </c>
      <c r="K3754" t="n">
        <v>105</v>
      </c>
      <c r="L3754" t="n">
        <v>1293.15</v>
      </c>
    </row>
    <row r="3755">
      <c r="A3755" t="n">
        <v>15189</v>
      </c>
      <c r="B3755" s="16" t="n">
        <v>44643</v>
      </c>
      <c r="C3755" t="inlineStr">
        <is>
          <t>CPR</t>
        </is>
      </c>
      <c r="D3755" t="n">
        <v>32</v>
      </c>
      <c r="E3755">
        <f>IF(D3272&gt;0,VLOOKUP(OPERAC[[#This Row],[COD CART]],[1]!MatrizCortoLargoCyl[#All],3,0),"")</f>
        <v/>
      </c>
      <c r="F3755" t="inlineStr">
        <is>
          <t>CRESY</t>
        </is>
      </c>
      <c r="G3755" t="n">
        <v>100</v>
      </c>
      <c r="H3755" t="n">
        <v>-680.303</v>
      </c>
      <c r="I3755">
        <f>-H3272/G3272</f>
        <v/>
      </c>
      <c r="J3755" s="16" t="n">
        <v>44708</v>
      </c>
      <c r="K3755" t="n">
        <v>100</v>
      </c>
      <c r="L3755" t="n">
        <v>733.71</v>
      </c>
    </row>
    <row r="3756">
      <c r="A3756" t="n">
        <v>15189</v>
      </c>
      <c r="B3756" s="16" t="n">
        <v>44643</v>
      </c>
      <c r="C3756" t="inlineStr">
        <is>
          <t>CPR</t>
        </is>
      </c>
      <c r="D3756" t="n">
        <v>42</v>
      </c>
      <c r="E3756">
        <f>IF(D4344&gt;0,VLOOKUP(OPERAC[[#This Row],[COD CART]],[1]!MatrizCortoLargoCyl[#All],3,0),"")</f>
        <v/>
      </c>
      <c r="F3756" t="inlineStr">
        <is>
          <t>SMH</t>
        </is>
      </c>
      <c r="G3756" t="n">
        <v>4</v>
      </c>
      <c r="H3756" t="n">
        <v>-1068.651592</v>
      </c>
      <c r="I3756">
        <f>-H4344/G4344</f>
        <v/>
      </c>
      <c r="J3756" s="16" t="n">
        <v>44663</v>
      </c>
      <c r="K3756">
        <f>+OPERAC[[#This Row],[cantidad]]</f>
        <v/>
      </c>
      <c r="L3756">
        <f>+OPERAC[[#This Row],[cantidad venta]]*238.066</f>
        <v/>
      </c>
    </row>
    <row r="3757">
      <c r="A3757" t="n">
        <v>15189</v>
      </c>
      <c r="B3757" s="16" t="n">
        <v>44643</v>
      </c>
      <c r="C3757" t="inlineStr">
        <is>
          <t>CPR</t>
        </is>
      </c>
      <c r="D3757" t="n">
        <v>42</v>
      </c>
      <c r="E3757">
        <f>IF(D4372&gt;0,VLOOKUP(OPERAC[[#This Row],[COD CART]],[1]!MatrizCortoLargoCyl[#All],3,0),"")</f>
        <v/>
      </c>
      <c r="F3757" t="inlineStr">
        <is>
          <t>FB</t>
        </is>
      </c>
      <c r="G3757" t="n">
        <v>5</v>
      </c>
      <c r="H3757" t="n">
        <v>-1080.6163</v>
      </c>
      <c r="I3757">
        <f>-H4372/G4372</f>
        <v/>
      </c>
      <c r="J3757" s="16" t="n">
        <v>44671</v>
      </c>
      <c r="K3757">
        <f>+OPERAC[[#This Row],[cantidad]]</f>
        <v/>
      </c>
      <c r="L3757">
        <f>+OPERAC[[#This Row],[cantidad venta]]*213.173</f>
        <v/>
      </c>
    </row>
    <row r="3758">
      <c r="A3758" t="n">
        <v>15189</v>
      </c>
      <c r="B3758" s="16" t="n">
        <v>44643</v>
      </c>
      <c r="C3758" t="inlineStr">
        <is>
          <t>CPR</t>
        </is>
      </c>
      <c r="D3758" t="n">
        <v>31</v>
      </c>
      <c r="E3758">
        <f>IF(D4485&gt;0,VLOOKUP(OPERAC[[#This Row],[COD CART]],[1]!MatrizCortoLargoCyl[#All],3,0),"")</f>
        <v/>
      </c>
      <c r="F3758" t="inlineStr">
        <is>
          <t>LAC</t>
        </is>
      </c>
      <c r="G3758" t="n">
        <v>35</v>
      </c>
      <c r="H3758" t="n">
        <v>-1172.961944</v>
      </c>
      <c r="I3758">
        <f>-H4485/G4485</f>
        <v/>
      </c>
      <c r="J3758" s="16" t="n">
        <v>44693</v>
      </c>
      <c r="K3758" t="n">
        <v>35</v>
      </c>
      <c r="L3758" t="n">
        <v>714.308</v>
      </c>
    </row>
    <row r="3759">
      <c r="A3759" t="n">
        <v>15189</v>
      </c>
      <c r="B3759" s="16" t="n">
        <v>44643</v>
      </c>
      <c r="C3759" t="inlineStr">
        <is>
          <t>CPR</t>
        </is>
      </c>
      <c r="D3759" t="n">
        <v>31</v>
      </c>
      <c r="E3759">
        <f>IF(D4807&gt;0,VLOOKUP(OPERAC[[#This Row],[COD CART]],[1]!MatrizCortoLargoCyl[#All],3,0),"")</f>
        <v/>
      </c>
      <c r="F3759" t="inlineStr">
        <is>
          <t>BRK B</t>
        </is>
      </c>
      <c r="G3759" t="n">
        <v>4</v>
      </c>
      <c r="H3759" t="n">
        <v>-1402.68928</v>
      </c>
      <c r="I3759">
        <f>-H4807/G4807</f>
        <v/>
      </c>
      <c r="J3759" s="16" t="n">
        <v>44693</v>
      </c>
      <c r="K3759" t="n">
        <v>4</v>
      </c>
      <c r="L3759" t="n">
        <v>1210.573</v>
      </c>
    </row>
    <row r="3760">
      <c r="A3760" t="n">
        <v>15189</v>
      </c>
      <c r="B3760" s="16" t="n">
        <v>44643</v>
      </c>
      <c r="C3760" t="inlineStr">
        <is>
          <t>VTA</t>
        </is>
      </c>
      <c r="D3760" t="n">
        <v>42</v>
      </c>
      <c r="E3760">
        <f>IF(D3765&gt;0,VLOOKUP(OPERAC[[#This Row],[COD CART]],[1]!MatrizCortoLargoCyl[#All],3,0),"")</f>
        <v/>
      </c>
      <c r="F3760" t="inlineStr">
        <is>
          <t>JPM</t>
        </is>
      </c>
      <c r="G3760" t="n">
        <v>6</v>
      </c>
      <c r="H3760" t="n">
        <v>-847.4798400000001</v>
      </c>
      <c r="I3760">
        <f>-H3765/G3765</f>
        <v/>
      </c>
      <c r="J3760" s="16" t="n">
        <v>44664</v>
      </c>
      <c r="K3760">
        <f>+OPERAC[[#This Row],[cantidad]]</f>
        <v/>
      </c>
      <c r="L3760">
        <f>+OPERAC[[#This Row],[cantidad venta]]*125.943</f>
        <v/>
      </c>
    </row>
    <row r="3761">
      <c r="A3761" t="n">
        <v>15189</v>
      </c>
      <c r="B3761" s="16" t="n">
        <v>44643</v>
      </c>
      <c r="C3761" t="inlineStr">
        <is>
          <t>VTA</t>
        </is>
      </c>
      <c r="D3761" t="n">
        <v>31</v>
      </c>
      <c r="E3761">
        <f>IF(D5249&gt;0,VLOOKUP(OPERAC[[#This Row],[COD CART]],[1]!MatrizCortoLargoCyl[#All],3,0),"")</f>
        <v/>
      </c>
      <c r="F3761" t="inlineStr">
        <is>
          <t>COST</t>
        </is>
      </c>
      <c r="G3761" t="n">
        <v>3</v>
      </c>
      <c r="H3761" t="n">
        <v>-1677.64992</v>
      </c>
      <c r="I3761">
        <f>-H5249/G5249</f>
        <v/>
      </c>
      <c r="J3761" s="16" t="n">
        <v>44693</v>
      </c>
      <c r="K3761" t="n">
        <v>3</v>
      </c>
      <c r="L3761" t="n">
        <v>1453.665</v>
      </c>
    </row>
    <row r="3762">
      <c r="A3762" t="n">
        <v>15189</v>
      </c>
      <c r="B3762" s="16" t="n">
        <v>44649</v>
      </c>
      <c r="C3762" t="inlineStr">
        <is>
          <t>CPR</t>
        </is>
      </c>
      <c r="D3762" t="n">
        <v>32</v>
      </c>
      <c r="E3762">
        <f>IF(D4924&gt;0,VLOOKUP(OPERAC[[#This Row],[COD CART]],[1]!MatrizCortoLargoCyl[#All],3,0),"")</f>
        <v/>
      </c>
      <c r="F3762" t="inlineStr">
        <is>
          <t>DDD</t>
        </is>
      </c>
      <c r="G3762" t="n">
        <v>100</v>
      </c>
      <c r="H3762" t="n">
        <v>-1498.949</v>
      </c>
      <c r="I3762">
        <f>-H4924/G4924</f>
        <v/>
      </c>
      <c r="J3762" s="16" t="n">
        <v>44704</v>
      </c>
      <c r="K3762" t="n">
        <v>100</v>
      </c>
      <c r="L3762" t="n">
        <v>1023.496</v>
      </c>
    </row>
    <row r="3763">
      <c r="A3763" t="n">
        <v>15189</v>
      </c>
      <c r="B3763" s="16" t="n">
        <v>44649</v>
      </c>
      <c r="C3763" t="inlineStr">
        <is>
          <t>VTA</t>
        </is>
      </c>
      <c r="D3763" t="n">
        <v>32</v>
      </c>
      <c r="E3763">
        <f>IF(D5409&gt;0,VLOOKUP(OPERAC[[#This Row],[COD CART]],[1]!MatrizCortoLargoCyl[#All],3,0),"")</f>
        <v/>
      </c>
      <c r="F3763" t="inlineStr">
        <is>
          <t>SPWR/CYL/22,00/17-06-22</t>
        </is>
      </c>
      <c r="G3763" t="n">
        <v>100</v>
      </c>
      <c r="H3763">
        <f>-1865.225+25.78</f>
        <v/>
      </c>
      <c r="I3763">
        <f>-H5409/G5409</f>
        <v/>
      </c>
    </row>
    <row r="3764">
      <c r="A3764" t="n">
        <v>15189</v>
      </c>
      <c r="B3764" s="16" t="n">
        <v>44649</v>
      </c>
      <c r="C3764" t="inlineStr">
        <is>
          <t>VTA</t>
        </is>
      </c>
      <c r="D3764" t="n">
        <v>42</v>
      </c>
      <c r="E3764">
        <f>IF(D5606&gt;0,VLOOKUP(OPERAC[[#This Row],[COD CART]],[1]!MatrizCortoLargoCyl[#All],3,0),"")</f>
        <v/>
      </c>
      <c r="F3764" t="inlineStr">
        <is>
          <t>CRESY</t>
        </is>
      </c>
      <c r="G3764" t="n">
        <v>275</v>
      </c>
      <c r="H3764" t="n">
        <v>-2225.3506</v>
      </c>
      <c r="I3764">
        <f>-H5606/G5606</f>
        <v/>
      </c>
      <c r="J3764" s="16" t="n">
        <v>44657</v>
      </c>
      <c r="K3764">
        <f>+OPERAC[[#This Row],[cantidad]]</f>
        <v/>
      </c>
      <c r="L3764">
        <f>+OPERAC[[#This Row],[cantidad venta]]*7.664</f>
        <v/>
      </c>
    </row>
    <row r="3765">
      <c r="A3765" t="n">
        <v>15189</v>
      </c>
      <c r="B3765" s="16" t="n">
        <v>44651</v>
      </c>
      <c r="C3765" t="inlineStr">
        <is>
          <t>VTA</t>
        </is>
      </c>
      <c r="D3765" t="n">
        <v>42</v>
      </c>
      <c r="E3765">
        <f>IF(D5128&gt;0,VLOOKUP(OPERAC[[#This Row],[COD CART]],[1]!MatrizCortoLargoCyl[#All],3,0),"")</f>
        <v/>
      </c>
      <c r="F3765" t="inlineStr">
        <is>
          <t>AMD</t>
        </is>
      </c>
      <c r="G3765" t="n">
        <v>14</v>
      </c>
      <c r="H3765" t="n">
        <v>-1594.58488</v>
      </c>
      <c r="I3765">
        <f>-H5128/G5128</f>
        <v/>
      </c>
      <c r="J3765" s="16" t="n">
        <v>44693</v>
      </c>
      <c r="K3765">
        <f>+OPERAC[[#This Row],[cantidad]]</f>
        <v/>
      </c>
      <c r="L3765">
        <f>+OPERAC[[#This Row],[cantidad venta]]*85.26</f>
        <v/>
      </c>
    </row>
    <row r="3766">
      <c r="A3766" t="n">
        <v>15189</v>
      </c>
      <c r="B3766" s="16" t="n">
        <v>44662</v>
      </c>
      <c r="C3766" t="inlineStr">
        <is>
          <t>CPR</t>
        </is>
      </c>
      <c r="D3766" t="n">
        <v>42</v>
      </c>
      <c r="E3766">
        <f>IF(D4764&gt;0,VLOOKUP(OPERAC[[#This Row],[COD CART]],[1]!MatrizCortoLargoCyl[#All],3,0),"")</f>
        <v/>
      </c>
      <c r="F3766" t="inlineStr">
        <is>
          <t>UPST</t>
        </is>
      </c>
      <c r="G3766" t="n">
        <v>15</v>
      </c>
      <c r="H3766" t="n">
        <v>-1371.0054</v>
      </c>
      <c r="I3766">
        <f>-H4764/G4764</f>
        <v/>
      </c>
      <c r="J3766" s="16" t="n">
        <v>44693</v>
      </c>
      <c r="K3766" t="n">
        <v>15</v>
      </c>
      <c r="L3766" t="n">
        <v>461.16</v>
      </c>
    </row>
    <row r="3767">
      <c r="A3767" t="n">
        <v>15189</v>
      </c>
      <c r="B3767" s="16" t="n">
        <v>44664</v>
      </c>
      <c r="C3767" t="inlineStr">
        <is>
          <t>CPR</t>
        </is>
      </c>
      <c r="D3767" t="n">
        <v>42</v>
      </c>
      <c r="E3767">
        <f>IF(D5690&gt;0,VLOOKUP(OPERAC[[#This Row],[COD CART]],[1]!MatrizCortoLargoCyl[#All],3,0),"")</f>
        <v/>
      </c>
      <c r="F3767" t="inlineStr">
        <is>
          <t>PSQ</t>
        </is>
      </c>
      <c r="G3767" t="n">
        <v>200</v>
      </c>
      <c r="H3767" t="n">
        <v>-2486.5144362</v>
      </c>
      <c r="I3767">
        <f>-H5690/G5690</f>
        <v/>
      </c>
      <c r="J3767" s="16" t="n">
        <v>44671</v>
      </c>
      <c r="K3767" t="n">
        <v>200</v>
      </c>
      <c r="L3767" t="n">
        <v>2426.201</v>
      </c>
    </row>
    <row r="3768">
      <c r="A3768" t="n">
        <v>15189</v>
      </c>
      <c r="B3768" s="16" t="n">
        <v>44664</v>
      </c>
      <c r="C3768" t="inlineStr">
        <is>
          <t>VTA</t>
        </is>
      </c>
      <c r="D3768" t="n">
        <v>42</v>
      </c>
      <c r="E3768">
        <f>IF(D5502&gt;0,VLOOKUP(OPERAC[[#This Row],[COD CART]],[1]!MatrizCortoLargoCyl[#All],3,0),"")</f>
        <v/>
      </c>
      <c r="F3768" t="inlineStr">
        <is>
          <t>AMD</t>
        </is>
      </c>
      <c r="G3768" t="n">
        <v>20</v>
      </c>
      <c r="H3768" t="n">
        <v>-1975.4130906</v>
      </c>
      <c r="I3768">
        <f>-H5502/G5502</f>
        <v/>
      </c>
      <c r="J3768" s="16" t="n">
        <v>44693</v>
      </c>
      <c r="K3768">
        <f>+OPERAC[[#This Row],[cantidad]]</f>
        <v/>
      </c>
      <c r="L3768">
        <f>+OPERAC[[#This Row],[cantidad venta]]*85.26</f>
        <v/>
      </c>
    </row>
    <row r="3769">
      <c r="A3769" t="n">
        <v>15189</v>
      </c>
      <c r="B3769" s="16" t="n">
        <v>44671</v>
      </c>
      <c r="C3769" t="inlineStr">
        <is>
          <t>CPR</t>
        </is>
      </c>
      <c r="D3769" t="n">
        <v>42</v>
      </c>
      <c r="E3769">
        <f>IF(D4261&gt;0,VLOOKUP(OPERAC[[#This Row],[COD CART]],[1]!MatrizCortoLargoCyl[#All],3,0),"")</f>
        <v/>
      </c>
      <c r="F3769" t="inlineStr">
        <is>
          <t>NFLX</t>
        </is>
      </c>
      <c r="G3769" t="n">
        <v>4</v>
      </c>
      <c r="H3769" t="n">
        <v>-1018.02024</v>
      </c>
      <c r="I3769">
        <f>-H4261/G4261</f>
        <v/>
      </c>
      <c r="J3769" s="16" t="n">
        <v>44693</v>
      </c>
      <c r="K3769">
        <f>+OPERAC[[#This Row],[cantidad]]</f>
        <v/>
      </c>
      <c r="L3769">
        <f>+OPERAC[[#This Row],[cantidad venta]]*169.079</f>
        <v/>
      </c>
    </row>
    <row r="3770">
      <c r="A3770" t="n">
        <v>15189</v>
      </c>
      <c r="B3770" s="16" t="n">
        <v>44691</v>
      </c>
      <c r="C3770" t="inlineStr">
        <is>
          <t>CPR</t>
        </is>
      </c>
      <c r="D3770" t="n">
        <v>32</v>
      </c>
      <c r="E3770">
        <f>IF(D5999&gt;0,VLOOKUP(OPERAC[[#This Row],[COD CART]],[1]!MatrizCortoLargoCyl[#All],3,0),"")</f>
        <v/>
      </c>
      <c r="F3770" t="inlineStr">
        <is>
          <t>UPST</t>
        </is>
      </c>
      <c r="G3770" t="n">
        <v>100</v>
      </c>
      <c r="H3770" t="n">
        <v>-3321.11</v>
      </c>
      <c r="I3770">
        <f>-H5999/G5999</f>
        <v/>
      </c>
      <c r="J3770" s="16" t="n">
        <v>44701</v>
      </c>
      <c r="K3770" t="n">
        <v>100</v>
      </c>
      <c r="L3770" t="n">
        <v>4386.11</v>
      </c>
    </row>
    <row r="3771">
      <c r="A3771" t="n">
        <v>15189</v>
      </c>
      <c r="B3771" s="16" t="n">
        <v>44691</v>
      </c>
      <c r="C3771" t="inlineStr">
        <is>
          <t>VTA</t>
        </is>
      </c>
      <c r="D3771" t="n">
        <v>39</v>
      </c>
      <c r="E3771">
        <f>IF(D259&gt;0,VLOOKUP(OPERAC[[#This Row],[COD CART]],[1]!MatrizCortoLargoCyl[#All],3,0),"")</f>
        <v/>
      </c>
      <c r="F3771" t="inlineStr">
        <is>
          <t>TSLA/V/710,00/13-05-22</t>
        </is>
      </c>
      <c r="G3771" t="n">
        <v>-500</v>
      </c>
      <c r="H3771" t="n">
        <v>1735.125</v>
      </c>
      <c r="I3771">
        <f>-H259/G259</f>
        <v/>
      </c>
      <c r="J3771" s="16" t="n">
        <v>44692</v>
      </c>
      <c r="K3771" t="n">
        <v>-500</v>
      </c>
      <c r="L3771" t="n">
        <v>-6000.575</v>
      </c>
    </row>
    <row r="3772">
      <c r="A3772" t="n">
        <v>15189</v>
      </c>
      <c r="B3772" s="16" t="n">
        <v>44693</v>
      </c>
      <c r="C3772" t="inlineStr">
        <is>
          <t>VTA</t>
        </is>
      </c>
      <c r="D3772" t="n">
        <v>39</v>
      </c>
      <c r="E3772">
        <f>IF(D51&gt;0,VLOOKUP(OPERAC[[#This Row],[COD CART]],[1]!MatrizCortoLargoCyl[#All],3,0),"")</f>
        <v/>
      </c>
      <c r="F3772" t="inlineStr">
        <is>
          <t>TSLA/V/690,00/13-05-22</t>
        </is>
      </c>
      <c r="G3772" t="n">
        <v>-1000</v>
      </c>
      <c r="H3772" t="n">
        <v>5029.8</v>
      </c>
      <c r="I3772">
        <f>-H51/G51</f>
        <v/>
      </c>
      <c r="J3772" s="16" t="n">
        <v>44694</v>
      </c>
      <c r="K3772" t="n">
        <v>-1000</v>
      </c>
      <c r="L3772" t="n">
        <v>0</v>
      </c>
    </row>
    <row r="3773">
      <c r="A3773" t="n">
        <v>15189</v>
      </c>
      <c r="B3773" s="16" t="n">
        <v>44698</v>
      </c>
      <c r="C3773" t="inlineStr">
        <is>
          <t>CPR</t>
        </is>
      </c>
      <c r="D3773" t="n">
        <v>39</v>
      </c>
      <c r="E3773">
        <f>IF(D4606&gt;0,VLOOKUP(OPERAC[[#This Row],[COD CART]],[1]!MatrizCortoLargoCyl[#All],3,0),"")</f>
        <v/>
      </c>
      <c r="F3773" t="inlineStr">
        <is>
          <t>NTLA/C/65,00/15-07-22</t>
        </is>
      </c>
      <c r="G3773" t="n">
        <v>500</v>
      </c>
      <c r="H3773" t="n">
        <v>-1260.625</v>
      </c>
      <c r="I3773">
        <f>-H4606/G4606</f>
        <v/>
      </c>
    </row>
    <row r="3774">
      <c r="A3774" t="n">
        <v>15189</v>
      </c>
      <c r="B3774" s="16" t="n">
        <v>44704</v>
      </c>
      <c r="C3774" t="inlineStr">
        <is>
          <t>CPR</t>
        </is>
      </c>
      <c r="D3774" t="n">
        <v>32</v>
      </c>
      <c r="E3774">
        <f>IF(D4638&gt;0,VLOOKUP(OPERAC[[#This Row],[COD CART]],[1]!MatrizCortoLargoCyl[#All],3,0),"")</f>
        <v/>
      </c>
      <c r="F3774" t="inlineStr">
        <is>
          <t>CLMT/CYL/16,00/17-06-22</t>
        </is>
      </c>
      <c r="G3774" t="n">
        <v>100</v>
      </c>
      <c r="H3774" t="n">
        <v>-1286.546</v>
      </c>
      <c r="I3774">
        <f>-H4638/G4638</f>
        <v/>
      </c>
    </row>
    <row r="3775">
      <c r="A3775" t="n">
        <v>15189</v>
      </c>
      <c r="B3775" s="16" t="n">
        <v>44704</v>
      </c>
      <c r="C3775" t="inlineStr">
        <is>
          <t>VTA</t>
        </is>
      </c>
      <c r="D3775" t="n">
        <v>32</v>
      </c>
      <c r="E3775">
        <f>IF(D2480&gt;0,VLOOKUP(OPERAC[[#This Row],[COD CART]],[1]!MatrizCortoLargoCyl[#All],3,0),"")</f>
        <v/>
      </c>
      <c r="F3775" t="inlineStr">
        <is>
          <t>TLRY/CYL/6,00/17-06-22</t>
        </is>
      </c>
      <c r="G3775" t="n">
        <v>100</v>
      </c>
      <c r="H3775" t="n">
        <v>-443.389</v>
      </c>
      <c r="I3775">
        <f>-H2480/G2480</f>
        <v/>
      </c>
    </row>
    <row r="3776">
      <c r="A3776" t="n">
        <v>15189</v>
      </c>
      <c r="B3776" s="16" t="n">
        <v>44704</v>
      </c>
      <c r="C3776" t="inlineStr">
        <is>
          <t>VTA</t>
        </is>
      </c>
      <c r="D3776" t="n">
        <v>32</v>
      </c>
      <c r="E3776">
        <f>IF(D5439&gt;0,VLOOKUP(OPERAC[[#This Row],[COD CART]],[1]!MatrizCortoLargoCyl[#All],3,0),"")</f>
        <v/>
      </c>
      <c r="F3776" t="inlineStr">
        <is>
          <t>AMC/CYL/9,50/03-06-22</t>
        </is>
      </c>
      <c r="G3776" t="n">
        <v>200</v>
      </c>
      <c r="H3776" t="n">
        <v>-1867.158</v>
      </c>
      <c r="I3776">
        <f>-H5439/G5439</f>
        <v/>
      </c>
      <c r="J3776" s="16" t="n">
        <v>44715</v>
      </c>
      <c r="K3776">
        <f>+OPERAC[[#This Row],[cantidad]]</f>
        <v/>
      </c>
      <c r="L3776">
        <f>+OPERAC[[#This Row],[cantidad venta]]*9.457</f>
        <v/>
      </c>
    </row>
    <row r="3777">
      <c r="A3777" t="n">
        <v>15189</v>
      </c>
      <c r="B3777" s="16" t="n">
        <v>44707</v>
      </c>
      <c r="C3777" t="inlineStr">
        <is>
          <t>CPR</t>
        </is>
      </c>
      <c r="D3777" t="n">
        <v>42</v>
      </c>
      <c r="E3777">
        <f>IF(D4483&gt;0,VLOOKUP(OPERAC[[#This Row],[COD CART]],[1]!MatrizCortoLargoCyl[#All],3,0),"")</f>
        <v/>
      </c>
      <c r="F3777" t="inlineStr">
        <is>
          <t>ET</t>
        </is>
      </c>
      <c r="G3777" t="n">
        <v>100</v>
      </c>
      <c r="H3777" t="n">
        <v>-1172.38125</v>
      </c>
      <c r="I3777">
        <f>-H4483/G4483</f>
        <v/>
      </c>
      <c r="J3777" s="16" t="n">
        <v>44712</v>
      </c>
      <c r="K3777" t="n">
        <v>100</v>
      </c>
      <c r="L3777" t="n">
        <v>1156.52</v>
      </c>
    </row>
    <row r="3778">
      <c r="A3778" t="n">
        <v>15189</v>
      </c>
      <c r="B3778" s="16" t="n">
        <v>44707</v>
      </c>
      <c r="C3778" t="inlineStr">
        <is>
          <t>CPR</t>
        </is>
      </c>
      <c r="D3778" t="n">
        <v>32</v>
      </c>
      <c r="E3778">
        <f>IF(D5762&gt;0,VLOOKUP(OPERAC[[#This Row],[COD CART]],[1]!MatrizCortoLargoCyl[#All],3,0),"")</f>
        <v/>
      </c>
      <c r="F3778" t="inlineStr">
        <is>
          <t>BIG/CYL/27,50/17-06-22</t>
        </is>
      </c>
      <c r="G3778" t="n">
        <v>100</v>
      </c>
      <c r="H3778" t="n">
        <v>-2636.628</v>
      </c>
      <c r="I3778">
        <f>-H5762/G5762</f>
        <v/>
      </c>
    </row>
    <row r="3779">
      <c r="A3779" t="n">
        <v>15189</v>
      </c>
      <c r="B3779" s="16" t="n">
        <v>44708</v>
      </c>
      <c r="C3779" t="inlineStr">
        <is>
          <t>CPR</t>
        </is>
      </c>
      <c r="D3779" t="n">
        <v>32</v>
      </c>
      <c r="E3779">
        <f>IF(D4629&gt;0,VLOOKUP(OPERAC[[#This Row],[COD CART]],[1]!MatrizCortoLargoCyl[#All],3,0),"")</f>
        <v/>
      </c>
      <c r="F3779" t="inlineStr">
        <is>
          <t>CCL/CYL/13,00/03-06-22</t>
        </is>
      </c>
      <c r="G3779" t="n">
        <v>100</v>
      </c>
      <c r="H3779" t="n">
        <v>-1276.4</v>
      </c>
      <c r="I3779">
        <f>-H4629/G4629</f>
        <v/>
      </c>
      <c r="J3779" s="16" t="n">
        <v>44715</v>
      </c>
      <c r="K3779">
        <f>+OPERAC[[#This Row],[cantidad]]</f>
        <v/>
      </c>
      <c r="L3779">
        <f>+OPERAC[[#This Row],[cantidad venta]]*12.942</f>
        <v/>
      </c>
    </row>
    <row r="3780">
      <c r="A3780" t="n">
        <v>15189</v>
      </c>
      <c r="B3780" s="16" t="n">
        <v>44708</v>
      </c>
      <c r="C3780" t="inlineStr">
        <is>
          <t>VTA</t>
        </is>
      </c>
      <c r="D3780" t="n">
        <v>32</v>
      </c>
      <c r="E3780">
        <f>IF(D5270&gt;0,VLOOKUP(OPERAC[[#This Row],[COD CART]],[1]!MatrizCortoLargoCyl[#All],3,0),"")</f>
        <v/>
      </c>
      <c r="F3780" t="inlineStr">
        <is>
          <t>ACB/CYL/2,00/15-07-22</t>
        </is>
      </c>
      <c r="G3780" t="n">
        <v>1000</v>
      </c>
      <c r="H3780">
        <f>-1825.320788805+118.98</f>
        <v/>
      </c>
      <c r="I3780">
        <f>-H5270/G5270</f>
        <v/>
      </c>
    </row>
    <row r="3781">
      <c r="A3781" t="n">
        <v>15189</v>
      </c>
      <c r="B3781" s="16" t="n">
        <v>44712</v>
      </c>
      <c r="C3781" t="inlineStr">
        <is>
          <t>VTA</t>
        </is>
      </c>
      <c r="D3781" t="n">
        <v>39</v>
      </c>
      <c r="E3781">
        <f>IF(D1570&gt;0,VLOOKUP(OPERAC[[#This Row],[COD CART]],[1]!MatrizCortoLargoCyl[#All],3,0),"")</f>
        <v/>
      </c>
      <c r="F3781" t="inlineStr">
        <is>
          <t>ET/C/10,00/21-10-22</t>
        </is>
      </c>
      <c r="G3781" t="n">
        <v>100</v>
      </c>
      <c r="H3781" t="n">
        <v>-202.808</v>
      </c>
      <c r="I3781">
        <f>-H1570/G1570</f>
        <v/>
      </c>
    </row>
    <row r="3782">
      <c r="A3782" t="n">
        <v>15189</v>
      </c>
      <c r="B3782" s="16" t="n">
        <v>44714</v>
      </c>
      <c r="C3782" t="inlineStr">
        <is>
          <t>VTA</t>
        </is>
      </c>
      <c r="D3782" t="n">
        <v>39</v>
      </c>
      <c r="E3782">
        <f>IF(D985&gt;0,VLOOKUP(OPERAC[[#This Row],[COD CART]],[1]!MatrizCortoLargoCyl[#All],3,0),"")</f>
        <v/>
      </c>
      <c r="F3782" t="inlineStr">
        <is>
          <t>MELI/V/350,00/20-01-23</t>
        </is>
      </c>
      <c r="G3782" t="n">
        <v>-6</v>
      </c>
      <c r="H3782" t="n">
        <v>74.3625</v>
      </c>
      <c r="I3782">
        <f>-H985/G985</f>
        <v/>
      </c>
    </row>
    <row r="3783">
      <c r="A3783" t="n">
        <v>15189</v>
      </c>
      <c r="B3783" s="16" t="n">
        <v>44715</v>
      </c>
      <c r="C3783" t="inlineStr">
        <is>
          <t>VTA</t>
        </is>
      </c>
      <c r="D3783" t="n">
        <v>32</v>
      </c>
      <c r="E3783">
        <f>IF(D5070&gt;0,VLOOKUP(OPERAC[[#This Row],[COD CART]],[1]!MatrizCortoLargoCyl[#All],3,0),"")</f>
        <v/>
      </c>
      <c r="F3783" t="inlineStr">
        <is>
          <t>AAL/CYL/16,50/17-06-22</t>
        </is>
      </c>
      <c r="G3783" t="n">
        <v>100</v>
      </c>
      <c r="H3783" t="n">
        <v>-1580.215</v>
      </c>
      <c r="I3783">
        <f>-H5070/G5070</f>
        <v/>
      </c>
    </row>
    <row r="3784">
      <c r="A3784" t="n">
        <v>15189</v>
      </c>
      <c r="B3784" s="16" t="n">
        <v>44718</v>
      </c>
      <c r="C3784" t="inlineStr">
        <is>
          <t>CPR</t>
        </is>
      </c>
      <c r="D3784" t="n">
        <v>42</v>
      </c>
      <c r="E3784">
        <f>IF(D6163&gt;0,VLOOKUP(OPERAC[[#This Row],[COD CART]],[1]!MatrizCortoLargoCyl[#All],3,0),"")</f>
        <v/>
      </c>
      <c r="F3784" t="inlineStr">
        <is>
          <t>UPST</t>
        </is>
      </c>
      <c r="G3784" t="n">
        <v>100</v>
      </c>
      <c r="H3784">
        <f>-4979.84+71.586</f>
        <v/>
      </c>
      <c r="I3784">
        <f>-H6163/G6163</f>
        <v/>
      </c>
    </row>
    <row r="3785">
      <c r="A3785" t="n">
        <v>15189</v>
      </c>
      <c r="B3785" s="16" t="n">
        <v>44718</v>
      </c>
      <c r="C3785" t="inlineStr">
        <is>
          <t>CPR</t>
        </is>
      </c>
      <c r="D3785" t="n">
        <v>42</v>
      </c>
      <c r="E3785">
        <f>IF(D6235&gt;0,VLOOKUP(OPERAC[[#This Row],[COD CART]],[1]!MatrizCortoLargoCyl[#All],3,0),"")</f>
        <v/>
      </c>
      <c r="F3785" t="inlineStr">
        <is>
          <t>KWEB</t>
        </is>
      </c>
      <c r="G3785" t="n">
        <v>200</v>
      </c>
      <c r="H3785" t="n">
        <v>-6216.6776</v>
      </c>
      <c r="I3785">
        <f>-H6235/G6235</f>
        <v/>
      </c>
    </row>
    <row r="3786">
      <c r="A3786" t="n">
        <v>15189</v>
      </c>
      <c r="B3786" s="16" t="n">
        <v>44718</v>
      </c>
      <c r="C3786" t="inlineStr">
        <is>
          <t>VTA</t>
        </is>
      </c>
      <c r="D3786" t="n">
        <v>39</v>
      </c>
      <c r="E3786">
        <f>IF(D456&gt;0,VLOOKUP(OPERAC[[#This Row],[COD CART]],[1]!MatrizCortoLargoCyl[#All],3,0),"")</f>
        <v/>
      </c>
      <c r="F3786" t="inlineStr">
        <is>
          <t>TSLA/V/600,00/10-06-22</t>
        </is>
      </c>
      <c r="G3786" t="n">
        <v>-400</v>
      </c>
      <c r="H3786" t="n">
        <v>1008.554</v>
      </c>
      <c r="I3786">
        <f>-H456/G456</f>
        <v/>
      </c>
      <c r="J3786" s="16" t="n">
        <v>44718</v>
      </c>
      <c r="K3786" t="n">
        <v>-400</v>
      </c>
      <c r="L3786" t="n">
        <v>-700.8049999999999</v>
      </c>
    </row>
    <row r="3787">
      <c r="A3787" t="n">
        <v>15189</v>
      </c>
      <c r="B3787" s="16" t="n">
        <v>44718</v>
      </c>
      <c r="C3787" t="inlineStr">
        <is>
          <t>VTA</t>
        </is>
      </c>
      <c r="D3787" t="n">
        <v>39</v>
      </c>
      <c r="E3787">
        <f>IF(D679&gt;0,VLOOKUP(OPERAC[[#This Row],[COD CART]],[1]!MatrizCortoLargoCyl[#All],3,0),"")</f>
        <v/>
      </c>
      <c r="F3787" t="inlineStr">
        <is>
          <t>TSLA/V/580,00/10-06-22</t>
        </is>
      </c>
      <c r="G3787" t="n">
        <v>-400</v>
      </c>
      <c r="H3787" t="n">
        <v>435.6</v>
      </c>
      <c r="I3787">
        <f>-H679/G679</f>
        <v/>
      </c>
      <c r="J3787" s="16" t="n">
        <v>44720</v>
      </c>
      <c r="K3787" t="n">
        <v>-400</v>
      </c>
      <c r="L3787" t="n">
        <v>-72.34</v>
      </c>
    </row>
    <row r="3788">
      <c r="A3788" t="n">
        <v>15189</v>
      </c>
      <c r="B3788" s="16" t="n">
        <v>44720</v>
      </c>
      <c r="C3788" t="inlineStr">
        <is>
          <t>VTA</t>
        </is>
      </c>
      <c r="D3788" t="n">
        <v>39</v>
      </c>
      <c r="E3788">
        <f>IF(D928&gt;0,VLOOKUP(OPERAC[[#This Row],[COD CART]],[1]!MatrizCortoLargoCyl[#All],3,0),"")</f>
        <v/>
      </c>
      <c r="F3788" t="inlineStr">
        <is>
          <t>TSLA/P/660,00/10-06-22</t>
        </is>
      </c>
      <c r="G3788" t="n">
        <v>-100</v>
      </c>
      <c r="H3788" t="n">
        <v>114.023</v>
      </c>
      <c r="I3788">
        <f>-H928/G928</f>
        <v/>
      </c>
      <c r="J3788" s="16" t="n">
        <v>44722</v>
      </c>
      <c r="K3788">
        <f>+OPERAC[[#This Row],[cantidad]]</f>
        <v/>
      </c>
      <c r="L3788" t="n">
        <v>0</v>
      </c>
    </row>
    <row r="3789">
      <c r="A3789" t="n">
        <v>15192</v>
      </c>
      <c r="B3789" s="16" t="n">
        <v>44461</v>
      </c>
      <c r="C3789" t="inlineStr">
        <is>
          <t>VTA</t>
        </is>
      </c>
      <c r="D3789" t="n">
        <v>40</v>
      </c>
      <c r="E3789">
        <f>IF(D1595&gt;0,VLOOKUP(OPERAC[[#This Row],[COD CART]],[1]!MatrizCortoLargoCyl[#All],3,0),"")</f>
        <v/>
      </c>
      <c r="F3789" t="inlineStr">
        <is>
          <t>EDU</t>
        </is>
      </c>
      <c r="G3789" t="n">
        <v>200</v>
      </c>
      <c r="H3789">
        <f>-1.0864*OPERAC[[#This Row],[cantidad]]+0.04*OPERAC[[#This Row],[cantidad]]</f>
        <v/>
      </c>
      <c r="I3789">
        <f>-H1595/G1595</f>
        <v/>
      </c>
      <c r="J3789" s="16" t="n">
        <v>44630</v>
      </c>
      <c r="K3789" t="n">
        <v>200</v>
      </c>
      <c r="L3789" t="n">
        <v>227.331</v>
      </c>
    </row>
    <row r="3790">
      <c r="A3790" t="n">
        <v>15192</v>
      </c>
      <c r="B3790" s="16" t="n">
        <v>44469</v>
      </c>
      <c r="C3790" t="inlineStr">
        <is>
          <t>VTA</t>
        </is>
      </c>
      <c r="D3790" t="n">
        <v>39</v>
      </c>
      <c r="E3790">
        <f>IF(D692&gt;0,VLOOKUP(OPERAC[[#This Row],[COD CART]],[1]!MatrizCortoLargoCyl[#All],3,0),"")</f>
        <v/>
      </c>
      <c r="F3790" t="inlineStr">
        <is>
          <t>ACB/V/6,00/21-01-22</t>
        </is>
      </c>
      <c r="G3790" t="n">
        <v>-500</v>
      </c>
      <c r="H3790">
        <f>428.3725-0.5*OPERAC[[#This Row],[cantidad]]+0.51*OPERAC[[#This Row],[cantidad]]</f>
        <v/>
      </c>
      <c r="I3790">
        <f>-H692/G692</f>
        <v/>
      </c>
      <c r="J3790" s="16" t="n">
        <v>44581</v>
      </c>
      <c r="K3790">
        <f>+OPERAC[[#This Row],[cantidad]]</f>
        <v/>
      </c>
      <c r="L3790">
        <f>-OPERAC[[#This Row],[importe]]</f>
        <v/>
      </c>
    </row>
    <row r="3791">
      <c r="A3791" t="n">
        <v>15192</v>
      </c>
      <c r="B3791" s="16" t="n">
        <v>44581</v>
      </c>
      <c r="C3791" t="inlineStr">
        <is>
          <t>VTA</t>
        </is>
      </c>
      <c r="D3791" t="n">
        <v>39</v>
      </c>
      <c r="E3791">
        <f>IF(D605&gt;0,VLOOKUP(OPERAC[[#This Row],[COD CART]],[1]!MatrizCortoLargoCyl[#All],3,0),"")</f>
        <v/>
      </c>
      <c r="F3791" t="inlineStr">
        <is>
          <t>ACB/V/6,00/18-02-22</t>
        </is>
      </c>
      <c r="G3791" t="n">
        <v>-500</v>
      </c>
      <c r="H3791" t="n">
        <v>604.7575000000001</v>
      </c>
      <c r="I3791">
        <f>-H605/G605</f>
        <v/>
      </c>
      <c r="J3791" s="16" t="n">
        <v>44601</v>
      </c>
      <c r="K3791" t="n">
        <v>-500</v>
      </c>
      <c r="L3791">
        <f>1.21*OPERAC[[#This Row],[cantidad venta]]</f>
        <v/>
      </c>
    </row>
    <row r="3792">
      <c r="A3792" t="n">
        <v>15192</v>
      </c>
      <c r="B3792" s="16" t="n">
        <v>44592</v>
      </c>
      <c r="C3792" t="inlineStr">
        <is>
          <t>VTA</t>
        </is>
      </c>
      <c r="D3792" t="n">
        <v>43</v>
      </c>
      <c r="E3792">
        <f>IF(D1319&gt;0,VLOOKUP(OPERAC[[#This Row],[COD CART]],[1]!MatrizCortoLargoCyl[#All],3,0),"")</f>
        <v/>
      </c>
      <c r="F3792" t="inlineStr">
        <is>
          <t>GMBL/CYL-PUT/2,50/20-01-23</t>
        </is>
      </c>
      <c r="G3792" t="n">
        <v>100</v>
      </c>
      <c r="H3792" t="n">
        <v>-99.276</v>
      </c>
      <c r="I3792">
        <f>-H1319/G1319</f>
        <v/>
      </c>
      <c r="J3792" s="16" t="n">
        <v>44636</v>
      </c>
      <c r="K3792" t="n">
        <v>100</v>
      </c>
      <c r="L3792" t="n">
        <v>-136.14</v>
      </c>
    </row>
    <row r="3793">
      <c r="A3793" t="n">
        <v>15192</v>
      </c>
      <c r="B3793" s="16" t="n">
        <v>44592</v>
      </c>
      <c r="C3793" t="inlineStr">
        <is>
          <t>VTA</t>
        </is>
      </c>
      <c r="D3793" t="n">
        <v>40</v>
      </c>
      <c r="E3793">
        <f>IF(D1472&gt;0,VLOOKUP(OPERAC[[#This Row],[COD CART]],[1]!MatrizCortoLargoCyl[#All],3,0),"")</f>
        <v/>
      </c>
      <c r="F3793" t="inlineStr">
        <is>
          <t>AAPL</t>
        </is>
      </c>
      <c r="G3793" t="n">
        <v>1</v>
      </c>
      <c r="H3793" t="n">
        <v>-175.344</v>
      </c>
      <c r="I3793">
        <f>-H1472/G1472</f>
        <v/>
      </c>
      <c r="J3793" s="16" t="n">
        <v>44600</v>
      </c>
      <c r="K3793" t="n">
        <v>1</v>
      </c>
      <c r="L3793" t="n">
        <v>169.8</v>
      </c>
    </row>
    <row r="3794">
      <c r="A3794" t="n">
        <v>15192</v>
      </c>
      <c r="B3794" s="16" t="n">
        <v>44594</v>
      </c>
      <c r="C3794" t="inlineStr">
        <is>
          <t>VTA</t>
        </is>
      </c>
      <c r="D3794" t="n">
        <v>40</v>
      </c>
      <c r="E3794">
        <f>IF(D2324&gt;0,VLOOKUP(OPERAC[[#This Row],[COD CART]],[1]!MatrizCortoLargoCyl[#All],3,0),"")</f>
        <v/>
      </c>
      <c r="F3794" t="inlineStr">
        <is>
          <t>EDU</t>
        </is>
      </c>
      <c r="G3794" t="n">
        <v>200</v>
      </c>
      <c r="H3794" t="n">
        <v>-403.2</v>
      </c>
      <c r="I3794">
        <f>-H2324/G2324</f>
        <v/>
      </c>
      <c r="J3794" s="16" t="n">
        <v>44600</v>
      </c>
      <c r="K3794" t="n">
        <v>200</v>
      </c>
      <c r="L3794" t="n">
        <v>296.57</v>
      </c>
    </row>
    <row r="3795">
      <c r="A3795" t="n">
        <v>15192</v>
      </c>
      <c r="B3795" s="16" t="n">
        <v>44601</v>
      </c>
      <c r="C3795" t="inlineStr">
        <is>
          <t>VTA</t>
        </is>
      </c>
      <c r="D3795" t="n">
        <v>39</v>
      </c>
      <c r="E3795">
        <f>IF(D522&gt;0,VLOOKUP(OPERAC[[#This Row],[COD CART]],[1]!MatrizCortoLargoCyl[#All],3,0),"")</f>
        <v/>
      </c>
      <c r="F3795" t="inlineStr">
        <is>
          <t>TSLA/V/805/18-02-22</t>
        </is>
      </c>
      <c r="G3795" t="n">
        <v>-300</v>
      </c>
      <c r="H3795" t="n">
        <v>860</v>
      </c>
      <c r="I3795">
        <f>-H522/G522</f>
        <v/>
      </c>
      <c r="J3795" s="16" t="n">
        <v>44607</v>
      </c>
      <c r="K3795" t="n">
        <v>-300</v>
      </c>
      <c r="L3795" t="n">
        <v>-319.498</v>
      </c>
    </row>
    <row r="3796">
      <c r="A3796" t="n">
        <v>15192</v>
      </c>
      <c r="B3796" s="16" t="n">
        <v>44607</v>
      </c>
      <c r="C3796" t="inlineStr">
        <is>
          <t>VTA</t>
        </is>
      </c>
      <c r="D3796" t="n">
        <v>39</v>
      </c>
      <c r="E3796">
        <f>IF(D878&gt;0,VLOOKUP(OPERAC[[#This Row],[COD CART]],[1]!MatrizCortoLargoCyl[#All],3,0),"")</f>
        <v/>
      </c>
      <c r="F3796" t="inlineStr">
        <is>
          <t>TSLA/V/830,00/18-02-22</t>
        </is>
      </c>
      <c r="G3796" t="n">
        <v>-100</v>
      </c>
      <c r="H3796" t="n">
        <v>192.74775</v>
      </c>
      <c r="I3796">
        <f>-H878/G878</f>
        <v/>
      </c>
      <c r="J3796" s="16" t="n">
        <v>44609</v>
      </c>
      <c r="K3796" t="n">
        <v>-100</v>
      </c>
      <c r="L3796" t="n">
        <v>-192.209</v>
      </c>
    </row>
    <row r="3797">
      <c r="A3797" t="n">
        <v>15192</v>
      </c>
      <c r="B3797" s="16" t="n">
        <v>44636</v>
      </c>
      <c r="C3797" t="inlineStr">
        <is>
          <t>VTA</t>
        </is>
      </c>
      <c r="D3797" t="n">
        <v>43</v>
      </c>
      <c r="E3797">
        <f>IF(D1271&gt;0,VLOOKUP(OPERAC[[#This Row],[COD CART]],[1]!MatrizCortoLargoCyl[#All],3,0),"")</f>
        <v/>
      </c>
      <c r="F3797" t="inlineStr">
        <is>
          <t>GMBL/CYL-PUT/1,00/20-01-23</t>
        </is>
      </c>
      <c r="G3797" t="n">
        <v>300</v>
      </c>
      <c r="H3797" t="n">
        <v>-49.01659499999998</v>
      </c>
      <c r="I3797">
        <f>-H1271/G1271</f>
        <v/>
      </c>
    </row>
    <row r="3798">
      <c r="A3798" t="n">
        <v>15192</v>
      </c>
      <c r="B3798" s="16" t="n">
        <v>44637</v>
      </c>
      <c r="C3798" t="inlineStr">
        <is>
          <t>VTA</t>
        </is>
      </c>
      <c r="D3798" t="n">
        <v>43</v>
      </c>
      <c r="E3798">
        <f>IF(D1269&gt;0,VLOOKUP(OPERAC[[#This Row],[COD CART]],[1]!MatrizCortoLargoCyl[#All],3,0),"")</f>
        <v/>
      </c>
      <c r="F3798" t="inlineStr">
        <is>
          <t>GMBL/CYL-PUT/1,00/20-01-23</t>
        </is>
      </c>
      <c r="G3798" t="n">
        <v>200</v>
      </c>
      <c r="H3798" t="n">
        <v>-41.566352</v>
      </c>
      <c r="I3798">
        <f>-H1269/G1269</f>
        <v/>
      </c>
    </row>
    <row r="3799">
      <c r="A3799" t="n">
        <v>15192</v>
      </c>
      <c r="B3799" s="16" t="n">
        <v>44662</v>
      </c>
      <c r="C3799" t="inlineStr">
        <is>
          <t>VTA</t>
        </is>
      </c>
      <c r="D3799" t="n">
        <v>42</v>
      </c>
      <c r="E3799">
        <f>IF(D1267&gt;0,VLOOKUP(OPERAC[[#This Row],[COD CART]],[1]!MatrizCortoLargoCyl[#All],3,0),"")</f>
        <v/>
      </c>
      <c r="F3799" t="inlineStr">
        <is>
          <t>HYDR</t>
        </is>
      </c>
      <c r="G3799" t="n">
        <v>2</v>
      </c>
      <c r="H3799" t="n">
        <v>-37.140688</v>
      </c>
      <c r="I3799">
        <f>-H1267/G1267</f>
        <v/>
      </c>
      <c r="J3799" s="16" t="n">
        <v>44693</v>
      </c>
      <c r="K3799">
        <f>+OPERAC[[#This Row],[cantidad]]</f>
        <v/>
      </c>
      <c r="L3799">
        <f>+OPERAC[[#This Row],[cantidad venta]]*12.027</f>
        <v/>
      </c>
    </row>
    <row r="3800">
      <c r="A3800" t="n">
        <v>15194</v>
      </c>
      <c r="B3800" s="16" t="n">
        <v>44441</v>
      </c>
      <c r="C3800" t="inlineStr">
        <is>
          <t>VTA</t>
        </is>
      </c>
      <c r="D3800" t="n">
        <v>39</v>
      </c>
      <c r="E3800">
        <f>IF(D112&gt;0,VLOOKUP(OPERAC[[#This Row],[COD CART]],[1]!MatrizCortoLargoCyl[#All],3,0),"")</f>
        <v/>
      </c>
      <c r="F3800" t="inlineStr">
        <is>
          <t>EDIT/V/35,00/20-01-23</t>
        </is>
      </c>
      <c r="G3800" t="n">
        <v>-500</v>
      </c>
      <c r="H3800" t="n">
        <v>3224</v>
      </c>
      <c r="I3800">
        <f>-H112/G112</f>
        <v/>
      </c>
      <c r="J3800" s="16" t="n">
        <v>44614</v>
      </c>
      <c r="K3800" t="n">
        <v>-500</v>
      </c>
      <c r="L3800" t="n">
        <v>-10684.8</v>
      </c>
    </row>
    <row r="3801">
      <c r="A3801" t="n">
        <v>15194</v>
      </c>
      <c r="B3801" s="16" t="n">
        <v>44459</v>
      </c>
      <c r="C3801" t="inlineStr">
        <is>
          <t>CPR</t>
        </is>
      </c>
      <c r="D3801" t="n">
        <v>40</v>
      </c>
      <c r="E3801">
        <f>IF(D3999&gt;0,VLOOKUP(OPERAC[[#This Row],[COD CART]],[1]!MatrizCortoLargoCyl[#All],3,0),"")</f>
        <v/>
      </c>
      <c r="F3801" t="inlineStr">
        <is>
          <t>EDU</t>
        </is>
      </c>
      <c r="G3801" t="n">
        <v>1000</v>
      </c>
      <c r="H3801">
        <f>-955.96+0.04*OPERAC[[#This Row],[cantidad]]</f>
        <v/>
      </c>
      <c r="I3801">
        <f>-H3999/G3999</f>
        <v/>
      </c>
      <c r="J3801" s="16" t="n">
        <v>44630</v>
      </c>
      <c r="K3801" t="n">
        <v>1000</v>
      </c>
      <c r="L3801">
        <f>+OPERAC[[#This Row],[cantidad venta]]*1.16</f>
        <v/>
      </c>
    </row>
    <row r="3802">
      <c r="A3802" t="n">
        <v>15194</v>
      </c>
      <c r="B3802" s="16" t="n">
        <v>44459</v>
      </c>
      <c r="C3802" t="inlineStr">
        <is>
          <t>CPR</t>
        </is>
      </c>
      <c r="D3802" t="n">
        <v>43</v>
      </c>
      <c r="E3802">
        <f>IF(D4286&gt;0,VLOOKUP(OPERAC[[#This Row],[COD CART]],[1]!MatrizCortoLargoCyl[#All],3,0),"")</f>
        <v/>
      </c>
      <c r="F3802" t="inlineStr">
        <is>
          <t>INO/CYL-PUT/7,00/21-01-22</t>
        </is>
      </c>
      <c r="G3802" t="n">
        <v>200</v>
      </c>
      <c r="H3802" t="n">
        <v>-1030.91</v>
      </c>
      <c r="I3802">
        <f>-H4286/G4286</f>
        <v/>
      </c>
      <c r="J3802" s="16" t="n">
        <v>44581</v>
      </c>
      <c r="K3802" t="n">
        <v>200</v>
      </c>
      <c r="L3802" t="n">
        <v>251.59</v>
      </c>
    </row>
    <row r="3803">
      <c r="A3803" t="n">
        <v>15194</v>
      </c>
      <c r="B3803" s="16" t="n">
        <v>44462</v>
      </c>
      <c r="C3803" t="inlineStr">
        <is>
          <t>VTA</t>
        </is>
      </c>
      <c r="D3803" t="n">
        <v>43</v>
      </c>
      <c r="E3803">
        <f>IF(D2053&gt;0,VLOOKUP(OPERAC[[#This Row],[COD CART]],[1]!MatrizCortoLargoCyl[#All],3,0),"")</f>
        <v/>
      </c>
      <c r="F3803" t="inlineStr">
        <is>
          <t>SOLO/CYL-PUT/4,00/16-09-22</t>
        </is>
      </c>
      <c r="G3803" t="n">
        <v>200</v>
      </c>
      <c r="H3803">
        <f>OPERAC[[#This Row],[cantidad]]*-2.54+0.32*OPERAC[[#This Row],[cantidad]]+0.387*OPERAC[[#This Row],[cantidad]]+0.22*OPERAC[[#This Row],[cantidad]]</f>
        <v/>
      </c>
      <c r="I3803">
        <f>-H2053/G2053</f>
        <v/>
      </c>
    </row>
    <row r="3804">
      <c r="A3804" t="n">
        <v>15194</v>
      </c>
      <c r="B3804" s="16" t="n">
        <v>44466</v>
      </c>
      <c r="C3804" t="inlineStr">
        <is>
          <t>VTA</t>
        </is>
      </c>
      <c r="D3804" t="n">
        <v>43</v>
      </c>
      <c r="E3804">
        <f>IF(D3072&gt;0,VLOOKUP(OPERAC[[#This Row],[COD CART]],[1]!MatrizCortoLargoCyl[#All],3,0),"")</f>
        <v/>
      </c>
      <c r="F3804" t="inlineStr">
        <is>
          <t>SOLO/CYL-PUT/4,00/16-09-22</t>
        </is>
      </c>
      <c r="G3804" t="n">
        <v>300</v>
      </c>
      <c r="H3804">
        <f>-892.25181+0.32*OPERAC[[#This Row],[cantidad]]+0.387*OPERAC[[#This Row],[cantidad]]+0.22*OPERAC[[#This Row],[cantidad]]</f>
        <v/>
      </c>
      <c r="I3804">
        <f>-H3072/G3072</f>
        <v/>
      </c>
    </row>
    <row r="3805">
      <c r="A3805" t="n">
        <v>15194</v>
      </c>
      <c r="B3805" s="16" t="n">
        <v>44474</v>
      </c>
      <c r="C3805" t="inlineStr">
        <is>
          <t>VTA</t>
        </is>
      </c>
      <c r="D3805" t="n">
        <v>39</v>
      </c>
      <c r="E3805">
        <f>IF(D955&gt;0,VLOOKUP(OPERAC[[#This Row],[COD CART]],[1]!MatrizCortoLargoCyl[#All],3,0),"")</f>
        <v/>
      </c>
      <c r="F3805" t="inlineStr">
        <is>
          <t>NKE/V/115,00/21-01-22</t>
        </is>
      </c>
      <c r="G3805" t="n">
        <v>-100</v>
      </c>
      <c r="H3805" t="n">
        <v>94.95699999999999</v>
      </c>
      <c r="I3805">
        <f>-H955/G955</f>
        <v/>
      </c>
      <c r="J3805" s="16" t="n">
        <v>44582</v>
      </c>
      <c r="K3805">
        <f>+OPERAC[[#This Row],[cantidad]]</f>
        <v/>
      </c>
      <c r="L3805" t="n">
        <v>0</v>
      </c>
    </row>
    <row r="3806">
      <c r="A3806" t="n">
        <v>15194</v>
      </c>
      <c r="B3806" s="16" t="n">
        <v>44487</v>
      </c>
      <c r="C3806" t="inlineStr">
        <is>
          <t>VTA</t>
        </is>
      </c>
      <c r="D3806" t="n">
        <v>40</v>
      </c>
      <c r="E3806">
        <f>IF(D5143&gt;0,VLOOKUP(OPERAC[[#This Row],[COD CART]],[1]!MatrizCortoLargoCyl[#All],3,0),"")</f>
        <v/>
      </c>
      <c r="F3806" t="inlineStr">
        <is>
          <t>MELI</t>
        </is>
      </c>
      <c r="G3806" t="n">
        <v>1</v>
      </c>
      <c r="H3806" t="n">
        <v>-1603.127</v>
      </c>
      <c r="I3806">
        <f>-H5143/G5143</f>
        <v/>
      </c>
      <c r="J3806" s="16" t="n">
        <v>44606</v>
      </c>
      <c r="K3806" t="n">
        <v>1</v>
      </c>
      <c r="L3806" t="n">
        <v>1073.609</v>
      </c>
    </row>
    <row r="3807">
      <c r="A3807" t="n">
        <v>15194</v>
      </c>
      <c r="B3807" s="16" t="n">
        <v>44489</v>
      </c>
      <c r="C3807" t="inlineStr">
        <is>
          <t>VTA</t>
        </is>
      </c>
      <c r="D3807" t="n">
        <v>43</v>
      </c>
      <c r="E3807">
        <f>IF(D5450&gt;0,VLOOKUP(OPERAC[[#This Row],[COD CART]],[1]!MatrizCortoLargoCyl[#All],3,0),"")</f>
        <v/>
      </c>
      <c r="F3807" t="inlineStr">
        <is>
          <t>SESN/CYL-PUT/1,00/19-01-24</t>
        </is>
      </c>
      <c r="G3807" t="n">
        <v>10000</v>
      </c>
      <c r="H3807">
        <f>-0.1885*OPERAC[[#This Row],[cantidad]]</f>
        <v/>
      </c>
      <c r="I3807">
        <f>-H5450/G5450</f>
        <v/>
      </c>
    </row>
    <row r="3808">
      <c r="A3808" t="n">
        <v>15194</v>
      </c>
      <c r="B3808" s="16" t="n">
        <v>44495</v>
      </c>
      <c r="C3808" t="inlineStr">
        <is>
          <t>VTA</t>
        </is>
      </c>
      <c r="D3808" t="n">
        <v>39</v>
      </c>
      <c r="E3808">
        <f>IF(D389&gt;0,VLOOKUP(OPERAC[[#This Row],[COD CART]],[1]!MatrizCortoLargoCyl[#All],3,0),"")</f>
        <v/>
      </c>
      <c r="F3808" t="inlineStr">
        <is>
          <t>YPF/CC10/LP7/CP3/19-01-24</t>
        </is>
      </c>
      <c r="G3808" t="n">
        <v>-500</v>
      </c>
      <c r="H3808">
        <f>-2.41*OPERAC[[#This Row],[cantidad]]</f>
        <v/>
      </c>
      <c r="I3808">
        <f>-H389/G389</f>
        <v/>
      </c>
    </row>
    <row r="3809">
      <c r="A3809" t="n">
        <v>15194</v>
      </c>
      <c r="B3809" s="16" t="n">
        <v>44511</v>
      </c>
      <c r="C3809" t="inlineStr">
        <is>
          <t>CPR</t>
        </is>
      </c>
      <c r="D3809" t="n">
        <v>31</v>
      </c>
      <c r="E3809">
        <f>IF(D4387&gt;0,VLOOKUP(OPERAC[[#This Row],[COD CART]],[1]!MatrizCortoLargoCyl[#All],3,0),"")</f>
        <v/>
      </c>
      <c r="F3809" t="inlineStr">
        <is>
          <t>IPIX</t>
        </is>
      </c>
      <c r="G3809" t="n">
        <v>10000</v>
      </c>
      <c r="H3809" t="n">
        <v>-1099.9</v>
      </c>
      <c r="I3809">
        <f>-H4387/G4387</f>
        <v/>
      </c>
    </row>
    <row r="3810">
      <c r="A3810" t="n">
        <v>15194</v>
      </c>
      <c r="B3810" s="16" t="n">
        <v>44523</v>
      </c>
      <c r="C3810" t="inlineStr">
        <is>
          <t>CPR</t>
        </is>
      </c>
      <c r="D3810" t="n">
        <v>32</v>
      </c>
      <c r="E3810">
        <f>IF(D3684&gt;0,VLOOKUP(OPERAC[[#This Row],[COD CART]],[1]!MatrizCortoLargoCyl[#All],3,0),"")</f>
        <v/>
      </c>
      <c r="F3810" t="inlineStr">
        <is>
          <t>GMBL/CYL/5,00/18-02-22</t>
        </is>
      </c>
      <c r="G3810" t="n">
        <v>200</v>
      </c>
      <c r="H3810" t="n">
        <v>-823.862</v>
      </c>
      <c r="I3810">
        <f>-H3684/G3684</f>
        <v/>
      </c>
      <c r="J3810" s="16" t="n">
        <v>44589</v>
      </c>
      <c r="K3810" t="n">
        <v>200</v>
      </c>
      <c r="L3810" t="n">
        <v>524.731</v>
      </c>
    </row>
    <row r="3811">
      <c r="A3811" t="n">
        <v>15194</v>
      </c>
      <c r="B3811" s="16" t="n">
        <v>44523</v>
      </c>
      <c r="C3811" t="inlineStr">
        <is>
          <t>VTA</t>
        </is>
      </c>
      <c r="D3811" t="n">
        <v>32</v>
      </c>
      <c r="E3811">
        <f>IF(D3745&gt;0,VLOOKUP(OPERAC[[#This Row],[COD CART]],[1]!MatrizCortoLargoCyl[#All],3,0),"")</f>
        <v/>
      </c>
      <c r="F3811" t="inlineStr">
        <is>
          <t>TEVA/CYL/9,00/21-01-22</t>
        </is>
      </c>
      <c r="G3811" t="n">
        <v>100</v>
      </c>
      <c r="H3811">
        <f>-861.6332+18.874</f>
        <v/>
      </c>
      <c r="I3811">
        <f>-H3745/G3745</f>
        <v/>
      </c>
      <c r="J3811" s="16" t="n">
        <v>44575</v>
      </c>
      <c r="K3811" t="n">
        <v>100</v>
      </c>
      <c r="L3811" t="n">
        <v>878.913</v>
      </c>
    </row>
    <row r="3812">
      <c r="A3812" t="n">
        <v>15194</v>
      </c>
      <c r="B3812" s="16" t="n">
        <v>44523</v>
      </c>
      <c r="C3812" t="inlineStr">
        <is>
          <t>VTA</t>
        </is>
      </c>
      <c r="D3812" t="n">
        <v>40</v>
      </c>
      <c r="E3812">
        <f>IF(D3907&gt;0,VLOOKUP(OPERAC[[#This Row],[COD CART]],[1]!MatrizCortoLargoCyl[#All],3,0),"")</f>
        <v/>
      </c>
      <c r="F3812" t="inlineStr">
        <is>
          <t>EDU</t>
        </is>
      </c>
      <c r="G3812" t="n">
        <v>500</v>
      </c>
      <c r="H3812">
        <f>-889.745+0.026*OPERAC[[#This Row],[cantidad]]</f>
        <v/>
      </c>
      <c r="I3812">
        <f>-H3907/G3907</f>
        <v/>
      </c>
      <c r="J3812" s="16" t="n">
        <v>44630</v>
      </c>
      <c r="K3812" t="n">
        <v>500</v>
      </c>
      <c r="L3812">
        <f>+OPERAC[[#This Row],[cantidad venta]]*1.16</f>
        <v/>
      </c>
    </row>
    <row r="3813">
      <c r="A3813" t="n">
        <v>15194</v>
      </c>
      <c r="B3813" s="16" t="n">
        <v>44526</v>
      </c>
      <c r="C3813" t="inlineStr">
        <is>
          <t>CPR</t>
        </is>
      </c>
      <c r="D3813" t="n">
        <v>32</v>
      </c>
      <c r="E3813">
        <f>IF(D4769&gt;0,VLOOKUP(OPERAC[[#This Row],[COD CART]],[1]!MatrizCortoLargoCyl[#All],3,0),"")</f>
        <v/>
      </c>
      <c r="F3813" t="inlineStr">
        <is>
          <t>INO/CYL/8,00/18-02-22</t>
        </is>
      </c>
      <c r="G3813" t="n">
        <v>200</v>
      </c>
      <c r="H3813">
        <f>-7.59*OPERAC[[#This Row],[cantidad]]+95.866+29.158+9.414</f>
        <v/>
      </c>
      <c r="I3813">
        <f>-H4769/G4769</f>
        <v/>
      </c>
      <c r="J3813" s="16" t="n">
        <v>44596</v>
      </c>
      <c r="K3813" t="n">
        <v>200</v>
      </c>
      <c r="L3813">
        <f>3.665*OPERAC[[#This Row],[cantidad venta]]</f>
        <v/>
      </c>
    </row>
    <row r="3814">
      <c r="A3814" t="n">
        <v>15194</v>
      </c>
      <c r="B3814" s="16" t="n">
        <v>44532</v>
      </c>
      <c r="C3814" t="inlineStr">
        <is>
          <t>VTA</t>
        </is>
      </c>
      <c r="D3814" t="n">
        <v>32</v>
      </c>
      <c r="E3814">
        <f>IF(D3935&gt;0,VLOOKUP(OPERAC[[#This Row],[COD CART]],[1]!MatrizCortoLargoCyl[#All],3,0),"")</f>
        <v/>
      </c>
      <c r="F3814" t="inlineStr">
        <is>
          <t>COTY/CYL/10,00/18-02-22</t>
        </is>
      </c>
      <c r="G3814" t="n">
        <v>100</v>
      </c>
      <c r="H3814">
        <f>-901.599+20.838</f>
        <v/>
      </c>
      <c r="I3814">
        <f>-H3935/G3935</f>
        <v/>
      </c>
      <c r="J3814" s="16" t="n">
        <v>44608</v>
      </c>
      <c r="K3814">
        <f>+OPERAC[[#This Row],[cantidad]]</f>
        <v/>
      </c>
      <c r="L3814" t="n">
        <v>941.701</v>
      </c>
    </row>
    <row r="3815">
      <c r="A3815" t="n">
        <v>15194</v>
      </c>
      <c r="B3815" s="16" t="n">
        <v>44536</v>
      </c>
      <c r="C3815" t="inlineStr">
        <is>
          <t>CPR</t>
        </is>
      </c>
      <c r="D3815" t="n">
        <v>40</v>
      </c>
      <c r="E3815">
        <f>IF(D5787&gt;0,VLOOKUP(OPERAC[[#This Row],[COD CART]],[1]!MatrizCortoLargoCyl[#All],3,0),"")</f>
        <v/>
      </c>
      <c r="F3815" t="inlineStr">
        <is>
          <t>UVXY</t>
        </is>
      </c>
      <c r="G3815" t="n">
        <v>115</v>
      </c>
      <c r="H3815" t="n">
        <v>-2665.5758</v>
      </c>
      <c r="I3815">
        <f>-H5787/G5787</f>
        <v/>
      </c>
      <c r="J3815" s="16" t="n">
        <v>44571</v>
      </c>
      <c r="K3815">
        <f>+OPERAC[[#This Row],[cantidad]]</f>
        <v/>
      </c>
      <c r="L3815">
        <f>+OPERAC[[#This Row],[cantidad venta]]*14.135</f>
        <v/>
      </c>
    </row>
    <row r="3816">
      <c r="A3816" t="n">
        <v>15194</v>
      </c>
      <c r="B3816" s="16" t="n">
        <v>44539</v>
      </c>
      <c r="C3816" t="inlineStr">
        <is>
          <t>CPR</t>
        </is>
      </c>
      <c r="D3816" t="n">
        <v>40</v>
      </c>
      <c r="E3816">
        <f>IF(D4652&gt;0,VLOOKUP(OPERAC[[#This Row],[COD CART]],[1]!MatrizCortoLargoCyl[#All],3,0),"")</f>
        <v/>
      </c>
      <c r="F3816" t="inlineStr">
        <is>
          <t>ROKU</t>
        </is>
      </c>
      <c r="G3816" t="n">
        <v>5</v>
      </c>
      <c r="H3816" t="n">
        <v>-1288.6018</v>
      </c>
      <c r="I3816">
        <f>-H4652/G4652</f>
        <v/>
      </c>
      <c r="J3816" s="16" t="n">
        <v>44606</v>
      </c>
      <c r="K3816">
        <f>+OPERAC[[#This Row],[cantidad]]</f>
        <v/>
      </c>
      <c r="L3816">
        <f>+OPERAC[[#This Row],[cantidad venta]]*160.574</f>
        <v/>
      </c>
    </row>
    <row r="3817">
      <c r="A3817" t="n">
        <v>15194</v>
      </c>
      <c r="B3817" s="16" t="n">
        <v>44543</v>
      </c>
      <c r="C3817" t="inlineStr">
        <is>
          <t>VTA</t>
        </is>
      </c>
      <c r="D3817" t="n">
        <v>40</v>
      </c>
      <c r="E3817">
        <f>IF(D2952&gt;0,VLOOKUP(OPERAC[[#This Row],[COD CART]],[1]!MatrizCortoLargoCyl[#All],3,0),"")</f>
        <v/>
      </c>
      <c r="F3817" t="inlineStr">
        <is>
          <t>VIST</t>
        </is>
      </c>
      <c r="G3817" t="n">
        <v>100</v>
      </c>
      <c r="H3817" t="n">
        <v>-559.9400000000001</v>
      </c>
      <c r="I3817">
        <f>-H2952/G2952</f>
        <v/>
      </c>
      <c r="J3817" s="16" t="n">
        <v>44574</v>
      </c>
      <c r="K3817">
        <f>+OPERAC[[#This Row],[cantidad]]</f>
        <v/>
      </c>
      <c r="L3817">
        <f>+OPERAC[[#This Row],[cantidad venta]]*6.125</f>
        <v/>
      </c>
    </row>
    <row r="3818">
      <c r="A3818" t="n">
        <v>15194</v>
      </c>
      <c r="B3818" s="16" t="n">
        <v>44547</v>
      </c>
      <c r="C3818" t="inlineStr">
        <is>
          <t>VTA</t>
        </is>
      </c>
      <c r="D3818" t="n">
        <v>32</v>
      </c>
      <c r="E3818">
        <f>IF(D3795&gt;0,VLOOKUP(OPERAC[[#This Row],[COD CART]],[1]!MatrizCortoLargoCyl[#All],3,0),"")</f>
        <v/>
      </c>
      <c r="F3818" t="inlineStr">
        <is>
          <t>ARLO/CYL/9,00/18-02-22</t>
        </is>
      </c>
      <c r="G3818" t="n">
        <v>100</v>
      </c>
      <c r="H3818">
        <f>-866.74+14.88</f>
        <v/>
      </c>
      <c r="I3818">
        <f>-H3795/G3795</f>
        <v/>
      </c>
      <c r="J3818" s="16" t="n">
        <v>44607</v>
      </c>
      <c r="K3818" t="n">
        <v>100</v>
      </c>
      <c r="L3818" t="n">
        <v>875.33</v>
      </c>
    </row>
    <row r="3819">
      <c r="A3819" t="n">
        <v>15194</v>
      </c>
      <c r="B3819" s="16" t="n">
        <v>44550</v>
      </c>
      <c r="C3819" t="inlineStr">
        <is>
          <t>CPR</t>
        </is>
      </c>
      <c r="D3819" t="n">
        <v>40</v>
      </c>
      <c r="E3819">
        <f>IF(D4897&gt;0,VLOOKUP(OPERAC[[#This Row],[COD CART]],[1]!MatrizCortoLargoCyl[#All],3,0),"")</f>
        <v/>
      </c>
      <c r="F3819" t="inlineStr">
        <is>
          <t>SMH</t>
        </is>
      </c>
      <c r="G3819" t="n">
        <v>5</v>
      </c>
      <c r="H3819" t="n">
        <v>-1469.8652</v>
      </c>
      <c r="I3819">
        <f>-H4897/G4897</f>
        <v/>
      </c>
      <c r="J3819" s="16" t="n">
        <v>44574</v>
      </c>
      <c r="K3819">
        <f>+OPERAC[[#This Row],[cantidad]]</f>
        <v/>
      </c>
      <c r="L3819">
        <f>+OPERAC[[#This Row],[cantidad venta]]*306.843</f>
        <v/>
      </c>
    </row>
    <row r="3820">
      <c r="A3820" t="n">
        <v>15194</v>
      </c>
      <c r="B3820" s="16" t="n">
        <v>44552</v>
      </c>
      <c r="C3820" t="inlineStr">
        <is>
          <t>VTA</t>
        </is>
      </c>
      <c r="D3820" t="n">
        <v>32</v>
      </c>
      <c r="E3820">
        <f>IF(D5366&gt;0,VLOOKUP(OPERAC[[#This Row],[COD CART]],[1]!MatrizCortoLargoCyl[#All],3,0),"")</f>
        <v/>
      </c>
      <c r="F3820" t="inlineStr">
        <is>
          <t>MX</t>
        </is>
      </c>
      <c r="G3820" t="n">
        <v>100</v>
      </c>
      <c r="H3820">
        <f>-1879.692+38.986+49.6</f>
        <v/>
      </c>
      <c r="I3820">
        <f>-H5366/G5366</f>
        <v/>
      </c>
      <c r="J3820" s="16" t="n">
        <v>44643</v>
      </c>
      <c r="K3820" t="n">
        <v>100</v>
      </c>
      <c r="L3820" t="n">
        <v>1705.916</v>
      </c>
    </row>
    <row r="3821">
      <c r="A3821" t="n">
        <v>15194</v>
      </c>
      <c r="B3821" s="16" t="n">
        <v>44552</v>
      </c>
      <c r="C3821" t="inlineStr">
        <is>
          <t>VTA</t>
        </is>
      </c>
      <c r="D3821" t="n">
        <v>32</v>
      </c>
      <c r="E3821">
        <f>IF(D5382&gt;0,VLOOKUP(OPERAC[[#This Row],[COD CART]],[1]!MatrizCortoLargoCyl[#All],3,0),"")</f>
        <v/>
      </c>
      <c r="F3821" t="inlineStr">
        <is>
          <t>GOLD/CYL/19,00/21-01-22</t>
        </is>
      </c>
      <c r="G3821" t="n">
        <v>100</v>
      </c>
      <c r="H3821">
        <f>-18.08*OPERAC[[#This Row],[cantidad]]</f>
        <v/>
      </c>
      <c r="I3821">
        <f>-H5382/G5382</f>
        <v/>
      </c>
      <c r="J3821" s="16" t="n">
        <v>44580</v>
      </c>
      <c r="K3821" t="n">
        <v>100</v>
      </c>
      <c r="L3821" t="n">
        <v>1876.846</v>
      </c>
    </row>
    <row r="3822">
      <c r="A3822" t="n">
        <v>15194</v>
      </c>
      <c r="B3822" s="16" t="n">
        <v>44552</v>
      </c>
      <c r="C3822" t="inlineStr">
        <is>
          <t>VTA</t>
        </is>
      </c>
      <c r="D3822" t="n">
        <v>32</v>
      </c>
      <c r="E3822">
        <f>IF(D5456&gt;0,VLOOKUP(OPERAC[[#This Row],[COD CART]],[1]!MatrizCortoLargoCyl[#All],3,0),"")</f>
        <v/>
      </c>
      <c r="F3822" t="inlineStr">
        <is>
          <t>HMY/CYL/4,00/21-01-22</t>
        </is>
      </c>
      <c r="G3822" t="n">
        <v>500</v>
      </c>
      <c r="H3822">
        <f>-3.8*OPERAC[[#This Row],[cantidad]]</f>
        <v/>
      </c>
      <c r="I3822">
        <f>-H5456/G5456</f>
        <v/>
      </c>
      <c r="J3822" s="16" t="n">
        <v>44580</v>
      </c>
      <c r="K3822" t="n">
        <v>500</v>
      </c>
      <c r="L3822" t="n">
        <v>1969.64</v>
      </c>
    </row>
    <row r="3823">
      <c r="A3823" t="n">
        <v>15194</v>
      </c>
      <c r="B3823" s="16" t="n">
        <v>44553</v>
      </c>
      <c r="C3823" t="inlineStr">
        <is>
          <t>VTA</t>
        </is>
      </c>
      <c r="D3823" t="n">
        <v>40</v>
      </c>
      <c r="E3823">
        <f>IF(D3034&gt;0,VLOOKUP(OPERAC[[#This Row],[COD CART]],[1]!MatrizCortoLargoCyl[#All],3,0),"")</f>
        <v/>
      </c>
      <c r="F3823" t="inlineStr">
        <is>
          <t>ON</t>
        </is>
      </c>
      <c r="G3823" t="n">
        <v>9</v>
      </c>
      <c r="H3823" t="n">
        <v>-604.0224719999999</v>
      </c>
      <c r="I3823">
        <f>-H3034/G3034</f>
        <v/>
      </c>
      <c r="J3823" s="16" t="n">
        <v>44606</v>
      </c>
      <c r="K3823">
        <f>+OPERAC[[#This Row],[cantidad]]</f>
        <v/>
      </c>
      <c r="L3823">
        <f>+OPERAC[[#This Row],[cantidad venta]]*58.449</f>
        <v/>
      </c>
    </row>
    <row r="3824">
      <c r="A3824" t="n">
        <v>15194</v>
      </c>
      <c r="B3824" s="16" t="n">
        <v>44558</v>
      </c>
      <c r="C3824" t="inlineStr">
        <is>
          <t>CPR</t>
        </is>
      </c>
      <c r="D3824" t="n">
        <v>40</v>
      </c>
      <c r="E3824">
        <f>IF(D4944&gt;0,VLOOKUP(OPERAC[[#This Row],[COD CART]],[1]!MatrizCortoLargoCyl[#All],3,0),"")</f>
        <v/>
      </c>
      <c r="F3824" t="inlineStr">
        <is>
          <t>UPST</t>
        </is>
      </c>
      <c r="G3824" t="n">
        <v>10</v>
      </c>
      <c r="H3824" t="n">
        <v>-1506.002</v>
      </c>
      <c r="I3824">
        <f>-H4944/G4944</f>
        <v/>
      </c>
      <c r="J3824" s="16" t="n">
        <v>44606</v>
      </c>
      <c r="K3824">
        <f>+OPERAC[[#This Row],[cantidad]]</f>
        <v/>
      </c>
      <c r="L3824">
        <f>+OPERAC[[#This Row],[cantidad venta]]*98.994</f>
        <v/>
      </c>
    </row>
    <row r="3825">
      <c r="A3825" t="n">
        <v>15194</v>
      </c>
      <c r="B3825" s="16" t="n">
        <v>44575</v>
      </c>
      <c r="C3825" t="inlineStr">
        <is>
          <t>VTA</t>
        </is>
      </c>
      <c r="D3825" t="n">
        <v>40</v>
      </c>
      <c r="E3825">
        <f>IF(D1999&gt;0,VLOOKUP(OPERAC[[#This Row],[COD CART]],[1]!MatrizCortoLargoCyl[#All],3,0),"")</f>
        <v/>
      </c>
      <c r="F3825" t="inlineStr">
        <is>
          <t>GBTC</t>
        </is>
      </c>
      <c r="G3825" t="n">
        <v>10</v>
      </c>
      <c r="H3825" t="n">
        <v>-308.0948</v>
      </c>
      <c r="I3825">
        <f>-H1999/G1999</f>
        <v/>
      </c>
      <c r="J3825" s="16" t="n">
        <v>44651</v>
      </c>
      <c r="K3825">
        <f>+OPERAC[[#This Row],[cantidad]]</f>
        <v/>
      </c>
      <c r="L3825">
        <f>+OPERAC[[#This Row],[cantidad venta]]*31.332</f>
        <v/>
      </c>
    </row>
    <row r="3826">
      <c r="A3826" t="n">
        <v>15194</v>
      </c>
      <c r="B3826" s="16" t="n">
        <v>44579</v>
      </c>
      <c r="C3826" t="inlineStr">
        <is>
          <t>CPR</t>
        </is>
      </c>
      <c r="D3826" t="n">
        <v>40</v>
      </c>
      <c r="E3826">
        <f>IF(D4937&gt;0,VLOOKUP(OPERAC[[#This Row],[COD CART]],[1]!MatrizCortoLargoCyl[#All],3,0),"")</f>
        <v/>
      </c>
      <c r="F3826" t="inlineStr">
        <is>
          <t>VLY</t>
        </is>
      </c>
      <c r="G3826" t="n">
        <v>100</v>
      </c>
      <c r="H3826" t="n">
        <v>-1504.44</v>
      </c>
      <c r="I3826">
        <f>-H4937/G4937</f>
        <v/>
      </c>
      <c r="J3826" s="16" t="n">
        <v>44606</v>
      </c>
      <c r="K3826">
        <f>+OPERAC[[#This Row],[cantidad]]</f>
        <v/>
      </c>
      <c r="L3826">
        <f>+OPERAC[[#This Row],[cantidad venta]]*14.121</f>
        <v/>
      </c>
    </row>
    <row r="3827">
      <c r="A3827" t="n">
        <v>15194</v>
      </c>
      <c r="B3827" s="16" t="n">
        <v>44581</v>
      </c>
      <c r="C3827" t="inlineStr">
        <is>
          <t>CPR</t>
        </is>
      </c>
      <c r="D3827" t="n">
        <v>32</v>
      </c>
      <c r="E3827">
        <f>IF(D5936&gt;0,VLOOKUP(OPERAC[[#This Row],[COD CART]],[1]!MatrizCortoLargoCyl[#All],3,0),"")</f>
        <v/>
      </c>
      <c r="F3827" t="inlineStr">
        <is>
          <t>HMY/CYL/4,00/18-02-22</t>
        </is>
      </c>
      <c r="G3827" t="n">
        <v>800</v>
      </c>
      <c r="H3827" t="n">
        <v>-3099.743968</v>
      </c>
      <c r="I3827">
        <f>-H5936/G5936</f>
        <v/>
      </c>
      <c r="J3827" s="16" t="n">
        <v>44610</v>
      </c>
      <c r="K3827">
        <f>+OPERAC[[#This Row],[cantidad]]</f>
        <v/>
      </c>
      <c r="L3827">
        <f>+OPERAC[[#This Row],[cantidad venta]]*3.8323</f>
        <v/>
      </c>
    </row>
    <row r="3828">
      <c r="A3828" t="n">
        <v>15194</v>
      </c>
      <c r="B3828" s="16" t="n">
        <v>44581</v>
      </c>
      <c r="C3828" t="inlineStr">
        <is>
          <t>VTA</t>
        </is>
      </c>
      <c r="D3828" t="n">
        <v>39</v>
      </c>
      <c r="E3828">
        <f>IF(D432&gt;0,VLOOKUP(OPERAC[[#This Row],[COD CART]],[1]!MatrizCortoLargoCyl[#All],3,0),"")</f>
        <v/>
      </c>
      <c r="F3828" t="inlineStr">
        <is>
          <t>ROKU/V/170,00/28-01-22</t>
        </is>
      </c>
      <c r="G3828" t="n">
        <v>-200</v>
      </c>
      <c r="H3828" t="n">
        <v>1050.728</v>
      </c>
      <c r="I3828">
        <f>-H432/G432</f>
        <v/>
      </c>
      <c r="J3828" s="16" t="n">
        <v>44587</v>
      </c>
      <c r="K3828">
        <f>+OPERAC[[#This Row],[cantidad]]</f>
        <v/>
      </c>
      <c r="L3828">
        <f>-OPERAC[[#This Row],[importe]]</f>
        <v/>
      </c>
    </row>
    <row r="3829">
      <c r="A3829" t="n">
        <v>15194</v>
      </c>
      <c r="B3829" s="16" t="n">
        <v>44582</v>
      </c>
      <c r="C3829" t="inlineStr">
        <is>
          <t>VTA</t>
        </is>
      </c>
      <c r="D3829" t="n">
        <v>40</v>
      </c>
      <c r="E3829">
        <f>IF(D5489&gt;0,VLOOKUP(OPERAC[[#This Row],[COD CART]],[1]!MatrizCortoLargoCyl[#All],3,0),"")</f>
        <v/>
      </c>
      <c r="F3829" t="inlineStr">
        <is>
          <t>NFLX</t>
        </is>
      </c>
      <c r="G3829" t="n">
        <v>5</v>
      </c>
      <c r="H3829" t="n">
        <v>-1953.1855</v>
      </c>
      <c r="I3829">
        <f>-H5489/G5489</f>
        <v/>
      </c>
      <c r="J3829" s="16" t="n">
        <v>44593</v>
      </c>
      <c r="K3829">
        <f>+OPERAC[[#This Row],[cantidad]]</f>
        <v/>
      </c>
      <c r="L3829">
        <f>+OPERAC[[#This Row],[cantidad venta]]*448.602</f>
        <v/>
      </c>
    </row>
    <row r="3830">
      <c r="A3830" t="n">
        <v>15194</v>
      </c>
      <c r="B3830" s="16" t="n">
        <v>44586</v>
      </c>
      <c r="C3830" t="inlineStr">
        <is>
          <t>VTA</t>
        </is>
      </c>
      <c r="D3830" t="n">
        <v>43</v>
      </c>
      <c r="E3830">
        <f>IF(D5534&gt;0,VLOOKUP(OPERAC[[#This Row],[COD CART]],[1]!MatrizCortoLargoCyl[#All],3,0),"")</f>
        <v/>
      </c>
      <c r="F3830" t="inlineStr">
        <is>
          <t>GMBL/CYL-PUT/2,50/20-01-23</t>
        </is>
      </c>
      <c r="G3830" t="n">
        <v>2000</v>
      </c>
      <c r="H3830" t="n">
        <v>-2032.0823</v>
      </c>
      <c r="I3830">
        <f>-H5534/G5534</f>
        <v/>
      </c>
    </row>
    <row r="3831">
      <c r="A3831" t="n">
        <v>15194</v>
      </c>
      <c r="B3831" s="16" t="n">
        <v>44587</v>
      </c>
      <c r="C3831" t="inlineStr">
        <is>
          <t>VTA</t>
        </is>
      </c>
      <c r="D3831" t="n">
        <v>39</v>
      </c>
      <c r="E3831">
        <f>IF(D120&gt;0,VLOOKUP(OPERAC[[#This Row],[COD CART]],[1]!MatrizCortoLargoCyl[#All],3,0),"")</f>
        <v/>
      </c>
      <c r="F3831" t="inlineStr">
        <is>
          <t>ROKU/V/155,00/04-02-22</t>
        </is>
      </c>
      <c r="G3831" t="n">
        <v>-400</v>
      </c>
      <c r="H3831" t="n">
        <v>3175.984</v>
      </c>
      <c r="I3831">
        <f>-H120/G120</f>
        <v/>
      </c>
      <c r="J3831" s="16" t="n">
        <v>44592</v>
      </c>
      <c r="K3831">
        <f>+OPERAC[[#This Row],[cantidad]]</f>
        <v/>
      </c>
      <c r="L3831" t="n">
        <v>-1432.9256</v>
      </c>
    </row>
    <row r="3832">
      <c r="A3832" t="n">
        <v>15194</v>
      </c>
      <c r="B3832" s="16" t="n">
        <v>44587</v>
      </c>
      <c r="C3832" t="inlineStr">
        <is>
          <t>VTA</t>
        </is>
      </c>
      <c r="D3832" t="n">
        <v>40</v>
      </c>
      <c r="E3832">
        <f>IF(D3050&gt;0,VLOOKUP(OPERAC[[#This Row],[COD CART]],[1]!MatrizCortoLargoCyl[#All],3,0),"")</f>
        <v/>
      </c>
      <c r="F3832" t="inlineStr">
        <is>
          <t>MSFT</t>
        </is>
      </c>
      <c r="G3832" t="n">
        <v>2</v>
      </c>
      <c r="H3832" t="n">
        <v>-606.8225200000001</v>
      </c>
      <c r="I3832">
        <f>-H3050/G3050</f>
        <v/>
      </c>
      <c r="J3832" s="16" t="n">
        <v>44606</v>
      </c>
      <c r="K3832">
        <f>+OPERAC[[#This Row],[cantidad]]</f>
        <v/>
      </c>
      <c r="L3832">
        <f>+OPERAC[[#This Row],[cantidad venta]]*290.091</f>
        <v/>
      </c>
    </row>
    <row r="3833">
      <c r="A3833" t="n">
        <v>15194</v>
      </c>
      <c r="B3833" s="16" t="n">
        <v>44589</v>
      </c>
      <c r="C3833" t="inlineStr">
        <is>
          <t>VTA</t>
        </is>
      </c>
      <c r="D3833" t="n">
        <v>39</v>
      </c>
      <c r="E3833">
        <f>IF(D666&gt;0,VLOOKUP(OPERAC[[#This Row],[COD CART]],[1]!MatrizCortoLargoCyl[#All],3,0),"")</f>
        <v/>
      </c>
      <c r="F3833" t="inlineStr">
        <is>
          <t>TSLA/V/680,00/04-02-22</t>
        </is>
      </c>
      <c r="G3833" t="n">
        <v>-200</v>
      </c>
      <c r="H3833" t="n">
        <v>456.317355</v>
      </c>
      <c r="I3833">
        <f>-H666/G666</f>
        <v/>
      </c>
      <c r="J3833" s="16" t="n">
        <v>44596</v>
      </c>
      <c r="K3833">
        <f>+OPERAC[[#This Row],[cantidad]]</f>
        <v/>
      </c>
      <c r="L3833" t="n">
        <v>-4.032</v>
      </c>
    </row>
    <row r="3834">
      <c r="A3834" t="n">
        <v>15194</v>
      </c>
      <c r="B3834" s="16" t="n">
        <v>44592</v>
      </c>
      <c r="C3834" t="inlineStr">
        <is>
          <t>VTA</t>
        </is>
      </c>
      <c r="D3834" t="n">
        <v>39</v>
      </c>
      <c r="E3834">
        <f>IF(D316&gt;0,VLOOKUP(OPERAC[[#This Row],[COD CART]],[1]!MatrizCortoLargoCyl[#All],3,0),"")</f>
        <v/>
      </c>
      <c r="F3834" t="inlineStr">
        <is>
          <t>ROKU/V/150,00/11-02-22</t>
        </is>
      </c>
      <c r="G3834" t="n">
        <v>-300</v>
      </c>
      <c r="H3834" t="n">
        <v>1427.292</v>
      </c>
      <c r="I3834">
        <f>-H316/G316</f>
        <v/>
      </c>
      <c r="J3834" s="16" t="n">
        <v>44601</v>
      </c>
      <c r="K3834">
        <f>+OPERAC[[#This Row],[cantidad]]</f>
        <v/>
      </c>
      <c r="L3834">
        <f>0.67*OPERAC[[#This Row],[cantidad venta]]</f>
        <v/>
      </c>
    </row>
    <row r="3835">
      <c r="A3835" t="n">
        <v>15194</v>
      </c>
      <c r="B3835" s="16" t="n">
        <v>44594</v>
      </c>
      <c r="C3835" t="inlineStr">
        <is>
          <t>VTA</t>
        </is>
      </c>
      <c r="D3835" t="n">
        <v>40</v>
      </c>
      <c r="E3835">
        <f>IF(D5518&gt;0,VLOOKUP(OPERAC[[#This Row],[COD CART]],[1]!MatrizCortoLargoCyl[#All],3,0),"")</f>
        <v/>
      </c>
      <c r="F3835" t="inlineStr">
        <is>
          <t>EDU</t>
        </is>
      </c>
      <c r="G3835" t="n">
        <v>1000</v>
      </c>
      <c r="H3835" t="n">
        <v>-2016</v>
      </c>
      <c r="I3835">
        <f>-H5518/G5518</f>
        <v/>
      </c>
      <c r="J3835" s="16" t="n">
        <v>44601</v>
      </c>
      <c r="K3835" t="n">
        <v>1000</v>
      </c>
      <c r="L3835" t="n">
        <v>1640</v>
      </c>
    </row>
    <row r="3836">
      <c r="A3836" t="n">
        <v>15194</v>
      </c>
      <c r="B3836" s="16" t="n">
        <v>44596</v>
      </c>
      <c r="C3836" t="inlineStr">
        <is>
          <t>VTA</t>
        </is>
      </c>
      <c r="D3836" t="n">
        <v>39</v>
      </c>
      <c r="E3836">
        <f>IF(D547&gt;0,VLOOKUP(OPERAC[[#This Row],[COD CART]],[1]!MatrizCortoLargoCyl[#All],3,0),"")</f>
        <v/>
      </c>
      <c r="F3836" t="inlineStr">
        <is>
          <t>MELI/V/850,00/11-02-22</t>
        </is>
      </c>
      <c r="G3836" t="n">
        <v>-200</v>
      </c>
      <c r="H3836" t="n">
        <v>790</v>
      </c>
      <c r="I3836">
        <f>-H547/G547</f>
        <v/>
      </c>
      <c r="J3836" s="16" t="n">
        <v>44603</v>
      </c>
      <c r="K3836" t="n">
        <v>-200</v>
      </c>
      <c r="L3836" t="n">
        <v>0</v>
      </c>
    </row>
    <row r="3837">
      <c r="A3837" t="n">
        <v>15194</v>
      </c>
      <c r="B3837" s="16" t="n">
        <v>44599</v>
      </c>
      <c r="C3837" t="inlineStr">
        <is>
          <t>CPR</t>
        </is>
      </c>
      <c r="D3837" t="n">
        <v>40</v>
      </c>
      <c r="E3837">
        <f>IF(D4512&gt;0,VLOOKUP(OPERAC[[#This Row],[COD CART]],[1]!MatrizCortoLargoCyl[#All],3,0),"")</f>
        <v/>
      </c>
      <c r="F3837" t="inlineStr">
        <is>
          <t>FB</t>
        </is>
      </c>
      <c r="G3837" t="n">
        <v>5</v>
      </c>
      <c r="H3837" t="n">
        <v>-1192.3</v>
      </c>
      <c r="I3837">
        <f>-H4512/G4512</f>
        <v/>
      </c>
      <c r="J3837" s="16" t="n">
        <v>44616</v>
      </c>
      <c r="K3837">
        <f>+OPERAC[[#This Row],[cantidad]]</f>
        <v/>
      </c>
      <c r="L3837">
        <f>200.299*OPERAC[[#This Row],[cantidad venta]]</f>
        <v/>
      </c>
    </row>
    <row r="3838">
      <c r="A3838" t="n">
        <v>15194</v>
      </c>
      <c r="B3838" s="16" t="n">
        <v>44607</v>
      </c>
      <c r="C3838" t="inlineStr">
        <is>
          <t>VTA</t>
        </is>
      </c>
      <c r="D3838" t="n">
        <v>32</v>
      </c>
      <c r="E3838">
        <f>IF(D5218&gt;0,VLOOKUP(OPERAC[[#This Row],[COD CART]],[1]!MatrizCortoLargoCyl[#All],3,0),"")</f>
        <v/>
      </c>
      <c r="F3838" t="inlineStr">
        <is>
          <t>F/CYL/17,00/18-03-22</t>
        </is>
      </c>
      <c r="G3838" t="n">
        <v>100</v>
      </c>
      <c r="H3838" t="n">
        <v>-1658.76</v>
      </c>
      <c r="I3838">
        <f>-H5218/G5218</f>
        <v/>
      </c>
      <c r="J3838" s="16" t="n">
        <v>44638</v>
      </c>
      <c r="K3838">
        <f>+OPERAC[[#This Row],[cantidad]]</f>
        <v/>
      </c>
      <c r="L3838">
        <f>+OPERAC[[#This Row],[cantidad venta]]*16.75</f>
        <v/>
      </c>
    </row>
    <row r="3839">
      <c r="A3839" t="n">
        <v>15194</v>
      </c>
      <c r="B3839" s="16" t="n">
        <v>44608</v>
      </c>
      <c r="C3839" t="inlineStr">
        <is>
          <t>CPR</t>
        </is>
      </c>
      <c r="D3839" t="n">
        <v>40</v>
      </c>
      <c r="E3839">
        <f>IF(D4698&gt;0,VLOOKUP(OPERAC[[#This Row],[COD CART]],[1]!MatrizCortoLargoCyl[#All],3,0),"")</f>
        <v/>
      </c>
      <c r="F3839" t="inlineStr">
        <is>
          <t>NVDA</t>
        </is>
      </c>
      <c r="G3839" t="n">
        <v>5</v>
      </c>
      <c r="H3839" t="n">
        <v>-1317.57</v>
      </c>
      <c r="I3839">
        <f>-H4698/G4698</f>
        <v/>
      </c>
      <c r="J3839" s="16" t="n">
        <v>44616</v>
      </c>
      <c r="K3839">
        <f>+OPERAC[[#This Row],[cantidad]]</f>
        <v/>
      </c>
      <c r="L3839">
        <f>+OPERAC[[#This Row],[cantidad venta]]*224.117</f>
        <v/>
      </c>
    </row>
    <row r="3840">
      <c r="A3840" t="n">
        <v>15194</v>
      </c>
      <c r="B3840" s="16" t="n">
        <v>44608</v>
      </c>
      <c r="C3840" t="inlineStr">
        <is>
          <t>CPR</t>
        </is>
      </c>
      <c r="D3840" t="n">
        <v>32</v>
      </c>
      <c r="E3840">
        <f>IF(D5851&gt;0,VLOOKUP(OPERAC[[#This Row],[COD CART]],[1]!MatrizCortoLargoCyl[#All],3,0),"")</f>
        <v/>
      </c>
      <c r="F3840" t="inlineStr">
        <is>
          <t>SPWR/CYL/15,00/18-03-22</t>
        </is>
      </c>
      <c r="G3840" t="n">
        <v>200</v>
      </c>
      <c r="H3840" t="n">
        <v>-2883.624</v>
      </c>
      <c r="I3840">
        <f>-H5851/G5851</f>
        <v/>
      </c>
      <c r="J3840" s="16" t="n">
        <v>44628</v>
      </c>
      <c r="K3840" t="n">
        <v>200</v>
      </c>
      <c r="L3840" t="n">
        <v>3008.55</v>
      </c>
    </row>
    <row r="3841">
      <c r="A3841" t="n">
        <v>15194</v>
      </c>
      <c r="B3841" s="16" t="n">
        <v>44608</v>
      </c>
      <c r="C3841" t="inlineStr">
        <is>
          <t>VTA</t>
        </is>
      </c>
      <c r="D3841" t="n">
        <v>32</v>
      </c>
      <c r="E3841">
        <f>IF(D5111&gt;0,VLOOKUP(OPERAC[[#This Row],[COD CART]],[1]!MatrizCortoLargoCyl[#All],3,0),"")</f>
        <v/>
      </c>
      <c r="F3841" t="inlineStr">
        <is>
          <t>DDD/CYL/17,00/01-04-22</t>
        </is>
      </c>
      <c r="G3841" t="n">
        <v>100</v>
      </c>
      <c r="H3841">
        <f>-1629.4234+19.7+16.45</f>
        <v/>
      </c>
      <c r="I3841">
        <f>-H5111/G5111</f>
        <v/>
      </c>
      <c r="J3841" s="16" t="n">
        <v>44649</v>
      </c>
      <c r="K3841" t="n">
        <v>100</v>
      </c>
      <c r="L3841" t="n">
        <v>1661.98</v>
      </c>
    </row>
    <row r="3842">
      <c r="A3842" t="n">
        <v>15194</v>
      </c>
      <c r="B3842" s="16" t="n">
        <v>44609</v>
      </c>
      <c r="C3842" t="inlineStr">
        <is>
          <t>CPR</t>
        </is>
      </c>
      <c r="D3842" t="n">
        <v>32</v>
      </c>
      <c r="E3842">
        <f>IF(D5993&gt;0,VLOOKUP(OPERAC[[#This Row],[COD CART]],[1]!MatrizCortoLargoCyl[#All],3,0),"")</f>
        <v/>
      </c>
      <c r="F3842" t="inlineStr">
        <is>
          <t>F</t>
        </is>
      </c>
      <c r="G3842" t="n">
        <v>200</v>
      </c>
      <c r="H3842">
        <f>-1715.2776-1655.128+78.36</f>
        <v/>
      </c>
      <c r="I3842">
        <f>-H5993/G5993</f>
        <v/>
      </c>
    </row>
    <row r="3843">
      <c r="A3843" t="n">
        <v>15194</v>
      </c>
      <c r="B3843" s="16" t="n">
        <v>44614</v>
      </c>
      <c r="C3843" t="inlineStr">
        <is>
          <t>VTA</t>
        </is>
      </c>
      <c r="D3843" t="n">
        <v>39</v>
      </c>
      <c r="E3843">
        <f>IF(D1007&gt;0,VLOOKUP(OPERAC[[#This Row],[COD CART]],[1]!MatrizCortoLargoCyl[#All],3,0),"")</f>
        <v/>
      </c>
      <c r="F3843" t="inlineStr">
        <is>
          <t>MELI/V/500,00/19-01-24</t>
        </is>
      </c>
      <c r="G3843" t="n">
        <v>-1</v>
      </c>
      <c r="H3843" t="n">
        <v>64.48</v>
      </c>
      <c r="I3843">
        <f>-H1007/G1007</f>
        <v/>
      </c>
    </row>
    <row r="3844">
      <c r="A3844" t="n">
        <v>15194</v>
      </c>
      <c r="B3844" s="16" t="n">
        <v>44614</v>
      </c>
      <c r="C3844" t="inlineStr">
        <is>
          <t>VTA</t>
        </is>
      </c>
      <c r="D3844" t="n">
        <v>39</v>
      </c>
      <c r="E3844">
        <f>IF(D1067&gt;0,VLOOKUP(OPERAC[[#This Row],[COD CART]],[1]!MatrizCortoLargoCyl[#All],3,0),"")</f>
        <v/>
      </c>
      <c r="F3844" t="inlineStr">
        <is>
          <t>FB/V/105,00/19-01-24</t>
        </is>
      </c>
      <c r="G3844" t="n">
        <v>-7</v>
      </c>
      <c r="H3844" t="n">
        <v>37.46</v>
      </c>
      <c r="I3844">
        <f>-H1067/G1067</f>
        <v/>
      </c>
    </row>
    <row r="3845">
      <c r="A3845" t="n">
        <v>15194</v>
      </c>
      <c r="B3845" s="16" t="n">
        <v>44616</v>
      </c>
      <c r="C3845" t="inlineStr">
        <is>
          <t>CPR</t>
        </is>
      </c>
      <c r="D3845" t="n">
        <v>32</v>
      </c>
      <c r="E3845">
        <f>IF(D6066&gt;0,VLOOKUP(OPERAC[[#This Row],[COD CART]],[1]!MatrizCortoLargoCyl[#All],3,0),"")</f>
        <v/>
      </c>
      <c r="F3845" t="inlineStr">
        <is>
          <t>HMY/CYL/4,00/18-03-22</t>
        </is>
      </c>
      <c r="G3845" t="n">
        <v>1000</v>
      </c>
      <c r="H3845" t="n">
        <v>-3837.05</v>
      </c>
      <c r="I3845">
        <f>-H6066/G6066</f>
        <v/>
      </c>
      <c r="J3845" s="16" t="n">
        <v>44622</v>
      </c>
      <c r="K3845" t="n">
        <v>1000</v>
      </c>
      <c r="L3845" t="n">
        <v>3939.5</v>
      </c>
    </row>
    <row r="3846">
      <c r="A3846" t="n">
        <v>15194</v>
      </c>
      <c r="B3846" s="16" t="n">
        <v>44616</v>
      </c>
      <c r="C3846" t="inlineStr">
        <is>
          <t>VTA</t>
        </is>
      </c>
      <c r="D3846" t="n">
        <v>32</v>
      </c>
      <c r="E3846">
        <f>IF(D5571&gt;0,VLOOKUP(OPERAC[[#This Row],[COD CART]],[1]!MatrizCortoLargoCyl[#All],3,0),"")</f>
        <v/>
      </c>
      <c r="F3846" t="inlineStr">
        <is>
          <t>PLTR/CYL/12,00/14-04-22</t>
        </is>
      </c>
      <c r="G3846" t="n">
        <v>200</v>
      </c>
      <c r="H3846" t="n">
        <v>-2105.453</v>
      </c>
      <c r="I3846">
        <f>-H5571/G5571</f>
        <v/>
      </c>
      <c r="J3846" s="16" t="n">
        <v>44643</v>
      </c>
      <c r="K3846" t="n">
        <v>200</v>
      </c>
      <c r="L3846" t="n">
        <v>2293.448</v>
      </c>
    </row>
    <row r="3847">
      <c r="A3847" t="n">
        <v>15194</v>
      </c>
      <c r="B3847" s="16" t="n">
        <v>44622</v>
      </c>
      <c r="C3847" t="inlineStr">
        <is>
          <t>CPR</t>
        </is>
      </c>
      <c r="D3847" t="n">
        <v>32</v>
      </c>
      <c r="E3847">
        <f>IF(D6133&gt;0,VLOOKUP(OPERAC[[#This Row],[COD CART]],[1]!MatrizCortoLargoCyl[#All],3,0),"")</f>
        <v/>
      </c>
      <c r="F3847" t="inlineStr">
        <is>
          <t>HMY/CYL/5,00/18-03-22</t>
        </is>
      </c>
      <c r="G3847" t="n">
        <v>1000</v>
      </c>
      <c r="H3847" t="n">
        <v>-4685.320000000001</v>
      </c>
      <c r="I3847">
        <f>-H6133/G6133</f>
        <v/>
      </c>
      <c r="J3847" s="16" t="n">
        <v>44637</v>
      </c>
      <c r="K3847">
        <f>+OPERAC[[#This Row],[cantidad]]</f>
        <v/>
      </c>
      <c r="L3847">
        <f>4.85553*OPERAC[[#This Row],[cantidad venta]]</f>
        <v/>
      </c>
    </row>
    <row r="3848">
      <c r="A3848" t="n">
        <v>15194</v>
      </c>
      <c r="B3848" s="16" t="n">
        <v>44628</v>
      </c>
      <c r="C3848" t="inlineStr">
        <is>
          <t>VTA</t>
        </is>
      </c>
      <c r="D3848" t="n">
        <v>40</v>
      </c>
      <c r="E3848">
        <f>IF(D5583&gt;0,VLOOKUP(OPERAC[[#This Row],[COD CART]],[1]!MatrizCortoLargoCyl[#All],3,0),"")</f>
        <v/>
      </c>
      <c r="F3848" t="inlineStr">
        <is>
          <t>CVV</t>
        </is>
      </c>
      <c r="G3848" t="n">
        <v>500</v>
      </c>
      <c r="H3848" t="n">
        <v>-2112.244</v>
      </c>
      <c r="I3848">
        <f>-H5583/G5583</f>
        <v/>
      </c>
      <c r="J3848" s="16" t="n">
        <v>44630</v>
      </c>
      <c r="K3848">
        <f>301+199</f>
        <v/>
      </c>
      <c r="L3848">
        <f>1297.325+887.311</f>
        <v/>
      </c>
    </row>
    <row r="3849">
      <c r="A3849" t="n">
        <v>15194</v>
      </c>
      <c r="B3849" s="16" t="n">
        <v>44630</v>
      </c>
      <c r="C3849" t="inlineStr">
        <is>
          <t>CPR</t>
        </is>
      </c>
      <c r="D3849" t="n">
        <v>32</v>
      </c>
      <c r="E3849">
        <f>IF(D3439&gt;0,VLOOKUP(OPERAC[[#This Row],[COD CART]],[1]!MatrizCortoLargoCyl[#All],3,0),"")</f>
        <v/>
      </c>
      <c r="F3849" t="inlineStr">
        <is>
          <t>TEVA/CYL/8,00/14-04-22</t>
        </is>
      </c>
      <c r="G3849" t="n">
        <v>100</v>
      </c>
      <c r="H3849" t="n">
        <v>-749.698</v>
      </c>
      <c r="I3849">
        <f>-H3439/G3439</f>
        <v/>
      </c>
      <c r="J3849" s="16" t="n">
        <v>44645</v>
      </c>
      <c r="K3849" t="n">
        <v>100</v>
      </c>
      <c r="L3849" t="n">
        <v>779.3579999999999</v>
      </c>
    </row>
    <row r="3850">
      <c r="A3850" t="n">
        <v>15194</v>
      </c>
      <c r="B3850" s="16" t="n">
        <v>44630</v>
      </c>
      <c r="C3850" t="inlineStr">
        <is>
          <t>CPR</t>
        </is>
      </c>
      <c r="D3850" t="n">
        <v>32</v>
      </c>
      <c r="E3850">
        <f>IF(D3614&gt;0,VLOOKUP(OPERAC[[#This Row],[COD CART]],[1]!MatrizCortoLargoCyl[#All],3,0),"")</f>
        <v/>
      </c>
      <c r="F3850" t="inlineStr">
        <is>
          <t>COTY/CYL/9,00/14-04-22</t>
        </is>
      </c>
      <c r="G3850" t="n">
        <v>100</v>
      </c>
      <c r="H3850" t="n">
        <v>-784.138</v>
      </c>
      <c r="I3850">
        <f>-H3614/G3614</f>
        <v/>
      </c>
      <c r="J3850" s="16" t="n">
        <v>44649</v>
      </c>
      <c r="K3850" t="n">
        <v>100</v>
      </c>
      <c r="L3850" t="n">
        <v>875.28</v>
      </c>
    </row>
    <row r="3851">
      <c r="A3851" t="n">
        <v>15194</v>
      </c>
      <c r="B3851" s="16" t="n">
        <v>44630</v>
      </c>
      <c r="C3851" t="inlineStr">
        <is>
          <t>CPR</t>
        </is>
      </c>
      <c r="D3851" t="n">
        <v>32</v>
      </c>
      <c r="E3851">
        <f>IF(D5820&gt;0,VLOOKUP(OPERAC[[#This Row],[COD CART]],[1]!MatrizCortoLargoCyl[#All],3,0),"")</f>
        <v/>
      </c>
      <c r="F3851" t="inlineStr">
        <is>
          <t>AAL/CYL/17,00/14-04-22</t>
        </is>
      </c>
      <c r="G3851" t="n">
        <v>200</v>
      </c>
      <c r="H3851" t="n">
        <v>-2782.925</v>
      </c>
      <c r="I3851">
        <f>-H5820/G5820</f>
        <v/>
      </c>
      <c r="J3851" s="16" t="n">
        <v>44651</v>
      </c>
      <c r="K3851" t="n">
        <v>200</v>
      </c>
      <c r="L3851" t="n">
        <v>3325.43</v>
      </c>
    </row>
    <row r="3852">
      <c r="A3852" t="n">
        <v>15194</v>
      </c>
      <c r="B3852" s="16" t="n">
        <v>44641</v>
      </c>
      <c r="C3852" t="inlineStr">
        <is>
          <t>CPR</t>
        </is>
      </c>
      <c r="D3852" t="n">
        <v>42</v>
      </c>
      <c r="E3852">
        <f>IF(D4791&gt;0,VLOOKUP(OPERAC[[#This Row],[COD CART]],[1]!MatrizCortoLargoCyl[#All],3,0),"")</f>
        <v/>
      </c>
      <c r="F3852" t="inlineStr">
        <is>
          <t>DIS</t>
        </is>
      </c>
      <c r="G3852" t="n">
        <v>10</v>
      </c>
      <c r="H3852" t="n">
        <v>-1392.712</v>
      </c>
      <c r="I3852">
        <f>-H4791/G4791</f>
        <v/>
      </c>
      <c r="J3852" s="16" t="n">
        <v>44671</v>
      </c>
      <c r="K3852">
        <f>+OPERAC[[#This Row],[cantidad]]</f>
        <v/>
      </c>
      <c r="L3852">
        <f>+OPERAC[[#This Row],[cantidad venta]]*123.621</f>
        <v/>
      </c>
    </row>
    <row r="3853">
      <c r="A3853" t="n">
        <v>15194</v>
      </c>
      <c r="B3853" s="16" t="n">
        <v>44641</v>
      </c>
      <c r="C3853" t="inlineStr">
        <is>
          <t>CPR</t>
        </is>
      </c>
      <c r="D3853" t="n">
        <v>42</v>
      </c>
      <c r="E3853">
        <f>IF(D4810&gt;0,VLOOKUP(OPERAC[[#This Row],[COD CART]],[1]!MatrizCortoLargoCyl[#All],3,0),"")</f>
        <v/>
      </c>
      <c r="F3853" t="inlineStr">
        <is>
          <t>JPM</t>
        </is>
      </c>
      <c r="G3853" t="n">
        <v>10</v>
      </c>
      <c r="H3853" t="n">
        <v>-1404.5434</v>
      </c>
      <c r="I3853">
        <f>-H4810/G4810</f>
        <v/>
      </c>
      <c r="J3853" s="16" t="n">
        <v>44664</v>
      </c>
      <c r="K3853">
        <f>+OPERAC[[#This Row],[cantidad]]</f>
        <v/>
      </c>
      <c r="L3853">
        <f>+OPERAC[[#This Row],[cantidad venta]]*125.943</f>
        <v/>
      </c>
    </row>
    <row r="3854">
      <c r="A3854" t="n">
        <v>15194</v>
      </c>
      <c r="B3854" s="16" t="n">
        <v>44641</v>
      </c>
      <c r="C3854" t="inlineStr">
        <is>
          <t>CPR</t>
        </is>
      </c>
      <c r="D3854" t="n">
        <v>42</v>
      </c>
      <c r="E3854">
        <f>IF(D4907&gt;0,VLOOKUP(OPERAC[[#This Row],[COD CART]],[1]!MatrizCortoLargoCyl[#All],3,0),"")</f>
        <v/>
      </c>
      <c r="F3854" t="inlineStr">
        <is>
          <t>FB</t>
        </is>
      </c>
      <c r="G3854" t="n">
        <v>7</v>
      </c>
      <c r="H3854" t="n">
        <v>-1485.09466</v>
      </c>
      <c r="I3854">
        <f>-H4907/G4907</f>
        <v/>
      </c>
      <c r="J3854" s="16" t="n">
        <v>44671</v>
      </c>
      <c r="K3854">
        <f>+OPERAC[[#This Row],[cantidad]]</f>
        <v/>
      </c>
      <c r="L3854">
        <f>+OPERAC[[#This Row],[cantidad venta]]*213.173</f>
        <v/>
      </c>
    </row>
    <row r="3855">
      <c r="A3855" t="n">
        <v>15194</v>
      </c>
      <c r="B3855" s="16" t="n">
        <v>44641</v>
      </c>
      <c r="C3855" t="inlineStr">
        <is>
          <t>VTA</t>
        </is>
      </c>
      <c r="D3855" t="n">
        <v>42</v>
      </c>
      <c r="E3855">
        <f>IF(D5168&gt;0,VLOOKUP(OPERAC[[#This Row],[COD CART]],[1]!MatrizCortoLargoCyl[#All],3,0),"")</f>
        <v/>
      </c>
      <c r="F3855" t="inlineStr">
        <is>
          <t>SMH</t>
        </is>
      </c>
      <c r="G3855" t="n">
        <v>6</v>
      </c>
      <c r="H3855" t="n">
        <v>-1613.7459</v>
      </c>
      <c r="I3855">
        <f>-H5168/G5168</f>
        <v/>
      </c>
      <c r="J3855" s="16" t="n">
        <v>44663</v>
      </c>
      <c r="K3855">
        <f>+OPERAC[[#This Row],[cantidad]]</f>
        <v/>
      </c>
      <c r="L3855">
        <f>+OPERAC[[#This Row],[cantidad venta]]*238.066</f>
        <v/>
      </c>
    </row>
    <row r="3856">
      <c r="A3856" t="n">
        <v>15194</v>
      </c>
      <c r="B3856" s="16" t="n">
        <v>44643</v>
      </c>
      <c r="C3856" t="inlineStr">
        <is>
          <t>CPR</t>
        </is>
      </c>
      <c r="D3856" t="n">
        <v>32</v>
      </c>
      <c r="E3856">
        <f>IF(D4988&gt;0,VLOOKUP(OPERAC[[#This Row],[COD CART]],[1]!MatrizCortoLargoCyl[#All],3,0),"")</f>
        <v/>
      </c>
      <c r="F3856" t="inlineStr">
        <is>
          <t>AMC/CYL/16,00/14-04-22</t>
        </is>
      </c>
      <c r="G3856" t="n">
        <v>100</v>
      </c>
      <c r="H3856" t="n">
        <v>-1520.614</v>
      </c>
      <c r="I3856">
        <f>-H4988/G4988</f>
        <v/>
      </c>
      <c r="J3856" s="16" t="n">
        <v>44648</v>
      </c>
      <c r="K3856">
        <f>+OPERAC[[#This Row],[cantidad]]</f>
        <v/>
      </c>
      <c r="L3856" t="n">
        <v>1581.776</v>
      </c>
    </row>
    <row r="3857">
      <c r="A3857" t="n">
        <v>15194</v>
      </c>
      <c r="B3857" s="16" t="n">
        <v>44643</v>
      </c>
      <c r="C3857" t="inlineStr">
        <is>
          <t>VTA</t>
        </is>
      </c>
      <c r="D3857" t="n">
        <v>32</v>
      </c>
      <c r="E3857">
        <f>IF(D5201&gt;0,VLOOKUP(OPERAC[[#This Row],[COD CART]],[1]!MatrizCortoLargoCyl[#All],3,0),"")</f>
        <v/>
      </c>
      <c r="F3857" t="inlineStr">
        <is>
          <t>EDIT/CYL/17,00/14-04-22</t>
        </is>
      </c>
      <c r="G3857" t="n">
        <v>100</v>
      </c>
      <c r="H3857" t="n">
        <v>-1650.54</v>
      </c>
      <c r="I3857">
        <f>-H5201/G5201</f>
        <v/>
      </c>
      <c r="J3857" s="16" t="n">
        <v>44648</v>
      </c>
      <c r="K3857" t="n">
        <v>100</v>
      </c>
      <c r="L3857">
        <f>-202.298+1898.018</f>
        <v/>
      </c>
    </row>
    <row r="3858">
      <c r="A3858" t="n">
        <v>15194</v>
      </c>
      <c r="B3858" s="16" t="n">
        <v>44648</v>
      </c>
      <c r="C3858" t="inlineStr">
        <is>
          <t>CPR</t>
        </is>
      </c>
      <c r="D3858" t="n">
        <v>42</v>
      </c>
      <c r="E3858">
        <f>IF(D4710&gt;0,VLOOKUP(OPERAC[[#This Row],[COD CART]],[1]!MatrizCortoLargoCyl[#All],3,0),"")</f>
        <v/>
      </c>
      <c r="F3858" t="inlineStr">
        <is>
          <t>ADBE</t>
        </is>
      </c>
      <c r="G3858" t="n">
        <v>3</v>
      </c>
      <c r="H3858" t="n">
        <v>-1324.23735</v>
      </c>
      <c r="I3858">
        <f>-H4710/G4710</f>
        <v/>
      </c>
      <c r="J3858" s="16" t="n">
        <v>44687</v>
      </c>
      <c r="K3858">
        <f>+OPERAC[[#This Row],[cantidad]]</f>
        <v/>
      </c>
      <c r="L3858" t="n">
        <v>1250.12</v>
      </c>
    </row>
    <row r="3859">
      <c r="A3859" t="n">
        <v>15194</v>
      </c>
      <c r="B3859" s="16" t="n">
        <v>44648</v>
      </c>
      <c r="C3859" t="inlineStr">
        <is>
          <t>VTA</t>
        </is>
      </c>
      <c r="D3859" t="n">
        <v>42</v>
      </c>
      <c r="E3859">
        <f>IF(D1644&gt;0,VLOOKUP(OPERAC[[#This Row],[COD CART]],[1]!MatrizCortoLargoCyl[#All],3,0),"")</f>
        <v/>
      </c>
      <c r="F3859" t="inlineStr">
        <is>
          <t>FB</t>
        </is>
      </c>
      <c r="G3859" t="n">
        <v>1</v>
      </c>
      <c r="H3859" t="n">
        <v>-222.16543</v>
      </c>
      <c r="I3859">
        <f>-H1644/G1644</f>
        <v/>
      </c>
      <c r="J3859" s="16" t="n">
        <v>44671</v>
      </c>
      <c r="K3859">
        <f>+OPERAC[[#This Row],[cantidad]]</f>
        <v/>
      </c>
      <c r="L3859">
        <f>+OPERAC[[#This Row],[cantidad venta]]*213.173</f>
        <v/>
      </c>
    </row>
    <row r="3860">
      <c r="A3860" t="n">
        <v>15194</v>
      </c>
      <c r="B3860" s="16" t="n">
        <v>44649</v>
      </c>
      <c r="C3860" t="inlineStr">
        <is>
          <t>CPR</t>
        </is>
      </c>
      <c r="D3860" t="n">
        <v>32</v>
      </c>
      <c r="E3860">
        <f>IF(D4841&gt;0,VLOOKUP(OPERAC[[#This Row],[COD CART]],[1]!MatrizCortoLargoCyl[#All],3,0),"")</f>
        <v/>
      </c>
      <c r="F3860" t="inlineStr">
        <is>
          <t>DDD</t>
        </is>
      </c>
      <c r="G3860" t="n">
        <v>100</v>
      </c>
      <c r="H3860" t="n">
        <v>-1439.859</v>
      </c>
      <c r="I3860">
        <f>-H4841/G4841</f>
        <v/>
      </c>
      <c r="J3860" s="16" t="n">
        <v>44704</v>
      </c>
      <c r="K3860" t="n">
        <v>100</v>
      </c>
      <c r="L3860" t="n">
        <v>1023.496</v>
      </c>
    </row>
    <row r="3861">
      <c r="A3861" t="n">
        <v>15194</v>
      </c>
      <c r="B3861" s="16" t="n">
        <v>44649</v>
      </c>
      <c r="C3861" t="inlineStr">
        <is>
          <t>VTA</t>
        </is>
      </c>
      <c r="D3861" t="n">
        <v>32</v>
      </c>
      <c r="E3861">
        <f>IF(D3223&gt;0,VLOOKUP(OPERAC[[#This Row],[COD CART]],[1]!MatrizCortoLargoCyl[#All],3,0),"")</f>
        <v/>
      </c>
      <c r="F3861" t="inlineStr">
        <is>
          <t>TLRY</t>
        </is>
      </c>
      <c r="G3861" t="n">
        <v>100</v>
      </c>
      <c r="H3861">
        <f>-672.216+9.915</f>
        <v/>
      </c>
      <c r="I3861">
        <f>-H3223/G3223</f>
        <v/>
      </c>
    </row>
    <row r="3862">
      <c r="A3862" t="n">
        <v>15194</v>
      </c>
      <c r="B3862" s="16" t="n">
        <v>44649</v>
      </c>
      <c r="C3862" t="inlineStr">
        <is>
          <t>VTA</t>
        </is>
      </c>
      <c r="D3862" t="n">
        <v>42</v>
      </c>
      <c r="E3862">
        <f>IF(D3958&gt;0,VLOOKUP(OPERAC[[#This Row],[COD CART]],[1]!MatrizCortoLargoCyl[#All],3,0),"")</f>
        <v/>
      </c>
      <c r="F3862" t="inlineStr">
        <is>
          <t>CRESY</t>
        </is>
      </c>
      <c r="G3862" t="n">
        <v>110</v>
      </c>
      <c r="H3862" t="n">
        <v>-890.1402399999999</v>
      </c>
      <c r="I3862">
        <f>-H3958/G3958</f>
        <v/>
      </c>
      <c r="J3862" s="16" t="n">
        <v>44657</v>
      </c>
      <c r="K3862">
        <f>+OPERAC[[#This Row],[cantidad]]</f>
        <v/>
      </c>
      <c r="L3862">
        <f>+OPERAC[[#This Row],[cantidad venta]]*7.664</f>
        <v/>
      </c>
    </row>
    <row r="3863">
      <c r="A3863" t="n">
        <v>15194</v>
      </c>
      <c r="B3863" s="16" t="n">
        <v>44649</v>
      </c>
      <c r="C3863" t="inlineStr">
        <is>
          <t>VTA</t>
        </is>
      </c>
      <c r="D3863" t="n">
        <v>32</v>
      </c>
      <c r="E3863">
        <f>IF(D5195&gt;0,VLOOKUP(OPERAC[[#This Row],[COD CART]],[1]!MatrizCortoLargoCyl[#All],3,0),"")</f>
        <v/>
      </c>
      <c r="F3863" t="inlineStr">
        <is>
          <t>EDIT/CYL/17,50/15-07-22</t>
        </is>
      </c>
      <c r="G3863" t="n">
        <v>100</v>
      </c>
      <c r="H3863">
        <f>-1661.88+19.83</f>
        <v/>
      </c>
      <c r="I3863">
        <f>-H5195/G5195</f>
        <v/>
      </c>
    </row>
    <row r="3864">
      <c r="A3864" t="n">
        <v>15194</v>
      </c>
      <c r="B3864" s="16" t="n">
        <v>44651</v>
      </c>
      <c r="C3864" t="inlineStr">
        <is>
          <t>CPR</t>
        </is>
      </c>
      <c r="D3864" t="n">
        <v>32</v>
      </c>
      <c r="E3864">
        <f>IF(D6008&gt;0,VLOOKUP(OPERAC[[#This Row],[COD CART]],[1]!MatrizCortoLargoCyl[#All],3,0),"")</f>
        <v/>
      </c>
      <c r="F3864" t="inlineStr">
        <is>
          <t>F</t>
        </is>
      </c>
      <c r="G3864" t="n">
        <v>200</v>
      </c>
      <c r="H3864" t="n">
        <v>-3331.792</v>
      </c>
      <c r="I3864">
        <f>-H6008/G6008</f>
        <v/>
      </c>
      <c r="J3864" s="16" t="n">
        <v>44677</v>
      </c>
      <c r="K3864">
        <f>100+100</f>
        <v/>
      </c>
      <c r="L3864">
        <f>1490.72+1241.506</f>
        <v/>
      </c>
    </row>
    <row r="3865">
      <c r="A3865" t="n">
        <v>15194</v>
      </c>
      <c r="B3865" s="16" t="n">
        <v>44651</v>
      </c>
      <c r="C3865" t="inlineStr">
        <is>
          <t>VTA</t>
        </is>
      </c>
      <c r="D3865" t="n">
        <v>42</v>
      </c>
      <c r="E3865">
        <f>IF(D2129&gt;0,VLOOKUP(OPERAC[[#This Row],[COD CART]],[1]!MatrizCortoLargoCyl[#All],3,0),"")</f>
        <v/>
      </c>
      <c r="F3865" t="inlineStr">
        <is>
          <t>AMD</t>
        </is>
      </c>
      <c r="G3865" t="n">
        <v>3</v>
      </c>
      <c r="H3865" t="n">
        <v>-341.69676</v>
      </c>
      <c r="I3865">
        <f>-H2129/G2129</f>
        <v/>
      </c>
      <c r="J3865" s="16" t="n">
        <v>44693</v>
      </c>
      <c r="K3865">
        <f>+OPERAC[[#This Row],[cantidad]]</f>
        <v/>
      </c>
      <c r="L3865">
        <f>+OPERAC[[#This Row],[cantidad venta]]*85.26</f>
        <v/>
      </c>
    </row>
    <row r="3866">
      <c r="A3866" t="n">
        <v>15194</v>
      </c>
      <c r="B3866" s="16" t="n">
        <v>44662</v>
      </c>
      <c r="C3866" t="inlineStr">
        <is>
          <t>CPR</t>
        </is>
      </c>
      <c r="D3866" t="n">
        <v>32</v>
      </c>
      <c r="E3866">
        <f>IF(D4107&gt;0,VLOOKUP(OPERAC[[#This Row],[COD CART]],[1]!MatrizCortoLargoCyl[#All],3,0),"")</f>
        <v/>
      </c>
      <c r="F3866" t="inlineStr">
        <is>
          <t>BLDP</t>
        </is>
      </c>
      <c r="G3866" t="n">
        <v>100</v>
      </c>
      <c r="H3866" t="n">
        <v>-947.236</v>
      </c>
      <c r="I3866">
        <f>-H4107/G4107</f>
        <v/>
      </c>
      <c r="J3866" s="16" t="n">
        <v>44707</v>
      </c>
      <c r="K3866" t="n">
        <v>100</v>
      </c>
      <c r="L3866" t="n">
        <v>719.33</v>
      </c>
    </row>
    <row r="3867">
      <c r="A3867" t="n">
        <v>15194</v>
      </c>
      <c r="B3867" s="16" t="n">
        <v>44662</v>
      </c>
      <c r="C3867" t="inlineStr">
        <is>
          <t>CPR</t>
        </is>
      </c>
      <c r="D3867" t="n">
        <v>42</v>
      </c>
      <c r="E3867">
        <f>IF(D4792&gt;0,VLOOKUP(OPERAC[[#This Row],[COD CART]],[1]!MatrizCortoLargoCyl[#All],3,0),"")</f>
        <v/>
      </c>
      <c r="F3867" t="inlineStr">
        <is>
          <t>HYDR</t>
        </is>
      </c>
      <c r="G3867" t="n">
        <v>75</v>
      </c>
      <c r="H3867" t="n">
        <v>-1392.7758</v>
      </c>
      <c r="I3867">
        <f>-H4792/G4792</f>
        <v/>
      </c>
    </row>
    <row r="3868">
      <c r="A3868" t="n">
        <v>15194</v>
      </c>
      <c r="B3868" s="16" t="n">
        <v>44664</v>
      </c>
      <c r="C3868" t="inlineStr">
        <is>
          <t>CPR</t>
        </is>
      </c>
      <c r="D3868" t="n">
        <v>42</v>
      </c>
      <c r="E3868">
        <f>IF(D5691&gt;0,VLOOKUP(OPERAC[[#This Row],[COD CART]],[1]!MatrizCortoLargoCyl[#All],3,0),"")</f>
        <v/>
      </c>
      <c r="F3868" t="inlineStr">
        <is>
          <t>PSQ</t>
        </is>
      </c>
      <c r="G3868" t="n">
        <v>200</v>
      </c>
      <c r="H3868" t="n">
        <v>-2486.5144362</v>
      </c>
      <c r="I3868">
        <f>-H5691/G5691</f>
        <v/>
      </c>
      <c r="J3868" s="16" t="n">
        <v>44680</v>
      </c>
      <c r="K3868">
        <f>+OPERAC[[#This Row],[cantidad]]</f>
        <v/>
      </c>
      <c r="L3868">
        <f>12.848*OPERAC[[#This Row],[cantidad venta]]</f>
        <v/>
      </c>
    </row>
    <row r="3869">
      <c r="A3869" t="n">
        <v>15194</v>
      </c>
      <c r="B3869" s="16" t="n">
        <v>44671</v>
      </c>
      <c r="C3869" t="inlineStr">
        <is>
          <t>CPR</t>
        </is>
      </c>
      <c r="D3869" t="n">
        <v>42</v>
      </c>
      <c r="E3869">
        <f>IF(D4555&gt;0,VLOOKUP(OPERAC[[#This Row],[COD CART]],[1]!MatrizCortoLargoCyl[#All],3,0),"")</f>
        <v/>
      </c>
      <c r="F3869" t="inlineStr">
        <is>
          <t>TLT</t>
        </is>
      </c>
      <c r="G3869" t="n">
        <v>10</v>
      </c>
      <c r="H3869" t="n">
        <v>-1225.63005</v>
      </c>
      <c r="I3869">
        <f>-H4555/G4555</f>
        <v/>
      </c>
      <c r="J3869" s="16" t="n">
        <v>44704</v>
      </c>
      <c r="K3869" t="n">
        <v>10</v>
      </c>
      <c r="L3869" t="n">
        <v>1157.794</v>
      </c>
    </row>
    <row r="3870">
      <c r="A3870" t="n">
        <v>15194</v>
      </c>
      <c r="B3870" s="16" t="n">
        <v>44671</v>
      </c>
      <c r="C3870" t="inlineStr">
        <is>
          <t>VTA</t>
        </is>
      </c>
      <c r="D3870" t="n">
        <v>42</v>
      </c>
      <c r="E3870">
        <f>IF(D5359&gt;0,VLOOKUP(OPERAC[[#This Row],[COD CART]],[1]!MatrizCortoLargoCyl[#All],3,0),"")</f>
        <v/>
      </c>
      <c r="F3870" t="inlineStr">
        <is>
          <t>NFLX</t>
        </is>
      </c>
      <c r="G3870" t="n">
        <v>7</v>
      </c>
      <c r="H3870" t="n">
        <v>-1781.53542</v>
      </c>
      <c r="I3870">
        <f>-H5359/G5359</f>
        <v/>
      </c>
      <c r="J3870" s="16" t="n">
        <v>44693</v>
      </c>
      <c r="K3870">
        <f>+OPERAC[[#This Row],[cantidad]]</f>
        <v/>
      </c>
      <c r="L3870">
        <f>+OPERAC[[#This Row],[cantidad venta]]*169.079</f>
        <v/>
      </c>
    </row>
    <row r="3871">
      <c r="A3871" t="n">
        <v>15194</v>
      </c>
      <c r="B3871" s="16" t="n">
        <v>44680</v>
      </c>
      <c r="C3871" t="inlineStr">
        <is>
          <t>CPR</t>
        </is>
      </c>
      <c r="D3871" t="n">
        <v>42</v>
      </c>
      <c r="E3871">
        <f>IF(D5742&gt;0,VLOOKUP(OPERAC[[#This Row],[COD CART]],[1]!MatrizCortoLargoCyl[#All],3,0),"")</f>
        <v/>
      </c>
      <c r="F3871" t="inlineStr">
        <is>
          <t>XLP</t>
        </is>
      </c>
      <c r="G3871" t="n">
        <v>33</v>
      </c>
      <c r="H3871" t="n">
        <v>-2621.3385825</v>
      </c>
      <c r="I3871">
        <f>-H5742/G5742</f>
        <v/>
      </c>
      <c r="J3871" s="16" t="n">
        <v>44693</v>
      </c>
      <c r="K3871">
        <f>+OPERAC[[#This Row],[cantidad]]</f>
        <v/>
      </c>
      <c r="L3871">
        <f>+OPERAC[[#This Row],[cantidad venta]]*74.848</f>
        <v/>
      </c>
    </row>
    <row r="3872">
      <c r="A3872" t="n">
        <v>15194</v>
      </c>
      <c r="B3872" s="16" t="n">
        <v>44687</v>
      </c>
      <c r="C3872" t="inlineStr">
        <is>
          <t>VTA</t>
        </is>
      </c>
      <c r="D3872" t="n">
        <v>43</v>
      </c>
      <c r="E3872">
        <f>IF(D5155&gt;0,VLOOKUP(OPERAC[[#This Row],[COD CART]],[1]!MatrizCortoLargoCyl[#All],3,0),"")</f>
        <v/>
      </c>
      <c r="F3872" t="inlineStr">
        <is>
          <t>SPWR/CYP/16,50-15,50/20-05-22</t>
        </is>
      </c>
      <c r="G3872" t="n">
        <v>100</v>
      </c>
      <c r="H3872" t="n">
        <v>-1607.83</v>
      </c>
      <c r="I3872">
        <f>-H5155/G5155</f>
        <v/>
      </c>
      <c r="J3872" s="16" t="n">
        <v>44701</v>
      </c>
      <c r="K3872" t="n">
        <v>100</v>
      </c>
      <c r="L3872" t="n">
        <v>1637.55</v>
      </c>
    </row>
    <row r="3873">
      <c r="A3873" t="n">
        <v>15194</v>
      </c>
      <c r="B3873" s="16" t="n">
        <v>44698</v>
      </c>
      <c r="C3873" t="inlineStr">
        <is>
          <t>CPR</t>
        </is>
      </c>
      <c r="D3873" t="n">
        <v>39</v>
      </c>
      <c r="E3873">
        <f>IF(D2724&gt;0,VLOOKUP(OPERAC[[#This Row],[COD CART]],[1]!MatrizCortoLargoCyl[#All],3,0),"")</f>
        <v/>
      </c>
      <c r="F3873" t="inlineStr">
        <is>
          <t>NTLA/C/65,00/15-07-22</t>
        </is>
      </c>
      <c r="G3873" t="n">
        <v>200</v>
      </c>
      <c r="H3873" t="n">
        <v>-504.25</v>
      </c>
      <c r="I3873">
        <f>-H2724/G2724</f>
        <v/>
      </c>
    </row>
    <row r="3874">
      <c r="A3874" t="n">
        <v>15194</v>
      </c>
      <c r="B3874" s="16" t="n">
        <v>44707</v>
      </c>
      <c r="C3874" t="inlineStr">
        <is>
          <t>CPR</t>
        </is>
      </c>
      <c r="D3874" t="n">
        <v>32</v>
      </c>
      <c r="E3874">
        <f>IF(D4011&gt;0,VLOOKUP(OPERAC[[#This Row],[COD CART]],[1]!MatrizCortoLargoCyl[#All],3,0),"")</f>
        <v/>
      </c>
      <c r="F3874" t="inlineStr">
        <is>
          <t>PLBY/CYL/12,50/17-06-22</t>
        </is>
      </c>
      <c r="G3874" t="n">
        <v>100</v>
      </c>
      <c r="H3874" t="n">
        <v>-919.97</v>
      </c>
      <c r="I3874">
        <f>-H4011/G4011</f>
        <v/>
      </c>
    </row>
    <row r="3875">
      <c r="A3875" t="n">
        <v>15194</v>
      </c>
      <c r="B3875" s="16" t="n">
        <v>44707</v>
      </c>
      <c r="C3875" t="inlineStr">
        <is>
          <t>CPR</t>
        </is>
      </c>
      <c r="D3875" t="n">
        <v>32</v>
      </c>
      <c r="E3875">
        <f>IF(D5763&gt;0,VLOOKUP(OPERAC[[#This Row],[COD CART]],[1]!MatrizCortoLargoCyl[#All],3,0),"")</f>
        <v/>
      </c>
      <c r="F3875" t="inlineStr">
        <is>
          <t>BIG/CYL/27,50/17-06-22</t>
        </is>
      </c>
      <c r="G3875" t="n">
        <v>100</v>
      </c>
      <c r="H3875" t="n">
        <v>-2636.628</v>
      </c>
      <c r="I3875">
        <f>-H5763/G5763</f>
        <v/>
      </c>
    </row>
    <row r="3876">
      <c r="A3876" t="n">
        <v>15194</v>
      </c>
      <c r="B3876" s="16" t="n">
        <v>44707</v>
      </c>
      <c r="C3876" t="inlineStr">
        <is>
          <t>VTA</t>
        </is>
      </c>
      <c r="D3876" t="n">
        <v>43</v>
      </c>
      <c r="E3876">
        <f>IF(D5301&gt;0,VLOOKUP(OPERAC[[#This Row],[COD CART]],[1]!MatrizCortoLargoCyl[#All],3,0),"")</f>
        <v/>
      </c>
      <c r="F3876" t="inlineStr">
        <is>
          <t>SPWR/CYP/17,50-15,00/17-06-22</t>
        </is>
      </c>
      <c r="G3876" t="n">
        <v>100</v>
      </c>
      <c r="H3876" t="n">
        <v>-1717.027</v>
      </c>
      <c r="I3876">
        <f>-H5301/G5301</f>
        <v/>
      </c>
    </row>
    <row r="3877">
      <c r="A3877" t="n">
        <v>15194</v>
      </c>
      <c r="B3877" s="16" t="n">
        <v>44708</v>
      </c>
      <c r="C3877" t="inlineStr">
        <is>
          <t>CPR</t>
        </is>
      </c>
      <c r="D3877" t="n">
        <v>32</v>
      </c>
      <c r="E3877">
        <f>IF(D4628&gt;0,VLOOKUP(OPERAC[[#This Row],[COD CART]],[1]!MatrizCortoLargoCyl[#All],3,0),"")</f>
        <v/>
      </c>
      <c r="F3877" t="inlineStr">
        <is>
          <t>CCL/CYL/13,00/03-06-22</t>
        </is>
      </c>
      <c r="G3877" t="n">
        <v>100</v>
      </c>
      <c r="H3877" t="n">
        <v>-1276.4</v>
      </c>
      <c r="I3877">
        <f>-H4628/G4628</f>
        <v/>
      </c>
      <c r="J3877" s="16" t="n">
        <v>44715</v>
      </c>
      <c r="K3877">
        <f>+OPERAC[[#This Row],[cantidad]]</f>
        <v/>
      </c>
      <c r="L3877">
        <f>+OPERAC[[#This Row],[cantidad venta]]*12.942</f>
        <v/>
      </c>
    </row>
    <row r="3878">
      <c r="A3878" t="n">
        <v>15194</v>
      </c>
      <c r="B3878" s="16" t="n">
        <v>44712</v>
      </c>
      <c r="C3878" t="inlineStr">
        <is>
          <t>CPR</t>
        </is>
      </c>
      <c r="D3878" t="n">
        <v>42</v>
      </c>
      <c r="E3878">
        <f>IF(D5884&gt;0,VLOOKUP(OPERAC[[#This Row],[COD CART]],[1]!MatrizCortoLargoCyl[#All],3,0),"")</f>
        <v/>
      </c>
      <c r="F3878" t="inlineStr">
        <is>
          <t>KWEB</t>
        </is>
      </c>
      <c r="G3878" t="n">
        <v>100</v>
      </c>
      <c r="H3878" t="n">
        <v>-2959.725</v>
      </c>
      <c r="I3878">
        <f>-H5884/G5884</f>
        <v/>
      </c>
    </row>
    <row r="3879">
      <c r="A3879" t="n">
        <v>15194</v>
      </c>
      <c r="B3879" s="16" t="n">
        <v>44720</v>
      </c>
      <c r="C3879" t="inlineStr">
        <is>
          <t>CPR</t>
        </is>
      </c>
      <c r="D3879" t="n">
        <v>42</v>
      </c>
      <c r="E3879">
        <f>IF(D4691&gt;0,VLOOKUP(OPERAC[[#This Row],[COD CART]],[1]!MatrizCortoLargoCyl[#All],3,0),"")</f>
        <v/>
      </c>
      <c r="F3879" t="inlineStr">
        <is>
          <t>EDIT</t>
        </is>
      </c>
      <c r="G3879" t="n">
        <v>100</v>
      </c>
      <c r="H3879" t="n">
        <v>-1316.0925</v>
      </c>
      <c r="I3879">
        <f>-H4691/G4691</f>
        <v/>
      </c>
    </row>
    <row r="3880">
      <c r="A3880" t="n">
        <v>15195</v>
      </c>
      <c r="B3880" s="16" t="n">
        <v>44277</v>
      </c>
      <c r="C3880" t="inlineStr">
        <is>
          <t>VTA</t>
        </is>
      </c>
      <c r="D3880" t="n">
        <v>39</v>
      </c>
      <c r="E3880">
        <f>IF(D67&gt;0,VLOOKUP(OPERAC[[#This Row],[COD CART]],[1]!MatrizCortoLargoCyl[#All],3,0),"")</f>
        <v/>
      </c>
      <c r="F3880" t="inlineStr">
        <is>
          <t>ACB/V/15,00/20-01-23</t>
        </is>
      </c>
      <c r="G3880" t="n">
        <v>-500</v>
      </c>
      <c r="H3880" t="n">
        <v>4500</v>
      </c>
      <c r="I3880">
        <f>-H67/G67</f>
        <v/>
      </c>
      <c r="J3880" s="16" t="n">
        <v>44614</v>
      </c>
      <c r="K3880" t="n">
        <v>-500</v>
      </c>
      <c r="L3880" t="n">
        <v>-4500</v>
      </c>
    </row>
    <row r="3881">
      <c r="A3881" t="n">
        <v>15195</v>
      </c>
      <c r="B3881" s="16" t="n">
        <v>44365</v>
      </c>
      <c r="C3881" t="inlineStr">
        <is>
          <t>VTA</t>
        </is>
      </c>
      <c r="D3881" t="n">
        <v>39</v>
      </c>
      <c r="E3881">
        <f>IF(D248&gt;0,VLOOKUP(OPERAC[[#This Row],[COD CART]],[1]!MatrizCortoLargoCyl[#All],3,0),"")</f>
        <v/>
      </c>
      <c r="F3881" t="inlineStr">
        <is>
          <t>INO/V/8,00/20-01-23</t>
        </is>
      </c>
      <c r="G3881" t="n">
        <v>-500</v>
      </c>
      <c r="H3881" t="n">
        <v>1796.44</v>
      </c>
      <c r="I3881">
        <f>-H248/G248</f>
        <v/>
      </c>
      <c r="J3881" s="16" t="n">
        <v>44614</v>
      </c>
      <c r="K3881" t="n">
        <v>-500</v>
      </c>
      <c r="L3881" t="n">
        <v>-2674.696</v>
      </c>
    </row>
    <row r="3882">
      <c r="A3882" t="n">
        <v>15195</v>
      </c>
      <c r="B3882" s="16" t="n">
        <v>44461</v>
      </c>
      <c r="C3882" t="inlineStr">
        <is>
          <t>CPR</t>
        </is>
      </c>
      <c r="D3882" t="n">
        <v>40</v>
      </c>
      <c r="E3882">
        <f>IF(D4294&gt;0,VLOOKUP(OPERAC[[#This Row],[COD CART]],[1]!MatrizCortoLargoCyl[#All],3,0),"")</f>
        <v/>
      </c>
      <c r="F3882" t="inlineStr">
        <is>
          <t>EDU</t>
        </is>
      </c>
      <c r="G3882" t="n">
        <v>1000</v>
      </c>
      <c r="H3882">
        <f>-1.0864*OPERAC[[#This Row],[cantidad]]+0.04*OPERAC[[#This Row],[cantidad]]</f>
        <v/>
      </c>
      <c r="I3882">
        <f>-H4294/G4294</f>
        <v/>
      </c>
      <c r="J3882" s="16" t="n">
        <v>44630</v>
      </c>
      <c r="K3882" t="n">
        <v>1000</v>
      </c>
      <c r="L3882" t="n">
        <v>1175.34</v>
      </c>
    </row>
    <row r="3883">
      <c r="A3883" t="n">
        <v>15195</v>
      </c>
      <c r="B3883" s="16" t="n">
        <v>44466</v>
      </c>
      <c r="C3883" t="inlineStr">
        <is>
          <t>VTA</t>
        </is>
      </c>
      <c r="D3883" t="n">
        <v>43</v>
      </c>
      <c r="E3883">
        <f>IF(D2340&gt;0,VLOOKUP(OPERAC[[#This Row],[COD CART]],[1]!MatrizCortoLargoCyl[#All],3,0),"")</f>
        <v/>
      </c>
      <c r="F3883" t="inlineStr">
        <is>
          <t>SOLO/CYL-PUT/4,00/16-09-22</t>
        </is>
      </c>
      <c r="G3883" t="n">
        <v>200</v>
      </c>
      <c r="H3883">
        <f>-594.83454+0.32*OPERAC[[#This Row],[cantidad]]+0.387*OPERAC[[#This Row],[cantidad]]+0.22*OPERAC[[#This Row],[cantidad]]</f>
        <v/>
      </c>
      <c r="I3883">
        <f>-H2340/G2340</f>
        <v/>
      </c>
    </row>
    <row r="3884">
      <c r="A3884" t="n">
        <v>15195</v>
      </c>
      <c r="B3884" s="16" t="n">
        <v>44468</v>
      </c>
      <c r="C3884" t="inlineStr">
        <is>
          <t>CPR</t>
        </is>
      </c>
      <c r="D3884" t="n">
        <v>32</v>
      </c>
      <c r="E3884">
        <f>IF(D3259&gt;0,VLOOKUP(OPERAC[[#This Row],[COD CART]],[1]!MatrizCortoLargoCyl[#All],3,0),"")</f>
        <v/>
      </c>
      <c r="F3884" t="inlineStr">
        <is>
          <t>INO/CYL/8,00/18-02-22</t>
        </is>
      </c>
      <c r="G3884" t="n">
        <v>100</v>
      </c>
      <c r="H3884">
        <f>-7.72*OPERAC[[#This Row],[cantidad]]+15.814+27.502+30.172+14.579+4.707</f>
        <v/>
      </c>
      <c r="I3884">
        <f>-H3259/G3259</f>
        <v/>
      </c>
      <c r="J3884" s="16" t="n">
        <v>44596</v>
      </c>
      <c r="K3884" t="n">
        <v>100</v>
      </c>
      <c r="L3884">
        <f>3.665*OPERAC[[#This Row],[cantidad venta]]</f>
        <v/>
      </c>
    </row>
    <row r="3885">
      <c r="A3885" t="n">
        <v>15195</v>
      </c>
      <c r="B3885" s="16" t="n">
        <v>44469</v>
      </c>
      <c r="C3885" t="inlineStr">
        <is>
          <t>VTA</t>
        </is>
      </c>
      <c r="D3885" t="n">
        <v>39</v>
      </c>
      <c r="E3885">
        <f>IF(D807&gt;0,VLOOKUP(OPERAC[[#This Row],[COD CART]],[1]!MatrizCortoLargoCyl[#All],3,0),"")</f>
        <v/>
      </c>
      <c r="F3885" t="inlineStr">
        <is>
          <t>ACB/V/6,00/21-01-22</t>
        </is>
      </c>
      <c r="G3885" t="n">
        <v>-300</v>
      </c>
      <c r="H3885">
        <f>255.207-0.5*OPERAC[[#This Row],[cantidad]]+0.51*OPERAC[[#This Row],[cantidad]]</f>
        <v/>
      </c>
      <c r="I3885">
        <f>-H807/G807</f>
        <v/>
      </c>
      <c r="J3885" s="16" t="n">
        <v>44581</v>
      </c>
      <c r="K3885">
        <f>+OPERAC[[#This Row],[cantidad]]</f>
        <v/>
      </c>
      <c r="L3885">
        <f>-OPERAC[[#This Row],[importe]]</f>
        <v/>
      </c>
    </row>
    <row r="3886">
      <c r="A3886" t="n">
        <v>15195</v>
      </c>
      <c r="B3886" s="16" t="n">
        <v>44474</v>
      </c>
      <c r="C3886" t="inlineStr">
        <is>
          <t>VTA</t>
        </is>
      </c>
      <c r="D3886" t="n">
        <v>39</v>
      </c>
      <c r="E3886">
        <f>IF(D860&gt;0,VLOOKUP(OPERAC[[#This Row],[COD CART]],[1]!MatrizCortoLargoCyl[#All],3,0),"")</f>
        <v/>
      </c>
      <c r="F3886" t="inlineStr">
        <is>
          <t>NKE/V/115,00/21-01-22</t>
        </is>
      </c>
      <c r="G3886" t="n">
        <v>-200</v>
      </c>
      <c r="H3886" t="n">
        <v>199.914</v>
      </c>
      <c r="I3886">
        <f>-H860/G860</f>
        <v/>
      </c>
      <c r="J3886" s="16" t="n">
        <v>44582</v>
      </c>
      <c r="K3886">
        <f>+OPERAC[[#This Row],[cantidad]]</f>
        <v/>
      </c>
      <c r="L3886" t="n">
        <v>0</v>
      </c>
    </row>
    <row r="3887">
      <c r="A3887" t="n">
        <v>15195</v>
      </c>
      <c r="B3887" s="16" t="n">
        <v>44487</v>
      </c>
      <c r="C3887" t="inlineStr">
        <is>
          <t>VTA</t>
        </is>
      </c>
      <c r="D3887" t="n">
        <v>40</v>
      </c>
      <c r="E3887">
        <f>IF(D5144&gt;0,VLOOKUP(OPERAC[[#This Row],[COD CART]],[1]!MatrizCortoLargoCyl[#All],3,0),"")</f>
        <v/>
      </c>
      <c r="F3887" t="inlineStr">
        <is>
          <t>MELI</t>
        </is>
      </c>
      <c r="G3887" t="n">
        <v>1</v>
      </c>
      <c r="H3887" t="n">
        <v>-1603.127</v>
      </c>
      <c r="I3887">
        <f>-H5144/G5144</f>
        <v/>
      </c>
      <c r="J3887" s="16" t="n">
        <v>44606</v>
      </c>
      <c r="K3887" t="n">
        <v>1</v>
      </c>
      <c r="L3887" t="n">
        <v>1073.609</v>
      </c>
    </row>
    <row r="3888">
      <c r="A3888" t="n">
        <v>15195</v>
      </c>
      <c r="B3888" s="16" t="n">
        <v>44490</v>
      </c>
      <c r="C3888" t="inlineStr">
        <is>
          <t>VTA</t>
        </is>
      </c>
      <c r="D3888" t="n">
        <v>43</v>
      </c>
      <c r="E3888">
        <f>IF(D1836&gt;0,VLOOKUP(OPERAC[[#This Row],[COD CART]],[1]!MatrizCortoLargoCyl[#All],3,0),"")</f>
        <v/>
      </c>
      <c r="F3888" t="inlineStr">
        <is>
          <t>SESN/CYL-PUT/1,00/19-01-24</t>
        </is>
      </c>
      <c r="G3888" t="n">
        <v>1000</v>
      </c>
      <c r="H3888" t="n">
        <v>-275.3</v>
      </c>
      <c r="I3888">
        <f>-H1836/G1836</f>
        <v/>
      </c>
    </row>
    <row r="3889">
      <c r="A3889" t="n">
        <v>15195</v>
      </c>
      <c r="B3889" s="16" t="n">
        <v>44495</v>
      </c>
      <c r="C3889" t="inlineStr">
        <is>
          <t>VTA</t>
        </is>
      </c>
      <c r="D3889" t="n">
        <v>39</v>
      </c>
      <c r="E3889">
        <f>IF(D519&gt;0,VLOOKUP(OPERAC[[#This Row],[COD CART]],[1]!MatrizCortoLargoCyl[#All],3,0),"")</f>
        <v/>
      </c>
      <c r="F3889" t="inlineStr">
        <is>
          <t>TLRY/V/11,00/21-01-22</t>
        </is>
      </c>
      <c r="G3889" t="n">
        <v>-500</v>
      </c>
      <c r="H3889" t="n">
        <v>863.1</v>
      </c>
      <c r="I3889">
        <f>-H519/G519</f>
        <v/>
      </c>
      <c r="J3889" s="16" t="n">
        <v>44571</v>
      </c>
      <c r="K3889">
        <f>+OPERAC[[#This Row],[cantidad]]</f>
        <v/>
      </c>
      <c r="L3889">
        <f>-OPERAC[[#This Row],[importe]]</f>
        <v/>
      </c>
    </row>
    <row r="3890">
      <c r="A3890" t="n">
        <v>15195</v>
      </c>
      <c r="B3890" s="16" t="n">
        <v>44523</v>
      </c>
      <c r="C3890" t="inlineStr">
        <is>
          <t>VTA</t>
        </is>
      </c>
      <c r="D3890" t="n">
        <v>32</v>
      </c>
      <c r="E3890">
        <f>IF(D5255&gt;0,VLOOKUP(OPERAC[[#This Row],[COD CART]],[1]!MatrizCortoLargoCyl[#All],3,0),"")</f>
        <v/>
      </c>
      <c r="F3890" t="inlineStr">
        <is>
          <t>TEVA/CYL/9,00/21-01-22</t>
        </is>
      </c>
      <c r="G3890" t="n">
        <v>200</v>
      </c>
      <c r="H3890">
        <f>-1723.2664+37.748</f>
        <v/>
      </c>
      <c r="I3890">
        <f>-H5255/G5255</f>
        <v/>
      </c>
      <c r="J3890" s="16" t="n">
        <v>44575</v>
      </c>
      <c r="K3890" t="n">
        <v>200</v>
      </c>
      <c r="L3890" t="n">
        <v>1757.83</v>
      </c>
    </row>
    <row r="3891">
      <c r="A3891" t="n">
        <v>15195</v>
      </c>
      <c r="B3891" s="16" t="n">
        <v>44532</v>
      </c>
      <c r="C3891" t="inlineStr">
        <is>
          <t>VTA</t>
        </is>
      </c>
      <c r="D3891" t="n">
        <v>32</v>
      </c>
      <c r="E3891">
        <f>IF(D5344&gt;0,VLOOKUP(OPERAC[[#This Row],[COD CART]],[1]!MatrizCortoLargoCyl[#All],3,0),"")</f>
        <v/>
      </c>
      <c r="F3891" t="inlineStr">
        <is>
          <t>COTY/CYL/10,00/18-02-22</t>
        </is>
      </c>
      <c r="G3891" t="n">
        <v>200</v>
      </c>
      <c r="H3891">
        <f>-1803.198+41.676</f>
        <v/>
      </c>
      <c r="I3891">
        <f>-H5344/G5344</f>
        <v/>
      </c>
      <c r="J3891" s="16" t="n">
        <v>44608</v>
      </c>
      <c r="K3891">
        <f>+OPERAC[[#This Row],[cantidad]]</f>
        <v/>
      </c>
      <c r="L3891" t="n">
        <v>1889.088</v>
      </c>
    </row>
    <row r="3892">
      <c r="A3892" t="n">
        <v>15195</v>
      </c>
      <c r="B3892" s="16" t="n">
        <v>44533</v>
      </c>
      <c r="C3892" t="inlineStr">
        <is>
          <t>CPR</t>
        </is>
      </c>
      <c r="D3892" t="n">
        <v>40</v>
      </c>
      <c r="E3892">
        <f>IF(D5641&gt;0,VLOOKUP(OPERAC[[#This Row],[COD CART]],[1]!MatrizCortoLargoCyl[#All],3,0),"")</f>
        <v/>
      </c>
      <c r="F3892" t="inlineStr">
        <is>
          <t>SSYS</t>
        </is>
      </c>
      <c r="G3892" t="n">
        <v>100</v>
      </c>
      <c r="H3892" t="n">
        <v>-2339.12</v>
      </c>
      <c r="I3892">
        <f>-H5641/G5641</f>
        <v/>
      </c>
      <c r="J3892" s="16" t="n">
        <v>44600</v>
      </c>
      <c r="K3892" t="n">
        <v>100</v>
      </c>
      <c r="L3892" t="n">
        <v>2405</v>
      </c>
    </row>
    <row r="3893">
      <c r="A3893" t="n">
        <v>15195</v>
      </c>
      <c r="B3893" s="16" t="n">
        <v>44533</v>
      </c>
      <c r="C3893" t="inlineStr">
        <is>
          <t>CPR</t>
        </is>
      </c>
      <c r="D3893" t="n">
        <v>32</v>
      </c>
      <c r="E3893">
        <f>IF(D5891&gt;0,VLOOKUP(OPERAC[[#This Row],[COD CART]],[1]!MatrizCortoLargoCyl[#All],3,0),"")</f>
        <v/>
      </c>
      <c r="F3893" t="inlineStr">
        <is>
          <t>HIMX/CYL/12,00/21-01-22</t>
        </is>
      </c>
      <c r="G3893" t="n">
        <v>300</v>
      </c>
      <c r="H3893">
        <f>-9.9*OPERAC[[#This Row],[cantidad]]</f>
        <v/>
      </c>
      <c r="I3893">
        <f>-H5891/G5891</f>
        <v/>
      </c>
      <c r="J3893" s="16" t="n">
        <v>44575</v>
      </c>
      <c r="K3893" t="n">
        <v>300</v>
      </c>
      <c r="L3893" t="n">
        <v>3511.854</v>
      </c>
    </row>
    <row r="3894">
      <c r="A3894" t="n">
        <v>15195</v>
      </c>
      <c r="B3894" s="16" t="n">
        <v>44533</v>
      </c>
      <c r="C3894" t="inlineStr">
        <is>
          <t>CPR</t>
        </is>
      </c>
      <c r="D3894" t="n">
        <v>32</v>
      </c>
      <c r="E3894">
        <f>IF(D6217&gt;0,VLOOKUP(OPERAC[[#This Row],[COD CART]],[1]!MatrizCortoLargoCyl[#All],3,0),"")</f>
        <v/>
      </c>
      <c r="F3894" t="inlineStr">
        <is>
          <t>BYND/CYL/60,00/15-07-22</t>
        </is>
      </c>
      <c r="G3894" t="n">
        <v>100</v>
      </c>
      <c r="H3894">
        <f>-6182.815+148.4+69.038+76.626</f>
        <v/>
      </c>
      <c r="I3894">
        <f>-H6217/G6217</f>
        <v/>
      </c>
    </row>
    <row r="3895">
      <c r="A3895" t="n">
        <v>15195</v>
      </c>
      <c r="B3895" s="16" t="n">
        <v>44533</v>
      </c>
      <c r="C3895" t="inlineStr">
        <is>
          <t>VTA</t>
        </is>
      </c>
      <c r="D3895" t="n">
        <v>32</v>
      </c>
      <c r="E3895">
        <f>IF(D1926&gt;0,VLOOKUP(OPERAC[[#This Row],[COD CART]],[1]!MatrizCortoLargoCyl[#All],3,0),"")</f>
        <v/>
      </c>
      <c r="F3895" t="inlineStr">
        <is>
          <t>AAL/BULL/14,00-20,00/14-04-22</t>
        </is>
      </c>
      <c r="G3895" t="n">
        <v>200</v>
      </c>
      <c r="H3895">
        <f>-16.02*OPERAC[[#This Row],[cantidad]]+20.824+74.147+43.086+3649.3-880.904</f>
        <v/>
      </c>
      <c r="I3895">
        <f>-H1926/G1926</f>
        <v/>
      </c>
      <c r="J3895" s="16" t="n">
        <v>44665</v>
      </c>
      <c r="K3895" t="n">
        <v>200</v>
      </c>
      <c r="L3895">
        <f>5.5*200</f>
        <v/>
      </c>
    </row>
    <row r="3896">
      <c r="A3896" t="n">
        <v>15195</v>
      </c>
      <c r="B3896" s="16" t="n">
        <v>44536</v>
      </c>
      <c r="C3896" t="inlineStr">
        <is>
          <t>CPR</t>
        </is>
      </c>
      <c r="D3896" t="n">
        <v>43</v>
      </c>
      <c r="E3896">
        <f>IF(D3629&gt;0,VLOOKUP(OPERAC[[#This Row],[COD CART]],[1]!MatrizCortoLargoCyl[#All],3,0),"")</f>
        <v/>
      </c>
      <c r="F3896" t="inlineStr">
        <is>
          <t>XSPA/CYL-PUT/1,50/20-01-23</t>
        </is>
      </c>
      <c r="G3896" t="n">
        <v>1800</v>
      </c>
      <c r="H3896">
        <f>-0.4462*OPERAC[[#This Row],[cantidad]]</f>
        <v/>
      </c>
      <c r="I3896">
        <f>-H3629/G3629</f>
        <v/>
      </c>
    </row>
    <row r="3897">
      <c r="A3897" t="n">
        <v>15195</v>
      </c>
      <c r="B3897" s="16" t="n">
        <v>44536</v>
      </c>
      <c r="C3897" t="inlineStr">
        <is>
          <t>CPR</t>
        </is>
      </c>
      <c r="D3897" t="n">
        <v>40</v>
      </c>
      <c r="E3897">
        <f>IF(D4456&gt;0,VLOOKUP(OPERAC[[#This Row],[COD CART]],[1]!MatrizCortoLargoCyl[#All],3,0),"")</f>
        <v/>
      </c>
      <c r="F3897" t="inlineStr">
        <is>
          <t>UVXY</t>
        </is>
      </c>
      <c r="G3897" t="n">
        <v>50</v>
      </c>
      <c r="H3897" t="n">
        <v>-1158.946</v>
      </c>
      <c r="I3897">
        <f>-H4456/G4456</f>
        <v/>
      </c>
      <c r="J3897" s="16" t="n">
        <v>44571</v>
      </c>
      <c r="K3897">
        <f>+OPERAC[[#This Row],[cantidad]]</f>
        <v/>
      </c>
      <c r="L3897">
        <f>+OPERAC[[#This Row],[cantidad venta]]*14.135</f>
        <v/>
      </c>
    </row>
    <row r="3898">
      <c r="A3898" t="n">
        <v>15195</v>
      </c>
      <c r="B3898" s="16" t="n">
        <v>44536</v>
      </c>
      <c r="C3898" t="inlineStr">
        <is>
          <t>CPR</t>
        </is>
      </c>
      <c r="D3898" t="n">
        <v>43</v>
      </c>
      <c r="E3898">
        <f>IF(D4955&gt;0,VLOOKUP(OPERAC[[#This Row],[COD CART]],[1]!MatrizCortoLargoCyl[#All],3,0),"")</f>
        <v/>
      </c>
      <c r="F3898" t="inlineStr">
        <is>
          <t>NNDM/CYL-PUT/2,50/19-01-24</t>
        </is>
      </c>
      <c r="G3898" t="n">
        <v>1400</v>
      </c>
      <c r="H3898">
        <f>-1.08*OPERAC[[#This Row],[cantidad]]</f>
        <v/>
      </c>
      <c r="I3898">
        <f>-H4955/G4955</f>
        <v/>
      </c>
    </row>
    <row r="3899">
      <c r="A3899" t="n">
        <v>15195</v>
      </c>
      <c r="B3899" s="16" t="n">
        <v>44536</v>
      </c>
      <c r="C3899" t="inlineStr">
        <is>
          <t>VTA</t>
        </is>
      </c>
      <c r="D3899" t="n">
        <v>43</v>
      </c>
      <c r="E3899">
        <f>IF(D2462&gt;0,VLOOKUP(OPERAC[[#This Row],[COD CART]],[1]!MatrizCortoLargoCyl[#All],3,0),"")</f>
        <v/>
      </c>
      <c r="F3899" t="inlineStr">
        <is>
          <t>HEXO/CYL-PUT/1,00/20-01-23</t>
        </is>
      </c>
      <c r="G3899" t="n">
        <v>2600</v>
      </c>
      <c r="H3899">
        <f>-0.1671*OPERAC[[#This Row],[cantidad]]</f>
        <v/>
      </c>
      <c r="I3899">
        <f>-H2462/G2462</f>
        <v/>
      </c>
    </row>
    <row r="3900">
      <c r="A3900" t="n">
        <v>15195</v>
      </c>
      <c r="B3900" s="16" t="n">
        <v>44553</v>
      </c>
      <c r="C3900" t="inlineStr">
        <is>
          <t>CPR</t>
        </is>
      </c>
      <c r="D3900" t="n">
        <v>40</v>
      </c>
      <c r="E3900">
        <f>IF(D2592&gt;0,VLOOKUP(OPERAC[[#This Row],[COD CART]],[1]!MatrizCortoLargoCyl[#All],3,0),"")</f>
        <v/>
      </c>
      <c r="F3900" t="inlineStr">
        <is>
          <t>ON</t>
        </is>
      </c>
      <c r="G3900" t="n">
        <v>7</v>
      </c>
      <c r="H3900" t="n">
        <v>-469.7952559999999</v>
      </c>
      <c r="I3900">
        <f>-H2592/G2592</f>
        <v/>
      </c>
      <c r="J3900" s="16" t="n">
        <v>44564</v>
      </c>
      <c r="K3900">
        <f>5+2</f>
        <v/>
      </c>
      <c r="L3900">
        <f>341.116+116.898</f>
        <v/>
      </c>
    </row>
    <row r="3901">
      <c r="A3901" t="n">
        <v>15195</v>
      </c>
      <c r="B3901" s="16" t="n">
        <v>44557</v>
      </c>
      <c r="C3901" t="inlineStr">
        <is>
          <t>CPR</t>
        </is>
      </c>
      <c r="D3901" t="n">
        <v>40</v>
      </c>
      <c r="E3901">
        <f>IF(D3551&gt;0,VLOOKUP(OPERAC[[#This Row],[COD CART]],[1]!MatrizCortoLargoCyl[#All],3,0),"")</f>
        <v/>
      </c>
      <c r="F3901" t="inlineStr">
        <is>
          <t>TLRY</t>
        </is>
      </c>
      <c r="G3901" t="n">
        <v>100</v>
      </c>
      <c r="H3901" t="n">
        <v>-771.62</v>
      </c>
      <c r="I3901">
        <f>-H3551/G3551</f>
        <v/>
      </c>
      <c r="J3901" s="16" t="n">
        <v>44585</v>
      </c>
      <c r="K3901">
        <f>+OPERAC[[#This Row],[cantidad]]</f>
        <v/>
      </c>
      <c r="L3901">
        <f>+OPERAC[[#This Row],[cantidad venta]]*5.263</f>
        <v/>
      </c>
    </row>
    <row r="3902">
      <c r="A3902" t="n">
        <v>15195</v>
      </c>
      <c r="B3902" s="16" t="n">
        <v>44571</v>
      </c>
      <c r="C3902" t="inlineStr">
        <is>
          <t>VTA</t>
        </is>
      </c>
      <c r="D3902" t="n">
        <v>39</v>
      </c>
      <c r="E3902">
        <f>IF(D202&gt;0,VLOOKUP(OPERAC[[#This Row],[COD CART]],[1]!MatrizCortoLargoCyl[#All],3,0),"")</f>
        <v/>
      </c>
      <c r="F3902" t="inlineStr">
        <is>
          <t>BYND/V/65,00/14-01-22</t>
        </is>
      </c>
      <c r="G3902" t="n">
        <v>-1000</v>
      </c>
      <c r="H3902" t="n">
        <v>2128.86</v>
      </c>
      <c r="I3902">
        <f>-H202/G202</f>
        <v/>
      </c>
      <c r="J3902" s="16" t="n">
        <v>44575</v>
      </c>
      <c r="K3902" t="n">
        <v>-1000</v>
      </c>
      <c r="L3902" t="n">
        <v>-279.07</v>
      </c>
    </row>
    <row r="3903">
      <c r="A3903" t="n">
        <v>15195</v>
      </c>
      <c r="B3903" s="16" t="n">
        <v>44575</v>
      </c>
      <c r="C3903" t="inlineStr">
        <is>
          <t>VTA</t>
        </is>
      </c>
      <c r="D3903" t="n">
        <v>40</v>
      </c>
      <c r="E3903">
        <f>IF(D5008&gt;0,VLOOKUP(OPERAC[[#This Row],[COD CART]],[1]!MatrizCortoLargoCyl[#All],3,0),"")</f>
        <v/>
      </c>
      <c r="F3903" t="inlineStr">
        <is>
          <t>GBTC</t>
        </is>
      </c>
      <c r="G3903" t="n">
        <v>50</v>
      </c>
      <c r="H3903" t="n">
        <v>-1540.474</v>
      </c>
      <c r="I3903">
        <f>-H5008/G5008</f>
        <v/>
      </c>
      <c r="J3903" s="16" t="n">
        <v>44651</v>
      </c>
      <c r="K3903">
        <f>+OPERAC[[#This Row],[cantidad]]</f>
        <v/>
      </c>
      <c r="L3903">
        <f>+OPERAC[[#This Row],[cantidad venta]]*31.332</f>
        <v/>
      </c>
    </row>
    <row r="3904">
      <c r="A3904" t="n">
        <v>15195</v>
      </c>
      <c r="B3904" s="16" t="n">
        <v>44581</v>
      </c>
      <c r="C3904" t="inlineStr">
        <is>
          <t>VTA</t>
        </is>
      </c>
      <c r="D3904" t="n">
        <v>39</v>
      </c>
      <c r="E3904">
        <f>IF(D753&gt;0,VLOOKUP(OPERAC[[#This Row],[COD CART]],[1]!MatrizCortoLargoCyl[#All],3,0),"")</f>
        <v/>
      </c>
      <c r="F3904" t="inlineStr">
        <is>
          <t>ACB/V/6,00/18-02-22</t>
        </is>
      </c>
      <c r="G3904" t="n">
        <v>-300</v>
      </c>
      <c r="H3904" t="n">
        <v>362.8545</v>
      </c>
      <c r="I3904">
        <f>-H753/G753</f>
        <v/>
      </c>
      <c r="J3904" s="16" t="n">
        <v>44601</v>
      </c>
      <c r="K3904" t="n">
        <v>-300</v>
      </c>
      <c r="L3904">
        <f>1.21*OPERAC[[#This Row],[cantidad venta]]</f>
        <v/>
      </c>
    </row>
    <row r="3905">
      <c r="A3905" t="n">
        <v>15195</v>
      </c>
      <c r="B3905" s="16" t="n">
        <v>44582</v>
      </c>
      <c r="C3905" t="inlineStr">
        <is>
          <t>CPR</t>
        </is>
      </c>
      <c r="D3905" t="n">
        <v>40</v>
      </c>
      <c r="E3905">
        <f>IF(D6079&gt;0,VLOOKUP(OPERAC[[#This Row],[COD CART]],[1]!MatrizCortoLargoCyl[#All],3,0),"")</f>
        <v/>
      </c>
      <c r="F3905" t="inlineStr">
        <is>
          <t>NFLX</t>
        </is>
      </c>
      <c r="G3905" t="n">
        <v>10</v>
      </c>
      <c r="H3905" t="n">
        <v>-3906.371000000001</v>
      </c>
      <c r="I3905">
        <f>-H6079/G6079</f>
        <v/>
      </c>
      <c r="J3905" s="16" t="n">
        <v>44593</v>
      </c>
      <c r="K3905">
        <f>+OPERAC[[#This Row],[cantidad]]</f>
        <v/>
      </c>
      <c r="L3905">
        <f>+OPERAC[[#This Row],[cantidad venta]]*448.602</f>
        <v/>
      </c>
    </row>
    <row r="3906">
      <c r="A3906" t="n">
        <v>15195</v>
      </c>
      <c r="B3906" s="16" t="n">
        <v>44585</v>
      </c>
      <c r="C3906" t="inlineStr">
        <is>
          <t>VTA</t>
        </is>
      </c>
      <c r="D3906" t="n">
        <v>39</v>
      </c>
      <c r="E3906">
        <f>IF(D825&gt;0,VLOOKUP(OPERAC[[#This Row],[COD CART]],[1]!MatrizCortoLargoCyl[#All],3,0),"")</f>
        <v/>
      </c>
      <c r="F3906" t="inlineStr">
        <is>
          <t>TSLA/V/510,00/28-01-22</t>
        </is>
      </c>
      <c r="G3906" t="n">
        <v>-200</v>
      </c>
      <c r="H3906" t="n">
        <v>217.712</v>
      </c>
      <c r="I3906">
        <f>-H825/G825</f>
        <v/>
      </c>
      <c r="J3906" s="16" t="n">
        <v>44587</v>
      </c>
      <c r="K3906" t="n">
        <v>-200</v>
      </c>
      <c r="L3906" t="n">
        <v>-21.776</v>
      </c>
    </row>
    <row r="3907">
      <c r="A3907" t="n">
        <v>15195</v>
      </c>
      <c r="B3907" s="16" t="n">
        <v>44586</v>
      </c>
      <c r="C3907" t="inlineStr">
        <is>
          <t>VTA</t>
        </is>
      </c>
      <c r="D3907" t="n">
        <v>43</v>
      </c>
      <c r="E3907">
        <f>IF(D4991&gt;0,VLOOKUP(OPERAC[[#This Row],[COD CART]],[1]!MatrizCortoLargoCyl[#All],3,0),"")</f>
        <v/>
      </c>
      <c r="F3907" t="inlineStr">
        <is>
          <t>GMBL/CYL-PUT/2,50/20-01-23</t>
        </is>
      </c>
      <c r="G3907" t="n">
        <v>1500</v>
      </c>
      <c r="H3907" t="n">
        <v>-1524.062300000001</v>
      </c>
      <c r="I3907">
        <f>-H4991/G4991</f>
        <v/>
      </c>
      <c r="J3907" s="16" t="n">
        <v>44636</v>
      </c>
      <c r="K3907" t="n">
        <v>1500</v>
      </c>
      <c r="L3907">
        <f>-1.36*OPERAC[[#This Row],[cantidad venta]]</f>
        <v/>
      </c>
    </row>
    <row r="3908">
      <c r="A3908" t="n">
        <v>15195</v>
      </c>
      <c r="B3908" s="16" t="n">
        <v>44594</v>
      </c>
      <c r="C3908" t="inlineStr">
        <is>
          <t>VTA</t>
        </is>
      </c>
      <c r="D3908" t="n">
        <v>40</v>
      </c>
      <c r="E3908">
        <f>IF(D5519&gt;0,VLOOKUP(OPERAC[[#This Row],[COD CART]],[1]!MatrizCortoLargoCyl[#All],3,0),"")</f>
        <v/>
      </c>
      <c r="F3908" t="inlineStr">
        <is>
          <t>EDU</t>
        </is>
      </c>
      <c r="G3908" t="n">
        <v>1000</v>
      </c>
      <c r="H3908" t="n">
        <v>-2016</v>
      </c>
      <c r="I3908">
        <f>-H5519/G5519</f>
        <v/>
      </c>
      <c r="J3908" s="16" t="n">
        <v>44599</v>
      </c>
      <c r="K3908" t="n">
        <v>1000</v>
      </c>
      <c r="L3908" t="n">
        <v>1640</v>
      </c>
    </row>
    <row r="3909">
      <c r="A3909" t="n">
        <v>15195</v>
      </c>
      <c r="B3909" s="16" t="n">
        <v>44596</v>
      </c>
      <c r="C3909" t="inlineStr">
        <is>
          <t>VTA</t>
        </is>
      </c>
      <c r="D3909" t="n">
        <v>39</v>
      </c>
      <c r="E3909">
        <f>IF(D729&gt;0,VLOOKUP(OPERAC[[#This Row],[COD CART]],[1]!MatrizCortoLargoCyl[#All],3,0),"")</f>
        <v/>
      </c>
      <c r="F3909" t="inlineStr">
        <is>
          <t>MELI/V/850,00/11-02-22</t>
        </is>
      </c>
      <c r="G3909" t="n">
        <v>-100</v>
      </c>
      <c r="H3909" t="n">
        <v>390</v>
      </c>
      <c r="I3909">
        <f>-H729/G729</f>
        <v/>
      </c>
      <c r="J3909" s="16" t="n">
        <v>44603</v>
      </c>
      <c r="K3909" t="n">
        <v>-100</v>
      </c>
      <c r="L3909" t="n">
        <v>0</v>
      </c>
    </row>
    <row r="3910">
      <c r="A3910" t="n">
        <v>15195</v>
      </c>
      <c r="B3910" s="16" t="n">
        <v>44599</v>
      </c>
      <c r="C3910" t="inlineStr">
        <is>
          <t>CPR</t>
        </is>
      </c>
      <c r="D3910" t="n">
        <v>32</v>
      </c>
      <c r="E3910">
        <f>IF(D6263&gt;0,VLOOKUP(OPERAC[[#This Row],[COD CART]],[1]!MatrizCortoLargoCyl[#All],3,0),"")</f>
        <v/>
      </c>
      <c r="F3910" t="inlineStr">
        <is>
          <t>UPST/CYL/80,00/18-03-22</t>
        </is>
      </c>
      <c r="G3910" t="n">
        <v>100</v>
      </c>
      <c r="H3910" t="n">
        <v>-7492</v>
      </c>
      <c r="I3910">
        <f>-H6263/G6263</f>
        <v/>
      </c>
      <c r="J3910" s="16" t="n">
        <v>44608</v>
      </c>
      <c r="K3910" t="n">
        <v>100</v>
      </c>
      <c r="L3910" t="n">
        <v>7956.448</v>
      </c>
    </row>
    <row r="3911">
      <c r="A3911" t="n">
        <v>15195</v>
      </c>
      <c r="B3911" s="16" t="n">
        <v>44601</v>
      </c>
      <c r="C3911" t="inlineStr">
        <is>
          <t>VTA</t>
        </is>
      </c>
      <c r="D3911" t="n">
        <v>39</v>
      </c>
      <c r="E3911">
        <f>IF(D1222&gt;0,VLOOKUP(OPERAC[[#This Row],[COD CART]],[1]!MatrizCortoLargoCyl[#All],3,0),"")</f>
        <v/>
      </c>
      <c r="F3911" t="inlineStr">
        <is>
          <t>TLRY/V/8,00/14-04-22</t>
        </is>
      </c>
      <c r="G3911" t="n">
        <v>-3</v>
      </c>
      <c r="H3911">
        <f>-2.1*OPERAC[[#This Row],[cantidad]]</f>
        <v/>
      </c>
      <c r="I3911">
        <f>-H1222/G1222</f>
        <v/>
      </c>
      <c r="J3911" s="16" t="n">
        <v>44630</v>
      </c>
      <c r="K3911" t="n">
        <v>-3</v>
      </c>
      <c r="L3911" t="n">
        <v>-8.4756</v>
      </c>
    </row>
    <row r="3912">
      <c r="A3912" t="n">
        <v>15195</v>
      </c>
      <c r="B3912" s="16" t="n">
        <v>44607</v>
      </c>
      <c r="C3912" t="inlineStr">
        <is>
          <t>VTA</t>
        </is>
      </c>
      <c r="D3912" t="n">
        <v>32</v>
      </c>
      <c r="E3912">
        <f>IF(D5311&gt;0,VLOOKUP(OPERAC[[#This Row],[COD CART]],[1]!MatrizCortoLargoCyl[#All],3,0),"")</f>
        <v/>
      </c>
      <c r="F3912" t="inlineStr">
        <is>
          <t>F</t>
        </is>
      </c>
      <c r="G3912" t="n">
        <v>100</v>
      </c>
      <c r="H3912" t="n">
        <v>-1719.296</v>
      </c>
      <c r="I3912">
        <f>-H5311/G5311</f>
        <v/>
      </c>
      <c r="J3912" s="16" t="n">
        <v>44649</v>
      </c>
      <c r="K3912" t="n">
        <v>100</v>
      </c>
      <c r="L3912">
        <f>17.636*OPERAC[[#This Row],[cantidad venta]]</f>
        <v/>
      </c>
    </row>
    <row r="3913">
      <c r="A3913" t="n">
        <v>15195</v>
      </c>
      <c r="B3913" s="16" t="n">
        <v>44608</v>
      </c>
      <c r="C3913" t="inlineStr">
        <is>
          <t>CPR</t>
        </is>
      </c>
      <c r="D3913" t="n">
        <v>40</v>
      </c>
      <c r="E3913">
        <f>IF(D4699&gt;0,VLOOKUP(OPERAC[[#This Row],[COD CART]],[1]!MatrizCortoLargoCyl[#All],3,0),"")</f>
        <v/>
      </c>
      <c r="F3913" t="inlineStr">
        <is>
          <t>NVDA</t>
        </is>
      </c>
      <c r="G3913" t="n">
        <v>5</v>
      </c>
      <c r="H3913" t="n">
        <v>-1317.57</v>
      </c>
      <c r="I3913">
        <f>-H4699/G4699</f>
        <v/>
      </c>
      <c r="J3913" s="16" t="n">
        <v>44616</v>
      </c>
      <c r="K3913">
        <f>+OPERAC[[#This Row],[cantidad]]</f>
        <v/>
      </c>
      <c r="L3913">
        <f>+OPERAC[[#This Row],[cantidad venta]]*224.117</f>
        <v/>
      </c>
    </row>
    <row r="3914">
      <c r="A3914" t="n">
        <v>15195</v>
      </c>
      <c r="B3914" s="16" t="n">
        <v>44608</v>
      </c>
      <c r="C3914" t="inlineStr">
        <is>
          <t>CPR</t>
        </is>
      </c>
      <c r="D3914" t="n">
        <v>32</v>
      </c>
      <c r="E3914">
        <f>IF(D5852&gt;0,VLOOKUP(OPERAC[[#This Row],[COD CART]],[1]!MatrizCortoLargoCyl[#All],3,0),"")</f>
        <v/>
      </c>
      <c r="F3914" t="inlineStr">
        <is>
          <t>SPWR/CYL/15,00/18-03-22</t>
        </is>
      </c>
      <c r="G3914" t="n">
        <v>200</v>
      </c>
      <c r="H3914" t="n">
        <v>-2883.624</v>
      </c>
      <c r="I3914">
        <f>-H5852/G5852</f>
        <v/>
      </c>
      <c r="J3914" s="16" t="n">
        <v>44628</v>
      </c>
      <c r="K3914" t="n">
        <v>200</v>
      </c>
      <c r="L3914" t="n">
        <v>3008.55</v>
      </c>
    </row>
    <row r="3915">
      <c r="A3915" t="n">
        <v>15195</v>
      </c>
      <c r="B3915" s="16" t="n">
        <v>44608</v>
      </c>
      <c r="C3915" t="inlineStr">
        <is>
          <t>VTA</t>
        </is>
      </c>
      <c r="D3915" t="n">
        <v>32</v>
      </c>
      <c r="E3915">
        <f>IF(D5112&gt;0,VLOOKUP(OPERAC[[#This Row],[COD CART]],[1]!MatrizCortoLargoCyl[#All],3,0),"")</f>
        <v/>
      </c>
      <c r="F3915" t="inlineStr">
        <is>
          <t>DDD/CYL/17,00/01-04-22</t>
        </is>
      </c>
      <c r="G3915" t="n">
        <v>100</v>
      </c>
      <c r="H3915">
        <f>-1629.4234+19.7+16.45</f>
        <v/>
      </c>
      <c r="I3915">
        <f>-H5112/G5112</f>
        <v/>
      </c>
      <c r="J3915" s="16" t="n">
        <v>44649</v>
      </c>
      <c r="K3915" t="n">
        <v>100</v>
      </c>
      <c r="L3915" t="n">
        <v>1661.98</v>
      </c>
    </row>
    <row r="3916">
      <c r="A3916" t="n">
        <v>15195</v>
      </c>
      <c r="B3916" s="16" t="n">
        <v>44614</v>
      </c>
      <c r="C3916" t="inlineStr">
        <is>
          <t>VTA</t>
        </is>
      </c>
      <c r="D3916" t="n">
        <v>39</v>
      </c>
      <c r="E3916">
        <f>IF(D1008&gt;0,VLOOKUP(OPERAC[[#This Row],[COD CART]],[1]!MatrizCortoLargoCyl[#All],3,0),"")</f>
        <v/>
      </c>
      <c r="F3916" t="inlineStr">
        <is>
          <t>MELI/V/500,00/19-01-24</t>
        </is>
      </c>
      <c r="G3916" t="n">
        <v>-1</v>
      </c>
      <c r="H3916" t="n">
        <v>64.48</v>
      </c>
      <c r="I3916">
        <f>-H1008/G1008</f>
        <v/>
      </c>
    </row>
    <row r="3917">
      <c r="A3917" t="n">
        <v>15195</v>
      </c>
      <c r="B3917" s="16" t="n">
        <v>44616</v>
      </c>
      <c r="C3917" t="inlineStr">
        <is>
          <t>CPR</t>
        </is>
      </c>
      <c r="D3917" t="n">
        <v>32</v>
      </c>
      <c r="E3917">
        <f>IF(D3486&gt;0,VLOOKUP(OPERAC[[#This Row],[COD CART]],[1]!MatrizCortoLargoCyl[#All],3,0),"")</f>
        <v/>
      </c>
      <c r="F3917" t="inlineStr">
        <is>
          <t>TEVA/CYL/8,00/18-03-22</t>
        </is>
      </c>
      <c r="G3917" t="n">
        <v>100</v>
      </c>
      <c r="H3917" t="n">
        <v>-762.2553999999999</v>
      </c>
      <c r="I3917">
        <f>-H3486/G3486</f>
        <v/>
      </c>
      <c r="J3917" s="16" t="n">
        <v>44638</v>
      </c>
      <c r="K3917" t="n">
        <v>100</v>
      </c>
      <c r="L3917">
        <f>7.8242*OPERAC[[#This Row],[cantidad venta]]</f>
        <v/>
      </c>
    </row>
    <row r="3918">
      <c r="A3918" t="n">
        <v>15195</v>
      </c>
      <c r="B3918" s="16" t="n">
        <v>44616</v>
      </c>
      <c r="C3918" t="inlineStr">
        <is>
          <t>CPR</t>
        </is>
      </c>
      <c r="D3918" t="n">
        <v>32</v>
      </c>
      <c r="E3918">
        <f>IF(D4321&gt;0,VLOOKUP(OPERAC[[#This Row],[COD CART]],[1]!MatrizCortoLargoCyl[#All],3,0),"")</f>
        <v/>
      </c>
      <c r="F3918" t="inlineStr">
        <is>
          <t>PLTR/CYL/12,00/14-04-22</t>
        </is>
      </c>
      <c r="G3918" t="n">
        <v>100</v>
      </c>
      <c r="H3918" t="n">
        <v>-1052.7265</v>
      </c>
      <c r="I3918">
        <f>-H4321/G4321</f>
        <v/>
      </c>
      <c r="J3918" s="16" t="n">
        <v>44643</v>
      </c>
      <c r="K3918" t="n">
        <v>100</v>
      </c>
      <c r="L3918" t="n">
        <v>1146.72</v>
      </c>
    </row>
    <row r="3919">
      <c r="A3919" t="n">
        <v>15195</v>
      </c>
      <c r="B3919" s="16" t="n">
        <v>44616</v>
      </c>
      <c r="C3919" t="inlineStr">
        <is>
          <t>VTA</t>
        </is>
      </c>
      <c r="D3919" t="n">
        <v>32</v>
      </c>
      <c r="E3919">
        <f>IF(D5467&gt;0,VLOOKUP(OPERAC[[#This Row],[COD CART]],[1]!MatrizCortoLargoCyl[#All],3,0),"")</f>
        <v/>
      </c>
      <c r="F3919" t="inlineStr">
        <is>
          <t>HMY/CYL/4,00/18-03-22</t>
        </is>
      </c>
      <c r="G3919" t="n">
        <v>500</v>
      </c>
      <c r="H3919" t="n">
        <v>-1918.525</v>
      </c>
      <c r="I3919">
        <f>-H5467/G5467</f>
        <v/>
      </c>
      <c r="J3919" s="16" t="n">
        <v>44622</v>
      </c>
      <c r="K3919" t="n">
        <v>500</v>
      </c>
      <c r="L3919" t="n">
        <v>1969.75</v>
      </c>
    </row>
    <row r="3920">
      <c r="A3920" t="n">
        <v>15195</v>
      </c>
      <c r="B3920" s="16" t="n">
        <v>44622</v>
      </c>
      <c r="C3920" t="inlineStr">
        <is>
          <t>CPR</t>
        </is>
      </c>
      <c r="D3920" t="n">
        <v>32</v>
      </c>
      <c r="E3920">
        <f>IF(D5643&gt;0,VLOOKUP(OPERAC[[#This Row],[COD CART]],[1]!MatrizCortoLargoCyl[#All],3,0),"")</f>
        <v/>
      </c>
      <c r="F3920" t="inlineStr">
        <is>
          <t>HMY/CYL/5,00/18-03-22</t>
        </is>
      </c>
      <c r="G3920" t="n">
        <v>500</v>
      </c>
      <c r="H3920" t="n">
        <v>-2342.66</v>
      </c>
      <c r="I3920">
        <f>-H5643/G5643</f>
        <v/>
      </c>
      <c r="J3920" s="16" t="n">
        <v>44637</v>
      </c>
      <c r="K3920">
        <f>+OPERAC[[#This Row],[cantidad]]</f>
        <v/>
      </c>
      <c r="L3920">
        <f>4.85553*OPERAC[[#This Row],[cantidad venta]]</f>
        <v/>
      </c>
    </row>
    <row r="3921">
      <c r="A3921" t="n">
        <v>15195</v>
      </c>
      <c r="B3921" s="16" t="n">
        <v>44628</v>
      </c>
      <c r="C3921" t="inlineStr">
        <is>
          <t>VTA</t>
        </is>
      </c>
      <c r="D3921" t="n">
        <v>40</v>
      </c>
      <c r="E3921">
        <f>IF(D5584&gt;0,VLOOKUP(OPERAC[[#This Row],[COD CART]],[1]!MatrizCortoLargoCyl[#All],3,0),"")</f>
        <v/>
      </c>
      <c r="F3921" t="inlineStr">
        <is>
          <t>CVV</t>
        </is>
      </c>
      <c r="G3921" t="n">
        <v>500</v>
      </c>
      <c r="H3921" t="n">
        <v>-2112.244</v>
      </c>
      <c r="I3921">
        <f>-H5584/G5584</f>
        <v/>
      </c>
      <c r="J3921" s="16" t="n">
        <v>44649</v>
      </c>
      <c r="K3921">
        <f>+OPERAC[[#This Row],[cantidad]]</f>
        <v/>
      </c>
      <c r="L3921">
        <f>+OPERAC[[#This Row],[cantidad venta]]*4.459</f>
        <v/>
      </c>
    </row>
    <row r="3922">
      <c r="A3922" t="n">
        <v>15195</v>
      </c>
      <c r="B3922" s="16" t="n">
        <v>44630</v>
      </c>
      <c r="C3922" t="inlineStr">
        <is>
          <t>CPR</t>
        </is>
      </c>
      <c r="D3922" t="n">
        <v>31</v>
      </c>
      <c r="E3922">
        <f>IF(D4123&gt;0,VLOOKUP(OPERAC[[#This Row],[COD CART]],[1]!MatrizCortoLargoCyl[#All],3,0),"")</f>
        <v/>
      </c>
      <c r="F3922" t="inlineStr">
        <is>
          <t>MELI</t>
        </is>
      </c>
      <c r="G3922" t="n">
        <v>1</v>
      </c>
      <c r="H3922" t="n">
        <v>-958.6</v>
      </c>
      <c r="I3922">
        <f>-H4123/G4123</f>
        <v/>
      </c>
    </row>
    <row r="3923">
      <c r="A3923" t="n">
        <v>15195</v>
      </c>
      <c r="B3923" s="16" t="n">
        <v>44630</v>
      </c>
      <c r="C3923" t="inlineStr">
        <is>
          <t>CPR</t>
        </is>
      </c>
      <c r="D3923" t="n">
        <v>31</v>
      </c>
      <c r="E3923">
        <f>IF(D4165&gt;0,VLOOKUP(OPERAC[[#This Row],[COD CART]],[1]!MatrizCortoLargoCyl[#All],3,0),"")</f>
        <v/>
      </c>
      <c r="F3923" t="inlineStr">
        <is>
          <t>FB</t>
        </is>
      </c>
      <c r="G3923" t="n">
        <v>5</v>
      </c>
      <c r="H3923" t="n">
        <v>-975.5344000000001</v>
      </c>
      <c r="I3923">
        <f>-H4165/G4165</f>
        <v/>
      </c>
      <c r="J3923" s="16" t="n">
        <v>44669</v>
      </c>
      <c r="K3923" t="n">
        <v>5</v>
      </c>
      <c r="L3923" t="n">
        <v>1038.051</v>
      </c>
    </row>
    <row r="3924">
      <c r="A3924" t="n">
        <v>15195</v>
      </c>
      <c r="B3924" s="16" t="n">
        <v>44630</v>
      </c>
      <c r="C3924" t="inlineStr">
        <is>
          <t>CPR</t>
        </is>
      </c>
      <c r="D3924" t="n">
        <v>31</v>
      </c>
      <c r="E3924">
        <f>IF(D4246&gt;0,VLOOKUP(OPERAC[[#This Row],[COD CART]],[1]!MatrizCortoLargoCyl[#All],3,0),"")</f>
        <v/>
      </c>
      <c r="F3924" t="inlineStr">
        <is>
          <t>SMH</t>
        </is>
      </c>
      <c r="G3924" t="n">
        <v>4</v>
      </c>
      <c r="H3924" t="n">
        <v>-1010.37088</v>
      </c>
      <c r="I3924">
        <f>-H4246/G4246</f>
        <v/>
      </c>
    </row>
    <row r="3925">
      <c r="A3925" t="n">
        <v>15195</v>
      </c>
      <c r="B3925" s="16" t="n">
        <v>44630</v>
      </c>
      <c r="C3925" t="inlineStr">
        <is>
          <t>CPR</t>
        </is>
      </c>
      <c r="D3925" t="n">
        <v>31</v>
      </c>
      <c r="E3925">
        <f>IF(D4269&gt;0,VLOOKUP(OPERAC[[#This Row],[COD CART]],[1]!MatrizCortoLargoCyl[#All],3,0),"")</f>
        <v/>
      </c>
      <c r="F3925" t="inlineStr">
        <is>
          <t>DRIV</t>
        </is>
      </c>
      <c r="G3925" t="n">
        <v>40</v>
      </c>
      <c r="H3925" t="n">
        <v>-1019.08</v>
      </c>
      <c r="I3925">
        <f>-H4269/G4269</f>
        <v/>
      </c>
    </row>
    <row r="3926">
      <c r="A3926" t="n">
        <v>15195</v>
      </c>
      <c r="B3926" s="16" t="n">
        <v>44630</v>
      </c>
      <c r="C3926" t="inlineStr">
        <is>
          <t>CPR</t>
        </is>
      </c>
      <c r="D3926" t="n">
        <v>31</v>
      </c>
      <c r="E3926">
        <f>IF(D4633&gt;0,VLOOKUP(OPERAC[[#This Row],[COD CART]],[1]!MatrizCortoLargoCyl[#All],3,0),"")</f>
        <v/>
      </c>
      <c r="F3926" t="inlineStr">
        <is>
          <t>SPY</t>
        </is>
      </c>
      <c r="G3926" t="n">
        <v>3</v>
      </c>
      <c r="H3926" t="n">
        <v>-1278.9424</v>
      </c>
      <c r="I3926">
        <f>-H4633/G4633</f>
        <v/>
      </c>
      <c r="J3926" s="16" t="n">
        <v>44669</v>
      </c>
      <c r="K3926" t="n">
        <v>3</v>
      </c>
      <c r="L3926" t="n">
        <v>1297.239</v>
      </c>
    </row>
    <row r="3927">
      <c r="A3927" t="n">
        <v>15195</v>
      </c>
      <c r="B3927" s="16" t="n">
        <v>44634</v>
      </c>
      <c r="C3927" t="inlineStr">
        <is>
          <t>VTA</t>
        </is>
      </c>
      <c r="D3927" t="n">
        <v>42</v>
      </c>
      <c r="E3927">
        <f>IF(D5224&gt;0,VLOOKUP(OPERAC[[#This Row],[COD CART]],[1]!MatrizCortoLargoCyl[#All],3,0),"")</f>
        <v/>
      </c>
      <c r="F3927" t="inlineStr">
        <is>
          <t>INO</t>
        </is>
      </c>
      <c r="G3927" t="n">
        <v>500</v>
      </c>
      <c r="H3927" t="n">
        <v>-1660.408</v>
      </c>
      <c r="I3927">
        <f>-H5224/G5224</f>
        <v/>
      </c>
      <c r="J3927" s="16" t="n">
        <v>44634</v>
      </c>
      <c r="K3927" t="n">
        <v>500</v>
      </c>
      <c r="L3927" t="n">
        <v>1494.4275</v>
      </c>
    </row>
    <row r="3928">
      <c r="A3928" t="n">
        <v>15195</v>
      </c>
      <c r="B3928" s="16" t="n">
        <v>44636</v>
      </c>
      <c r="C3928" t="inlineStr">
        <is>
          <t>CPR</t>
        </is>
      </c>
      <c r="D3928" t="n">
        <v>43</v>
      </c>
      <c r="E3928">
        <f>IF(D3418&gt;0,VLOOKUP(OPERAC[[#This Row],[COD CART]],[1]!MatrizCortoLargoCyl[#All],3,0),"")</f>
        <v/>
      </c>
      <c r="F3928" t="inlineStr">
        <is>
          <t>GMBL/CYL-PUT/1,00/20-01-23</t>
        </is>
      </c>
      <c r="G3928" t="n">
        <v>4500</v>
      </c>
      <c r="H3928" t="n">
        <v>-735.2489249999999</v>
      </c>
      <c r="I3928">
        <f>-H3418/G3418</f>
        <v/>
      </c>
    </row>
    <row r="3929">
      <c r="A3929" t="n">
        <v>15195</v>
      </c>
      <c r="B3929" s="16" t="n">
        <v>44641</v>
      </c>
      <c r="C3929" t="inlineStr">
        <is>
          <t>VTA</t>
        </is>
      </c>
      <c r="D3929" t="n">
        <v>42</v>
      </c>
      <c r="E3929">
        <f>IF(D3727&gt;0,VLOOKUP(OPERAC[[#This Row],[COD CART]],[1]!MatrizCortoLargoCyl[#All],3,0),"")</f>
        <v/>
      </c>
      <c r="F3929" t="inlineStr">
        <is>
          <t>JPM</t>
        </is>
      </c>
      <c r="G3929" t="n">
        <v>6</v>
      </c>
      <c r="H3929" t="n">
        <v>-842.7260400000001</v>
      </c>
      <c r="I3929">
        <f>-H3727/G3727</f>
        <v/>
      </c>
      <c r="J3929" s="16" t="n">
        <v>44664</v>
      </c>
      <c r="K3929">
        <f>+OPERAC[[#This Row],[cantidad]]</f>
        <v/>
      </c>
      <c r="L3929">
        <f>+OPERAC[[#This Row],[cantidad venta]]*125.943</f>
        <v/>
      </c>
    </row>
    <row r="3930">
      <c r="A3930" t="n">
        <v>15195</v>
      </c>
      <c r="B3930" s="16" t="n">
        <v>44641</v>
      </c>
      <c r="C3930" t="inlineStr">
        <is>
          <t>VTA</t>
        </is>
      </c>
      <c r="D3930" t="n">
        <v>42</v>
      </c>
      <c r="E3930">
        <f>IF(D3777&gt;0,VLOOKUP(OPERAC[[#This Row],[COD CART]],[1]!MatrizCortoLargoCyl[#All],3,0),"")</f>
        <v/>
      </c>
      <c r="F3930" t="inlineStr">
        <is>
          <t>FB</t>
        </is>
      </c>
      <c r="G3930" t="n">
        <v>4</v>
      </c>
      <c r="H3930" t="n">
        <v>-848.6255200000001</v>
      </c>
      <c r="I3930">
        <f>-H3777/G3777</f>
        <v/>
      </c>
      <c r="J3930" s="16" t="n">
        <v>44671</v>
      </c>
      <c r="K3930">
        <f>+OPERAC[[#This Row],[cantidad]]</f>
        <v/>
      </c>
      <c r="L3930">
        <f>+OPERAC[[#This Row],[cantidad venta]]*213.173</f>
        <v/>
      </c>
    </row>
    <row r="3931">
      <c r="A3931" t="n">
        <v>15195</v>
      </c>
      <c r="B3931" s="16" t="n">
        <v>44643</v>
      </c>
      <c r="C3931" t="inlineStr">
        <is>
          <t>VTA</t>
        </is>
      </c>
      <c r="D3931" t="n">
        <v>42</v>
      </c>
      <c r="E3931">
        <f>IF(D1621&gt;0,VLOOKUP(OPERAC[[#This Row],[COD CART]],[1]!MatrizCortoLargoCyl[#All],3,0),"")</f>
        <v/>
      </c>
      <c r="F3931" t="inlineStr">
        <is>
          <t>FB</t>
        </is>
      </c>
      <c r="G3931" t="n">
        <v>1</v>
      </c>
      <c r="H3931" t="n">
        <v>-216.12326</v>
      </c>
      <c r="I3931">
        <f>-H1621/G1621</f>
        <v/>
      </c>
      <c r="J3931" s="16" t="n">
        <v>44671</v>
      </c>
      <c r="K3931">
        <f>+OPERAC[[#This Row],[cantidad]]</f>
        <v/>
      </c>
      <c r="L3931">
        <f>+OPERAC[[#This Row],[cantidad venta]]*213.173</f>
        <v/>
      </c>
    </row>
    <row r="3932">
      <c r="A3932" t="n">
        <v>15195</v>
      </c>
      <c r="B3932" s="16" t="n">
        <v>44643</v>
      </c>
      <c r="C3932" t="inlineStr">
        <is>
          <t>VTA</t>
        </is>
      </c>
      <c r="D3932" t="n">
        <v>42</v>
      </c>
      <c r="E3932">
        <f>IF(D3721&gt;0,VLOOKUP(OPERAC[[#This Row],[COD CART]],[1]!MatrizCortoLargoCyl[#All],3,0),"")</f>
        <v/>
      </c>
      <c r="F3932" t="inlineStr">
        <is>
          <t>ADBE</t>
        </is>
      </c>
      <c r="G3932" t="n">
        <v>2</v>
      </c>
      <c r="H3932" t="n">
        <v>-842.10955</v>
      </c>
      <c r="I3932">
        <f>-H3721/G3721</f>
        <v/>
      </c>
      <c r="J3932" s="16" t="n">
        <v>44687</v>
      </c>
      <c r="K3932">
        <f>+OPERAC[[#This Row],[cantidad]]</f>
        <v/>
      </c>
      <c r="L3932" t="n">
        <v>772.84</v>
      </c>
    </row>
    <row r="3933">
      <c r="A3933" t="n">
        <v>15195</v>
      </c>
      <c r="B3933" s="16" t="n">
        <v>44649</v>
      </c>
      <c r="C3933" t="inlineStr">
        <is>
          <t>CPR</t>
        </is>
      </c>
      <c r="D3933" t="n">
        <v>32</v>
      </c>
      <c r="E3933">
        <f>IF(D4931&gt;0,VLOOKUP(OPERAC[[#This Row],[COD CART]],[1]!MatrizCortoLargoCyl[#All],3,0),"")</f>
        <v/>
      </c>
      <c r="F3933" t="inlineStr">
        <is>
          <t>DDD</t>
        </is>
      </c>
      <c r="G3933" t="n">
        <v>100</v>
      </c>
      <c r="H3933" t="n">
        <v>-1498.949</v>
      </c>
      <c r="I3933">
        <f>-H4931/G4931</f>
        <v/>
      </c>
      <c r="J3933" s="16" t="n">
        <v>44704</v>
      </c>
      <c r="K3933" t="n">
        <v>100</v>
      </c>
      <c r="L3933" t="n">
        <v>1023.496</v>
      </c>
    </row>
    <row r="3934">
      <c r="A3934" t="n">
        <v>15195</v>
      </c>
      <c r="B3934" s="16" t="n">
        <v>44649</v>
      </c>
      <c r="C3934" t="inlineStr">
        <is>
          <t>VTA</t>
        </is>
      </c>
      <c r="D3934" t="n">
        <v>42</v>
      </c>
      <c r="E3934">
        <f>IF(D5607&gt;0,VLOOKUP(OPERAC[[#This Row],[COD CART]],[1]!MatrizCortoLargoCyl[#All],3,0),"")</f>
        <v/>
      </c>
      <c r="F3934" t="inlineStr">
        <is>
          <t>CRESY</t>
        </is>
      </c>
      <c r="G3934" t="n">
        <v>275</v>
      </c>
      <c r="H3934" t="n">
        <v>-2225.3506</v>
      </c>
      <c r="I3934">
        <f>-H5607/G5607</f>
        <v/>
      </c>
      <c r="J3934" s="16" t="n">
        <v>44657</v>
      </c>
      <c r="K3934">
        <f>+OPERAC[[#This Row],[cantidad]]</f>
        <v/>
      </c>
      <c r="L3934">
        <f>+OPERAC[[#This Row],[cantidad venta]]*7.664</f>
        <v/>
      </c>
    </row>
    <row r="3935">
      <c r="A3935" t="n">
        <v>15195</v>
      </c>
      <c r="B3935" s="16" t="n">
        <v>44650</v>
      </c>
      <c r="C3935" t="inlineStr">
        <is>
          <t>CPR</t>
        </is>
      </c>
      <c r="D3935" t="n">
        <v>32</v>
      </c>
      <c r="E3935">
        <f>IF(D4914&gt;0,VLOOKUP(OPERAC[[#This Row],[COD CART]],[1]!MatrizCortoLargoCyl[#All],3,0),"")</f>
        <v/>
      </c>
      <c r="F3935" t="inlineStr">
        <is>
          <t>UUUU/CYL/8,00/20-05-22</t>
        </is>
      </c>
      <c r="G3935" t="n">
        <v>200</v>
      </c>
      <c r="H3935" t="n">
        <v>-1496.0408</v>
      </c>
      <c r="I3935">
        <f>-H4914/G4914</f>
        <v/>
      </c>
      <c r="J3935" s="16" t="n">
        <v>44665</v>
      </c>
      <c r="K3935" t="n">
        <v>200</v>
      </c>
      <c r="L3935" t="n">
        <v>1552</v>
      </c>
    </row>
    <row r="3936">
      <c r="A3936" t="n">
        <v>15195</v>
      </c>
      <c r="B3936" s="16" t="n">
        <v>44650</v>
      </c>
      <c r="C3936" t="inlineStr">
        <is>
          <t>CPR</t>
        </is>
      </c>
      <c r="D3936" t="n">
        <v>43</v>
      </c>
      <c r="E3936">
        <f>IF(D6056&gt;0,VLOOKUP(OPERAC[[#This Row],[COD CART]],[1]!MatrizCortoLargoCyl[#All],3,0),"")</f>
        <v/>
      </c>
      <c r="F3936" t="inlineStr">
        <is>
          <t>ACB/CYL-PUT/3,00/20-01-23</t>
        </is>
      </c>
      <c r="G3936" t="n">
        <v>2000</v>
      </c>
      <c r="H3936" t="n">
        <v>-3715.556</v>
      </c>
      <c r="I3936">
        <f>-H6056/G6056</f>
        <v/>
      </c>
    </row>
    <row r="3937">
      <c r="A3937" t="n">
        <v>15195</v>
      </c>
      <c r="B3937" s="16" t="n">
        <v>44651</v>
      </c>
      <c r="C3937" t="inlineStr">
        <is>
          <t>VTA</t>
        </is>
      </c>
      <c r="D3937" t="n">
        <v>42</v>
      </c>
      <c r="E3937">
        <f>IF(D5129&gt;0,VLOOKUP(OPERAC[[#This Row],[COD CART]],[1]!MatrizCortoLargoCyl[#All],3,0),"")</f>
        <v/>
      </c>
      <c r="F3937" t="inlineStr">
        <is>
          <t>AMD</t>
        </is>
      </c>
      <c r="G3937" t="n">
        <v>14</v>
      </c>
      <c r="H3937" t="n">
        <v>-1594.58488</v>
      </c>
      <c r="I3937">
        <f>-H5129/G5129</f>
        <v/>
      </c>
      <c r="J3937" s="16" t="n">
        <v>44693</v>
      </c>
      <c r="K3937">
        <f>+OPERAC[[#This Row],[cantidad]]</f>
        <v/>
      </c>
      <c r="L3937">
        <f>+OPERAC[[#This Row],[cantidad venta]]*85.26</f>
        <v/>
      </c>
    </row>
    <row r="3938">
      <c r="A3938" t="n">
        <v>15195</v>
      </c>
      <c r="B3938" s="16" t="n">
        <v>44662</v>
      </c>
      <c r="C3938" t="inlineStr">
        <is>
          <t>CPR</t>
        </is>
      </c>
      <c r="D3938" t="n">
        <v>32</v>
      </c>
      <c r="E3938">
        <f>IF(D4093&gt;0,VLOOKUP(OPERAC[[#This Row],[COD CART]],[1]!MatrizCortoLargoCyl[#All],3,0),"")</f>
        <v/>
      </c>
      <c r="F3938" t="inlineStr">
        <is>
          <t>BLDP</t>
        </is>
      </c>
      <c r="G3938" t="n">
        <v>100</v>
      </c>
      <c r="H3938" t="n">
        <v>-942.3679999999999</v>
      </c>
      <c r="I3938">
        <f>-H4093/G4093</f>
        <v/>
      </c>
      <c r="J3938" s="16" t="n">
        <v>44704</v>
      </c>
      <c r="K3938" t="n">
        <v>100</v>
      </c>
      <c r="L3938" t="n">
        <v>715.367</v>
      </c>
    </row>
    <row r="3939">
      <c r="A3939" t="n">
        <v>15195</v>
      </c>
      <c r="B3939" s="16" t="n">
        <v>44662</v>
      </c>
      <c r="C3939" t="inlineStr">
        <is>
          <t>VTA</t>
        </is>
      </c>
      <c r="D3939" t="n">
        <v>42</v>
      </c>
      <c r="E3939">
        <f>IF(D5609&gt;0,VLOOKUP(OPERAC[[#This Row],[COD CART]],[1]!MatrizCortoLargoCyl[#All],3,0),"")</f>
        <v/>
      </c>
      <c r="F3939" t="inlineStr">
        <is>
          <t>HYDR</t>
        </is>
      </c>
      <c r="G3939" t="n">
        <v>120</v>
      </c>
      <c r="H3939" t="n">
        <v>-2228.44128</v>
      </c>
      <c r="I3939">
        <f>-H5609/G5609</f>
        <v/>
      </c>
      <c r="J3939" s="16" t="n">
        <v>44693</v>
      </c>
      <c r="K3939">
        <f>+OPERAC[[#This Row],[cantidad]]</f>
        <v/>
      </c>
      <c r="L3939">
        <f>+OPERAC[[#This Row],[cantidad venta]]*12.027</f>
        <v/>
      </c>
    </row>
    <row r="3940">
      <c r="A3940" t="n">
        <v>15195</v>
      </c>
      <c r="B3940" s="16" t="n">
        <v>44664</v>
      </c>
      <c r="C3940" t="inlineStr">
        <is>
          <t>CPR</t>
        </is>
      </c>
      <c r="D3940" t="n">
        <v>42</v>
      </c>
      <c r="E3940">
        <f>IF(D5692&gt;0,VLOOKUP(OPERAC[[#This Row],[COD CART]],[1]!MatrizCortoLargoCyl[#All],3,0),"")</f>
        <v/>
      </c>
      <c r="F3940" t="inlineStr">
        <is>
          <t>PSQ</t>
        </is>
      </c>
      <c r="G3940" t="n">
        <v>200</v>
      </c>
      <c r="H3940" t="n">
        <v>-2486.5144362</v>
      </c>
      <c r="I3940">
        <f>-H5692/G5692</f>
        <v/>
      </c>
      <c r="J3940" s="16" t="n">
        <v>44680</v>
      </c>
      <c r="K3940">
        <f>+OPERAC[[#This Row],[cantidad]]</f>
        <v/>
      </c>
      <c r="L3940">
        <f>12.848*OPERAC[[#This Row],[cantidad venta]]</f>
        <v/>
      </c>
    </row>
    <row r="3941">
      <c r="A3941" t="n">
        <v>15195</v>
      </c>
      <c r="B3941" s="16" t="n">
        <v>44664</v>
      </c>
      <c r="C3941" t="inlineStr">
        <is>
          <t>VTA</t>
        </is>
      </c>
      <c r="D3941" t="n">
        <v>42</v>
      </c>
      <c r="E3941">
        <f>IF(D5503&gt;0,VLOOKUP(OPERAC[[#This Row],[COD CART]],[1]!MatrizCortoLargoCyl[#All],3,0),"")</f>
        <v/>
      </c>
      <c r="F3941" t="inlineStr">
        <is>
          <t>AMD</t>
        </is>
      </c>
      <c r="G3941" t="n">
        <v>20</v>
      </c>
      <c r="H3941" t="n">
        <v>-1975.4130906</v>
      </c>
      <c r="I3941">
        <f>-H5503/G5503</f>
        <v/>
      </c>
      <c r="J3941" s="16" t="n">
        <v>44693</v>
      </c>
      <c r="K3941">
        <f>+OPERAC[[#This Row],[cantidad]]</f>
        <v/>
      </c>
      <c r="L3941">
        <f>+OPERAC[[#This Row],[cantidad venta]]*85.26</f>
        <v/>
      </c>
    </row>
    <row r="3942">
      <c r="A3942" t="n">
        <v>15195</v>
      </c>
      <c r="B3942" s="16" t="n">
        <v>44671</v>
      </c>
      <c r="C3942" t="inlineStr">
        <is>
          <t>CPR</t>
        </is>
      </c>
      <c r="D3942" t="n">
        <v>42</v>
      </c>
      <c r="E3942">
        <f>IF(D4263&gt;0,VLOOKUP(OPERAC[[#This Row],[COD CART]],[1]!MatrizCortoLargoCyl[#All],3,0),"")</f>
        <v/>
      </c>
      <c r="F3942" t="inlineStr">
        <is>
          <t>NFLX</t>
        </is>
      </c>
      <c r="G3942" t="n">
        <v>4</v>
      </c>
      <c r="H3942" t="n">
        <v>-1018.02024</v>
      </c>
      <c r="I3942">
        <f>-H4263/G4263</f>
        <v/>
      </c>
      <c r="J3942" s="16" t="n">
        <v>44693</v>
      </c>
      <c r="K3942">
        <f>+OPERAC[[#This Row],[cantidad]]</f>
        <v/>
      </c>
      <c r="L3942">
        <f>+OPERAC[[#This Row],[cantidad venta]]*169.079</f>
        <v/>
      </c>
    </row>
    <row r="3943">
      <c r="A3943" t="n">
        <v>15195</v>
      </c>
      <c r="B3943" s="16" t="n">
        <v>44680</v>
      </c>
      <c r="C3943" t="inlineStr">
        <is>
          <t>CPR</t>
        </is>
      </c>
      <c r="D3943" t="n">
        <v>42</v>
      </c>
      <c r="E3943">
        <f>IF(D5743&gt;0,VLOOKUP(OPERAC[[#This Row],[COD CART]],[1]!MatrizCortoLargoCyl[#All],3,0),"")</f>
        <v/>
      </c>
      <c r="F3943" t="inlineStr">
        <is>
          <t>XLP</t>
        </is>
      </c>
      <c r="G3943" t="n">
        <v>33</v>
      </c>
      <c r="H3943" t="n">
        <v>-2621.3385825</v>
      </c>
      <c r="I3943">
        <f>-H5743/G5743</f>
        <v/>
      </c>
      <c r="J3943" s="16" t="n">
        <v>44693</v>
      </c>
      <c r="K3943">
        <f>+OPERAC[[#This Row],[cantidad]]</f>
        <v/>
      </c>
      <c r="L3943">
        <f>+OPERAC[[#This Row],[cantidad venta]]*74.848</f>
        <v/>
      </c>
    </row>
    <row r="3944">
      <c r="A3944" t="n">
        <v>15195</v>
      </c>
      <c r="B3944" s="16" t="n">
        <v>44698</v>
      </c>
      <c r="C3944" t="inlineStr">
        <is>
          <t>CPR</t>
        </is>
      </c>
      <c r="D3944" t="n">
        <v>39</v>
      </c>
      <c r="E3944">
        <f>IF(D4241&gt;0,VLOOKUP(OPERAC[[#This Row],[COD CART]],[1]!MatrizCortoLargoCyl[#All],3,0),"")</f>
        <v/>
      </c>
      <c r="F3944" t="inlineStr">
        <is>
          <t>NTLA/C/65,00/15-07-22</t>
        </is>
      </c>
      <c r="G3944" t="n">
        <v>400</v>
      </c>
      <c r="H3944" t="n">
        <v>-1008.5</v>
      </c>
      <c r="I3944">
        <f>-H4241/G4241</f>
        <v/>
      </c>
    </row>
    <row r="3945">
      <c r="A3945" t="n">
        <v>15195</v>
      </c>
      <c r="B3945" s="16" t="n">
        <v>44704</v>
      </c>
      <c r="C3945" t="inlineStr">
        <is>
          <t>CPR</t>
        </is>
      </c>
      <c r="D3945" t="n">
        <v>32</v>
      </c>
      <c r="E3945">
        <f>IF(D5793&gt;0,VLOOKUP(OPERAC[[#This Row],[COD CART]],[1]!MatrizCortoLargoCyl[#All],3,0),"")</f>
        <v/>
      </c>
      <c r="F3945" t="inlineStr">
        <is>
          <t>KWEB/CYL/35,00/24-06-22</t>
        </is>
      </c>
      <c r="G3945" t="n">
        <v>100</v>
      </c>
      <c r="H3945" t="n">
        <v>-2673.85</v>
      </c>
      <c r="I3945">
        <f>-H5793/G5793</f>
        <v/>
      </c>
    </row>
    <row r="3946">
      <c r="A3946" t="n">
        <v>15195</v>
      </c>
      <c r="B3946" s="16" t="n">
        <v>44704</v>
      </c>
      <c r="C3946" t="inlineStr">
        <is>
          <t>CPR</t>
        </is>
      </c>
      <c r="D3946" t="n">
        <v>43</v>
      </c>
      <c r="E3946">
        <f>IF(D6017&gt;0,VLOOKUP(OPERAC[[#This Row],[COD CART]],[1]!MatrizCortoLargoCyl[#All],3,0),"")</f>
        <v/>
      </c>
      <c r="F3946" t="inlineStr">
        <is>
          <t>PCT/CYP/7,50-6,00/20-01-23</t>
        </is>
      </c>
      <c r="G3946" t="n">
        <v>700</v>
      </c>
      <c r="H3946" t="n">
        <v>-3425.69</v>
      </c>
      <c r="I3946">
        <f>-H6017/G6017</f>
        <v/>
      </c>
    </row>
    <row r="3947">
      <c r="A3947" t="n">
        <v>15195</v>
      </c>
      <c r="B3947" s="16" t="n">
        <v>44704</v>
      </c>
      <c r="C3947" t="inlineStr">
        <is>
          <t>VTA</t>
        </is>
      </c>
      <c r="D3947" t="n">
        <v>32</v>
      </c>
      <c r="E3947">
        <f>IF(D2481&gt;0,VLOOKUP(OPERAC[[#This Row],[COD CART]],[1]!MatrizCortoLargoCyl[#All],3,0),"")</f>
        <v/>
      </c>
      <c r="F3947" t="inlineStr">
        <is>
          <t>TLRY/CYL/6,00/17-06-22</t>
        </is>
      </c>
      <c r="G3947" t="n">
        <v>100</v>
      </c>
      <c r="H3947" t="n">
        <v>-443.389</v>
      </c>
      <c r="I3947">
        <f>-H2481/G2481</f>
        <v/>
      </c>
    </row>
    <row r="3948">
      <c r="A3948" t="n">
        <v>15195</v>
      </c>
      <c r="B3948" s="16" t="n">
        <v>44707</v>
      </c>
      <c r="C3948" t="inlineStr">
        <is>
          <t>CPR</t>
        </is>
      </c>
      <c r="D3948" t="n">
        <v>42</v>
      </c>
      <c r="E3948">
        <f>IF(D4484&gt;0,VLOOKUP(OPERAC[[#This Row],[COD CART]],[1]!MatrizCortoLargoCyl[#All],3,0),"")</f>
        <v/>
      </c>
      <c r="F3948" t="inlineStr">
        <is>
          <t>ET</t>
        </is>
      </c>
      <c r="G3948" t="n">
        <v>100</v>
      </c>
      <c r="H3948" t="n">
        <v>-1172.38125</v>
      </c>
      <c r="I3948">
        <f>-H4484/G4484</f>
        <v/>
      </c>
      <c r="J3948" s="16" t="n">
        <v>44712</v>
      </c>
      <c r="K3948" t="n">
        <v>100</v>
      </c>
      <c r="L3948" t="n">
        <v>1156.52</v>
      </c>
    </row>
    <row r="3949">
      <c r="A3949" t="n">
        <v>15195</v>
      </c>
      <c r="B3949" s="16" t="n">
        <v>44708</v>
      </c>
      <c r="C3949" t="inlineStr">
        <is>
          <t>VTA</t>
        </is>
      </c>
      <c r="D3949" t="n">
        <v>42</v>
      </c>
      <c r="E3949">
        <f>IF(D2190&gt;0,VLOOKUP(OPERAC[[#This Row],[COD CART]],[1]!MatrizCortoLargoCyl[#All],3,0),"")</f>
        <v/>
      </c>
      <c r="F3949" t="inlineStr">
        <is>
          <t>ACB</t>
        </is>
      </c>
      <c r="G3949" t="n">
        <v>200</v>
      </c>
      <c r="H3949" t="n">
        <v>-365.064157761</v>
      </c>
      <c r="I3949">
        <f>-H2190/G2190</f>
        <v/>
      </c>
    </row>
    <row r="3950">
      <c r="A3950" t="n">
        <v>15195</v>
      </c>
      <c r="B3950" s="16" t="n">
        <v>44712</v>
      </c>
      <c r="C3950" t="inlineStr">
        <is>
          <t>CPR</t>
        </is>
      </c>
      <c r="D3950" t="n">
        <v>32</v>
      </c>
      <c r="E3950">
        <f>IF(D3333&gt;0,VLOOKUP(OPERAC[[#This Row],[COD CART]],[1]!MatrizCortoLargoCyl[#All],3,0),"")</f>
        <v/>
      </c>
      <c r="F3950" t="inlineStr">
        <is>
          <t>CRESY/CYL/7,50/17-06-22</t>
        </is>
      </c>
      <c r="G3950" t="n">
        <v>100</v>
      </c>
      <c r="H3950" t="n">
        <v>-693.075</v>
      </c>
      <c r="I3950">
        <f>-H3333/G3333</f>
        <v/>
      </c>
    </row>
    <row r="3951">
      <c r="A3951" t="n">
        <v>15195</v>
      </c>
      <c r="B3951" s="16" t="n">
        <v>44712</v>
      </c>
      <c r="C3951" t="inlineStr">
        <is>
          <t>VTA</t>
        </is>
      </c>
      <c r="D3951" t="n">
        <v>39</v>
      </c>
      <c r="E3951">
        <f>IF(D1571&gt;0,VLOOKUP(OPERAC[[#This Row],[COD CART]],[1]!MatrizCortoLargoCyl[#All],3,0),"")</f>
        <v/>
      </c>
      <c r="F3951" t="inlineStr">
        <is>
          <t>ET/C/10,00/21-10-22</t>
        </is>
      </c>
      <c r="G3951" t="n">
        <v>100</v>
      </c>
      <c r="H3951" t="n">
        <v>-202.808</v>
      </c>
      <c r="I3951">
        <f>-H1571/G1571</f>
        <v/>
      </c>
    </row>
    <row r="3952">
      <c r="A3952" t="n">
        <v>15195</v>
      </c>
      <c r="B3952" s="16" t="n">
        <v>44720</v>
      </c>
      <c r="C3952" t="inlineStr">
        <is>
          <t>VTA</t>
        </is>
      </c>
      <c r="D3952" t="n">
        <v>42</v>
      </c>
      <c r="E3952">
        <f>IF(D3042&gt;0,VLOOKUP(OPERAC[[#This Row],[COD CART]],[1]!MatrizCortoLargoCyl[#All],3,0),"")</f>
        <v/>
      </c>
      <c r="F3952" t="inlineStr">
        <is>
          <t>HYDR</t>
        </is>
      </c>
      <c r="G3952" t="n">
        <v>40</v>
      </c>
      <c r="H3952" t="n">
        <v>-605.1</v>
      </c>
      <c r="I3952">
        <f>-H3042/G3042</f>
        <v/>
      </c>
    </row>
    <row r="3953">
      <c r="A3953" t="n">
        <v>16776</v>
      </c>
      <c r="B3953" s="16" t="n">
        <v>44035</v>
      </c>
      <c r="C3953" t="inlineStr">
        <is>
          <t>CPR</t>
        </is>
      </c>
      <c r="D3953" t="n">
        <v>41</v>
      </c>
      <c r="E3953">
        <f>IF(D6084&gt;0,VLOOKUP(OPERAC[[#This Row],[COD CART]],[1]!MatrizCortoLargoCyl[#All],3,0),"")</f>
        <v/>
      </c>
      <c r="F3953" t="inlineStr">
        <is>
          <t>TEO</t>
        </is>
      </c>
      <c r="G3953" t="n">
        <v>400</v>
      </c>
      <c r="H3953" t="n">
        <v>-3953.744000000001</v>
      </c>
      <c r="I3953" t="n">
        <v>9.884360000000001</v>
      </c>
    </row>
    <row r="3954">
      <c r="A3954" t="n">
        <v>16776</v>
      </c>
      <c r="B3954" s="16" t="n">
        <v>44047</v>
      </c>
      <c r="C3954" t="inlineStr">
        <is>
          <t>CPR</t>
        </is>
      </c>
      <c r="D3954" t="n">
        <v>41</v>
      </c>
      <c r="E3954">
        <f>IF(D6024&gt;0,VLOOKUP(OPERAC[[#This Row],[COD CART]],[1]!MatrizCortoLargoCyl[#All],3,0),"")</f>
        <v/>
      </c>
      <c r="F3954" t="inlineStr">
        <is>
          <t>YPF</t>
        </is>
      </c>
      <c r="G3954" t="n">
        <v>500</v>
      </c>
      <c r="H3954" t="n">
        <v>-3462.786</v>
      </c>
      <c r="I3954" t="n">
        <v>6.925572</v>
      </c>
    </row>
    <row r="3955">
      <c r="A3955" t="n">
        <v>16776</v>
      </c>
      <c r="B3955" s="16" t="n">
        <v>44053</v>
      </c>
      <c r="C3955" t="inlineStr">
        <is>
          <t>CPR</t>
        </is>
      </c>
      <c r="D3955" t="n">
        <v>41</v>
      </c>
      <c r="E3955">
        <f>IF(D6240&gt;0,VLOOKUP(OPERAC[[#This Row],[COD CART]],[1]!MatrizCortoLargoCyl[#All],3,0),"")</f>
        <v/>
      </c>
      <c r="F3955" t="inlineStr">
        <is>
          <t>SUPV</t>
        </is>
      </c>
      <c r="G3955" t="n">
        <v>2200</v>
      </c>
      <c r="H3955" t="n">
        <v>-6416.52</v>
      </c>
      <c r="I3955" t="n">
        <v>2.9166</v>
      </c>
    </row>
    <row r="3956">
      <c r="A3956" t="n">
        <v>16776</v>
      </c>
      <c r="B3956" s="16" t="n">
        <v>44060</v>
      </c>
      <c r="C3956" t="inlineStr">
        <is>
          <t>VTA</t>
        </is>
      </c>
      <c r="D3956" t="n">
        <v>41</v>
      </c>
      <c r="E3956">
        <f>IF(D5616&gt;0,VLOOKUP(OPERAC[[#This Row],[COD CART]],[1]!MatrizCortoLargoCyl[#All],3,0),"")</f>
        <v/>
      </c>
      <c r="F3956" t="inlineStr">
        <is>
          <t>TEO</t>
        </is>
      </c>
      <c r="G3956" t="n">
        <v>300</v>
      </c>
      <c r="H3956" t="n">
        <v>-2284.596</v>
      </c>
      <c r="I3956" t="n">
        <v>7.61532</v>
      </c>
    </row>
    <row r="3957">
      <c r="A3957" t="n">
        <v>16776</v>
      </c>
      <c r="B3957" s="16" t="n">
        <v>44083</v>
      </c>
      <c r="C3957" t="inlineStr">
        <is>
          <t>CPR</t>
        </is>
      </c>
      <c r="D3957" t="n">
        <v>41</v>
      </c>
      <c r="E3957">
        <f>IF(D6030&gt;0,VLOOKUP(OPERAC[[#This Row],[COD CART]],[1]!MatrizCortoLargoCyl[#All],3,0),"")</f>
        <v/>
      </c>
      <c r="F3957" t="inlineStr">
        <is>
          <t>TEO</t>
        </is>
      </c>
      <c r="G3957" t="n">
        <v>500</v>
      </c>
      <c r="H3957" t="n">
        <v>-3505.3</v>
      </c>
      <c r="I3957">
        <f>-H6030/G6030</f>
        <v/>
      </c>
      <c r="J3957" s="16" t="n">
        <v>44134</v>
      </c>
      <c r="K3957" t="n">
        <v>300</v>
      </c>
      <c r="L3957" t="n">
        <v>1891.16</v>
      </c>
    </row>
    <row r="3958">
      <c r="A3958" t="n">
        <v>16776</v>
      </c>
      <c r="B3958" s="16" t="n">
        <v>44145</v>
      </c>
      <c r="C3958" t="inlineStr">
        <is>
          <t>CPR</t>
        </is>
      </c>
      <c r="D3958" t="n">
        <v>41</v>
      </c>
      <c r="E3958">
        <f>IF(D6199&gt;0,VLOOKUP(OPERAC[[#This Row],[COD CART]],[1]!MatrizCortoLargoCyl[#All],3,0),"")</f>
        <v/>
      </c>
      <c r="F3958" t="inlineStr">
        <is>
          <t>BABA</t>
        </is>
      </c>
      <c r="G3958" t="n">
        <v>20</v>
      </c>
      <c r="H3958" t="n">
        <v>-5383.72</v>
      </c>
      <c r="I3958">
        <f>-H6199/G6199</f>
        <v/>
      </c>
    </row>
    <row r="3959">
      <c r="A3959" t="n">
        <v>16776</v>
      </c>
      <c r="B3959" s="16" t="n">
        <v>44159</v>
      </c>
      <c r="C3959" t="inlineStr">
        <is>
          <t>CPR</t>
        </is>
      </c>
      <c r="D3959" t="n">
        <v>41</v>
      </c>
      <c r="E3959">
        <f>IF(D6125&gt;0,VLOOKUP(OPERAC[[#This Row],[COD CART]],[1]!MatrizCortoLargoCyl[#All],3,0),"")</f>
        <v/>
      </c>
      <c r="F3959" t="inlineStr">
        <is>
          <t>GOLD</t>
        </is>
      </c>
      <c r="G3959" t="n">
        <v>200</v>
      </c>
      <c r="H3959" t="n">
        <v>-4597.312</v>
      </c>
      <c r="I3959">
        <f>-H6125/G6125</f>
        <v/>
      </c>
    </row>
    <row r="3960">
      <c r="A3960" t="n">
        <v>16776</v>
      </c>
      <c r="B3960" s="16" t="n">
        <v>44194</v>
      </c>
      <c r="C3960" t="inlineStr">
        <is>
          <t>VTA</t>
        </is>
      </c>
      <c r="D3960" t="n">
        <v>41</v>
      </c>
      <c r="E3960">
        <f>IF(D5554&gt;0,VLOOKUP(OPERAC[[#This Row],[COD CART]],[1]!MatrizCortoLargoCyl[#All],3,0),"")</f>
        <v/>
      </c>
      <c r="F3960" t="inlineStr">
        <is>
          <t>TEO</t>
        </is>
      </c>
      <c r="G3960" t="n">
        <v>300</v>
      </c>
      <c r="H3960" t="n">
        <v>-2088.06</v>
      </c>
      <c r="I3960">
        <f>-H5554/G5554</f>
        <v/>
      </c>
      <c r="J3960" s="16" t="n">
        <v>44246</v>
      </c>
      <c r="K3960" t="n">
        <v>120</v>
      </c>
      <c r="L3960" t="n">
        <v>739.97</v>
      </c>
    </row>
    <row r="3961">
      <c r="A3961" t="n">
        <v>16776</v>
      </c>
      <c r="B3961" s="16" t="n">
        <v>44307</v>
      </c>
      <c r="C3961" t="inlineStr">
        <is>
          <t>CPR</t>
        </is>
      </c>
      <c r="D3961" t="n">
        <v>41</v>
      </c>
      <c r="E3961">
        <f>IF(D6055&gt;0,VLOOKUP(OPERAC[[#This Row],[COD CART]],[1]!MatrizCortoLargoCyl[#All],3,0),"")</f>
        <v/>
      </c>
      <c r="F3961" t="inlineStr">
        <is>
          <t>DIS</t>
        </is>
      </c>
      <c r="G3961" t="n">
        <v>20</v>
      </c>
      <c r="H3961" t="n">
        <v>-3678.936</v>
      </c>
      <c r="I3961">
        <f>-H6055/G6055</f>
        <v/>
      </c>
    </row>
    <row r="3962">
      <c r="A3962" t="n">
        <v>16776</v>
      </c>
      <c r="B3962" s="16" t="n">
        <v>44349</v>
      </c>
      <c r="C3962" t="inlineStr">
        <is>
          <t>VTA</t>
        </is>
      </c>
      <c r="D3962" t="n">
        <v>40</v>
      </c>
      <c r="E3962">
        <f>IF(D3818&gt;0,VLOOKUP(OPERAC[[#This Row],[COD CART]],[1]!MatrizCortoLargoCyl[#All],3,0),"")</f>
        <v/>
      </c>
      <c r="F3962" t="inlineStr">
        <is>
          <t>GMBL</t>
        </is>
      </c>
      <c r="G3962" t="n">
        <v>100</v>
      </c>
      <c r="H3962">
        <f>-9.52*OPERAC[[#This Row],[cantidad]]+14.558+39.972+39.622</f>
        <v/>
      </c>
      <c r="I3962">
        <f>-H3818/G3818</f>
        <v/>
      </c>
      <c r="J3962" s="16" t="n">
        <v>44630</v>
      </c>
      <c r="K3962" t="n">
        <v>100</v>
      </c>
      <c r="L3962" t="n">
        <v>71.011</v>
      </c>
    </row>
    <row r="3963">
      <c r="A3963" t="n">
        <v>16776</v>
      </c>
      <c r="B3963" s="16" t="n">
        <v>44349</v>
      </c>
      <c r="C3963" t="inlineStr">
        <is>
          <t>VTA</t>
        </is>
      </c>
      <c r="D3963" t="n">
        <v>41</v>
      </c>
      <c r="E3963">
        <f>IF(D5586&gt;0,VLOOKUP(OPERAC[[#This Row],[COD CART]],[1]!MatrizCortoLargoCyl[#All],3,0),"")</f>
        <v/>
      </c>
      <c r="F3963" t="inlineStr">
        <is>
          <t>LOMA</t>
        </is>
      </c>
      <c r="G3963" t="n">
        <v>300</v>
      </c>
      <c r="H3963" t="n">
        <v>-2112.252</v>
      </c>
      <c r="I3963">
        <f>-H5586/G5586</f>
        <v/>
      </c>
    </row>
    <row r="3964">
      <c r="A3964" t="n">
        <v>16776</v>
      </c>
      <c r="B3964" s="16" t="n">
        <v>44350</v>
      </c>
      <c r="C3964" t="inlineStr">
        <is>
          <t>CPR</t>
        </is>
      </c>
      <c r="D3964" t="n">
        <v>32</v>
      </c>
      <c r="E3964">
        <f>IF(D3680&gt;0,VLOOKUP(OPERAC[[#This Row],[COD CART]],[1]!MatrizCortoLargoCyl[#All],3,0),"")</f>
        <v/>
      </c>
      <c r="F3964" t="inlineStr">
        <is>
          <t>XXII</t>
        </is>
      </c>
      <c r="G3964" t="n">
        <v>300</v>
      </c>
      <c r="H3964">
        <f>-1103.959+18.871+79.825-93.555+66.338+159.56+4.63+44.64</f>
        <v/>
      </c>
      <c r="I3964">
        <f>-H3680/G3680</f>
        <v/>
      </c>
    </row>
    <row r="3965">
      <c r="A3965" t="n">
        <v>16776</v>
      </c>
      <c r="B3965" s="16" t="n">
        <v>44355</v>
      </c>
      <c r="C3965" t="inlineStr">
        <is>
          <t>VTA</t>
        </is>
      </c>
      <c r="D3965" t="n">
        <v>40</v>
      </c>
      <c r="E3965">
        <f>IF(D3209&gt;0,VLOOKUP(OPERAC[[#This Row],[COD CART]],[1]!MatrizCortoLargoCyl[#All],3,0),"")</f>
        <v/>
      </c>
      <c r="F3965" t="inlineStr">
        <is>
          <t>SOLO</t>
        </is>
      </c>
      <c r="G3965" t="n">
        <v>200</v>
      </c>
      <c r="H3965">
        <f>-3.59*OPERAC[[#This Row],[cantidad]]+18.43+43.098</f>
        <v/>
      </c>
      <c r="I3965">
        <f>-H3209/G3209</f>
        <v/>
      </c>
      <c r="J3965" s="16" t="n">
        <v>44630</v>
      </c>
      <c r="K3965" t="n">
        <v>200</v>
      </c>
      <c r="L3965" t="n">
        <v>390.413</v>
      </c>
    </row>
    <row r="3966">
      <c r="A3966" t="n">
        <v>16776</v>
      </c>
      <c r="B3966" s="16" t="n">
        <v>44361</v>
      </c>
      <c r="C3966" t="inlineStr">
        <is>
          <t>CPR</t>
        </is>
      </c>
      <c r="D3966" t="n">
        <v>40</v>
      </c>
      <c r="E3966">
        <f>IF(D3415&gt;0,VLOOKUP(OPERAC[[#This Row],[COD CART]],[1]!MatrizCortoLargoCyl[#All],3,0),"")</f>
        <v/>
      </c>
      <c r="F3966" t="inlineStr">
        <is>
          <t>EDU</t>
        </is>
      </c>
      <c r="G3966" t="n">
        <v>100</v>
      </c>
      <c r="H3966" t="n">
        <v>-727.665</v>
      </c>
      <c r="I3966">
        <f>-H3415/G3415</f>
        <v/>
      </c>
      <c r="J3966" s="16" t="n">
        <v>44630</v>
      </c>
      <c r="K3966" t="n">
        <v>100</v>
      </c>
      <c r="L3966" t="n">
        <v>117.306</v>
      </c>
    </row>
    <row r="3967">
      <c r="A3967" t="n">
        <v>16776</v>
      </c>
      <c r="B3967" s="16" t="n">
        <v>44369</v>
      </c>
      <c r="C3967" t="inlineStr">
        <is>
          <t>CPR</t>
        </is>
      </c>
      <c r="D3967" t="n">
        <v>40</v>
      </c>
      <c r="E3967">
        <f>IF(D3369&gt;0,VLOOKUP(OPERAC[[#This Row],[COD CART]],[1]!MatrizCortoLargoCyl[#All],3,0),"")</f>
        <v/>
      </c>
      <c r="F3967" t="inlineStr">
        <is>
          <t>ATOS</t>
        </is>
      </c>
      <c r="G3967" t="n">
        <v>200</v>
      </c>
      <c r="H3967">
        <f>-4.25*OPERAC[[#This Row],[cantidad]]+89.28+58.112</f>
        <v/>
      </c>
      <c r="I3967">
        <f>-H3369/G3369</f>
        <v/>
      </c>
      <c r="J3967" s="16" t="n">
        <v>44630</v>
      </c>
      <c r="K3967" t="n">
        <v>200</v>
      </c>
      <c r="L3967" t="n">
        <v>257.287</v>
      </c>
    </row>
    <row r="3968">
      <c r="A3968" t="n">
        <v>16776</v>
      </c>
      <c r="B3968" s="16" t="n">
        <v>44421</v>
      </c>
      <c r="C3968" t="inlineStr">
        <is>
          <t>CPR</t>
        </is>
      </c>
      <c r="D3968" t="n">
        <v>41</v>
      </c>
      <c r="E3968">
        <f>IF(D5980&gt;0,VLOOKUP(OPERAC[[#This Row],[COD CART]],[1]!MatrizCortoLargoCyl[#All],3,0),"")</f>
        <v/>
      </c>
      <c r="F3968" t="inlineStr">
        <is>
          <t>DESP</t>
        </is>
      </c>
      <c r="G3968" t="n">
        <v>250</v>
      </c>
      <c r="H3968" t="n">
        <v>-3217.25</v>
      </c>
      <c r="I3968">
        <f>-H5980/G5980</f>
        <v/>
      </c>
    </row>
    <row r="3969">
      <c r="A3969" t="n">
        <v>16776</v>
      </c>
      <c r="B3969" s="16" t="n">
        <v>44501</v>
      </c>
      <c r="C3969" t="inlineStr">
        <is>
          <t>VTA</t>
        </is>
      </c>
      <c r="D3969" t="n">
        <v>40</v>
      </c>
      <c r="E3969">
        <f>IF(D5530&gt;0,VLOOKUP(OPERAC[[#This Row],[COD CART]],[1]!MatrizCortoLargoCyl[#All],3,0),"")</f>
        <v/>
      </c>
      <c r="F3969" t="inlineStr">
        <is>
          <t>SKLZ</t>
        </is>
      </c>
      <c r="G3969" t="n">
        <v>200</v>
      </c>
      <c r="H3969" t="n">
        <v>-2029.614</v>
      </c>
      <c r="I3969">
        <f>-H5530/G5530</f>
        <v/>
      </c>
      <c r="J3969" s="16" t="n">
        <v>44630</v>
      </c>
      <c r="K3969" t="n">
        <v>200</v>
      </c>
      <c r="L3969" t="n">
        <v>499.93</v>
      </c>
    </row>
    <row r="3970">
      <c r="A3970" t="n">
        <v>16776</v>
      </c>
      <c r="B3970" s="16" t="n">
        <v>44502</v>
      </c>
      <c r="C3970" t="inlineStr">
        <is>
          <t>VTA</t>
        </is>
      </c>
      <c r="D3970" t="n">
        <v>41</v>
      </c>
      <c r="E3970">
        <f>IF(D5621&gt;0,VLOOKUP(OPERAC[[#This Row],[COD CART]],[1]!MatrizCortoLargoCyl[#All],3,0),"")</f>
        <v/>
      </c>
      <c r="F3970" t="inlineStr">
        <is>
          <t>DESP</t>
        </is>
      </c>
      <c r="G3970" t="n">
        <v>200</v>
      </c>
      <c r="H3970" t="n">
        <v>-2299.24</v>
      </c>
      <c r="I3970">
        <f>-H5621/G5621</f>
        <v/>
      </c>
    </row>
    <row r="3971">
      <c r="A3971" t="n">
        <v>16776</v>
      </c>
      <c r="B3971" s="16" t="n">
        <v>44505</v>
      </c>
      <c r="C3971" t="inlineStr">
        <is>
          <t>CPR</t>
        </is>
      </c>
      <c r="D3971" t="n">
        <v>32</v>
      </c>
      <c r="E3971">
        <f>IF(D5789&gt;0,VLOOKUP(OPERAC[[#This Row],[COD CART]],[1]!MatrizCortoLargoCyl[#All],3,0),"")</f>
        <v/>
      </c>
      <c r="F3971" t="inlineStr">
        <is>
          <t>DDD</t>
        </is>
      </c>
      <c r="G3971" t="n">
        <v>100</v>
      </c>
      <c r="H3971">
        <f>-2682.032+12.196</f>
        <v/>
      </c>
      <c r="I3971">
        <f>-H5789/G5789</f>
        <v/>
      </c>
    </row>
    <row r="3972">
      <c r="A3972" t="n">
        <v>16776</v>
      </c>
      <c r="B3972" s="16" t="n">
        <v>44523</v>
      </c>
      <c r="C3972" t="inlineStr">
        <is>
          <t>VTA</t>
        </is>
      </c>
      <c r="D3972" t="n">
        <v>32</v>
      </c>
      <c r="E3972">
        <f>IF(D5256&gt;0,VLOOKUP(OPERAC[[#This Row],[COD CART]],[1]!MatrizCortoLargoCyl[#All],3,0),"")</f>
        <v/>
      </c>
      <c r="F3972" t="inlineStr">
        <is>
          <t>TEVA/CYL/9,00/21-01-22</t>
        </is>
      </c>
      <c r="G3972" t="n">
        <v>200</v>
      </c>
      <c r="H3972">
        <f>-1723.2664+37.748</f>
        <v/>
      </c>
      <c r="I3972">
        <f>-H5256/G5256</f>
        <v/>
      </c>
      <c r="J3972" s="16" t="n">
        <v>44575</v>
      </c>
      <c r="K3972" t="n">
        <v>200</v>
      </c>
      <c r="L3972" t="n">
        <v>1757.83</v>
      </c>
    </row>
    <row r="3973">
      <c r="A3973" t="n">
        <v>16776</v>
      </c>
      <c r="B3973" s="16" t="n">
        <v>44532</v>
      </c>
      <c r="C3973" t="inlineStr">
        <is>
          <t>VTA</t>
        </is>
      </c>
      <c r="D3973" t="n">
        <v>32</v>
      </c>
      <c r="E3973">
        <f>IF(D3936&gt;0,VLOOKUP(OPERAC[[#This Row],[COD CART]],[1]!MatrizCortoLargoCyl[#All],3,0),"")</f>
        <v/>
      </c>
      <c r="F3973" t="inlineStr">
        <is>
          <t>COTY/CYL/10,00/18-02-22</t>
        </is>
      </c>
      <c r="G3973" t="n">
        <v>100</v>
      </c>
      <c r="H3973">
        <f>-901.599+20.838</f>
        <v/>
      </c>
      <c r="I3973">
        <f>-H3936/G3936</f>
        <v/>
      </c>
      <c r="J3973" s="16" t="n">
        <v>44608</v>
      </c>
      <c r="K3973">
        <f>+OPERAC[[#This Row],[cantidad]]</f>
        <v/>
      </c>
      <c r="L3973" t="n">
        <v>941.701</v>
      </c>
    </row>
    <row r="3974">
      <c r="A3974" t="n">
        <v>16776</v>
      </c>
      <c r="B3974" s="16" t="n">
        <v>44536</v>
      </c>
      <c r="C3974" t="inlineStr">
        <is>
          <t>CPR</t>
        </is>
      </c>
      <c r="D3974" t="n">
        <v>41</v>
      </c>
      <c r="E3974">
        <f>IF(D5935&gt;0,VLOOKUP(OPERAC[[#This Row],[COD CART]],[1]!MatrizCortoLargoCyl[#All],3,0),"")</f>
        <v/>
      </c>
      <c r="F3974" t="inlineStr">
        <is>
          <t>GLOB</t>
        </is>
      </c>
      <c r="G3974" t="n">
        <v>12</v>
      </c>
      <c r="H3974" t="n">
        <v>-3099.255</v>
      </c>
      <c r="I3974">
        <f>-H5935/G5935</f>
        <v/>
      </c>
    </row>
    <row r="3975">
      <c r="A3975" t="n">
        <v>16776</v>
      </c>
      <c r="B3975" s="16" t="n">
        <v>44543</v>
      </c>
      <c r="C3975" t="inlineStr">
        <is>
          <t>VTA</t>
        </is>
      </c>
      <c r="D3975" t="n">
        <v>39</v>
      </c>
      <c r="E3975">
        <f>IF(D724&gt;0,VLOOKUP(OPERAC[[#This Row],[COD CART]],[1]!MatrizCortoLargoCyl[#All],3,0),"")</f>
        <v/>
      </c>
      <c r="F3975" t="inlineStr">
        <is>
          <t>NKE/V/145,00/07-01-22</t>
        </is>
      </c>
      <c r="G3975" t="n">
        <v>-400</v>
      </c>
      <c r="H3975" t="n">
        <v>395.304</v>
      </c>
      <c r="I3975">
        <f>-H724/G724</f>
        <v/>
      </c>
      <c r="J3975" s="16" t="n">
        <v>44566</v>
      </c>
      <c r="K3975" t="n">
        <v>-400</v>
      </c>
      <c r="L3975" t="n">
        <v>-8.064</v>
      </c>
    </row>
    <row r="3976">
      <c r="A3976" t="n">
        <v>16776</v>
      </c>
      <c r="B3976" s="16" t="n">
        <v>44547</v>
      </c>
      <c r="C3976" t="inlineStr">
        <is>
          <t>VTA</t>
        </is>
      </c>
      <c r="D3976" t="n">
        <v>39</v>
      </c>
      <c r="E3976">
        <f>IF(D540&gt;0,VLOOKUP(OPERAC[[#This Row],[COD CART]],[1]!MatrizCortoLargoCyl[#All],3,0),"")</f>
        <v/>
      </c>
      <c r="F3976" t="inlineStr">
        <is>
          <t>TLRY/V/8,00/18-02-22</t>
        </is>
      </c>
      <c r="G3976" t="n">
        <v>-600</v>
      </c>
      <c r="H3976" t="n">
        <v>830.2746</v>
      </c>
      <c r="I3976">
        <f>-H540/G540</f>
        <v/>
      </c>
      <c r="J3976" s="16" t="n">
        <v>44601</v>
      </c>
      <c r="K3976" t="n">
        <v>-600</v>
      </c>
      <c r="L3976">
        <f>1.38*OPERAC[[#This Row],[cantidad venta]]</f>
        <v/>
      </c>
    </row>
    <row r="3977">
      <c r="A3977" t="n">
        <v>16776</v>
      </c>
      <c r="B3977" s="16" t="n">
        <v>44547</v>
      </c>
      <c r="C3977" t="inlineStr">
        <is>
          <t>VTA</t>
        </is>
      </c>
      <c r="D3977" t="n">
        <v>39</v>
      </c>
      <c r="E3977">
        <f>IF(D639&gt;0,VLOOKUP(OPERAC[[#This Row],[COD CART]],[1]!MatrizCortoLargoCyl[#All],3,0),"")</f>
        <v/>
      </c>
      <c r="F3977" t="inlineStr">
        <is>
          <t>INO/V/7,00/21-01-22</t>
        </is>
      </c>
      <c r="G3977" t="n">
        <v>-600</v>
      </c>
      <c r="H3977" t="n">
        <v>546.2639999999999</v>
      </c>
      <c r="I3977">
        <f>-H639/G639</f>
        <v/>
      </c>
      <c r="J3977" s="16" t="n">
        <v>44580</v>
      </c>
      <c r="K3977">
        <f>+OPERAC[[#This Row],[cantidad]]</f>
        <v/>
      </c>
      <c r="L3977">
        <f>-OPERAC[[#This Row],[importe]]</f>
        <v/>
      </c>
    </row>
    <row r="3978">
      <c r="A3978" t="n">
        <v>16776</v>
      </c>
      <c r="B3978" s="16" t="n">
        <v>44579</v>
      </c>
      <c r="C3978" t="inlineStr">
        <is>
          <t>CPR</t>
        </is>
      </c>
      <c r="D3978" t="n">
        <v>40</v>
      </c>
      <c r="E3978">
        <f>IF(D5904&gt;0,VLOOKUP(OPERAC[[#This Row],[COD CART]],[1]!MatrizCortoLargoCyl[#All],3,0),"")</f>
        <v/>
      </c>
      <c r="F3978" t="inlineStr">
        <is>
          <t>VLY</t>
        </is>
      </c>
      <c r="G3978" t="n">
        <v>200</v>
      </c>
      <c r="H3978" t="n">
        <v>-3008.87</v>
      </c>
      <c r="I3978">
        <f>-H5904/G5904</f>
        <v/>
      </c>
      <c r="J3978" s="16" t="n">
        <v>44606</v>
      </c>
      <c r="K3978">
        <f>+OPERAC[[#This Row],[cantidad]]</f>
        <v/>
      </c>
      <c r="L3978">
        <f>+OPERAC[[#This Row],[cantidad venta]]*14.121</f>
        <v/>
      </c>
    </row>
    <row r="3979">
      <c r="A3979" t="n">
        <v>16776</v>
      </c>
      <c r="B3979" s="16" t="n">
        <v>44580</v>
      </c>
      <c r="C3979" t="inlineStr">
        <is>
          <t>VTA</t>
        </is>
      </c>
      <c r="D3979" t="n">
        <v>39</v>
      </c>
      <c r="E3979">
        <f>IF(D274&gt;0,VLOOKUP(OPERAC[[#This Row],[COD CART]],[1]!MatrizCortoLargoCyl[#All],3,0),"")</f>
        <v/>
      </c>
      <c r="F3979" t="inlineStr">
        <is>
          <t>INO/V/7,00/18-02-22</t>
        </is>
      </c>
      <c r="G3979" t="n">
        <v>-600</v>
      </c>
      <c r="H3979" t="n">
        <v>1662.39</v>
      </c>
      <c r="I3979">
        <f>-H274/G274</f>
        <v/>
      </c>
      <c r="J3979" s="16" t="n">
        <v>44600</v>
      </c>
      <c r="K3979" t="n">
        <v>-600</v>
      </c>
      <c r="L3979" t="n">
        <v>-1662</v>
      </c>
    </row>
    <row r="3980">
      <c r="A3980" t="n">
        <v>16776</v>
      </c>
      <c r="B3980" s="16" t="n">
        <v>44581</v>
      </c>
      <c r="C3980" t="inlineStr">
        <is>
          <t>CPR</t>
        </is>
      </c>
      <c r="D3980" t="n">
        <v>32</v>
      </c>
      <c r="E3980">
        <f>IF(D3583&gt;0,VLOOKUP(OPERAC[[#This Row],[COD CART]],[1]!MatrizCortoLargoCyl[#All],3,0),"")</f>
        <v/>
      </c>
      <c r="F3980" t="inlineStr">
        <is>
          <t>HMY/CYL/4,00/18-02-22</t>
        </is>
      </c>
      <c r="G3980" t="n">
        <v>200</v>
      </c>
      <c r="H3980" t="n">
        <v>-774.9359920000001</v>
      </c>
      <c r="I3980">
        <f>-H3583/G3583</f>
        <v/>
      </c>
      <c r="J3980" s="16" t="n">
        <v>44610</v>
      </c>
      <c r="K3980">
        <f>+OPERAC[[#This Row],[cantidad]]</f>
        <v/>
      </c>
      <c r="L3980">
        <f>+OPERAC[[#This Row],[cantidad venta]]*3.8323</f>
        <v/>
      </c>
    </row>
    <row r="3981">
      <c r="A3981" t="n">
        <v>16776</v>
      </c>
      <c r="B3981" s="16" t="n">
        <v>44581</v>
      </c>
      <c r="C3981" t="inlineStr">
        <is>
          <t>CPR</t>
        </is>
      </c>
      <c r="D3981" t="n">
        <v>32</v>
      </c>
      <c r="E3981">
        <f>IF(D6189&gt;0,VLOOKUP(OPERAC[[#This Row],[COD CART]],[1]!MatrizCortoLargoCyl[#All],3,0),"")</f>
        <v/>
      </c>
      <c r="F3981" t="inlineStr">
        <is>
          <t>PFE/CYL/54,50/18-03-22</t>
        </is>
      </c>
      <c r="G3981" t="n">
        <v>100</v>
      </c>
      <c r="H3981">
        <f>-5311.596+27.44+37.416</f>
        <v/>
      </c>
      <c r="I3981">
        <f>-H6189/G6189</f>
        <v/>
      </c>
      <c r="J3981" s="16" t="n">
        <v>44638</v>
      </c>
      <c r="K3981" t="n">
        <v>100</v>
      </c>
      <c r="L3981" t="n">
        <v>5367.07</v>
      </c>
    </row>
    <row r="3982">
      <c r="A3982" t="n">
        <v>16776</v>
      </c>
      <c r="B3982" s="16" t="n">
        <v>44601</v>
      </c>
      <c r="C3982" t="inlineStr">
        <is>
          <t>CPR</t>
        </is>
      </c>
      <c r="D3982" t="n">
        <v>41</v>
      </c>
      <c r="E3982">
        <f>IF(D5732&gt;0,VLOOKUP(OPERAC[[#This Row],[COD CART]],[1]!MatrizCortoLargoCyl[#All],3,0),"")</f>
        <v/>
      </c>
      <c r="F3982" t="inlineStr">
        <is>
          <t>AMD</t>
        </is>
      </c>
      <c r="G3982" t="n">
        <v>20</v>
      </c>
      <c r="H3982" t="n">
        <v>-2601.25</v>
      </c>
      <c r="I3982">
        <f>-H5732/G5732</f>
        <v/>
      </c>
    </row>
    <row r="3983">
      <c r="A3983" t="n">
        <v>16776</v>
      </c>
      <c r="B3983" s="16" t="n">
        <v>44601</v>
      </c>
      <c r="C3983" t="inlineStr">
        <is>
          <t>VTA</t>
        </is>
      </c>
      <c r="D3983" t="n">
        <v>39</v>
      </c>
      <c r="E3983">
        <f>IF(D521&gt;0,VLOOKUP(OPERAC[[#This Row],[COD CART]],[1]!MatrizCortoLargoCyl[#All],3,0),"")</f>
        <v/>
      </c>
      <c r="F3983" t="inlineStr">
        <is>
          <t>TSLA/V/805/18-02-22</t>
        </is>
      </c>
      <c r="G3983" t="n">
        <v>-300</v>
      </c>
      <c r="H3983" t="n">
        <v>860</v>
      </c>
      <c r="I3983">
        <f>-H521/G521</f>
        <v/>
      </c>
      <c r="J3983" s="16" t="n">
        <v>44607</v>
      </c>
      <c r="K3983" t="n">
        <v>-300</v>
      </c>
      <c r="L3983" t="n">
        <v>-319.498</v>
      </c>
    </row>
    <row r="3984">
      <c r="A3984" t="n">
        <v>16776</v>
      </c>
      <c r="B3984" s="16" t="n">
        <v>44607</v>
      </c>
      <c r="C3984" t="inlineStr">
        <is>
          <t>VTA</t>
        </is>
      </c>
      <c r="D3984" t="n">
        <v>39</v>
      </c>
      <c r="E3984">
        <f>IF(D879&gt;0,VLOOKUP(OPERAC[[#This Row],[COD CART]],[1]!MatrizCortoLargoCyl[#All],3,0),"")</f>
        <v/>
      </c>
      <c r="F3984" t="inlineStr">
        <is>
          <t>TSLA/V/830,00/18-02-22</t>
        </is>
      </c>
      <c r="G3984" t="n">
        <v>-100</v>
      </c>
      <c r="H3984" t="n">
        <v>192.74775</v>
      </c>
      <c r="I3984">
        <f>-H879/G879</f>
        <v/>
      </c>
      <c r="J3984" s="16" t="n">
        <v>44609</v>
      </c>
      <c r="K3984" t="n">
        <v>-100</v>
      </c>
      <c r="L3984" t="n">
        <v>-192.209</v>
      </c>
    </row>
    <row r="3985">
      <c r="A3985" t="n">
        <v>16776</v>
      </c>
      <c r="B3985" s="16" t="n">
        <v>44608</v>
      </c>
      <c r="C3985" t="inlineStr">
        <is>
          <t>VTA</t>
        </is>
      </c>
      <c r="D3985" t="n">
        <v>32</v>
      </c>
      <c r="E3985">
        <f>IF(D5113&gt;0,VLOOKUP(OPERAC[[#This Row],[COD CART]],[1]!MatrizCortoLargoCyl[#All],3,0),"")</f>
        <v/>
      </c>
      <c r="F3985" t="inlineStr">
        <is>
          <t>DDD/CYL/17,00/01-04-22</t>
        </is>
      </c>
      <c r="G3985" t="n">
        <v>100</v>
      </c>
      <c r="H3985">
        <f>-1629.4234+19.7+16.45</f>
        <v/>
      </c>
      <c r="I3985">
        <f>-H5113/G5113</f>
        <v/>
      </c>
      <c r="J3985" s="16" t="n">
        <v>44649</v>
      </c>
      <c r="K3985" t="n">
        <v>100</v>
      </c>
      <c r="L3985" t="n">
        <v>1661.98</v>
      </c>
    </row>
    <row r="3986">
      <c r="A3986" t="n">
        <v>16776</v>
      </c>
      <c r="B3986" s="16" t="n">
        <v>44630</v>
      </c>
      <c r="C3986" t="inlineStr">
        <is>
          <t>CPR</t>
        </is>
      </c>
      <c r="D3986" t="n">
        <v>32</v>
      </c>
      <c r="E3986">
        <f>IF(D3601&gt;0,VLOOKUP(OPERAC[[#This Row],[COD CART]],[1]!MatrizCortoLargoCyl[#All],3,0),"")</f>
        <v/>
      </c>
      <c r="F3986" t="inlineStr">
        <is>
          <t>COTY/CYL/9,00/14-04-22</t>
        </is>
      </c>
      <c r="G3986" t="n">
        <v>100</v>
      </c>
      <c r="H3986" t="n">
        <v>-780.694</v>
      </c>
      <c r="I3986">
        <f>-H3601/G3601</f>
        <v/>
      </c>
      <c r="J3986" s="16" t="n">
        <v>44649</v>
      </c>
      <c r="K3986" t="n">
        <v>100</v>
      </c>
      <c r="L3986" t="n">
        <v>875.28</v>
      </c>
    </row>
    <row r="3987">
      <c r="A3987" t="n">
        <v>16776</v>
      </c>
      <c r="B3987" s="16" t="n">
        <v>44630</v>
      </c>
      <c r="C3987" t="inlineStr">
        <is>
          <t>CPR</t>
        </is>
      </c>
      <c r="D3987" t="n">
        <v>32</v>
      </c>
      <c r="E3987">
        <f>IF(D4786&gt;0,VLOOKUP(OPERAC[[#This Row],[COD CART]],[1]!MatrizCortoLargoCyl[#All],3,0),"")</f>
        <v/>
      </c>
      <c r="F3987" t="inlineStr">
        <is>
          <t>AAL/CYL/17,00/14-04-22</t>
        </is>
      </c>
      <c r="G3987" t="n">
        <v>100</v>
      </c>
      <c r="H3987" t="n">
        <v>-1391.463</v>
      </c>
      <c r="I3987">
        <f>-H4786/G4786</f>
        <v/>
      </c>
      <c r="J3987" s="16" t="n">
        <v>44651</v>
      </c>
      <c r="K3987" t="n">
        <v>100</v>
      </c>
      <c r="L3987" t="n">
        <v>1662.715</v>
      </c>
    </row>
    <row r="3988">
      <c r="A3988" t="n">
        <v>16776</v>
      </c>
      <c r="B3988" s="16" t="n">
        <v>44630</v>
      </c>
      <c r="C3988" t="inlineStr">
        <is>
          <t>VTA</t>
        </is>
      </c>
      <c r="D3988" t="n">
        <v>32</v>
      </c>
      <c r="E3988">
        <f>IF(D5138&gt;0,VLOOKUP(OPERAC[[#This Row],[COD CART]],[1]!MatrizCortoLargoCyl[#All],3,0),"")</f>
        <v/>
      </c>
      <c r="F3988" t="inlineStr">
        <is>
          <t>F</t>
        </is>
      </c>
      <c r="G3988" t="n">
        <v>100</v>
      </c>
      <c r="H3988" t="n">
        <v>-1603</v>
      </c>
      <c r="I3988">
        <f>-H5138/G5138</f>
        <v/>
      </c>
    </row>
    <row r="3989">
      <c r="A3989" t="n">
        <v>16776</v>
      </c>
      <c r="B3989" s="16" t="n">
        <v>44643</v>
      </c>
      <c r="C3989" t="inlineStr">
        <is>
          <t>VTA</t>
        </is>
      </c>
      <c r="D3989" t="n">
        <v>32</v>
      </c>
      <c r="E3989">
        <f>IF(D3814&gt;0,VLOOKUP(OPERAC[[#This Row],[COD CART]],[1]!MatrizCortoLargoCyl[#All],3,0),"")</f>
        <v/>
      </c>
      <c r="F3989" t="inlineStr">
        <is>
          <t>COTY/CYL/9,00/14-04-22</t>
        </is>
      </c>
      <c r="G3989" t="n">
        <v>100</v>
      </c>
      <c r="H3989" t="n">
        <v>-855.451</v>
      </c>
      <c r="I3989">
        <f>-H3814/G3814</f>
        <v/>
      </c>
      <c r="J3989" s="16" t="n">
        <v>44649</v>
      </c>
      <c r="K3989" t="n">
        <v>100</v>
      </c>
      <c r="L3989" t="n">
        <v>875.28</v>
      </c>
    </row>
    <row r="3990">
      <c r="A3990" t="n">
        <v>16776</v>
      </c>
      <c r="B3990" s="16" t="n">
        <v>44649</v>
      </c>
      <c r="C3990" t="inlineStr">
        <is>
          <t>CPR</t>
        </is>
      </c>
      <c r="D3990" t="n">
        <v>32</v>
      </c>
      <c r="E3990">
        <f>IF(D4842&gt;0,VLOOKUP(OPERAC[[#This Row],[COD CART]],[1]!MatrizCortoLargoCyl[#All],3,0),"")</f>
        <v/>
      </c>
      <c r="F3990" t="inlineStr">
        <is>
          <t>DDD</t>
        </is>
      </c>
      <c r="G3990" t="n">
        <v>100</v>
      </c>
      <c r="H3990" t="n">
        <v>-1439.859</v>
      </c>
      <c r="I3990">
        <f>-H4842/G4842</f>
        <v/>
      </c>
    </row>
    <row r="3991">
      <c r="A3991" t="n">
        <v>16776</v>
      </c>
      <c r="B3991" s="16" t="n">
        <v>44649</v>
      </c>
      <c r="C3991" t="inlineStr">
        <is>
          <t>VTA</t>
        </is>
      </c>
      <c r="D3991" t="n">
        <v>32</v>
      </c>
      <c r="E3991">
        <f>IF(D3224&gt;0,VLOOKUP(OPERAC[[#This Row],[COD CART]],[1]!MatrizCortoLargoCyl[#All],3,0),"")</f>
        <v/>
      </c>
      <c r="F3991" t="inlineStr">
        <is>
          <t>TLRY</t>
        </is>
      </c>
      <c r="G3991" t="n">
        <v>100</v>
      </c>
      <c r="H3991">
        <f>-672.216+9.915</f>
        <v/>
      </c>
      <c r="I3991">
        <f>-H3224/G3224</f>
        <v/>
      </c>
    </row>
    <row r="3992">
      <c r="A3992" t="n">
        <v>16776</v>
      </c>
      <c r="B3992" s="16" t="n">
        <v>44649</v>
      </c>
      <c r="C3992" t="inlineStr">
        <is>
          <t>VTA</t>
        </is>
      </c>
      <c r="D3992" t="n">
        <v>32</v>
      </c>
      <c r="E3992">
        <f>IF(D5235&gt;0,VLOOKUP(OPERAC[[#This Row],[COD CART]],[1]!MatrizCortoLargoCyl[#All],3,0),"")</f>
        <v/>
      </c>
      <c r="F3992" t="inlineStr">
        <is>
          <t>EDIT</t>
        </is>
      </c>
      <c r="G3992" t="n">
        <v>100</v>
      </c>
      <c r="H3992" t="n">
        <v>-1661.88</v>
      </c>
      <c r="I3992">
        <f>-H5235/G5235</f>
        <v/>
      </c>
    </row>
    <row r="3993">
      <c r="A3993" t="n">
        <v>16776</v>
      </c>
      <c r="B3993" s="16" t="n">
        <v>44651</v>
      </c>
      <c r="C3993" t="inlineStr">
        <is>
          <t>VTA</t>
        </is>
      </c>
      <c r="D3993" t="n">
        <v>32</v>
      </c>
      <c r="E3993">
        <f>IF(D5239&gt;0,VLOOKUP(OPERAC[[#This Row],[COD CART]],[1]!MatrizCortoLargoCyl[#All],3,0),"")</f>
        <v/>
      </c>
      <c r="F3993" t="inlineStr">
        <is>
          <t>F</t>
        </is>
      </c>
      <c r="G3993" t="n">
        <v>100</v>
      </c>
      <c r="H3993" t="n">
        <v>-1665.896</v>
      </c>
      <c r="I3993">
        <f>-H5239/G5239</f>
        <v/>
      </c>
    </row>
    <row r="3994">
      <c r="A3994" t="n">
        <v>16776</v>
      </c>
      <c r="B3994" s="16" t="n">
        <v>44659</v>
      </c>
      <c r="C3994" t="inlineStr">
        <is>
          <t>CPR</t>
        </is>
      </c>
      <c r="D3994" t="n">
        <v>41</v>
      </c>
      <c r="E3994">
        <f>IF(D6176&gt;0,VLOOKUP(OPERAC[[#This Row],[COD CART]],[1]!MatrizCortoLargoCyl[#All],3,0),"")</f>
        <v/>
      </c>
      <c r="F3994" t="inlineStr">
        <is>
          <t>AMD</t>
        </is>
      </c>
      <c r="G3994" t="n">
        <v>50</v>
      </c>
      <c r="H3994" t="n">
        <v>-5095.432</v>
      </c>
      <c r="I3994">
        <f>-H6176/G6176</f>
        <v/>
      </c>
    </row>
    <row r="3995">
      <c r="A3995" t="n">
        <v>16776</v>
      </c>
      <c r="B3995" s="16" t="n">
        <v>44662</v>
      </c>
      <c r="C3995" t="inlineStr">
        <is>
          <t>CPR</t>
        </is>
      </c>
      <c r="D3995" t="n">
        <v>42</v>
      </c>
      <c r="E3995">
        <f>IF(D5822&gt;0,VLOOKUP(OPERAC[[#This Row],[COD CART]],[1]!MatrizCortoLargoCyl[#All],3,0),"")</f>
        <v/>
      </c>
      <c r="F3995" t="inlineStr">
        <is>
          <t>HYDR</t>
        </is>
      </c>
      <c r="G3995" t="n">
        <v>150</v>
      </c>
      <c r="H3995" t="n">
        <v>-2785.5516</v>
      </c>
      <c r="I3995">
        <f>-H5822/G5822</f>
        <v/>
      </c>
    </row>
    <row r="3996">
      <c r="A3996" t="n">
        <v>16776</v>
      </c>
      <c r="B3996" s="16" t="n">
        <v>44669</v>
      </c>
      <c r="C3996" t="inlineStr">
        <is>
          <t>VTA</t>
        </is>
      </c>
      <c r="D3996" t="n">
        <v>32</v>
      </c>
      <c r="E3996">
        <f>IF(D2533&gt;0,VLOOKUP(OPERAC[[#This Row],[COD CART]],[1]!MatrizCortoLargoCyl[#All],3,0),"")</f>
        <v/>
      </c>
      <c r="F3996" t="inlineStr">
        <is>
          <t>HMY</t>
        </is>
      </c>
      <c r="G3996" t="n">
        <v>100</v>
      </c>
      <c r="H3996">
        <f>-4.64*OPERAC[[#This Row],[cantidad]]</f>
        <v/>
      </c>
      <c r="I3996">
        <f>-H2533/G2533</f>
        <v/>
      </c>
    </row>
    <row r="3997">
      <c r="A3997" t="n">
        <v>16780</v>
      </c>
      <c r="B3997" s="16" t="n">
        <v>43831</v>
      </c>
      <c r="C3997" t="inlineStr">
        <is>
          <t>VTA</t>
        </is>
      </c>
      <c r="D3997" t="n">
        <v>31</v>
      </c>
      <c r="E3997">
        <f>IF(D1629&gt;0,VLOOKUP(OPERAC[[#This Row],[COD CART]],[1]!MatrizCortoLargoCyl[#All],3,0),"")</f>
        <v/>
      </c>
      <c r="F3997" t="inlineStr">
        <is>
          <t>IPIX</t>
        </is>
      </c>
      <c r="G3997" t="n">
        <v>800</v>
      </c>
      <c r="H3997" t="n">
        <v>-217.696</v>
      </c>
      <c r="I3997" t="n">
        <v>0.27212</v>
      </c>
    </row>
    <row r="3998">
      <c r="A3998" t="n">
        <v>16780</v>
      </c>
      <c r="B3998" s="16" t="n">
        <v>44340</v>
      </c>
      <c r="C3998" t="inlineStr">
        <is>
          <t>VTA</t>
        </is>
      </c>
      <c r="D3998" t="n">
        <v>39</v>
      </c>
      <c r="E3998">
        <f>IF(D509&gt;0,VLOOKUP(OPERAC[[#This Row],[COD CART]],[1]!MatrizCortoLargoCyl[#All],3,0),"")</f>
        <v/>
      </c>
      <c r="F3998" t="inlineStr">
        <is>
          <t>SOLO/V/3,50/21-01-22</t>
        </is>
      </c>
      <c r="G3998" t="n">
        <v>-800</v>
      </c>
      <c r="H3998" t="n">
        <v>876.6839999999999</v>
      </c>
      <c r="I3998">
        <f>-H509/G509</f>
        <v/>
      </c>
      <c r="J3998" s="16" t="n">
        <v>44579</v>
      </c>
      <c r="K3998">
        <f>+OPERAC[[#This Row],[cantidad]]</f>
        <v/>
      </c>
      <c r="L3998">
        <f>-OPERAC[[#This Row],[importe]]</f>
        <v/>
      </c>
    </row>
    <row r="3999">
      <c r="A3999" t="n">
        <v>16780</v>
      </c>
      <c r="B3999" s="16" t="n">
        <v>44341</v>
      </c>
      <c r="C3999" t="inlineStr">
        <is>
          <t>VTA</t>
        </is>
      </c>
      <c r="D3999" t="n">
        <v>39</v>
      </c>
      <c r="E3999">
        <f>IF(D1213&gt;0,VLOOKUP(OPERAC[[#This Row],[COD CART]],[1]!MatrizCortoLargoCyl[#All],3,0),"")</f>
        <v/>
      </c>
      <c r="F3999" t="inlineStr">
        <is>
          <t>ACB/V/5,00/20-01-23</t>
        </is>
      </c>
      <c r="G3999" t="n">
        <v>-5</v>
      </c>
      <c r="H3999" t="n">
        <v>7.5</v>
      </c>
      <c r="I3999">
        <f>-H1213/G1213</f>
        <v/>
      </c>
    </row>
    <row r="4000">
      <c r="A4000" t="n">
        <v>16780</v>
      </c>
      <c r="B4000" s="16" t="n">
        <v>44461</v>
      </c>
      <c r="C4000" t="inlineStr">
        <is>
          <t>CPR</t>
        </is>
      </c>
      <c r="D4000" t="n">
        <v>40</v>
      </c>
      <c r="E4000">
        <f>IF(D4295&gt;0,VLOOKUP(OPERAC[[#This Row],[COD CART]],[1]!MatrizCortoLargoCyl[#All],3,0),"")</f>
        <v/>
      </c>
      <c r="F4000" t="inlineStr">
        <is>
          <t>EDU</t>
        </is>
      </c>
      <c r="G4000" t="n">
        <v>1000</v>
      </c>
      <c r="H4000">
        <f>-1.0864*OPERAC[[#This Row],[cantidad]]+0.04*OPERAC[[#This Row],[cantidad]]</f>
        <v/>
      </c>
      <c r="I4000">
        <f>-H4295/G4295</f>
        <v/>
      </c>
      <c r="J4000" s="16" t="n">
        <v>44622</v>
      </c>
      <c r="K4000" t="n">
        <v>1000</v>
      </c>
      <c r="L4000">
        <f>+OPERAC[[#This Row],[cantidad venta]]*1.377</f>
        <v/>
      </c>
    </row>
    <row r="4001">
      <c r="A4001" t="n">
        <v>16780</v>
      </c>
      <c r="B4001" s="16" t="n">
        <v>44474</v>
      </c>
      <c r="C4001" t="inlineStr">
        <is>
          <t>VTA</t>
        </is>
      </c>
      <c r="D4001" t="n">
        <v>39</v>
      </c>
      <c r="E4001">
        <f>IF(D862&gt;0,VLOOKUP(OPERAC[[#This Row],[COD CART]],[1]!MatrizCortoLargoCyl[#All],3,0),"")</f>
        <v/>
      </c>
      <c r="F4001" t="inlineStr">
        <is>
          <t>NKE/V/115,00/21-01-22</t>
        </is>
      </c>
      <c r="G4001" t="n">
        <v>-200</v>
      </c>
      <c r="H4001" t="n">
        <v>199.914</v>
      </c>
      <c r="I4001">
        <f>-H862/G862</f>
        <v/>
      </c>
      <c r="J4001" s="16" t="n">
        <v>44582</v>
      </c>
      <c r="K4001">
        <f>+OPERAC[[#This Row],[cantidad]]</f>
        <v/>
      </c>
      <c r="L4001" t="n">
        <v>0</v>
      </c>
    </row>
    <row r="4002">
      <c r="A4002" t="n">
        <v>16780</v>
      </c>
      <c r="B4002" s="16" t="n">
        <v>44495</v>
      </c>
      <c r="C4002" t="inlineStr">
        <is>
          <t>VTA</t>
        </is>
      </c>
      <c r="D4002" t="n">
        <v>39</v>
      </c>
      <c r="E4002">
        <f>IF(D390&gt;0,VLOOKUP(OPERAC[[#This Row],[COD CART]],[1]!MatrizCortoLargoCyl[#All],3,0),"")</f>
        <v/>
      </c>
      <c r="F4002" t="inlineStr">
        <is>
          <t>YPF/CC10/LP7/CP3/19-01-24</t>
        </is>
      </c>
      <c r="G4002" t="n">
        <v>-500</v>
      </c>
      <c r="H4002">
        <f>-2.41*OPERAC[[#This Row],[cantidad]]</f>
        <v/>
      </c>
      <c r="I4002">
        <f>-H390/G390</f>
        <v/>
      </c>
    </row>
    <row r="4003">
      <c r="A4003" t="n">
        <v>16780</v>
      </c>
      <c r="B4003" s="16" t="n">
        <v>44511</v>
      </c>
      <c r="C4003" t="inlineStr">
        <is>
          <t>CPR</t>
        </is>
      </c>
      <c r="D4003" t="n">
        <v>31</v>
      </c>
      <c r="E4003">
        <f>IF(D4388&gt;0,VLOOKUP(OPERAC[[#This Row],[COD CART]],[1]!MatrizCortoLargoCyl[#All],3,0),"")</f>
        <v/>
      </c>
      <c r="F4003" t="inlineStr">
        <is>
          <t>IPIX</t>
        </is>
      </c>
      <c r="G4003" t="n">
        <v>10000</v>
      </c>
      <c r="H4003" t="n">
        <v>-1099.9</v>
      </c>
      <c r="I4003">
        <f>-H4388/G4388</f>
        <v/>
      </c>
    </row>
    <row r="4004">
      <c r="A4004" t="n">
        <v>16780</v>
      </c>
      <c r="B4004" s="16" t="n">
        <v>44523</v>
      </c>
      <c r="C4004" t="inlineStr">
        <is>
          <t>CPR</t>
        </is>
      </c>
      <c r="D4004" t="n">
        <v>32</v>
      </c>
      <c r="E4004">
        <f>IF(D3685&gt;0,VLOOKUP(OPERAC[[#This Row],[COD CART]],[1]!MatrizCortoLargoCyl[#All],3,0),"")</f>
        <v/>
      </c>
      <c r="F4004" t="inlineStr">
        <is>
          <t>GMBL/CYL/5,00/18-02-22</t>
        </is>
      </c>
      <c r="G4004" t="n">
        <v>200</v>
      </c>
      <c r="H4004" t="n">
        <v>-823.862</v>
      </c>
      <c r="I4004">
        <f>-H3685/G3685</f>
        <v/>
      </c>
      <c r="J4004" s="16" t="n">
        <v>44589</v>
      </c>
      <c r="K4004" t="n">
        <v>200</v>
      </c>
      <c r="L4004" t="n">
        <v>524.731</v>
      </c>
    </row>
    <row r="4005">
      <c r="A4005" t="n">
        <v>16780</v>
      </c>
      <c r="B4005" s="16" t="n">
        <v>44523</v>
      </c>
      <c r="C4005" t="inlineStr">
        <is>
          <t>VTA</t>
        </is>
      </c>
      <c r="D4005" t="n">
        <v>40</v>
      </c>
      <c r="E4005">
        <f>IF(D5332&gt;0,VLOOKUP(OPERAC[[#This Row],[COD CART]],[1]!MatrizCortoLargoCyl[#All],3,0),"")</f>
        <v/>
      </c>
      <c r="F4005" t="inlineStr">
        <is>
          <t>EDU</t>
        </is>
      </c>
      <c r="G4005" t="n">
        <v>1000</v>
      </c>
      <c r="H4005">
        <f>-1779.49+0.026*OPERAC[[#This Row],[cantidad]]</f>
        <v/>
      </c>
      <c r="I4005">
        <f>-H5332/G5332</f>
        <v/>
      </c>
      <c r="J4005" s="16" t="n">
        <v>44622</v>
      </c>
      <c r="K4005" t="n">
        <v>1000</v>
      </c>
      <c r="L4005">
        <f>+OPERAC[[#This Row],[cantidad venta]]*1.377</f>
        <v/>
      </c>
    </row>
    <row r="4006">
      <c r="A4006" t="n">
        <v>16780</v>
      </c>
      <c r="B4006" s="16" t="n">
        <v>44532</v>
      </c>
      <c r="C4006" t="inlineStr">
        <is>
          <t>VTA</t>
        </is>
      </c>
      <c r="D4006" t="n">
        <v>32</v>
      </c>
      <c r="E4006">
        <f>IF(D5345&gt;0,VLOOKUP(OPERAC[[#This Row],[COD CART]],[1]!MatrizCortoLargoCyl[#All],3,0),"")</f>
        <v/>
      </c>
      <c r="F4006" t="inlineStr">
        <is>
          <t>COTY/CYL/10,00/18-02-22</t>
        </is>
      </c>
      <c r="G4006" t="n">
        <v>200</v>
      </c>
      <c r="H4006">
        <f>-1803.198+41.676</f>
        <v/>
      </c>
      <c r="I4006">
        <f>-H5345/G5345</f>
        <v/>
      </c>
      <c r="J4006" s="16" t="n">
        <v>44608</v>
      </c>
      <c r="K4006">
        <f>+OPERAC[[#This Row],[cantidad]]</f>
        <v/>
      </c>
      <c r="L4006" t="n">
        <v>1889.088</v>
      </c>
    </row>
    <row r="4007">
      <c r="A4007" t="n">
        <v>16780</v>
      </c>
      <c r="B4007" s="16" t="n">
        <v>44538</v>
      </c>
      <c r="C4007" t="inlineStr">
        <is>
          <t>VTA</t>
        </is>
      </c>
      <c r="D4007" t="n">
        <v>39</v>
      </c>
      <c r="E4007">
        <f>IF(D613&gt;0,VLOOKUP(OPERAC[[#This Row],[COD CART]],[1]!MatrizCortoLargoCyl[#All],3,0),"")</f>
        <v/>
      </c>
      <c r="F4007" t="inlineStr">
        <is>
          <t>MELI/V/810,00/21-10-22</t>
        </is>
      </c>
      <c r="G4007" t="n">
        <v>-300</v>
      </c>
      <c r="H4007">
        <f>-2*OPERAC[[#This Row],[cantidad]]</f>
        <v/>
      </c>
      <c r="I4007">
        <f>-H613/G613</f>
        <v/>
      </c>
      <c r="J4007" s="16" t="n">
        <v>44614</v>
      </c>
      <c r="K4007" t="n">
        <v>-300</v>
      </c>
      <c r="L4007" t="n">
        <v>-600</v>
      </c>
    </row>
    <row r="4008">
      <c r="A4008" t="n">
        <v>16780</v>
      </c>
      <c r="B4008" s="16" t="n">
        <v>44539</v>
      </c>
      <c r="C4008" t="inlineStr">
        <is>
          <t>CPR</t>
        </is>
      </c>
      <c r="D4008" t="n">
        <v>40</v>
      </c>
      <c r="E4008">
        <f>IF(D6180&gt;0,VLOOKUP(OPERAC[[#This Row],[COD CART]],[1]!MatrizCortoLargoCyl[#All],3,0),"")</f>
        <v/>
      </c>
      <c r="F4008" t="inlineStr">
        <is>
          <t>ROKU</t>
        </is>
      </c>
      <c r="G4008" t="n">
        <v>20</v>
      </c>
      <c r="H4008" t="n">
        <v>-5154.4072</v>
      </c>
      <c r="I4008">
        <f>-H6180/G6180</f>
        <v/>
      </c>
      <c r="J4008" s="16" t="n">
        <v>44606</v>
      </c>
      <c r="K4008">
        <f>+OPERAC[[#This Row],[cantidad]]</f>
        <v/>
      </c>
      <c r="L4008">
        <f>+OPERAC[[#This Row],[cantidad venta]]*160.574</f>
        <v/>
      </c>
    </row>
    <row r="4009">
      <c r="A4009" t="n">
        <v>16780</v>
      </c>
      <c r="B4009" s="16" t="n">
        <v>44543</v>
      </c>
      <c r="C4009" t="inlineStr">
        <is>
          <t>CPR</t>
        </is>
      </c>
      <c r="D4009" t="n">
        <v>40</v>
      </c>
      <c r="E4009">
        <f>IF(D4431&gt;0,VLOOKUP(OPERAC[[#This Row],[COD CART]],[1]!MatrizCortoLargoCyl[#All],3,0),"")</f>
        <v/>
      </c>
      <c r="F4009" t="inlineStr">
        <is>
          <t>VIST</t>
        </is>
      </c>
      <c r="G4009" t="n">
        <v>200</v>
      </c>
      <c r="H4009" t="n">
        <v>-1119.88</v>
      </c>
      <c r="I4009">
        <f>-H4431/G4431</f>
        <v/>
      </c>
      <c r="J4009" s="16" t="n">
        <v>44574</v>
      </c>
      <c r="K4009">
        <f>+OPERAC[[#This Row],[cantidad]]</f>
        <v/>
      </c>
      <c r="L4009">
        <f>+OPERAC[[#This Row],[cantidad venta]]*6.125</f>
        <v/>
      </c>
    </row>
    <row r="4010">
      <c r="A4010" t="n">
        <v>16780</v>
      </c>
      <c r="B4010" s="16" t="n">
        <v>44543</v>
      </c>
      <c r="C4010" t="inlineStr">
        <is>
          <t>CPR</t>
        </is>
      </c>
      <c r="D4010" t="n">
        <v>31</v>
      </c>
      <c r="E4010">
        <f>IF(D5919&gt;0,VLOOKUP(OPERAC[[#This Row],[COD CART]],[1]!MatrizCortoLargoCyl[#All],3,0),"")</f>
        <v/>
      </c>
      <c r="F4010" t="inlineStr">
        <is>
          <t>BBAR</t>
        </is>
      </c>
      <c r="G4010" t="n">
        <v>1000</v>
      </c>
      <c r="H4010" t="n">
        <v>-3029</v>
      </c>
      <c r="I4010">
        <f>-H5919/G5919</f>
        <v/>
      </c>
      <c r="J4010" s="16" t="n">
        <v>44676</v>
      </c>
      <c r="K4010" t="n">
        <v>1000</v>
      </c>
      <c r="L4010" t="n">
        <v>2946.738</v>
      </c>
    </row>
    <row r="4011">
      <c r="A4011" t="n">
        <v>16780</v>
      </c>
      <c r="B4011" s="16" t="n">
        <v>44547</v>
      </c>
      <c r="C4011" t="inlineStr">
        <is>
          <t>VTA</t>
        </is>
      </c>
      <c r="D4011" t="n">
        <v>32</v>
      </c>
      <c r="E4011">
        <f>IF(D5264&gt;0,VLOOKUP(OPERAC[[#This Row],[COD CART]],[1]!MatrizCortoLargoCyl[#All],3,0),"")</f>
        <v/>
      </c>
      <c r="F4011" t="inlineStr">
        <is>
          <t>ARLO/CYL/9,00/18-02-22</t>
        </is>
      </c>
      <c r="G4011" t="n">
        <v>200</v>
      </c>
      <c r="H4011">
        <f>-1733.48+29.76</f>
        <v/>
      </c>
      <c r="I4011">
        <f>-H5264/G5264</f>
        <v/>
      </c>
      <c r="J4011" s="16" t="n">
        <v>44607</v>
      </c>
      <c r="K4011" t="n">
        <v>200</v>
      </c>
      <c r="L4011" t="n">
        <v>1751.065</v>
      </c>
    </row>
    <row r="4012">
      <c r="A4012" t="n">
        <v>16780</v>
      </c>
      <c r="B4012" s="16" t="n">
        <v>44550</v>
      </c>
      <c r="C4012" t="inlineStr">
        <is>
          <t>CPR</t>
        </is>
      </c>
      <c r="D4012" t="n">
        <v>40</v>
      </c>
      <c r="E4012">
        <f>IF(D4891&gt;0,VLOOKUP(OPERAC[[#This Row],[COD CART]],[1]!MatrizCortoLargoCyl[#All],3,0),"")</f>
        <v/>
      </c>
      <c r="F4012" t="inlineStr">
        <is>
          <t>SMH</t>
        </is>
      </c>
      <c r="G4012" t="n">
        <v>5</v>
      </c>
      <c r="H4012" t="n">
        <v>-1464.0326</v>
      </c>
      <c r="I4012">
        <f>-H4891/G4891</f>
        <v/>
      </c>
      <c r="J4012" s="16" t="n">
        <v>44574</v>
      </c>
      <c r="K4012">
        <f>+OPERAC[[#This Row],[cantidad]]</f>
        <v/>
      </c>
      <c r="L4012">
        <f>+OPERAC[[#This Row],[cantidad venta]]*306.843</f>
        <v/>
      </c>
    </row>
    <row r="4013">
      <c r="A4013" t="n">
        <v>16780</v>
      </c>
      <c r="B4013" s="16" t="n">
        <v>44551</v>
      </c>
      <c r="C4013" t="inlineStr">
        <is>
          <t>CPR</t>
        </is>
      </c>
      <c r="D4013" t="n">
        <v>40</v>
      </c>
      <c r="E4013">
        <f>IF(D5923&gt;0,VLOOKUP(OPERAC[[#This Row],[COD CART]],[1]!MatrizCortoLargoCyl[#All],3,0),"")</f>
        <v/>
      </c>
      <c r="F4013" t="inlineStr">
        <is>
          <t>EDIT</t>
        </is>
      </c>
      <c r="G4013" t="n">
        <v>100</v>
      </c>
      <c r="H4013" t="n">
        <v>-3042.62</v>
      </c>
      <c r="I4013">
        <f>-H5923/G5923</f>
        <v/>
      </c>
      <c r="J4013" s="16" t="n">
        <v>44606</v>
      </c>
      <c r="K4013" t="n">
        <v>100</v>
      </c>
      <c r="L4013" t="n">
        <v>1603.278</v>
      </c>
    </row>
    <row r="4014">
      <c r="A4014" t="n">
        <v>16780</v>
      </c>
      <c r="B4014" s="16" t="n">
        <v>44552</v>
      </c>
      <c r="C4014" t="inlineStr">
        <is>
          <t>CPR</t>
        </is>
      </c>
      <c r="D4014" t="n">
        <v>32</v>
      </c>
      <c r="E4014">
        <f>IF(D6062&gt;0,VLOOKUP(OPERAC[[#This Row],[COD CART]],[1]!MatrizCortoLargoCyl[#All],3,0),"")</f>
        <v/>
      </c>
      <c r="F4014" t="inlineStr">
        <is>
          <t>HMY/CYL/4,00/21-01-22</t>
        </is>
      </c>
      <c r="G4014" t="n">
        <v>1000</v>
      </c>
      <c r="H4014">
        <f>-3.8*OPERAC[[#This Row],[cantidad]]</f>
        <v/>
      </c>
      <c r="I4014">
        <f>-H6062/G6062</f>
        <v/>
      </c>
      <c r="J4014" s="16" t="n">
        <v>44580</v>
      </c>
      <c r="K4014" t="n">
        <v>1000</v>
      </c>
      <c r="L4014" t="n">
        <v>3939.27</v>
      </c>
    </row>
    <row r="4015">
      <c r="A4015" t="n">
        <v>16780</v>
      </c>
      <c r="B4015" s="16" t="n">
        <v>44552</v>
      </c>
      <c r="C4015" t="inlineStr">
        <is>
          <t>VTA</t>
        </is>
      </c>
      <c r="D4015" t="n">
        <v>32</v>
      </c>
      <c r="E4015">
        <f>IF(D5367&gt;0,VLOOKUP(OPERAC[[#This Row],[COD CART]],[1]!MatrizCortoLargoCyl[#All],3,0),"")</f>
        <v/>
      </c>
      <c r="F4015" t="inlineStr">
        <is>
          <t>MX</t>
        </is>
      </c>
      <c r="G4015" t="n">
        <v>100</v>
      </c>
      <c r="H4015">
        <f>-1879.692+38.986+49.6</f>
        <v/>
      </c>
      <c r="I4015">
        <f>-H5367/G5367</f>
        <v/>
      </c>
      <c r="J4015" s="16" t="n">
        <v>44643</v>
      </c>
      <c r="K4015" t="n">
        <v>100</v>
      </c>
      <c r="L4015" t="n">
        <v>1705.916</v>
      </c>
    </row>
    <row r="4016">
      <c r="A4016" t="n">
        <v>16780</v>
      </c>
      <c r="B4016" s="16" t="n">
        <v>44552</v>
      </c>
      <c r="C4016" t="inlineStr">
        <is>
          <t>VTA</t>
        </is>
      </c>
      <c r="D4016" t="n">
        <v>32</v>
      </c>
      <c r="E4016">
        <f>IF(D5383&gt;0,VLOOKUP(OPERAC[[#This Row],[COD CART]],[1]!MatrizCortoLargoCyl[#All],3,0),"")</f>
        <v/>
      </c>
      <c r="F4016" t="inlineStr">
        <is>
          <t>GOLD/CYL/19,00/21-01-22</t>
        </is>
      </c>
      <c r="G4016" t="n">
        <v>100</v>
      </c>
      <c r="H4016">
        <f>-18.08*OPERAC[[#This Row],[cantidad]]</f>
        <v/>
      </c>
      <c r="I4016">
        <f>-H5383/G5383</f>
        <v/>
      </c>
      <c r="J4016" s="16" t="n">
        <v>44580</v>
      </c>
      <c r="K4016" t="n">
        <v>100</v>
      </c>
      <c r="L4016" t="n">
        <v>1876.846</v>
      </c>
    </row>
    <row r="4017">
      <c r="A4017" t="n">
        <v>16780</v>
      </c>
      <c r="B4017" s="16" t="n">
        <v>44579</v>
      </c>
      <c r="C4017" t="inlineStr">
        <is>
          <t>VTA</t>
        </is>
      </c>
      <c r="D4017" t="n">
        <v>39</v>
      </c>
      <c r="E4017">
        <f>IF(D418&gt;0,VLOOKUP(OPERAC[[#This Row],[COD CART]],[1]!MatrizCortoLargoCyl[#All],3,0),"")</f>
        <v/>
      </c>
      <c r="F4017" t="inlineStr">
        <is>
          <t>SOLO/V/3,50/25-02-22</t>
        </is>
      </c>
      <c r="G4017" t="n">
        <v>-800</v>
      </c>
      <c r="H4017" t="n">
        <v>1105.48592</v>
      </c>
      <c r="I4017">
        <f>-H418/G418</f>
        <v/>
      </c>
      <c r="J4017" s="16" t="n">
        <v>44608</v>
      </c>
      <c r="K4017">
        <f>+OPERAC[[#This Row],[cantidad]]</f>
        <v/>
      </c>
      <c r="L4017" t="n">
        <v>-1116.032</v>
      </c>
    </row>
    <row r="4018">
      <c r="A4018" t="n">
        <v>16780</v>
      </c>
      <c r="B4018" s="16" t="n">
        <v>44581</v>
      </c>
      <c r="C4018" t="inlineStr">
        <is>
          <t>CPR</t>
        </is>
      </c>
      <c r="D4018" t="n">
        <v>32</v>
      </c>
      <c r="E4018">
        <f>IF(D3584&gt;0,VLOOKUP(OPERAC[[#This Row],[COD CART]],[1]!MatrizCortoLargoCyl[#All],3,0),"")</f>
        <v/>
      </c>
      <c r="F4018" t="inlineStr">
        <is>
          <t>HMY/CYL/4,00/18-02-22</t>
        </is>
      </c>
      <c r="G4018" t="n">
        <v>200</v>
      </c>
      <c r="H4018" t="n">
        <v>-774.9359920000001</v>
      </c>
      <c r="I4018">
        <f>-H3584/G3584</f>
        <v/>
      </c>
      <c r="J4018" s="16" t="n">
        <v>44610</v>
      </c>
      <c r="K4018">
        <f>+OPERAC[[#This Row],[cantidad]]</f>
        <v/>
      </c>
      <c r="L4018">
        <f>+OPERAC[[#This Row],[cantidad venta]]*3.8323</f>
        <v/>
      </c>
    </row>
    <row r="4019">
      <c r="A4019" t="n">
        <v>16780</v>
      </c>
      <c r="B4019" s="16" t="n">
        <v>44582</v>
      </c>
      <c r="C4019" t="inlineStr">
        <is>
          <t>CPR</t>
        </is>
      </c>
      <c r="D4019" t="n">
        <v>40</v>
      </c>
      <c r="E4019">
        <f>IF(D6080&gt;0,VLOOKUP(OPERAC[[#This Row],[COD CART]],[1]!MatrizCortoLargoCyl[#All],3,0),"")</f>
        <v/>
      </c>
      <c r="F4019" t="inlineStr">
        <is>
          <t>NFLX</t>
        </is>
      </c>
      <c r="G4019" t="n">
        <v>10</v>
      </c>
      <c r="H4019" t="n">
        <v>-3906.371000000001</v>
      </c>
      <c r="I4019">
        <f>-H6080/G6080</f>
        <v/>
      </c>
      <c r="J4019" s="16" t="n">
        <v>44593</v>
      </c>
      <c r="K4019">
        <f>+OPERAC[[#This Row],[cantidad]]</f>
        <v/>
      </c>
      <c r="L4019">
        <f>+OPERAC[[#This Row],[cantidad venta]]*448.602</f>
        <v/>
      </c>
    </row>
    <row r="4020">
      <c r="A4020" t="n">
        <v>16780</v>
      </c>
      <c r="B4020" s="16" t="n">
        <v>44586</v>
      </c>
      <c r="C4020" t="inlineStr">
        <is>
          <t>VTA</t>
        </is>
      </c>
      <c r="D4020" t="n">
        <v>43</v>
      </c>
      <c r="E4020">
        <f>IF(D5535&gt;0,VLOOKUP(OPERAC[[#This Row],[COD CART]],[1]!MatrizCortoLargoCyl[#All],3,0),"")</f>
        <v/>
      </c>
      <c r="F4020" t="inlineStr">
        <is>
          <t>GMBL/CYL-PUT/2,50/20-01-23</t>
        </is>
      </c>
      <c r="G4020" t="n">
        <v>2000</v>
      </c>
      <c r="H4020" t="n">
        <v>-2032.0823</v>
      </c>
      <c r="I4020">
        <f>-H5535/G5535</f>
        <v/>
      </c>
      <c r="J4020" s="16" t="n">
        <v>44636</v>
      </c>
      <c r="K4020" t="n">
        <v>2000</v>
      </c>
      <c r="L4020">
        <f>-1.36*OPERAC[[#This Row],[cantidad venta]]</f>
        <v/>
      </c>
    </row>
    <row r="4021">
      <c r="A4021" t="n">
        <v>16780</v>
      </c>
      <c r="B4021" s="16" t="n">
        <v>44587</v>
      </c>
      <c r="C4021" t="inlineStr">
        <is>
          <t>CPR</t>
        </is>
      </c>
      <c r="D4021" t="n">
        <v>40</v>
      </c>
      <c r="E4021">
        <f>IF(D3673&gt;0,VLOOKUP(OPERAC[[#This Row],[COD CART]],[1]!MatrizCortoLargoCyl[#All],3,0),"")</f>
        <v/>
      </c>
      <c r="F4021" t="inlineStr">
        <is>
          <t>AAPL</t>
        </is>
      </c>
      <c r="G4021" t="n">
        <v>5</v>
      </c>
      <c r="H4021" t="n">
        <v>-820.2721</v>
      </c>
      <c r="I4021">
        <f>-H3673/G3673</f>
        <v/>
      </c>
      <c r="J4021" s="16" t="n">
        <v>44601</v>
      </c>
      <c r="K4021" t="n">
        <v>5</v>
      </c>
      <c r="L4021">
        <f>175.66*OPERAC[[#This Row],[cantidad venta]]</f>
        <v/>
      </c>
    </row>
    <row r="4022">
      <c r="A4022" t="n">
        <v>16780</v>
      </c>
      <c r="B4022" s="16" t="n">
        <v>44587</v>
      </c>
      <c r="C4022" t="inlineStr">
        <is>
          <t>CPR</t>
        </is>
      </c>
      <c r="D4022" t="n">
        <v>40</v>
      </c>
      <c r="E4022">
        <f>IF(D3973&gt;0,VLOOKUP(OPERAC[[#This Row],[COD CART]],[1]!MatrizCortoLargoCyl[#All],3,0),"")</f>
        <v/>
      </c>
      <c r="F4022" t="inlineStr">
        <is>
          <t>MSFT</t>
        </is>
      </c>
      <c r="G4022" t="n">
        <v>3</v>
      </c>
      <c r="H4022" t="n">
        <v>-910.23378</v>
      </c>
      <c r="I4022">
        <f>-H3973/G3973</f>
        <v/>
      </c>
      <c r="J4022" s="16" t="n">
        <v>44606</v>
      </c>
      <c r="K4022">
        <f>+OPERAC[[#This Row],[cantidad]]</f>
        <v/>
      </c>
      <c r="L4022">
        <f>+OPERAC[[#This Row],[cantidad venta]]*290.091</f>
        <v/>
      </c>
    </row>
    <row r="4023">
      <c r="A4023" t="n">
        <v>16780</v>
      </c>
      <c r="B4023" s="16" t="n">
        <v>44589</v>
      </c>
      <c r="C4023" t="inlineStr">
        <is>
          <t>VTA</t>
        </is>
      </c>
      <c r="D4023" t="n">
        <v>39</v>
      </c>
      <c r="E4023">
        <f>IF(D667&gt;0,VLOOKUP(OPERAC[[#This Row],[COD CART]],[1]!MatrizCortoLargoCyl[#All],3,0),"")</f>
        <v/>
      </c>
      <c r="F4023" t="inlineStr">
        <is>
          <t>TSLA/V/680,00/04-02-22</t>
        </is>
      </c>
      <c r="G4023" t="n">
        <v>-200</v>
      </c>
      <c r="H4023" t="n">
        <v>456.317355</v>
      </c>
      <c r="I4023">
        <f>-H667/G667</f>
        <v/>
      </c>
      <c r="J4023" s="16" t="n">
        <v>44596</v>
      </c>
      <c r="K4023">
        <f>+OPERAC[[#This Row],[cantidad]]</f>
        <v/>
      </c>
      <c r="L4023" t="n">
        <v>-4.032</v>
      </c>
    </row>
    <row r="4024">
      <c r="A4024" t="n">
        <v>16780</v>
      </c>
      <c r="B4024" s="16" t="n">
        <v>44594</v>
      </c>
      <c r="C4024" t="inlineStr">
        <is>
          <t>VTA</t>
        </is>
      </c>
      <c r="D4024" t="n">
        <v>40</v>
      </c>
      <c r="E4024">
        <f>IF(D5520&gt;0,VLOOKUP(OPERAC[[#This Row],[COD CART]],[1]!MatrizCortoLargoCyl[#All],3,0),"")</f>
        <v/>
      </c>
      <c r="F4024" t="inlineStr">
        <is>
          <t>EDU</t>
        </is>
      </c>
      <c r="G4024" t="n">
        <v>1000</v>
      </c>
      <c r="H4024" t="n">
        <v>-2016</v>
      </c>
      <c r="I4024">
        <f>-H5520/G5520</f>
        <v/>
      </c>
      <c r="J4024" s="16" t="n">
        <v>44601</v>
      </c>
      <c r="K4024" t="n">
        <v>1000</v>
      </c>
      <c r="L4024" t="n">
        <v>1640</v>
      </c>
    </row>
    <row r="4025">
      <c r="A4025" t="n">
        <v>16780</v>
      </c>
      <c r="B4025" s="16" t="n">
        <v>44599</v>
      </c>
      <c r="C4025" t="inlineStr">
        <is>
          <t>CPR</t>
        </is>
      </c>
      <c r="D4025" t="n">
        <v>40</v>
      </c>
      <c r="E4025">
        <f>IF(D5654&gt;0,VLOOKUP(OPERAC[[#This Row],[COD CART]],[1]!MatrizCortoLargoCyl[#All],3,0),"")</f>
        <v/>
      </c>
      <c r="F4025" t="inlineStr">
        <is>
          <t>FB</t>
        </is>
      </c>
      <c r="G4025" t="n">
        <v>10</v>
      </c>
      <c r="H4025" t="n">
        <v>-2384.6</v>
      </c>
      <c r="I4025">
        <f>-H5654/G5654</f>
        <v/>
      </c>
      <c r="J4025" s="16" t="n">
        <v>44616</v>
      </c>
      <c r="K4025">
        <f>+OPERAC[[#This Row],[cantidad]]</f>
        <v/>
      </c>
      <c r="L4025">
        <f>200.299*OPERAC[[#This Row],[cantidad venta]]</f>
        <v/>
      </c>
    </row>
    <row r="4026">
      <c r="A4026" t="n">
        <v>16780</v>
      </c>
      <c r="B4026" s="16" t="n">
        <v>44602</v>
      </c>
      <c r="C4026" t="inlineStr">
        <is>
          <t>CPR</t>
        </is>
      </c>
      <c r="D4026" t="n">
        <v>32</v>
      </c>
      <c r="E4026">
        <f>IF(D4499&gt;0,VLOOKUP(OPERAC[[#This Row],[COD CART]],[1]!MatrizCortoLargoCyl[#All],3,0),"")</f>
        <v/>
      </c>
      <c r="F4026" t="inlineStr">
        <is>
          <t>BIOX/CYL/12,50/18-03-22</t>
        </is>
      </c>
      <c r="G4026" t="n">
        <v>100</v>
      </c>
      <c r="H4026" t="n">
        <v>-1176</v>
      </c>
      <c r="I4026">
        <f>-H4499/G4499</f>
        <v/>
      </c>
      <c r="J4026" s="16" t="n">
        <v>44634</v>
      </c>
      <c r="K4026" t="n">
        <v>100</v>
      </c>
      <c r="L4026" t="n">
        <v>1235.48</v>
      </c>
    </row>
    <row r="4027">
      <c r="A4027" t="n">
        <v>16780</v>
      </c>
      <c r="B4027" s="16" t="n">
        <v>44607</v>
      </c>
      <c r="C4027" t="inlineStr">
        <is>
          <t>CPR</t>
        </is>
      </c>
      <c r="D4027" t="n">
        <v>32</v>
      </c>
      <c r="E4027">
        <f>IF(D6271&gt;0,VLOOKUP(OPERAC[[#This Row],[COD CART]],[1]!MatrizCortoLargoCyl[#All],3,0),"")</f>
        <v/>
      </c>
      <c r="F4027" t="inlineStr">
        <is>
          <t>UPST/CYL/80,00/18-03-22</t>
        </is>
      </c>
      <c r="G4027" t="n">
        <v>100</v>
      </c>
      <c r="H4027" t="n">
        <v>-7567.157770000001</v>
      </c>
      <c r="I4027">
        <f>-H6271/G6271</f>
        <v/>
      </c>
      <c r="J4027" s="16" t="n">
        <v>44608</v>
      </c>
      <c r="K4027" t="n">
        <v>100</v>
      </c>
      <c r="L4027" t="n">
        <v>7956.448</v>
      </c>
    </row>
    <row r="4028">
      <c r="A4028" t="n">
        <v>16780</v>
      </c>
      <c r="B4028" s="16" t="n">
        <v>44608</v>
      </c>
      <c r="C4028" t="inlineStr">
        <is>
          <t>CPR</t>
        </is>
      </c>
      <c r="D4028" t="n">
        <v>40</v>
      </c>
      <c r="E4028">
        <f>IF(D5753&gt;0,VLOOKUP(OPERAC[[#This Row],[COD CART]],[1]!MatrizCortoLargoCyl[#All],3,0),"")</f>
        <v/>
      </c>
      <c r="F4028" t="inlineStr">
        <is>
          <t>NVDA</t>
        </is>
      </c>
      <c r="G4028" t="n">
        <v>10</v>
      </c>
      <c r="H4028" t="n">
        <v>-2635.14</v>
      </c>
      <c r="I4028">
        <f>-H5753/G5753</f>
        <v/>
      </c>
      <c r="J4028" s="16" t="n">
        <v>44616</v>
      </c>
      <c r="K4028">
        <f>+OPERAC[[#This Row],[cantidad]]</f>
        <v/>
      </c>
      <c r="L4028">
        <f>+OPERAC[[#This Row],[cantidad venta]]*224.117</f>
        <v/>
      </c>
    </row>
    <row r="4029">
      <c r="A4029" t="n">
        <v>16780</v>
      </c>
      <c r="B4029" s="16" t="n">
        <v>44608</v>
      </c>
      <c r="C4029" t="inlineStr">
        <is>
          <t>CPR</t>
        </is>
      </c>
      <c r="D4029" t="n">
        <v>32</v>
      </c>
      <c r="E4029">
        <f>IF(D5853&gt;0,VLOOKUP(OPERAC[[#This Row],[COD CART]],[1]!MatrizCortoLargoCyl[#All],3,0),"")</f>
        <v/>
      </c>
      <c r="F4029" t="inlineStr">
        <is>
          <t>SPWR/CYL/15,00/18-03-22</t>
        </is>
      </c>
      <c r="G4029" t="n">
        <v>200</v>
      </c>
      <c r="H4029" t="n">
        <v>-2883.624</v>
      </c>
      <c r="I4029">
        <f>-H5853/G5853</f>
        <v/>
      </c>
      <c r="J4029" s="16" t="n">
        <v>44628</v>
      </c>
      <c r="K4029" t="n">
        <v>200</v>
      </c>
      <c r="L4029" t="n">
        <v>3008.55</v>
      </c>
    </row>
    <row r="4030">
      <c r="A4030" t="n">
        <v>16780</v>
      </c>
      <c r="B4030" s="16" t="n">
        <v>44608</v>
      </c>
      <c r="C4030" t="inlineStr">
        <is>
          <t>CPR</t>
        </is>
      </c>
      <c r="D4030" t="n">
        <v>32</v>
      </c>
      <c r="E4030">
        <f>IF(D5972&gt;0,VLOOKUP(OPERAC[[#This Row],[COD CART]],[1]!MatrizCortoLargoCyl[#All],3,0),"")</f>
        <v/>
      </c>
      <c r="F4030" t="inlineStr">
        <is>
          <t>DDD/CYL/17,00/01-04-22</t>
        </is>
      </c>
      <c r="G4030" t="n">
        <v>200</v>
      </c>
      <c r="H4030">
        <f>-3258.8378+39.45+30.908</f>
        <v/>
      </c>
      <c r="I4030">
        <f>-H5972/G5972</f>
        <v/>
      </c>
      <c r="J4030" s="16" t="n">
        <v>44649</v>
      </c>
      <c r="K4030" t="n">
        <v>200</v>
      </c>
      <c r="L4030" t="n">
        <v>3323.96</v>
      </c>
    </row>
    <row r="4031">
      <c r="A4031" t="n">
        <v>16780</v>
      </c>
      <c r="B4031" s="16" t="n">
        <v>44608</v>
      </c>
      <c r="C4031" t="inlineStr">
        <is>
          <t>VTA</t>
        </is>
      </c>
      <c r="D4031" t="n">
        <v>39</v>
      </c>
      <c r="E4031">
        <f>IF(D570&gt;0,VLOOKUP(OPERAC[[#This Row],[COD CART]],[1]!MatrizCortoLargoCyl[#All],3,0),"")</f>
        <v/>
      </c>
      <c r="F4031" t="inlineStr">
        <is>
          <t>SOLO/V/3,00/18-03-22</t>
        </is>
      </c>
      <c r="G4031" t="n">
        <v>-800</v>
      </c>
      <c r="H4031" t="n">
        <v>684.032</v>
      </c>
      <c r="I4031">
        <f>-H570/G570</f>
        <v/>
      </c>
      <c r="J4031" s="16" t="n">
        <v>44616</v>
      </c>
      <c r="K4031" t="n">
        <v>-800</v>
      </c>
      <c r="L4031" t="n">
        <v>-970.87</v>
      </c>
    </row>
    <row r="4032">
      <c r="A4032" t="n">
        <v>16780</v>
      </c>
      <c r="B4032" s="16" t="n">
        <v>44609</v>
      </c>
      <c r="C4032" t="inlineStr">
        <is>
          <t>CPR</t>
        </is>
      </c>
      <c r="D4032" t="n">
        <v>32</v>
      </c>
      <c r="E4032">
        <f>IF(D6020&gt;0,VLOOKUP(OPERAC[[#This Row],[COD CART]],[1]!MatrizCortoLargoCyl[#All],3,0),"")</f>
        <v/>
      </c>
      <c r="F4032" t="inlineStr">
        <is>
          <t>F</t>
        </is>
      </c>
      <c r="G4032" t="n">
        <v>200</v>
      </c>
      <c r="H4032" t="n">
        <v>-3430.5552</v>
      </c>
      <c r="I4032">
        <f>-H6020/G6020</f>
        <v/>
      </c>
      <c r="J4032" s="16" t="n">
        <v>44642</v>
      </c>
      <c r="K4032">
        <f>100+100</f>
        <v/>
      </c>
      <c r="L4032">
        <f>1675.958+1763.6</f>
        <v/>
      </c>
    </row>
    <row r="4033">
      <c r="A4033" t="n">
        <v>16780</v>
      </c>
      <c r="B4033" s="16" t="n">
        <v>44614</v>
      </c>
      <c r="C4033" t="inlineStr">
        <is>
          <t>VTA</t>
        </is>
      </c>
      <c r="D4033" t="n">
        <v>39</v>
      </c>
      <c r="E4033">
        <f>IF(D920&gt;0,VLOOKUP(OPERAC[[#This Row],[COD CART]],[1]!MatrizCortoLargoCyl[#All],3,0),"")</f>
        <v/>
      </c>
      <c r="F4033" t="inlineStr">
        <is>
          <t>MELI/V/500,00/19-01-24</t>
        </is>
      </c>
      <c r="G4033" t="n">
        <v>-2</v>
      </c>
      <c r="H4033" t="n">
        <v>128.96</v>
      </c>
      <c r="I4033">
        <f>-H920/G920</f>
        <v/>
      </c>
    </row>
    <row r="4034">
      <c r="A4034" t="n">
        <v>16780</v>
      </c>
      <c r="B4034" s="16" t="n">
        <v>44614</v>
      </c>
      <c r="C4034" t="inlineStr">
        <is>
          <t>VTA</t>
        </is>
      </c>
      <c r="D4034" t="n">
        <v>39</v>
      </c>
      <c r="E4034">
        <f>IF(D993&gt;0,VLOOKUP(OPERAC[[#This Row],[COD CART]],[1]!MatrizCortoLargoCyl[#All],3,0),"")</f>
        <v/>
      </c>
      <c r="F4034" t="inlineStr">
        <is>
          <t>ACB/V/5,00/20-01-23</t>
        </is>
      </c>
      <c r="G4034" t="n">
        <v>-35</v>
      </c>
      <c r="H4034" t="n">
        <v>70.93000000000001</v>
      </c>
      <c r="I4034">
        <f>-H993/G993</f>
        <v/>
      </c>
      <c r="J4034" s="16" t="n">
        <v>44678</v>
      </c>
      <c r="K4034" t="n">
        <v>-10</v>
      </c>
      <c r="L4034" t="n">
        <v>-25.61</v>
      </c>
    </row>
    <row r="4035">
      <c r="A4035" t="n">
        <v>16780</v>
      </c>
      <c r="B4035" s="16" t="n">
        <v>44614</v>
      </c>
      <c r="C4035" t="inlineStr">
        <is>
          <t>VTA</t>
        </is>
      </c>
      <c r="D4035" t="n">
        <v>39</v>
      </c>
      <c r="E4035">
        <f>IF(D1011&gt;0,VLOOKUP(OPERAC[[#This Row],[COD CART]],[1]!MatrizCortoLargoCyl[#All],3,0),"")</f>
        <v/>
      </c>
      <c r="F4035" t="inlineStr">
        <is>
          <t>NFLX/V/250,00/20-01-23</t>
        </is>
      </c>
      <c r="G4035" t="n">
        <v>-5</v>
      </c>
      <c r="H4035" t="n">
        <v>63.46</v>
      </c>
      <c r="I4035">
        <f>-H1011/G1011</f>
        <v/>
      </c>
      <c r="J4035" s="16" t="n">
        <v>44676</v>
      </c>
      <c r="K4035" t="n">
        <v>-5</v>
      </c>
      <c r="L4035" t="n">
        <v>-306.07</v>
      </c>
    </row>
    <row r="4036">
      <c r="A4036" t="n">
        <v>16780</v>
      </c>
      <c r="B4036" s="16" t="n">
        <v>44615</v>
      </c>
      <c r="C4036" t="inlineStr">
        <is>
          <t>VTA</t>
        </is>
      </c>
      <c r="D4036" t="n">
        <v>39</v>
      </c>
      <c r="E4036">
        <f>IF(D984&gt;0,VLOOKUP(OPERAC[[#This Row],[COD CART]],[1]!MatrizCortoLargoCyl[#All],3,0),"")</f>
        <v/>
      </c>
      <c r="F4036" t="inlineStr">
        <is>
          <t>TSLA/V/380,00/20-01-23</t>
        </is>
      </c>
      <c r="G4036" t="n">
        <v>-4</v>
      </c>
      <c r="H4036" t="n">
        <v>75.38</v>
      </c>
      <c r="I4036">
        <f>-H984/G984</f>
        <v/>
      </c>
      <c r="J4036" s="16" t="n">
        <v>44616</v>
      </c>
      <c r="K4036">
        <f>-1-3</f>
        <v/>
      </c>
      <c r="L4036">
        <f>-23.69-32.6754</f>
        <v/>
      </c>
    </row>
    <row r="4037">
      <c r="A4037" t="n">
        <v>16780</v>
      </c>
      <c r="B4037" s="16" t="n">
        <v>44615</v>
      </c>
      <c r="C4037" t="inlineStr">
        <is>
          <t>VTA</t>
        </is>
      </c>
      <c r="D4037" t="n">
        <v>39</v>
      </c>
      <c r="E4037">
        <f>IF(D1059&gt;0,VLOOKUP(OPERAC[[#This Row],[COD CART]],[1]!MatrizCortoLargoCyl[#All],3,0),"")</f>
        <v/>
      </c>
      <c r="F4037" t="inlineStr">
        <is>
          <t>TLRY/V/5,00/20-01-23</t>
        </is>
      </c>
      <c r="G4037" t="n">
        <v>-30</v>
      </c>
      <c r="H4037" t="n">
        <v>38.6</v>
      </c>
      <c r="I4037">
        <f>-H1059/G1059</f>
        <v/>
      </c>
    </row>
    <row r="4038">
      <c r="A4038" t="n">
        <v>16780</v>
      </c>
      <c r="B4038" s="16" t="n">
        <v>44616</v>
      </c>
      <c r="C4038" t="inlineStr">
        <is>
          <t>CPR</t>
        </is>
      </c>
      <c r="D4038" t="n">
        <v>32</v>
      </c>
      <c r="E4038">
        <f>IF(D6108&gt;0,VLOOKUP(OPERAC[[#This Row],[COD CART]],[1]!MatrizCortoLargoCyl[#All],3,0),"")</f>
        <v/>
      </c>
      <c r="F4038" t="inlineStr">
        <is>
          <t>PLTR/CYL/12,00/14-04-22</t>
        </is>
      </c>
      <c r="G4038" t="n">
        <v>400</v>
      </c>
      <c r="H4038" t="n">
        <v>-4210.906</v>
      </c>
      <c r="I4038">
        <f>-H6108/G6108</f>
        <v/>
      </c>
      <c r="J4038" s="16" t="n">
        <v>44643</v>
      </c>
      <c r="K4038" t="n">
        <v>400</v>
      </c>
      <c r="L4038" t="n">
        <v>4586.895</v>
      </c>
    </row>
    <row r="4039">
      <c r="A4039" t="n">
        <v>16780</v>
      </c>
      <c r="B4039" s="16" t="n">
        <v>44622</v>
      </c>
      <c r="C4039" t="inlineStr">
        <is>
          <t>CPR</t>
        </is>
      </c>
      <c r="D4039" t="n">
        <v>32</v>
      </c>
      <c r="E4039">
        <f>IF(D5859&gt;0,VLOOKUP(OPERAC[[#This Row],[COD CART]],[1]!MatrizCortoLargoCyl[#All],3,0),"")</f>
        <v/>
      </c>
      <c r="F4039" t="inlineStr">
        <is>
          <t>AMC/CYL/16,00/14-04-22</t>
        </is>
      </c>
      <c r="G4039" t="n">
        <v>200</v>
      </c>
      <c r="H4039" t="n">
        <v>-2921.7372</v>
      </c>
      <c r="I4039">
        <f>-H5859/G5859</f>
        <v/>
      </c>
      <c r="J4039" s="16" t="n">
        <v>44648</v>
      </c>
      <c r="K4039" t="n">
        <v>200</v>
      </c>
      <c r="L4039" t="n">
        <v>3163.55</v>
      </c>
    </row>
    <row r="4040">
      <c r="A4040" t="n">
        <v>16780</v>
      </c>
      <c r="B4040" s="16" t="n">
        <v>44628</v>
      </c>
      <c r="C4040" t="inlineStr">
        <is>
          <t>VTA</t>
        </is>
      </c>
      <c r="D4040" t="n">
        <v>40</v>
      </c>
      <c r="E4040">
        <f>IF(D5585&gt;0,VLOOKUP(OPERAC[[#This Row],[COD CART]],[1]!MatrizCortoLargoCyl[#All],3,0),"")</f>
        <v/>
      </c>
      <c r="F4040" t="inlineStr">
        <is>
          <t>CVV</t>
        </is>
      </c>
      <c r="G4040" t="n">
        <v>500</v>
      </c>
      <c r="H4040" t="n">
        <v>-2112.244</v>
      </c>
      <c r="I4040">
        <f>-H5585/G5585</f>
        <v/>
      </c>
      <c r="J4040" s="16" t="n">
        <v>44649</v>
      </c>
      <c r="K4040">
        <f>+OPERAC[[#This Row],[cantidad]]</f>
        <v/>
      </c>
      <c r="L4040">
        <f>+OPERAC[[#This Row],[cantidad venta]]*4.459</f>
        <v/>
      </c>
    </row>
    <row r="4041">
      <c r="A4041" t="n">
        <v>16780</v>
      </c>
      <c r="B4041" s="16" t="n">
        <v>44634</v>
      </c>
      <c r="C4041" t="inlineStr">
        <is>
          <t>CPR</t>
        </is>
      </c>
      <c r="D4041" t="n">
        <v>42</v>
      </c>
      <c r="E4041">
        <f>IF(D3232&gt;0,VLOOKUP(OPERAC[[#This Row],[COD CART]],[1]!MatrizCortoLargoCyl[#All],3,0),"")</f>
        <v/>
      </c>
      <c r="F4041" t="inlineStr">
        <is>
          <t>INO</t>
        </is>
      </c>
      <c r="G4041" t="n">
        <v>200</v>
      </c>
      <c r="H4041" t="n">
        <v>-664.1632</v>
      </c>
      <c r="I4041">
        <f>-H3232/G3232</f>
        <v/>
      </c>
      <c r="J4041" s="16" t="n">
        <v>44634</v>
      </c>
      <c r="K4041" t="n">
        <v>200</v>
      </c>
      <c r="L4041" t="n">
        <v>597.771</v>
      </c>
    </row>
    <row r="4042">
      <c r="A4042" t="n">
        <v>16780</v>
      </c>
      <c r="B4042" s="16" t="n">
        <v>44636</v>
      </c>
      <c r="C4042" t="inlineStr">
        <is>
          <t>CPR</t>
        </is>
      </c>
      <c r="D4042" t="n">
        <v>43</v>
      </c>
      <c r="E4042">
        <f>IF(D6045&gt;0,VLOOKUP(OPERAC[[#This Row],[COD CART]],[1]!MatrizCortoLargoCyl[#All],3,0),"")</f>
        <v/>
      </c>
      <c r="F4042" t="inlineStr">
        <is>
          <t>GMBL/CYL-PUT/0,50/19-01-24</t>
        </is>
      </c>
      <c r="G4042" t="n">
        <v>13000</v>
      </c>
      <c r="H4042">
        <f>-10563.12452+5712.005+1289.6</f>
        <v/>
      </c>
      <c r="I4042">
        <f>-H6045/G6045</f>
        <v/>
      </c>
    </row>
    <row r="4043">
      <c r="A4043" t="n">
        <v>16780</v>
      </c>
      <c r="B4043" s="16" t="n">
        <v>44642</v>
      </c>
      <c r="C4043" t="inlineStr">
        <is>
          <t>CPR</t>
        </is>
      </c>
      <c r="D4043" t="n">
        <v>42</v>
      </c>
      <c r="E4043">
        <f>IF(D4152&gt;0,VLOOKUP(OPERAC[[#This Row],[COD CART]],[1]!MatrizCortoLargoCyl[#All],3,0),"")</f>
        <v/>
      </c>
      <c r="F4043" t="inlineStr">
        <is>
          <t>HYDR</t>
        </is>
      </c>
      <c r="G4043" t="n">
        <v>50</v>
      </c>
      <c r="H4043">
        <f>-19.39*OPERAC[[#This Row],[cantidad]]</f>
        <v/>
      </c>
      <c r="I4043">
        <f>-H4152/G4152</f>
        <v/>
      </c>
      <c r="J4043" s="16" t="n">
        <v>44693</v>
      </c>
      <c r="K4043">
        <f>+OPERAC[[#This Row],[cantidad]]</f>
        <v/>
      </c>
      <c r="L4043">
        <f>+OPERAC[[#This Row],[cantidad venta]]*12.027</f>
        <v/>
      </c>
    </row>
    <row r="4044">
      <c r="A4044" t="n">
        <v>16780</v>
      </c>
      <c r="B4044" s="16" t="n">
        <v>44643</v>
      </c>
      <c r="C4044" t="inlineStr">
        <is>
          <t>VTA</t>
        </is>
      </c>
      <c r="D4044" t="n">
        <v>32</v>
      </c>
      <c r="E4044">
        <f>IF(D5177&gt;0,VLOOKUP(OPERAC[[#This Row],[COD CART]],[1]!MatrizCortoLargoCyl[#All],3,0),"")</f>
        <v/>
      </c>
      <c r="F4044" t="inlineStr">
        <is>
          <t>AAL/CYL/18,00/14-04-22</t>
        </is>
      </c>
      <c r="G4044" t="n">
        <v>100</v>
      </c>
      <c r="H4044" t="n">
        <v>-1619.461</v>
      </c>
      <c r="I4044">
        <f>-H5177/G5177</f>
        <v/>
      </c>
      <c r="J4044" s="16" t="n">
        <v>44652</v>
      </c>
      <c r="K4044">
        <f>+OPERAC[[#This Row],[cantidad]]</f>
        <v/>
      </c>
      <c r="L4044" t="n">
        <v>1731.356</v>
      </c>
    </row>
    <row r="4045">
      <c r="A4045" t="n">
        <v>16780</v>
      </c>
      <c r="B4045" s="16" t="n">
        <v>44648</v>
      </c>
      <c r="C4045" t="inlineStr">
        <is>
          <t>CPR</t>
        </is>
      </c>
      <c r="D4045" t="n">
        <v>42</v>
      </c>
      <c r="E4045">
        <f>IF(D4711&gt;0,VLOOKUP(OPERAC[[#This Row],[COD CART]],[1]!MatrizCortoLargoCyl[#All],3,0),"")</f>
        <v/>
      </c>
      <c r="F4045" t="inlineStr">
        <is>
          <t>ADBE</t>
        </is>
      </c>
      <c r="G4045" t="n">
        <v>3</v>
      </c>
      <c r="H4045" t="n">
        <v>-1324.23735</v>
      </c>
      <c r="I4045">
        <f>-H4711/G4711</f>
        <v/>
      </c>
      <c r="J4045" s="16" t="n">
        <v>44669</v>
      </c>
      <c r="K4045" t="n">
        <v>3</v>
      </c>
      <c r="L4045" t="n">
        <v>1250.123</v>
      </c>
    </row>
    <row r="4046">
      <c r="A4046" t="n">
        <v>16780</v>
      </c>
      <c r="B4046" s="16" t="n">
        <v>44648</v>
      </c>
      <c r="C4046" t="inlineStr">
        <is>
          <t>VTA</t>
        </is>
      </c>
      <c r="D4046" t="n">
        <v>42</v>
      </c>
      <c r="E4046">
        <f>IF(D2897&gt;0,VLOOKUP(OPERAC[[#This Row],[COD CART]],[1]!MatrizCortoLargoCyl[#All],3,0),"")</f>
        <v/>
      </c>
      <c r="F4046" t="inlineStr">
        <is>
          <t>SMH</t>
        </is>
      </c>
      <c r="G4046" t="n">
        <v>2</v>
      </c>
      <c r="H4046" t="n">
        <v>-546.77392</v>
      </c>
      <c r="I4046">
        <f>-H2897/G2897</f>
        <v/>
      </c>
      <c r="J4046" s="16" t="n">
        <v>44663</v>
      </c>
      <c r="K4046">
        <f>+OPERAC[[#This Row],[cantidad]]</f>
        <v/>
      </c>
      <c r="L4046">
        <f>+OPERAC[[#This Row],[cantidad venta]]*238.066</f>
        <v/>
      </c>
    </row>
    <row r="4047">
      <c r="A4047" t="n">
        <v>16780</v>
      </c>
      <c r="B4047" s="16" t="n">
        <v>44648</v>
      </c>
      <c r="C4047" t="inlineStr">
        <is>
          <t>VTA</t>
        </is>
      </c>
      <c r="D4047" t="n">
        <v>42</v>
      </c>
      <c r="E4047">
        <f>IF(D2955&gt;0,VLOOKUP(OPERAC[[#This Row],[COD CART]],[1]!MatrizCortoLargoCyl[#All],3,0),"")</f>
        <v/>
      </c>
      <c r="F4047" t="inlineStr">
        <is>
          <t>JPM</t>
        </is>
      </c>
      <c r="G4047" t="n">
        <v>4</v>
      </c>
      <c r="H4047" t="n">
        <v>-560.52192</v>
      </c>
      <c r="I4047">
        <f>-H2955/G2955</f>
        <v/>
      </c>
      <c r="J4047" s="16" t="n">
        <v>44664</v>
      </c>
      <c r="K4047">
        <f>+OPERAC[[#This Row],[cantidad]]</f>
        <v/>
      </c>
      <c r="L4047">
        <f>+OPERAC[[#This Row],[cantidad venta]]*125.943</f>
        <v/>
      </c>
    </row>
    <row r="4048">
      <c r="A4048" t="n">
        <v>16780</v>
      </c>
      <c r="B4048" s="16" t="n">
        <v>44648</v>
      </c>
      <c r="C4048" t="inlineStr">
        <is>
          <t>VTA</t>
        </is>
      </c>
      <c r="D4048" t="n">
        <v>42</v>
      </c>
      <c r="E4048">
        <f>IF(D3955&gt;0,VLOOKUP(OPERAC[[#This Row],[COD CART]],[1]!MatrizCortoLargoCyl[#All],3,0),"")</f>
        <v/>
      </c>
      <c r="F4048" t="inlineStr">
        <is>
          <t>FB</t>
        </is>
      </c>
      <c r="G4048" t="n">
        <v>4</v>
      </c>
      <c r="H4048" t="n">
        <v>-888.6617199999999</v>
      </c>
      <c r="I4048">
        <f>-H3955/G3955</f>
        <v/>
      </c>
      <c r="J4048" s="16" t="n">
        <v>44671</v>
      </c>
      <c r="K4048">
        <f>+OPERAC[[#This Row],[cantidad]]</f>
        <v/>
      </c>
      <c r="L4048">
        <f>+OPERAC[[#This Row],[cantidad venta]]*213.173</f>
        <v/>
      </c>
    </row>
    <row r="4049">
      <c r="A4049" t="n">
        <v>16780</v>
      </c>
      <c r="B4049" s="16" t="n">
        <v>44649</v>
      </c>
      <c r="C4049" t="inlineStr">
        <is>
          <t>CPR</t>
        </is>
      </c>
      <c r="D4049" t="n">
        <v>32</v>
      </c>
      <c r="E4049">
        <f>IF(D4843&gt;0,VLOOKUP(OPERAC[[#This Row],[COD CART]],[1]!MatrizCortoLargoCyl[#All],3,0),"")</f>
        <v/>
      </c>
      <c r="F4049" t="inlineStr">
        <is>
          <t>DDD</t>
        </is>
      </c>
      <c r="G4049" t="n">
        <v>100</v>
      </c>
      <c r="H4049" t="n">
        <v>-1439.859</v>
      </c>
      <c r="I4049">
        <f>-H4843/G4843</f>
        <v/>
      </c>
      <c r="J4049" s="16" t="n">
        <v>44705</v>
      </c>
      <c r="K4049" t="n">
        <v>100</v>
      </c>
      <c r="L4049" t="n">
        <v>995.48</v>
      </c>
    </row>
    <row r="4050">
      <c r="A4050" t="n">
        <v>16780</v>
      </c>
      <c r="B4050" s="16" t="n">
        <v>44649</v>
      </c>
      <c r="C4050" t="inlineStr">
        <is>
          <t>VTA</t>
        </is>
      </c>
      <c r="D4050" t="n">
        <v>32</v>
      </c>
      <c r="E4050">
        <f>IF(D5436&gt;0,VLOOKUP(OPERAC[[#This Row],[COD CART]],[1]!MatrizCortoLargoCyl[#All],3,0),"")</f>
        <v/>
      </c>
      <c r="F4050" t="inlineStr">
        <is>
          <t>SPWR</t>
        </is>
      </c>
      <c r="G4050" t="n">
        <v>100</v>
      </c>
      <c r="H4050" t="n">
        <v>-1865.225</v>
      </c>
      <c r="I4050">
        <f>-H5436/G5436</f>
        <v/>
      </c>
      <c r="J4050" s="16" t="n">
        <v>44705</v>
      </c>
      <c r="K4050" t="n">
        <v>100</v>
      </c>
      <c r="L4050" t="n">
        <v>1595.324</v>
      </c>
    </row>
    <row r="4051">
      <c r="A4051" t="n">
        <v>16780</v>
      </c>
      <c r="B4051" s="16" t="n">
        <v>44649</v>
      </c>
      <c r="C4051" t="inlineStr">
        <is>
          <t>VTA</t>
        </is>
      </c>
      <c r="D4051" t="n">
        <v>42</v>
      </c>
      <c r="E4051">
        <f>IF(D5608&gt;0,VLOOKUP(OPERAC[[#This Row],[COD CART]],[1]!MatrizCortoLargoCyl[#All],3,0),"")</f>
        <v/>
      </c>
      <c r="F4051" t="inlineStr">
        <is>
          <t>CRESY</t>
        </is>
      </c>
      <c r="G4051" t="n">
        <v>275</v>
      </c>
      <c r="H4051" t="n">
        <v>-2225.3506</v>
      </c>
      <c r="I4051">
        <f>-H5608/G5608</f>
        <v/>
      </c>
      <c r="J4051" s="16" t="n">
        <v>44657</v>
      </c>
      <c r="K4051">
        <f>+OPERAC[[#This Row],[cantidad]]</f>
        <v/>
      </c>
      <c r="L4051">
        <f>+OPERAC[[#This Row],[cantidad venta]]*7.664</f>
        <v/>
      </c>
    </row>
    <row r="4052">
      <c r="A4052" t="n">
        <v>16780</v>
      </c>
      <c r="B4052" s="16" t="n">
        <v>44650</v>
      </c>
      <c r="C4052" t="inlineStr">
        <is>
          <t>CPR</t>
        </is>
      </c>
      <c r="D4052" t="n">
        <v>42</v>
      </c>
      <c r="E4052">
        <f>IF(D4614&gt;0,VLOOKUP(OPERAC[[#This Row],[COD CART]],[1]!MatrizCortoLargoCyl[#All],3,0),"")</f>
        <v/>
      </c>
      <c r="F4052" t="inlineStr">
        <is>
          <t>MSFT</t>
        </is>
      </c>
      <c r="G4052" t="n">
        <v>4</v>
      </c>
      <c r="H4052" t="n">
        <v>-1272.3312</v>
      </c>
      <c r="I4052">
        <f>-H4614/G4614</f>
        <v/>
      </c>
      <c r="J4052" s="16" t="n">
        <v>44662</v>
      </c>
      <c r="K4052">
        <f>+OPERAC[[#This Row],[cantidad]]</f>
        <v/>
      </c>
      <c r="L4052">
        <f>287.546*OPERAC[[#This Row],[cantidad venta]]</f>
        <v/>
      </c>
    </row>
    <row r="4053">
      <c r="A4053" t="n">
        <v>16780</v>
      </c>
      <c r="B4053" s="16" t="n">
        <v>44650</v>
      </c>
      <c r="C4053" t="inlineStr">
        <is>
          <t>VTA</t>
        </is>
      </c>
      <c r="D4053" t="n">
        <v>42</v>
      </c>
      <c r="E4053">
        <f>IF(D1413&gt;0,VLOOKUP(OPERAC[[#This Row],[COD CART]],[1]!MatrizCortoLargoCyl[#All],3,0),"")</f>
        <v/>
      </c>
      <c r="F4053" t="inlineStr">
        <is>
          <t>JPM</t>
        </is>
      </c>
      <c r="G4053" t="n">
        <v>1</v>
      </c>
      <c r="H4053" t="n">
        <v>-142.193552</v>
      </c>
      <c r="I4053">
        <f>-H1413/G1413</f>
        <v/>
      </c>
      <c r="J4053" s="16" t="n">
        <v>44664</v>
      </c>
      <c r="K4053">
        <f>+OPERAC[[#This Row],[cantidad]]</f>
        <v/>
      </c>
      <c r="L4053">
        <f>+OPERAC[[#This Row],[cantidad venta]]*125.943</f>
        <v/>
      </c>
    </row>
    <row r="4054">
      <c r="A4054" t="n">
        <v>16780</v>
      </c>
      <c r="B4054" s="16" t="n">
        <v>44650</v>
      </c>
      <c r="C4054" t="inlineStr">
        <is>
          <t>VTA</t>
        </is>
      </c>
      <c r="D4054" t="n">
        <v>42</v>
      </c>
      <c r="E4054">
        <f>IF(D1667&gt;0,VLOOKUP(OPERAC[[#This Row],[COD CART]],[1]!MatrizCortoLargoCyl[#All],3,0),"")</f>
        <v/>
      </c>
      <c r="F4054" t="inlineStr">
        <is>
          <t>FB</t>
        </is>
      </c>
      <c r="G4054" t="n">
        <v>1</v>
      </c>
      <c r="H4054" t="n">
        <v>-232.46216</v>
      </c>
      <c r="I4054">
        <f>-H1667/G1667</f>
        <v/>
      </c>
      <c r="J4054" s="16" t="n">
        <v>44671</v>
      </c>
      <c r="K4054">
        <f>+OPERAC[[#This Row],[cantidad]]</f>
        <v/>
      </c>
      <c r="L4054">
        <f>+OPERAC[[#This Row],[cantidad venta]]*213.173</f>
        <v/>
      </c>
    </row>
    <row r="4055">
      <c r="A4055" t="n">
        <v>16780</v>
      </c>
      <c r="B4055" s="16" t="n">
        <v>44651</v>
      </c>
      <c r="C4055" t="inlineStr">
        <is>
          <t>VTA</t>
        </is>
      </c>
      <c r="D4055" t="n">
        <v>39</v>
      </c>
      <c r="E4055">
        <f>IF(D130&gt;0,VLOOKUP(OPERAC[[#This Row],[COD CART]],[1]!MatrizCortoLargoCyl[#All],3,0),"")</f>
        <v/>
      </c>
      <c r="F4055" t="inlineStr">
        <is>
          <t>TSLA/V/885,00/08-04-22</t>
        </is>
      </c>
      <c r="G4055" t="n">
        <v>-2000</v>
      </c>
      <c r="H4055" t="n">
        <v>3069.76</v>
      </c>
      <c r="I4055">
        <f>-H130/G130</f>
        <v/>
      </c>
      <c r="J4055" s="16" t="n">
        <v>44658</v>
      </c>
      <c r="K4055" t="n">
        <v>-2000</v>
      </c>
      <c r="L4055" t="n">
        <v>-307.78</v>
      </c>
    </row>
    <row r="4056">
      <c r="A4056" t="n">
        <v>16780</v>
      </c>
      <c r="B4056" s="16" t="n">
        <v>44651</v>
      </c>
      <c r="C4056" t="inlineStr">
        <is>
          <t>VTA</t>
        </is>
      </c>
      <c r="D4056" t="n">
        <v>39</v>
      </c>
      <c r="E4056">
        <f>IF(D281&gt;0,VLOOKUP(OPERAC[[#This Row],[COD CART]],[1]!MatrizCortoLargoCyl[#All],3,0),"")</f>
        <v/>
      </c>
      <c r="F4056" t="inlineStr">
        <is>
          <t>TSLA/C/1375,00/08-04-22</t>
        </is>
      </c>
      <c r="G4056" t="n">
        <v>-1000</v>
      </c>
      <c r="H4056" t="n">
        <v>1633.36</v>
      </c>
      <c r="I4056">
        <f>-H281/G281</f>
        <v/>
      </c>
      <c r="J4056" s="16" t="n">
        <v>44659</v>
      </c>
      <c r="K4056">
        <f>+OPERAC[[#This Row],[cantidad]]</f>
        <v/>
      </c>
      <c r="L4056" t="n">
        <v>0</v>
      </c>
    </row>
    <row r="4057">
      <c r="A4057" t="n">
        <v>16780</v>
      </c>
      <c r="B4057" s="16" t="n">
        <v>44655</v>
      </c>
      <c r="C4057" t="inlineStr">
        <is>
          <t>CPR</t>
        </is>
      </c>
      <c r="D4057" t="n">
        <v>42</v>
      </c>
      <c r="E4057">
        <f>IF(D3663&gt;0,VLOOKUP(OPERAC[[#This Row],[COD CART]],[1]!MatrizCortoLargoCyl[#All],3,0),"")</f>
        <v/>
      </c>
      <c r="F4057" t="inlineStr">
        <is>
          <t>SMH</t>
        </is>
      </c>
      <c r="G4057" t="n">
        <v>3</v>
      </c>
      <c r="H4057" t="n">
        <v>-815.50632</v>
      </c>
      <c r="I4057">
        <f>-H3663/G3663</f>
        <v/>
      </c>
      <c r="J4057" s="16" t="n">
        <v>44663</v>
      </c>
      <c r="K4057">
        <f>+OPERAC[[#This Row],[cantidad]]</f>
        <v/>
      </c>
      <c r="L4057">
        <f>+OPERAC[[#This Row],[cantidad venta]]*238.066</f>
        <v/>
      </c>
    </row>
    <row r="4058">
      <c r="A4058" t="n">
        <v>16780</v>
      </c>
      <c r="B4058" s="16" t="n">
        <v>44655</v>
      </c>
      <c r="C4058" t="inlineStr">
        <is>
          <t>CPR</t>
        </is>
      </c>
      <c r="D4058" t="n">
        <v>42</v>
      </c>
      <c r="E4058">
        <f>IF(D4175&gt;0,VLOOKUP(OPERAC[[#This Row],[COD CART]],[1]!MatrizCortoLargoCyl[#All],3,0),"")</f>
        <v/>
      </c>
      <c r="F4058" t="inlineStr">
        <is>
          <t>DIS</t>
        </is>
      </c>
      <c r="G4058" t="n">
        <v>7</v>
      </c>
      <c r="H4058" t="n">
        <v>-980.63728</v>
      </c>
      <c r="I4058">
        <f>-H4175/G4175</f>
        <v/>
      </c>
      <c r="J4058" s="16" t="n">
        <v>44671</v>
      </c>
      <c r="K4058">
        <f>+OPERAC[[#This Row],[cantidad]]</f>
        <v/>
      </c>
      <c r="L4058">
        <f>+OPERAC[[#This Row],[cantidad venta]]*123.621</f>
        <v/>
      </c>
    </row>
    <row r="4059">
      <c r="A4059" t="n">
        <v>16780</v>
      </c>
      <c r="B4059" s="16" t="n">
        <v>44655</v>
      </c>
      <c r="C4059" t="inlineStr">
        <is>
          <t>CPR</t>
        </is>
      </c>
      <c r="D4059" t="n">
        <v>32</v>
      </c>
      <c r="E4059">
        <f>IF(D5811&gt;0,VLOOKUP(OPERAC[[#This Row],[COD CART]],[1]!MatrizCortoLargoCyl[#All],3,0),"")</f>
        <v/>
      </c>
      <c r="F4059" t="inlineStr">
        <is>
          <t>PLUG</t>
        </is>
      </c>
      <c r="G4059" t="n">
        <v>100</v>
      </c>
      <c r="H4059" t="n">
        <v>-2769.489</v>
      </c>
      <c r="I4059">
        <f>-H5811/G5811</f>
        <v/>
      </c>
      <c r="J4059" s="16" t="n">
        <v>44705</v>
      </c>
      <c r="K4059" t="n">
        <v>100</v>
      </c>
      <c r="L4059" t="n">
        <v>1524.203</v>
      </c>
    </row>
    <row r="4060">
      <c r="A4060" t="n">
        <v>16780</v>
      </c>
      <c r="B4060" s="16" t="n">
        <v>44655</v>
      </c>
      <c r="C4060" t="inlineStr">
        <is>
          <t>VTA</t>
        </is>
      </c>
      <c r="D4060" t="n">
        <v>42</v>
      </c>
      <c r="E4060">
        <f>IF(D3951&gt;0,VLOOKUP(OPERAC[[#This Row],[COD CART]],[1]!MatrizCortoLargoCyl[#All],3,0),"")</f>
        <v/>
      </c>
      <c r="F4060" t="inlineStr">
        <is>
          <t>AMD</t>
        </is>
      </c>
      <c r="G4060" t="n">
        <v>8</v>
      </c>
      <c r="H4060" t="n">
        <v>-884.9612</v>
      </c>
      <c r="I4060">
        <f>-H3951/G3951</f>
        <v/>
      </c>
      <c r="J4060" s="16" t="n">
        <v>44693</v>
      </c>
      <c r="K4060">
        <f>+OPERAC[[#This Row],[cantidad]]</f>
        <v/>
      </c>
      <c r="L4060">
        <f>+OPERAC[[#This Row],[cantidad venta]]*85.26</f>
        <v/>
      </c>
    </row>
    <row r="4061">
      <c r="A4061" t="n">
        <v>16780</v>
      </c>
      <c r="B4061" s="16" t="n">
        <v>44655</v>
      </c>
      <c r="C4061" t="inlineStr">
        <is>
          <t>VTA</t>
        </is>
      </c>
      <c r="D4061" t="n">
        <v>32</v>
      </c>
      <c r="E4061">
        <f>IF(D5243&gt;0,VLOOKUP(OPERAC[[#This Row],[COD CART]],[1]!MatrizCortoLargoCyl[#All],3,0),"")</f>
        <v/>
      </c>
      <c r="F4061" t="inlineStr">
        <is>
          <t>COTY</t>
        </is>
      </c>
      <c r="G4061" t="n">
        <v>200</v>
      </c>
      <c r="H4061" t="n">
        <v>-1671.039</v>
      </c>
      <c r="I4061">
        <f>-H5243/G5243</f>
        <v/>
      </c>
      <c r="J4061" s="16" t="n">
        <v>44705</v>
      </c>
      <c r="K4061" t="n">
        <v>200</v>
      </c>
      <c r="L4061" t="n">
        <v>1197.882</v>
      </c>
    </row>
    <row r="4062">
      <c r="A4062" t="n">
        <v>16780</v>
      </c>
      <c r="B4062" s="16" t="n">
        <v>44658</v>
      </c>
      <c r="C4062" t="inlineStr">
        <is>
          <t>CPR</t>
        </is>
      </c>
      <c r="D4062" t="n">
        <v>32</v>
      </c>
      <c r="E4062">
        <f>IF(D5749&gt;0,VLOOKUP(OPERAC[[#This Row],[COD CART]],[1]!MatrizCortoLargoCyl[#All],3,0),"")</f>
        <v/>
      </c>
      <c r="F4062" t="inlineStr">
        <is>
          <t>KWEB/CYL/28,00/20-05-22</t>
        </is>
      </c>
      <c r="G4062" t="n">
        <v>100</v>
      </c>
      <c r="H4062" t="n">
        <v>-2621.438</v>
      </c>
      <c r="I4062">
        <f>-H5749/G5749</f>
        <v/>
      </c>
      <c r="J4062" s="16" t="n">
        <v>44701</v>
      </c>
      <c r="K4062" t="n">
        <v>100</v>
      </c>
      <c r="L4062" t="n">
        <v>2714.698</v>
      </c>
    </row>
    <row r="4063">
      <c r="A4063" t="n">
        <v>16780</v>
      </c>
      <c r="B4063" s="16" t="n">
        <v>44662</v>
      </c>
      <c r="C4063" t="inlineStr">
        <is>
          <t>CPR</t>
        </is>
      </c>
      <c r="D4063" t="n">
        <v>42</v>
      </c>
      <c r="E4063">
        <f>IF(D3995&gt;0,VLOOKUP(OPERAC[[#This Row],[COD CART]],[1]!MatrizCortoLargoCyl[#All],3,0),"")</f>
        <v/>
      </c>
      <c r="F4063" t="inlineStr">
        <is>
          <t>UPST</t>
        </is>
      </c>
      <c r="G4063" t="n">
        <v>10</v>
      </c>
      <c r="H4063" t="n">
        <v>-914.0036</v>
      </c>
      <c r="I4063">
        <f>-H3995/G3995</f>
        <v/>
      </c>
      <c r="J4063" s="16" t="n">
        <v>44693</v>
      </c>
      <c r="K4063" t="n">
        <v>10</v>
      </c>
      <c r="L4063" t="n">
        <v>307.44</v>
      </c>
    </row>
    <row r="4064">
      <c r="A4064" t="n">
        <v>16780</v>
      </c>
      <c r="B4064" s="16" t="n">
        <v>44664</v>
      </c>
      <c r="C4064" t="inlineStr">
        <is>
          <t>CPR</t>
        </is>
      </c>
      <c r="D4064" t="n">
        <v>42</v>
      </c>
      <c r="E4064">
        <f>IF(D4193&gt;0,VLOOKUP(OPERAC[[#This Row],[COD CART]],[1]!MatrizCortoLargoCyl[#All],3,0),"")</f>
        <v/>
      </c>
      <c r="F4064" t="inlineStr">
        <is>
          <t>AMD</t>
        </is>
      </c>
      <c r="G4064" t="n">
        <v>10</v>
      </c>
      <c r="H4064" t="n">
        <v>-987.7065453</v>
      </c>
      <c r="I4064">
        <f>-H4193/G4193</f>
        <v/>
      </c>
      <c r="J4064" s="16" t="n">
        <v>44693</v>
      </c>
      <c r="K4064">
        <f>+OPERAC[[#This Row],[cantidad]]</f>
        <v/>
      </c>
      <c r="L4064">
        <f>+OPERAC[[#This Row],[cantidad venta]]*85.26</f>
        <v/>
      </c>
    </row>
    <row r="4065">
      <c r="A4065" t="n">
        <v>16780</v>
      </c>
      <c r="B4065" s="16" t="n">
        <v>44664</v>
      </c>
      <c r="C4065" t="inlineStr">
        <is>
          <t>CPR</t>
        </is>
      </c>
      <c r="D4065" t="n">
        <v>42</v>
      </c>
      <c r="E4065">
        <f>IF(D5693&gt;0,VLOOKUP(OPERAC[[#This Row],[COD CART]],[1]!MatrizCortoLargoCyl[#All],3,0),"")</f>
        <v/>
      </c>
      <c r="F4065" t="inlineStr">
        <is>
          <t>PSQ</t>
        </is>
      </c>
      <c r="G4065" t="n">
        <v>200</v>
      </c>
      <c r="H4065" t="n">
        <v>-2486.5144362</v>
      </c>
      <c r="I4065">
        <f>-H5693/G5693</f>
        <v/>
      </c>
      <c r="J4065" s="16" t="n">
        <v>44680</v>
      </c>
      <c r="K4065">
        <f>+OPERAC[[#This Row],[cantidad]]</f>
        <v/>
      </c>
      <c r="L4065">
        <f>12.848*OPERAC[[#This Row],[cantidad venta]]</f>
        <v/>
      </c>
    </row>
    <row r="4066">
      <c r="A4066" t="n">
        <v>16780</v>
      </c>
      <c r="B4066" s="16" t="n">
        <v>44671</v>
      </c>
      <c r="C4066" t="inlineStr">
        <is>
          <t>CPR</t>
        </is>
      </c>
      <c r="D4066" t="n">
        <v>42</v>
      </c>
      <c r="E4066">
        <f>IF(D4262&gt;0,VLOOKUP(OPERAC[[#This Row],[COD CART]],[1]!MatrizCortoLargoCyl[#All],3,0),"")</f>
        <v/>
      </c>
      <c r="F4066" t="inlineStr">
        <is>
          <t>NFLX</t>
        </is>
      </c>
      <c r="G4066" t="n">
        <v>4</v>
      </c>
      <c r="H4066" t="n">
        <v>-1018.02024</v>
      </c>
      <c r="I4066">
        <f>-H4262/G4262</f>
        <v/>
      </c>
      <c r="J4066" s="16" t="n">
        <v>44676</v>
      </c>
      <c r="K4066" t="n">
        <v>4</v>
      </c>
      <c r="L4066" t="n">
        <v>814.894</v>
      </c>
    </row>
    <row r="4067">
      <c r="A4067" t="n">
        <v>16780</v>
      </c>
      <c r="B4067" s="16" t="n">
        <v>44671</v>
      </c>
      <c r="C4067" t="inlineStr">
        <is>
          <t>VTA</t>
        </is>
      </c>
      <c r="D4067" t="n">
        <v>42</v>
      </c>
      <c r="E4067">
        <f>IF(D3823&gt;0,VLOOKUP(OPERAC[[#This Row],[COD CART]],[1]!MatrizCortoLargoCyl[#All],3,0),"")</f>
        <v/>
      </c>
      <c r="F4067" t="inlineStr">
        <is>
          <t>TLT</t>
        </is>
      </c>
      <c r="G4067" t="n">
        <v>7</v>
      </c>
      <c r="H4067" t="n">
        <v>-857.9410350000001</v>
      </c>
      <c r="I4067">
        <f>-H3823/G3823</f>
        <v/>
      </c>
    </row>
    <row r="4068">
      <c r="A4068" t="n">
        <v>16780</v>
      </c>
      <c r="B4068" s="16" t="n">
        <v>44673</v>
      </c>
      <c r="C4068" t="inlineStr">
        <is>
          <t>CPR</t>
        </is>
      </c>
      <c r="D4068" t="n">
        <v>43</v>
      </c>
      <c r="E4068">
        <f>IF(D4903&gt;0,VLOOKUP(OPERAC[[#This Row],[COD CART]],[1]!MatrizCortoLargoCyl[#All],3,0),"")</f>
        <v/>
      </c>
      <c r="F4068" t="inlineStr">
        <is>
          <t>PCT/CYL-PUT/5,00/19-01-24</t>
        </is>
      </c>
      <c r="G4068" t="n">
        <v>1000</v>
      </c>
      <c r="H4068" t="n">
        <v>-1473.67</v>
      </c>
      <c r="I4068">
        <f>-H4903/G4903</f>
        <v/>
      </c>
    </row>
    <row r="4069">
      <c r="A4069" t="n">
        <v>16780</v>
      </c>
      <c r="B4069" s="16" t="n">
        <v>44676</v>
      </c>
      <c r="C4069" t="inlineStr">
        <is>
          <t>CPR</t>
        </is>
      </c>
      <c r="D4069" t="n">
        <v>40</v>
      </c>
      <c r="E4069">
        <f>IF(D4447&gt;0,VLOOKUP(OPERAC[[#This Row],[COD CART]],[1]!MatrizCortoLargoCyl[#All],3,0),"")</f>
        <v/>
      </c>
      <c r="F4069" t="inlineStr">
        <is>
          <t>YORKF</t>
        </is>
      </c>
      <c r="G4069" t="n">
        <v>1000</v>
      </c>
      <c r="H4069" t="n">
        <v>-1140.06</v>
      </c>
      <c r="I4069">
        <f>-H4447/G4447</f>
        <v/>
      </c>
    </row>
    <row r="4070">
      <c r="A4070" t="n">
        <v>16780</v>
      </c>
      <c r="B4070" s="16" t="n">
        <v>44676</v>
      </c>
      <c r="C4070" t="inlineStr">
        <is>
          <t>VTA</t>
        </is>
      </c>
      <c r="D4070" t="n">
        <v>39</v>
      </c>
      <c r="E4070">
        <f>IF(D227&gt;0,VLOOKUP(OPERAC[[#This Row],[COD CART]],[1]!MatrizCortoLargoCyl[#All],3,0),"")</f>
        <v/>
      </c>
      <c r="F4070" t="inlineStr">
        <is>
          <t>TSLA/V/810,00/29-04-22</t>
        </is>
      </c>
      <c r="G4070" t="n">
        <v>-2000</v>
      </c>
      <c r="H4070" t="n">
        <v>1983</v>
      </c>
      <c r="I4070">
        <f>-H227/G227</f>
        <v/>
      </c>
      <c r="J4070" s="16" t="n">
        <v>44679</v>
      </c>
      <c r="K4070" t="n">
        <v>-2000</v>
      </c>
      <c r="L4070" t="n">
        <v>-31969.45</v>
      </c>
    </row>
    <row r="4071">
      <c r="A4071" t="n">
        <v>16780</v>
      </c>
      <c r="B4071" s="16" t="n">
        <v>44676</v>
      </c>
      <c r="C4071" t="inlineStr">
        <is>
          <t>VTA</t>
        </is>
      </c>
      <c r="D4071" t="n">
        <v>39</v>
      </c>
      <c r="E4071">
        <f>IF(D266&gt;0,VLOOKUP(OPERAC[[#This Row],[COD CART]],[1]!MatrizCortoLargoCyl[#All],3,0),"")</f>
        <v/>
      </c>
      <c r="F4071" t="inlineStr">
        <is>
          <t>UPST/C/92,00/29-04-22</t>
        </is>
      </c>
      <c r="G4071" t="n">
        <v>-2000</v>
      </c>
      <c r="H4071" t="n">
        <v>1685.55</v>
      </c>
      <c r="I4071">
        <f>-H266/G266</f>
        <v/>
      </c>
      <c r="J4071" s="16" t="n">
        <v>44678</v>
      </c>
      <c r="K4071" t="n">
        <v>-2000</v>
      </c>
      <c r="L4071" t="n">
        <v>-161.36</v>
      </c>
    </row>
    <row r="4072">
      <c r="A4072" t="n">
        <v>16780</v>
      </c>
      <c r="B4072" s="16" t="n">
        <v>44676</v>
      </c>
      <c r="C4072" t="inlineStr">
        <is>
          <t>VTA</t>
        </is>
      </c>
      <c r="D4072" t="n">
        <v>39</v>
      </c>
      <c r="E4072">
        <f>IF(D295&gt;0,VLOOKUP(OPERAC[[#This Row],[COD CART]],[1]!MatrizCortoLargoCyl[#All],3,0),"")</f>
        <v/>
      </c>
      <c r="F4072" t="inlineStr">
        <is>
          <t>UPST/V/66,00/29-04-22</t>
        </is>
      </c>
      <c r="G4072" t="n">
        <v>-2000</v>
      </c>
      <c r="H4072" t="n">
        <v>1586.4</v>
      </c>
      <c r="I4072">
        <f>-H295/G295</f>
        <v/>
      </c>
      <c r="J4072" s="16" t="n">
        <v>44680</v>
      </c>
      <c r="K4072" t="n">
        <v>-2000</v>
      </c>
      <c r="L4072" t="n">
        <v>0</v>
      </c>
    </row>
    <row r="4073">
      <c r="A4073" t="n">
        <v>16780</v>
      </c>
      <c r="B4073" s="16" t="n">
        <v>44676</v>
      </c>
      <c r="C4073" t="inlineStr">
        <is>
          <t>VTA</t>
        </is>
      </c>
      <c r="D4073" t="n">
        <v>39</v>
      </c>
      <c r="E4073">
        <f>IF(D891&gt;0,VLOOKUP(OPERAC[[#This Row],[COD CART]],[1]!MatrizCortoLargoCyl[#All],3,0),"")</f>
        <v/>
      </c>
      <c r="F4073" t="inlineStr">
        <is>
          <t>TSLA/V/400,00/19-01-24</t>
        </is>
      </c>
      <c r="G4073" t="n">
        <v>-5</v>
      </c>
      <c r="H4073" t="n">
        <v>171.03</v>
      </c>
      <c r="I4073">
        <f>-H891/G891</f>
        <v/>
      </c>
    </row>
    <row r="4074">
      <c r="A4074" t="n">
        <v>16780</v>
      </c>
      <c r="B4074" s="16" t="n">
        <v>44676</v>
      </c>
      <c r="C4074" t="inlineStr">
        <is>
          <t>VTA</t>
        </is>
      </c>
      <c r="D4074" t="n">
        <v>39</v>
      </c>
      <c r="E4074">
        <f>IF(D989&gt;0,VLOOKUP(OPERAC[[#This Row],[COD CART]],[1]!MatrizCortoLargoCyl[#All],3,0),"")</f>
        <v/>
      </c>
      <c r="F4074" t="inlineStr">
        <is>
          <t>TSLA/V/650,00/17-06-22</t>
        </is>
      </c>
      <c r="G4074" t="n">
        <v>-10</v>
      </c>
      <c r="H4074" t="n">
        <v>72.37949999999999</v>
      </c>
      <c r="I4074">
        <f>-H989/G989</f>
        <v/>
      </c>
      <c r="J4074" s="16" t="n">
        <v>44700</v>
      </c>
      <c r="K4074">
        <f>-4-2-1-3</f>
        <v/>
      </c>
      <c r="L4074">
        <f>-137.96-71.09-63.53-196.65</f>
        <v/>
      </c>
    </row>
    <row r="4075">
      <c r="A4075" t="n">
        <v>16780</v>
      </c>
      <c r="B4075" s="16" t="n">
        <v>44677</v>
      </c>
      <c r="C4075" t="inlineStr">
        <is>
          <t>VTA</t>
        </is>
      </c>
      <c r="D4075" t="n">
        <v>39</v>
      </c>
      <c r="E4075">
        <f>IF(D41&gt;0,VLOOKUP(OPERAC[[#This Row],[COD CART]],[1]!MatrizCortoLargoCyl[#All],3,0),"")</f>
        <v/>
      </c>
      <c r="F4075" t="inlineStr">
        <is>
          <t>TSLA/V/750,00/29-04-22</t>
        </is>
      </c>
      <c r="G4075" t="n">
        <v>-2000</v>
      </c>
      <c r="H4075" t="n">
        <v>5587.103</v>
      </c>
      <c r="I4075">
        <f>-H41/G41</f>
        <v/>
      </c>
      <c r="J4075" s="16" t="n">
        <v>44678</v>
      </c>
      <c r="K4075" t="n">
        <v>-2000</v>
      </c>
      <c r="L4075" t="n">
        <v>-1411.9</v>
      </c>
    </row>
    <row r="4076">
      <c r="A4076" t="n">
        <v>16780</v>
      </c>
      <c r="B4076" s="16" t="n">
        <v>44678</v>
      </c>
      <c r="C4076" t="inlineStr">
        <is>
          <t>VTA</t>
        </is>
      </c>
      <c r="D4076" t="n">
        <v>39</v>
      </c>
      <c r="E4076">
        <f>IF(D201&gt;0,VLOOKUP(OPERAC[[#This Row],[COD CART]],[1]!MatrizCortoLargoCyl[#All],3,0),"")</f>
        <v/>
      </c>
      <c r="F4076" t="inlineStr">
        <is>
          <t>TSLA/V/775,00/29-04-22</t>
        </is>
      </c>
      <c r="G4076" t="n">
        <v>-2000</v>
      </c>
      <c r="H4076" t="n">
        <v>2181.3</v>
      </c>
      <c r="I4076">
        <f>-H201/G201</f>
        <v/>
      </c>
      <c r="J4076" s="16" t="n">
        <v>44680</v>
      </c>
      <c r="K4076" t="n">
        <v>-2000</v>
      </c>
      <c r="L4076" t="n">
        <v>0</v>
      </c>
    </row>
    <row r="4077">
      <c r="A4077" t="n">
        <v>16780</v>
      </c>
      <c r="B4077" s="16" t="n">
        <v>44678</v>
      </c>
      <c r="C4077" t="inlineStr">
        <is>
          <t>VTA</t>
        </is>
      </c>
      <c r="D4077" t="n">
        <v>39</v>
      </c>
      <c r="E4077">
        <f>IF(D410&gt;0,VLOOKUP(OPERAC[[#This Row],[COD CART]],[1]!MatrizCortoLargoCyl[#All],3,0),"")</f>
        <v/>
      </c>
      <c r="F4077" t="inlineStr">
        <is>
          <t>TSLA/V/740,00/29-04-22</t>
        </is>
      </c>
      <c r="G4077" t="n">
        <v>-2000</v>
      </c>
      <c r="H4077" t="n">
        <v>1130.31</v>
      </c>
      <c r="I4077">
        <f>-H410/G410</f>
        <v/>
      </c>
      <c r="J4077" s="16" t="n">
        <v>44680</v>
      </c>
      <c r="K4077" t="n">
        <v>-2000</v>
      </c>
      <c r="L4077" t="n">
        <v>-60.51</v>
      </c>
    </row>
    <row r="4078">
      <c r="A4078" t="n">
        <v>16780</v>
      </c>
      <c r="B4078" s="16" t="n">
        <v>44679</v>
      </c>
      <c r="C4078" t="inlineStr">
        <is>
          <t>VTA</t>
        </is>
      </c>
      <c r="D4078" t="n">
        <v>39</v>
      </c>
      <c r="E4078">
        <f>IF(D148&gt;0,VLOOKUP(OPERAC[[#This Row],[COD CART]],[1]!MatrizCortoLargoCyl[#All],3,0),"")</f>
        <v/>
      </c>
      <c r="F4078" t="inlineStr">
        <is>
          <t>TSLA/V/775,00/29-04-22</t>
        </is>
      </c>
      <c r="G4078" t="n">
        <v>-1000</v>
      </c>
      <c r="H4078" t="n">
        <v>2805.945</v>
      </c>
      <c r="I4078">
        <f>-H148/G148</f>
        <v/>
      </c>
      <c r="J4078" s="16" t="n">
        <v>44680</v>
      </c>
      <c r="K4078">
        <f>+OPERAC[[#This Row],[cantidad]]</f>
        <v/>
      </c>
      <c r="L4078" t="n">
        <v>0</v>
      </c>
    </row>
    <row r="4079">
      <c r="A4079" t="n">
        <v>16780</v>
      </c>
      <c r="B4079" s="16" t="n">
        <v>44679</v>
      </c>
      <c r="C4079" t="inlineStr">
        <is>
          <t>VTA</t>
        </is>
      </c>
      <c r="D4079" t="n">
        <v>39</v>
      </c>
      <c r="E4079">
        <f>IF(D797&gt;0,VLOOKUP(OPERAC[[#This Row],[COD CART]],[1]!MatrizCortoLargoCyl[#All],3,0),"")</f>
        <v/>
      </c>
      <c r="F4079" t="inlineStr">
        <is>
          <t>TSLA/V/650,00/17-06-22</t>
        </is>
      </c>
      <c r="G4079" t="n">
        <v>-10</v>
      </c>
      <c r="H4079" t="n">
        <v>259.17</v>
      </c>
      <c r="I4079">
        <f>-H797/G797</f>
        <v/>
      </c>
      <c r="J4079" s="16" t="n">
        <v>44706</v>
      </c>
      <c r="K4079">
        <f>-3-7</f>
        <v/>
      </c>
      <c r="L4079">
        <f>-12968.4-28.49-171.42</f>
        <v/>
      </c>
    </row>
    <row r="4080">
      <c r="A4080" t="n">
        <v>16780</v>
      </c>
      <c r="B4080" s="16" t="n">
        <v>44680</v>
      </c>
      <c r="C4080" t="inlineStr">
        <is>
          <t>CPR</t>
        </is>
      </c>
      <c r="D4080" t="n">
        <v>42</v>
      </c>
      <c r="E4080">
        <f>IF(D5744&gt;0,VLOOKUP(OPERAC[[#This Row],[COD CART]],[1]!MatrizCortoLargoCyl[#All],3,0),"")</f>
        <v/>
      </c>
      <c r="F4080" t="inlineStr">
        <is>
          <t>XLP</t>
        </is>
      </c>
      <c r="G4080" t="n">
        <v>33</v>
      </c>
      <c r="H4080" t="n">
        <v>-2621.3385825</v>
      </c>
      <c r="I4080">
        <f>-H5744/G5744</f>
        <v/>
      </c>
      <c r="J4080" s="16" t="n">
        <v>44693</v>
      </c>
      <c r="K4080">
        <f>+OPERAC[[#This Row],[cantidad]]</f>
        <v/>
      </c>
      <c r="L4080">
        <f>+OPERAC[[#This Row],[cantidad venta]]*74.848</f>
        <v/>
      </c>
    </row>
    <row r="4081">
      <c r="A4081" t="n">
        <v>16780</v>
      </c>
      <c r="B4081" s="16" t="n">
        <v>44683</v>
      </c>
      <c r="C4081" t="inlineStr">
        <is>
          <t>CPR</t>
        </is>
      </c>
      <c r="D4081" t="n">
        <v>32</v>
      </c>
      <c r="E4081">
        <f>IF(D3303&gt;0,VLOOKUP(OPERAC[[#This Row],[COD CART]],[1]!MatrizCortoLargoCyl[#All],3,0),"")</f>
        <v/>
      </c>
      <c r="F4081" t="inlineStr">
        <is>
          <t>CRESY/CYL/7,50/17-06-22</t>
        </is>
      </c>
      <c r="G4081" t="n">
        <v>100</v>
      </c>
      <c r="H4081">
        <f>-704.698+19.83</f>
        <v/>
      </c>
      <c r="I4081">
        <f>-H3303/G3303</f>
        <v/>
      </c>
    </row>
    <row r="4082">
      <c r="A4082" t="n">
        <v>16780</v>
      </c>
      <c r="B4082" s="16" t="n">
        <v>44700</v>
      </c>
      <c r="C4082" t="inlineStr">
        <is>
          <t>VTA</t>
        </is>
      </c>
      <c r="D4082" t="n">
        <v>39</v>
      </c>
      <c r="E4082">
        <f>IF(D104&gt;0,VLOOKUP(OPERAC[[#This Row],[COD CART]],[1]!MatrizCortoLargoCyl[#All],3,0),"")</f>
        <v/>
      </c>
      <c r="F4082" t="inlineStr">
        <is>
          <t>TSLA/P/625,00/20-05-22</t>
        </is>
      </c>
      <c r="G4082" t="n">
        <v>-2000</v>
      </c>
      <c r="H4082" t="n">
        <v>3366</v>
      </c>
      <c r="I4082">
        <f>-H104/G104</f>
        <v/>
      </c>
      <c r="J4082" s="16" t="n">
        <v>44701</v>
      </c>
      <c r="K4082" t="n">
        <v>-2000</v>
      </c>
      <c r="L4082" t="n">
        <v>0</v>
      </c>
    </row>
    <row r="4083">
      <c r="A4083" t="n">
        <v>16780</v>
      </c>
      <c r="B4083" s="16" t="n">
        <v>44700</v>
      </c>
      <c r="C4083" t="inlineStr">
        <is>
          <t>VTA</t>
        </is>
      </c>
      <c r="D4083" t="n">
        <v>39</v>
      </c>
      <c r="E4083">
        <f>IF(D228&gt;0,VLOOKUP(OPERAC[[#This Row],[COD CART]],[1]!MatrizCortoLargoCyl[#All],3,0),"")</f>
        <v/>
      </c>
      <c r="F4083" t="inlineStr">
        <is>
          <t>TSLA/P/605,00/20-05-22</t>
        </is>
      </c>
      <c r="G4083" t="n">
        <v>-2000</v>
      </c>
      <c r="H4083" t="n">
        <v>1980</v>
      </c>
      <c r="I4083">
        <f>-H228/G228</f>
        <v/>
      </c>
      <c r="J4083" s="16" t="n">
        <v>44701</v>
      </c>
      <c r="K4083" t="n">
        <v>-2000</v>
      </c>
      <c r="L4083" t="n">
        <v>0</v>
      </c>
    </row>
    <row r="4084">
      <c r="A4084" t="n">
        <v>16780</v>
      </c>
      <c r="B4084" s="16" t="n">
        <v>44700</v>
      </c>
      <c r="C4084" t="inlineStr">
        <is>
          <t>VTA</t>
        </is>
      </c>
      <c r="D4084" t="n">
        <v>39</v>
      </c>
      <c r="E4084">
        <f>IF(D229&gt;0,VLOOKUP(OPERAC[[#This Row],[COD CART]],[1]!MatrizCortoLargoCyl[#All],3,0),"")</f>
        <v/>
      </c>
      <c r="F4084" t="inlineStr">
        <is>
          <t>TSLA/C/770,00/20-05-22</t>
        </is>
      </c>
      <c r="G4084" t="n">
        <v>-1000</v>
      </c>
      <c r="H4084" t="n">
        <v>1980</v>
      </c>
      <c r="I4084">
        <f>-H229/G229</f>
        <v/>
      </c>
      <c r="J4084" s="16" t="n">
        <v>44701</v>
      </c>
      <c r="K4084" t="n">
        <v>-1000</v>
      </c>
      <c r="L4084" t="n">
        <v>0</v>
      </c>
    </row>
    <row r="4085">
      <c r="A4085" t="n">
        <v>16780</v>
      </c>
      <c r="B4085" s="16" t="n">
        <v>44705</v>
      </c>
      <c r="C4085" t="inlineStr">
        <is>
          <t>VTA</t>
        </is>
      </c>
      <c r="D4085" t="n">
        <v>39</v>
      </c>
      <c r="E4085">
        <f>IF(D13&gt;0,VLOOKUP(OPERAC[[#This Row],[COD CART]],[1]!MatrizCortoLargoCyl[#All],3,0),"")</f>
        <v/>
      </c>
      <c r="F4085" t="inlineStr">
        <is>
          <t>TSLA/P/585,00/27-05-22</t>
        </is>
      </c>
      <c r="G4085" t="n">
        <v>-1000</v>
      </c>
      <c r="H4085" t="n">
        <v>10708.2</v>
      </c>
      <c r="I4085">
        <f>-H13/G13</f>
        <v/>
      </c>
      <c r="J4085" s="16" t="n">
        <v>44706</v>
      </c>
      <c r="K4085">
        <f>+OPERAC[[#This Row],[cantidad]]</f>
        <v/>
      </c>
      <c r="L4085" t="n">
        <v>-1512.75</v>
      </c>
    </row>
    <row r="4086">
      <c r="A4086" t="n">
        <v>16780</v>
      </c>
      <c r="B4086" s="16" t="n">
        <v>44705</v>
      </c>
      <c r="C4086" t="inlineStr">
        <is>
          <t>VTA</t>
        </is>
      </c>
      <c r="D4086" t="n">
        <v>39</v>
      </c>
      <c r="E4086">
        <f>IF(D31&gt;0,VLOOKUP(OPERAC[[#This Row],[COD CART]],[1]!MatrizCortoLargoCyl[#All],3,0),"")</f>
        <v/>
      </c>
      <c r="F4086" t="inlineStr">
        <is>
          <t>TSLA/P/550,00/27-05-22</t>
        </is>
      </c>
      <c r="G4086" t="n">
        <v>-2000</v>
      </c>
      <c r="H4086" t="n">
        <v>6543.9</v>
      </c>
      <c r="I4086">
        <f>-H31/G31</f>
        <v/>
      </c>
      <c r="J4086" s="16" t="n">
        <v>44706</v>
      </c>
      <c r="K4086">
        <f>+OPERAC[[#This Row],[cantidad]]</f>
        <v/>
      </c>
      <c r="L4086" t="n">
        <v>-907.65</v>
      </c>
    </row>
    <row r="4087">
      <c r="A4087" t="n">
        <v>16780</v>
      </c>
      <c r="B4087" s="16" t="n">
        <v>44707</v>
      </c>
      <c r="C4087" t="inlineStr">
        <is>
          <t>VTA</t>
        </is>
      </c>
      <c r="D4087" t="n">
        <v>32</v>
      </c>
      <c r="E4087">
        <f>IF(D15&gt;0,VLOOKUP(OPERAC[[#This Row],[COD CART]],[1]!MatrizCortoLargoCyl[#All],3,0),"")</f>
        <v/>
      </c>
      <c r="F4087" t="inlineStr">
        <is>
          <t>TSLA/P/600,00/17-06-22</t>
        </is>
      </c>
      <c r="G4087" t="n">
        <v>-1000</v>
      </c>
      <c r="H4087" t="n">
        <v>10364.15</v>
      </c>
      <c r="I4087">
        <f>-H15/G15</f>
        <v/>
      </c>
      <c r="J4087" s="16" t="n">
        <v>44726</v>
      </c>
      <c r="K4087" t="n">
        <v>-1000</v>
      </c>
      <c r="L4087" t="n">
        <v>-6706.525</v>
      </c>
    </row>
    <row r="4088">
      <c r="A4088" t="n">
        <v>16780</v>
      </c>
      <c r="B4088" s="16" t="n">
        <v>44712</v>
      </c>
      <c r="C4088" t="inlineStr">
        <is>
          <t>CPR</t>
        </is>
      </c>
      <c r="D4088" t="n">
        <v>32</v>
      </c>
      <c r="E4088">
        <f>IF(D3313&gt;0,VLOOKUP(OPERAC[[#This Row],[COD CART]],[1]!MatrizCortoLargoCyl[#All],3,0),"")</f>
        <v/>
      </c>
      <c r="F4088" t="inlineStr">
        <is>
          <t>CRESY/CYL/7,50/17-06-22</t>
        </is>
      </c>
      <c r="G4088" t="n">
        <v>100</v>
      </c>
      <c r="H4088" t="n">
        <v>-689.1799999999999</v>
      </c>
      <c r="I4088">
        <f>-H3313/G3313</f>
        <v/>
      </c>
    </row>
    <row r="4089">
      <c r="A4089" t="n">
        <v>16780</v>
      </c>
      <c r="B4089" s="16" t="n">
        <v>44712</v>
      </c>
      <c r="C4089" t="inlineStr">
        <is>
          <t>CPR</t>
        </is>
      </c>
      <c r="D4089" t="n">
        <v>32</v>
      </c>
      <c r="E4089">
        <f>IF(D4292&gt;0,VLOOKUP(OPERAC[[#This Row],[COD CART]],[1]!MatrizCortoLargoCyl[#All],3,0),"")</f>
        <v/>
      </c>
      <c r="F4089" t="inlineStr">
        <is>
          <t>EDIT/CYL/11,00/17-06-22</t>
        </is>
      </c>
      <c r="G4089" t="n">
        <v>100</v>
      </c>
      <c r="H4089" t="n">
        <v>-1045.38</v>
      </c>
      <c r="I4089">
        <f>-H4292/G4292</f>
        <v/>
      </c>
    </row>
    <row r="4090">
      <c r="A4090" t="n">
        <v>16780</v>
      </c>
      <c r="B4090" s="16" t="n">
        <v>44712</v>
      </c>
      <c r="C4090" t="inlineStr">
        <is>
          <t>CPR</t>
        </is>
      </c>
      <c r="D4090" t="n">
        <v>32</v>
      </c>
      <c r="E4090">
        <f>IF(D4302&gt;0,VLOOKUP(OPERAC[[#This Row],[COD CART]],[1]!MatrizCortoLargoCyl[#All],3,0),"")</f>
        <v/>
      </c>
      <c r="F4090" t="inlineStr">
        <is>
          <t>DDD</t>
        </is>
      </c>
      <c r="G4090" t="n">
        <v>100</v>
      </c>
      <c r="H4090" t="n">
        <v>-1047.18</v>
      </c>
      <c r="I4090">
        <f>-H4302/G4302</f>
        <v/>
      </c>
    </row>
    <row r="4091">
      <c r="A4091" t="n">
        <v>16780</v>
      </c>
      <c r="B4091" s="16" t="n">
        <v>44712</v>
      </c>
      <c r="C4091" t="inlineStr">
        <is>
          <t>CPR</t>
        </is>
      </c>
      <c r="D4091" t="n">
        <v>32</v>
      </c>
      <c r="E4091">
        <f>IF(D4752&gt;0,VLOOKUP(OPERAC[[#This Row],[COD CART]],[1]!MatrizCortoLargoCyl[#All],3,0),"")</f>
        <v/>
      </c>
      <c r="F4091" t="inlineStr">
        <is>
          <t>COTY/CYL/7,00/17-06-22</t>
        </is>
      </c>
      <c r="G4091" t="n">
        <v>200</v>
      </c>
      <c r="H4091" t="n">
        <v>-1355.81</v>
      </c>
      <c r="I4091">
        <f>-H4752/G4752</f>
        <v/>
      </c>
    </row>
    <row r="4092">
      <c r="A4092" t="n">
        <v>16780</v>
      </c>
      <c r="B4092" s="16" t="n">
        <v>44712</v>
      </c>
      <c r="C4092" t="inlineStr">
        <is>
          <t>CPR</t>
        </is>
      </c>
      <c r="D4092" t="n">
        <v>42</v>
      </c>
      <c r="E4092">
        <f>IF(D5870&gt;0,VLOOKUP(OPERAC[[#This Row],[COD CART]],[1]!MatrizCortoLargoCyl[#All],3,0),"")</f>
        <v/>
      </c>
      <c r="F4092" t="inlineStr">
        <is>
          <t>KWEB</t>
        </is>
      </c>
      <c r="G4092" t="n">
        <v>100</v>
      </c>
      <c r="H4092" t="n">
        <v>-2951.8795</v>
      </c>
      <c r="I4092">
        <f>-H5870/G5870</f>
        <v/>
      </c>
    </row>
    <row r="4093">
      <c r="A4093" t="n">
        <v>16780</v>
      </c>
      <c r="B4093" s="16" t="n">
        <v>44712</v>
      </c>
      <c r="C4093" t="inlineStr">
        <is>
          <t>VTA</t>
        </is>
      </c>
      <c r="D4093" t="n">
        <v>39</v>
      </c>
      <c r="E4093">
        <f>IF(D866&gt;0,VLOOKUP(OPERAC[[#This Row],[COD CART]],[1]!MatrizCortoLargoCyl[#All],3,0),"")</f>
        <v/>
      </c>
      <c r="F4093" t="inlineStr">
        <is>
          <t>TSLA/V/365,00/20-01-23</t>
        </is>
      </c>
      <c r="G4093" t="n">
        <v>-10</v>
      </c>
      <c r="H4093" t="n">
        <v>198.45</v>
      </c>
      <c r="I4093">
        <f>-H866/G866</f>
        <v/>
      </c>
    </row>
    <row r="4094">
      <c r="A4094" t="n">
        <v>16780</v>
      </c>
      <c r="B4094" s="16" t="n">
        <v>44713</v>
      </c>
      <c r="C4094" t="inlineStr">
        <is>
          <t>CPR</t>
        </is>
      </c>
      <c r="D4094" t="n">
        <v>42</v>
      </c>
      <c r="E4094">
        <f>IF(D6150&gt;0,VLOOKUP(OPERAC[[#This Row],[COD CART]],[1]!MatrizCortoLargoCyl[#All],3,0),"")</f>
        <v/>
      </c>
      <c r="F4094" t="inlineStr">
        <is>
          <t>UPST</t>
        </is>
      </c>
      <c r="G4094" t="n">
        <v>100</v>
      </c>
      <c r="H4094" t="n">
        <v>-4814.682</v>
      </c>
      <c r="I4094">
        <f>-H6150/G6150</f>
        <v/>
      </c>
      <c r="J4094" s="16" t="n">
        <v>44714</v>
      </c>
      <c r="K4094">
        <f>+OPERAC[[#This Row],[cantidad]]</f>
        <v/>
      </c>
      <c r="L4094">
        <f>+OPERAC[[#This Row],[cantidad venta]]*49.312</f>
        <v/>
      </c>
    </row>
    <row r="4095">
      <c r="A4095" t="n">
        <v>16780</v>
      </c>
      <c r="B4095" s="16" t="n">
        <v>44720</v>
      </c>
      <c r="C4095" t="inlineStr">
        <is>
          <t>CPR</t>
        </is>
      </c>
      <c r="D4095" t="n">
        <v>42</v>
      </c>
      <c r="E4095">
        <f>IF(D5913&gt;0,VLOOKUP(OPERAC[[#This Row],[COD CART]],[1]!MatrizCortoLargoCyl[#All],3,0),"")</f>
        <v/>
      </c>
      <c r="F4095" t="inlineStr">
        <is>
          <t>HYDR</t>
        </is>
      </c>
      <c r="G4095" t="n">
        <v>200</v>
      </c>
      <c r="H4095" t="n">
        <v>-3025.5</v>
      </c>
      <c r="I4095">
        <f>-H5913/G5913</f>
        <v/>
      </c>
    </row>
    <row r="4096">
      <c r="A4096" t="n">
        <v>16780</v>
      </c>
      <c r="B4096" s="16" t="n">
        <v>44720</v>
      </c>
      <c r="C4096" t="inlineStr">
        <is>
          <t>CPR</t>
        </is>
      </c>
      <c r="D4096" t="n">
        <v>42</v>
      </c>
      <c r="E4096">
        <f>IF(D6083&gt;0,VLOOKUP(OPERAC[[#This Row],[COD CART]],[1]!MatrizCortoLargoCyl[#All],3,0),"")</f>
        <v/>
      </c>
      <c r="F4096" t="inlineStr">
        <is>
          <t>EDIT</t>
        </is>
      </c>
      <c r="G4096" t="n">
        <v>300</v>
      </c>
      <c r="H4096" t="n">
        <v>-3948.2775</v>
      </c>
      <c r="I4096">
        <f>-H6083/G6083</f>
        <v/>
      </c>
    </row>
    <row r="4097">
      <c r="A4097" t="n">
        <v>16780</v>
      </c>
      <c r="B4097" s="16" t="n">
        <v>44725</v>
      </c>
      <c r="C4097" t="inlineStr">
        <is>
          <t>VTA</t>
        </is>
      </c>
      <c r="D4097" t="n">
        <v>39</v>
      </c>
      <c r="E4097">
        <f>IF(D14&gt;0,VLOOKUP(OPERAC[[#This Row],[COD CART]],[1]!MatrizCortoLargoCyl[#All],3,0),"")</f>
        <v/>
      </c>
      <c r="F4097" t="inlineStr">
        <is>
          <t>TSLA/P/560,00/24-06-22</t>
        </is>
      </c>
      <c r="G4097" t="n">
        <v>-1000</v>
      </c>
      <c r="H4097" t="n">
        <v>10609.05</v>
      </c>
      <c r="I4097">
        <f>-H14/G14</f>
        <v/>
      </c>
    </row>
    <row r="4098">
      <c r="A4098" t="n">
        <v>16783</v>
      </c>
      <c r="B4098" s="16" t="n">
        <v>43891</v>
      </c>
      <c r="C4098" t="inlineStr">
        <is>
          <t>VTA</t>
        </is>
      </c>
      <c r="D4098" t="n">
        <v>31</v>
      </c>
      <c r="E4098">
        <f>IF(D1933&gt;0,VLOOKUP(OPERAC[[#This Row],[COD CART]],[1]!MatrizCortoLargoCyl[#All],3,0),"")</f>
        <v/>
      </c>
      <c r="F4098" t="inlineStr">
        <is>
          <t>IPIX</t>
        </is>
      </c>
      <c r="G4098" t="n">
        <v>2500</v>
      </c>
      <c r="H4098" t="n">
        <v>-300</v>
      </c>
      <c r="I4098" t="n">
        <v>0.12</v>
      </c>
    </row>
    <row r="4099">
      <c r="A4099" t="n">
        <v>16783</v>
      </c>
      <c r="B4099" s="16" t="n">
        <v>43891</v>
      </c>
      <c r="C4099" t="inlineStr">
        <is>
          <t>VTA</t>
        </is>
      </c>
      <c r="D4099" t="n">
        <v>31</v>
      </c>
      <c r="E4099">
        <f>IF(D5477&gt;0,VLOOKUP(OPERAC[[#This Row],[COD CART]],[1]!MatrizCortoLargoCyl[#All],3,0),"")</f>
        <v/>
      </c>
      <c r="F4099" t="inlineStr">
        <is>
          <t>SUPV</t>
        </is>
      </c>
      <c r="G4099" t="n">
        <v>1000</v>
      </c>
      <c r="H4099" t="n">
        <v>-1942.72</v>
      </c>
      <c r="I4099" t="n">
        <v>1.94272</v>
      </c>
    </row>
    <row r="4100">
      <c r="A4100" t="n">
        <v>16783</v>
      </c>
      <c r="B4100" s="16" t="n">
        <v>44147</v>
      </c>
      <c r="C4100" t="inlineStr">
        <is>
          <t>VTA</t>
        </is>
      </c>
      <c r="D4100" t="n">
        <v>32</v>
      </c>
      <c r="E4100">
        <f>IF(D1441&gt;0,VLOOKUP(OPERAC[[#This Row],[COD CART]],[1]!MatrizCortoLargoCyl[#All],3,0),"")</f>
        <v/>
      </c>
      <c r="F4100" t="inlineStr">
        <is>
          <t>MNKD/CYL/2,50/20-01-23</t>
        </is>
      </c>
      <c r="G4100" t="n">
        <v>100</v>
      </c>
      <c r="H4100" t="n">
        <v>-157.94818</v>
      </c>
      <c r="I4100">
        <f>-H1441/G1441</f>
        <v/>
      </c>
    </row>
    <row r="4101">
      <c r="A4101" t="n">
        <v>16783</v>
      </c>
      <c r="B4101" s="16" t="n">
        <v>44147</v>
      </c>
      <c r="C4101" t="inlineStr">
        <is>
          <t>VTA</t>
        </is>
      </c>
      <c r="D4101" t="n">
        <v>32</v>
      </c>
      <c r="E4101">
        <f>IF(D5363&gt;0,VLOOKUP(OPERAC[[#This Row],[COD CART]],[1]!MatrizCortoLargoCyl[#All],3,0),"")</f>
        <v/>
      </c>
      <c r="F4101" t="inlineStr">
        <is>
          <t>MNKD/CYL/3,00/20-01-23</t>
        </is>
      </c>
      <c r="G4101" t="n">
        <v>1000</v>
      </c>
      <c r="H4101" t="n">
        <v>-1790.8718</v>
      </c>
      <c r="I4101">
        <f>-H5363/G5363</f>
        <v/>
      </c>
    </row>
    <row r="4102">
      <c r="A4102" t="n">
        <v>16783</v>
      </c>
      <c r="B4102" s="16" t="n">
        <v>44167</v>
      </c>
      <c r="C4102" t="inlineStr">
        <is>
          <t>VTA</t>
        </is>
      </c>
      <c r="D4102" t="n">
        <v>39</v>
      </c>
      <c r="E4102">
        <f>IF(D620&gt;0,VLOOKUP(OPERAC[[#This Row],[COD CART]],[1]!MatrizCortoLargoCyl[#All],3,0),"")</f>
        <v/>
      </c>
      <c r="F4102" t="inlineStr">
        <is>
          <t>PBR/V/8,00/21-01-22</t>
        </is>
      </c>
      <c r="G4102" t="n">
        <v>-600</v>
      </c>
      <c r="H4102" t="n">
        <v>592.5700000000001</v>
      </c>
      <c r="I4102">
        <f>-H620/G620</f>
        <v/>
      </c>
      <c r="J4102" s="16" t="n">
        <v>44582</v>
      </c>
      <c r="K4102" t="n">
        <v>-600</v>
      </c>
      <c r="L4102" t="n">
        <v>0</v>
      </c>
    </row>
    <row r="4103">
      <c r="A4103" t="n">
        <v>16783</v>
      </c>
      <c r="B4103" s="16" t="n">
        <v>44340</v>
      </c>
      <c r="C4103" t="inlineStr">
        <is>
          <t>VTA</t>
        </is>
      </c>
      <c r="D4103" t="n">
        <v>39</v>
      </c>
      <c r="E4103">
        <f>IF(D174&gt;0,VLOOKUP(OPERAC[[#This Row],[COD CART]],[1]!MatrizCortoLargoCyl[#All],3,0),"")</f>
        <v/>
      </c>
      <c r="F4103" t="inlineStr">
        <is>
          <t>SOLO/V/3,50/21-01-22</t>
        </is>
      </c>
      <c r="G4103" t="n">
        <v>-2100</v>
      </c>
      <c r="H4103" t="n">
        <v>2303.7955</v>
      </c>
      <c r="I4103">
        <f>-H174/G174</f>
        <v/>
      </c>
      <c r="J4103" s="16" t="n">
        <v>44579</v>
      </c>
      <c r="K4103">
        <f>+OPERAC[[#This Row],[cantidad]]</f>
        <v/>
      </c>
      <c r="L4103">
        <f>-OPERAC[[#This Row],[importe]]</f>
        <v/>
      </c>
    </row>
    <row r="4104">
      <c r="A4104" t="n">
        <v>16783</v>
      </c>
      <c r="B4104" s="16" t="n">
        <v>44341</v>
      </c>
      <c r="C4104" t="inlineStr">
        <is>
          <t>VTA</t>
        </is>
      </c>
      <c r="D4104" t="n">
        <v>39</v>
      </c>
      <c r="E4104">
        <f>IF(D1112&gt;0,VLOOKUP(OPERAC[[#This Row],[COD CART]],[1]!MatrizCortoLargoCyl[#All],3,0),"")</f>
        <v/>
      </c>
      <c r="F4104" t="inlineStr">
        <is>
          <t>ACB/V/5,00/20-01-23</t>
        </is>
      </c>
      <c r="G4104" t="n">
        <v>-15</v>
      </c>
      <c r="H4104" t="n">
        <v>22.5</v>
      </c>
      <c r="I4104">
        <f>-H1112/G1112</f>
        <v/>
      </c>
    </row>
    <row r="4105">
      <c r="A4105" t="n">
        <v>16783</v>
      </c>
      <c r="B4105" s="16" t="n">
        <v>44431</v>
      </c>
      <c r="C4105" t="inlineStr">
        <is>
          <t>VTA</t>
        </is>
      </c>
      <c r="D4105" t="n">
        <v>39</v>
      </c>
      <c r="E4105">
        <f>IF(D1103&gt;0,VLOOKUP(OPERAC[[#This Row],[COD CART]],[1]!MatrizCortoLargoCyl[#All],3,0),"")</f>
        <v/>
      </c>
      <c r="F4105" t="inlineStr">
        <is>
          <t>GGAL/V/10,00/20-01-23</t>
        </is>
      </c>
      <c r="G4105" t="n">
        <v>-10</v>
      </c>
      <c r="H4105" t="n">
        <v>24.8</v>
      </c>
      <c r="I4105">
        <f>-H1103/G1103</f>
        <v/>
      </c>
    </row>
    <row r="4106">
      <c r="A4106" t="n">
        <v>16783</v>
      </c>
      <c r="B4106" s="16" t="n">
        <v>44438</v>
      </c>
      <c r="C4106" t="inlineStr">
        <is>
          <t>VTA</t>
        </is>
      </c>
      <c r="D4106" t="n">
        <v>39</v>
      </c>
      <c r="E4106">
        <f>IF(D1074&gt;0,VLOOKUP(OPERAC[[#This Row],[COD CART]],[1]!MatrizCortoLargoCyl[#All],3,0),"")</f>
        <v/>
      </c>
      <c r="F4106" t="inlineStr">
        <is>
          <t>EDU/V/25,00/20-01-23</t>
        </is>
      </c>
      <c r="G4106" t="n">
        <v>-30</v>
      </c>
      <c r="H4106" t="n">
        <v>34.362</v>
      </c>
      <c r="I4106">
        <f>-H1074/G1074</f>
        <v/>
      </c>
    </row>
    <row r="4107">
      <c r="A4107" t="n">
        <v>16783</v>
      </c>
      <c r="B4107" s="16" t="n">
        <v>44441</v>
      </c>
      <c r="C4107" t="inlineStr">
        <is>
          <t>VTA</t>
        </is>
      </c>
      <c r="D4107" t="n">
        <v>39</v>
      </c>
      <c r="E4107">
        <f>IF(D113&gt;0,VLOOKUP(OPERAC[[#This Row],[COD CART]],[1]!MatrizCortoLargoCyl[#All],3,0),"")</f>
        <v/>
      </c>
      <c r="F4107" t="inlineStr">
        <is>
          <t>EDIT/V/35,00/20-01-23</t>
        </is>
      </c>
      <c r="G4107" t="n">
        <v>-500</v>
      </c>
      <c r="H4107" t="n">
        <v>3224</v>
      </c>
      <c r="I4107">
        <f>-H113/G113</f>
        <v/>
      </c>
      <c r="J4107" s="16" t="n">
        <v>44614</v>
      </c>
      <c r="K4107" t="n">
        <v>-500</v>
      </c>
      <c r="L4107" t="n">
        <v>-10642.4</v>
      </c>
    </row>
    <row r="4108">
      <c r="A4108" t="n">
        <v>16783</v>
      </c>
      <c r="B4108" s="16" t="n">
        <v>44459</v>
      </c>
      <c r="C4108" t="inlineStr">
        <is>
          <t>CPR</t>
        </is>
      </c>
      <c r="D4108" t="n">
        <v>40</v>
      </c>
      <c r="E4108">
        <f>IF(D4000&gt;0,VLOOKUP(OPERAC[[#This Row],[COD CART]],[1]!MatrizCortoLargoCyl[#All],3,0),"")</f>
        <v/>
      </c>
      <c r="F4108" t="inlineStr">
        <is>
          <t>EDU</t>
        </is>
      </c>
      <c r="G4108" t="n">
        <v>1000</v>
      </c>
      <c r="H4108">
        <f>-955.96+0.04*OPERAC[[#This Row],[cantidad]]</f>
        <v/>
      </c>
      <c r="I4108">
        <f>-H4000/G4000</f>
        <v/>
      </c>
      <c r="J4108" s="16" t="n">
        <v>44630</v>
      </c>
      <c r="K4108" t="n">
        <v>1000</v>
      </c>
      <c r="L4108" t="n">
        <v>1141.26</v>
      </c>
    </row>
    <row r="4109">
      <c r="A4109" t="n">
        <v>16783</v>
      </c>
      <c r="B4109" s="16" t="n">
        <v>44462</v>
      </c>
      <c r="C4109" t="inlineStr">
        <is>
          <t>CPR</t>
        </is>
      </c>
      <c r="D4109" t="n">
        <v>43</v>
      </c>
      <c r="E4109">
        <f>IF(D4005&gt;0,VLOOKUP(OPERAC[[#This Row],[COD CART]],[1]!MatrizCortoLargoCyl[#All],3,0),"")</f>
        <v/>
      </c>
      <c r="F4109" t="inlineStr">
        <is>
          <t>SOLO/CYL-PUT/4,00/18-03-22</t>
        </is>
      </c>
      <c r="G4109" t="n">
        <v>500</v>
      </c>
      <c r="H4109">
        <f>OPERAC[[#This Row],[cantidad]]*-2.54+0.32*OPERAC[[#This Row],[cantidad]]+0.387*OPERAC[[#This Row],[cantidad]]</f>
        <v/>
      </c>
      <c r="I4109">
        <f>-H4005/G4005</f>
        <v/>
      </c>
      <c r="J4109" s="16" t="n">
        <v>44614</v>
      </c>
      <c r="K4109" t="n">
        <v>500</v>
      </c>
      <c r="L4109" t="n">
        <v>-106.74</v>
      </c>
    </row>
    <row r="4110">
      <c r="A4110" t="n">
        <v>16783</v>
      </c>
      <c r="B4110" s="16" t="n">
        <v>44474</v>
      </c>
      <c r="C4110" t="inlineStr">
        <is>
          <t>VTA</t>
        </is>
      </c>
      <c r="D4110" t="n">
        <v>39</v>
      </c>
      <c r="E4110">
        <f>IF(D857&gt;0,VLOOKUP(OPERAC[[#This Row],[COD CART]],[1]!MatrizCortoLargoCyl[#All],3,0),"")</f>
        <v/>
      </c>
      <c r="F4110" t="inlineStr">
        <is>
          <t>NKE/V/115,00/21-01-22</t>
        </is>
      </c>
      <c r="G4110" t="n">
        <v>-200</v>
      </c>
      <c r="H4110" t="n">
        <v>199.914</v>
      </c>
      <c r="I4110">
        <f>-H857/G857</f>
        <v/>
      </c>
      <c r="J4110" s="16" t="n">
        <v>44582</v>
      </c>
      <c r="K4110">
        <f>+OPERAC[[#This Row],[cantidad]]</f>
        <v/>
      </c>
      <c r="L4110" t="n">
        <v>0</v>
      </c>
    </row>
    <row r="4111">
      <c r="A4111" t="n">
        <v>16783</v>
      </c>
      <c r="B4111" s="16" t="n">
        <v>44487</v>
      </c>
      <c r="C4111" t="inlineStr">
        <is>
          <t>CPR</t>
        </is>
      </c>
      <c r="D4111" t="n">
        <v>40</v>
      </c>
      <c r="E4111">
        <f>IF(D5975&gt;0,VLOOKUP(OPERAC[[#This Row],[COD CART]],[1]!MatrizCortoLargoCyl[#All],3,0),"")</f>
        <v/>
      </c>
      <c r="F4111" t="inlineStr">
        <is>
          <t>MELI</t>
        </is>
      </c>
      <c r="G4111" t="n">
        <v>2</v>
      </c>
      <c r="H4111" t="n">
        <v>-3199.88</v>
      </c>
      <c r="I4111">
        <f>-H5975/G5975</f>
        <v/>
      </c>
      <c r="J4111" s="16" t="n">
        <v>44606</v>
      </c>
      <c r="K4111" t="n">
        <v>2</v>
      </c>
      <c r="L4111" t="n">
        <v>2160.233</v>
      </c>
    </row>
    <row r="4112">
      <c r="A4112" t="n">
        <v>16783</v>
      </c>
      <c r="B4112" s="16" t="n">
        <v>44489</v>
      </c>
      <c r="C4112" t="inlineStr">
        <is>
          <t>CPR</t>
        </is>
      </c>
      <c r="D4112" t="n">
        <v>43</v>
      </c>
      <c r="E4112">
        <f>IF(D6136&gt;0,VLOOKUP(OPERAC[[#This Row],[COD CART]],[1]!MatrizCortoLargoCyl[#All],3,0),"")</f>
        <v/>
      </c>
      <c r="F4112" t="inlineStr">
        <is>
          <t>SESN/CYL-PUT/1,00/19-01-24</t>
        </is>
      </c>
      <c r="G4112" t="n">
        <v>25000</v>
      </c>
      <c r="H4112">
        <f>-0.1885*OPERAC[[#This Row],[cantidad]]</f>
        <v/>
      </c>
      <c r="I4112">
        <f>-H6136/G6136</f>
        <v/>
      </c>
    </row>
    <row r="4113">
      <c r="A4113" t="n">
        <v>16783</v>
      </c>
      <c r="B4113" s="16" t="n">
        <v>44494</v>
      </c>
      <c r="C4113" t="inlineStr">
        <is>
          <t>CPR</t>
        </is>
      </c>
      <c r="D4113" t="n">
        <v>31</v>
      </c>
      <c r="E4113">
        <f>IF(D4342&gt;0,VLOOKUP(OPERAC[[#This Row],[COD CART]],[1]!MatrizCortoLargoCyl[#All],3,0),"")</f>
        <v/>
      </c>
      <c r="F4113" t="inlineStr">
        <is>
          <t>YPF</t>
        </is>
      </c>
      <c r="G4113" t="n">
        <v>230</v>
      </c>
      <c r="H4113" t="n">
        <v>-1068.0004</v>
      </c>
      <c r="I4113">
        <f>-H4342/G4342</f>
        <v/>
      </c>
    </row>
    <row r="4114">
      <c r="A4114" t="n">
        <v>16783</v>
      </c>
      <c r="B4114" s="16" t="n">
        <v>44495</v>
      </c>
      <c r="C4114" t="inlineStr">
        <is>
          <t>VTA</t>
        </is>
      </c>
      <c r="D4114" t="n">
        <v>39</v>
      </c>
      <c r="E4114">
        <f>IF(D391&gt;0,VLOOKUP(OPERAC[[#This Row],[COD CART]],[1]!MatrizCortoLargoCyl[#All],3,0),"")</f>
        <v/>
      </c>
      <c r="F4114" t="inlineStr">
        <is>
          <t>YPF/CC10/LP7/CP3/19-01-24</t>
        </is>
      </c>
      <c r="G4114" t="n">
        <v>-500</v>
      </c>
      <c r="H4114">
        <f>-2.41*OPERAC[[#This Row],[cantidad]]</f>
        <v/>
      </c>
      <c r="I4114">
        <f>-H391/G391</f>
        <v/>
      </c>
    </row>
    <row r="4115">
      <c r="A4115" t="n">
        <v>16783</v>
      </c>
      <c r="B4115" s="16" t="n">
        <v>44501</v>
      </c>
      <c r="C4115" t="inlineStr">
        <is>
          <t>CPR</t>
        </is>
      </c>
      <c r="D4115" t="n">
        <v>40</v>
      </c>
      <c r="E4115">
        <f>IF(D6009&gt;0,VLOOKUP(OPERAC[[#This Row],[COD CART]],[1]!MatrizCortoLargoCyl[#All],3,0),"")</f>
        <v/>
      </c>
      <c r="F4115" t="inlineStr">
        <is>
          <t>SOLO</t>
        </is>
      </c>
      <c r="G4115" t="n">
        <v>1000</v>
      </c>
      <c r="H4115" t="n">
        <v>-3333.924</v>
      </c>
      <c r="I4115">
        <f>-H6009/G6009</f>
        <v/>
      </c>
      <c r="J4115" s="16" t="n">
        <v>44678</v>
      </c>
      <c r="K4115" t="n">
        <v>1000</v>
      </c>
      <c r="L4115" t="n">
        <v>1729.197</v>
      </c>
    </row>
    <row r="4116">
      <c r="A4116" t="n">
        <v>16783</v>
      </c>
      <c r="B4116" s="16" t="n">
        <v>44511</v>
      </c>
      <c r="C4116" t="inlineStr">
        <is>
          <t>CPR</t>
        </is>
      </c>
      <c r="D4116" t="n">
        <v>31</v>
      </c>
      <c r="E4116">
        <f>IF(D4215&gt;0,VLOOKUP(OPERAC[[#This Row],[COD CART]],[1]!MatrizCortoLargoCyl[#All],3,0),"")</f>
        <v/>
      </c>
      <c r="F4116" t="inlineStr">
        <is>
          <t>IPIX</t>
        </is>
      </c>
      <c r="G4116" t="n">
        <v>10000</v>
      </c>
      <c r="H4116" t="n">
        <v>-1003.536</v>
      </c>
      <c r="I4116">
        <f>-H4215/G4215</f>
        <v/>
      </c>
    </row>
    <row r="4117">
      <c r="A4117" t="n">
        <v>16783</v>
      </c>
      <c r="B4117" s="16" t="n">
        <v>44516</v>
      </c>
      <c r="C4117" t="inlineStr">
        <is>
          <t>VTA</t>
        </is>
      </c>
      <c r="D4117" t="n">
        <v>40</v>
      </c>
      <c r="E4117">
        <f>IF(D5498&gt;0,VLOOKUP(OPERAC[[#This Row],[COD CART]],[1]!MatrizCortoLargoCyl[#All],3,0),"")</f>
        <v/>
      </c>
      <c r="F4117" t="inlineStr">
        <is>
          <t>ACB</t>
        </is>
      </c>
      <c r="G4117" t="n">
        <v>300</v>
      </c>
      <c r="H4117">
        <f>-2028.79+67.155</f>
        <v/>
      </c>
      <c r="I4117">
        <f>-H5498/G5498</f>
        <v/>
      </c>
      <c r="J4117" s="16" t="n">
        <v>44606</v>
      </c>
      <c r="K4117" t="n">
        <v>300</v>
      </c>
      <c r="L4117" t="n">
        <v>1316.46</v>
      </c>
    </row>
    <row r="4118">
      <c r="A4118" t="n">
        <v>16783</v>
      </c>
      <c r="B4118" s="16" t="n">
        <v>44523</v>
      </c>
      <c r="C4118" t="inlineStr">
        <is>
          <t>CPR</t>
        </is>
      </c>
      <c r="D4118" t="n">
        <v>32</v>
      </c>
      <c r="E4118">
        <f>IF(D6103&gt;0,VLOOKUP(OPERAC[[#This Row],[COD CART]],[1]!MatrizCortoLargoCyl[#All],3,0),"")</f>
        <v/>
      </c>
      <c r="F4118" t="inlineStr">
        <is>
          <t>TEVA/CYL/9,00/21-01-22</t>
        </is>
      </c>
      <c r="G4118" t="n">
        <v>500</v>
      </c>
      <c r="H4118">
        <f>-4290.108+94.769</f>
        <v/>
      </c>
      <c r="I4118">
        <f>-H6103/G6103</f>
        <v/>
      </c>
      <c r="J4118" s="16" t="n">
        <v>44575</v>
      </c>
      <c r="K4118" t="n">
        <v>500</v>
      </c>
      <c r="L4118" t="n">
        <v>4399.28</v>
      </c>
    </row>
    <row r="4119">
      <c r="A4119" t="n">
        <v>16783</v>
      </c>
      <c r="B4119" s="16" t="n">
        <v>44523</v>
      </c>
      <c r="C4119" t="inlineStr">
        <is>
          <t>VTA</t>
        </is>
      </c>
      <c r="D4119" t="n">
        <v>32</v>
      </c>
      <c r="E4119">
        <f>IF(D5546&gt;0,VLOOKUP(OPERAC[[#This Row],[COD CART]],[1]!MatrizCortoLargoCyl[#All],3,0),"")</f>
        <v/>
      </c>
      <c r="F4119" t="inlineStr">
        <is>
          <t>GMBL/CYL/5,00/18-02-22</t>
        </is>
      </c>
      <c r="G4119" t="n">
        <v>500</v>
      </c>
      <c r="H4119" t="n">
        <v>-2047.215</v>
      </c>
      <c r="I4119">
        <f>-H5546/G5546</f>
        <v/>
      </c>
      <c r="J4119" s="16" t="n">
        <v>44589</v>
      </c>
      <c r="K4119" t="n">
        <v>500</v>
      </c>
      <c r="L4119" t="n">
        <v>1317.128</v>
      </c>
    </row>
    <row r="4120">
      <c r="A4120" t="n">
        <v>16783</v>
      </c>
      <c r="B4120" s="16" t="n">
        <v>44531</v>
      </c>
      <c r="C4120" t="inlineStr">
        <is>
          <t>VTA</t>
        </is>
      </c>
      <c r="D4120" t="n">
        <v>39</v>
      </c>
      <c r="E4120">
        <f>IF(D1240&gt;0,VLOOKUP(OPERAC[[#This Row],[COD CART]],[1]!MatrizCortoLargoCyl[#All],3,0),"")</f>
        <v/>
      </c>
      <c r="F4120" t="inlineStr">
        <is>
          <t>MELI/V/740,00/16-09-22</t>
        </is>
      </c>
      <c r="G4120" t="n">
        <v>-2</v>
      </c>
      <c r="H4120" t="n">
        <v>4</v>
      </c>
      <c r="I4120">
        <f>-H1240/G1240</f>
        <v/>
      </c>
      <c r="J4120" s="16" t="n">
        <v>44616</v>
      </c>
      <c r="K4120" t="n">
        <v>-1</v>
      </c>
      <c r="L4120" t="n">
        <v>-2</v>
      </c>
    </row>
    <row r="4121">
      <c r="A4121" t="n">
        <v>16783</v>
      </c>
      <c r="B4121" s="16" t="n">
        <v>44532</v>
      </c>
      <c r="C4121" t="inlineStr">
        <is>
          <t>CPR</t>
        </is>
      </c>
      <c r="D4121" t="n">
        <v>32</v>
      </c>
      <c r="E4121">
        <f>IF(D6115&gt;0,VLOOKUP(OPERAC[[#This Row],[COD CART]],[1]!MatrizCortoLargoCyl[#All],3,0),"")</f>
        <v/>
      </c>
      <c r="F4121" t="inlineStr">
        <is>
          <t>COTY/CYL/10,00/18-02-22</t>
        </is>
      </c>
      <c r="G4121" t="n">
        <v>500</v>
      </c>
      <c r="H4121">
        <f>-4507.995+104.631</f>
        <v/>
      </c>
      <c r="I4121">
        <f>-H6115/G6115</f>
        <v/>
      </c>
      <c r="J4121" s="16" t="n">
        <v>44608</v>
      </c>
      <c r="K4121">
        <f>+OPERAC[[#This Row],[cantidad]]</f>
        <v/>
      </c>
      <c r="L4121" t="n">
        <v>4708.5</v>
      </c>
    </row>
    <row r="4122">
      <c r="A4122" t="n">
        <v>16783</v>
      </c>
      <c r="B4122" s="16" t="n">
        <v>44533</v>
      </c>
      <c r="C4122" t="inlineStr">
        <is>
          <t>CPR</t>
        </is>
      </c>
      <c r="D4122" t="n">
        <v>32</v>
      </c>
      <c r="E4122">
        <f>IF(D6169&gt;0,VLOOKUP(OPERAC[[#This Row],[COD CART]],[1]!MatrizCortoLargoCyl[#All],3,0),"")</f>
        <v/>
      </c>
      <c r="F4122" t="inlineStr">
        <is>
          <t>HIMX/CYL/12,00/21-01-22</t>
        </is>
      </c>
      <c r="G4122" t="n">
        <v>500</v>
      </c>
      <c r="H4122">
        <f>-9.9*OPERAC[[#This Row],[cantidad]]</f>
        <v/>
      </c>
      <c r="I4122">
        <f>-H6169/G6169</f>
        <v/>
      </c>
      <c r="J4122" s="16" t="n">
        <v>44575</v>
      </c>
      <c r="K4122" t="n">
        <v>500</v>
      </c>
      <c r="L4122" t="n">
        <v>5853.09</v>
      </c>
    </row>
    <row r="4123">
      <c r="A4123" t="n">
        <v>16783</v>
      </c>
      <c r="B4123" s="16" t="n">
        <v>44533</v>
      </c>
      <c r="C4123" t="inlineStr">
        <is>
          <t>CPR</t>
        </is>
      </c>
      <c r="D4123" t="n">
        <v>32</v>
      </c>
      <c r="E4123">
        <f>IF(D6220&gt;0,VLOOKUP(OPERAC[[#This Row],[COD CART]],[1]!MatrizCortoLargoCyl[#All],3,0),"")</f>
        <v/>
      </c>
      <c r="F4123" t="inlineStr">
        <is>
          <t>BYND</t>
        </is>
      </c>
      <c r="G4123" t="n">
        <v>100</v>
      </c>
      <c r="H4123">
        <f>-6182.815+148.4+69.038</f>
        <v/>
      </c>
      <c r="I4123">
        <f>-H6220/G6220</f>
        <v/>
      </c>
      <c r="J4123" s="16" t="n">
        <v>44669</v>
      </c>
      <c r="K4123" t="n">
        <v>100</v>
      </c>
      <c r="L4123" t="n">
        <v>4040.735</v>
      </c>
    </row>
    <row r="4124">
      <c r="A4124" t="n">
        <v>16783</v>
      </c>
      <c r="B4124" s="16" t="n">
        <v>44536</v>
      </c>
      <c r="C4124" t="inlineStr">
        <is>
          <t>CPR</t>
        </is>
      </c>
      <c r="D4124" t="n">
        <v>43</v>
      </c>
      <c r="E4124">
        <f>IF(D3698&gt;0,VLOOKUP(OPERAC[[#This Row],[COD CART]],[1]!MatrizCortoLargoCyl[#All],3,0),"")</f>
        <v/>
      </c>
      <c r="F4124" t="inlineStr">
        <is>
          <t>HEXO/CYL-PUT/1,00/20-01-23</t>
        </is>
      </c>
      <c r="G4124" t="n">
        <v>5000</v>
      </c>
      <c r="H4124">
        <f>-0.1671*OPERAC[[#This Row],[cantidad]]</f>
        <v/>
      </c>
      <c r="I4124">
        <f>-H3698/G3698</f>
        <v/>
      </c>
      <c r="J4124" s="16" t="n">
        <v>44687</v>
      </c>
      <c r="K4124" t="n">
        <v>1000</v>
      </c>
      <c r="L4124" t="n">
        <v>-536</v>
      </c>
    </row>
    <row r="4125">
      <c r="A4125" t="n">
        <v>16783</v>
      </c>
      <c r="B4125" s="16" t="n">
        <v>44536</v>
      </c>
      <c r="C4125" t="inlineStr">
        <is>
          <t>CPR</t>
        </is>
      </c>
      <c r="D4125" t="n">
        <v>43</v>
      </c>
      <c r="E4125">
        <f>IF(D4901&gt;0,VLOOKUP(OPERAC[[#This Row],[COD CART]],[1]!MatrizCortoLargoCyl[#All],3,0),"")</f>
        <v/>
      </c>
      <c r="F4125" t="inlineStr">
        <is>
          <t>XSPA/CYL-PUT/1,50/20-01-23</t>
        </is>
      </c>
      <c r="G4125" t="n">
        <v>3300</v>
      </c>
      <c r="H4125">
        <f>-0.4462*OPERAC[[#This Row],[cantidad]]</f>
        <v/>
      </c>
      <c r="I4125">
        <f>-H4901/G4901</f>
        <v/>
      </c>
    </row>
    <row r="4126">
      <c r="A4126" t="n">
        <v>16783</v>
      </c>
      <c r="B4126" s="16" t="n">
        <v>44536</v>
      </c>
      <c r="C4126" t="inlineStr">
        <is>
          <t>CPR</t>
        </is>
      </c>
      <c r="D4126" t="n">
        <v>40</v>
      </c>
      <c r="E4126">
        <f>IF(D5788&gt;0,VLOOKUP(OPERAC[[#This Row],[COD CART]],[1]!MatrizCortoLargoCyl[#All],3,0),"")</f>
        <v/>
      </c>
      <c r="F4126" t="inlineStr">
        <is>
          <t>UVXY</t>
        </is>
      </c>
      <c r="G4126" t="n">
        <v>115</v>
      </c>
      <c r="H4126" t="n">
        <v>-2665.5758</v>
      </c>
      <c r="I4126">
        <f>-H5788/G5788</f>
        <v/>
      </c>
      <c r="J4126" s="16" t="n">
        <v>44544</v>
      </c>
      <c r="K4126">
        <f>15+100</f>
        <v/>
      </c>
      <c r="L4126">
        <f>253.528+1419.179</f>
        <v/>
      </c>
    </row>
    <row r="4127">
      <c r="A4127" t="n">
        <v>16783</v>
      </c>
      <c r="B4127" s="16" t="n">
        <v>44536</v>
      </c>
      <c r="C4127" t="inlineStr">
        <is>
          <t>CPR</t>
        </is>
      </c>
      <c r="D4127" t="n">
        <v>43</v>
      </c>
      <c r="E4127">
        <f>IF(D5827&gt;0,VLOOKUP(OPERAC[[#This Row],[COD CART]],[1]!MatrizCortoLargoCyl[#All],3,0),"")</f>
        <v/>
      </c>
      <c r="F4127" t="inlineStr">
        <is>
          <t>NNDM/CYL-PUT/2,50/19-01-24</t>
        </is>
      </c>
      <c r="G4127" t="n">
        <v>2600</v>
      </c>
      <c r="H4127">
        <f>-1.08*OPERAC[[#This Row],[cantidad]]</f>
        <v/>
      </c>
      <c r="I4127">
        <f>-H5827/G5827</f>
        <v/>
      </c>
    </row>
    <row r="4128">
      <c r="A4128" t="n">
        <v>16783</v>
      </c>
      <c r="B4128" s="16" t="n">
        <v>44539</v>
      </c>
      <c r="C4128" t="inlineStr">
        <is>
          <t>CPR</t>
        </is>
      </c>
      <c r="D4128" t="n">
        <v>40</v>
      </c>
      <c r="E4128">
        <f>IF(D6181&gt;0,VLOOKUP(OPERAC[[#This Row],[COD CART]],[1]!MatrizCortoLargoCyl[#All],3,0),"")</f>
        <v/>
      </c>
      <c r="F4128" t="inlineStr">
        <is>
          <t>ROKU</t>
        </is>
      </c>
      <c r="G4128" t="n">
        <v>20</v>
      </c>
      <c r="H4128" t="n">
        <v>-5154.4072</v>
      </c>
      <c r="I4128">
        <f>-H6181/G6181</f>
        <v/>
      </c>
      <c r="J4128" s="16" t="n">
        <v>44559</v>
      </c>
      <c r="K4128">
        <f>5+15</f>
        <v/>
      </c>
      <c r="L4128">
        <f>1142.348+2423.208</f>
        <v/>
      </c>
    </row>
    <row r="4129">
      <c r="A4129" t="n">
        <v>16783</v>
      </c>
      <c r="B4129" s="16" t="n">
        <v>44543</v>
      </c>
      <c r="C4129" t="inlineStr">
        <is>
          <t>CPR</t>
        </is>
      </c>
      <c r="D4129" t="n">
        <v>31</v>
      </c>
      <c r="E4129">
        <f>IF(D5907&gt;0,VLOOKUP(OPERAC[[#This Row],[COD CART]],[1]!MatrizCortoLargoCyl[#All],3,0),"")</f>
        <v/>
      </c>
      <c r="F4129" t="inlineStr">
        <is>
          <t>BBAR</t>
        </is>
      </c>
      <c r="G4129" t="n">
        <v>1000</v>
      </c>
      <c r="H4129" t="n">
        <v>-3017</v>
      </c>
      <c r="I4129">
        <f>-H5907/G5907</f>
        <v/>
      </c>
      <c r="J4129" s="16" t="n">
        <v>44678</v>
      </c>
      <c r="K4129" t="n">
        <v>1000</v>
      </c>
      <c r="L4129" t="n">
        <v>2995.985</v>
      </c>
    </row>
    <row r="4130">
      <c r="A4130" t="n">
        <v>16783</v>
      </c>
      <c r="B4130" s="16" t="n">
        <v>44543</v>
      </c>
      <c r="C4130" t="inlineStr">
        <is>
          <t>VTA</t>
        </is>
      </c>
      <c r="D4130" t="n">
        <v>40</v>
      </c>
      <c r="E4130">
        <f>IF(D2939&gt;0,VLOOKUP(OPERAC[[#This Row],[COD CART]],[1]!MatrizCortoLargoCyl[#All],3,0),"")</f>
        <v/>
      </c>
      <c r="F4130" t="inlineStr">
        <is>
          <t>VIST</t>
        </is>
      </c>
      <c r="G4130" t="n">
        <v>100</v>
      </c>
      <c r="H4130" t="n">
        <v>-557.72</v>
      </c>
      <c r="I4130">
        <f>-H2939/G2939</f>
        <v/>
      </c>
      <c r="J4130" s="16" t="n">
        <v>44574</v>
      </c>
      <c r="K4130">
        <f>+OPERAC[[#This Row],[cantidad]]</f>
        <v/>
      </c>
      <c r="L4130">
        <f>+OPERAC[[#This Row],[cantidad venta]]*6.125</f>
        <v/>
      </c>
    </row>
    <row r="4131">
      <c r="A4131" t="n">
        <v>16783</v>
      </c>
      <c r="B4131" s="16" t="n">
        <v>44547</v>
      </c>
      <c r="C4131" t="inlineStr">
        <is>
          <t>VTA</t>
        </is>
      </c>
      <c r="D4131" t="n">
        <v>32</v>
      </c>
      <c r="E4131">
        <f>IF(D5262&gt;0,VLOOKUP(OPERAC[[#This Row],[COD CART]],[1]!MatrizCortoLargoCyl[#All],3,0),"")</f>
        <v/>
      </c>
      <c r="F4131" t="inlineStr">
        <is>
          <t>ARLO/CYL/9,00/18-02-22</t>
        </is>
      </c>
      <c r="G4131" t="n">
        <v>200</v>
      </c>
      <c r="H4131">
        <f>-1729.32+29.76</f>
        <v/>
      </c>
      <c r="I4131">
        <f>-H5262/G5262</f>
        <v/>
      </c>
      <c r="J4131" s="16" t="n">
        <v>44607</v>
      </c>
      <c r="K4131" t="n">
        <v>200</v>
      </c>
      <c r="L4131" t="n">
        <v>1751.065</v>
      </c>
    </row>
    <row r="4132">
      <c r="A4132" t="n">
        <v>16783</v>
      </c>
      <c r="B4132" s="16" t="n">
        <v>44550</v>
      </c>
      <c r="C4132" t="inlineStr">
        <is>
          <t>CPR</t>
        </is>
      </c>
      <c r="D4132" t="n">
        <v>40</v>
      </c>
      <c r="E4132">
        <f>IF(D4898&gt;0,VLOOKUP(OPERAC[[#This Row],[COD CART]],[1]!MatrizCortoLargoCyl[#All],3,0),"")</f>
        <v/>
      </c>
      <c r="F4132" t="inlineStr">
        <is>
          <t>SMH</t>
        </is>
      </c>
      <c r="G4132" t="n">
        <v>5</v>
      </c>
      <c r="H4132" t="n">
        <v>-1469.8652</v>
      </c>
      <c r="I4132">
        <f>-H4898/G4898</f>
        <v/>
      </c>
      <c r="J4132" s="16" t="n">
        <v>44574</v>
      </c>
      <c r="K4132">
        <f>+OPERAC[[#This Row],[cantidad]]</f>
        <v/>
      </c>
      <c r="L4132">
        <f>+OPERAC[[#This Row],[cantidad venta]]*306.843</f>
        <v/>
      </c>
    </row>
    <row r="4133">
      <c r="A4133" t="n">
        <v>16783</v>
      </c>
      <c r="B4133" s="16" t="n">
        <v>44551</v>
      </c>
      <c r="C4133" t="inlineStr">
        <is>
          <t>CPR</t>
        </is>
      </c>
      <c r="D4133" t="n">
        <v>40</v>
      </c>
      <c r="E4133">
        <f>IF(D5924&gt;0,VLOOKUP(OPERAC[[#This Row],[COD CART]],[1]!MatrizCortoLargoCyl[#All],3,0),"")</f>
        <v/>
      </c>
      <c r="F4133" t="inlineStr">
        <is>
          <t>EDIT</t>
        </is>
      </c>
      <c r="G4133" t="n">
        <v>100</v>
      </c>
      <c r="H4133" t="n">
        <v>-3042.62</v>
      </c>
      <c r="I4133">
        <f>-H5924/G5924</f>
        <v/>
      </c>
      <c r="J4133" s="16" t="n">
        <v>44606</v>
      </c>
      <c r="K4133" t="n">
        <v>100</v>
      </c>
      <c r="L4133" t="n">
        <v>1612.998</v>
      </c>
    </row>
    <row r="4134">
      <c r="A4134" t="n">
        <v>16783</v>
      </c>
      <c r="B4134" s="16" t="n">
        <v>44552</v>
      </c>
      <c r="C4134" t="inlineStr">
        <is>
          <t>CPR</t>
        </is>
      </c>
      <c r="D4134" t="n">
        <v>32</v>
      </c>
      <c r="E4134">
        <f>IF(D3475&gt;0,VLOOKUP(OPERAC[[#This Row],[COD CART]],[1]!MatrizCortoLargoCyl[#All],3,0),"")</f>
        <v/>
      </c>
      <c r="F4134" t="inlineStr">
        <is>
          <t>HMY/CYL/4,00/21-01-22</t>
        </is>
      </c>
      <c r="G4134" t="n">
        <v>200</v>
      </c>
      <c r="H4134">
        <f>-3.8*OPERAC[[#This Row],[cantidad]]</f>
        <v/>
      </c>
      <c r="I4134">
        <f>-H3475/G3475</f>
        <v/>
      </c>
      <c r="J4134" s="16" t="n">
        <v>44580</v>
      </c>
      <c r="K4134" t="n">
        <v>200</v>
      </c>
      <c r="L4134" t="n">
        <v>787.86</v>
      </c>
    </row>
    <row r="4135">
      <c r="A4135" t="n">
        <v>16783</v>
      </c>
      <c r="B4135" s="16" t="n">
        <v>44553</v>
      </c>
      <c r="C4135" t="inlineStr">
        <is>
          <t>CPR</t>
        </is>
      </c>
      <c r="D4135" t="n">
        <v>40</v>
      </c>
      <c r="E4135">
        <f>IF(D4725&gt;0,VLOOKUP(OPERAC[[#This Row],[COD CART]],[1]!MatrizCortoLargoCyl[#All],3,0),"")</f>
        <v/>
      </c>
      <c r="F4135" t="inlineStr">
        <is>
          <t>ON</t>
        </is>
      </c>
      <c r="G4135" t="n">
        <v>20</v>
      </c>
      <c r="H4135" t="n">
        <v>-1336.94608</v>
      </c>
      <c r="I4135">
        <f>-H4725/G4725</f>
        <v/>
      </c>
      <c r="J4135" s="16" t="n">
        <v>44606</v>
      </c>
      <c r="K4135">
        <f>+OPERAC[[#This Row],[cantidad]]</f>
        <v/>
      </c>
      <c r="L4135">
        <f>+OPERAC[[#This Row],[cantidad venta]]*58.449</f>
        <v/>
      </c>
    </row>
    <row r="4136">
      <c r="A4136" t="n">
        <v>16783</v>
      </c>
      <c r="B4136" s="16" t="n">
        <v>44558</v>
      </c>
      <c r="C4136" t="inlineStr">
        <is>
          <t>CPR</t>
        </is>
      </c>
      <c r="D4136" t="n">
        <v>40</v>
      </c>
      <c r="E4136">
        <f>IF(D4934&gt;0,VLOOKUP(OPERAC[[#This Row],[COD CART]],[1]!MatrizCortoLargoCyl[#All],3,0),"")</f>
        <v/>
      </c>
      <c r="F4136" t="inlineStr">
        <is>
          <t>UPST</t>
        </is>
      </c>
      <c r="G4136" t="n">
        <v>10</v>
      </c>
      <c r="H4136" t="n">
        <v>-1500.026</v>
      </c>
      <c r="I4136">
        <f>-H4934/G4934</f>
        <v/>
      </c>
      <c r="J4136" s="16" t="n">
        <v>44606</v>
      </c>
      <c r="K4136">
        <f>+OPERAC[[#This Row],[cantidad]]</f>
        <v/>
      </c>
      <c r="L4136">
        <f>+OPERAC[[#This Row],[cantidad venta]]*98.994</f>
        <v/>
      </c>
    </row>
    <row r="4137">
      <c r="A4137" t="n">
        <v>16783</v>
      </c>
      <c r="B4137" s="16" t="n">
        <v>44574</v>
      </c>
      <c r="C4137" t="inlineStr">
        <is>
          <t>VTA</t>
        </is>
      </c>
      <c r="D4137" t="n">
        <v>39</v>
      </c>
      <c r="E4137">
        <f>IF(D5421&gt;0,VLOOKUP(OPERAC[[#This Row],[COD CART]],[1]!MatrizCortoLargoCyl[#All],3,0),"")</f>
        <v/>
      </c>
      <c r="F4137" t="inlineStr">
        <is>
          <t>BABA/BULL/120,0-135,0/20-05-22</t>
        </is>
      </c>
      <c r="G4137" t="n">
        <v>200</v>
      </c>
      <c r="H4137" t="n">
        <v>-1851.32</v>
      </c>
      <c r="I4137">
        <f>-H5421/G5421</f>
        <v/>
      </c>
      <c r="J4137" s="16" t="n">
        <v>44701</v>
      </c>
      <c r="K4137">
        <f>+OPERAC[[#This Row],[cantidad]]</f>
        <v/>
      </c>
      <c r="L4137" t="n">
        <v>0</v>
      </c>
    </row>
    <row r="4138">
      <c r="A4138" t="n">
        <v>16783</v>
      </c>
      <c r="B4138" s="16" t="n">
        <v>44575</v>
      </c>
      <c r="C4138" t="inlineStr">
        <is>
          <t>CPR</t>
        </is>
      </c>
      <c r="D4138" t="n">
        <v>40</v>
      </c>
      <c r="E4138">
        <f>IF(D5925&gt;0,VLOOKUP(OPERAC[[#This Row],[COD CART]],[1]!MatrizCortoLargoCyl[#All],3,0),"")</f>
        <v/>
      </c>
      <c r="F4138" t="inlineStr">
        <is>
          <t>GBTC</t>
        </is>
      </c>
      <c r="G4138" t="n">
        <v>100</v>
      </c>
      <c r="H4138" t="n">
        <v>-3068.724</v>
      </c>
      <c r="I4138">
        <f>-H5925/G5925</f>
        <v/>
      </c>
      <c r="J4138" s="16" t="n">
        <v>44651</v>
      </c>
      <c r="K4138">
        <f>+OPERAC[[#This Row],[cantidad]]</f>
        <v/>
      </c>
      <c r="L4138">
        <f>+OPERAC[[#This Row],[cantidad venta]]*31.332</f>
        <v/>
      </c>
    </row>
    <row r="4139">
      <c r="A4139" t="n">
        <v>16783</v>
      </c>
      <c r="B4139" s="16" t="n">
        <v>44579</v>
      </c>
      <c r="C4139" t="inlineStr">
        <is>
          <t>VTA</t>
        </is>
      </c>
      <c r="D4139" t="n">
        <v>39</v>
      </c>
      <c r="E4139">
        <f>IF(D142&gt;0,VLOOKUP(OPERAC[[#This Row],[COD CART]],[1]!MatrizCortoLargoCyl[#All],3,0),"")</f>
        <v/>
      </c>
      <c r="F4139" t="inlineStr">
        <is>
          <t>SOLO/V/3,50/25-02-22</t>
        </is>
      </c>
      <c r="G4139" t="n">
        <v>-2100</v>
      </c>
      <c r="H4139" t="n">
        <v>2913.66054</v>
      </c>
      <c r="I4139">
        <f>-H142/G142</f>
        <v/>
      </c>
      <c r="J4139" s="16" t="n">
        <v>44608</v>
      </c>
      <c r="K4139">
        <f>+OPERAC[[#This Row],[cantidad]]</f>
        <v/>
      </c>
      <c r="L4139" t="n">
        <v>-2917.992</v>
      </c>
    </row>
    <row r="4140">
      <c r="A4140" t="n">
        <v>16783</v>
      </c>
      <c r="B4140" s="16" t="n">
        <v>44581</v>
      </c>
      <c r="C4140" t="inlineStr">
        <is>
          <t>CPR</t>
        </is>
      </c>
      <c r="D4140" t="n">
        <v>32</v>
      </c>
      <c r="E4140">
        <f>IF(D6071&gt;0,VLOOKUP(OPERAC[[#This Row],[COD CART]],[1]!MatrizCortoLargoCyl[#All],3,0),"")</f>
        <v/>
      </c>
      <c r="F4140" t="inlineStr">
        <is>
          <t>HMY/CYL/4,00/18-02-22</t>
        </is>
      </c>
      <c r="G4140" t="n">
        <v>1000</v>
      </c>
      <c r="H4140" t="n">
        <v>-3856.57448</v>
      </c>
      <c r="I4140">
        <f>-H6071/G6071</f>
        <v/>
      </c>
      <c r="J4140" s="16" t="n">
        <v>44610</v>
      </c>
      <c r="K4140">
        <f>+OPERAC[[#This Row],[cantidad]]</f>
        <v/>
      </c>
      <c r="L4140">
        <f>+OPERAC[[#This Row],[cantidad venta]]*3.8323</f>
        <v/>
      </c>
    </row>
    <row r="4141">
      <c r="A4141" t="n">
        <v>16783</v>
      </c>
      <c r="B4141" s="16" t="n">
        <v>44582</v>
      </c>
      <c r="C4141" t="inlineStr">
        <is>
          <t>CPR</t>
        </is>
      </c>
      <c r="D4141" t="n">
        <v>40</v>
      </c>
      <c r="E4141">
        <f>IF(D6069&gt;0,VLOOKUP(OPERAC[[#This Row],[COD CART]],[1]!MatrizCortoLargoCyl[#All],3,0),"")</f>
        <v/>
      </c>
      <c r="F4141" t="inlineStr">
        <is>
          <t>NFLX</t>
        </is>
      </c>
      <c r="G4141" t="n">
        <v>10</v>
      </c>
      <c r="H4141" t="n">
        <v>-3845.095800000001</v>
      </c>
      <c r="I4141">
        <f>-H6069/G6069</f>
        <v/>
      </c>
      <c r="J4141" s="16" t="n">
        <v>44593</v>
      </c>
      <c r="K4141">
        <f>+OPERAC[[#This Row],[cantidad]]</f>
        <v/>
      </c>
      <c r="L4141">
        <f>+OPERAC[[#This Row],[cantidad venta]]*448.602</f>
        <v/>
      </c>
    </row>
    <row r="4142">
      <c r="A4142" t="n">
        <v>16783</v>
      </c>
      <c r="B4142" s="16" t="n">
        <v>44586</v>
      </c>
      <c r="C4142" t="inlineStr">
        <is>
          <t>CPR</t>
        </is>
      </c>
      <c r="D4142" t="n">
        <v>43</v>
      </c>
      <c r="E4142">
        <f>IF(D5662&gt;0,VLOOKUP(OPERAC[[#This Row],[COD CART]],[1]!MatrizCortoLargoCyl[#All],3,0),"")</f>
        <v/>
      </c>
      <c r="F4142" t="inlineStr">
        <is>
          <t>GMBL/CYL-PUT/2,50/20-01-23</t>
        </is>
      </c>
      <c r="G4142" t="n">
        <v>2500</v>
      </c>
      <c r="H4142" t="n">
        <v>-2407.1123</v>
      </c>
      <c r="I4142">
        <f>-H5662/G5662</f>
        <v/>
      </c>
    </row>
    <row r="4143">
      <c r="A4143" t="n">
        <v>16783</v>
      </c>
      <c r="B4143" s="16" t="n">
        <v>44589</v>
      </c>
      <c r="C4143" t="inlineStr">
        <is>
          <t>VTA</t>
        </is>
      </c>
      <c r="D4143" t="n">
        <v>39</v>
      </c>
      <c r="E4143">
        <f>IF(D407&gt;0,VLOOKUP(OPERAC[[#This Row],[COD CART]],[1]!MatrizCortoLargoCyl[#All],3,0),"")</f>
        <v/>
      </c>
      <c r="F4143" t="inlineStr">
        <is>
          <t>TSLA/V/680,00/04-02-22</t>
        </is>
      </c>
      <c r="G4143" t="n">
        <v>-500</v>
      </c>
      <c r="H4143" t="n">
        <v>1145.397355</v>
      </c>
      <c r="I4143">
        <f>-H407/G407</f>
        <v/>
      </c>
      <c r="J4143" s="16" t="n">
        <v>44596</v>
      </c>
      <c r="K4143">
        <f>+OPERAC[[#This Row],[cantidad]]</f>
        <v/>
      </c>
      <c r="L4143" t="n">
        <v>-10.04</v>
      </c>
    </row>
    <row r="4144">
      <c r="A4144" t="n">
        <v>16783</v>
      </c>
      <c r="B4144" s="16" t="n">
        <v>44594</v>
      </c>
      <c r="C4144" t="inlineStr">
        <is>
          <t>VTA</t>
        </is>
      </c>
      <c r="D4144" t="n">
        <v>40</v>
      </c>
      <c r="E4144">
        <f>IF(D5512&gt;0,VLOOKUP(OPERAC[[#This Row],[COD CART]],[1]!MatrizCortoLargoCyl[#All],3,0),"")</f>
        <v/>
      </c>
      <c r="F4144" t="inlineStr">
        <is>
          <t>EDU</t>
        </is>
      </c>
      <c r="G4144" t="n">
        <v>1000</v>
      </c>
      <c r="H4144" t="n">
        <v>-2008</v>
      </c>
      <c r="I4144">
        <f>-H5512/G5512</f>
        <v/>
      </c>
      <c r="J4144" s="16" t="n">
        <v>44601</v>
      </c>
      <c r="K4144" t="n">
        <v>1000</v>
      </c>
      <c r="L4144" t="n">
        <v>1640</v>
      </c>
    </row>
    <row r="4145">
      <c r="A4145" t="n">
        <v>16783</v>
      </c>
      <c r="B4145" s="16" t="n">
        <v>44599</v>
      </c>
      <c r="C4145" t="inlineStr">
        <is>
          <t>CPR</t>
        </is>
      </c>
      <c r="D4145" t="n">
        <v>40</v>
      </c>
      <c r="E4145">
        <f>IF(D5655&gt;0,VLOOKUP(OPERAC[[#This Row],[COD CART]],[1]!MatrizCortoLargoCyl[#All],3,0),"")</f>
        <v/>
      </c>
      <c r="F4145" t="inlineStr">
        <is>
          <t>FB</t>
        </is>
      </c>
      <c r="G4145" t="n">
        <v>10</v>
      </c>
      <c r="H4145" t="n">
        <v>-2384.6</v>
      </c>
      <c r="I4145">
        <f>-H5655/G5655</f>
        <v/>
      </c>
      <c r="J4145" s="16" t="n">
        <v>44616</v>
      </c>
      <c r="K4145">
        <f>+OPERAC[[#This Row],[cantidad]]</f>
        <v/>
      </c>
      <c r="L4145">
        <f>200.299*OPERAC[[#This Row],[cantidad venta]]</f>
        <v/>
      </c>
    </row>
    <row r="4146">
      <c r="A4146" t="n">
        <v>16783</v>
      </c>
      <c r="B4146" s="16" t="n">
        <v>44607</v>
      </c>
      <c r="C4146" t="inlineStr">
        <is>
          <t>CPR</t>
        </is>
      </c>
      <c r="D4146" t="n">
        <v>32</v>
      </c>
      <c r="E4146">
        <f>IF(D6267&gt;0,VLOOKUP(OPERAC[[#This Row],[COD CART]],[1]!MatrizCortoLargoCyl[#All],3,0),"")</f>
        <v/>
      </c>
      <c r="F4146" t="inlineStr">
        <is>
          <t>UPST/CYL/80,00/18-03-22</t>
        </is>
      </c>
      <c r="G4146" t="n">
        <v>100</v>
      </c>
      <c r="H4146" t="n">
        <v>-7511.537769999999</v>
      </c>
      <c r="I4146">
        <f>-H6267/G6267</f>
        <v/>
      </c>
      <c r="J4146" s="16" t="n">
        <v>44608</v>
      </c>
      <c r="K4146" t="n">
        <v>100</v>
      </c>
      <c r="L4146" t="n">
        <v>7956.448</v>
      </c>
    </row>
    <row r="4147">
      <c r="A4147" t="n">
        <v>16783</v>
      </c>
      <c r="B4147" s="16" t="n">
        <v>44607</v>
      </c>
      <c r="C4147" t="inlineStr">
        <is>
          <t>VTA</t>
        </is>
      </c>
      <c r="D4147" t="n">
        <v>32</v>
      </c>
      <c r="E4147">
        <f>IF(D5312&gt;0,VLOOKUP(OPERAC[[#This Row],[COD CART]],[1]!MatrizCortoLargoCyl[#All],3,0),"")</f>
        <v/>
      </c>
      <c r="F4147" t="inlineStr">
        <is>
          <t>F</t>
        </is>
      </c>
      <c r="G4147" t="n">
        <v>100</v>
      </c>
      <c r="H4147" t="n">
        <v>-1719.296</v>
      </c>
      <c r="I4147">
        <f>-H5312/G5312</f>
        <v/>
      </c>
      <c r="J4147" s="16" t="n">
        <v>44649</v>
      </c>
      <c r="K4147" t="n">
        <v>100</v>
      </c>
      <c r="L4147">
        <f>17.636*OPERAC[[#This Row],[cantidad venta]]</f>
        <v/>
      </c>
    </row>
    <row r="4148">
      <c r="A4148" t="n">
        <v>16783</v>
      </c>
      <c r="B4148" s="16" t="n">
        <v>44608</v>
      </c>
      <c r="C4148" t="inlineStr">
        <is>
          <t>CPR</t>
        </is>
      </c>
      <c r="D4148" t="n">
        <v>40</v>
      </c>
      <c r="E4148">
        <f>IF(D5739&gt;0,VLOOKUP(OPERAC[[#This Row],[COD CART]],[1]!MatrizCortoLargoCyl[#All],3,0),"")</f>
        <v/>
      </c>
      <c r="F4148" t="inlineStr">
        <is>
          <t>NVDA</t>
        </is>
      </c>
      <c r="G4148" t="n">
        <v>10</v>
      </c>
      <c r="H4148" t="n">
        <v>-2619.486</v>
      </c>
      <c r="I4148">
        <f>-H5739/G5739</f>
        <v/>
      </c>
      <c r="J4148" s="16" t="n">
        <v>44616</v>
      </c>
      <c r="K4148">
        <f>+OPERAC[[#This Row],[cantidad]]</f>
        <v/>
      </c>
      <c r="L4148">
        <f>+OPERAC[[#This Row],[cantidad venta]]*224.117</f>
        <v/>
      </c>
    </row>
    <row r="4149">
      <c r="A4149" t="n">
        <v>16783</v>
      </c>
      <c r="B4149" s="16" t="n">
        <v>44608</v>
      </c>
      <c r="C4149" t="inlineStr">
        <is>
          <t>CPR</t>
        </is>
      </c>
      <c r="D4149" t="n">
        <v>32</v>
      </c>
      <c r="E4149">
        <f>IF(D5845&gt;0,VLOOKUP(OPERAC[[#This Row],[COD CART]],[1]!MatrizCortoLargoCyl[#All],3,0),"")</f>
        <v/>
      </c>
      <c r="F4149" t="inlineStr">
        <is>
          <t>SPWR/CYL/15,00/18-03-22</t>
        </is>
      </c>
      <c r="G4149" t="n">
        <v>200</v>
      </c>
      <c r="H4149" t="n">
        <v>-2868.212</v>
      </c>
      <c r="I4149">
        <f>-H5845/G5845</f>
        <v/>
      </c>
      <c r="J4149" s="16" t="n">
        <v>44628</v>
      </c>
      <c r="K4149" t="n">
        <v>200</v>
      </c>
      <c r="L4149" t="n">
        <v>3008.55</v>
      </c>
    </row>
    <row r="4150">
      <c r="A4150" t="n">
        <v>16783</v>
      </c>
      <c r="B4150" s="16" t="n">
        <v>44608</v>
      </c>
      <c r="C4150" t="inlineStr">
        <is>
          <t>CPR</t>
        </is>
      </c>
      <c r="D4150" t="n">
        <v>32</v>
      </c>
      <c r="E4150">
        <f>IF(D6137&gt;0,VLOOKUP(OPERAC[[#This Row],[COD CART]],[1]!MatrizCortoLargoCyl[#All],3,0),"")</f>
        <v/>
      </c>
      <c r="F4150" t="inlineStr">
        <is>
          <t>DDD/CYL/17,00/01-04-22</t>
        </is>
      </c>
      <c r="G4150" t="n">
        <v>300</v>
      </c>
      <c r="H4150">
        <f>-4861.8306+59.62+49.362</f>
        <v/>
      </c>
      <c r="I4150">
        <f>-H6137/G6137</f>
        <v/>
      </c>
      <c r="J4150" s="16" t="n">
        <v>44649</v>
      </c>
      <c r="K4150" t="n">
        <v>300</v>
      </c>
      <c r="L4150" t="n">
        <v>5002.23</v>
      </c>
    </row>
    <row r="4151">
      <c r="A4151" t="n">
        <v>16783</v>
      </c>
      <c r="B4151" s="16" t="n">
        <v>44608</v>
      </c>
      <c r="C4151" t="inlineStr">
        <is>
          <t>VTA</t>
        </is>
      </c>
      <c r="D4151" t="n">
        <v>39</v>
      </c>
      <c r="E4151">
        <f>IF(D249&gt;0,VLOOKUP(OPERAC[[#This Row],[COD CART]],[1]!MatrizCortoLargoCyl[#All],3,0),"")</f>
        <v/>
      </c>
      <c r="F4151" t="inlineStr">
        <is>
          <t>SOLO/V/3,00/18-03-22</t>
        </is>
      </c>
      <c r="G4151" t="n">
        <v>-2100</v>
      </c>
      <c r="H4151" t="n">
        <v>1795.584</v>
      </c>
      <c r="I4151">
        <f>-H249/G249</f>
        <v/>
      </c>
      <c r="J4151" s="16" t="n">
        <v>44614</v>
      </c>
      <c r="K4151">
        <f>+OPERAC[[#This Row],[cantidad]]</f>
        <v/>
      </c>
      <c r="L4151">
        <f>+OPERAC[[#This Row],[cantidad venta]]*1.113</f>
        <v/>
      </c>
    </row>
    <row r="4152">
      <c r="A4152" t="n">
        <v>16783</v>
      </c>
      <c r="B4152" s="16" t="n">
        <v>44609</v>
      </c>
      <c r="C4152" t="inlineStr">
        <is>
          <t>CPR</t>
        </is>
      </c>
      <c r="D4152" t="n">
        <v>32</v>
      </c>
      <c r="E4152">
        <f>IF(D6014&gt;0,VLOOKUP(OPERAC[[#This Row],[COD CART]],[1]!MatrizCortoLargoCyl[#All],3,0),"")</f>
        <v/>
      </c>
      <c r="F4152" t="inlineStr">
        <is>
          <t>F</t>
        </is>
      </c>
      <c r="G4152" t="n">
        <v>200</v>
      </c>
      <c r="H4152" t="n">
        <v>-3415.7176</v>
      </c>
      <c r="I4152">
        <f>-H6014/G6014</f>
        <v/>
      </c>
      <c r="J4152" s="16" t="n">
        <v>44642</v>
      </c>
      <c r="K4152" t="n">
        <v>200</v>
      </c>
      <c r="L4152" t="n">
        <v>3365.436</v>
      </c>
    </row>
    <row r="4153">
      <c r="A4153" t="n">
        <v>16783</v>
      </c>
      <c r="B4153" s="16" t="n">
        <v>44609</v>
      </c>
      <c r="C4153" t="inlineStr">
        <is>
          <t>VTA</t>
        </is>
      </c>
      <c r="D4153" t="n">
        <v>32</v>
      </c>
      <c r="E4153">
        <f>IF(D5317&gt;0,VLOOKUP(OPERAC[[#This Row],[COD CART]],[1]!MatrizCortoLargoCyl[#All],3,0),"")</f>
        <v/>
      </c>
      <c r="F4153" t="inlineStr">
        <is>
          <t>HIMX/CYL/9,00/18-03-22</t>
        </is>
      </c>
      <c r="G4153" t="n">
        <v>200</v>
      </c>
      <c r="H4153" t="n">
        <v>-1728.784</v>
      </c>
      <c r="I4153">
        <f>-H5317/G5317</f>
        <v/>
      </c>
      <c r="J4153" s="16" t="n">
        <v>44622</v>
      </c>
      <c r="K4153" t="n">
        <v>200</v>
      </c>
      <c r="L4153" t="n">
        <v>1767.151</v>
      </c>
    </row>
    <row r="4154">
      <c r="A4154" t="n">
        <v>16783</v>
      </c>
      <c r="B4154" s="16" t="n">
        <v>44614</v>
      </c>
      <c r="C4154" t="inlineStr">
        <is>
          <t>VTA</t>
        </is>
      </c>
      <c r="D4154" t="n">
        <v>39</v>
      </c>
      <c r="E4154">
        <f>IF(D1002&gt;0,VLOOKUP(OPERAC[[#This Row],[COD CART]],[1]!MatrizCortoLargoCyl[#All],3,0),"")</f>
        <v/>
      </c>
      <c r="F4154" t="inlineStr">
        <is>
          <t>MELI/V/500,00/19-01-24</t>
        </is>
      </c>
      <c r="G4154" t="n">
        <v>-1</v>
      </c>
      <c r="H4154" t="n">
        <v>64.73999999999999</v>
      </c>
      <c r="I4154">
        <f>-H1002/G1002</f>
        <v/>
      </c>
    </row>
    <row r="4155">
      <c r="A4155" t="n">
        <v>16783</v>
      </c>
      <c r="B4155" s="16" t="n">
        <v>44614</v>
      </c>
      <c r="C4155" t="inlineStr">
        <is>
          <t>VTA</t>
        </is>
      </c>
      <c r="D4155" t="n">
        <v>39</v>
      </c>
      <c r="E4155">
        <f>IF(D1044&gt;0,VLOOKUP(OPERAC[[#This Row],[COD CART]],[1]!MatrizCortoLargoCyl[#All],3,0),"")</f>
        <v/>
      </c>
      <c r="F4155" t="inlineStr">
        <is>
          <t>MELI/V/540,00/20-01-23</t>
        </is>
      </c>
      <c r="G4155" t="n">
        <v>-1</v>
      </c>
      <c r="H4155" t="n">
        <v>43.81</v>
      </c>
      <c r="I4155">
        <f>-H1044/G1044</f>
        <v/>
      </c>
    </row>
    <row r="4156">
      <c r="A4156" t="n">
        <v>16783</v>
      </c>
      <c r="B4156" s="16" t="n">
        <v>44614</v>
      </c>
      <c r="C4156" t="inlineStr">
        <is>
          <t>VTA</t>
        </is>
      </c>
      <c r="D4156" t="n">
        <v>39</v>
      </c>
      <c r="E4156">
        <f>IF(D1055&gt;0,VLOOKUP(OPERAC[[#This Row],[COD CART]],[1]!MatrizCortoLargoCyl[#All],3,0),"")</f>
        <v/>
      </c>
      <c r="F4156" t="inlineStr">
        <is>
          <t>DDD/V/10,00/19-01-24</t>
        </is>
      </c>
      <c r="G4156" t="n">
        <v>-20</v>
      </c>
      <c r="H4156" t="n">
        <v>39.75</v>
      </c>
      <c r="I4156">
        <f>-H1055/G1055</f>
        <v/>
      </c>
    </row>
    <row r="4157">
      <c r="A4157" t="n">
        <v>16783</v>
      </c>
      <c r="B4157" s="16" t="n">
        <v>44615</v>
      </c>
      <c r="C4157" t="inlineStr">
        <is>
          <t>CPR</t>
        </is>
      </c>
      <c r="D4157" t="n">
        <v>40</v>
      </c>
      <c r="E4157">
        <f>IF(D5988&gt;0,VLOOKUP(OPERAC[[#This Row],[COD CART]],[1]!MatrizCortoLargoCyl[#All],3,0),"")</f>
        <v/>
      </c>
      <c r="F4157" t="inlineStr">
        <is>
          <t>GMBL</t>
        </is>
      </c>
      <c r="G4157" t="n">
        <v>2000</v>
      </c>
      <c r="H4157" t="n">
        <v>-3252.92</v>
      </c>
      <c r="I4157">
        <f>-H5988/G5988</f>
        <v/>
      </c>
      <c r="J4157" s="16" t="n">
        <v>44692</v>
      </c>
      <c r="K4157" t="n">
        <v>2000</v>
      </c>
      <c r="L4157" t="n">
        <v>785.25</v>
      </c>
    </row>
    <row r="4158">
      <c r="A4158" t="n">
        <v>16783</v>
      </c>
      <c r="B4158" s="16" t="n">
        <v>44616</v>
      </c>
      <c r="C4158" t="inlineStr">
        <is>
          <t>VTA</t>
        </is>
      </c>
      <c r="D4158" t="n">
        <v>32</v>
      </c>
      <c r="E4158">
        <f>IF(D5561&gt;0,VLOOKUP(OPERAC[[#This Row],[COD CART]],[1]!MatrizCortoLargoCyl[#All],3,0),"")</f>
        <v/>
      </c>
      <c r="F4158" t="inlineStr">
        <is>
          <t>PLTR/CYL/12,00/14-04-22</t>
        </is>
      </c>
      <c r="G4158" t="n">
        <v>200</v>
      </c>
      <c r="H4158" t="n">
        <v>-2102.9344</v>
      </c>
      <c r="I4158">
        <f>-H5561/G5561</f>
        <v/>
      </c>
      <c r="J4158" s="16" t="n">
        <v>44643</v>
      </c>
      <c r="K4158" t="n">
        <v>200</v>
      </c>
      <c r="L4158" t="n">
        <v>2293.448</v>
      </c>
    </row>
    <row r="4159">
      <c r="A4159" t="n">
        <v>16783</v>
      </c>
      <c r="B4159" s="16" t="n">
        <v>44622</v>
      </c>
      <c r="C4159" t="inlineStr">
        <is>
          <t>CPR</t>
        </is>
      </c>
      <c r="D4159" t="n">
        <v>32</v>
      </c>
      <c r="E4159">
        <f>IF(D6114&gt;0,VLOOKUP(OPERAC[[#This Row],[COD CART]],[1]!MatrizCortoLargoCyl[#All],3,0),"")</f>
        <v/>
      </c>
      <c r="F4159" t="inlineStr">
        <is>
          <t>AMC/CYL/16,00/14-04-22</t>
        </is>
      </c>
      <c r="G4159" t="n">
        <v>300</v>
      </c>
      <c r="H4159" t="n">
        <v>-4355.942999999999</v>
      </c>
      <c r="I4159">
        <f>-H6114/G6114</f>
        <v/>
      </c>
      <c r="J4159" s="16" t="n">
        <v>44648</v>
      </c>
      <c r="K4159" t="n">
        <v>300</v>
      </c>
      <c r="L4159" t="n">
        <v>4745.328</v>
      </c>
    </row>
    <row r="4160">
      <c r="A4160" t="n">
        <v>16783</v>
      </c>
      <c r="B4160" s="16" t="n">
        <v>44622</v>
      </c>
      <c r="C4160" t="inlineStr">
        <is>
          <t>VTA</t>
        </is>
      </c>
      <c r="D4160" t="n">
        <v>39</v>
      </c>
      <c r="E4160">
        <f>IF(D999&gt;0,VLOOKUP(OPERAC[[#This Row],[COD CART]],[1]!MatrizCortoLargoCyl[#All],3,0),"")</f>
        <v/>
      </c>
      <c r="F4160" t="inlineStr">
        <is>
          <t>TSLA/V/400,00/20-01-23</t>
        </is>
      </c>
      <c r="G4160" t="n">
        <v>-3</v>
      </c>
      <c r="H4160" t="n">
        <v>66.47</v>
      </c>
      <c r="I4160">
        <f>-H999/G999</f>
        <v/>
      </c>
    </row>
    <row r="4161">
      <c r="A4161" t="n">
        <v>16783</v>
      </c>
      <c r="B4161" s="16" t="n">
        <v>44628</v>
      </c>
      <c r="C4161" t="inlineStr">
        <is>
          <t>CPR</t>
        </is>
      </c>
      <c r="D4161" t="n">
        <v>40</v>
      </c>
      <c r="E4161">
        <f>IF(D6106&gt;0,VLOOKUP(OPERAC[[#This Row],[COD CART]],[1]!MatrizCortoLargoCyl[#All],3,0),"")</f>
        <v/>
      </c>
      <c r="F4161" t="inlineStr">
        <is>
          <t>CVV</t>
        </is>
      </c>
      <c r="G4161" t="n">
        <v>1000</v>
      </c>
      <c r="H4161" t="n">
        <v>-4207.744</v>
      </c>
      <c r="I4161">
        <f>-H6106/G6106</f>
        <v/>
      </c>
      <c r="J4161" s="16" t="n">
        <v>44649</v>
      </c>
      <c r="K4161">
        <f>+OPERAC[[#This Row],[cantidad]]</f>
        <v/>
      </c>
      <c r="L4161">
        <f>+OPERAC[[#This Row],[cantidad venta]]*4.459</f>
        <v/>
      </c>
    </row>
    <row r="4162">
      <c r="A4162" t="n">
        <v>16783</v>
      </c>
      <c r="B4162" s="16" t="n">
        <v>44631</v>
      </c>
      <c r="C4162" t="inlineStr">
        <is>
          <t>CPR</t>
        </is>
      </c>
      <c r="D4162" t="n">
        <v>42</v>
      </c>
      <c r="E4162">
        <f>IF(D5888&gt;0,VLOOKUP(OPERAC[[#This Row],[COD CART]],[1]!MatrizCortoLargoCyl[#All],3,0),"")</f>
        <v/>
      </c>
      <c r="F4162" t="inlineStr">
        <is>
          <t>AMZN</t>
        </is>
      </c>
      <c r="G4162" t="n">
        <v>1</v>
      </c>
      <c r="H4162" t="n">
        <v>-2966.98968</v>
      </c>
      <c r="I4162">
        <f>-H5888/G5888</f>
        <v/>
      </c>
      <c r="J4162" s="16" t="n">
        <v>44642</v>
      </c>
      <c r="K4162" t="n">
        <v>1</v>
      </c>
      <c r="L4162" t="n">
        <v>3286.55</v>
      </c>
    </row>
    <row r="4163">
      <c r="A4163" t="n">
        <v>16783</v>
      </c>
      <c r="B4163" s="16" t="n">
        <v>44634</v>
      </c>
      <c r="C4163" t="inlineStr">
        <is>
          <t>CPR</t>
        </is>
      </c>
      <c r="D4163" t="n">
        <v>42</v>
      </c>
      <c r="E4163">
        <f>IF(D4204&gt;0,VLOOKUP(OPERAC[[#This Row],[COD CART]],[1]!MatrizCortoLargoCyl[#All],3,0),"")</f>
        <v/>
      </c>
      <c r="F4163" t="inlineStr">
        <is>
          <t>INO</t>
        </is>
      </c>
      <c r="G4163" t="n">
        <v>300</v>
      </c>
      <c r="H4163" t="n">
        <v>-992.2973999999999</v>
      </c>
      <c r="I4163">
        <f>-H4204/G4204</f>
        <v/>
      </c>
      <c r="J4163" s="16" t="n">
        <v>44634</v>
      </c>
      <c r="K4163" t="n">
        <v>300</v>
      </c>
      <c r="L4163" t="n">
        <v>896.6565000000001</v>
      </c>
    </row>
    <row r="4164">
      <c r="A4164" t="n">
        <v>16783</v>
      </c>
      <c r="B4164" s="16" t="n">
        <v>44641</v>
      </c>
      <c r="C4164" t="inlineStr">
        <is>
          <t>VTA</t>
        </is>
      </c>
      <c r="D4164" t="n">
        <v>42</v>
      </c>
      <c r="E4164">
        <f>IF(D2363&gt;0,VLOOKUP(OPERAC[[#This Row],[COD CART]],[1]!MatrizCortoLargoCyl[#All],3,0),"")</f>
        <v/>
      </c>
      <c r="F4164" t="inlineStr">
        <is>
          <t>JPM</t>
        </is>
      </c>
      <c r="G4164" t="n">
        <v>3</v>
      </c>
      <c r="H4164" t="n">
        <v>-419.69106</v>
      </c>
      <c r="I4164">
        <f>-H2363/G2363</f>
        <v/>
      </c>
      <c r="J4164" s="16" t="n">
        <v>44664</v>
      </c>
      <c r="K4164">
        <f>+OPERAC[[#This Row],[cantidad]]</f>
        <v/>
      </c>
      <c r="L4164">
        <f>+OPERAC[[#This Row],[cantidad venta]]*125.943</f>
        <v/>
      </c>
    </row>
    <row r="4165">
      <c r="A4165" t="n">
        <v>16783</v>
      </c>
      <c r="B4165" s="16" t="n">
        <v>44641</v>
      </c>
      <c r="C4165" t="inlineStr">
        <is>
          <t>VTA</t>
        </is>
      </c>
      <c r="D4165" t="n">
        <v>42</v>
      </c>
      <c r="E4165">
        <f>IF(D2398&gt;0,VLOOKUP(OPERAC[[#This Row],[COD CART]],[1]!MatrizCortoLargoCyl[#All],3,0),"")</f>
        <v/>
      </c>
      <c r="F4165" t="inlineStr">
        <is>
          <t>FB</t>
        </is>
      </c>
      <c r="G4165" t="n">
        <v>2</v>
      </c>
      <c r="H4165" t="n">
        <v>-422.62908</v>
      </c>
      <c r="I4165">
        <f>-H2398/G2398</f>
        <v/>
      </c>
      <c r="J4165" s="16" t="n">
        <v>44671</v>
      </c>
      <c r="K4165">
        <f>+OPERAC[[#This Row],[cantidad]]</f>
        <v/>
      </c>
      <c r="L4165">
        <f>+OPERAC[[#This Row],[cantidad venta]]*213.173</f>
        <v/>
      </c>
    </row>
    <row r="4166">
      <c r="A4166" t="n">
        <v>16783</v>
      </c>
      <c r="B4166" s="16" t="n">
        <v>44642</v>
      </c>
      <c r="C4166" t="inlineStr">
        <is>
          <t>CPR</t>
        </is>
      </c>
      <c r="D4166" t="n">
        <v>42</v>
      </c>
      <c r="E4166">
        <f>IF(D4209&gt;0,VLOOKUP(OPERAC[[#This Row],[COD CART]],[1]!MatrizCortoLargoCyl[#All],3,0),"")</f>
        <v/>
      </c>
      <c r="F4166" t="inlineStr">
        <is>
          <t>DIS</t>
        </is>
      </c>
      <c r="G4166" t="n">
        <v>7</v>
      </c>
      <c r="H4166" t="n">
        <v>-996.65676</v>
      </c>
      <c r="I4166">
        <f>-H4209/G4209</f>
        <v/>
      </c>
      <c r="J4166" s="16" t="n">
        <v>44671</v>
      </c>
      <c r="K4166">
        <f>+OPERAC[[#This Row],[cantidad]]</f>
        <v/>
      </c>
      <c r="L4166">
        <f>+OPERAC[[#This Row],[cantidad venta]]*123.621</f>
        <v/>
      </c>
    </row>
    <row r="4167">
      <c r="A4167" t="n">
        <v>16783</v>
      </c>
      <c r="B4167" s="16" t="n">
        <v>44642</v>
      </c>
      <c r="C4167" t="inlineStr">
        <is>
          <t>CPR</t>
        </is>
      </c>
      <c r="D4167" t="n">
        <v>42</v>
      </c>
      <c r="E4167">
        <f>IF(D4268&gt;0,VLOOKUP(OPERAC[[#This Row],[COD CART]],[1]!MatrizCortoLargoCyl[#All],3,0),"")</f>
        <v/>
      </c>
      <c r="F4167" t="inlineStr">
        <is>
          <t>AAPL</t>
        </is>
      </c>
      <c r="G4167" t="n">
        <v>6</v>
      </c>
      <c r="H4167" t="n">
        <v>-1018.56672</v>
      </c>
      <c r="I4167">
        <f>-H4268/G4268</f>
        <v/>
      </c>
      <c r="J4167" s="16" t="n">
        <v>44651</v>
      </c>
      <c r="K4167" t="n">
        <v>6</v>
      </c>
      <c r="L4167" t="n">
        <v>1058.104</v>
      </c>
    </row>
    <row r="4168">
      <c r="A4168" t="n">
        <v>16783</v>
      </c>
      <c r="B4168" s="16" t="n">
        <v>44642</v>
      </c>
      <c r="C4168" t="inlineStr">
        <is>
          <t>CPR</t>
        </is>
      </c>
      <c r="D4168" t="n">
        <v>42</v>
      </c>
      <c r="E4168">
        <f>IF(D4358&gt;0,VLOOKUP(OPERAC[[#This Row],[COD CART]],[1]!MatrizCortoLargoCyl[#All],3,0),"")</f>
        <v/>
      </c>
      <c r="F4168" t="inlineStr">
        <is>
          <t>QQQ</t>
        </is>
      </c>
      <c r="G4168" t="n">
        <v>3</v>
      </c>
      <c r="H4168" t="n">
        <v>-1075.73448</v>
      </c>
      <c r="I4168">
        <f>-H4358/G4358</f>
        <v/>
      </c>
      <c r="J4168" s="16" t="n">
        <v>44690</v>
      </c>
      <c r="K4168" t="n">
        <v>3</v>
      </c>
      <c r="L4168" t="n">
        <v>886.931</v>
      </c>
    </row>
    <row r="4169">
      <c r="A4169" t="n">
        <v>16783</v>
      </c>
      <c r="B4169" s="16" t="n">
        <v>44642</v>
      </c>
      <c r="C4169" t="inlineStr">
        <is>
          <t>VTA</t>
        </is>
      </c>
      <c r="D4169" t="n">
        <v>42</v>
      </c>
      <c r="E4169">
        <f>IF(D5541&gt;0,VLOOKUP(OPERAC[[#This Row],[COD CART]],[1]!MatrizCortoLargoCyl[#All],3,0),"")</f>
        <v/>
      </c>
      <c r="F4169" t="inlineStr">
        <is>
          <t>HYDR</t>
        </is>
      </c>
      <c r="G4169" t="n">
        <v>105</v>
      </c>
      <c r="H4169">
        <f>-19.39*OPERAC[[#This Row],[cantidad]]</f>
        <v/>
      </c>
      <c r="I4169">
        <f>-H5541/G5541</f>
        <v/>
      </c>
      <c r="J4169" s="16" t="n">
        <v>44693</v>
      </c>
      <c r="K4169">
        <f>+OPERAC[[#This Row],[cantidad]]</f>
        <v/>
      </c>
      <c r="L4169">
        <f>+OPERAC[[#This Row],[cantidad venta]]*12.027</f>
        <v/>
      </c>
    </row>
    <row r="4170">
      <c r="A4170" t="n">
        <v>16783</v>
      </c>
      <c r="B4170" s="16" t="n">
        <v>44643</v>
      </c>
      <c r="C4170" t="inlineStr">
        <is>
          <t>CPR</t>
        </is>
      </c>
      <c r="D4170" t="n">
        <v>42</v>
      </c>
      <c r="E4170">
        <f>IF(D4435&gt;0,VLOOKUP(OPERAC[[#This Row],[COD CART]],[1]!MatrizCortoLargoCyl[#All],3,0),"")</f>
        <v/>
      </c>
      <c r="F4170" t="inlineStr">
        <is>
          <t>JPM</t>
        </is>
      </c>
      <c r="G4170" t="n">
        <v>8</v>
      </c>
      <c r="H4170" t="n">
        <v>-1125.48928</v>
      </c>
      <c r="I4170">
        <f>-H4435/G4435</f>
        <v/>
      </c>
      <c r="J4170" s="16" t="n">
        <v>44664</v>
      </c>
      <c r="K4170">
        <f>+OPERAC[[#This Row],[cantidad]]</f>
        <v/>
      </c>
      <c r="L4170">
        <f>+OPERAC[[#This Row],[cantidad venta]]*125.943</f>
        <v/>
      </c>
    </row>
    <row r="4171">
      <c r="A4171" t="n">
        <v>16783</v>
      </c>
      <c r="B4171" s="16" t="n">
        <v>44643</v>
      </c>
      <c r="C4171" t="inlineStr">
        <is>
          <t>CPR</t>
        </is>
      </c>
      <c r="D4171" t="n">
        <v>42</v>
      </c>
      <c r="E4171">
        <f>IF(D4665&gt;0,VLOOKUP(OPERAC[[#This Row],[COD CART]],[1]!MatrizCortoLargoCyl[#All],3,0),"")</f>
        <v/>
      </c>
      <c r="F4171" t="inlineStr">
        <is>
          <t>FB</t>
        </is>
      </c>
      <c r="G4171" t="n">
        <v>6</v>
      </c>
      <c r="H4171" t="n">
        <v>-1291.59396</v>
      </c>
      <c r="I4171">
        <f>-H4665/G4665</f>
        <v/>
      </c>
      <c r="J4171" s="16" t="n">
        <v>44671</v>
      </c>
      <c r="K4171">
        <f>+OPERAC[[#This Row],[cantidad]]</f>
        <v/>
      </c>
      <c r="L4171">
        <f>+OPERAC[[#This Row],[cantidad venta]]*213.173</f>
        <v/>
      </c>
    </row>
    <row r="4172">
      <c r="A4172" t="n">
        <v>16783</v>
      </c>
      <c r="B4172" s="16" t="n">
        <v>44643</v>
      </c>
      <c r="C4172" t="inlineStr">
        <is>
          <t>CPR</t>
        </is>
      </c>
      <c r="D4172" t="n">
        <v>42</v>
      </c>
      <c r="E4172">
        <f>IF(D4716&gt;0,VLOOKUP(OPERAC[[#This Row],[COD CART]],[1]!MatrizCortoLargoCyl[#All],3,0),"")</f>
        <v/>
      </c>
      <c r="F4172" t="inlineStr">
        <is>
          <t>SMH</t>
        </is>
      </c>
      <c r="G4172" t="n">
        <v>5</v>
      </c>
      <c r="H4172" t="n">
        <v>-1330.51389</v>
      </c>
      <c r="I4172">
        <f>-H4716/G4716</f>
        <v/>
      </c>
      <c r="J4172" s="16" t="n">
        <v>44663</v>
      </c>
      <c r="K4172">
        <f>+OPERAC[[#This Row],[cantidad]]</f>
        <v/>
      </c>
      <c r="L4172">
        <f>+OPERAC[[#This Row],[cantidad venta]]*238.066</f>
        <v/>
      </c>
    </row>
    <row r="4173">
      <c r="A4173" t="n">
        <v>16783</v>
      </c>
      <c r="B4173" s="16" t="n">
        <v>44645</v>
      </c>
      <c r="C4173" t="inlineStr">
        <is>
          <t>CPR</t>
        </is>
      </c>
      <c r="D4173" t="n">
        <v>42</v>
      </c>
      <c r="E4173">
        <f>IF(D4785&gt;0,VLOOKUP(OPERAC[[#This Row],[COD CART]],[1]!MatrizCortoLargoCyl[#All],3,0),"")</f>
        <v/>
      </c>
      <c r="F4173" t="inlineStr">
        <is>
          <t>PLUG</t>
        </is>
      </c>
      <c r="G4173" t="n">
        <v>50</v>
      </c>
      <c r="H4173" t="n">
        <v>-1391.041</v>
      </c>
      <c r="I4173">
        <f>-H4785/G4785</f>
        <v/>
      </c>
      <c r="J4173" s="16" t="n">
        <v>44652</v>
      </c>
      <c r="K4173">
        <f>+OPERAC[[#This Row],[cantidad]]</f>
        <v/>
      </c>
      <c r="L4173">
        <f>+OPERAC[[#This Row],[cantidad venta]]*27.754</f>
        <v/>
      </c>
    </row>
    <row r="4174">
      <c r="A4174" t="n">
        <v>16783</v>
      </c>
      <c r="B4174" s="16" t="n">
        <v>44648</v>
      </c>
      <c r="C4174" t="inlineStr">
        <is>
          <t>CPR</t>
        </is>
      </c>
      <c r="D4174" t="n">
        <v>31</v>
      </c>
      <c r="E4174">
        <f>IF(D4417&gt;0,VLOOKUP(OPERAC[[#This Row],[COD CART]],[1]!MatrizCortoLargoCyl[#All],3,0),"")</f>
        <v/>
      </c>
      <c r="F4174" t="inlineStr">
        <is>
          <t>NVDA</t>
        </is>
      </c>
      <c r="G4174" t="n">
        <v>4</v>
      </c>
      <c r="H4174" t="n">
        <v>-1109.75936</v>
      </c>
      <c r="I4174">
        <f>-H4417/G4417</f>
        <v/>
      </c>
    </row>
    <row r="4175">
      <c r="A4175" t="n">
        <v>16783</v>
      </c>
      <c r="B4175" s="16" t="n">
        <v>44648</v>
      </c>
      <c r="C4175" t="inlineStr">
        <is>
          <t>CPR</t>
        </is>
      </c>
      <c r="D4175" t="n">
        <v>31</v>
      </c>
      <c r="E4175">
        <f>IF(D4427&gt;0,VLOOKUP(OPERAC[[#This Row],[COD CART]],[1]!MatrizCortoLargoCyl[#All],3,0),"")</f>
        <v/>
      </c>
      <c r="F4175" t="inlineStr">
        <is>
          <t>COST</t>
        </is>
      </c>
      <c r="G4175" t="n">
        <v>2</v>
      </c>
      <c r="H4175" t="n">
        <v>-1117.2496</v>
      </c>
      <c r="I4175">
        <f>-H4427/G4427</f>
        <v/>
      </c>
    </row>
    <row r="4176">
      <c r="A4176" t="n">
        <v>16783</v>
      </c>
      <c r="B4176" s="16" t="n">
        <v>44648</v>
      </c>
      <c r="C4176" t="inlineStr">
        <is>
          <t>CPR</t>
        </is>
      </c>
      <c r="D4176" t="n">
        <v>31</v>
      </c>
      <c r="E4176">
        <f>IF(D4448&gt;0,VLOOKUP(OPERAC[[#This Row],[COD CART]],[1]!MatrizCortoLargoCyl[#All],3,0),"")</f>
        <v/>
      </c>
      <c r="F4176" t="inlineStr">
        <is>
          <t>BABA</t>
        </is>
      </c>
      <c r="G4176" t="n">
        <v>10</v>
      </c>
      <c r="H4176" t="n">
        <v>-1143.554</v>
      </c>
      <c r="I4176">
        <f>-H4448/G4448</f>
        <v/>
      </c>
    </row>
    <row r="4177">
      <c r="A4177" t="n">
        <v>16783</v>
      </c>
      <c r="B4177" s="16" t="n">
        <v>44648</v>
      </c>
      <c r="C4177" t="inlineStr">
        <is>
          <t>VTA</t>
        </is>
      </c>
      <c r="D4177" t="n">
        <v>32</v>
      </c>
      <c r="E4177">
        <f>IF(D5165&gt;0,VLOOKUP(OPERAC[[#This Row],[COD CART]],[1]!MatrizCortoLargoCyl[#All],3,0),"")</f>
        <v/>
      </c>
      <c r="F4177" t="inlineStr">
        <is>
          <t>F</t>
        </is>
      </c>
      <c r="G4177" t="n">
        <v>100</v>
      </c>
      <c r="H4177" t="n">
        <v>-1609.832</v>
      </c>
      <c r="I4177">
        <f>-H5165/G5165</f>
        <v/>
      </c>
      <c r="J4177" s="16" t="n">
        <v>44677</v>
      </c>
      <c r="K4177" t="n">
        <v>100</v>
      </c>
      <c r="L4177" t="n">
        <v>1500.716</v>
      </c>
    </row>
    <row r="4178">
      <c r="A4178" t="n">
        <v>16783</v>
      </c>
      <c r="B4178" s="16" t="n">
        <v>44649</v>
      </c>
      <c r="C4178" t="inlineStr">
        <is>
          <t>CPR</t>
        </is>
      </c>
      <c r="D4178" t="n">
        <v>32</v>
      </c>
      <c r="E4178">
        <f>IF(D4932&gt;0,VLOOKUP(OPERAC[[#This Row],[COD CART]],[1]!MatrizCortoLargoCyl[#All],3,0),"")</f>
        <v/>
      </c>
      <c r="F4178" t="inlineStr">
        <is>
          <t>DDD</t>
        </is>
      </c>
      <c r="G4178" t="n">
        <v>100</v>
      </c>
      <c r="H4178" t="n">
        <v>-1498.949</v>
      </c>
      <c r="I4178">
        <f>-H4932/G4932</f>
        <v/>
      </c>
    </row>
    <row r="4179">
      <c r="A4179" t="n">
        <v>16783</v>
      </c>
      <c r="B4179" s="16" t="n">
        <v>44649</v>
      </c>
      <c r="C4179" t="inlineStr">
        <is>
          <t>CPR</t>
        </is>
      </c>
      <c r="D4179" t="n">
        <v>42</v>
      </c>
      <c r="E4179">
        <f>IF(D6119&gt;0,VLOOKUP(OPERAC[[#This Row],[COD CART]],[1]!MatrizCortoLargoCyl[#All],3,0),"")</f>
        <v/>
      </c>
      <c r="F4179" t="inlineStr">
        <is>
          <t>CRESY</t>
        </is>
      </c>
      <c r="G4179" t="n">
        <v>550</v>
      </c>
      <c r="H4179" t="n">
        <v>-4433.0506</v>
      </c>
      <c r="I4179">
        <f>-H6119/G6119</f>
        <v/>
      </c>
      <c r="J4179" s="16" t="n">
        <v>44657</v>
      </c>
      <c r="K4179">
        <f>+OPERAC[[#This Row],[cantidad]]</f>
        <v/>
      </c>
      <c r="L4179">
        <f>+OPERAC[[#This Row],[cantidad venta]]*7.664</f>
        <v/>
      </c>
    </row>
    <row r="4180">
      <c r="A4180" t="n">
        <v>16783</v>
      </c>
      <c r="B4180" s="16" t="n">
        <v>44649</v>
      </c>
      <c r="C4180" t="inlineStr">
        <is>
          <t>VTA</t>
        </is>
      </c>
      <c r="D4180" t="n">
        <v>32</v>
      </c>
      <c r="E4180">
        <f>IF(D5207&gt;0,VLOOKUP(OPERAC[[#This Row],[COD CART]],[1]!MatrizCortoLargoCyl[#All],3,0),"")</f>
        <v/>
      </c>
      <c r="F4180" t="inlineStr">
        <is>
          <t>ARLO</t>
        </is>
      </c>
      <c r="G4180" t="n">
        <v>200</v>
      </c>
      <c r="H4180" t="n">
        <v>-1654.82</v>
      </c>
      <c r="I4180">
        <f>-H5207/G5207</f>
        <v/>
      </c>
    </row>
    <row r="4181">
      <c r="A4181" t="n">
        <v>16783</v>
      </c>
      <c r="B4181" s="16" t="n">
        <v>44650</v>
      </c>
      <c r="C4181" t="inlineStr">
        <is>
          <t>VTA</t>
        </is>
      </c>
      <c r="D4181" t="n">
        <v>43</v>
      </c>
      <c r="E4181">
        <f>IF(D5405&gt;0,VLOOKUP(OPERAC[[#This Row],[COD CART]],[1]!MatrizCortoLargoCyl[#All],3,0),"")</f>
        <v/>
      </c>
      <c r="F4181" t="inlineStr">
        <is>
          <t>ACB/CYL-PUT/3,00/20-01-23</t>
        </is>
      </c>
      <c r="G4181" t="n">
        <v>1000</v>
      </c>
      <c r="H4181" t="n">
        <v>-1831.258</v>
      </c>
      <c r="I4181">
        <f>-H5405/G5405</f>
        <v/>
      </c>
    </row>
    <row r="4182">
      <c r="A4182" t="n">
        <v>16783</v>
      </c>
      <c r="B4182" s="16" t="n">
        <v>44651</v>
      </c>
      <c r="C4182" t="inlineStr">
        <is>
          <t>CPR</t>
        </is>
      </c>
      <c r="D4182" t="n">
        <v>42</v>
      </c>
      <c r="E4182">
        <f>IF(D4454&gt;0,VLOOKUP(OPERAC[[#This Row],[COD CART]],[1]!MatrizCortoLargoCyl[#All],3,0),"")</f>
        <v/>
      </c>
      <c r="F4182" t="inlineStr">
        <is>
          <t>NFLX</t>
        </is>
      </c>
      <c r="G4182" t="n">
        <v>3</v>
      </c>
      <c r="H4182" t="n">
        <v>-1156.0344</v>
      </c>
      <c r="I4182">
        <f>-H4454/G4454</f>
        <v/>
      </c>
      <c r="J4182" s="16" t="n">
        <v>44658</v>
      </c>
      <c r="K4182" t="n">
        <v>3</v>
      </c>
      <c r="L4182" t="n">
        <v>1074.205</v>
      </c>
    </row>
    <row r="4183">
      <c r="A4183" t="n">
        <v>16783</v>
      </c>
      <c r="B4183" s="16" t="n">
        <v>44651</v>
      </c>
      <c r="C4183" t="inlineStr">
        <is>
          <t>CPR</t>
        </is>
      </c>
      <c r="D4183" t="n">
        <v>42</v>
      </c>
      <c r="E4183">
        <f>IF(D5968&gt;0,VLOOKUP(OPERAC[[#This Row],[COD CART]],[1]!MatrizCortoLargoCyl[#All],3,0),"")</f>
        <v/>
      </c>
      <c r="F4183" t="inlineStr">
        <is>
          <t>AMD</t>
        </is>
      </c>
      <c r="G4183" t="n">
        <v>28</v>
      </c>
      <c r="H4183" t="n">
        <v>-3176.51488</v>
      </c>
      <c r="I4183">
        <f>-H5968/G5968</f>
        <v/>
      </c>
      <c r="J4183" s="16" t="n">
        <v>44678</v>
      </c>
      <c r="K4183" t="n">
        <v>28</v>
      </c>
      <c r="L4183">
        <f>+OPERAC[[#This Row],[cantidad venta]]*85.782</f>
        <v/>
      </c>
    </row>
    <row r="4184">
      <c r="A4184" t="n">
        <v>16783</v>
      </c>
      <c r="B4184" s="16" t="n">
        <v>44652</v>
      </c>
      <c r="C4184" t="inlineStr">
        <is>
          <t>VTA</t>
        </is>
      </c>
      <c r="D4184" t="n">
        <v>42</v>
      </c>
      <c r="E4184">
        <f>IF(D5135&gt;0,VLOOKUP(OPERAC[[#This Row],[COD CART]],[1]!MatrizCortoLargoCyl[#All],3,0),"")</f>
        <v/>
      </c>
      <c r="F4184" t="inlineStr">
        <is>
          <t>GBTC</t>
        </is>
      </c>
      <c r="G4184" t="n">
        <v>50</v>
      </c>
      <c r="H4184" t="n">
        <v>-1599.12</v>
      </c>
      <c r="I4184">
        <f>-H5135/G5135</f>
        <v/>
      </c>
      <c r="J4184" s="16" t="n">
        <v>44662</v>
      </c>
      <c r="K4184">
        <f>+OPERAC[[#This Row],[cantidad]]</f>
        <v/>
      </c>
      <c r="L4184">
        <f>27.99*OPERAC[[#This Row],[cantidad venta]]</f>
        <v/>
      </c>
    </row>
    <row r="4185">
      <c r="A4185" t="n">
        <v>16783</v>
      </c>
      <c r="B4185" s="16" t="n">
        <v>44658</v>
      </c>
      <c r="C4185" t="inlineStr">
        <is>
          <t>CPR</t>
        </is>
      </c>
      <c r="D4185" t="n">
        <v>42</v>
      </c>
      <c r="E4185">
        <f>IF(D4062&gt;0,VLOOKUP(OPERAC[[#This Row],[COD CART]],[1]!MatrizCortoLargoCyl[#All],3,0),"")</f>
        <v/>
      </c>
      <c r="F4185" t="inlineStr">
        <is>
          <t>AMD</t>
        </is>
      </c>
      <c r="G4185" t="n">
        <v>9</v>
      </c>
      <c r="H4185" t="n">
        <v>-929.14</v>
      </c>
      <c r="I4185">
        <f>-H4062/G4062</f>
        <v/>
      </c>
      <c r="J4185" s="16" t="n">
        <v>44678</v>
      </c>
      <c r="K4185" t="n">
        <v>9</v>
      </c>
      <c r="L4185">
        <f>+OPERAC[[#This Row],[cantidad venta]]*85.782</f>
        <v/>
      </c>
    </row>
    <row r="4186">
      <c r="A4186" t="n">
        <v>16783</v>
      </c>
      <c r="B4186" s="16" t="n">
        <v>44658</v>
      </c>
      <c r="C4186" t="inlineStr">
        <is>
          <t>CPR</t>
        </is>
      </c>
      <c r="D4186" t="n">
        <v>32</v>
      </c>
      <c r="E4186">
        <f>IF(D5733&gt;0,VLOOKUP(OPERAC[[#This Row],[COD CART]],[1]!MatrizCortoLargoCyl[#All],3,0),"")</f>
        <v/>
      </c>
      <c r="F4186" t="inlineStr">
        <is>
          <t>KWEB/CYL/28,00/20-05-22</t>
        </is>
      </c>
      <c r="G4186" t="n">
        <v>100</v>
      </c>
      <c r="H4186" t="n">
        <v>-2608.6189</v>
      </c>
      <c r="I4186">
        <f>-H5733/G5733</f>
        <v/>
      </c>
      <c r="J4186" s="16" t="n">
        <v>44701</v>
      </c>
      <c r="K4186" t="n">
        <v>100</v>
      </c>
      <c r="L4186" t="n">
        <v>2725.71</v>
      </c>
    </row>
    <row r="4187">
      <c r="A4187" t="n">
        <v>16783</v>
      </c>
      <c r="B4187" s="16" t="n">
        <v>44662</v>
      </c>
      <c r="C4187" t="inlineStr">
        <is>
          <t>CPR</t>
        </is>
      </c>
      <c r="D4187" t="n">
        <v>32</v>
      </c>
      <c r="E4187">
        <f>IF(D4106&gt;0,VLOOKUP(OPERAC[[#This Row],[COD CART]],[1]!MatrizCortoLargoCyl[#All],3,0),"")</f>
        <v/>
      </c>
      <c r="F4187" t="inlineStr">
        <is>
          <t>BLDP</t>
        </is>
      </c>
      <c r="G4187" t="n">
        <v>100</v>
      </c>
      <c r="H4187" t="n">
        <v>-947.236</v>
      </c>
      <c r="I4187">
        <f>-H4106/G4106</f>
        <v/>
      </c>
      <c r="J4187" s="16" t="n">
        <v>44707</v>
      </c>
      <c r="K4187" t="n">
        <v>100</v>
      </c>
      <c r="L4187" t="n">
        <v>722.235</v>
      </c>
    </row>
    <row r="4188">
      <c r="A4188" t="n">
        <v>16783</v>
      </c>
      <c r="B4188" s="16" t="n">
        <v>44662</v>
      </c>
      <c r="C4188" t="inlineStr">
        <is>
          <t>VTA</t>
        </is>
      </c>
      <c r="D4188" t="n">
        <v>42</v>
      </c>
      <c r="E4188">
        <f>IF(D5614&gt;0,VLOOKUP(OPERAC[[#This Row],[COD CART]],[1]!MatrizCortoLargoCyl[#All],3,0),"")</f>
        <v/>
      </c>
      <c r="F4188" t="inlineStr">
        <is>
          <t>UPST</t>
        </is>
      </c>
      <c r="G4188" t="n">
        <v>25</v>
      </c>
      <c r="H4188" t="n">
        <v>-2275.942</v>
      </c>
      <c r="I4188">
        <f>-H5614/G5614</f>
        <v/>
      </c>
      <c r="J4188" s="16" t="n">
        <v>44692</v>
      </c>
      <c r="K4188" t="n">
        <v>25</v>
      </c>
      <c r="L4188" t="n">
        <v>763.797</v>
      </c>
    </row>
    <row r="4189">
      <c r="A4189" t="n">
        <v>16783</v>
      </c>
      <c r="B4189" s="16" t="n">
        <v>44664</v>
      </c>
      <c r="C4189" t="inlineStr">
        <is>
          <t>CPR</t>
        </is>
      </c>
      <c r="D4189" t="n">
        <v>42</v>
      </c>
      <c r="E4189">
        <f>IF(D5683&gt;0,VLOOKUP(OPERAC[[#This Row],[COD CART]],[1]!MatrizCortoLargoCyl[#All],3,0),"")</f>
        <v/>
      </c>
      <c r="F4189" t="inlineStr">
        <is>
          <t>PSQ</t>
        </is>
      </c>
      <c r="G4189" t="n">
        <v>200</v>
      </c>
      <c r="H4189" t="n">
        <v>-2476.6522074</v>
      </c>
      <c r="I4189">
        <f>-H5683/G5683</f>
        <v/>
      </c>
      <c r="J4189" s="16" t="n">
        <v>44680</v>
      </c>
      <c r="K4189">
        <f>+OPERAC[[#This Row],[cantidad]]</f>
        <v/>
      </c>
      <c r="L4189">
        <f>12.848*OPERAC[[#This Row],[cantidad venta]]</f>
        <v/>
      </c>
    </row>
    <row r="4190">
      <c r="A4190" t="n">
        <v>16783</v>
      </c>
      <c r="B4190" s="16" t="n">
        <v>44664</v>
      </c>
      <c r="C4190" t="inlineStr">
        <is>
          <t>CPR</t>
        </is>
      </c>
      <c r="D4190" t="n">
        <v>42</v>
      </c>
      <c r="E4190">
        <f>IF(D6165&gt;0,VLOOKUP(OPERAC[[#This Row],[COD CART]],[1]!MatrizCortoLargoCyl[#All],3,0),"")</f>
        <v/>
      </c>
      <c r="F4190" t="inlineStr">
        <is>
          <t>AMD</t>
        </is>
      </c>
      <c r="G4190" t="n">
        <v>50</v>
      </c>
      <c r="H4190" t="n">
        <v>-4918.9450905</v>
      </c>
      <c r="I4190">
        <f>-H6165/G6165</f>
        <v/>
      </c>
      <c r="J4190" s="16" t="n">
        <v>44678</v>
      </c>
      <c r="K4190" t="n">
        <v>50</v>
      </c>
      <c r="L4190">
        <f>+OPERAC[[#This Row],[cantidad venta]]*85.782</f>
        <v/>
      </c>
    </row>
    <row r="4191">
      <c r="A4191" t="n">
        <v>16783</v>
      </c>
      <c r="B4191" s="16" t="n">
        <v>44669</v>
      </c>
      <c r="C4191" t="inlineStr">
        <is>
          <t>VTA</t>
        </is>
      </c>
      <c r="D4191" t="n">
        <v>39</v>
      </c>
      <c r="E4191">
        <f>IF(D141&gt;0,VLOOKUP(OPERAC[[#This Row],[COD CART]],[1]!MatrizCortoLargoCyl[#All],3,0),"")</f>
        <v/>
      </c>
      <c r="F4191" t="inlineStr">
        <is>
          <t>UPST/V/80,00/22-04-22</t>
        </is>
      </c>
      <c r="G4191" t="n">
        <v>-800</v>
      </c>
      <c r="H4191" t="n">
        <v>2946.68</v>
      </c>
      <c r="I4191">
        <f>-H141/G141</f>
        <v/>
      </c>
      <c r="J4191" s="16" t="n">
        <v>44673</v>
      </c>
      <c r="K4191" t="n">
        <v>-800</v>
      </c>
      <c r="L4191" t="n">
        <v>-3134.04</v>
      </c>
    </row>
    <row r="4192">
      <c r="A4192" t="n">
        <v>16783</v>
      </c>
      <c r="B4192" s="16" t="n">
        <v>44670</v>
      </c>
      <c r="C4192" t="inlineStr">
        <is>
          <t>CPR</t>
        </is>
      </c>
      <c r="D4192" t="n">
        <v>32</v>
      </c>
      <c r="E4192">
        <f>IF(D4819&gt;0,VLOOKUP(OPERAC[[#This Row],[COD CART]],[1]!MatrizCortoLargoCyl[#All],3,0),"")</f>
        <v/>
      </c>
      <c r="F4192" t="inlineStr">
        <is>
          <t>PCT/CYL/7,50/20-05-22</t>
        </is>
      </c>
      <c r="G4192" t="n">
        <v>200</v>
      </c>
      <c r="H4192" t="n">
        <v>-1411.82</v>
      </c>
      <c r="I4192">
        <f>-H4819/G4819</f>
        <v/>
      </c>
      <c r="J4192" s="16" t="n">
        <v>44698</v>
      </c>
      <c r="K4192">
        <f>+OPERAC[[#This Row],[cantidad]]</f>
        <v/>
      </c>
      <c r="L4192">
        <f>7.3616*OPERAC[[#This Row],[cantidad venta]]</f>
        <v/>
      </c>
    </row>
    <row r="4193">
      <c r="A4193" t="n">
        <v>16783</v>
      </c>
      <c r="B4193" s="16" t="n">
        <v>44670</v>
      </c>
      <c r="C4193" t="inlineStr">
        <is>
          <t>CPR</t>
        </is>
      </c>
      <c r="D4193" t="n">
        <v>43</v>
      </c>
      <c r="E4193">
        <f>IF(D6034&gt;0,VLOOKUP(OPERAC[[#This Row],[COD CART]],[1]!MatrizCortoLargoCyl[#All],3,0),"")</f>
        <v/>
      </c>
      <c r="F4193" t="inlineStr">
        <is>
          <t>PCT/CYL-PUT/7,50/20-01-23</t>
        </is>
      </c>
      <c r="G4193" t="n">
        <v>1000</v>
      </c>
      <c r="H4193" t="n">
        <v>-3522.4</v>
      </c>
      <c r="I4193">
        <f>-H6034/G6034</f>
        <v/>
      </c>
    </row>
    <row r="4194">
      <c r="A4194" t="n">
        <v>16783</v>
      </c>
      <c r="B4194" s="16" t="n">
        <v>44670</v>
      </c>
      <c r="C4194" t="inlineStr">
        <is>
          <t>VTA</t>
        </is>
      </c>
      <c r="D4194" t="n">
        <v>39</v>
      </c>
      <c r="E4194">
        <f>IF(D1088&gt;0,VLOOKUP(OPERAC[[#This Row],[COD CART]],[1]!MatrizCortoLargoCyl[#All],3,0),"")</f>
        <v/>
      </c>
      <c r="F4194" t="inlineStr">
        <is>
          <t>TSLA/V/400,00/20-01-23</t>
        </is>
      </c>
      <c r="G4194" t="n">
        <v>-3</v>
      </c>
      <c r="H4194" t="n">
        <v>27.4758</v>
      </c>
      <c r="I4194">
        <f>-H1088/G1088</f>
        <v/>
      </c>
    </row>
    <row r="4195">
      <c r="A4195" t="n">
        <v>16783</v>
      </c>
      <c r="B4195" s="16" t="n">
        <v>44671</v>
      </c>
      <c r="C4195" t="inlineStr">
        <is>
          <t>VTA</t>
        </is>
      </c>
      <c r="D4195" t="n">
        <v>42</v>
      </c>
      <c r="E4195">
        <f>IF(D3807&gt;0,VLOOKUP(OPERAC[[#This Row],[COD CART]],[1]!MatrizCortoLargoCyl[#All],3,0),"")</f>
        <v/>
      </c>
      <c r="F4195" t="inlineStr">
        <is>
          <t>TLT</t>
        </is>
      </c>
      <c r="G4195" t="n">
        <v>7</v>
      </c>
      <c r="H4195" t="n">
        <v>-854.5381950000001</v>
      </c>
      <c r="I4195">
        <f>-H3807/G3807</f>
        <v/>
      </c>
    </row>
    <row r="4196">
      <c r="A4196" t="n">
        <v>16783</v>
      </c>
      <c r="B4196" s="16" t="n">
        <v>44671</v>
      </c>
      <c r="C4196" t="inlineStr">
        <is>
          <t>VTA</t>
        </is>
      </c>
      <c r="D4196" t="n">
        <v>42</v>
      </c>
      <c r="E4196">
        <f>IF(D5355&gt;0,VLOOKUP(OPERAC[[#This Row],[COD CART]],[1]!MatrizCortoLargoCyl[#All],3,0),"")</f>
        <v/>
      </c>
      <c r="F4196" t="inlineStr">
        <is>
          <t>NFLX</t>
        </is>
      </c>
      <c r="G4196" t="n">
        <v>7</v>
      </c>
      <c r="H4196" t="n">
        <v>-1774.46934</v>
      </c>
      <c r="I4196">
        <f>-H5355/G5355</f>
        <v/>
      </c>
      <c r="J4196" s="16" t="n">
        <v>44693</v>
      </c>
      <c r="K4196">
        <f>+OPERAC[[#This Row],[cantidad]]</f>
        <v/>
      </c>
      <c r="L4196">
        <f>+OPERAC[[#This Row],[cantidad venta]]*169.079</f>
        <v/>
      </c>
    </row>
    <row r="4197">
      <c r="A4197" t="n">
        <v>16783</v>
      </c>
      <c r="B4197" s="16" t="n">
        <v>44673</v>
      </c>
      <c r="C4197" t="inlineStr">
        <is>
          <t>VTA</t>
        </is>
      </c>
      <c r="D4197" t="n">
        <v>39</v>
      </c>
      <c r="E4197">
        <f>IF(D268&gt;0,VLOOKUP(OPERAC[[#This Row],[COD CART]],[1]!MatrizCortoLargoCyl[#All],3,0),"")</f>
        <v/>
      </c>
      <c r="F4197" t="inlineStr">
        <is>
          <t>UPST/V/70,00/29-04-22</t>
        </is>
      </c>
      <c r="G4197" t="n">
        <v>-800</v>
      </c>
      <c r="H4197" t="n">
        <v>1672.44</v>
      </c>
      <c r="I4197">
        <f>-H268/G268</f>
        <v/>
      </c>
      <c r="J4197" s="16" t="n">
        <v>44676</v>
      </c>
      <c r="K4197" t="n">
        <v>-800</v>
      </c>
      <c r="L4197" t="n">
        <v>-1060.752</v>
      </c>
    </row>
    <row r="4198">
      <c r="A4198" t="n">
        <v>16783</v>
      </c>
      <c r="B4198" s="16" t="n">
        <v>44676</v>
      </c>
      <c r="C4198" t="inlineStr">
        <is>
          <t>VTA</t>
        </is>
      </c>
      <c r="D4198" t="n">
        <v>39</v>
      </c>
      <c r="E4198">
        <f>IF(D412&gt;0,VLOOKUP(OPERAC[[#This Row],[COD CART]],[1]!MatrizCortoLargoCyl[#All],3,0),"")</f>
        <v/>
      </c>
      <c r="F4198" t="inlineStr">
        <is>
          <t>UPST/V/67,00/06-05-22</t>
        </is>
      </c>
      <c r="G4198" t="n">
        <v>-500</v>
      </c>
      <c r="H4198" t="n">
        <v>1119.9375</v>
      </c>
      <c r="I4198">
        <f>-H412/G412</f>
        <v/>
      </c>
      <c r="J4198" s="16" t="n">
        <v>44687</v>
      </c>
      <c r="K4198">
        <f>OPERAC[[#This Row],[cantidad]]</f>
        <v/>
      </c>
      <c r="L4198" t="n">
        <v>0</v>
      </c>
    </row>
    <row r="4199">
      <c r="A4199" t="n">
        <v>16783</v>
      </c>
      <c r="B4199" s="16" t="n">
        <v>44680</v>
      </c>
      <c r="C4199" t="inlineStr">
        <is>
          <t>CPR</t>
        </is>
      </c>
      <c r="D4199" t="n">
        <v>42</v>
      </c>
      <c r="E4199">
        <f>IF(D5734&gt;0,VLOOKUP(OPERAC[[#This Row],[COD CART]],[1]!MatrizCortoLargoCyl[#All],3,0),"")</f>
        <v/>
      </c>
      <c r="F4199" t="inlineStr">
        <is>
          <t>XLP</t>
        </is>
      </c>
      <c r="G4199" t="n">
        <v>33</v>
      </c>
      <c r="H4199" t="n">
        <v>-2610.9416025</v>
      </c>
      <c r="I4199">
        <f>-H5734/G5734</f>
        <v/>
      </c>
      <c r="J4199" s="16" t="n">
        <v>44693</v>
      </c>
      <c r="K4199">
        <f>+OPERAC[[#This Row],[cantidad]]</f>
        <v/>
      </c>
      <c r="L4199">
        <f>+OPERAC[[#This Row],[cantidad venta]]*74.848</f>
        <v/>
      </c>
    </row>
    <row r="4200">
      <c r="A4200" t="n">
        <v>16783</v>
      </c>
      <c r="B4200" s="16" t="n">
        <v>44683</v>
      </c>
      <c r="C4200" t="inlineStr">
        <is>
          <t>CPR</t>
        </is>
      </c>
      <c r="D4200" t="n">
        <v>32</v>
      </c>
      <c r="E4200">
        <f>IF(D3374&gt;0,VLOOKUP(OPERAC[[#This Row],[COD CART]],[1]!MatrizCortoLargoCyl[#All],3,0),"")</f>
        <v/>
      </c>
      <c r="F4200" t="inlineStr">
        <is>
          <t>CRESY</t>
        </is>
      </c>
      <c r="G4200" t="n">
        <v>100</v>
      </c>
      <c r="H4200" t="n">
        <v>-704.698</v>
      </c>
      <c r="I4200">
        <f>-H3374/G3374</f>
        <v/>
      </c>
      <c r="J4200" s="16" t="n">
        <v>44708</v>
      </c>
      <c r="K4200" t="n">
        <v>100</v>
      </c>
      <c r="L4200" t="n">
        <v>733.71</v>
      </c>
    </row>
    <row r="4201">
      <c r="A4201" t="n">
        <v>16783</v>
      </c>
      <c r="B4201" s="16" t="n">
        <v>44683</v>
      </c>
      <c r="C4201" t="inlineStr">
        <is>
          <t>CPR</t>
        </is>
      </c>
      <c r="D4201" t="n">
        <v>32</v>
      </c>
      <c r="E4201">
        <f>IF(D4718&gt;0,VLOOKUP(OPERAC[[#This Row],[COD CART]],[1]!MatrizCortoLargoCyl[#All],3,0),"")</f>
        <v/>
      </c>
      <c r="F4201" t="inlineStr">
        <is>
          <t>F</t>
        </is>
      </c>
      <c r="G4201" t="n">
        <v>100</v>
      </c>
      <c r="H4201">
        <f>-1360.97+16.924+10.951</f>
        <v/>
      </c>
      <c r="I4201">
        <f>-H4718/G4718</f>
        <v/>
      </c>
    </row>
    <row r="4202">
      <c r="A4202" t="n">
        <v>16783</v>
      </c>
      <c r="B4202" s="16" t="n">
        <v>44683</v>
      </c>
      <c r="C4202" t="inlineStr">
        <is>
          <t>CPR</t>
        </is>
      </c>
      <c r="D4202" t="n">
        <v>40</v>
      </c>
      <c r="E4202">
        <f>IF(D5844&gt;0,VLOOKUP(OPERAC[[#This Row],[COD CART]],[1]!MatrizCortoLargoCyl[#All],3,0),"")</f>
        <v/>
      </c>
      <c r="F4202" t="inlineStr">
        <is>
          <t>BBAR</t>
        </is>
      </c>
      <c r="G4202" t="n">
        <v>1000</v>
      </c>
      <c r="H4202" t="n">
        <v>-2860.816</v>
      </c>
      <c r="I4202">
        <f>-H5844/G5844</f>
        <v/>
      </c>
    </row>
    <row r="4203">
      <c r="A4203" t="n">
        <v>16783</v>
      </c>
      <c r="B4203" s="16" t="n">
        <v>44683</v>
      </c>
      <c r="C4203" t="inlineStr">
        <is>
          <t>CPR</t>
        </is>
      </c>
      <c r="D4203" t="n">
        <v>32</v>
      </c>
      <c r="E4203">
        <f>IF(D6285&gt;0,VLOOKUP(OPERAC[[#This Row],[COD CART]],[1]!MatrizCortoLargoCyl[#All],3,0),"")</f>
        <v/>
      </c>
      <c r="F4203" t="inlineStr">
        <is>
          <t>AMD/CYL/95,00/20-05-22</t>
        </is>
      </c>
      <c r="G4203" t="n">
        <v>100</v>
      </c>
      <c r="H4203" t="n">
        <v>-8447.32</v>
      </c>
      <c r="I4203">
        <f>-H6285/G6285</f>
        <v/>
      </c>
      <c r="J4203" s="16" t="n">
        <v>44698</v>
      </c>
      <c r="K4203" t="n">
        <v>100</v>
      </c>
      <c r="L4203" t="n">
        <v>9352.975</v>
      </c>
    </row>
    <row r="4204">
      <c r="A4204" t="n">
        <v>16783</v>
      </c>
      <c r="B4204" s="16" t="n">
        <v>44685</v>
      </c>
      <c r="C4204" t="inlineStr">
        <is>
          <t>VTA</t>
        </is>
      </c>
      <c r="D4204" t="n">
        <v>39</v>
      </c>
      <c r="E4204">
        <f>IF(D337&gt;0,VLOOKUP(OPERAC[[#This Row],[COD CART]],[1]!MatrizCortoLargoCyl[#All],3,0),"")</f>
        <v/>
      </c>
      <c r="F4204" t="inlineStr">
        <is>
          <t>TSLA/V/800,00/06-05-22</t>
        </is>
      </c>
      <c r="G4204" t="n">
        <v>-1000</v>
      </c>
      <c r="H4204" t="n">
        <v>1343.925</v>
      </c>
      <c r="I4204">
        <f>-H337/G337</f>
        <v/>
      </c>
      <c r="J4204" s="16" t="n">
        <v>44687</v>
      </c>
      <c r="K4204" t="n">
        <v>-1000</v>
      </c>
      <c r="L4204" t="n">
        <v>0</v>
      </c>
    </row>
    <row r="4205">
      <c r="A4205" t="n">
        <v>16783</v>
      </c>
      <c r="B4205" s="16" t="n">
        <v>44691</v>
      </c>
      <c r="C4205" t="inlineStr">
        <is>
          <t>CPR</t>
        </is>
      </c>
      <c r="D4205" t="n">
        <v>32</v>
      </c>
      <c r="E4205">
        <f>IF(D6002&gt;0,VLOOKUP(OPERAC[[#This Row],[COD CART]],[1]!MatrizCortoLargoCyl[#All],3,0),"")</f>
        <v/>
      </c>
      <c r="F4205" t="inlineStr">
        <is>
          <t>UPST</t>
        </is>
      </c>
      <c r="G4205" t="n">
        <v>100</v>
      </c>
      <c r="H4205" t="n">
        <v>-3321.11</v>
      </c>
      <c r="I4205">
        <f>-H6002/G6002</f>
        <v/>
      </c>
      <c r="J4205" s="16" t="n">
        <v>44701</v>
      </c>
      <c r="K4205" t="n">
        <v>100</v>
      </c>
      <c r="L4205" t="n">
        <v>4404.41</v>
      </c>
    </row>
    <row r="4206">
      <c r="A4206" t="n">
        <v>16783</v>
      </c>
      <c r="B4206" s="16" t="n">
        <v>44698</v>
      </c>
      <c r="C4206" t="inlineStr">
        <is>
          <t>CPR</t>
        </is>
      </c>
      <c r="D4206" t="n">
        <v>39</v>
      </c>
      <c r="E4206">
        <f>IF(D5707&gt;0,VLOOKUP(OPERAC[[#This Row],[COD CART]],[1]!MatrizCortoLargoCyl[#All],3,0),"")</f>
        <v/>
      </c>
      <c r="F4206" t="inlineStr">
        <is>
          <t>NTLA/C/65,00/15-07-22</t>
        </is>
      </c>
      <c r="G4206" t="n">
        <v>1000</v>
      </c>
      <c r="H4206" t="n">
        <v>-2511.25</v>
      </c>
      <c r="I4206">
        <f>-H5707/G5707</f>
        <v/>
      </c>
    </row>
    <row r="4207">
      <c r="A4207" t="n">
        <v>16783</v>
      </c>
      <c r="B4207" s="16" t="n">
        <v>44698</v>
      </c>
      <c r="C4207" t="inlineStr">
        <is>
          <t>CPR</t>
        </is>
      </c>
      <c r="D4207" t="n">
        <v>32</v>
      </c>
      <c r="E4207">
        <f>IF(D6288&gt;0,VLOOKUP(OPERAC[[#This Row],[COD CART]],[1]!MatrizCortoLargoCyl[#All],3,0),"")</f>
        <v/>
      </c>
      <c r="F4207" t="inlineStr">
        <is>
          <t>BABA/CYL/92,0/27-05-22</t>
        </is>
      </c>
      <c r="G4207" t="n">
        <v>100</v>
      </c>
      <c r="H4207" t="n">
        <v>-8711.809999999999</v>
      </c>
      <c r="I4207">
        <f>-H6288/G6288</f>
        <v/>
      </c>
      <c r="J4207" s="16" t="n">
        <v>44708</v>
      </c>
      <c r="K4207" t="n">
        <v>100</v>
      </c>
      <c r="L4207" t="n">
        <v>9152.540000000001</v>
      </c>
    </row>
    <row r="4208">
      <c r="A4208" t="n">
        <v>16783</v>
      </c>
      <c r="B4208" s="16" t="n">
        <v>44704</v>
      </c>
      <c r="C4208" t="inlineStr">
        <is>
          <t>CPR</t>
        </is>
      </c>
      <c r="D4208" t="n">
        <v>32</v>
      </c>
      <c r="E4208">
        <f>IF(D4077&gt;0,VLOOKUP(OPERAC[[#This Row],[COD CART]],[1]!MatrizCortoLargoCyl[#All],3,0),"")</f>
        <v/>
      </c>
      <c r="F4208" t="inlineStr">
        <is>
          <t>AMC/CYL/9,50/03-06-22</t>
        </is>
      </c>
      <c r="G4208" t="n">
        <v>100</v>
      </c>
      <c r="H4208" t="n">
        <v>-933.579</v>
      </c>
      <c r="I4208">
        <f>-H4077/G4077</f>
        <v/>
      </c>
      <c r="J4208" s="16" t="n">
        <v>44715</v>
      </c>
      <c r="K4208">
        <f>+OPERAC[[#This Row],[cantidad]]</f>
        <v/>
      </c>
      <c r="L4208">
        <f>+OPERAC[[#This Row],[cantidad venta]]*9.457</f>
        <v/>
      </c>
    </row>
    <row r="4209">
      <c r="A4209" t="n">
        <v>16783</v>
      </c>
      <c r="B4209" s="16" t="n">
        <v>44707</v>
      </c>
      <c r="C4209" t="inlineStr">
        <is>
          <t>CPR</t>
        </is>
      </c>
      <c r="D4209" t="n">
        <v>32</v>
      </c>
      <c r="E4209">
        <f>IF(D4003&gt;0,VLOOKUP(OPERAC[[#This Row],[COD CART]],[1]!MatrizCortoLargoCyl[#All],3,0),"")</f>
        <v/>
      </c>
      <c r="F4209" t="inlineStr">
        <is>
          <t>PLBY/CYL/12,50/17-06-22</t>
        </is>
      </c>
      <c r="G4209" t="n">
        <v>100</v>
      </c>
      <c r="H4209" t="n">
        <v>-916.22</v>
      </c>
      <c r="I4209">
        <f>-H4003/G4003</f>
        <v/>
      </c>
    </row>
    <row r="4210">
      <c r="A4210" t="n">
        <v>16783</v>
      </c>
      <c r="B4210" s="16" t="n">
        <v>44707</v>
      </c>
      <c r="C4210" t="inlineStr">
        <is>
          <t>CPR</t>
        </is>
      </c>
      <c r="D4210" t="n">
        <v>32</v>
      </c>
      <c r="E4210">
        <f>IF(D5764&gt;0,VLOOKUP(OPERAC[[#This Row],[COD CART]],[1]!MatrizCortoLargoCyl[#All],3,0),"")</f>
        <v/>
      </c>
      <c r="F4210" t="inlineStr">
        <is>
          <t>BIG/CYL/27,50/17-06-22</t>
        </is>
      </c>
      <c r="G4210" t="n">
        <v>100</v>
      </c>
      <c r="H4210" t="n">
        <v>-2636.628</v>
      </c>
      <c r="I4210">
        <f>-H5764/G5764</f>
        <v/>
      </c>
    </row>
    <row r="4211">
      <c r="A4211" t="n">
        <v>16783</v>
      </c>
      <c r="B4211" s="16" t="n">
        <v>44707</v>
      </c>
      <c r="C4211" t="inlineStr">
        <is>
          <t>VTA</t>
        </is>
      </c>
      <c r="D4211" t="n">
        <v>43</v>
      </c>
      <c r="E4211">
        <f>IF(D5300&gt;0,VLOOKUP(OPERAC[[#This Row],[COD CART]],[1]!MatrizCortoLargoCyl[#All],3,0),"")</f>
        <v/>
      </c>
      <c r="F4211" t="inlineStr">
        <is>
          <t>SPWR/CYP/17,50-15,00/17-06-22</t>
        </is>
      </c>
      <c r="G4211" t="n">
        <v>100</v>
      </c>
      <c r="H4211" t="n">
        <v>-1717.027</v>
      </c>
      <c r="I4211">
        <f>-H5300/G5300</f>
        <v/>
      </c>
    </row>
    <row r="4212">
      <c r="A4212" t="n">
        <v>16783</v>
      </c>
      <c r="B4212" s="16" t="n">
        <v>44708</v>
      </c>
      <c r="C4212" t="inlineStr">
        <is>
          <t>CPR</t>
        </is>
      </c>
      <c r="D4212" t="n">
        <v>32</v>
      </c>
      <c r="E4212">
        <f>IF(D4627&gt;0,VLOOKUP(OPERAC[[#This Row],[COD CART]],[1]!MatrizCortoLargoCyl[#All],3,0),"")</f>
        <v/>
      </c>
      <c r="F4212" t="inlineStr">
        <is>
          <t>CCL/CYL/13,00/03-06-22</t>
        </is>
      </c>
      <c r="G4212" t="n">
        <v>100</v>
      </c>
      <c r="H4212" t="n">
        <v>-1276.4</v>
      </c>
      <c r="I4212">
        <f>-H4627/G4627</f>
        <v/>
      </c>
      <c r="J4212" s="16" t="n">
        <v>44715</v>
      </c>
      <c r="K4212">
        <f>+OPERAC[[#This Row],[cantidad]]</f>
        <v/>
      </c>
      <c r="L4212">
        <f>+OPERAC[[#This Row],[cantidad venta]]*12.942</f>
        <v/>
      </c>
    </row>
    <row r="4213">
      <c r="A4213" t="n">
        <v>16783</v>
      </c>
      <c r="B4213" s="16" t="n">
        <v>44708</v>
      </c>
      <c r="C4213" t="inlineStr">
        <is>
          <t>VTA</t>
        </is>
      </c>
      <c r="D4213" t="n">
        <v>42</v>
      </c>
      <c r="E4213">
        <f>IF(D5395&gt;0,VLOOKUP(OPERAC[[#This Row],[COD CART]],[1]!MatrizCortoLargoCyl[#All],3,0),"")</f>
        <v/>
      </c>
      <c r="F4213" t="inlineStr">
        <is>
          <t>ACB</t>
        </is>
      </c>
      <c r="G4213" t="n">
        <v>1000</v>
      </c>
      <c r="H4213" t="n">
        <v>-1818.081043485</v>
      </c>
      <c r="I4213">
        <f>-H5395/G5395</f>
        <v/>
      </c>
    </row>
    <row r="4214">
      <c r="A4214" t="n">
        <v>16783</v>
      </c>
      <c r="B4214" s="16" t="n">
        <v>44712</v>
      </c>
      <c r="C4214" t="inlineStr">
        <is>
          <t>CPR</t>
        </is>
      </c>
      <c r="D4214" t="n">
        <v>32</v>
      </c>
      <c r="E4214">
        <f>IF(D4565&gt;0,VLOOKUP(OPERAC[[#This Row],[COD CART]],[1]!MatrizCortoLargoCyl[#All],3,0),"")</f>
        <v/>
      </c>
      <c r="F4214" t="inlineStr">
        <is>
          <t>AMC/CYL/13,00/10-06-22</t>
        </is>
      </c>
      <c r="G4214" t="n">
        <v>100</v>
      </c>
      <c r="H4214" t="n">
        <v>-1232.75</v>
      </c>
      <c r="I4214">
        <f>-H4565/G4565</f>
        <v/>
      </c>
      <c r="J4214" s="16" t="n">
        <v>44722</v>
      </c>
      <c r="K4214" t="n">
        <v>100</v>
      </c>
      <c r="L4214" t="n">
        <v>1234.29</v>
      </c>
    </row>
    <row r="4215">
      <c r="A4215" t="n">
        <v>16783</v>
      </c>
      <c r="B4215" s="16" t="n">
        <v>44712</v>
      </c>
      <c r="C4215" t="inlineStr">
        <is>
          <t>CPR</t>
        </is>
      </c>
      <c r="D4215" t="n">
        <v>32</v>
      </c>
      <c r="E4215">
        <f>IF(D6292&gt;0,VLOOKUP(OPERAC[[#This Row],[COD CART]],[1]!MatrizCortoLargoCyl[#All],3,0),"")</f>
        <v/>
      </c>
      <c r="F4215" t="inlineStr">
        <is>
          <t>BABA/CYL/110,00/17-06-22</t>
        </is>
      </c>
      <c r="G4215" t="n">
        <v>100</v>
      </c>
      <c r="H4215" t="n">
        <v>-9778.84</v>
      </c>
      <c r="I4215">
        <f>-H6292/G6292</f>
        <v/>
      </c>
    </row>
    <row r="4216">
      <c r="A4216" t="n">
        <v>16783</v>
      </c>
      <c r="B4216" s="16" t="n">
        <v>44712</v>
      </c>
      <c r="C4216" t="inlineStr">
        <is>
          <t>VTA</t>
        </is>
      </c>
      <c r="D4216" t="n">
        <v>39</v>
      </c>
      <c r="E4216">
        <f>IF(D2327&gt;0,VLOOKUP(OPERAC[[#This Row],[COD CART]],[1]!MatrizCortoLargoCyl[#All],3,0),"")</f>
        <v/>
      </c>
      <c r="F4216" t="inlineStr">
        <is>
          <t>ET/C/10,00/21-10-22</t>
        </is>
      </c>
      <c r="G4216" t="n">
        <v>200</v>
      </c>
      <c r="H4216" t="n">
        <v>-405.616</v>
      </c>
      <c r="I4216">
        <f>-H2327/G2327</f>
        <v/>
      </c>
    </row>
    <row r="4217">
      <c r="A4217" t="n">
        <v>16783</v>
      </c>
      <c r="B4217" s="16" t="n">
        <v>44713</v>
      </c>
      <c r="C4217" t="inlineStr">
        <is>
          <t>CPR</t>
        </is>
      </c>
      <c r="D4217" t="n">
        <v>42</v>
      </c>
      <c r="E4217">
        <f>IF(D4862&gt;0,VLOOKUP(OPERAC[[#This Row],[COD CART]],[1]!MatrizCortoLargoCyl[#All],3,0),"")</f>
        <v/>
      </c>
      <c r="F4217" t="inlineStr">
        <is>
          <t>UPST</t>
        </is>
      </c>
      <c r="G4217" t="n">
        <v>30</v>
      </c>
      <c r="H4217" t="n">
        <v>-1444.4046</v>
      </c>
      <c r="I4217">
        <f>-H4862/G4862</f>
        <v/>
      </c>
      <c r="J4217" s="16" t="n">
        <v>44714</v>
      </c>
      <c r="K4217">
        <f>+OPERAC[[#This Row],[cantidad]]</f>
        <v/>
      </c>
      <c r="L4217">
        <f>+OPERAC[[#This Row],[cantidad venta]]*49.312</f>
        <v/>
      </c>
    </row>
    <row r="4218">
      <c r="A4218" t="n">
        <v>16783</v>
      </c>
      <c r="B4218" s="16" t="n">
        <v>44715</v>
      </c>
      <c r="C4218" t="inlineStr">
        <is>
          <t>VTA</t>
        </is>
      </c>
      <c r="D4218" t="n">
        <v>32</v>
      </c>
      <c r="E4218">
        <f>IF(D5069&gt;0,VLOOKUP(OPERAC[[#This Row],[COD CART]],[1]!MatrizCortoLargoCyl[#All],3,0),"")</f>
        <v/>
      </c>
      <c r="F4218" t="inlineStr">
        <is>
          <t>AAL/CYL/16,50/17-06-22</t>
        </is>
      </c>
      <c r="G4218" t="n">
        <v>100</v>
      </c>
      <c r="H4218" t="n">
        <v>-1580.215</v>
      </c>
      <c r="I4218">
        <f>-H5069/G5069</f>
        <v/>
      </c>
    </row>
    <row r="4219">
      <c r="A4219" t="n">
        <v>16783</v>
      </c>
      <c r="B4219" s="16" t="n">
        <v>44718</v>
      </c>
      <c r="C4219" t="inlineStr">
        <is>
          <t>CPR</t>
        </is>
      </c>
      <c r="D4219" t="n">
        <v>42</v>
      </c>
      <c r="E4219">
        <f>IF(D5938&gt;0,VLOOKUP(OPERAC[[#This Row],[COD CART]],[1]!MatrizCortoLargoCyl[#All],3,0),"")</f>
        <v/>
      </c>
      <c r="F4219" t="inlineStr">
        <is>
          <t>KWEB</t>
        </is>
      </c>
      <c r="G4219" t="n">
        <v>100</v>
      </c>
      <c r="H4219" t="n">
        <v>-3103.7041</v>
      </c>
      <c r="I4219">
        <f>-H5938/G5938</f>
        <v/>
      </c>
      <c r="J4219" s="16" t="n">
        <v>44725</v>
      </c>
      <c r="K4219" t="n">
        <v>100</v>
      </c>
      <c r="L4219" t="n">
        <v>2931.25</v>
      </c>
    </row>
    <row r="4220">
      <c r="A4220" t="n">
        <v>16783</v>
      </c>
      <c r="B4220" s="16" t="n">
        <v>44720</v>
      </c>
      <c r="C4220" t="inlineStr">
        <is>
          <t>CPR</t>
        </is>
      </c>
      <c r="D4220" t="n">
        <v>42</v>
      </c>
      <c r="E4220">
        <f>IF(D4947&gt;0,VLOOKUP(OPERAC[[#This Row],[COD CART]],[1]!MatrizCortoLargoCyl[#All],3,0),"")</f>
        <v/>
      </c>
      <c r="F4220" t="inlineStr">
        <is>
          <t>HYDR</t>
        </is>
      </c>
      <c r="G4220" t="n">
        <v>100</v>
      </c>
      <c r="H4220" t="n">
        <v>-1506.75</v>
      </c>
      <c r="I4220">
        <f>-H4947/G4947</f>
        <v/>
      </c>
    </row>
    <row r="4221">
      <c r="A4221" t="n">
        <v>16783</v>
      </c>
      <c r="B4221" s="16" t="n">
        <v>44722</v>
      </c>
      <c r="C4221" t="inlineStr">
        <is>
          <t>VTA</t>
        </is>
      </c>
      <c r="D4221" t="n">
        <v>32</v>
      </c>
      <c r="E4221">
        <f>IF(D3756&gt;0,VLOOKUP(OPERAC[[#This Row],[COD CART]],[1]!MatrizCortoLargoCyl[#All],3,0),"")</f>
        <v/>
      </c>
      <c r="F4221" t="inlineStr">
        <is>
          <t>NNOX/CYL/9,00/17-06-22</t>
        </is>
      </c>
      <c r="G4221" t="n">
        <v>100</v>
      </c>
      <c r="H4221" t="n">
        <v>-844.8390000000001</v>
      </c>
      <c r="I4221">
        <f>-H3756/G3756</f>
        <v/>
      </c>
    </row>
    <row r="4222">
      <c r="A4222" t="n">
        <v>16786</v>
      </c>
      <c r="B4222" s="16" t="n">
        <v>43832</v>
      </c>
      <c r="C4222" t="inlineStr">
        <is>
          <t>VTA</t>
        </is>
      </c>
      <c r="D4222" t="n">
        <v>31</v>
      </c>
      <c r="E4222">
        <f>IF(D5455&gt;0,VLOOKUP(OPERAC[[#This Row],[COD CART]],[1]!MatrizCortoLargoCyl[#All],3,0),"")</f>
        <v/>
      </c>
      <c r="F4222" t="inlineStr">
        <is>
          <t>YPF</t>
        </is>
      </c>
      <c r="G4222" t="n">
        <v>200</v>
      </c>
      <c r="H4222" t="n">
        <v>-1892</v>
      </c>
      <c r="I4222" t="n">
        <v>9.460000000000001</v>
      </c>
    </row>
    <row r="4223">
      <c r="A4223" t="n">
        <v>16786</v>
      </c>
      <c r="B4223" s="16" t="n">
        <v>44377</v>
      </c>
      <c r="C4223" t="inlineStr">
        <is>
          <t>VTA</t>
        </is>
      </c>
      <c r="D4223" t="n">
        <v>39</v>
      </c>
      <c r="E4223">
        <f>IF(D494&gt;0,VLOOKUP(OPERAC[[#This Row],[COD CART]],[1]!MatrizCortoLargoCyl[#All],3,0),"")</f>
        <v/>
      </c>
      <c r="F4223" t="inlineStr">
        <is>
          <t>TLRY/V/10,00/21-01-22</t>
        </is>
      </c>
      <c r="G4223" t="n">
        <v>-1000</v>
      </c>
      <c r="H4223" t="n">
        <v>942.9</v>
      </c>
      <c r="I4223">
        <f>-H494/G494</f>
        <v/>
      </c>
      <c r="J4223" s="16" t="n">
        <v>44572</v>
      </c>
      <c r="K4223" t="n">
        <v>-1000</v>
      </c>
      <c r="L4223" t="n">
        <v>-942.9</v>
      </c>
    </row>
    <row r="4224">
      <c r="A4224" t="n">
        <v>16786</v>
      </c>
      <c r="B4224" s="16" t="n">
        <v>44446</v>
      </c>
      <c r="C4224" t="inlineStr">
        <is>
          <t>CPR</t>
        </is>
      </c>
      <c r="D4224" t="n">
        <v>32</v>
      </c>
      <c r="E4224">
        <f>IF(D3306&gt;0,VLOOKUP(OPERAC[[#This Row],[COD CART]],[1]!MatrizCortoLargoCyl[#All],3,0),"")</f>
        <v/>
      </c>
      <c r="F4224" t="inlineStr">
        <is>
          <t>INO/CYL/8,00/21-01-22</t>
        </is>
      </c>
      <c r="G4224" t="n">
        <v>100</v>
      </c>
      <c r="H4224">
        <f>-758.932+27.502+30.172+14.579</f>
        <v/>
      </c>
      <c r="I4224">
        <f>-H3306/G3306</f>
        <v/>
      </c>
      <c r="J4224" s="16" t="n">
        <v>44581</v>
      </c>
      <c r="K4224" t="n">
        <v>100</v>
      </c>
      <c r="L4224" t="n">
        <v>412.156</v>
      </c>
    </row>
    <row r="4225">
      <c r="A4225" t="n">
        <v>16786</v>
      </c>
      <c r="B4225" s="16" t="n">
        <v>44461</v>
      </c>
      <c r="C4225" t="inlineStr">
        <is>
          <t>VTA</t>
        </is>
      </c>
      <c r="D4225" t="n">
        <v>40</v>
      </c>
      <c r="E4225">
        <f>IF(D2816&gt;0,VLOOKUP(OPERAC[[#This Row],[COD CART]],[1]!MatrizCortoLargoCyl[#All],3,0),"")</f>
        <v/>
      </c>
      <c r="F4225" t="inlineStr">
        <is>
          <t>EDU</t>
        </is>
      </c>
      <c r="G4225" t="n">
        <v>500</v>
      </c>
      <c r="H4225">
        <f>-1.0864*OPERAC[[#This Row],[cantidad]]+0.04*OPERAC[[#This Row],[cantidad]]</f>
        <v/>
      </c>
      <c r="I4225">
        <f>-H2816/G2816</f>
        <v/>
      </c>
      <c r="J4225" s="16" t="n">
        <v>44630</v>
      </c>
      <c r="K4225" t="n">
        <v>500</v>
      </c>
      <c r="L4225" t="n">
        <v>568.328</v>
      </c>
    </row>
    <row r="4226">
      <c r="A4226" t="n">
        <v>16786</v>
      </c>
      <c r="B4226" s="16" t="n">
        <v>44489</v>
      </c>
      <c r="C4226" t="inlineStr">
        <is>
          <t>CPR</t>
        </is>
      </c>
      <c r="D4226" t="n">
        <v>43</v>
      </c>
      <c r="E4226">
        <f>IF(D4096&gt;0,VLOOKUP(OPERAC[[#This Row],[COD CART]],[1]!MatrizCortoLargoCyl[#All],3,0),"")</f>
        <v/>
      </c>
      <c r="F4226" t="inlineStr">
        <is>
          <t>SESN1/CYL-PUT/1,00/19-01-24</t>
        </is>
      </c>
      <c r="G4226" t="n">
        <v>5000</v>
      </c>
      <c r="H4226">
        <f>-0.1885*OPERAC[[#This Row],[cantidad]]</f>
        <v/>
      </c>
      <c r="I4226">
        <f>-H4096/G4096</f>
        <v/>
      </c>
      <c r="J4226" s="16" t="n">
        <v>44662</v>
      </c>
      <c r="K4226" t="n">
        <v>3000</v>
      </c>
      <c r="L4226" t="n">
        <v>702.296</v>
      </c>
    </row>
    <row r="4227">
      <c r="A4227" t="n">
        <v>16786</v>
      </c>
      <c r="B4227" s="16" t="n">
        <v>44495</v>
      </c>
      <c r="C4227" t="inlineStr">
        <is>
          <t>VTA</t>
        </is>
      </c>
      <c r="D4227" t="n">
        <v>39</v>
      </c>
      <c r="E4227">
        <f>IF(D392&gt;0,VLOOKUP(OPERAC[[#This Row],[COD CART]],[1]!MatrizCortoLargoCyl[#All],3,0),"")</f>
        <v/>
      </c>
      <c r="F4227" t="inlineStr">
        <is>
          <t>YPF/CC10/LP7/CP3/19-01-24</t>
        </is>
      </c>
      <c r="G4227" t="n">
        <v>-500</v>
      </c>
      <c r="H4227">
        <f>-2.41*OPERAC[[#This Row],[cantidad]]</f>
        <v/>
      </c>
      <c r="I4227">
        <f>-H392/G392</f>
        <v/>
      </c>
    </row>
    <row r="4228">
      <c r="A4228" t="n">
        <v>16786</v>
      </c>
      <c r="B4228" s="16" t="n">
        <v>44495</v>
      </c>
      <c r="C4228" t="inlineStr">
        <is>
          <t>VTA</t>
        </is>
      </c>
      <c r="D4228" t="n">
        <v>39</v>
      </c>
      <c r="E4228">
        <f>IF(D650&gt;0,VLOOKUP(OPERAC[[#This Row],[COD CART]],[1]!MatrizCortoLargoCyl[#All],3,0),"")</f>
        <v/>
      </c>
      <c r="F4228" t="inlineStr">
        <is>
          <t>TLRY/V/11,00/21-01-22</t>
        </is>
      </c>
      <c r="G4228" t="n">
        <v>-300</v>
      </c>
      <c r="H4228" t="n">
        <v>517.8599999999999</v>
      </c>
      <c r="I4228">
        <f>-H650/G650</f>
        <v/>
      </c>
      <c r="J4228" s="16" t="n">
        <v>44571</v>
      </c>
      <c r="K4228">
        <f>+OPERAC[[#This Row],[cantidad]]</f>
        <v/>
      </c>
      <c r="L4228">
        <f>-OPERAC[[#This Row],[importe]]</f>
        <v/>
      </c>
    </row>
    <row r="4229">
      <c r="A4229" t="n">
        <v>16786</v>
      </c>
      <c r="B4229" s="16" t="n">
        <v>44536</v>
      </c>
      <c r="C4229" t="inlineStr">
        <is>
          <t>CPR</t>
        </is>
      </c>
      <c r="D4229" t="n">
        <v>40</v>
      </c>
      <c r="E4229">
        <f>IF(D3656&gt;0,VLOOKUP(OPERAC[[#This Row],[COD CART]],[1]!MatrizCortoLargoCyl[#All],3,0),"")</f>
        <v/>
      </c>
      <c r="F4229" t="inlineStr">
        <is>
          <t>UVXY</t>
        </is>
      </c>
      <c r="G4229" t="n">
        <v>35</v>
      </c>
      <c r="H4229" t="n">
        <v>-811.2621999999999</v>
      </c>
      <c r="I4229">
        <f>-H3656/G3656</f>
        <v/>
      </c>
      <c r="J4229" s="16" t="n">
        <v>44544</v>
      </c>
      <c r="K4229">
        <f>33+2</f>
        <v/>
      </c>
      <c r="L4229">
        <f>555.52+28.27</f>
        <v/>
      </c>
    </row>
    <row r="4230">
      <c r="A4230" t="n">
        <v>16786</v>
      </c>
      <c r="B4230" s="16" t="n">
        <v>44539</v>
      </c>
      <c r="C4230" t="inlineStr">
        <is>
          <t>CPR</t>
        </is>
      </c>
      <c r="D4230" t="n">
        <v>40</v>
      </c>
      <c r="E4230">
        <f>IF(D2796&gt;0,VLOOKUP(OPERAC[[#This Row],[COD CART]],[1]!MatrizCortoLargoCyl[#All],3,0),"")</f>
        <v/>
      </c>
      <c r="F4230" t="inlineStr">
        <is>
          <t>ROKU</t>
        </is>
      </c>
      <c r="G4230" t="n">
        <v>2</v>
      </c>
      <c r="H4230" t="n">
        <v>-515.4407199999999</v>
      </c>
      <c r="I4230">
        <f>-H2796/G2796</f>
        <v/>
      </c>
      <c r="J4230" s="16" t="n">
        <v>44606</v>
      </c>
      <c r="K4230">
        <f>+OPERAC[[#This Row],[cantidad]]</f>
        <v/>
      </c>
      <c r="L4230">
        <f>+OPERAC[[#This Row],[cantidad venta]]*160.574</f>
        <v/>
      </c>
    </row>
    <row r="4231">
      <c r="A4231" t="n">
        <v>16786</v>
      </c>
      <c r="B4231" s="16" t="n">
        <v>44547</v>
      </c>
      <c r="C4231" t="inlineStr">
        <is>
          <t>VTA</t>
        </is>
      </c>
      <c r="D4231" t="n">
        <v>32</v>
      </c>
      <c r="E4231">
        <f>IF(D3796&gt;0,VLOOKUP(OPERAC[[#This Row],[COD CART]],[1]!MatrizCortoLargoCyl[#All],3,0),"")</f>
        <v/>
      </c>
      <c r="F4231" t="inlineStr">
        <is>
          <t>ARLO/CYL/9,00/18-02-22</t>
        </is>
      </c>
      <c r="G4231" t="n">
        <v>100</v>
      </c>
      <c r="H4231">
        <f>-866.74+14.88</f>
        <v/>
      </c>
      <c r="I4231">
        <f>-H3796/G3796</f>
        <v/>
      </c>
      <c r="J4231" s="16" t="n">
        <v>44607</v>
      </c>
      <c r="K4231" t="n">
        <v>100</v>
      </c>
      <c r="L4231" t="n">
        <v>875.33</v>
      </c>
    </row>
    <row r="4232">
      <c r="A4232" t="n">
        <v>16786</v>
      </c>
      <c r="B4232" s="16" t="n">
        <v>44553</v>
      </c>
      <c r="C4232" t="inlineStr">
        <is>
          <t>VTA</t>
        </is>
      </c>
      <c r="D4232" t="n">
        <v>40</v>
      </c>
      <c r="E4232">
        <f>IF(D1813&gt;0,VLOOKUP(OPERAC[[#This Row],[COD CART]],[1]!MatrizCortoLargoCyl[#All],3,0),"")</f>
        <v/>
      </c>
      <c r="F4232" t="inlineStr">
        <is>
          <t>ON</t>
        </is>
      </c>
      <c r="G4232" t="n">
        <v>4</v>
      </c>
      <c r="H4232" t="n">
        <v>-268.4544319999999</v>
      </c>
      <c r="I4232">
        <f>-H1813/G1813</f>
        <v/>
      </c>
      <c r="J4232" s="16" t="n">
        <v>44606</v>
      </c>
      <c r="K4232">
        <f>+OPERAC[[#This Row],[cantidad]]</f>
        <v/>
      </c>
      <c r="L4232">
        <f>+OPERAC[[#This Row],[cantidad venta]]*58.449</f>
        <v/>
      </c>
    </row>
    <row r="4233">
      <c r="A4233" t="n">
        <v>16786</v>
      </c>
      <c r="B4233" s="16" t="n">
        <v>44557</v>
      </c>
      <c r="C4233" t="inlineStr">
        <is>
          <t>CPR</t>
        </is>
      </c>
      <c r="D4233" t="n">
        <v>40</v>
      </c>
      <c r="E4233">
        <f>IF(D3552&gt;0,VLOOKUP(OPERAC[[#This Row],[COD CART]],[1]!MatrizCortoLargoCyl[#All],3,0),"")</f>
        <v/>
      </c>
      <c r="F4233" t="inlineStr">
        <is>
          <t>TLRY</t>
        </is>
      </c>
      <c r="G4233" t="n">
        <v>100</v>
      </c>
      <c r="H4233" t="n">
        <v>-771.62</v>
      </c>
      <c r="I4233">
        <f>-H3552/G3552</f>
        <v/>
      </c>
      <c r="J4233" s="16" t="n">
        <v>44585</v>
      </c>
      <c r="K4233">
        <f>+OPERAC[[#This Row],[cantidad]]</f>
        <v/>
      </c>
      <c r="L4233">
        <f>+OPERAC[[#This Row],[cantidad venta]]*5.263</f>
        <v/>
      </c>
    </row>
    <row r="4234">
      <c r="A4234" t="n">
        <v>16786</v>
      </c>
      <c r="B4234" s="16" t="n">
        <v>44571</v>
      </c>
      <c r="C4234" t="inlineStr">
        <is>
          <t>VTA</t>
        </is>
      </c>
      <c r="D4234" t="n">
        <v>39</v>
      </c>
      <c r="E4234">
        <f>IF(D628&gt;0,VLOOKUP(OPERAC[[#This Row],[COD CART]],[1]!MatrizCortoLargoCyl[#All],3,0),"")</f>
        <v/>
      </c>
      <c r="F4234" t="inlineStr">
        <is>
          <t>TSLA/V/870,00/21-01-22</t>
        </is>
      </c>
      <c r="G4234" t="n">
        <v>-100</v>
      </c>
      <c r="H4234" t="n">
        <v>575.0937</v>
      </c>
      <c r="I4234">
        <f>-H628/G628</f>
        <v/>
      </c>
      <c r="J4234" s="16" t="n">
        <v>44574</v>
      </c>
      <c r="K4234" t="n">
        <v>-100</v>
      </c>
      <c r="L4234" t="n">
        <v>-166.5813</v>
      </c>
    </row>
    <row r="4235">
      <c r="A4235" t="n">
        <v>16786</v>
      </c>
      <c r="B4235" s="16" t="n">
        <v>44572</v>
      </c>
      <c r="C4235" t="inlineStr">
        <is>
          <t>VTA</t>
        </is>
      </c>
      <c r="D4235" t="n">
        <v>39</v>
      </c>
      <c r="E4235">
        <f>IF(D151&gt;0,VLOOKUP(OPERAC[[#This Row],[COD CART]],[1]!MatrizCortoLargoCyl[#All],3,0),"")</f>
        <v/>
      </c>
      <c r="F4235" t="inlineStr">
        <is>
          <t>TLRY/V/9,00/17-06-22</t>
        </is>
      </c>
      <c r="G4235" t="n">
        <v>-1000</v>
      </c>
      <c r="H4235" t="n">
        <v>2750.76</v>
      </c>
      <c r="I4235">
        <f>-H151/G151</f>
        <v/>
      </c>
      <c r="J4235" s="16" t="n">
        <v>44690</v>
      </c>
      <c r="K4235" t="n">
        <v>-1000</v>
      </c>
      <c r="L4235" t="n">
        <v>-4659.27</v>
      </c>
    </row>
    <row r="4236">
      <c r="A4236" t="n">
        <v>16786</v>
      </c>
      <c r="B4236" s="16" t="n">
        <v>44574</v>
      </c>
      <c r="C4236" t="inlineStr">
        <is>
          <t>VTA</t>
        </is>
      </c>
      <c r="D4236" t="n">
        <v>39</v>
      </c>
      <c r="E4236">
        <f>IF(D794&gt;0,VLOOKUP(OPERAC[[#This Row],[COD CART]],[1]!MatrizCortoLargoCyl[#All],3,0),"")</f>
        <v/>
      </c>
      <c r="F4236" t="inlineStr">
        <is>
          <t>TSLA/V/900,00/21-01-22</t>
        </is>
      </c>
      <c r="G4236" t="n">
        <v>-100</v>
      </c>
      <c r="H4236" t="n">
        <v>267.5752</v>
      </c>
      <c r="I4236">
        <f>-H794/G794</f>
        <v/>
      </c>
      <c r="J4236" s="16" t="n">
        <v>44582</v>
      </c>
      <c r="K4236">
        <f>+OPERAC[[#This Row],[cantidad]]</f>
        <v/>
      </c>
      <c r="L4236" t="n">
        <v>0</v>
      </c>
    </row>
    <row r="4237">
      <c r="A4237" t="n">
        <v>16786</v>
      </c>
      <c r="B4237" s="16" t="n">
        <v>44581</v>
      </c>
      <c r="C4237" t="inlineStr">
        <is>
          <t>VTA</t>
        </is>
      </c>
      <c r="D4237" t="n">
        <v>39</v>
      </c>
      <c r="E4237">
        <f>IF(D739&gt;0,VLOOKUP(OPERAC[[#This Row],[COD CART]],[1]!MatrizCortoLargoCyl[#All],3,0),"")</f>
        <v/>
      </c>
      <c r="F4237" t="inlineStr">
        <is>
          <t>SMH/V/260,00/28-01-22</t>
        </is>
      </c>
      <c r="G4237" t="n">
        <v>-400</v>
      </c>
      <c r="H4237" t="n">
        <v>383.8</v>
      </c>
      <c r="I4237">
        <f>-H739/G739</f>
        <v/>
      </c>
      <c r="J4237" s="16" t="n">
        <v>44588</v>
      </c>
      <c r="K4237">
        <f>+OPERAC[[#This Row],[cantidad]]</f>
        <v/>
      </c>
      <c r="L4237">
        <f>-OPERAC[[#This Row],[importe]]</f>
        <v/>
      </c>
    </row>
    <row r="4238">
      <c r="A4238" t="n">
        <v>16786</v>
      </c>
      <c r="B4238" s="16" t="n">
        <v>44585</v>
      </c>
      <c r="C4238" t="inlineStr">
        <is>
          <t>VTA</t>
        </is>
      </c>
      <c r="D4238" t="n">
        <v>39</v>
      </c>
      <c r="E4238">
        <f>IF(D826&gt;0,VLOOKUP(OPERAC[[#This Row],[COD CART]],[1]!MatrizCortoLargoCyl[#All],3,0),"")</f>
        <v/>
      </c>
      <c r="F4238" t="inlineStr">
        <is>
          <t>TSLA/V/510,00/28-01-22</t>
        </is>
      </c>
      <c r="G4238" t="n">
        <v>-200</v>
      </c>
      <c r="H4238" t="n">
        <v>217.712</v>
      </c>
      <c r="I4238">
        <f>-H826/G826</f>
        <v/>
      </c>
      <c r="J4238" s="16" t="n">
        <v>44587</v>
      </c>
      <c r="K4238" t="n">
        <v>-200</v>
      </c>
      <c r="L4238" t="n">
        <v>-21.776</v>
      </c>
    </row>
    <row r="4239">
      <c r="A4239" t="n">
        <v>16786</v>
      </c>
      <c r="B4239" s="16" t="n">
        <v>44586</v>
      </c>
      <c r="C4239" t="inlineStr">
        <is>
          <t>CPR</t>
        </is>
      </c>
      <c r="D4239" t="n">
        <v>43</v>
      </c>
      <c r="E4239">
        <f>IF(D4256&gt;0,VLOOKUP(OPERAC[[#This Row],[COD CART]],[1]!MatrizCortoLargoCyl[#All],3,0),"")</f>
        <v/>
      </c>
      <c r="F4239" t="inlineStr">
        <is>
          <t>GMBL/CYL-PUT/2,50/20-01-23</t>
        </is>
      </c>
      <c r="G4239" t="n">
        <v>1000</v>
      </c>
      <c r="H4239" t="n">
        <v>-1016.0423</v>
      </c>
      <c r="I4239">
        <f>-H4256/G4256</f>
        <v/>
      </c>
      <c r="J4239" s="16" t="n">
        <v>44636</v>
      </c>
      <c r="K4239" t="n">
        <v>1000</v>
      </c>
      <c r="L4239">
        <f>-1.36*OPERAC[[#This Row],[cantidad venta]]</f>
        <v/>
      </c>
    </row>
    <row r="4240">
      <c r="A4240" t="n">
        <v>16786</v>
      </c>
      <c r="B4240" s="16" t="n">
        <v>44588</v>
      </c>
      <c r="C4240" t="inlineStr">
        <is>
          <t>VTA</t>
        </is>
      </c>
      <c r="D4240" t="n">
        <v>39</v>
      </c>
      <c r="E4240">
        <f>IF(D194&gt;0,VLOOKUP(OPERAC[[#This Row],[COD CART]],[1]!MatrizCortoLargoCyl[#All],3,0),"")</f>
        <v/>
      </c>
      <c r="F4240" t="inlineStr">
        <is>
          <t>SMH/V/255,00/04-02-22</t>
        </is>
      </c>
      <c r="G4240" t="n">
        <v>-300</v>
      </c>
      <c r="H4240" t="n">
        <v>2200.0335</v>
      </c>
      <c r="I4240">
        <f>-H194/G194</f>
        <v/>
      </c>
      <c r="J4240" s="16" t="n">
        <v>44596</v>
      </c>
      <c r="K4240" t="n">
        <v>-300</v>
      </c>
      <c r="L4240" t="n">
        <v>-16.025</v>
      </c>
    </row>
    <row r="4241">
      <c r="A4241" t="n">
        <v>16786</v>
      </c>
      <c r="B4241" s="16" t="n">
        <v>44594</v>
      </c>
      <c r="C4241" t="inlineStr">
        <is>
          <t>CPR</t>
        </is>
      </c>
      <c r="D4241" t="n">
        <v>40</v>
      </c>
      <c r="E4241">
        <f>IF(D4227&gt;0,VLOOKUP(OPERAC[[#This Row],[COD CART]],[1]!MatrizCortoLargoCyl[#All],3,0),"")</f>
        <v/>
      </c>
      <c r="F4241" t="inlineStr">
        <is>
          <t>EDU</t>
        </is>
      </c>
      <c r="G4241" t="n">
        <v>500</v>
      </c>
      <c r="H4241" t="n">
        <v>-1008</v>
      </c>
      <c r="I4241">
        <f>-H4227/G4227</f>
        <v/>
      </c>
      <c r="J4241" s="16" t="n">
        <v>44599</v>
      </c>
      <c r="K4241" t="n">
        <v>500</v>
      </c>
      <c r="L4241" t="n">
        <v>770</v>
      </c>
    </row>
    <row r="4242">
      <c r="A4242" t="n">
        <v>16786</v>
      </c>
      <c r="B4242" s="16" t="n">
        <v>44608</v>
      </c>
      <c r="C4242" t="inlineStr">
        <is>
          <t>VTA</t>
        </is>
      </c>
      <c r="D4242" t="n">
        <v>40</v>
      </c>
      <c r="E4242">
        <f>IF(D2849&gt;0,VLOOKUP(OPERAC[[#This Row],[COD CART]],[1]!MatrizCortoLargoCyl[#All],3,0),"")</f>
        <v/>
      </c>
      <c r="F4242" t="inlineStr">
        <is>
          <t>NVDA</t>
        </is>
      </c>
      <c r="G4242" t="n">
        <v>2</v>
      </c>
      <c r="H4242" t="n">
        <v>-527.0279999999999</v>
      </c>
      <c r="I4242">
        <f>-H2849/G2849</f>
        <v/>
      </c>
      <c r="J4242" s="16" t="n">
        <v>44616</v>
      </c>
      <c r="K4242">
        <f>+OPERAC[[#This Row],[cantidad]]</f>
        <v/>
      </c>
      <c r="L4242">
        <f>+OPERAC[[#This Row],[cantidad venta]]*224.117</f>
        <v/>
      </c>
    </row>
    <row r="4243">
      <c r="A4243" t="n">
        <v>16786</v>
      </c>
      <c r="B4243" s="16" t="n">
        <v>44616</v>
      </c>
      <c r="C4243" t="inlineStr">
        <is>
          <t>CPR</t>
        </is>
      </c>
      <c r="D4243" t="n">
        <v>32</v>
      </c>
      <c r="E4243">
        <f>IF(D4322&gt;0,VLOOKUP(OPERAC[[#This Row],[COD CART]],[1]!MatrizCortoLargoCyl[#All],3,0),"")</f>
        <v/>
      </c>
      <c r="F4243" t="inlineStr">
        <is>
          <t>PLTR/CYL/12,00/14-04-22</t>
        </is>
      </c>
      <c r="G4243" t="n">
        <v>100</v>
      </c>
      <c r="H4243" t="n">
        <v>-1052.7265</v>
      </c>
      <c r="I4243">
        <f>-H4322/G4322</f>
        <v/>
      </c>
      <c r="J4243" s="16" t="n">
        <v>44643</v>
      </c>
      <c r="K4243" t="n">
        <v>100</v>
      </c>
      <c r="L4243" t="n">
        <v>1146.72</v>
      </c>
    </row>
    <row r="4244">
      <c r="A4244" t="n">
        <v>16786</v>
      </c>
      <c r="B4244" s="16" t="n">
        <v>44636</v>
      </c>
      <c r="C4244" t="inlineStr">
        <is>
          <t>CPR</t>
        </is>
      </c>
      <c r="D4244" t="n">
        <v>43</v>
      </c>
      <c r="E4244">
        <f>IF(D2670&gt;0,VLOOKUP(OPERAC[[#This Row],[COD CART]],[1]!MatrizCortoLargoCyl[#All],3,0),"")</f>
        <v/>
      </c>
      <c r="F4244" t="inlineStr">
        <is>
          <t>GMBL/CYL-PUT/1,00/20-01-23</t>
        </is>
      </c>
      <c r="G4244" t="n">
        <v>3000</v>
      </c>
      <c r="H4244" t="n">
        <v>-490.1659499999996</v>
      </c>
      <c r="I4244">
        <f>-H2670/G2670</f>
        <v/>
      </c>
      <c r="J4244" s="16" t="n">
        <v>44705</v>
      </c>
      <c r="K4244">
        <f>2000+1000</f>
        <v/>
      </c>
      <c r="L4244">
        <f>-719.55+416.529-100.85</f>
        <v/>
      </c>
    </row>
    <row r="4245">
      <c r="A4245" t="n">
        <v>16786</v>
      </c>
      <c r="B4245" s="16" t="n">
        <v>44644</v>
      </c>
      <c r="C4245" t="inlineStr">
        <is>
          <t>VTA</t>
        </is>
      </c>
      <c r="D4245" t="n">
        <v>39</v>
      </c>
      <c r="E4245">
        <f>IF(D1107&gt;0,VLOOKUP(OPERAC[[#This Row],[COD CART]],[1]!MatrizCortoLargoCyl[#All],3,0),"")</f>
        <v/>
      </c>
      <c r="F4245" t="inlineStr">
        <is>
          <t>TSLA/V/620,00/20-05-22</t>
        </is>
      </c>
      <c r="G4245" t="n">
        <v>-5</v>
      </c>
      <c r="H4245" t="n">
        <v>23.8</v>
      </c>
      <c r="I4245">
        <f>-H1107/G1107</f>
        <v/>
      </c>
      <c r="J4245" s="16" t="n">
        <v>44672</v>
      </c>
      <c r="K4245" t="n">
        <v>-5</v>
      </c>
      <c r="L4245" t="n">
        <v>-4.28613</v>
      </c>
    </row>
    <row r="4246">
      <c r="A4246" t="n">
        <v>16786</v>
      </c>
      <c r="B4246" s="16" t="n">
        <v>44645</v>
      </c>
      <c r="C4246" t="inlineStr">
        <is>
          <t>CPR</t>
        </is>
      </c>
      <c r="D4246" t="n">
        <v>42</v>
      </c>
      <c r="E4246">
        <f>IF(D4799&gt;0,VLOOKUP(OPERAC[[#This Row],[COD CART]],[1]!MatrizCortoLargoCyl[#All],3,0),"")</f>
        <v/>
      </c>
      <c r="F4246" t="inlineStr">
        <is>
          <t>PLUG</t>
        </is>
      </c>
      <c r="G4246" t="n">
        <v>50</v>
      </c>
      <c r="H4246" t="n">
        <v>-1396.582</v>
      </c>
      <c r="I4246">
        <f>-H4799/G4799</f>
        <v/>
      </c>
      <c r="J4246" s="16" t="n">
        <v>44652</v>
      </c>
      <c r="K4246">
        <f>+OPERAC[[#This Row],[cantidad]]</f>
        <v/>
      </c>
      <c r="L4246">
        <f>+OPERAC[[#This Row],[cantidad venta]]*27.754</f>
        <v/>
      </c>
    </row>
    <row r="4247">
      <c r="A4247" t="n">
        <v>16786</v>
      </c>
      <c r="B4247" s="16" t="n">
        <v>44652</v>
      </c>
      <c r="C4247" t="inlineStr">
        <is>
          <t>VTA</t>
        </is>
      </c>
      <c r="D4247" t="n">
        <v>42</v>
      </c>
      <c r="E4247">
        <f>IF(D5148&gt;0,VLOOKUP(OPERAC[[#This Row],[COD CART]],[1]!MatrizCortoLargoCyl[#All],3,0),"")</f>
        <v/>
      </c>
      <c r="F4247" t="inlineStr">
        <is>
          <t>GBTC</t>
        </is>
      </c>
      <c r="G4247" t="n">
        <v>50</v>
      </c>
      <c r="H4247" t="n">
        <v>-1605.49</v>
      </c>
      <c r="I4247">
        <f>-H5148/G5148</f>
        <v/>
      </c>
      <c r="J4247" s="16" t="n">
        <v>44662</v>
      </c>
      <c r="K4247">
        <f>+OPERAC[[#This Row],[cantidad]]</f>
        <v/>
      </c>
      <c r="L4247">
        <f>27.99*OPERAC[[#This Row],[cantidad venta]]</f>
        <v/>
      </c>
    </row>
    <row r="4248">
      <c r="A4248" t="n">
        <v>16786</v>
      </c>
      <c r="B4248" s="16" t="n">
        <v>44662</v>
      </c>
      <c r="C4248" t="inlineStr">
        <is>
          <t>VTA</t>
        </is>
      </c>
      <c r="D4248" t="n">
        <v>39</v>
      </c>
      <c r="E4248">
        <f>IF(D203&gt;0,VLOOKUP(OPERAC[[#This Row],[COD CART]],[1]!MatrizCortoLargoCyl[#All],3,0),"")</f>
        <v/>
      </c>
      <c r="F4248" t="inlineStr">
        <is>
          <t>UPST/V/85,00/14-04-22</t>
        </is>
      </c>
      <c r="G4248" t="n">
        <v>-1000</v>
      </c>
      <c r="H4248" t="n">
        <v>2128.78</v>
      </c>
      <c r="I4248">
        <f>-H203/G203</f>
        <v/>
      </c>
      <c r="J4248" s="16" t="n">
        <v>44664</v>
      </c>
      <c r="K4248" t="n">
        <v>-1000</v>
      </c>
      <c r="L4248" t="n">
        <v>-2470.825</v>
      </c>
    </row>
    <row r="4249">
      <c r="A4249" t="n">
        <v>16786</v>
      </c>
      <c r="B4249" s="16" t="n">
        <v>44662</v>
      </c>
      <c r="C4249" t="inlineStr">
        <is>
          <t>VTA</t>
        </is>
      </c>
      <c r="D4249" t="n">
        <v>42</v>
      </c>
      <c r="E4249">
        <f>IF(D2503&gt;0,VLOOKUP(OPERAC[[#This Row],[COD CART]],[1]!MatrizCortoLargoCyl[#All],3,0),"")</f>
        <v/>
      </c>
      <c r="F4249" t="inlineStr">
        <is>
          <t>UPST</t>
        </is>
      </c>
      <c r="G4249" t="n">
        <v>5</v>
      </c>
      <c r="H4249" t="n">
        <v>-457.0018</v>
      </c>
      <c r="I4249">
        <f>-H2503/G2503</f>
        <v/>
      </c>
      <c r="J4249" s="16" t="n">
        <v>44693</v>
      </c>
      <c r="K4249" t="n">
        <v>5</v>
      </c>
      <c r="L4249" t="n">
        <v>153.722</v>
      </c>
    </row>
    <row r="4250">
      <c r="A4250" t="n">
        <v>16786</v>
      </c>
      <c r="B4250" s="16" t="n">
        <v>44662</v>
      </c>
      <c r="C4250" t="inlineStr">
        <is>
          <t>VTA</t>
        </is>
      </c>
      <c r="D4250" t="n">
        <v>42</v>
      </c>
      <c r="E4250">
        <f>IF(D2937&gt;0,VLOOKUP(OPERAC[[#This Row],[COD CART]],[1]!MatrizCortoLargoCyl[#All],3,0),"")</f>
        <v/>
      </c>
      <c r="F4250" t="inlineStr">
        <is>
          <t>HYDR</t>
        </is>
      </c>
      <c r="G4250" t="n">
        <v>30</v>
      </c>
      <c r="H4250" t="n">
        <v>-557.1103199999999</v>
      </c>
      <c r="I4250">
        <f>-H2937/G2937</f>
        <v/>
      </c>
      <c r="J4250" s="16" t="n">
        <v>44693</v>
      </c>
      <c r="K4250">
        <f>+OPERAC[[#This Row],[cantidad]]</f>
        <v/>
      </c>
      <c r="L4250">
        <f>+OPERAC[[#This Row],[cantidad venta]]*12.027</f>
        <v/>
      </c>
    </row>
    <row r="4251">
      <c r="A4251" t="n">
        <v>16786</v>
      </c>
      <c r="B4251" s="16" t="n">
        <v>44663</v>
      </c>
      <c r="C4251" t="inlineStr">
        <is>
          <t>CPR</t>
        </is>
      </c>
      <c r="D4251" t="n">
        <v>42</v>
      </c>
      <c r="E4251">
        <f>IF(D3314&gt;0,VLOOKUP(OPERAC[[#This Row],[COD CART]],[1]!MatrizCortoLargoCyl[#All],3,0),"")</f>
        <v/>
      </c>
      <c r="F4251" t="inlineStr">
        <is>
          <t>AMD</t>
        </is>
      </c>
      <c r="G4251" t="n">
        <v>7</v>
      </c>
      <c r="H4251" t="n">
        <v>-689.807</v>
      </c>
      <c r="I4251">
        <f>-H3314/G3314</f>
        <v/>
      </c>
      <c r="J4251" s="16" t="n">
        <v>44693</v>
      </c>
      <c r="K4251">
        <f>+OPERAC[[#This Row],[cantidad]]</f>
        <v/>
      </c>
      <c r="L4251">
        <f>+OPERAC[[#This Row],[cantidad venta]]*85.26</f>
        <v/>
      </c>
    </row>
    <row r="4252">
      <c r="A4252" t="n">
        <v>16786</v>
      </c>
      <c r="B4252" s="16" t="n">
        <v>44663</v>
      </c>
      <c r="C4252" t="inlineStr">
        <is>
          <t>CPR</t>
        </is>
      </c>
      <c r="D4252" t="n">
        <v>32</v>
      </c>
      <c r="E4252">
        <f>IF(D3678&gt;0,VLOOKUP(OPERAC[[#This Row],[COD CART]],[1]!MatrizCortoLargoCyl[#All],3,0),"")</f>
        <v/>
      </c>
      <c r="F4252" t="inlineStr">
        <is>
          <t>COTY</t>
        </is>
      </c>
      <c r="G4252" t="n">
        <v>100</v>
      </c>
      <c r="H4252" t="n">
        <v>-821.71</v>
      </c>
      <c r="I4252">
        <f>-H3678/G3678</f>
        <v/>
      </c>
      <c r="J4252" s="16" t="n">
        <v>44705</v>
      </c>
      <c r="K4252" t="n">
        <v>100</v>
      </c>
      <c r="L4252" t="n">
        <v>598.941</v>
      </c>
    </row>
    <row r="4253">
      <c r="A4253" t="n">
        <v>16786</v>
      </c>
      <c r="B4253" s="16" t="n">
        <v>44663</v>
      </c>
      <c r="C4253" t="inlineStr">
        <is>
          <t>CPR</t>
        </is>
      </c>
      <c r="D4253" t="n">
        <v>32</v>
      </c>
      <c r="E4253">
        <f>IF(D4762&gt;0,VLOOKUP(OPERAC[[#This Row],[COD CART]],[1]!MatrizCortoLargoCyl[#All],3,0),"")</f>
        <v/>
      </c>
      <c r="F4253" t="inlineStr">
        <is>
          <t>DDD</t>
        </is>
      </c>
      <c r="G4253" t="n">
        <v>100</v>
      </c>
      <c r="H4253" t="n">
        <v>-1369.73</v>
      </c>
      <c r="I4253">
        <f>-H4762/G4762</f>
        <v/>
      </c>
      <c r="J4253" s="16" t="n">
        <v>44705</v>
      </c>
      <c r="K4253" t="n">
        <v>100</v>
      </c>
      <c r="L4253" t="n">
        <v>995.48</v>
      </c>
    </row>
    <row r="4254">
      <c r="A4254" t="n">
        <v>16786</v>
      </c>
      <c r="B4254" s="16" t="n">
        <v>44664</v>
      </c>
      <c r="C4254" t="inlineStr">
        <is>
          <t>CPR</t>
        </is>
      </c>
      <c r="D4254" t="n">
        <v>42</v>
      </c>
      <c r="E4254">
        <f>IF(D2693&gt;0,VLOOKUP(OPERAC[[#This Row],[COD CART]],[1]!MatrizCortoLargoCyl[#All],3,0),"")</f>
        <v/>
      </c>
      <c r="F4254" t="inlineStr">
        <is>
          <t>AMD</t>
        </is>
      </c>
      <c r="G4254" t="n">
        <v>5</v>
      </c>
      <c r="H4254" t="n">
        <v>-493.85327265</v>
      </c>
      <c r="I4254">
        <f>-H2693/G2693</f>
        <v/>
      </c>
      <c r="J4254" s="16" t="n">
        <v>44693</v>
      </c>
      <c r="K4254">
        <f>+OPERAC[[#This Row],[cantidad]]</f>
        <v/>
      </c>
      <c r="L4254">
        <f>+OPERAC[[#This Row],[cantidad venta]]*85.26</f>
        <v/>
      </c>
    </row>
    <row r="4255">
      <c r="A4255" t="n">
        <v>16786</v>
      </c>
      <c r="B4255" s="16" t="n">
        <v>44664</v>
      </c>
      <c r="C4255" t="inlineStr">
        <is>
          <t>VTA</t>
        </is>
      </c>
      <c r="D4255" t="n">
        <v>39</v>
      </c>
      <c r="E4255">
        <f>IF(D200&gt;0,VLOOKUP(OPERAC[[#This Row],[COD CART]],[1]!MatrizCortoLargoCyl[#All],3,0),"")</f>
        <v/>
      </c>
      <c r="F4255" t="inlineStr">
        <is>
          <t>UPST/V/80,00/22-04-22</t>
        </is>
      </c>
      <c r="G4255" t="n">
        <v>-700</v>
      </c>
      <c r="H4255" t="n">
        <v>2186.258</v>
      </c>
      <c r="I4255">
        <f>-H200/G200</f>
        <v/>
      </c>
      <c r="J4255" s="16" t="n">
        <v>44673</v>
      </c>
      <c r="K4255" t="n">
        <v>-700</v>
      </c>
      <c r="L4255" t="n">
        <v>-2753.205</v>
      </c>
    </row>
    <row r="4256">
      <c r="A4256" t="n">
        <v>16786</v>
      </c>
      <c r="B4256" s="16" t="n">
        <v>44664</v>
      </c>
      <c r="C4256" t="inlineStr">
        <is>
          <t>VTA</t>
        </is>
      </c>
      <c r="D4256" t="n">
        <v>42</v>
      </c>
      <c r="E4256">
        <f>IF(D3091&gt;0,VLOOKUP(OPERAC[[#This Row],[COD CART]],[1]!MatrizCortoLargoCyl[#All],3,0),"")</f>
        <v/>
      </c>
      <c r="F4256" t="inlineStr">
        <is>
          <t>PSQ</t>
        </is>
      </c>
      <c r="G4256" t="n">
        <v>50</v>
      </c>
      <c r="H4256" t="n">
        <v>-621.6286090499999</v>
      </c>
      <c r="I4256">
        <f>-H3091/G3091</f>
        <v/>
      </c>
      <c r="J4256" s="16" t="n">
        <v>44680</v>
      </c>
      <c r="K4256">
        <f>+OPERAC[[#This Row],[cantidad]]</f>
        <v/>
      </c>
      <c r="L4256">
        <f>12.848*OPERAC[[#This Row],[cantidad venta]]</f>
        <v/>
      </c>
    </row>
    <row r="4257">
      <c r="A4257" t="n">
        <v>16786</v>
      </c>
      <c r="B4257" s="16" t="n">
        <v>44672</v>
      </c>
      <c r="C4257" t="inlineStr">
        <is>
          <t>VTA</t>
        </is>
      </c>
      <c r="D4257" t="n">
        <v>39</v>
      </c>
      <c r="E4257">
        <f>IF(D311&gt;0,VLOOKUP(OPERAC[[#This Row],[COD CART]],[1]!MatrizCortoLargoCyl[#All],3,0),"")</f>
        <v/>
      </c>
      <c r="F4257" t="inlineStr">
        <is>
          <t>UPST/V/75,00/22-04-22</t>
        </is>
      </c>
      <c r="G4257" t="n">
        <v>-700</v>
      </c>
      <c r="H4257" t="n">
        <v>1457.505</v>
      </c>
      <c r="I4257">
        <f>-H311/G311</f>
        <v/>
      </c>
      <c r="J4257" s="16" t="n">
        <v>44673</v>
      </c>
      <c r="K4257" t="n">
        <v>-700</v>
      </c>
      <c r="L4257" t="n">
        <v>-1482.495</v>
      </c>
    </row>
    <row r="4258">
      <c r="A4258" t="n">
        <v>16786</v>
      </c>
      <c r="B4258" s="16" t="n">
        <v>44673</v>
      </c>
      <c r="C4258" t="inlineStr">
        <is>
          <t>VTA</t>
        </is>
      </c>
      <c r="D4258" t="n">
        <v>39</v>
      </c>
      <c r="E4258">
        <f>IF(D312&gt;0,VLOOKUP(OPERAC[[#This Row],[COD CART]],[1]!MatrizCortoLargoCyl[#All],3,0),"")</f>
        <v/>
      </c>
      <c r="F4258" t="inlineStr">
        <is>
          <t>UPST/V/70,00/29-04-22</t>
        </is>
      </c>
      <c r="G4258" t="n">
        <v>-700</v>
      </c>
      <c r="H4258" t="n">
        <v>1457.505</v>
      </c>
      <c r="I4258">
        <f>-H312/G312</f>
        <v/>
      </c>
      <c r="J4258" s="16" t="n">
        <v>44676</v>
      </c>
      <c r="K4258" t="n">
        <v>-700</v>
      </c>
      <c r="L4258" t="n">
        <v>-931.854</v>
      </c>
    </row>
    <row r="4259">
      <c r="A4259" t="n">
        <v>16786</v>
      </c>
      <c r="B4259" s="16" t="n">
        <v>44673</v>
      </c>
      <c r="C4259" t="inlineStr">
        <is>
          <t>VTA</t>
        </is>
      </c>
      <c r="D4259" t="n">
        <v>39</v>
      </c>
      <c r="E4259">
        <f>IF(D327&gt;0,VLOOKUP(OPERAC[[#This Row],[COD CART]],[1]!MatrizCortoLargoCyl[#All],3,0),"")</f>
        <v/>
      </c>
      <c r="F4259" t="inlineStr">
        <is>
          <t>UPST/V/68,00/29-04-22</t>
        </is>
      </c>
      <c r="G4259" t="n">
        <v>-700</v>
      </c>
      <c r="H4259" t="n">
        <v>1388.1</v>
      </c>
      <c r="I4259">
        <f>-H327/G327</f>
        <v/>
      </c>
      <c r="J4259" s="16" t="n">
        <v>44679</v>
      </c>
      <c r="K4259">
        <f>+OPERAC[[#This Row],[cantidad]]</f>
        <v/>
      </c>
      <c r="L4259" t="n">
        <v>-352.975</v>
      </c>
    </row>
    <row r="4260">
      <c r="A4260" t="n">
        <v>16786</v>
      </c>
      <c r="B4260" s="16" t="n">
        <v>44676</v>
      </c>
      <c r="C4260" t="inlineStr">
        <is>
          <t>VTA</t>
        </is>
      </c>
      <c r="D4260" t="n">
        <v>39</v>
      </c>
      <c r="E4260">
        <f>IF(D505&gt;0,VLOOKUP(OPERAC[[#This Row],[COD CART]],[1]!MatrizCortoLargoCyl[#All],3,0),"")</f>
        <v/>
      </c>
      <c r="F4260" t="inlineStr">
        <is>
          <t>UPST/V/67,00/06-05-22</t>
        </is>
      </c>
      <c r="G4260" t="n">
        <v>-400</v>
      </c>
      <c r="H4260" t="n">
        <v>892.35</v>
      </c>
      <c r="I4260">
        <f>-H505/G505</f>
        <v/>
      </c>
      <c r="J4260" s="16" t="n">
        <v>44687</v>
      </c>
      <c r="K4260">
        <f>OPERAC[[#This Row],[cantidad]]</f>
        <v/>
      </c>
      <c r="L4260" t="n">
        <v>0</v>
      </c>
    </row>
    <row r="4261">
      <c r="A4261" t="n">
        <v>16786</v>
      </c>
      <c r="B4261" s="16" t="n">
        <v>44680</v>
      </c>
      <c r="C4261" t="inlineStr">
        <is>
          <t>VTA</t>
        </is>
      </c>
      <c r="D4261" t="n">
        <v>42</v>
      </c>
      <c r="E4261">
        <f>IF(D3144&gt;0,VLOOKUP(OPERAC[[#This Row],[COD CART]],[1]!MatrizCortoLargoCyl[#All],3,0),"")</f>
        <v/>
      </c>
      <c r="F4261" t="inlineStr">
        <is>
          <t>XLP</t>
        </is>
      </c>
      <c r="G4261" t="n">
        <v>8</v>
      </c>
      <c r="H4261" t="n">
        <v>-635.4760199999999</v>
      </c>
      <c r="I4261">
        <f>-H3144/G3144</f>
        <v/>
      </c>
      <c r="J4261" s="16" t="n">
        <v>44693</v>
      </c>
      <c r="K4261">
        <f>+OPERAC[[#This Row],[cantidad]]</f>
        <v/>
      </c>
      <c r="L4261">
        <f>+OPERAC[[#This Row],[cantidad venta]]*74.848</f>
        <v/>
      </c>
    </row>
    <row r="4262">
      <c r="A4262" t="n">
        <v>16786</v>
      </c>
      <c r="B4262" s="16" t="n">
        <v>44690</v>
      </c>
      <c r="C4262" t="inlineStr">
        <is>
          <t>VTA</t>
        </is>
      </c>
      <c r="D4262" t="n">
        <v>39</v>
      </c>
      <c r="E4262">
        <f>IF(D47&gt;0,VLOOKUP(OPERAC[[#This Row],[COD CART]],[1]!MatrizCortoLargoCyl[#All],3,0),"")</f>
        <v/>
      </c>
      <c r="F4262" t="inlineStr">
        <is>
          <t>TSLA/V/700,00/20-05-22</t>
        </is>
      </c>
      <c r="G4262" t="n">
        <v>-400</v>
      </c>
      <c r="H4262" t="n">
        <v>5175.63</v>
      </c>
      <c r="I4262">
        <f>-H47/G47</f>
        <v/>
      </c>
      <c r="J4262" s="16" t="n">
        <v>44698</v>
      </c>
      <c r="K4262" t="n">
        <v>-400</v>
      </c>
      <c r="L4262" t="n">
        <v>-4403.514</v>
      </c>
    </row>
    <row r="4263">
      <c r="A4263" t="n">
        <v>16786</v>
      </c>
      <c r="B4263" s="16" t="n">
        <v>44690</v>
      </c>
      <c r="C4263" t="inlineStr">
        <is>
          <t>VTA</t>
        </is>
      </c>
      <c r="D4263" t="n">
        <v>39</v>
      </c>
      <c r="E4263">
        <f>IF(D188&gt;0,VLOOKUP(OPERAC[[#This Row],[COD CART]],[1]!MatrizCortoLargoCyl[#All],3,0),"")</f>
        <v/>
      </c>
      <c r="F4263" t="inlineStr">
        <is>
          <t>TSLA/V/700,00/13-05-22</t>
        </is>
      </c>
      <c r="G4263" t="n">
        <v>-700</v>
      </c>
      <c r="H4263" t="n">
        <v>2214.0195</v>
      </c>
      <c r="I4263">
        <f>-H188/G188</f>
        <v/>
      </c>
      <c r="J4263" s="16" t="n">
        <v>44693</v>
      </c>
      <c r="K4263" t="n">
        <v>-700</v>
      </c>
      <c r="L4263" t="n">
        <v>-22489.6</v>
      </c>
    </row>
    <row r="4264">
      <c r="A4264" t="n">
        <v>16786</v>
      </c>
      <c r="B4264" s="16" t="n">
        <v>44693</v>
      </c>
      <c r="C4264" t="inlineStr">
        <is>
          <t>VTA</t>
        </is>
      </c>
      <c r="D4264" t="n">
        <v>39</v>
      </c>
      <c r="E4264">
        <f>IF(D796&gt;0,VLOOKUP(OPERAC[[#This Row],[COD CART]],[1]!MatrizCortoLargoCyl[#All],3,0),"")</f>
        <v/>
      </c>
      <c r="F4264" t="inlineStr">
        <is>
          <t>MELI/V/460,00/20-01-2023</t>
        </is>
      </c>
      <c r="G4264" t="n">
        <v>-4</v>
      </c>
      <c r="H4264" t="n">
        <v>262.94</v>
      </c>
      <c r="I4264">
        <f>-H796/G796</f>
        <v/>
      </c>
    </row>
    <row r="4265">
      <c r="A4265" t="n">
        <v>16786</v>
      </c>
      <c r="B4265" s="16" t="n">
        <v>44698</v>
      </c>
      <c r="C4265" t="inlineStr">
        <is>
          <t>VTA</t>
        </is>
      </c>
      <c r="D4265" t="n">
        <v>39</v>
      </c>
      <c r="E4265">
        <f>IF(D122&gt;0,VLOOKUP(OPERAC[[#This Row],[COD CART]],[1]!MatrizCortoLargoCyl[#All],3,0),"")</f>
        <v/>
      </c>
      <c r="F4265" t="inlineStr">
        <is>
          <t>TSLA/P/635,00/27-05-22</t>
        </is>
      </c>
      <c r="G4265" t="n">
        <v>-400</v>
      </c>
      <c r="H4265" t="n">
        <v>3172.8</v>
      </c>
      <c r="I4265">
        <f>-H122/G122</f>
        <v/>
      </c>
      <c r="J4265" s="16" t="n">
        <v>44701</v>
      </c>
      <c r="K4265" t="n">
        <v>-400</v>
      </c>
      <c r="L4265" t="n">
        <v>-13179.078</v>
      </c>
    </row>
    <row r="4266">
      <c r="A4266" t="n">
        <v>16786</v>
      </c>
      <c r="B4266" s="16" t="n">
        <v>44698</v>
      </c>
      <c r="C4266" t="inlineStr">
        <is>
          <t>VTA</t>
        </is>
      </c>
      <c r="D4266" t="n">
        <v>39</v>
      </c>
      <c r="E4266">
        <f>IF(D369&gt;0,VLOOKUP(OPERAC[[#This Row],[COD CART]],[1]!MatrizCortoLargoCyl[#All],3,0),"")</f>
        <v/>
      </c>
      <c r="F4266" t="inlineStr">
        <is>
          <t>TSLA/P/655,00/20-05-22</t>
        </is>
      </c>
      <c r="G4266" t="n">
        <v>-400</v>
      </c>
      <c r="H4266" t="n">
        <v>1209.63</v>
      </c>
      <c r="I4266">
        <f>-H369/G369</f>
        <v/>
      </c>
      <c r="J4266" s="16" t="n">
        <v>44700</v>
      </c>
      <c r="K4266" t="n">
        <v>-400</v>
      </c>
      <c r="L4266" t="n">
        <v>-521.789</v>
      </c>
    </row>
    <row r="4267">
      <c r="A4267" t="n">
        <v>16786</v>
      </c>
      <c r="B4267" s="16" t="n">
        <v>44701</v>
      </c>
      <c r="C4267" t="inlineStr">
        <is>
          <t>VTA</t>
        </is>
      </c>
      <c r="D4267" t="n">
        <v>39</v>
      </c>
      <c r="E4267">
        <f>IF(D916&gt;0,VLOOKUP(OPERAC[[#This Row],[COD CART]],[1]!MatrizCortoLargoCyl[#All],3,0),"")</f>
        <v/>
      </c>
      <c r="F4267" t="inlineStr">
        <is>
          <t>TSLA/P/300,00/19-01-24</t>
        </is>
      </c>
      <c r="G4267" t="n">
        <v>-3</v>
      </c>
      <c r="H4267" t="n">
        <v>130.878</v>
      </c>
      <c r="I4267">
        <f>-H916/G916</f>
        <v/>
      </c>
    </row>
    <row r="4268">
      <c r="A4268" t="n">
        <v>16786</v>
      </c>
      <c r="B4268" s="16" t="n">
        <v>44708</v>
      </c>
      <c r="C4268" t="inlineStr">
        <is>
          <t>CPR</t>
        </is>
      </c>
      <c r="D4268" t="n">
        <v>32</v>
      </c>
      <c r="E4268">
        <f>IF(D4626&gt;0,VLOOKUP(OPERAC[[#This Row],[COD CART]],[1]!MatrizCortoLargoCyl[#All],3,0),"")</f>
        <v/>
      </c>
      <c r="F4268" t="inlineStr">
        <is>
          <t>CCL/CYL/13,00/03-06-22</t>
        </is>
      </c>
      <c r="G4268" t="n">
        <v>100</v>
      </c>
      <c r="H4268" t="n">
        <v>-1276.4</v>
      </c>
      <c r="I4268">
        <f>-H4626/G4626</f>
        <v/>
      </c>
      <c r="J4268" s="16" t="n">
        <v>44715</v>
      </c>
      <c r="K4268">
        <f>+OPERAC[[#This Row],[cantidad]]</f>
        <v/>
      </c>
      <c r="L4268">
        <f>+OPERAC[[#This Row],[cantidad venta]]*12.942</f>
        <v/>
      </c>
    </row>
    <row r="4269">
      <c r="A4269" t="n">
        <v>16786</v>
      </c>
      <c r="B4269" s="16" t="n">
        <v>44708</v>
      </c>
      <c r="C4269" t="inlineStr">
        <is>
          <t>VTA</t>
        </is>
      </c>
      <c r="D4269" t="n">
        <v>42</v>
      </c>
      <c r="E4269">
        <f>IF(D2191&gt;0,VLOOKUP(OPERAC[[#This Row],[COD CART]],[1]!MatrizCortoLargoCyl[#All],3,0),"")</f>
        <v/>
      </c>
      <c r="F4269" t="inlineStr">
        <is>
          <t>ACB</t>
        </is>
      </c>
      <c r="G4269" t="n">
        <v>200</v>
      </c>
      <c r="H4269" t="n">
        <v>-365.064157761</v>
      </c>
      <c r="I4269">
        <f>-H2191/G2191</f>
        <v/>
      </c>
    </row>
    <row r="4270">
      <c r="A4270" t="n">
        <v>16786</v>
      </c>
      <c r="B4270" s="16" t="n">
        <v>44712</v>
      </c>
      <c r="C4270" t="inlineStr">
        <is>
          <t>CPR</t>
        </is>
      </c>
      <c r="D4270" t="n">
        <v>32</v>
      </c>
      <c r="E4270">
        <f>IF(D4566&gt;0,VLOOKUP(OPERAC[[#This Row],[COD CART]],[1]!MatrizCortoLargoCyl[#All],3,0),"")</f>
        <v/>
      </c>
      <c r="F4270" t="inlineStr">
        <is>
          <t>AMC/CYL/13,00/10-06-22</t>
        </is>
      </c>
      <c r="G4270" t="n">
        <v>100</v>
      </c>
      <c r="H4270" t="n">
        <v>-1232.75</v>
      </c>
      <c r="I4270">
        <f>-H4566/G4566</f>
        <v/>
      </c>
      <c r="J4270" s="16" t="n">
        <v>44722</v>
      </c>
      <c r="K4270" t="n">
        <v>100</v>
      </c>
      <c r="L4270" t="n">
        <v>1234.29</v>
      </c>
    </row>
    <row r="4271">
      <c r="A4271" t="n">
        <v>16786</v>
      </c>
      <c r="B4271" s="16" t="n">
        <v>44712</v>
      </c>
      <c r="C4271" t="inlineStr">
        <is>
          <t>CPR</t>
        </is>
      </c>
      <c r="D4271" t="n">
        <v>42</v>
      </c>
      <c r="E4271">
        <f>IF(D5885&gt;0,VLOOKUP(OPERAC[[#This Row],[COD CART]],[1]!MatrizCortoLargoCyl[#All],3,0),"")</f>
        <v/>
      </c>
      <c r="F4271" t="inlineStr">
        <is>
          <t>KWEB</t>
        </is>
      </c>
      <c r="G4271" t="n">
        <v>100</v>
      </c>
      <c r="H4271" t="n">
        <v>-2959.725</v>
      </c>
      <c r="I4271">
        <f>-H5885/G5885</f>
        <v/>
      </c>
    </row>
    <row r="4272">
      <c r="A4272" t="n">
        <v>16786</v>
      </c>
      <c r="B4272" s="16" t="n">
        <v>44720</v>
      </c>
      <c r="C4272" t="inlineStr">
        <is>
          <t>CPR</t>
        </is>
      </c>
      <c r="D4272" t="n">
        <v>42</v>
      </c>
      <c r="E4272">
        <f>IF(D4692&gt;0,VLOOKUP(OPERAC[[#This Row],[COD CART]],[1]!MatrizCortoLargoCyl[#All],3,0),"")</f>
        <v/>
      </c>
      <c r="F4272" t="inlineStr">
        <is>
          <t>EDIT</t>
        </is>
      </c>
      <c r="G4272" t="n">
        <v>100</v>
      </c>
      <c r="H4272" t="n">
        <v>-1316.0925</v>
      </c>
      <c r="I4272">
        <f>-H4692/G4692</f>
        <v/>
      </c>
    </row>
    <row r="4273">
      <c r="A4273" t="n">
        <v>16786</v>
      </c>
      <c r="B4273" s="16" t="n">
        <v>44720</v>
      </c>
      <c r="C4273" t="inlineStr">
        <is>
          <t>CPR</t>
        </is>
      </c>
      <c r="D4273" t="n">
        <v>42</v>
      </c>
      <c r="E4273">
        <f>IF(D4969&gt;0,VLOOKUP(OPERAC[[#This Row],[COD CART]],[1]!MatrizCortoLargoCyl[#All],3,0),"")</f>
        <v/>
      </c>
      <c r="F4273" t="inlineStr">
        <is>
          <t>HYDR</t>
        </is>
      </c>
      <c r="G4273" t="n">
        <v>100</v>
      </c>
      <c r="H4273" t="n">
        <v>-1512.75</v>
      </c>
      <c r="I4273">
        <f>-H4969/G4969</f>
        <v/>
      </c>
    </row>
    <row r="4274">
      <c r="A4274" t="n">
        <v>16786</v>
      </c>
      <c r="B4274" s="16" t="n">
        <v>44722</v>
      </c>
      <c r="C4274" t="inlineStr">
        <is>
          <t>VTA</t>
        </is>
      </c>
      <c r="D4274" t="n">
        <v>32</v>
      </c>
      <c r="E4274">
        <f>IF(D3751&gt;0,VLOOKUP(OPERAC[[#This Row],[COD CART]],[1]!MatrizCortoLargoCyl[#All],3,0),"")</f>
        <v/>
      </c>
      <c r="F4274" t="inlineStr">
        <is>
          <t>NNOX/CYL/9,00/17-06-22</t>
        </is>
      </c>
      <c r="G4274" t="n">
        <v>100</v>
      </c>
      <c r="H4274" t="n">
        <v>-844.8390000000001</v>
      </c>
      <c r="I4274">
        <f>-H3751/G3751</f>
        <v/>
      </c>
    </row>
    <row r="4275">
      <c r="A4275" t="n">
        <v>16786</v>
      </c>
      <c r="B4275" s="16" t="n">
        <v>44725</v>
      </c>
      <c r="C4275" t="inlineStr">
        <is>
          <t>CPR</t>
        </is>
      </c>
      <c r="D4275" t="n">
        <v>40</v>
      </c>
      <c r="E4275">
        <f>IF(D4722&gt;0,VLOOKUP(OPERAC[[#This Row],[COD CART]],[1]!MatrizCortoLargoCyl[#All],3,0),"")</f>
        <v/>
      </c>
      <c r="F4275" t="inlineStr">
        <is>
          <t>AAL</t>
        </is>
      </c>
      <c r="G4275" t="n">
        <v>100</v>
      </c>
      <c r="H4275" t="n">
        <v>-1336.56505</v>
      </c>
      <c r="I4275">
        <f>-H4722/G4722</f>
        <v/>
      </c>
    </row>
    <row r="4276">
      <c r="A4276" t="n">
        <v>16786</v>
      </c>
      <c r="B4276" s="16" t="n">
        <v>44725</v>
      </c>
      <c r="C4276" t="inlineStr">
        <is>
          <t>VTA</t>
        </is>
      </c>
      <c r="D4276" t="n">
        <v>40</v>
      </c>
      <c r="E4276">
        <f>IF(D3115&gt;0,VLOOKUP(OPERAC[[#This Row],[COD CART]],[1]!MatrizCortoLargoCyl[#All],3,0),"")</f>
        <v/>
      </c>
      <c r="F4276" t="inlineStr">
        <is>
          <t>MELI</t>
        </is>
      </c>
      <c r="G4276" t="n">
        <v>1</v>
      </c>
      <c r="H4276" t="n">
        <v>-628.39635</v>
      </c>
      <c r="I4276">
        <f>-H3115/G3115</f>
        <v/>
      </c>
    </row>
    <row r="4277">
      <c r="A4277" t="n">
        <v>16795</v>
      </c>
      <c r="B4277" s="16" t="n">
        <v>43851</v>
      </c>
      <c r="C4277" t="inlineStr">
        <is>
          <t>CPR</t>
        </is>
      </c>
      <c r="D4277" t="n">
        <v>31</v>
      </c>
      <c r="E4277">
        <f>IF(D4865&gt;0,VLOOKUP(OPERAC[[#This Row],[COD CART]],[1]!MatrizCortoLargoCyl[#All],3,0),"")</f>
        <v/>
      </c>
      <c r="F4277" t="inlineStr">
        <is>
          <t>YPF</t>
        </is>
      </c>
      <c r="G4277" t="n">
        <v>200</v>
      </c>
      <c r="H4277" t="n">
        <v>-1451.4112</v>
      </c>
      <c r="I4277" t="n">
        <v>7.257055999999999</v>
      </c>
      <c r="J4277" s="16" t="n">
        <v>44456</v>
      </c>
      <c r="K4277" t="n">
        <v>100</v>
      </c>
      <c r="L4277" t="n">
        <v>513.903</v>
      </c>
    </row>
    <row r="4278">
      <c r="A4278" t="n">
        <v>16795</v>
      </c>
      <c r="B4278" s="16" t="n">
        <v>43851</v>
      </c>
      <c r="C4278" t="inlineStr">
        <is>
          <t>CPR</t>
        </is>
      </c>
      <c r="D4278" t="n">
        <v>31</v>
      </c>
      <c r="E4278">
        <f>IF(D5835&gt;0,VLOOKUP(OPERAC[[#This Row],[COD CART]],[1]!MatrizCortoLargoCyl[#All],3,0),"")</f>
        <v/>
      </c>
      <c r="F4278" t="inlineStr">
        <is>
          <t>GGAL</t>
        </is>
      </c>
      <c r="G4278" t="n">
        <v>200</v>
      </c>
      <c r="H4278" t="n">
        <v>-2840</v>
      </c>
      <c r="I4278" t="n">
        <v>14.2</v>
      </c>
      <c r="J4278" s="16" t="n">
        <v>44456</v>
      </c>
      <c r="K4278" t="n">
        <v>100</v>
      </c>
      <c r="L4278" t="n">
        <v>1106.415</v>
      </c>
    </row>
    <row r="4279">
      <c r="A4279" t="n">
        <v>16795</v>
      </c>
      <c r="B4279" s="16" t="n">
        <v>44299</v>
      </c>
      <c r="C4279" t="inlineStr">
        <is>
          <t>VTA</t>
        </is>
      </c>
      <c r="D4279" t="n">
        <v>39</v>
      </c>
      <c r="E4279">
        <f>IF(D401&gt;0,VLOOKUP(OPERAC[[#This Row],[COD CART]],[1]!MatrizCortoLargoCyl[#All],3,0),"")</f>
        <v/>
      </c>
      <c r="F4279" t="inlineStr">
        <is>
          <t>TLRY1/V/10,00/20-01-23</t>
        </is>
      </c>
      <c r="G4279" t="n">
        <v>-400</v>
      </c>
      <c r="H4279" t="n">
        <v>1187.8128</v>
      </c>
      <c r="I4279">
        <f>-H401/G401</f>
        <v/>
      </c>
      <c r="J4279" s="16" t="n">
        <v>44614</v>
      </c>
      <c r="K4279" t="n">
        <v>-400</v>
      </c>
      <c r="L4279" t="n">
        <v>-2341.358</v>
      </c>
    </row>
    <row r="4280">
      <c r="A4280" t="n">
        <v>16795</v>
      </c>
      <c r="B4280" s="16" t="n">
        <v>44340</v>
      </c>
      <c r="C4280" t="inlineStr">
        <is>
          <t>VTA</t>
        </is>
      </c>
      <c r="D4280" t="n">
        <v>39</v>
      </c>
      <c r="E4280">
        <f>IF(D510&gt;0,VLOOKUP(OPERAC[[#This Row],[COD CART]],[1]!MatrizCortoLargoCyl[#All],3,0),"")</f>
        <v/>
      </c>
      <c r="F4280" t="inlineStr">
        <is>
          <t>SOLO/V/3,50/21-01-22</t>
        </is>
      </c>
      <c r="G4280" t="n">
        <v>-800</v>
      </c>
      <c r="H4280" t="n">
        <v>876.6839999999999</v>
      </c>
      <c r="I4280">
        <f>-H510/G510</f>
        <v/>
      </c>
      <c r="J4280" s="16" t="n">
        <v>44579</v>
      </c>
      <c r="K4280">
        <f>+OPERAC[[#This Row],[cantidad]]</f>
        <v/>
      </c>
      <c r="L4280">
        <f>-OPERAC[[#This Row],[importe]]</f>
        <v/>
      </c>
    </row>
    <row r="4281">
      <c r="A4281" t="n">
        <v>16795</v>
      </c>
      <c r="B4281" s="16" t="n">
        <v>44439</v>
      </c>
      <c r="C4281" t="inlineStr">
        <is>
          <t>VTA</t>
        </is>
      </c>
      <c r="D4281" t="n">
        <v>39</v>
      </c>
      <c r="E4281">
        <f>IF(D461&gt;0,VLOOKUP(OPERAC[[#This Row],[COD CART]],[1]!MatrizCortoLargoCyl[#All],3,0),"")</f>
        <v/>
      </c>
      <c r="F4281" t="inlineStr">
        <is>
          <t>SKLZ/P/7,50/20-01-23</t>
        </is>
      </c>
      <c r="G4281" t="n">
        <v>-500</v>
      </c>
      <c r="H4281" t="n">
        <v>992</v>
      </c>
      <c r="I4281">
        <f>-H461/G461</f>
        <v/>
      </c>
      <c r="J4281" s="16" t="n">
        <v>44614</v>
      </c>
      <c r="K4281">
        <f>+OPERAC[[#This Row],[cantidad]]</f>
        <v/>
      </c>
      <c r="L4281">
        <f>+OPERAC[[#This Row],[cantidad venta]]*4.488</f>
        <v/>
      </c>
    </row>
    <row r="4282">
      <c r="A4282" t="n">
        <v>16795</v>
      </c>
      <c r="B4282" s="16" t="n">
        <v>44461</v>
      </c>
      <c r="C4282" t="inlineStr">
        <is>
          <t>VTA</t>
        </is>
      </c>
      <c r="D4282" t="n">
        <v>40</v>
      </c>
      <c r="E4282">
        <f>IF(D2817&gt;0,VLOOKUP(OPERAC[[#This Row],[COD CART]],[1]!MatrizCortoLargoCyl[#All],3,0),"")</f>
        <v/>
      </c>
      <c r="F4282" t="inlineStr">
        <is>
          <t>EDU</t>
        </is>
      </c>
      <c r="G4282" t="n">
        <v>500</v>
      </c>
      <c r="H4282">
        <f>-1.0864*OPERAC[[#This Row],[cantidad]]+0.04*OPERAC[[#This Row],[cantidad]]</f>
        <v/>
      </c>
      <c r="I4282">
        <f>-H2817/G2817</f>
        <v/>
      </c>
      <c r="J4282" s="16" t="n">
        <v>44630</v>
      </c>
      <c r="K4282" t="n">
        <v>500</v>
      </c>
      <c r="L4282" t="n">
        <v>568.328</v>
      </c>
    </row>
    <row r="4283">
      <c r="A4283" t="n">
        <v>16795</v>
      </c>
      <c r="B4283" s="16" t="n">
        <v>44495</v>
      </c>
      <c r="C4283" t="inlineStr">
        <is>
          <t>VTA</t>
        </is>
      </c>
      <c r="D4283" t="n">
        <v>39</v>
      </c>
      <c r="E4283">
        <f>IF(D393&gt;0,VLOOKUP(OPERAC[[#This Row],[COD CART]],[1]!MatrizCortoLargoCyl[#All],3,0),"")</f>
        <v/>
      </c>
      <c r="F4283" t="inlineStr">
        <is>
          <t>YPF/CC10/LP7/CP3/19-01-24</t>
        </is>
      </c>
      <c r="G4283" t="n">
        <v>-500</v>
      </c>
      <c r="H4283">
        <f>-2.41*OPERAC[[#This Row],[cantidad]]</f>
        <v/>
      </c>
      <c r="I4283">
        <f>-H393/G393</f>
        <v/>
      </c>
      <c r="J4283" s="16" t="n">
        <v>44713</v>
      </c>
      <c r="K4283" t="n">
        <v>-500</v>
      </c>
      <c r="L4283" t="n">
        <v>-1205</v>
      </c>
    </row>
    <row r="4284">
      <c r="A4284" t="n">
        <v>16795</v>
      </c>
      <c r="B4284" s="16" t="n">
        <v>44495</v>
      </c>
      <c r="C4284" t="inlineStr">
        <is>
          <t>VTA</t>
        </is>
      </c>
      <c r="D4284" t="n">
        <v>39</v>
      </c>
      <c r="E4284">
        <f>IF(D518&gt;0,VLOOKUP(OPERAC[[#This Row],[COD CART]],[1]!MatrizCortoLargoCyl[#All],3,0),"")</f>
        <v/>
      </c>
      <c r="F4284" t="inlineStr">
        <is>
          <t>TLRY/V/11,00/21-01-22</t>
        </is>
      </c>
      <c r="G4284" t="n">
        <v>-500</v>
      </c>
      <c r="H4284" t="n">
        <v>863.1</v>
      </c>
      <c r="I4284">
        <f>-H518/G518</f>
        <v/>
      </c>
      <c r="J4284" s="16" t="n">
        <v>44571</v>
      </c>
      <c r="K4284">
        <f>+OPERAC[[#This Row],[cantidad]]</f>
        <v/>
      </c>
      <c r="L4284">
        <f>-OPERAC[[#This Row],[importe]]</f>
        <v/>
      </c>
    </row>
    <row r="4285">
      <c r="A4285" t="n">
        <v>16795</v>
      </c>
      <c r="B4285" s="16" t="n">
        <v>44533</v>
      </c>
      <c r="C4285" t="inlineStr">
        <is>
          <t>CPR</t>
        </is>
      </c>
      <c r="D4285" t="n">
        <v>32</v>
      </c>
      <c r="E4285">
        <f>IF(D5728&gt;0,VLOOKUP(OPERAC[[#This Row],[COD CART]],[1]!MatrizCortoLargoCyl[#All],3,0),"")</f>
        <v/>
      </c>
      <c r="F4285" t="inlineStr">
        <is>
          <t>EDIT/CYL/30,00/19-08-22</t>
        </is>
      </c>
      <c r="G4285" t="n">
        <v>100</v>
      </c>
      <c r="H4285">
        <f>-26.42*OPERAC[[#This Row],[cantidad]]+4.952+24.55+9.915+7.93</f>
        <v/>
      </c>
      <c r="I4285">
        <f>-H5728/G5728</f>
        <v/>
      </c>
    </row>
    <row r="4286">
      <c r="A4286" t="n">
        <v>16795</v>
      </c>
      <c r="B4286" s="16" t="n">
        <v>44533</v>
      </c>
      <c r="C4286" t="inlineStr">
        <is>
          <t>CPR</t>
        </is>
      </c>
      <c r="D4286" t="n">
        <v>32</v>
      </c>
      <c r="E4286">
        <f>IF(D5839&gt;0,VLOOKUP(OPERAC[[#This Row],[COD CART]],[1]!MatrizCortoLargoCyl[#All],3,0),"")</f>
        <v/>
      </c>
      <c r="F4286" t="inlineStr">
        <is>
          <t>INO/CYL/7,00/21-01-22</t>
        </is>
      </c>
      <c r="G4286" t="n">
        <v>500</v>
      </c>
      <c r="H4286">
        <f>-5.7*OPERAC[[#This Row],[cantidad]]</f>
        <v/>
      </c>
      <c r="I4286">
        <f>-H5839/G5839</f>
        <v/>
      </c>
      <c r="J4286" s="16" t="n">
        <v>44581</v>
      </c>
      <c r="K4286" t="n">
        <v>500</v>
      </c>
      <c r="L4286" t="n">
        <v>2131.712</v>
      </c>
    </row>
    <row r="4287">
      <c r="A4287" t="n">
        <v>16795</v>
      </c>
      <c r="B4287" s="16" t="n">
        <v>44533</v>
      </c>
      <c r="C4287" t="inlineStr">
        <is>
          <t>CPR</t>
        </is>
      </c>
      <c r="D4287" t="n">
        <v>32</v>
      </c>
      <c r="E4287">
        <f>IF(D6170&gt;0,VLOOKUP(OPERAC[[#This Row],[COD CART]],[1]!MatrizCortoLargoCyl[#All],3,0),"")</f>
        <v/>
      </c>
      <c r="F4287" t="inlineStr">
        <is>
          <t>HIMX/CYL/12,00/21-01-22</t>
        </is>
      </c>
      <c r="G4287" t="n">
        <v>500</v>
      </c>
      <c r="H4287">
        <f>-9.9*OPERAC[[#This Row],[cantidad]]</f>
        <v/>
      </c>
      <c r="I4287">
        <f>-H6170/G6170</f>
        <v/>
      </c>
      <c r="J4287" s="16" t="n">
        <v>44575</v>
      </c>
      <c r="K4287" t="n">
        <v>500</v>
      </c>
      <c r="L4287" t="n">
        <v>5853.09</v>
      </c>
    </row>
    <row r="4288">
      <c r="A4288" t="n">
        <v>16795</v>
      </c>
      <c r="B4288" s="16" t="n">
        <v>44533</v>
      </c>
      <c r="C4288" t="inlineStr">
        <is>
          <t>VTA</t>
        </is>
      </c>
      <c r="D4288" t="n">
        <v>32</v>
      </c>
      <c r="E4288">
        <f>IF(D5002&gt;0,VLOOKUP(OPERAC[[#This Row],[COD CART]],[1]!MatrizCortoLargoCyl[#All],3,0),"")</f>
        <v/>
      </c>
      <c r="F4288" t="inlineStr">
        <is>
          <t>AAL/CYL/20,00/14-04-22</t>
        </is>
      </c>
      <c r="G4288" t="n">
        <v>100</v>
      </c>
      <c r="H4288">
        <f>-16.02*OPERAC[[#This Row],[cantidad]]+10.412+37.074+21.543</f>
        <v/>
      </c>
      <c r="I4288">
        <f>-H5002/G5002</f>
        <v/>
      </c>
      <c r="J4288" s="16" t="n">
        <v>44665</v>
      </c>
      <c r="K4288" t="n">
        <v>100</v>
      </c>
      <c r="L4288" t="n">
        <v>1935</v>
      </c>
    </row>
    <row r="4289">
      <c r="A4289" t="n">
        <v>16795</v>
      </c>
      <c r="B4289" s="16" t="n">
        <v>44539</v>
      </c>
      <c r="C4289" t="inlineStr">
        <is>
          <t>CPR</t>
        </is>
      </c>
      <c r="D4289" t="n">
        <v>40</v>
      </c>
      <c r="E4289">
        <f>IF(D2797&gt;0,VLOOKUP(OPERAC[[#This Row],[COD CART]],[1]!MatrizCortoLargoCyl[#All],3,0),"")</f>
        <v/>
      </c>
      <c r="F4289" t="inlineStr">
        <is>
          <t>ROKU</t>
        </is>
      </c>
      <c r="G4289" t="n">
        <v>2</v>
      </c>
      <c r="H4289" t="n">
        <v>-515.4407199999999</v>
      </c>
      <c r="I4289">
        <f>-H2797/G2797</f>
        <v/>
      </c>
      <c r="J4289" s="16" t="n">
        <v>44606</v>
      </c>
      <c r="K4289">
        <f>+OPERAC[[#This Row],[cantidad]]</f>
        <v/>
      </c>
      <c r="L4289">
        <f>+OPERAC[[#This Row],[cantidad venta]]*160.574</f>
        <v/>
      </c>
    </row>
    <row r="4290">
      <c r="A4290" t="n">
        <v>16795</v>
      </c>
      <c r="B4290" s="16" t="n">
        <v>44543</v>
      </c>
      <c r="C4290" t="inlineStr">
        <is>
          <t>VTA</t>
        </is>
      </c>
      <c r="D4290" t="n">
        <v>39</v>
      </c>
      <c r="E4290">
        <f>IF(D783&gt;0,VLOOKUP(OPERAC[[#This Row],[COD CART]],[1]!MatrizCortoLargoCyl[#All],3,0),"")</f>
        <v/>
      </c>
      <c r="F4290" t="inlineStr">
        <is>
          <t>NKE/V/145,00/07-01-22</t>
        </is>
      </c>
      <c r="G4290" t="n">
        <v>-300</v>
      </c>
      <c r="H4290" t="n">
        <v>296.478</v>
      </c>
      <c r="I4290">
        <f>-H783/G783</f>
        <v/>
      </c>
      <c r="J4290" s="16" t="n">
        <v>44566</v>
      </c>
      <c r="K4290" t="n">
        <v>-300</v>
      </c>
      <c r="L4290" t="n">
        <v>-6.048</v>
      </c>
    </row>
    <row r="4291">
      <c r="A4291" t="n">
        <v>16795</v>
      </c>
      <c r="B4291" s="16" t="n">
        <v>44547</v>
      </c>
      <c r="C4291" t="inlineStr">
        <is>
          <t>VTA</t>
        </is>
      </c>
      <c r="D4291" t="n">
        <v>39</v>
      </c>
      <c r="E4291">
        <f>IF(D99&gt;0,VLOOKUP(OPERAC[[#This Row],[COD CART]],[1]!MatrizCortoLargoCyl[#All],3,0),"")</f>
        <v/>
      </c>
      <c r="F4291" t="inlineStr">
        <is>
          <t>TLRY/V/8,00/18-02-22</t>
        </is>
      </c>
      <c r="G4291" t="n">
        <v>-2500</v>
      </c>
      <c r="H4291" t="n">
        <v>3459.4775</v>
      </c>
      <c r="I4291">
        <f>-H99/G99</f>
        <v/>
      </c>
      <c r="J4291" s="16" t="n">
        <v>44601</v>
      </c>
      <c r="K4291" t="n">
        <v>-2500</v>
      </c>
      <c r="L4291">
        <f>1.38*OPERAC[[#This Row],[cantidad venta]]</f>
        <v/>
      </c>
    </row>
    <row r="4292">
      <c r="A4292" t="n">
        <v>16795</v>
      </c>
      <c r="B4292" s="16" t="n">
        <v>44547</v>
      </c>
      <c r="C4292" t="inlineStr">
        <is>
          <t>VTA</t>
        </is>
      </c>
      <c r="D4292" t="n">
        <v>39</v>
      </c>
      <c r="E4292">
        <f>IF(D458&gt;0,VLOOKUP(OPERAC[[#This Row],[COD CART]],[1]!MatrizCortoLargoCyl[#All],3,0),"")</f>
        <v/>
      </c>
      <c r="F4292" t="inlineStr">
        <is>
          <t>INO/V/7,00/21-01-22</t>
        </is>
      </c>
      <c r="G4292" t="n">
        <v>-1100</v>
      </c>
      <c r="H4292" t="n">
        <v>1001.484</v>
      </c>
      <c r="I4292">
        <f>-H458/G458</f>
        <v/>
      </c>
      <c r="J4292" s="16" t="n">
        <v>44580</v>
      </c>
      <c r="K4292">
        <f>+OPERAC[[#This Row],[cantidad]]</f>
        <v/>
      </c>
      <c r="L4292">
        <f>-OPERAC[[#This Row],[importe]]</f>
        <v/>
      </c>
    </row>
    <row r="4293">
      <c r="A4293" t="n">
        <v>16795</v>
      </c>
      <c r="B4293" s="16" t="n">
        <v>44547</v>
      </c>
      <c r="C4293" t="inlineStr">
        <is>
          <t>VTA</t>
        </is>
      </c>
      <c r="D4293" t="n">
        <v>32</v>
      </c>
      <c r="E4293">
        <f>IF(D5265&gt;0,VLOOKUP(OPERAC[[#This Row],[COD CART]],[1]!MatrizCortoLargoCyl[#All],3,0),"")</f>
        <v/>
      </c>
      <c r="F4293" t="inlineStr">
        <is>
          <t>ARLO/CYL/9,00/18-02-22</t>
        </is>
      </c>
      <c r="G4293" t="n">
        <v>200</v>
      </c>
      <c r="H4293">
        <f>-1733.48+29.76</f>
        <v/>
      </c>
      <c r="I4293">
        <f>-H5265/G5265</f>
        <v/>
      </c>
      <c r="J4293" s="16" t="n">
        <v>44607</v>
      </c>
      <c r="K4293" t="n">
        <v>200</v>
      </c>
      <c r="L4293" t="n">
        <v>1751.065</v>
      </c>
    </row>
    <row r="4294">
      <c r="A4294" t="n">
        <v>16795</v>
      </c>
      <c r="B4294" s="16" t="n">
        <v>44550</v>
      </c>
      <c r="C4294" t="inlineStr">
        <is>
          <t>CPR</t>
        </is>
      </c>
      <c r="D4294" t="n">
        <v>40</v>
      </c>
      <c r="E4294">
        <f>IF(D4892&gt;0,VLOOKUP(OPERAC[[#This Row],[COD CART]],[1]!MatrizCortoLargoCyl[#All],3,0),"")</f>
        <v/>
      </c>
      <c r="F4294" t="inlineStr">
        <is>
          <t>SMH</t>
        </is>
      </c>
      <c r="G4294" t="n">
        <v>5</v>
      </c>
      <c r="H4294" t="n">
        <v>-1464.0326</v>
      </c>
      <c r="I4294">
        <f>-H4892/G4892</f>
        <v/>
      </c>
      <c r="J4294" s="16" t="n">
        <v>44574</v>
      </c>
      <c r="K4294">
        <f>+OPERAC[[#This Row],[cantidad]]</f>
        <v/>
      </c>
      <c r="L4294">
        <f>+OPERAC[[#This Row],[cantidad venta]]*306.843</f>
        <v/>
      </c>
    </row>
    <row r="4295">
      <c r="A4295" t="n">
        <v>16795</v>
      </c>
      <c r="B4295" s="16" t="n">
        <v>44552</v>
      </c>
      <c r="C4295" t="inlineStr">
        <is>
          <t>CPR</t>
        </is>
      </c>
      <c r="D4295" t="n">
        <v>32</v>
      </c>
      <c r="E4295">
        <f>IF(D3476&gt;0,VLOOKUP(OPERAC[[#This Row],[COD CART]],[1]!MatrizCortoLargoCyl[#All],3,0),"")</f>
        <v/>
      </c>
      <c r="F4295" t="inlineStr">
        <is>
          <t>HMY/CYL/4,00/21-01-22</t>
        </is>
      </c>
      <c r="G4295" t="n">
        <v>200</v>
      </c>
      <c r="H4295">
        <f>-3.8*OPERAC[[#This Row],[cantidad]]</f>
        <v/>
      </c>
      <c r="I4295">
        <f>-H3476/G3476</f>
        <v/>
      </c>
      <c r="J4295" s="16" t="n">
        <v>44580</v>
      </c>
      <c r="K4295" t="n">
        <v>200</v>
      </c>
      <c r="L4295" t="n">
        <v>787.86</v>
      </c>
    </row>
    <row r="4296">
      <c r="A4296" t="n">
        <v>16795</v>
      </c>
      <c r="B4296" s="16" t="n">
        <v>44553</v>
      </c>
      <c r="C4296" t="inlineStr">
        <is>
          <t>VTA</t>
        </is>
      </c>
      <c r="D4296" t="n">
        <v>40</v>
      </c>
      <c r="E4296">
        <f>IF(D1814&gt;0,VLOOKUP(OPERAC[[#This Row],[COD CART]],[1]!MatrizCortoLargoCyl[#All],3,0),"")</f>
        <v/>
      </c>
      <c r="F4296" t="inlineStr">
        <is>
          <t>ON</t>
        </is>
      </c>
      <c r="G4296" t="n">
        <v>4</v>
      </c>
      <c r="H4296" t="n">
        <v>-268.4544319999999</v>
      </c>
      <c r="I4296">
        <f>-H1814/G1814</f>
        <v/>
      </c>
      <c r="J4296" s="16" t="n">
        <v>44606</v>
      </c>
      <c r="K4296">
        <f>+OPERAC[[#This Row],[cantidad]]</f>
        <v/>
      </c>
      <c r="L4296">
        <f>+OPERAC[[#This Row],[cantidad venta]]*58.449</f>
        <v/>
      </c>
    </row>
    <row r="4297">
      <c r="A4297" t="n">
        <v>16795</v>
      </c>
      <c r="B4297" s="16" t="n">
        <v>44571</v>
      </c>
      <c r="C4297" t="inlineStr">
        <is>
          <t>VTA</t>
        </is>
      </c>
      <c r="D4297" t="n">
        <v>39</v>
      </c>
      <c r="E4297">
        <f>IF(D263&gt;0,VLOOKUP(OPERAC[[#This Row],[COD CART]],[1]!MatrizCortoLargoCyl[#All],3,0),"")</f>
        <v/>
      </c>
      <c r="F4297" t="inlineStr">
        <is>
          <t>TSLA/V/870,00/21-01-22</t>
        </is>
      </c>
      <c r="G4297" t="n">
        <v>-300</v>
      </c>
      <c r="H4297" t="n">
        <v>1725.2811</v>
      </c>
      <c r="I4297">
        <f>-H263/G263</f>
        <v/>
      </c>
      <c r="J4297" s="16" t="n">
        <v>44574</v>
      </c>
      <c r="K4297" t="n">
        <v>-300</v>
      </c>
      <c r="L4297" t="n">
        <v>-499.7439</v>
      </c>
    </row>
    <row r="4298">
      <c r="A4298" t="n">
        <v>16795</v>
      </c>
      <c r="B4298" s="16" t="n">
        <v>44574</v>
      </c>
      <c r="C4298" t="inlineStr">
        <is>
          <t>VTA</t>
        </is>
      </c>
      <c r="D4298" t="n">
        <v>39</v>
      </c>
      <c r="E4298">
        <f>IF(D644&gt;0,VLOOKUP(OPERAC[[#This Row],[COD CART]],[1]!MatrizCortoLargoCyl[#All],3,0),"")</f>
        <v/>
      </c>
      <c r="F4298" t="inlineStr">
        <is>
          <t>TSLA/V/900,00/21-01-22</t>
        </is>
      </c>
      <c r="G4298" t="n">
        <v>-200</v>
      </c>
      <c r="H4298" t="n">
        <v>535.1504</v>
      </c>
      <c r="I4298">
        <f>-H644/G644</f>
        <v/>
      </c>
      <c r="J4298" s="16" t="n">
        <v>44582</v>
      </c>
      <c r="K4298">
        <f>+OPERAC[[#This Row],[cantidad]]</f>
        <v/>
      </c>
      <c r="L4298" t="n">
        <v>0</v>
      </c>
    </row>
    <row r="4299">
      <c r="A4299" t="n">
        <v>16795</v>
      </c>
      <c r="B4299" s="16" t="n">
        <v>44575</v>
      </c>
      <c r="C4299" t="inlineStr">
        <is>
          <t>VTA</t>
        </is>
      </c>
      <c r="D4299" t="n">
        <v>40</v>
      </c>
      <c r="E4299">
        <f>IF(D5009&gt;0,VLOOKUP(OPERAC[[#This Row],[COD CART]],[1]!MatrizCortoLargoCyl[#All],3,0),"")</f>
        <v/>
      </c>
      <c r="F4299" t="inlineStr">
        <is>
          <t>GBTC</t>
        </is>
      </c>
      <c r="G4299" t="n">
        <v>50</v>
      </c>
      <c r="H4299" t="n">
        <v>-1540.474</v>
      </c>
      <c r="I4299">
        <f>-H5009/G5009</f>
        <v/>
      </c>
      <c r="J4299" s="16" t="n">
        <v>44651</v>
      </c>
      <c r="K4299">
        <f>+OPERAC[[#This Row],[cantidad]]</f>
        <v/>
      </c>
      <c r="L4299">
        <f>+OPERAC[[#This Row],[cantidad venta]]*31.332</f>
        <v/>
      </c>
    </row>
    <row r="4300">
      <c r="A4300" t="n">
        <v>16795</v>
      </c>
      <c r="B4300" s="16" t="n">
        <v>44579</v>
      </c>
      <c r="C4300" t="inlineStr">
        <is>
          <t>VTA</t>
        </is>
      </c>
      <c r="D4300" t="n">
        <v>39</v>
      </c>
      <c r="E4300">
        <f>IF(D419&gt;0,VLOOKUP(OPERAC[[#This Row],[COD CART]],[1]!MatrizCortoLargoCyl[#All],3,0),"")</f>
        <v/>
      </c>
      <c r="F4300" t="inlineStr">
        <is>
          <t>SOLO/V/3,50/25-02-22</t>
        </is>
      </c>
      <c r="G4300" t="n">
        <v>-800</v>
      </c>
      <c r="H4300" t="n">
        <v>1105.48592</v>
      </c>
      <c r="I4300">
        <f>-H419/G419</f>
        <v/>
      </c>
      <c r="J4300" s="16" t="n">
        <v>44608</v>
      </c>
      <c r="K4300">
        <f>+OPERAC[[#This Row],[cantidad]]</f>
        <v/>
      </c>
      <c r="L4300" t="n">
        <v>-1116.032</v>
      </c>
    </row>
    <row r="4301">
      <c r="A4301" t="n">
        <v>16795</v>
      </c>
      <c r="B4301" s="16" t="n">
        <v>44580</v>
      </c>
      <c r="C4301" t="inlineStr">
        <is>
          <t>VTA</t>
        </is>
      </c>
      <c r="D4301" t="n">
        <v>39</v>
      </c>
      <c r="E4301">
        <f>IF(D131&gt;0,VLOOKUP(OPERAC[[#This Row],[COD CART]],[1]!MatrizCortoLargoCyl[#All],3,0),"")</f>
        <v/>
      </c>
      <c r="F4301" t="inlineStr">
        <is>
          <t>INO/V/7,00/18-02-22</t>
        </is>
      </c>
      <c r="G4301" t="n">
        <v>-1100</v>
      </c>
      <c r="H4301" t="n">
        <v>3047.715</v>
      </c>
      <c r="I4301">
        <f>-H131/G131</f>
        <v/>
      </c>
      <c r="J4301" s="16" t="n">
        <v>44600</v>
      </c>
      <c r="K4301" t="n">
        <v>-1100</v>
      </c>
      <c r="L4301" t="n">
        <v>-3047</v>
      </c>
    </row>
    <row r="4302">
      <c r="A4302" t="n">
        <v>16795</v>
      </c>
      <c r="B4302" s="16" t="n">
        <v>44581</v>
      </c>
      <c r="C4302" t="inlineStr">
        <is>
          <t>CPR</t>
        </is>
      </c>
      <c r="D4302" t="n">
        <v>32</v>
      </c>
      <c r="E4302">
        <f>IF(D5801&gt;0,VLOOKUP(OPERAC[[#This Row],[COD CART]],[1]!MatrizCortoLargoCyl[#All],3,0),"")</f>
        <v/>
      </c>
      <c r="F4302" t="inlineStr">
        <is>
          <t>HMY/CYL/4,00/18-02-22</t>
        </is>
      </c>
      <c r="G4302" t="n">
        <v>700</v>
      </c>
      <c r="H4302" t="n">
        <v>-2712.275972</v>
      </c>
      <c r="I4302">
        <f>-H5801/G5801</f>
        <v/>
      </c>
      <c r="J4302" s="16" t="n">
        <v>44610</v>
      </c>
      <c r="K4302">
        <f>+OPERAC[[#This Row],[cantidad]]</f>
        <v/>
      </c>
      <c r="L4302">
        <f>+OPERAC[[#This Row],[cantidad venta]]*3.8323</f>
        <v/>
      </c>
    </row>
    <row r="4303">
      <c r="A4303" t="n">
        <v>16795</v>
      </c>
      <c r="B4303" s="16" t="n">
        <v>44581</v>
      </c>
      <c r="C4303" t="inlineStr">
        <is>
          <t>VTA</t>
        </is>
      </c>
      <c r="D4303" t="n">
        <v>39</v>
      </c>
      <c r="E4303">
        <f>IF(D365&gt;0,VLOOKUP(OPERAC[[#This Row],[COD CART]],[1]!MatrizCortoLargoCyl[#All],3,0),"")</f>
        <v/>
      </c>
      <c r="F4303" t="inlineStr">
        <is>
          <t>ACB/V/5,50/25-02-22</t>
        </is>
      </c>
      <c r="G4303" t="n">
        <v>-1500</v>
      </c>
      <c r="H4303" t="n">
        <v>1230.93075</v>
      </c>
      <c r="I4303">
        <f>-H365/G365</f>
        <v/>
      </c>
      <c r="J4303" s="16" t="n">
        <v>44614</v>
      </c>
      <c r="K4303" t="n">
        <v>-1500</v>
      </c>
      <c r="L4303" t="n">
        <v>-1230</v>
      </c>
    </row>
    <row r="4304">
      <c r="A4304" t="n">
        <v>16795</v>
      </c>
      <c r="B4304" s="16" t="n">
        <v>44582</v>
      </c>
      <c r="C4304" t="inlineStr">
        <is>
          <t>CPR</t>
        </is>
      </c>
      <c r="D4304" t="n">
        <v>40</v>
      </c>
      <c r="E4304">
        <f>IF(D4472&gt;0,VLOOKUP(OPERAC[[#This Row],[COD CART]],[1]!MatrizCortoLargoCyl[#All],3,0),"")</f>
        <v/>
      </c>
      <c r="F4304" t="inlineStr">
        <is>
          <t>NFLX</t>
        </is>
      </c>
      <c r="G4304" t="n">
        <v>3</v>
      </c>
      <c r="H4304" t="n">
        <v>-1171.9113</v>
      </c>
      <c r="I4304">
        <f>-H4472/G4472</f>
        <v/>
      </c>
      <c r="J4304" s="16" t="n">
        <v>44593</v>
      </c>
      <c r="K4304">
        <f>+OPERAC[[#This Row],[cantidad]]</f>
        <v/>
      </c>
      <c r="L4304">
        <f>+OPERAC[[#This Row],[cantidad venta]]*448.602</f>
        <v/>
      </c>
    </row>
    <row r="4305">
      <c r="A4305" t="n">
        <v>16795</v>
      </c>
      <c r="B4305" s="16" t="n">
        <v>44586</v>
      </c>
      <c r="C4305" t="inlineStr">
        <is>
          <t>CPR</t>
        </is>
      </c>
      <c r="D4305" t="n">
        <v>43</v>
      </c>
      <c r="E4305">
        <f>IF(D4257&gt;0,VLOOKUP(OPERAC[[#This Row],[COD CART]],[1]!MatrizCortoLargoCyl[#All],3,0),"")</f>
        <v/>
      </c>
      <c r="F4305" t="inlineStr">
        <is>
          <t>GMBL/CYL-PUT/2,50/20-01-23</t>
        </is>
      </c>
      <c r="G4305" t="n">
        <v>1000</v>
      </c>
      <c r="H4305" t="n">
        <v>-1016.0423</v>
      </c>
      <c r="I4305">
        <f>-H4257/G4257</f>
        <v/>
      </c>
    </row>
    <row r="4306">
      <c r="A4306" t="n">
        <v>16795</v>
      </c>
      <c r="B4306" s="16" t="n">
        <v>44587</v>
      </c>
      <c r="C4306" t="inlineStr">
        <is>
          <t>CPR</t>
        </is>
      </c>
      <c r="D4306" t="n">
        <v>40</v>
      </c>
      <c r="E4306">
        <f>IF(D4984&gt;0,VLOOKUP(OPERAC[[#This Row],[COD CART]],[1]!MatrizCortoLargoCyl[#All],3,0),"")</f>
        <v/>
      </c>
      <c r="F4306" t="inlineStr">
        <is>
          <t>MSFT</t>
        </is>
      </c>
      <c r="G4306" t="n">
        <v>5</v>
      </c>
      <c r="H4306" t="n">
        <v>-1517.0563</v>
      </c>
      <c r="I4306">
        <f>-H4984/G4984</f>
        <v/>
      </c>
      <c r="J4306" s="16" t="n">
        <v>44606</v>
      </c>
      <c r="K4306">
        <f>+OPERAC[[#This Row],[cantidad]]</f>
        <v/>
      </c>
      <c r="L4306">
        <f>+OPERAC[[#This Row],[cantidad venta]]*290.091</f>
        <v/>
      </c>
    </row>
    <row r="4307">
      <c r="A4307" t="n">
        <v>16795</v>
      </c>
      <c r="B4307" s="16" t="n">
        <v>44587</v>
      </c>
      <c r="C4307" t="inlineStr">
        <is>
          <t>VTA</t>
        </is>
      </c>
      <c r="D4307" t="n">
        <v>40</v>
      </c>
      <c r="E4307">
        <f>IF(D5194&gt;0,VLOOKUP(OPERAC[[#This Row],[COD CART]],[1]!MatrizCortoLargoCyl[#All],3,0),"")</f>
        <v/>
      </c>
      <c r="F4307" t="inlineStr">
        <is>
          <t>AAPL</t>
        </is>
      </c>
      <c r="G4307" t="n">
        <v>10</v>
      </c>
      <c r="H4307" t="n">
        <v>-1640.5442</v>
      </c>
      <c r="I4307">
        <f>-H5194/G5194</f>
        <v/>
      </c>
      <c r="J4307" s="16" t="n">
        <v>44601</v>
      </c>
      <c r="K4307" t="n">
        <v>10</v>
      </c>
      <c r="L4307">
        <f>175.66*OPERAC[[#This Row],[cantidad venta]]</f>
        <v/>
      </c>
    </row>
    <row r="4308">
      <c r="A4308" t="n">
        <v>16795</v>
      </c>
      <c r="B4308" s="16" t="n">
        <v>44594</v>
      </c>
      <c r="C4308" t="inlineStr">
        <is>
          <t>CPR</t>
        </is>
      </c>
      <c r="D4308" t="n">
        <v>40</v>
      </c>
      <c r="E4308">
        <f>IF(D4230&gt;0,VLOOKUP(OPERAC[[#This Row],[COD CART]],[1]!MatrizCortoLargoCyl[#All],3,0),"")</f>
        <v/>
      </c>
      <c r="F4308" t="inlineStr">
        <is>
          <t>EDU</t>
        </is>
      </c>
      <c r="G4308" t="n">
        <v>500</v>
      </c>
      <c r="H4308" t="n">
        <v>-1008</v>
      </c>
      <c r="I4308">
        <f>-H4230/G4230</f>
        <v/>
      </c>
      <c r="J4308" s="16" t="n">
        <v>44601</v>
      </c>
      <c r="K4308" t="n">
        <v>500</v>
      </c>
      <c r="L4308" t="n">
        <v>820</v>
      </c>
    </row>
    <row r="4309">
      <c r="A4309" t="n">
        <v>16795</v>
      </c>
      <c r="B4309" s="16" t="n">
        <v>44599</v>
      </c>
      <c r="C4309" t="inlineStr">
        <is>
          <t>CPR</t>
        </is>
      </c>
      <c r="D4309" t="n">
        <v>40</v>
      </c>
      <c r="E4309">
        <f>IF(D4513&gt;0,VLOOKUP(OPERAC[[#This Row],[COD CART]],[1]!MatrizCortoLargoCyl[#All],3,0),"")</f>
        <v/>
      </c>
      <c r="F4309" t="inlineStr">
        <is>
          <t>FB</t>
        </is>
      </c>
      <c r="G4309" t="n">
        <v>5</v>
      </c>
      <c r="H4309" t="n">
        <v>-1192.3</v>
      </c>
      <c r="I4309">
        <f>-H4513/G4513</f>
        <v/>
      </c>
      <c r="J4309" s="16" t="n">
        <v>44616</v>
      </c>
      <c r="K4309">
        <f>+OPERAC[[#This Row],[cantidad]]</f>
        <v/>
      </c>
      <c r="L4309">
        <f>200.299*OPERAC[[#This Row],[cantidad venta]]</f>
        <v/>
      </c>
    </row>
    <row r="4310">
      <c r="A4310" t="n">
        <v>16795</v>
      </c>
      <c r="B4310" s="16" t="n">
        <v>44599</v>
      </c>
      <c r="C4310" t="inlineStr">
        <is>
          <t>VTA</t>
        </is>
      </c>
      <c r="D4310" t="n">
        <v>39</v>
      </c>
      <c r="E4310">
        <f>IF(D57&gt;0,VLOOKUP(OPERAC[[#This Row],[COD CART]],[1]!MatrizCortoLargoCyl[#All],3,0),"")</f>
        <v/>
      </c>
      <c r="F4310" t="inlineStr">
        <is>
          <t>MELI/V/850,00/18-02/22</t>
        </is>
      </c>
      <c r="G4310" t="n">
        <v>-700</v>
      </c>
      <c r="H4310" t="n">
        <v>4860</v>
      </c>
      <c r="I4310">
        <f>-H57/G57</f>
        <v/>
      </c>
      <c r="J4310" s="16" t="n">
        <v>44610</v>
      </c>
      <c r="K4310" t="n">
        <v>-700</v>
      </c>
      <c r="L4310" t="n">
        <v>0</v>
      </c>
    </row>
    <row r="4311">
      <c r="A4311" t="n">
        <v>16795</v>
      </c>
      <c r="B4311" s="16" t="n">
        <v>44600</v>
      </c>
      <c r="C4311" t="inlineStr">
        <is>
          <t>VTA</t>
        </is>
      </c>
      <c r="D4311" t="n">
        <v>39</v>
      </c>
      <c r="E4311">
        <f>IF(D1063&gt;0,VLOOKUP(OPERAC[[#This Row],[COD CART]],[1]!MatrizCortoLargoCyl[#All],3,0),"")</f>
        <v/>
      </c>
      <c r="F4311" t="inlineStr">
        <is>
          <t>DDD/V/17,00/20-01-23</t>
        </is>
      </c>
      <c r="G4311" t="n">
        <v>-10</v>
      </c>
      <c r="H4311">
        <f>-3.8*OPERAC[[#This Row],[cantidad]]</f>
        <v/>
      </c>
      <c r="I4311">
        <f>-H1063/G1063</f>
        <v/>
      </c>
    </row>
    <row r="4312">
      <c r="A4312" t="n">
        <v>16795</v>
      </c>
      <c r="B4312" s="16" t="n">
        <v>44601</v>
      </c>
      <c r="C4312" t="inlineStr">
        <is>
          <t>VTA</t>
        </is>
      </c>
      <c r="D4312" t="n">
        <v>39</v>
      </c>
      <c r="E4312">
        <f>IF(D1130&gt;0,VLOOKUP(OPERAC[[#This Row],[COD CART]],[1]!MatrizCortoLargoCyl[#All],3,0),"")</f>
        <v/>
      </c>
      <c r="F4312" t="inlineStr">
        <is>
          <t>ACB/V/5,00/16-09-22</t>
        </is>
      </c>
      <c r="G4312" t="n">
        <v>-13</v>
      </c>
      <c r="H4312">
        <f>-1.56*OPERAC[[#This Row],[cantidad]]</f>
        <v/>
      </c>
      <c r="I4312">
        <f>-H1130/G1130</f>
        <v/>
      </c>
    </row>
    <row r="4313">
      <c r="A4313" t="n">
        <v>16795</v>
      </c>
      <c r="B4313" s="16" t="n">
        <v>44601</v>
      </c>
      <c r="C4313" t="inlineStr">
        <is>
          <t>VTA</t>
        </is>
      </c>
      <c r="D4313" t="n">
        <v>39</v>
      </c>
      <c r="E4313">
        <f>IF(D1164&gt;0,VLOOKUP(OPERAC[[#This Row],[COD CART]],[1]!MatrizCortoLargoCyl[#All],3,0),"")</f>
        <v/>
      </c>
      <c r="F4313" t="inlineStr">
        <is>
          <t>TLRY/V/8,00/14-04-22</t>
        </is>
      </c>
      <c r="G4313" t="n">
        <v>-7</v>
      </c>
      <c r="H4313">
        <f>-2.1*OPERAC[[#This Row],[cantidad]]</f>
        <v/>
      </c>
      <c r="I4313">
        <f>-H1164/G1164</f>
        <v/>
      </c>
      <c r="J4313" s="16" t="n">
        <v>44645</v>
      </c>
      <c r="K4313" t="n">
        <v>-7</v>
      </c>
      <c r="L4313" t="n">
        <v>-8.37501</v>
      </c>
    </row>
    <row r="4314">
      <c r="A4314" t="n">
        <v>16795</v>
      </c>
      <c r="B4314" s="16" t="n">
        <v>44602</v>
      </c>
      <c r="C4314" t="inlineStr">
        <is>
          <t>CPR</t>
        </is>
      </c>
      <c r="D4314" t="n">
        <v>32</v>
      </c>
      <c r="E4314">
        <f>IF(D5779&gt;0,VLOOKUP(OPERAC[[#This Row],[COD CART]],[1]!MatrizCortoLargoCyl[#All],3,0),"")</f>
        <v/>
      </c>
      <c r="F4314" t="inlineStr">
        <is>
          <t>BIOX</t>
        </is>
      </c>
      <c r="G4314" t="n">
        <v>200</v>
      </c>
      <c r="H4314">
        <f>-2672+29.76</f>
        <v/>
      </c>
      <c r="I4314">
        <f>-H5779/G5779</f>
        <v/>
      </c>
      <c r="J4314" s="16" t="n">
        <v>44680</v>
      </c>
      <c r="K4314">
        <f>+OPERAC[[#This Row],[cantidad]]</f>
        <v/>
      </c>
      <c r="L4314">
        <f>13.688*OPERAC[[#This Row],[cantidad venta]]</f>
        <v/>
      </c>
    </row>
    <row r="4315">
      <c r="A4315" t="n">
        <v>16795</v>
      </c>
      <c r="B4315" s="16" t="n">
        <v>44602</v>
      </c>
      <c r="C4315" t="inlineStr">
        <is>
          <t>VTA</t>
        </is>
      </c>
      <c r="D4315" t="n">
        <v>32</v>
      </c>
      <c r="E4315">
        <f>IF(D3837&gt;0,VLOOKUP(OPERAC[[#This Row],[COD CART]],[1]!MatrizCortoLargoCyl[#All],3,0),"")</f>
        <v/>
      </c>
      <c r="F4315" t="inlineStr">
        <is>
          <t>TEVA</t>
        </is>
      </c>
      <c r="G4315" t="n">
        <v>100</v>
      </c>
      <c r="H4315">
        <f>-8.59*OPERAC[[#This Row],[cantidad]]</f>
        <v/>
      </c>
      <c r="I4315">
        <f>-H3837/G3837</f>
        <v/>
      </c>
      <c r="J4315" s="16" t="n">
        <v>44643</v>
      </c>
      <c r="K4315">
        <f>+OPERAC[[#This Row],[cantidad]]</f>
        <v/>
      </c>
      <c r="L4315">
        <f>+OPERAC[[#This Row],[cantidad venta]]*8.051</f>
        <v/>
      </c>
    </row>
    <row r="4316">
      <c r="A4316" t="n">
        <v>16795</v>
      </c>
      <c r="B4316" s="16" t="n">
        <v>44608</v>
      </c>
      <c r="C4316" t="inlineStr">
        <is>
          <t>CPR</t>
        </is>
      </c>
      <c r="D4316" t="n">
        <v>40</v>
      </c>
      <c r="E4316">
        <f>IF(D4700&gt;0,VLOOKUP(OPERAC[[#This Row],[COD CART]],[1]!MatrizCortoLargoCyl[#All],3,0),"")</f>
        <v/>
      </c>
      <c r="F4316" t="inlineStr">
        <is>
          <t>NVDA</t>
        </is>
      </c>
      <c r="G4316" t="n">
        <v>5</v>
      </c>
      <c r="H4316" t="n">
        <v>-1317.57</v>
      </c>
      <c r="I4316">
        <f>-H4700/G4700</f>
        <v/>
      </c>
      <c r="J4316" s="16" t="n">
        <v>44616</v>
      </c>
      <c r="K4316">
        <f>+OPERAC[[#This Row],[cantidad]]</f>
        <v/>
      </c>
      <c r="L4316">
        <f>+OPERAC[[#This Row],[cantidad venta]]*224.117</f>
        <v/>
      </c>
    </row>
    <row r="4317">
      <c r="A4317" t="n">
        <v>16795</v>
      </c>
      <c r="B4317" s="16" t="n">
        <v>44608</v>
      </c>
      <c r="C4317" t="inlineStr">
        <is>
          <t>VTA</t>
        </is>
      </c>
      <c r="D4317" t="n">
        <v>39</v>
      </c>
      <c r="E4317">
        <f>IF(D571&gt;0,VLOOKUP(OPERAC[[#This Row],[COD CART]],[1]!MatrizCortoLargoCyl[#All],3,0),"")</f>
        <v/>
      </c>
      <c r="F4317" t="inlineStr">
        <is>
          <t>SOLO/V/3,00/18-03-22</t>
        </is>
      </c>
      <c r="G4317" t="n">
        <v>-800</v>
      </c>
      <c r="H4317" t="n">
        <v>684.032</v>
      </c>
      <c r="I4317">
        <f>-H571/G571</f>
        <v/>
      </c>
      <c r="J4317" s="16" t="n">
        <v>44634</v>
      </c>
      <c r="K4317" t="n">
        <v>-800</v>
      </c>
      <c r="L4317" t="n">
        <v>-962.808</v>
      </c>
    </row>
    <row r="4318">
      <c r="A4318" t="n">
        <v>16795</v>
      </c>
      <c r="B4318" s="16" t="n">
        <v>44608</v>
      </c>
      <c r="C4318" t="inlineStr">
        <is>
          <t>VTA</t>
        </is>
      </c>
      <c r="D4318" t="n">
        <v>32</v>
      </c>
      <c r="E4318">
        <f>IF(D5114&gt;0,VLOOKUP(OPERAC[[#This Row],[COD CART]],[1]!MatrizCortoLargoCyl[#All],3,0),"")</f>
        <v/>
      </c>
      <c r="F4318" t="inlineStr">
        <is>
          <t>DDD/CYL/17,00/01-04-22</t>
        </is>
      </c>
      <c r="G4318" t="n">
        <v>100</v>
      </c>
      <c r="H4318">
        <f>-1629.4234+19.7+16.45</f>
        <v/>
      </c>
      <c r="I4318">
        <f>-H5114/G5114</f>
        <v/>
      </c>
      <c r="J4318" s="16" t="n">
        <v>44649</v>
      </c>
      <c r="K4318" t="n">
        <v>100</v>
      </c>
      <c r="L4318" t="n">
        <v>1661.98</v>
      </c>
    </row>
    <row r="4319">
      <c r="A4319" t="n">
        <v>16795</v>
      </c>
      <c r="B4319" s="16" t="n">
        <v>44614</v>
      </c>
      <c r="C4319" t="inlineStr">
        <is>
          <t>VTA</t>
        </is>
      </c>
      <c r="D4319" t="n">
        <v>39</v>
      </c>
      <c r="E4319">
        <f>IF(D1097&gt;0,VLOOKUP(OPERAC[[#This Row],[COD CART]],[1]!MatrizCortoLargoCyl[#All],3,0),"")</f>
        <v/>
      </c>
      <c r="F4319" t="inlineStr">
        <is>
          <t>NFLX/V/200,00/19-01-24</t>
        </is>
      </c>
      <c r="G4319" t="n">
        <v>-2</v>
      </c>
      <c r="H4319" t="n">
        <v>24.99</v>
      </c>
      <c r="I4319">
        <f>-H1097/G1097</f>
        <v/>
      </c>
    </row>
    <row r="4320">
      <c r="A4320" t="n">
        <v>16795</v>
      </c>
      <c r="B4320" s="16" t="n">
        <v>44616</v>
      </c>
      <c r="C4320" t="inlineStr">
        <is>
          <t>CPR</t>
        </is>
      </c>
      <c r="D4320" t="n">
        <v>32</v>
      </c>
      <c r="E4320">
        <f>IF(D3296&gt;0,VLOOKUP(OPERAC[[#This Row],[COD CART]],[1]!MatrizCortoLargoCyl[#All],3,0),"")</f>
        <v/>
      </c>
      <c r="F4320" t="inlineStr">
        <is>
          <t>UUUU/CYL/8,00/18-03-22</t>
        </is>
      </c>
      <c r="G4320" t="n">
        <v>100</v>
      </c>
      <c r="H4320" t="n">
        <v>-683.826</v>
      </c>
      <c r="I4320">
        <f>-H3296/G3296</f>
        <v/>
      </c>
      <c r="J4320" s="16" t="n">
        <v>44636</v>
      </c>
      <c r="K4320">
        <f>+OPERAC[[#This Row],[cantidad]]</f>
        <v/>
      </c>
      <c r="L4320" t="n">
        <v>767.46</v>
      </c>
    </row>
    <row r="4321">
      <c r="A4321" t="n">
        <v>16795</v>
      </c>
      <c r="B4321" s="16" t="n">
        <v>44616</v>
      </c>
      <c r="C4321" t="inlineStr">
        <is>
          <t>VTA</t>
        </is>
      </c>
      <c r="D4321" t="n">
        <v>39</v>
      </c>
      <c r="E4321">
        <f>IF(D1118&gt;0,VLOOKUP(OPERAC[[#This Row],[COD CART]],[1]!MatrizCortoLargoCyl[#All],3,0),"")</f>
        <v/>
      </c>
      <c r="F4321" t="inlineStr">
        <is>
          <t>SPWR/V/10,00/19-01-24</t>
        </is>
      </c>
      <c r="G4321" t="n">
        <v>-10</v>
      </c>
      <c r="H4321" t="n">
        <v>21.78</v>
      </c>
      <c r="I4321">
        <f>-H1118/G1118</f>
        <v/>
      </c>
    </row>
    <row r="4322">
      <c r="A4322" t="n">
        <v>16795</v>
      </c>
      <c r="B4322" s="16" t="n">
        <v>44616</v>
      </c>
      <c r="C4322" t="inlineStr">
        <is>
          <t>VTA</t>
        </is>
      </c>
      <c r="D4322" t="n">
        <v>32</v>
      </c>
      <c r="E4322">
        <f>IF(D5572&gt;0,VLOOKUP(OPERAC[[#This Row],[COD CART]],[1]!MatrizCortoLargoCyl[#All],3,0),"")</f>
        <v/>
      </c>
      <c r="F4322" t="inlineStr">
        <is>
          <t>PLTR/CYL/12,00/14-04-22</t>
        </is>
      </c>
      <c r="G4322" t="n">
        <v>200</v>
      </c>
      <c r="H4322" t="n">
        <v>-2105.453</v>
      </c>
      <c r="I4322">
        <f>-H5572/G5572</f>
        <v/>
      </c>
      <c r="J4322" s="16" t="n">
        <v>44643</v>
      </c>
      <c r="K4322" t="n">
        <v>200</v>
      </c>
      <c r="L4322" t="n">
        <v>2293.448</v>
      </c>
    </row>
    <row r="4323">
      <c r="A4323" t="n">
        <v>16795</v>
      </c>
      <c r="B4323" s="16" t="n">
        <v>44643</v>
      </c>
      <c r="C4323" t="inlineStr">
        <is>
          <t>CPR</t>
        </is>
      </c>
      <c r="D4323" t="n">
        <v>32</v>
      </c>
      <c r="E4323">
        <f>IF(D3273&gt;0,VLOOKUP(OPERAC[[#This Row],[COD CART]],[1]!MatrizCortoLargoCyl[#All],3,0),"")</f>
        <v/>
      </c>
      <c r="F4323" t="inlineStr">
        <is>
          <t>CRESY</t>
        </is>
      </c>
      <c r="G4323" t="n">
        <v>100</v>
      </c>
      <c r="H4323" t="n">
        <v>-680.303</v>
      </c>
      <c r="I4323">
        <f>-H3273/G3273</f>
        <v/>
      </c>
      <c r="J4323" s="16" t="n">
        <v>44708</v>
      </c>
      <c r="K4323" t="n">
        <v>100</v>
      </c>
      <c r="L4323" t="n">
        <v>733.71</v>
      </c>
    </row>
    <row r="4324">
      <c r="A4324" t="n">
        <v>16795</v>
      </c>
      <c r="B4324" s="16" t="n">
        <v>44643</v>
      </c>
      <c r="C4324" t="inlineStr">
        <is>
          <t>CPR</t>
        </is>
      </c>
      <c r="D4324" t="n">
        <v>42</v>
      </c>
      <c r="E4324">
        <f>IF(D3626&gt;0,VLOOKUP(OPERAC[[#This Row],[COD CART]],[1]!MatrizCortoLargoCyl[#All],3,0),"")</f>
        <v/>
      </c>
      <c r="F4324" t="inlineStr">
        <is>
          <t>SMH</t>
        </is>
      </c>
      <c r="G4324" t="n">
        <v>3</v>
      </c>
      <c r="H4324" t="n">
        <v>-801.4886939999999</v>
      </c>
      <c r="I4324">
        <f>-H3626/G3626</f>
        <v/>
      </c>
      <c r="J4324" s="16" t="n">
        <v>44663</v>
      </c>
      <c r="K4324">
        <f>+OPERAC[[#This Row],[cantidad]]</f>
        <v/>
      </c>
      <c r="L4324">
        <f>+OPERAC[[#This Row],[cantidad venta]]*238.066</f>
        <v/>
      </c>
    </row>
    <row r="4325">
      <c r="A4325" t="n">
        <v>16795</v>
      </c>
      <c r="B4325" s="16" t="n">
        <v>44643</v>
      </c>
      <c r="C4325" t="inlineStr">
        <is>
          <t>CPR</t>
        </is>
      </c>
      <c r="D4325" t="n">
        <v>42</v>
      </c>
      <c r="E4325">
        <f>IF(D4202&gt;0,VLOOKUP(OPERAC[[#This Row],[COD CART]],[1]!MatrizCortoLargoCyl[#All],3,0),"")</f>
        <v/>
      </c>
      <c r="F4325" t="inlineStr">
        <is>
          <t>JPM</t>
        </is>
      </c>
      <c r="G4325" t="n">
        <v>7</v>
      </c>
      <c r="H4325" t="n">
        <v>-988.72648</v>
      </c>
      <c r="I4325">
        <f>-H4202/G4202</f>
        <v/>
      </c>
      <c r="J4325" s="16" t="n">
        <v>44664</v>
      </c>
      <c r="K4325">
        <f>+OPERAC[[#This Row],[cantidad]]</f>
        <v/>
      </c>
      <c r="L4325">
        <f>+OPERAC[[#This Row],[cantidad venta]]*125.943</f>
        <v/>
      </c>
    </row>
    <row r="4326">
      <c r="A4326" t="n">
        <v>16795</v>
      </c>
      <c r="B4326" s="16" t="n">
        <v>44643</v>
      </c>
      <c r="C4326" t="inlineStr">
        <is>
          <t>VTA</t>
        </is>
      </c>
      <c r="D4326" t="n">
        <v>42</v>
      </c>
      <c r="E4326">
        <f>IF(D3852&gt;0,VLOOKUP(OPERAC[[#This Row],[COD CART]],[1]!MatrizCortoLargoCyl[#All],3,0),"")</f>
        <v/>
      </c>
      <c r="F4326" t="inlineStr">
        <is>
          <t>FB</t>
        </is>
      </c>
      <c r="G4326" t="n">
        <v>4</v>
      </c>
      <c r="H4326" t="n">
        <v>-864.4930400000001</v>
      </c>
      <c r="I4326">
        <f>-H3852/G3852</f>
        <v/>
      </c>
      <c r="J4326" s="16" t="n">
        <v>44671</v>
      </c>
      <c r="K4326">
        <f>+OPERAC[[#This Row],[cantidad]]</f>
        <v/>
      </c>
      <c r="L4326">
        <f>+OPERAC[[#This Row],[cantidad venta]]*213.173</f>
        <v/>
      </c>
    </row>
    <row r="4327">
      <c r="A4327" t="n">
        <v>16795</v>
      </c>
      <c r="B4327" s="16" t="n">
        <v>44645</v>
      </c>
      <c r="C4327" t="inlineStr">
        <is>
          <t>VTA</t>
        </is>
      </c>
      <c r="D4327" t="n">
        <v>39</v>
      </c>
      <c r="E4327">
        <f>IF(D1219&gt;0,VLOOKUP(OPERAC[[#This Row],[COD CART]],[1]!MatrizCortoLargoCyl[#All],3,0),"")</f>
        <v/>
      </c>
      <c r="F4327" t="inlineStr">
        <is>
          <t>TLRY/V/6,00/16-09-22</t>
        </is>
      </c>
      <c r="G4327" t="n">
        <v>-7</v>
      </c>
      <c r="H4327" t="n">
        <v>7.2422</v>
      </c>
      <c r="I4327">
        <f>-H1219/G1219</f>
        <v/>
      </c>
    </row>
    <row r="4328">
      <c r="A4328" t="n">
        <v>16795</v>
      </c>
      <c r="B4328" s="16" t="n">
        <v>44649</v>
      </c>
      <c r="C4328" t="inlineStr">
        <is>
          <t>CPR</t>
        </is>
      </c>
      <c r="D4328" t="n">
        <v>42</v>
      </c>
      <c r="E4328">
        <f>IF(D3393&gt;0,VLOOKUP(OPERAC[[#This Row],[COD CART]],[1]!MatrizCortoLargoCyl[#All],3,0),"")</f>
        <v/>
      </c>
      <c r="F4328" t="inlineStr">
        <is>
          <t>DIS</t>
        </is>
      </c>
      <c r="G4328" t="n">
        <v>5</v>
      </c>
      <c r="H4328" t="n">
        <v>-716.1998</v>
      </c>
      <c r="I4328">
        <f>-H3393/G3393</f>
        <v/>
      </c>
      <c r="J4328" s="16" t="n">
        <v>44671</v>
      </c>
      <c r="K4328">
        <f>+OPERAC[[#This Row],[cantidad]]</f>
        <v/>
      </c>
      <c r="L4328">
        <f>+OPERAC[[#This Row],[cantidad venta]]*123.621</f>
        <v/>
      </c>
    </row>
    <row r="4329">
      <c r="A4329" t="n">
        <v>16795</v>
      </c>
      <c r="B4329" s="16" t="n">
        <v>44649</v>
      </c>
      <c r="C4329" t="inlineStr">
        <is>
          <t>CPR</t>
        </is>
      </c>
      <c r="D4329" t="n">
        <v>42</v>
      </c>
      <c r="E4329">
        <f>IF(D4103&gt;0,VLOOKUP(OPERAC[[#This Row],[COD CART]],[1]!MatrizCortoLargoCyl[#All],3,0),"")</f>
        <v/>
      </c>
      <c r="F4329" t="inlineStr">
        <is>
          <t>MSFT</t>
        </is>
      </c>
      <c r="G4329" t="n">
        <v>3</v>
      </c>
      <c r="H4329" t="n">
        <v>-944.5952000000001</v>
      </c>
      <c r="I4329">
        <f>-H4103/G4103</f>
        <v/>
      </c>
      <c r="J4329" s="16" t="n">
        <v>44662</v>
      </c>
      <c r="K4329">
        <f>+OPERAC[[#This Row],[cantidad]]</f>
        <v/>
      </c>
      <c r="L4329">
        <f>287.546*OPERAC[[#This Row],[cantidad venta]]</f>
        <v/>
      </c>
    </row>
    <row r="4330">
      <c r="A4330" t="n">
        <v>16795</v>
      </c>
      <c r="B4330" s="16" t="n">
        <v>44651</v>
      </c>
      <c r="C4330" t="inlineStr">
        <is>
          <t>VTA</t>
        </is>
      </c>
      <c r="D4330" t="n">
        <v>42</v>
      </c>
      <c r="E4330">
        <f>IF(D5130&gt;0,VLOOKUP(OPERAC[[#This Row],[COD CART]],[1]!MatrizCortoLargoCyl[#All],3,0),"")</f>
        <v/>
      </c>
      <c r="F4330" t="inlineStr">
        <is>
          <t>AMD</t>
        </is>
      </c>
      <c r="G4330" t="n">
        <v>14</v>
      </c>
      <c r="H4330" t="n">
        <v>-1594.58488</v>
      </c>
      <c r="I4330">
        <f>-H5130/G5130</f>
        <v/>
      </c>
      <c r="J4330" s="16" t="n">
        <v>44693</v>
      </c>
      <c r="K4330">
        <f>+OPERAC[[#This Row],[cantidad]]</f>
        <v/>
      </c>
      <c r="L4330">
        <f>+OPERAC[[#This Row],[cantidad venta]]*85.26</f>
        <v/>
      </c>
    </row>
    <row r="4331">
      <c r="A4331" t="n">
        <v>16795</v>
      </c>
      <c r="B4331" s="16" t="n">
        <v>44652</v>
      </c>
      <c r="C4331" t="inlineStr">
        <is>
          <t>VTA</t>
        </is>
      </c>
      <c r="D4331" t="n">
        <v>39</v>
      </c>
      <c r="E4331">
        <f>IF(D1039&gt;0,VLOOKUP(OPERAC[[#This Row],[COD CART]],[1]!MatrizCortoLargoCyl[#All],3,0),"")</f>
        <v/>
      </c>
      <c r="F4331" t="inlineStr">
        <is>
          <t>TSLA/V/700,00/20-05-22</t>
        </is>
      </c>
      <c r="G4331" t="n">
        <v>-10</v>
      </c>
      <c r="H4331" t="n">
        <v>46.12</v>
      </c>
      <c r="I4331">
        <f>-H1039/G1039</f>
        <v/>
      </c>
      <c r="J4331" s="16" t="n">
        <v>44698</v>
      </c>
      <c r="K4331" t="n">
        <v>-10</v>
      </c>
      <c r="L4331" t="n">
        <v>-110.08</v>
      </c>
    </row>
    <row r="4332">
      <c r="A4332" t="n">
        <v>16795</v>
      </c>
      <c r="B4332" s="16" t="n">
        <v>44655</v>
      </c>
      <c r="C4332" t="inlineStr">
        <is>
          <t>CPR</t>
        </is>
      </c>
      <c r="D4332" t="n">
        <v>31</v>
      </c>
      <c r="E4332">
        <f>IF(D3345&gt;0,VLOOKUP(OPERAC[[#This Row],[COD CART]],[1]!MatrizCortoLargoCyl[#All],3,0),"")</f>
        <v/>
      </c>
      <c r="F4332" t="inlineStr">
        <is>
          <t>BRK B</t>
        </is>
      </c>
      <c r="G4332" t="n">
        <v>2</v>
      </c>
      <c r="H4332" t="n">
        <v>-697.2505600000001</v>
      </c>
      <c r="I4332">
        <f>-H3345/G3345</f>
        <v/>
      </c>
      <c r="J4332" s="16" t="n">
        <v>44693</v>
      </c>
      <c r="K4332" t="n">
        <v>2</v>
      </c>
      <c r="L4332" t="n">
        <v>605.2859999999999</v>
      </c>
    </row>
    <row r="4333">
      <c r="A4333" t="n">
        <v>16795</v>
      </c>
      <c r="B4333" s="16" t="n">
        <v>44655</v>
      </c>
      <c r="C4333" t="inlineStr">
        <is>
          <t>CPR</t>
        </is>
      </c>
      <c r="D4333" t="n">
        <v>31</v>
      </c>
      <c r="E4333">
        <f>IF(D3423&gt;0,VLOOKUP(OPERAC[[#This Row],[COD CART]],[1]!MatrizCortoLargoCyl[#All],3,0),"")</f>
        <v/>
      </c>
      <c r="F4333" t="inlineStr">
        <is>
          <t>BBAR</t>
        </is>
      </c>
      <c r="G4333" t="n">
        <v>200</v>
      </c>
      <c r="H4333" t="n">
        <v>-738.0496000000001</v>
      </c>
      <c r="I4333">
        <f>-H3423/G3423</f>
        <v/>
      </c>
    </row>
    <row r="4334">
      <c r="A4334" t="n">
        <v>16795</v>
      </c>
      <c r="B4334" s="16" t="n">
        <v>44655</v>
      </c>
      <c r="C4334" t="inlineStr">
        <is>
          <t>VTA</t>
        </is>
      </c>
      <c r="D4334" t="n">
        <v>31</v>
      </c>
      <c r="E4334">
        <f>IF(D3005&gt;0,VLOOKUP(OPERAC[[#This Row],[COD CART]],[1]!MatrizCortoLargoCyl[#All],3,0),"")</f>
        <v/>
      </c>
      <c r="F4334" t="inlineStr">
        <is>
          <t>TEO</t>
        </is>
      </c>
      <c r="G4334" t="n">
        <v>90</v>
      </c>
      <c r="H4334" t="n">
        <v>-579.6987300000001</v>
      </c>
      <c r="I4334">
        <f>-H3005/G3005</f>
        <v/>
      </c>
    </row>
    <row r="4335">
      <c r="A4335" t="n">
        <v>16795</v>
      </c>
      <c r="B4335" s="16" t="n">
        <v>44655</v>
      </c>
      <c r="C4335" t="inlineStr">
        <is>
          <t>VTA</t>
        </is>
      </c>
      <c r="D4335" t="n">
        <v>32</v>
      </c>
      <c r="E4335">
        <f>IF(D5046&gt;0,VLOOKUP(OPERAC[[#This Row],[COD CART]],[1]!MatrizCortoLargoCyl[#All],3,0),"")</f>
        <v/>
      </c>
      <c r="F4335" t="inlineStr">
        <is>
          <t>DDD</t>
        </is>
      </c>
      <c r="G4335" t="n">
        <v>100</v>
      </c>
      <c r="H4335" t="n">
        <v>-1568.308</v>
      </c>
      <c r="I4335">
        <f>-H5046/G5046</f>
        <v/>
      </c>
      <c r="J4335" s="16" t="n">
        <v>44705</v>
      </c>
      <c r="K4335" t="n">
        <v>100</v>
      </c>
      <c r="L4335" t="n">
        <v>995.48</v>
      </c>
    </row>
    <row r="4336">
      <c r="A4336" t="n">
        <v>16795</v>
      </c>
      <c r="B4336" s="16" t="n">
        <v>44655</v>
      </c>
      <c r="C4336" t="inlineStr">
        <is>
          <t>VTA</t>
        </is>
      </c>
      <c r="D4336" t="n">
        <v>32</v>
      </c>
      <c r="E4336">
        <f>IF(D5244&gt;0,VLOOKUP(OPERAC[[#This Row],[COD CART]],[1]!MatrizCortoLargoCyl[#All],3,0),"")</f>
        <v/>
      </c>
      <c r="F4336" t="inlineStr">
        <is>
          <t>COTY</t>
        </is>
      </c>
      <c r="G4336" t="n">
        <v>200</v>
      </c>
      <c r="H4336" t="n">
        <v>-1671.039</v>
      </c>
      <c r="I4336">
        <f>-H5244/G5244</f>
        <v/>
      </c>
      <c r="J4336" s="16" t="n">
        <v>44705</v>
      </c>
      <c r="K4336" t="n">
        <v>200</v>
      </c>
      <c r="L4336" t="n">
        <v>1197.88</v>
      </c>
    </row>
    <row r="4337">
      <c r="A4337" t="n">
        <v>16795</v>
      </c>
      <c r="B4337" s="16" t="n">
        <v>44662</v>
      </c>
      <c r="C4337" t="inlineStr">
        <is>
          <t>CPR</t>
        </is>
      </c>
      <c r="D4337" t="n">
        <v>42</v>
      </c>
      <c r="E4337">
        <f>IF(D4424&gt;0,VLOOKUP(OPERAC[[#This Row],[COD CART]],[1]!MatrizCortoLargoCyl[#All],3,0),"")</f>
        <v/>
      </c>
      <c r="F4337" t="inlineStr">
        <is>
          <t>HYDR</t>
        </is>
      </c>
      <c r="G4337" t="n">
        <v>60</v>
      </c>
      <c r="H4337" t="n">
        <v>-1114.22064</v>
      </c>
      <c r="I4337">
        <f>-H4424/G4424</f>
        <v/>
      </c>
      <c r="J4337" s="16" t="n">
        <v>44693</v>
      </c>
      <c r="K4337">
        <f>+OPERAC[[#This Row],[cantidad]]</f>
        <v/>
      </c>
      <c r="L4337">
        <f>+OPERAC[[#This Row],[cantidad venta]]*12.027</f>
        <v/>
      </c>
    </row>
    <row r="4338">
      <c r="A4338" t="n">
        <v>16795</v>
      </c>
      <c r="B4338" s="16" t="n">
        <v>44664</v>
      </c>
      <c r="C4338" t="inlineStr">
        <is>
          <t>CPR</t>
        </is>
      </c>
      <c r="D4338" t="n">
        <v>42</v>
      </c>
      <c r="E4338">
        <f>IF(D3427&gt;0,VLOOKUP(OPERAC[[#This Row],[COD CART]],[1]!MatrizCortoLargoCyl[#All],3,0),"")</f>
        <v/>
      </c>
      <c r="F4338" t="inlineStr">
        <is>
          <t>PSQ</t>
        </is>
      </c>
      <c r="G4338" t="n">
        <v>60</v>
      </c>
      <c r="H4338" t="n">
        <v>-745.9543308599999</v>
      </c>
      <c r="I4338">
        <f>-H3427/G3427</f>
        <v/>
      </c>
      <c r="J4338" s="16" t="n">
        <v>44680</v>
      </c>
      <c r="K4338">
        <f>+OPERAC[[#This Row],[cantidad]]</f>
        <v/>
      </c>
      <c r="L4338">
        <f>12.848*OPERAC[[#This Row],[cantidad venta]]</f>
        <v/>
      </c>
    </row>
    <row r="4339">
      <c r="A4339" t="n">
        <v>16795</v>
      </c>
      <c r="B4339" s="16" t="n">
        <v>44669</v>
      </c>
      <c r="C4339" t="inlineStr">
        <is>
          <t>VTA</t>
        </is>
      </c>
      <c r="D4339" t="n">
        <v>32</v>
      </c>
      <c r="E4339">
        <f>IF(D5426&gt;0,VLOOKUP(OPERAC[[#This Row],[COD CART]],[1]!MatrizCortoLargoCyl[#All],3,0),"")</f>
        <v/>
      </c>
      <c r="F4339" t="inlineStr">
        <is>
          <t>HMY</t>
        </is>
      </c>
      <c r="G4339" t="n">
        <v>400</v>
      </c>
      <c r="H4339">
        <f>-4.64*OPERAC[[#This Row],[cantidad]]</f>
        <v/>
      </c>
      <c r="I4339">
        <f>-H5426/G5426</f>
        <v/>
      </c>
    </row>
    <row r="4340">
      <c r="A4340" t="n">
        <v>16795</v>
      </c>
      <c r="B4340" s="16" t="n">
        <v>44671</v>
      </c>
      <c r="C4340" t="inlineStr">
        <is>
          <t>CPR</t>
        </is>
      </c>
      <c r="D4340" t="n">
        <v>42</v>
      </c>
      <c r="E4340">
        <f>IF(D3507&gt;0,VLOOKUP(OPERAC[[#This Row],[COD CART]],[1]!MatrizCortoLargoCyl[#All],3,0),"")</f>
        <v/>
      </c>
      <c r="F4340" t="inlineStr">
        <is>
          <t>NFLX</t>
        </is>
      </c>
      <c r="G4340" t="n">
        <v>3</v>
      </c>
      <c r="H4340" t="n">
        <v>-763.51518</v>
      </c>
      <c r="I4340">
        <f>-H3507/G3507</f>
        <v/>
      </c>
      <c r="J4340" s="16" t="n">
        <v>44693</v>
      </c>
      <c r="K4340">
        <f>+OPERAC[[#This Row],[cantidad]]</f>
        <v/>
      </c>
      <c r="L4340">
        <f>+OPERAC[[#This Row],[cantidad venta]]*169.079</f>
        <v/>
      </c>
    </row>
    <row r="4341">
      <c r="A4341" t="n">
        <v>16795</v>
      </c>
      <c r="B4341" s="16" t="n">
        <v>44671</v>
      </c>
      <c r="C4341" t="inlineStr">
        <is>
          <t>VTA</t>
        </is>
      </c>
      <c r="D4341" t="n">
        <v>42</v>
      </c>
      <c r="E4341">
        <f>IF(D3068&gt;0,VLOOKUP(OPERAC[[#This Row],[COD CART]],[1]!MatrizCortoLargoCyl[#All],3,0),"")</f>
        <v/>
      </c>
      <c r="F4341" t="inlineStr">
        <is>
          <t>TLT</t>
        </is>
      </c>
      <c r="G4341" t="n">
        <v>5</v>
      </c>
      <c r="H4341" t="n">
        <v>-612.815025</v>
      </c>
      <c r="I4341">
        <f>-H3068/G3068</f>
        <v/>
      </c>
    </row>
    <row r="4342">
      <c r="A4342" t="n">
        <v>16795</v>
      </c>
      <c r="B4342" s="16" t="n">
        <v>44680</v>
      </c>
      <c r="C4342" t="inlineStr">
        <is>
          <t>CPR</t>
        </is>
      </c>
      <c r="D4342" t="n">
        <v>42</v>
      </c>
      <c r="E4342">
        <f>IF(D3620&gt;0,VLOOKUP(OPERAC[[#This Row],[COD CART]],[1]!MatrizCortoLargoCyl[#All],3,0),"")</f>
        <v/>
      </c>
      <c r="F4342" t="inlineStr">
        <is>
          <t>XLP</t>
        </is>
      </c>
      <c r="G4342" t="n">
        <v>10</v>
      </c>
      <c r="H4342" t="n">
        <v>-794.345025</v>
      </c>
      <c r="I4342">
        <f>-H3620/G3620</f>
        <v/>
      </c>
      <c r="J4342" s="16" t="n">
        <v>44693</v>
      </c>
      <c r="K4342">
        <f>+OPERAC[[#This Row],[cantidad]]</f>
        <v/>
      </c>
      <c r="L4342">
        <f>+OPERAC[[#This Row],[cantidad venta]]*74.848</f>
        <v/>
      </c>
    </row>
    <row r="4343">
      <c r="A4343" t="n">
        <v>16795</v>
      </c>
      <c r="B4343" s="16" t="n">
        <v>44680</v>
      </c>
      <c r="C4343" t="inlineStr">
        <is>
          <t>CPR</t>
        </is>
      </c>
      <c r="D4343" t="n">
        <v>42</v>
      </c>
      <c r="E4343">
        <f>IF(D4091&gt;0,VLOOKUP(OPERAC[[#This Row],[COD CART]],[1]!MatrizCortoLargoCyl[#All],3,0),"")</f>
        <v/>
      </c>
      <c r="F4343" t="inlineStr">
        <is>
          <t>TS</t>
        </is>
      </c>
      <c r="G4343" t="n">
        <v>30</v>
      </c>
      <c r="H4343" t="n">
        <v>-938.9639249999999</v>
      </c>
      <c r="I4343">
        <f>-H4091/G4091</f>
        <v/>
      </c>
      <c r="J4343" s="16" t="n">
        <v>44693</v>
      </c>
      <c r="K4343">
        <f>+OPERAC[[#This Row],[cantidad]]</f>
        <v/>
      </c>
      <c r="L4343">
        <f>+OPERAC[[#This Row],[cantidad venta]]*29.07</f>
        <v/>
      </c>
    </row>
    <row r="4344">
      <c r="A4344" t="n">
        <v>16795</v>
      </c>
      <c r="B4344" s="16" t="n">
        <v>44680</v>
      </c>
      <c r="C4344" t="inlineStr">
        <is>
          <t>CPR</t>
        </is>
      </c>
      <c r="D4344" t="n">
        <v>32</v>
      </c>
      <c r="E4344">
        <f>IF(D4961&gt;0,VLOOKUP(OPERAC[[#This Row],[COD CART]],[1]!MatrizCortoLargoCyl[#All],3,0),"")</f>
        <v/>
      </c>
      <c r="F4344" t="inlineStr">
        <is>
          <t>COTY</t>
        </is>
      </c>
      <c r="G4344" t="n">
        <v>200</v>
      </c>
      <c r="H4344" t="n">
        <v>-1512.41</v>
      </c>
      <c r="I4344">
        <f>-H4961/G4961</f>
        <v/>
      </c>
      <c r="J4344" s="16" t="n">
        <v>44705</v>
      </c>
      <c r="K4344" t="n">
        <v>200</v>
      </c>
      <c r="L4344" t="n">
        <v>1197.88</v>
      </c>
    </row>
    <row r="4345">
      <c r="A4345" t="n">
        <v>16795</v>
      </c>
      <c r="B4345" s="16" t="n">
        <v>44698</v>
      </c>
      <c r="C4345" t="inlineStr">
        <is>
          <t>VTA</t>
        </is>
      </c>
      <c r="D4345" t="n">
        <v>39</v>
      </c>
      <c r="E4345">
        <f>IF(D25&gt;0,VLOOKUP(OPERAC[[#This Row],[COD CART]],[1]!MatrizCortoLargoCyl[#All],3,0),"")</f>
        <v/>
      </c>
      <c r="F4345" t="inlineStr">
        <is>
          <t>TSLA/P/635,00/27-05-22</t>
        </is>
      </c>
      <c r="G4345" t="n">
        <v>-1000</v>
      </c>
      <c r="H4345" t="n">
        <v>7932</v>
      </c>
      <c r="I4345">
        <f>-H25/G25</f>
        <v/>
      </c>
      <c r="J4345" s="16" t="n">
        <v>44701</v>
      </c>
      <c r="K4345" t="n">
        <v>-1000</v>
      </c>
      <c r="L4345" t="n">
        <v>-32776.25</v>
      </c>
    </row>
    <row r="4346">
      <c r="A4346" t="n">
        <v>16795</v>
      </c>
      <c r="B4346" s="16" t="n">
        <v>44698</v>
      </c>
      <c r="C4346" t="inlineStr">
        <is>
          <t>VTA</t>
        </is>
      </c>
      <c r="D4346" t="n">
        <v>39</v>
      </c>
      <c r="E4346">
        <f>IF(D133&gt;0,VLOOKUP(OPERAC[[#This Row],[COD CART]],[1]!MatrizCortoLargoCyl[#All],3,0),"")</f>
        <v/>
      </c>
      <c r="F4346" t="inlineStr">
        <is>
          <t>TSLA/P/655,00/20-05-22</t>
        </is>
      </c>
      <c r="G4346" t="n">
        <v>-1000</v>
      </c>
      <c r="H4346" t="n">
        <v>3024.075</v>
      </c>
      <c r="I4346">
        <f>-H133/G133</f>
        <v/>
      </c>
      <c r="J4346" s="16" t="n">
        <v>44700</v>
      </c>
      <c r="K4346" t="n">
        <v>-1000</v>
      </c>
      <c r="L4346" t="n">
        <v>-1301.974</v>
      </c>
    </row>
    <row r="4347">
      <c r="A4347" t="n">
        <v>16795</v>
      </c>
      <c r="B4347" s="16" t="n">
        <v>44698</v>
      </c>
      <c r="C4347" t="inlineStr">
        <is>
          <t>VTA</t>
        </is>
      </c>
      <c r="D4347" t="n">
        <v>39</v>
      </c>
      <c r="E4347">
        <f>IF(D1742&gt;0,VLOOKUP(OPERAC[[#This Row],[COD CART]],[1]!MatrizCortoLargoCyl[#All],3,0),"")</f>
        <v/>
      </c>
      <c r="F4347" t="inlineStr">
        <is>
          <t>NTLA/C/65,00/15-07-22</t>
        </is>
      </c>
      <c r="G4347" t="n">
        <v>100</v>
      </c>
      <c r="H4347" t="n">
        <v>-252.125</v>
      </c>
      <c r="I4347">
        <f>-H1742/G1742</f>
        <v/>
      </c>
    </row>
    <row r="4348">
      <c r="A4348" t="n">
        <v>16795</v>
      </c>
      <c r="B4348" s="16" t="n">
        <v>44701</v>
      </c>
      <c r="C4348" t="inlineStr">
        <is>
          <t>VTA</t>
        </is>
      </c>
      <c r="D4348" t="n">
        <v>39</v>
      </c>
      <c r="E4348">
        <f>IF(D757&gt;0,VLOOKUP(OPERAC[[#This Row],[COD CART]],[1]!MatrizCortoLargoCyl[#All],3,0),"")</f>
        <v/>
      </c>
      <c r="F4348" t="inlineStr">
        <is>
          <t>TSLA/P/360,00/20-01-23</t>
        </is>
      </c>
      <c r="G4348" t="n">
        <v>-10</v>
      </c>
      <c r="H4348" t="n">
        <v>351.9825</v>
      </c>
      <c r="I4348">
        <f>-H757/G757</f>
        <v/>
      </c>
    </row>
    <row r="4349">
      <c r="A4349" t="n">
        <v>16795</v>
      </c>
      <c r="B4349" s="16" t="n">
        <v>44707</v>
      </c>
      <c r="C4349" t="inlineStr">
        <is>
          <t>CPR</t>
        </is>
      </c>
      <c r="D4349" t="n">
        <v>32</v>
      </c>
      <c r="E4349">
        <f>IF(D5765&gt;0,VLOOKUP(OPERAC[[#This Row],[COD CART]],[1]!MatrizCortoLargoCyl[#All],3,0),"")</f>
        <v/>
      </c>
      <c r="F4349" t="inlineStr">
        <is>
          <t>BIG/CYL/27,50/17-06-22</t>
        </is>
      </c>
      <c r="G4349" t="n">
        <v>100</v>
      </c>
      <c r="H4349" t="n">
        <v>-2636.628</v>
      </c>
      <c r="I4349">
        <f>-H5765/G5765</f>
        <v/>
      </c>
    </row>
    <row r="4350">
      <c r="A4350" t="n">
        <v>16795</v>
      </c>
      <c r="B4350" s="16" t="n">
        <v>44707</v>
      </c>
      <c r="C4350" t="inlineStr">
        <is>
          <t>VTA</t>
        </is>
      </c>
      <c r="D4350" t="n">
        <v>43</v>
      </c>
      <c r="E4350">
        <f>IF(D5299&gt;0,VLOOKUP(OPERAC[[#This Row],[COD CART]],[1]!MatrizCortoLargoCyl[#All],3,0),"")</f>
        <v/>
      </c>
      <c r="F4350" t="inlineStr">
        <is>
          <t>SPWR/CYP/17,50-15,00/17-06-22</t>
        </is>
      </c>
      <c r="G4350" t="n">
        <v>100</v>
      </c>
      <c r="H4350" t="n">
        <v>-1717.027</v>
      </c>
      <c r="I4350">
        <f>-H5299/G5299</f>
        <v/>
      </c>
    </row>
    <row r="4351">
      <c r="A4351" t="n">
        <v>16795</v>
      </c>
      <c r="B4351" s="16" t="n">
        <v>44708</v>
      </c>
      <c r="C4351" t="inlineStr">
        <is>
          <t>CPR</t>
        </is>
      </c>
      <c r="D4351" t="n">
        <v>32</v>
      </c>
      <c r="E4351">
        <f>IF(D4625&gt;0,VLOOKUP(OPERAC[[#This Row],[COD CART]],[1]!MatrizCortoLargoCyl[#All],3,0),"")</f>
        <v/>
      </c>
      <c r="F4351" t="inlineStr">
        <is>
          <t>CCL/CYL/13,00/03-06-22</t>
        </is>
      </c>
      <c r="G4351" t="n">
        <v>100</v>
      </c>
      <c r="H4351" t="n">
        <v>-1276.4</v>
      </c>
      <c r="I4351">
        <f>-H4625/G4625</f>
        <v/>
      </c>
      <c r="J4351" s="16" t="n">
        <v>44715</v>
      </c>
      <c r="K4351">
        <f>+OPERAC[[#This Row],[cantidad]]</f>
        <v/>
      </c>
      <c r="L4351">
        <f>+OPERAC[[#This Row],[cantidad venta]]*12.942</f>
        <v/>
      </c>
    </row>
    <row r="4352">
      <c r="A4352" t="n">
        <v>16795</v>
      </c>
      <c r="B4352" s="16" t="n">
        <v>44708</v>
      </c>
      <c r="C4352" t="inlineStr">
        <is>
          <t>VTA</t>
        </is>
      </c>
      <c r="D4352" t="n">
        <v>42</v>
      </c>
      <c r="E4352">
        <f>IF(D5399&gt;0,VLOOKUP(OPERAC[[#This Row],[COD CART]],[1]!MatrizCortoLargoCyl[#All],3,0),"")</f>
        <v/>
      </c>
      <c r="F4352" t="inlineStr">
        <is>
          <t>ACB</t>
        </is>
      </c>
      <c r="G4352" t="n">
        <v>1000</v>
      </c>
      <c r="H4352" t="n">
        <v>-1825.320788805</v>
      </c>
      <c r="I4352">
        <f>-H5399/G5399</f>
        <v/>
      </c>
    </row>
    <row r="4353">
      <c r="A4353" t="n">
        <v>16795</v>
      </c>
      <c r="B4353" s="16" t="n">
        <v>44712</v>
      </c>
      <c r="C4353" t="inlineStr">
        <is>
          <t>CPR</t>
        </is>
      </c>
      <c r="D4353" t="n">
        <v>32</v>
      </c>
      <c r="E4353">
        <f>IF(D4567&gt;0,VLOOKUP(OPERAC[[#This Row],[COD CART]],[1]!MatrizCortoLargoCyl[#All],3,0),"")</f>
        <v/>
      </c>
      <c r="F4353" t="inlineStr">
        <is>
          <t>AMC/CYL/13,00/10-06-22</t>
        </is>
      </c>
      <c r="G4353" t="n">
        <v>100</v>
      </c>
      <c r="H4353" t="n">
        <v>-1232.75</v>
      </c>
      <c r="I4353">
        <f>-H4567/G4567</f>
        <v/>
      </c>
      <c r="J4353" s="16" t="n">
        <v>44722</v>
      </c>
      <c r="K4353" t="n">
        <v>100</v>
      </c>
      <c r="L4353" t="n">
        <v>1234.29</v>
      </c>
    </row>
    <row r="4354">
      <c r="A4354" t="n">
        <v>16795</v>
      </c>
      <c r="B4354" s="16" t="n">
        <v>44712</v>
      </c>
      <c r="C4354" t="inlineStr">
        <is>
          <t>CPR</t>
        </is>
      </c>
      <c r="D4354" t="n">
        <v>42</v>
      </c>
      <c r="E4354">
        <f>IF(D5886&gt;0,VLOOKUP(OPERAC[[#This Row],[COD CART]],[1]!MatrizCortoLargoCyl[#All],3,0),"")</f>
        <v/>
      </c>
      <c r="F4354" t="inlineStr">
        <is>
          <t>KWEB</t>
        </is>
      </c>
      <c r="G4354" t="n">
        <v>100</v>
      </c>
      <c r="H4354" t="n">
        <v>-2959.725</v>
      </c>
      <c r="I4354">
        <f>-H5886/G5886</f>
        <v/>
      </c>
    </row>
    <row r="4355">
      <c r="A4355" t="n">
        <v>16795</v>
      </c>
      <c r="B4355" s="16" t="n">
        <v>44725</v>
      </c>
      <c r="C4355" t="inlineStr">
        <is>
          <t>CPR</t>
        </is>
      </c>
      <c r="D4355" t="n">
        <v>40</v>
      </c>
      <c r="E4355">
        <f>IF(D4723&gt;0,VLOOKUP(OPERAC[[#This Row],[COD CART]],[1]!MatrizCortoLargoCyl[#All],3,0),"")</f>
        <v/>
      </c>
      <c r="F4355" t="inlineStr">
        <is>
          <t>AAL</t>
        </is>
      </c>
      <c r="G4355" t="n">
        <v>100</v>
      </c>
      <c r="H4355" t="n">
        <v>-1336.56505</v>
      </c>
      <c r="I4355">
        <f>-H4723/G4723</f>
        <v/>
      </c>
    </row>
    <row r="4356">
      <c r="A4356" t="n">
        <v>16818</v>
      </c>
      <c r="B4356" s="16" t="n">
        <v>43983</v>
      </c>
      <c r="C4356" t="inlineStr">
        <is>
          <t>VTA</t>
        </is>
      </c>
      <c r="D4356" t="n">
        <v>31</v>
      </c>
      <c r="E4356">
        <f>IF(D1382&gt;0,VLOOKUP(OPERAC[[#This Row],[COD CART]],[1]!MatrizCortoLargoCyl[#All],3,0),"")</f>
        <v/>
      </c>
      <c r="F4356" t="inlineStr">
        <is>
          <t>YPF</t>
        </is>
      </c>
      <c r="G4356" t="n">
        <v>30</v>
      </c>
      <c r="H4356" t="n">
        <v>-126.6</v>
      </c>
      <c r="I4356" t="n">
        <v>4.22</v>
      </c>
    </row>
    <row r="4357">
      <c r="A4357" t="n">
        <v>16818</v>
      </c>
      <c r="B4357" s="16" t="n">
        <v>44167</v>
      </c>
      <c r="C4357" t="inlineStr">
        <is>
          <t>VTA</t>
        </is>
      </c>
      <c r="D4357" t="n">
        <v>39</v>
      </c>
      <c r="E4357">
        <f>IF(D874&gt;0,VLOOKUP(OPERAC[[#This Row],[COD CART]],[1]!MatrizCortoLargoCyl[#All],3,0),"")</f>
        <v/>
      </c>
      <c r="F4357" t="inlineStr">
        <is>
          <t>PBR/V/8,00/21-01-22</t>
        </is>
      </c>
      <c r="G4357" t="n">
        <v>-200</v>
      </c>
      <c r="H4357" t="n">
        <v>197.52</v>
      </c>
      <c r="I4357">
        <f>-H874/G874</f>
        <v/>
      </c>
      <c r="J4357" s="16" t="n">
        <v>44582</v>
      </c>
      <c r="K4357" t="n">
        <v>-200</v>
      </c>
      <c r="L4357" t="n">
        <v>0</v>
      </c>
    </row>
    <row r="4358">
      <c r="A4358" t="n">
        <v>16818</v>
      </c>
      <c r="B4358" s="16" t="n">
        <v>44237</v>
      </c>
      <c r="C4358" t="inlineStr">
        <is>
          <t>VTA</t>
        </is>
      </c>
      <c r="D4358" t="n">
        <v>39</v>
      </c>
      <c r="E4358">
        <f>IF(D1249&gt;0,VLOOKUP(OPERAC[[#This Row],[COD CART]],[1]!MatrizCortoLargoCyl[#All],3,0),"")</f>
        <v/>
      </c>
      <c r="F4358" t="inlineStr">
        <is>
          <t>TLRY1/V/10,00/20-01-23</t>
        </is>
      </c>
      <c r="G4358" t="n">
        <v>-2</v>
      </c>
      <c r="H4358" t="n">
        <v>2</v>
      </c>
      <c r="I4358">
        <f>-H1249/G1249</f>
        <v/>
      </c>
    </row>
    <row r="4359">
      <c r="A4359" t="n">
        <v>16818</v>
      </c>
      <c r="B4359" s="16" t="n">
        <v>44461</v>
      </c>
      <c r="C4359" t="inlineStr">
        <is>
          <t>VTA</t>
        </is>
      </c>
      <c r="D4359" t="n">
        <v>40</v>
      </c>
      <c r="E4359">
        <f>IF(D2021&gt;0,VLOOKUP(OPERAC[[#This Row],[COD CART]],[1]!MatrizCortoLargoCyl[#All],3,0),"")</f>
        <v/>
      </c>
      <c r="F4359" t="inlineStr">
        <is>
          <t>EDU</t>
        </is>
      </c>
      <c r="G4359" t="n">
        <v>300</v>
      </c>
      <c r="H4359">
        <f>-1.0864*OPERAC[[#This Row],[cantidad]]+0.04*OPERAC[[#This Row],[cantidad]]</f>
        <v/>
      </c>
      <c r="I4359">
        <f>-H2021/G2021</f>
        <v/>
      </c>
      <c r="J4359" s="16" t="n">
        <v>44630</v>
      </c>
      <c r="K4359" t="n">
        <v>300</v>
      </c>
      <c r="L4359" t="n">
        <v>342.378</v>
      </c>
    </row>
    <row r="4360">
      <c r="A4360" t="n">
        <v>16818</v>
      </c>
      <c r="B4360" s="16" t="n">
        <v>44462</v>
      </c>
      <c r="C4360" t="inlineStr">
        <is>
          <t>CPR</t>
        </is>
      </c>
      <c r="D4360" t="n">
        <v>32</v>
      </c>
      <c r="E4360">
        <f>IF(D4270&gt;0,VLOOKUP(OPERAC[[#This Row],[COD CART]],[1]!MatrizCortoLargoCyl[#All],3,0),"")</f>
        <v/>
      </c>
      <c r="F4360" t="inlineStr">
        <is>
          <t>ATOS/CYL/3,00/21-01-22</t>
        </is>
      </c>
      <c r="G4360">
        <f>200+200</f>
        <v/>
      </c>
      <c r="H4360">
        <f>-488-602.4+69.302</f>
        <v/>
      </c>
      <c r="I4360">
        <f>-H4270/G4270</f>
        <v/>
      </c>
      <c r="J4360" s="16" t="n">
        <v>44573</v>
      </c>
      <c r="K4360" t="n">
        <v>400</v>
      </c>
      <c r="L4360" t="n">
        <v>592.289</v>
      </c>
    </row>
    <row r="4361">
      <c r="A4361" t="n">
        <v>16818</v>
      </c>
      <c r="B4361" s="16" t="n">
        <v>44462</v>
      </c>
      <c r="C4361" t="inlineStr">
        <is>
          <t>VTA</t>
        </is>
      </c>
      <c r="D4361" t="n">
        <v>43</v>
      </c>
      <c r="E4361">
        <f>IF(D2054&gt;0,VLOOKUP(OPERAC[[#This Row],[COD CART]],[1]!MatrizCortoLargoCyl[#All],3,0),"")</f>
        <v/>
      </c>
      <c r="F4361" t="inlineStr">
        <is>
          <t>SOLO/CYL-PUT/4,00/16-09-22</t>
        </is>
      </c>
      <c r="G4361" t="n">
        <v>200</v>
      </c>
      <c r="H4361">
        <f>OPERAC[[#This Row],[cantidad]]*-2.54+0.32*OPERAC[[#This Row],[cantidad]]+0.387*OPERAC[[#This Row],[cantidad]]+0.22*OPERAC[[#This Row],[cantidad]]</f>
        <v/>
      </c>
      <c r="I4361">
        <f>-H2054/G2054</f>
        <v/>
      </c>
    </row>
    <row r="4362">
      <c r="A4362" t="n">
        <v>16818</v>
      </c>
      <c r="B4362" s="16" t="n">
        <v>44466</v>
      </c>
      <c r="C4362" t="inlineStr">
        <is>
          <t>VTA</t>
        </is>
      </c>
      <c r="D4362" t="n">
        <v>43</v>
      </c>
      <c r="E4362">
        <f>IF(D1550&gt;0,VLOOKUP(OPERAC[[#This Row],[COD CART]],[1]!MatrizCortoLargoCyl[#All],3,0),"")</f>
        <v/>
      </c>
      <c r="F4362" t="inlineStr">
        <is>
          <t>SOLO/CYL-PUT/4,00/16-09-22</t>
        </is>
      </c>
      <c r="G4362" t="n">
        <v>100</v>
      </c>
      <c r="H4362">
        <f>-295.11747+0.32*OPERAC[[#This Row],[cantidad]]+0.387*OPERAC[[#This Row],[cantidad]]+0.22*OPERAC[[#This Row],[cantidad]]</f>
        <v/>
      </c>
      <c r="I4362">
        <f>-H1550/G1550</f>
        <v/>
      </c>
    </row>
    <row r="4363">
      <c r="A4363" t="n">
        <v>16818</v>
      </c>
      <c r="B4363" s="16" t="n">
        <v>44536</v>
      </c>
      <c r="C4363" t="inlineStr">
        <is>
          <t>VTA</t>
        </is>
      </c>
      <c r="D4363" t="n">
        <v>40</v>
      </c>
      <c r="E4363">
        <f>IF(D1370&gt;0,VLOOKUP(OPERAC[[#This Row],[COD CART]],[1]!MatrizCortoLargoCyl[#All],3,0),"")</f>
        <v/>
      </c>
      <c r="F4363" t="inlineStr">
        <is>
          <t>UVXY</t>
        </is>
      </c>
      <c r="G4363" t="n">
        <v>5</v>
      </c>
      <c r="H4363" t="n">
        <v>-115.8946</v>
      </c>
      <c r="I4363">
        <f>-H1370/G1370</f>
        <v/>
      </c>
      <c r="J4363" s="16" t="n">
        <v>44571</v>
      </c>
      <c r="K4363">
        <f>+OPERAC[[#This Row],[cantidad]]</f>
        <v/>
      </c>
      <c r="L4363">
        <f>+OPERAC[[#This Row],[cantidad venta]]*14.135</f>
        <v/>
      </c>
    </row>
    <row r="4364">
      <c r="A4364" t="n">
        <v>16818</v>
      </c>
      <c r="B4364" s="16" t="n">
        <v>44573</v>
      </c>
      <c r="C4364" t="inlineStr">
        <is>
          <t>VTA</t>
        </is>
      </c>
      <c r="D4364" t="n">
        <v>39</v>
      </c>
      <c r="E4364">
        <f>IF(D578&gt;0,VLOOKUP(OPERAC[[#This Row],[COD CART]],[1]!MatrizCortoLargoCyl[#All],3,0),"")</f>
        <v/>
      </c>
      <c r="F4364" t="inlineStr">
        <is>
          <t>ROKU/V/170,00/21-01-22</t>
        </is>
      </c>
      <c r="G4364" t="n">
        <v>-200</v>
      </c>
      <c r="H4364" t="n">
        <v>656.5599999999999</v>
      </c>
      <c r="I4364">
        <f>-H578/G578</f>
        <v/>
      </c>
      <c r="J4364" s="16" t="n">
        <v>44582</v>
      </c>
      <c r="K4364" t="n">
        <v>-200</v>
      </c>
      <c r="L4364">
        <f>-OPERAC[[#This Row],[importe]]</f>
        <v/>
      </c>
    </row>
    <row r="4365">
      <c r="A4365" t="n">
        <v>16818</v>
      </c>
      <c r="B4365" s="16" t="n">
        <v>44581</v>
      </c>
      <c r="C4365" t="inlineStr">
        <is>
          <t>VTA</t>
        </is>
      </c>
      <c r="D4365" t="n">
        <v>32</v>
      </c>
      <c r="E4365">
        <f>IF(D2263&gt;0,VLOOKUP(OPERAC[[#This Row],[COD CART]],[1]!MatrizCortoLargoCyl[#All],3,0),"")</f>
        <v/>
      </c>
      <c r="F4365" t="inlineStr">
        <is>
          <t>HMY/CYL/4,00/18-02-22</t>
        </is>
      </c>
      <c r="G4365" t="n">
        <v>100</v>
      </c>
      <c r="H4365" t="n">
        <v>-385.657448</v>
      </c>
      <c r="I4365">
        <f>-H2263/G2263</f>
        <v/>
      </c>
      <c r="J4365" s="16" t="n">
        <v>44610</v>
      </c>
      <c r="K4365">
        <f>+OPERAC[[#This Row],[cantidad]]</f>
        <v/>
      </c>
      <c r="L4365">
        <f>+OPERAC[[#This Row],[cantidad venta]]*3.8323</f>
        <v/>
      </c>
    </row>
    <row r="4366">
      <c r="A4366" t="n">
        <v>16818</v>
      </c>
      <c r="B4366" s="16" t="n">
        <v>44582</v>
      </c>
      <c r="C4366" t="inlineStr">
        <is>
          <t>VTA</t>
        </is>
      </c>
      <c r="D4366" t="n">
        <v>39</v>
      </c>
      <c r="E4366">
        <f>IF(D118&gt;0,VLOOKUP(OPERAC[[#This Row],[COD CART]],[1]!MatrizCortoLargoCyl[#All],3,0),"")</f>
        <v/>
      </c>
      <c r="F4366" t="inlineStr">
        <is>
          <t>ROKU/V/160,00/28-01-22</t>
        </is>
      </c>
      <c r="G4366" t="n">
        <v>-300</v>
      </c>
      <c r="H4366" t="n">
        <v>3181.92</v>
      </c>
      <c r="I4366">
        <f>-H118/G118</f>
        <v/>
      </c>
      <c r="J4366" s="16" t="n">
        <v>44587</v>
      </c>
      <c r="K4366">
        <f>+OPERAC[[#This Row],[cantidad]]</f>
        <v/>
      </c>
      <c r="L4366">
        <f>-OPERAC[[#This Row],[importe]]</f>
        <v/>
      </c>
    </row>
    <row r="4367">
      <c r="A4367" t="n">
        <v>16818</v>
      </c>
      <c r="B4367" s="16" t="n">
        <v>44582</v>
      </c>
      <c r="C4367" t="inlineStr">
        <is>
          <t>VTA</t>
        </is>
      </c>
      <c r="D4367" t="n">
        <v>40</v>
      </c>
      <c r="E4367">
        <f>IF(D2261&gt;0,VLOOKUP(OPERAC[[#This Row],[COD CART]],[1]!MatrizCortoLargoCyl[#All],3,0),"")</f>
        <v/>
      </c>
      <c r="F4367" t="inlineStr">
        <is>
          <t>NFLX</t>
        </is>
      </c>
      <c r="G4367" t="n">
        <v>1</v>
      </c>
      <c r="H4367" t="n">
        <v>-384.50958</v>
      </c>
      <c r="I4367">
        <f>-H2261/G2261</f>
        <v/>
      </c>
      <c r="J4367" s="16" t="n">
        <v>44593</v>
      </c>
      <c r="K4367">
        <f>+OPERAC[[#This Row],[cantidad]]</f>
        <v/>
      </c>
      <c r="L4367">
        <f>+OPERAC[[#This Row],[cantidad venta]]*448.602</f>
        <v/>
      </c>
    </row>
    <row r="4368">
      <c r="A4368" t="n">
        <v>16818</v>
      </c>
      <c r="B4368" s="16" t="n">
        <v>44586</v>
      </c>
      <c r="C4368" t="inlineStr">
        <is>
          <t>VTA</t>
        </is>
      </c>
      <c r="D4368" t="n">
        <v>43</v>
      </c>
      <c r="E4368">
        <f>IF(D1905&gt;0,VLOOKUP(OPERAC[[#This Row],[COD CART]],[1]!MatrizCortoLargoCyl[#All],3,0),"")</f>
        <v/>
      </c>
      <c r="F4368" t="inlineStr">
        <is>
          <t>GMBL/CYL-PUT/2,50/20-01-23</t>
        </is>
      </c>
      <c r="G4368" t="n">
        <v>300</v>
      </c>
      <c r="H4368" t="n">
        <v>-288.8555000000001</v>
      </c>
      <c r="I4368">
        <f>-H1905/G1905</f>
        <v/>
      </c>
    </row>
    <row r="4369">
      <c r="A4369" t="n">
        <v>16818</v>
      </c>
      <c r="B4369" s="16" t="n">
        <v>44587</v>
      </c>
      <c r="C4369" t="inlineStr">
        <is>
          <t>VTA</t>
        </is>
      </c>
      <c r="D4369" t="n">
        <v>39</v>
      </c>
      <c r="E4369">
        <f>IF(D168&gt;0,VLOOKUP(OPERAC[[#This Row],[COD CART]],[1]!MatrizCortoLargoCyl[#All],3,0),"")</f>
        <v/>
      </c>
      <c r="F4369" t="inlineStr">
        <is>
          <t>ROKU/V/155,00/04-02-22</t>
        </is>
      </c>
      <c r="G4369" t="n">
        <v>-300</v>
      </c>
      <c r="H4369" t="n">
        <v>2391.5976</v>
      </c>
      <c r="I4369">
        <f>-H168/G168</f>
        <v/>
      </c>
      <c r="J4369" s="16" t="n">
        <v>44592</v>
      </c>
      <c r="K4369">
        <f>+OPERAC[[#This Row],[cantidad]]</f>
        <v/>
      </c>
      <c r="L4369" t="n">
        <v>-1070.4342</v>
      </c>
    </row>
    <row r="4370">
      <c r="A4370" t="n">
        <v>16818</v>
      </c>
      <c r="B4370" s="16" t="n">
        <v>44592</v>
      </c>
      <c r="C4370" t="inlineStr">
        <is>
          <t>VTA</t>
        </is>
      </c>
      <c r="D4370" t="n">
        <v>39</v>
      </c>
      <c r="E4370">
        <f>IF(D483&gt;0,VLOOKUP(OPERAC[[#This Row],[COD CART]],[1]!MatrizCortoLargoCyl[#All],3,0),"")</f>
        <v/>
      </c>
      <c r="F4370" t="inlineStr">
        <is>
          <t>ROKU/V/150,00/11-02-22</t>
        </is>
      </c>
      <c r="G4370" t="n">
        <v>-200</v>
      </c>
      <c r="H4370" t="n">
        <v>955.3679999999999</v>
      </c>
      <c r="I4370">
        <f>-H483/G483</f>
        <v/>
      </c>
      <c r="J4370" s="16" t="n">
        <v>44601</v>
      </c>
      <c r="K4370">
        <f>+OPERAC[[#This Row],[cantidad]]</f>
        <v/>
      </c>
      <c r="L4370">
        <f>0.67*OPERAC[[#This Row],[cantidad venta]]</f>
        <v/>
      </c>
    </row>
    <row r="4371">
      <c r="A4371" t="n">
        <v>16818</v>
      </c>
      <c r="B4371" s="16" t="n">
        <v>44594</v>
      </c>
      <c r="C4371" t="inlineStr">
        <is>
          <t>VTA</t>
        </is>
      </c>
      <c r="D4371" t="n">
        <v>40</v>
      </c>
      <c r="E4371">
        <f>IF(D3028&gt;0,VLOOKUP(OPERAC[[#This Row],[COD CART]],[1]!MatrizCortoLargoCyl[#All],3,0),"")</f>
        <v/>
      </c>
      <c r="F4371" t="inlineStr">
        <is>
          <t>EDU</t>
        </is>
      </c>
      <c r="G4371" t="n">
        <v>300</v>
      </c>
      <c r="H4371" t="n">
        <v>-602.4</v>
      </c>
      <c r="I4371">
        <f>-H3028/G3028</f>
        <v/>
      </c>
      <c r="J4371" s="16" t="n">
        <v>44601</v>
      </c>
      <c r="K4371" t="n">
        <v>300</v>
      </c>
      <c r="L4371">
        <f>300*1.64</f>
        <v/>
      </c>
    </row>
    <row r="4372">
      <c r="A4372" t="n">
        <v>16818</v>
      </c>
      <c r="B4372" s="16" t="n">
        <v>44622</v>
      </c>
      <c r="C4372" t="inlineStr">
        <is>
          <t>VTA</t>
        </is>
      </c>
      <c r="D4372" t="n">
        <v>32</v>
      </c>
      <c r="E4372">
        <f>IF(D2562&gt;0,VLOOKUP(OPERAC[[#This Row],[COD CART]],[1]!MatrizCortoLargoCyl[#All],3,0),"")</f>
        <v/>
      </c>
      <c r="F4372" t="inlineStr">
        <is>
          <t>HMY/CYL/5,00/18-03-22</t>
        </is>
      </c>
      <c r="G4372" t="n">
        <v>100</v>
      </c>
      <c r="H4372" t="n">
        <v>-466.516</v>
      </c>
      <c r="I4372">
        <f>-H2562/G2562</f>
        <v/>
      </c>
      <c r="J4372" s="16" t="n">
        <v>44637</v>
      </c>
      <c r="K4372">
        <f>+OPERAC[[#This Row],[cantidad]]</f>
        <v/>
      </c>
      <c r="L4372">
        <f>4.85553*OPERAC[[#This Row],[cantidad venta]]</f>
        <v/>
      </c>
    </row>
    <row r="4373">
      <c r="A4373" t="n">
        <v>16818</v>
      </c>
      <c r="B4373" s="16" t="n">
        <v>44641</v>
      </c>
      <c r="C4373" t="inlineStr">
        <is>
          <t>VTA</t>
        </is>
      </c>
      <c r="D4373" t="n">
        <v>42</v>
      </c>
      <c r="E4373">
        <f>IF(D2944&gt;0,VLOOKUP(OPERAC[[#This Row],[COD CART]],[1]!MatrizCortoLargoCyl[#All],3,0),"")</f>
        <v/>
      </c>
      <c r="F4373" t="inlineStr">
        <is>
          <t>JPM</t>
        </is>
      </c>
      <c r="G4373" t="n">
        <v>4</v>
      </c>
      <c r="H4373" t="n">
        <v>-559.5880800000001</v>
      </c>
      <c r="I4373">
        <f>-H2944/G2944</f>
        <v/>
      </c>
      <c r="J4373" s="16" t="n">
        <v>44664</v>
      </c>
      <c r="K4373">
        <f>+OPERAC[[#This Row],[cantidad]]</f>
        <v/>
      </c>
      <c r="L4373">
        <f>+OPERAC[[#This Row],[cantidad venta]]*125.943</f>
        <v/>
      </c>
    </row>
    <row r="4374">
      <c r="A4374" t="n">
        <v>16818</v>
      </c>
      <c r="B4374" s="16" t="n">
        <v>44641</v>
      </c>
      <c r="C4374" t="inlineStr">
        <is>
          <t>VTA</t>
        </is>
      </c>
      <c r="D4374" t="n">
        <v>42</v>
      </c>
      <c r="E4374">
        <f>IF(D3130&gt;0,VLOOKUP(OPERAC[[#This Row],[COD CART]],[1]!MatrizCortoLargoCyl[#All],3,0),"")</f>
        <v/>
      </c>
      <c r="F4374" t="inlineStr">
        <is>
          <t>FB</t>
        </is>
      </c>
      <c r="G4374" t="n">
        <v>3</v>
      </c>
      <c r="H4374" t="n">
        <v>-633.94362</v>
      </c>
      <c r="I4374">
        <f>-H3130/G3130</f>
        <v/>
      </c>
      <c r="J4374" s="16" t="n">
        <v>44671</v>
      </c>
      <c r="K4374">
        <f>+OPERAC[[#This Row],[cantidad]]</f>
        <v/>
      </c>
      <c r="L4374">
        <f>+OPERAC[[#This Row],[cantidad venta]]*213.173</f>
        <v/>
      </c>
    </row>
    <row r="4375">
      <c r="A4375" t="n">
        <v>16818</v>
      </c>
      <c r="B4375" s="16" t="n">
        <v>44645</v>
      </c>
      <c r="C4375" t="inlineStr">
        <is>
          <t>VTA</t>
        </is>
      </c>
      <c r="D4375" t="n">
        <v>42</v>
      </c>
      <c r="E4375">
        <f>IF(D1392&gt;0,VLOOKUP(OPERAC[[#This Row],[COD CART]],[1]!MatrizCortoLargoCyl[#All],3,0),"")</f>
        <v/>
      </c>
      <c r="F4375" t="inlineStr">
        <is>
          <t>PLUG</t>
        </is>
      </c>
      <c r="G4375" t="n">
        <v>5</v>
      </c>
      <c r="H4375" t="n">
        <v>-139.1041</v>
      </c>
      <c r="I4375">
        <f>-H1392/G1392</f>
        <v/>
      </c>
      <c r="J4375" s="16" t="n">
        <v>44652</v>
      </c>
      <c r="K4375">
        <f>+OPERAC[[#This Row],[cantidad]]</f>
        <v/>
      </c>
      <c r="L4375">
        <f>+OPERAC[[#This Row],[cantidad venta]]*27.754</f>
        <v/>
      </c>
    </row>
    <row r="4376">
      <c r="A4376" t="n">
        <v>16818</v>
      </c>
      <c r="B4376" s="16" t="n">
        <v>44652</v>
      </c>
      <c r="C4376" t="inlineStr">
        <is>
          <t>VTA</t>
        </is>
      </c>
      <c r="D4376" t="n">
        <v>42</v>
      </c>
      <c r="E4376">
        <f>IF(D1451&gt;0,VLOOKUP(OPERAC[[#This Row],[COD CART]],[1]!MatrizCortoLargoCyl[#All],3,0),"")</f>
        <v/>
      </c>
      <c r="F4376" t="inlineStr">
        <is>
          <t>GBTC</t>
        </is>
      </c>
      <c r="G4376" t="n">
        <v>5</v>
      </c>
      <c r="H4376" t="n">
        <v>-159.912</v>
      </c>
      <c r="I4376">
        <f>-H1451/G1451</f>
        <v/>
      </c>
      <c r="J4376" s="16" t="n">
        <v>44662</v>
      </c>
      <c r="K4376">
        <f>+OPERAC[[#This Row],[cantidad]]</f>
        <v/>
      </c>
      <c r="L4376">
        <f>27.99*OPERAC[[#This Row],[cantidad venta]]</f>
        <v/>
      </c>
    </row>
    <row r="4377">
      <c r="A4377" t="n">
        <v>16818</v>
      </c>
      <c r="B4377" s="16" t="n">
        <v>44662</v>
      </c>
      <c r="C4377" t="inlineStr">
        <is>
          <t>VTA</t>
        </is>
      </c>
      <c r="D4377" t="n">
        <v>42</v>
      </c>
      <c r="E4377">
        <f>IF(D1491&gt;0,VLOOKUP(OPERAC[[#This Row],[COD CART]],[1]!MatrizCortoLargoCyl[#All],3,0),"")</f>
        <v/>
      </c>
      <c r="F4377" t="inlineStr">
        <is>
          <t>HYDR</t>
        </is>
      </c>
      <c r="G4377" t="n">
        <v>10</v>
      </c>
      <c r="H4377" t="n">
        <v>-184.96672</v>
      </c>
      <c r="I4377">
        <f>-H1491/G1491</f>
        <v/>
      </c>
    </row>
    <row r="4378">
      <c r="A4378" t="n">
        <v>16818</v>
      </c>
      <c r="B4378" s="16" t="n">
        <v>44669</v>
      </c>
      <c r="C4378" t="inlineStr">
        <is>
          <t>VTA</t>
        </is>
      </c>
      <c r="D4378" t="n">
        <v>32</v>
      </c>
      <c r="E4378">
        <f>IF(D2534&gt;0,VLOOKUP(OPERAC[[#This Row],[COD CART]],[1]!MatrizCortoLargoCyl[#All],3,0),"")</f>
        <v/>
      </c>
      <c r="F4378" t="inlineStr">
        <is>
          <t>HMY</t>
        </is>
      </c>
      <c r="G4378" t="n">
        <v>100</v>
      </c>
      <c r="H4378">
        <f>-4.64*OPERAC[[#This Row],[cantidad]]</f>
        <v/>
      </c>
      <c r="I4378">
        <f>-H2534/G2534</f>
        <v/>
      </c>
    </row>
    <row r="4379">
      <c r="A4379" t="n">
        <v>16818</v>
      </c>
      <c r="B4379" s="16" t="n">
        <v>44671</v>
      </c>
      <c r="C4379" t="inlineStr">
        <is>
          <t>CPR</t>
        </is>
      </c>
      <c r="D4379" t="n">
        <v>42</v>
      </c>
      <c r="E4379">
        <f>IF(D3482&gt;0,VLOOKUP(OPERAC[[#This Row],[COD CART]],[1]!MatrizCortoLargoCyl[#All],3,0),"")</f>
        <v/>
      </c>
      <c r="F4379" t="inlineStr">
        <is>
          <t>NFLX</t>
        </is>
      </c>
      <c r="G4379" t="n">
        <v>3</v>
      </c>
      <c r="H4379" t="n">
        <v>-760.4868600000001</v>
      </c>
      <c r="I4379">
        <f>-H3482/G3482</f>
        <v/>
      </c>
    </row>
    <row r="4380">
      <c r="A4380" t="n">
        <v>16824</v>
      </c>
      <c r="B4380" s="16" t="n">
        <v>44307</v>
      </c>
      <c r="C4380" t="inlineStr">
        <is>
          <t>VTA</t>
        </is>
      </c>
      <c r="D4380" t="n">
        <v>39</v>
      </c>
      <c r="E4380">
        <f>IF(D222&gt;0,VLOOKUP(OPERAC[[#This Row],[COD CART]],[1]!MatrizCortoLargoCyl[#All],3,0),"")</f>
        <v/>
      </c>
      <c r="F4380" t="inlineStr">
        <is>
          <t>ACB/V/12,00/20-01-23</t>
        </is>
      </c>
      <c r="G4380" t="n">
        <v>-300</v>
      </c>
      <c r="H4380" t="n">
        <v>1989.01</v>
      </c>
      <c r="I4380">
        <f>-H222/G222</f>
        <v/>
      </c>
      <c r="J4380" s="16" t="n">
        <v>44614</v>
      </c>
      <c r="K4380" t="n">
        <v>-300</v>
      </c>
      <c r="L4380" t="n">
        <v>-1989</v>
      </c>
    </row>
    <row r="4381">
      <c r="A4381" t="n">
        <v>16824</v>
      </c>
      <c r="B4381" s="16" t="n">
        <v>44439</v>
      </c>
      <c r="C4381" t="inlineStr">
        <is>
          <t>VTA</t>
        </is>
      </c>
      <c r="D4381" t="n">
        <v>39</v>
      </c>
      <c r="E4381">
        <f>IF(D719&gt;0,VLOOKUP(OPERAC[[#This Row],[COD CART]],[1]!MatrizCortoLargoCyl[#All],3,0),"")</f>
        <v/>
      </c>
      <c r="F4381" t="inlineStr">
        <is>
          <t>SKLZ/P/7,50/20-01-23</t>
        </is>
      </c>
      <c r="G4381" t="n">
        <v>-200</v>
      </c>
      <c r="H4381" t="n">
        <v>396.8</v>
      </c>
      <c r="I4381">
        <f>-H719/G719</f>
        <v/>
      </c>
      <c r="J4381" s="16" t="n">
        <v>44614</v>
      </c>
      <c r="K4381">
        <f>+OPERAC[[#This Row],[cantidad]]</f>
        <v/>
      </c>
      <c r="L4381">
        <f>+OPERAC[[#This Row],[cantidad venta]]*4.488</f>
        <v/>
      </c>
    </row>
    <row r="4382">
      <c r="A4382" t="n">
        <v>16824</v>
      </c>
      <c r="B4382" s="16" t="n">
        <v>44461</v>
      </c>
      <c r="C4382" t="inlineStr">
        <is>
          <t>VTA</t>
        </is>
      </c>
      <c r="D4382" t="n">
        <v>40</v>
      </c>
      <c r="E4382">
        <f>IF(D5047&gt;0,VLOOKUP(OPERAC[[#This Row],[COD CART]],[1]!MatrizCortoLargoCyl[#All],3,0),"")</f>
        <v/>
      </c>
      <c r="F4382" t="inlineStr">
        <is>
          <t>EDU</t>
        </is>
      </c>
      <c r="G4382" t="n">
        <v>1500</v>
      </c>
      <c r="H4382">
        <f>-1.0864*OPERAC[[#This Row],[cantidad]]+0.04*OPERAC[[#This Row],[cantidad]]</f>
        <v/>
      </c>
      <c r="I4382">
        <f>-H5047/G5047</f>
        <v/>
      </c>
      <c r="J4382" s="16" t="n">
        <v>44630</v>
      </c>
      <c r="K4382" t="n">
        <v>1500</v>
      </c>
      <c r="L4382" t="n">
        <v>1704.984</v>
      </c>
    </row>
    <row r="4383">
      <c r="A4383" t="n">
        <v>16824</v>
      </c>
      <c r="B4383" s="16" t="n">
        <v>44466</v>
      </c>
      <c r="C4383" t="inlineStr">
        <is>
          <t>VTA</t>
        </is>
      </c>
      <c r="D4383" t="n">
        <v>43</v>
      </c>
      <c r="E4383">
        <f>IF(D2495&gt;0,VLOOKUP(OPERAC[[#This Row],[COD CART]],[1]!MatrizCortoLargoCyl[#All],3,0),"")</f>
        <v/>
      </c>
      <c r="F4383" t="inlineStr">
        <is>
          <t>SOLO/CYL-PUT/4,00/18-03-22</t>
        </is>
      </c>
      <c r="G4383" t="n">
        <v>200</v>
      </c>
      <c r="H4383">
        <f>-594.83454+0.32*OPERAC[[#This Row],[cantidad]]+0.387*OPERAC[[#This Row],[cantidad]]</f>
        <v/>
      </c>
      <c r="I4383">
        <f>-H2495/G2495</f>
        <v/>
      </c>
      <c r="J4383" s="16" t="n">
        <v>44614</v>
      </c>
      <c r="K4383" t="n">
        <v>200</v>
      </c>
      <c r="L4383" t="n">
        <v>-45.94</v>
      </c>
    </row>
    <row r="4384">
      <c r="A4384" t="n">
        <v>16824</v>
      </c>
      <c r="B4384" s="16" t="n">
        <v>44489</v>
      </c>
      <c r="C4384" t="inlineStr">
        <is>
          <t>CPR</t>
        </is>
      </c>
      <c r="D4384" t="n">
        <v>43</v>
      </c>
      <c r="E4384">
        <f>IF(D3456&gt;0,VLOOKUP(OPERAC[[#This Row],[COD CART]],[1]!MatrizCortoLargoCyl[#All],3,0),"")</f>
        <v/>
      </c>
      <c r="F4384" t="inlineStr">
        <is>
          <t>SESN/CYL-PUT/1,00/19-01-24</t>
        </is>
      </c>
      <c r="G4384" t="n">
        <v>4000</v>
      </c>
      <c r="H4384">
        <f>-0.1885*OPERAC[[#This Row],[cantidad]]</f>
        <v/>
      </c>
      <c r="I4384">
        <f>-H3456/G3456</f>
        <v/>
      </c>
    </row>
    <row r="4385">
      <c r="A4385" t="n">
        <v>16824</v>
      </c>
      <c r="B4385" s="16" t="n">
        <v>44511</v>
      </c>
      <c r="C4385" t="inlineStr">
        <is>
          <t>VTA</t>
        </is>
      </c>
      <c r="D4385" t="n">
        <v>31</v>
      </c>
      <c r="E4385">
        <f>IF(D2910&gt;0,VLOOKUP(OPERAC[[#This Row],[COD CART]],[1]!MatrizCortoLargoCyl[#All],3,0),"")</f>
        <v/>
      </c>
      <c r="F4385" t="inlineStr">
        <is>
          <t>IPIX</t>
        </is>
      </c>
      <c r="G4385" t="n">
        <v>5000</v>
      </c>
      <c r="H4385" t="n">
        <v>-549.95</v>
      </c>
      <c r="I4385">
        <f>-H2910/G2910</f>
        <v/>
      </c>
    </row>
    <row r="4386">
      <c r="A4386" t="n">
        <v>16824</v>
      </c>
      <c r="B4386" s="16" t="n">
        <v>44533</v>
      </c>
      <c r="C4386" t="inlineStr">
        <is>
          <t>CPR</t>
        </is>
      </c>
      <c r="D4386" t="n">
        <v>40</v>
      </c>
      <c r="E4386">
        <f>IF(D5796&gt;0,VLOOKUP(OPERAC[[#This Row],[COD CART]],[1]!MatrizCortoLargoCyl[#All],3,0),"")</f>
        <v/>
      </c>
      <c r="F4386" t="inlineStr">
        <is>
          <t>EDIT</t>
        </is>
      </c>
      <c r="G4386" t="n">
        <v>100</v>
      </c>
      <c r="H4386">
        <f>-26.92*OPERAC[[#This Row],[cantidad]]+4.952</f>
        <v/>
      </c>
      <c r="I4386">
        <f>-H5796/G5796</f>
        <v/>
      </c>
      <c r="J4386" s="16" t="n">
        <v>44623</v>
      </c>
      <c r="K4386" t="n">
        <v>100</v>
      </c>
      <c r="L4386" t="n">
        <v>1684.388</v>
      </c>
    </row>
    <row r="4387">
      <c r="A4387" t="n">
        <v>16824</v>
      </c>
      <c r="B4387" s="16" t="n">
        <v>44533</v>
      </c>
      <c r="C4387" t="inlineStr">
        <is>
          <t>CPR</t>
        </is>
      </c>
      <c r="D4387" t="n">
        <v>32</v>
      </c>
      <c r="E4387">
        <f>IF(D5805&gt;0,VLOOKUP(OPERAC[[#This Row],[COD CART]],[1]!MatrizCortoLargoCyl[#All],3,0),"")</f>
        <v/>
      </c>
      <c r="F4387" t="inlineStr">
        <is>
          <t>SPCE/CYL/20,00/21-01-22</t>
        </is>
      </c>
      <c r="G4387" t="n">
        <v>200</v>
      </c>
      <c r="H4387">
        <f>-13.67*OPERAC[[#This Row],[cantidad]]</f>
        <v/>
      </c>
      <c r="I4387">
        <f>-H5805/G5805</f>
        <v/>
      </c>
      <c r="J4387" s="16" t="n">
        <v>44579</v>
      </c>
      <c r="K4387" t="n">
        <v>200</v>
      </c>
      <c r="L4387">
        <f>+OPERAC[[#This Row],[cantidad venta]]*9.64</f>
        <v/>
      </c>
    </row>
    <row r="4388">
      <c r="A4388" t="n">
        <v>16824</v>
      </c>
      <c r="B4388" s="16" t="n">
        <v>44536</v>
      </c>
      <c r="C4388" t="inlineStr">
        <is>
          <t>CPR</t>
        </is>
      </c>
      <c r="D4388" t="n">
        <v>40</v>
      </c>
      <c r="E4388">
        <f>IF(D4783&gt;0,VLOOKUP(OPERAC[[#This Row],[COD CART]],[1]!MatrizCortoLargoCyl[#All],3,0),"")</f>
        <v/>
      </c>
      <c r="F4388" t="inlineStr">
        <is>
          <t>UVXY</t>
        </is>
      </c>
      <c r="G4388" t="n">
        <v>60</v>
      </c>
      <c r="H4388" t="n">
        <v>-1390.7352</v>
      </c>
      <c r="I4388">
        <f>-H4783/G4783</f>
        <v/>
      </c>
      <c r="J4388" s="16" t="n">
        <v>44544</v>
      </c>
      <c r="K4388">
        <f>10+50</f>
        <v/>
      </c>
      <c r="L4388">
        <f>168.34+706.739</f>
        <v/>
      </c>
    </row>
    <row r="4389">
      <c r="A4389" t="n">
        <v>16824</v>
      </c>
      <c r="B4389" s="16" t="n">
        <v>44539</v>
      </c>
      <c r="C4389" t="inlineStr">
        <is>
          <t>CPR</t>
        </is>
      </c>
      <c r="D4389" t="n">
        <v>40</v>
      </c>
      <c r="E4389">
        <f>IF(D4653&gt;0,VLOOKUP(OPERAC[[#This Row],[COD CART]],[1]!MatrizCortoLargoCyl[#All],3,0),"")</f>
        <v/>
      </c>
      <c r="F4389" t="inlineStr">
        <is>
          <t>ROKU</t>
        </is>
      </c>
      <c r="G4389" t="n">
        <v>5</v>
      </c>
      <c r="H4389" t="n">
        <v>-1288.6018</v>
      </c>
      <c r="I4389">
        <f>-H4653/G4653</f>
        <v/>
      </c>
      <c r="J4389" s="16" t="n">
        <v>44606</v>
      </c>
      <c r="K4389">
        <f>+OPERAC[[#This Row],[cantidad]]</f>
        <v/>
      </c>
      <c r="L4389">
        <f>+OPERAC[[#This Row],[cantidad venta]]*160.574</f>
        <v/>
      </c>
    </row>
    <row r="4390">
      <c r="A4390" t="n">
        <v>16824</v>
      </c>
      <c r="B4390" s="16" t="n">
        <v>44547</v>
      </c>
      <c r="C4390" t="inlineStr">
        <is>
          <t>VTA</t>
        </is>
      </c>
      <c r="D4390" t="n">
        <v>39</v>
      </c>
      <c r="E4390">
        <f>IF(D541&gt;0,VLOOKUP(OPERAC[[#This Row],[COD CART]],[1]!MatrizCortoLargoCyl[#All],3,0),"")</f>
        <v/>
      </c>
      <c r="F4390" t="inlineStr">
        <is>
          <t>TLRY/V/8,00/18-02-22</t>
        </is>
      </c>
      <c r="G4390" t="n">
        <v>-600</v>
      </c>
      <c r="H4390" t="n">
        <v>830.2746</v>
      </c>
      <c r="I4390">
        <f>-H541/G541</f>
        <v/>
      </c>
      <c r="J4390" s="16" t="n">
        <v>44601</v>
      </c>
      <c r="K4390" t="n">
        <v>-600</v>
      </c>
      <c r="L4390">
        <f>1.38*OPERAC[[#This Row],[cantidad venta]]</f>
        <v/>
      </c>
    </row>
    <row r="4391">
      <c r="A4391" t="n">
        <v>16824</v>
      </c>
      <c r="B4391" s="16" t="n">
        <v>44550</v>
      </c>
      <c r="C4391" t="inlineStr">
        <is>
          <t>CPR</t>
        </is>
      </c>
      <c r="D4391" t="n">
        <v>40</v>
      </c>
      <c r="E4391">
        <f>IF(D4899&gt;0,VLOOKUP(OPERAC[[#This Row],[COD CART]],[1]!MatrizCortoLargoCyl[#All],3,0),"")</f>
        <v/>
      </c>
      <c r="F4391" t="inlineStr">
        <is>
          <t>SMH</t>
        </is>
      </c>
      <c r="G4391" t="n">
        <v>5</v>
      </c>
      <c r="H4391" t="n">
        <v>-1469.8652</v>
      </c>
      <c r="I4391">
        <f>-H4899/G4899</f>
        <v/>
      </c>
      <c r="J4391" s="16" t="n">
        <v>44551</v>
      </c>
      <c r="K4391">
        <f>3+2</f>
        <v/>
      </c>
      <c r="L4391">
        <f>885.342+613.686</f>
        <v/>
      </c>
    </row>
    <row r="4392">
      <c r="A4392" t="n">
        <v>16824</v>
      </c>
      <c r="B4392" s="16" t="n">
        <v>44579</v>
      </c>
      <c r="C4392" t="inlineStr">
        <is>
          <t>VTA</t>
        </is>
      </c>
      <c r="D4392" t="n">
        <v>39</v>
      </c>
      <c r="E4392">
        <f>IF(D1120&gt;0,VLOOKUP(OPERAC[[#This Row],[COD CART]],[1]!MatrizCortoLargoCyl[#All],3,0),"")</f>
        <v/>
      </c>
      <c r="F4392" t="inlineStr">
        <is>
          <t>YPF/V/5,00/15-07-22</t>
        </is>
      </c>
      <c r="G4392" t="n">
        <v>-20</v>
      </c>
      <c r="H4392" t="n">
        <v>21.698</v>
      </c>
      <c r="I4392">
        <f>-H1120/G1120</f>
        <v/>
      </c>
    </row>
    <row r="4393">
      <c r="A4393" t="n">
        <v>16824</v>
      </c>
      <c r="B4393" s="16" t="n">
        <v>44582</v>
      </c>
      <c r="C4393" t="inlineStr">
        <is>
          <t>VTA</t>
        </is>
      </c>
      <c r="D4393" t="n">
        <v>40</v>
      </c>
      <c r="E4393">
        <f>IF(D5490&gt;0,VLOOKUP(OPERAC[[#This Row],[COD CART]],[1]!MatrizCortoLargoCyl[#All],3,0),"")</f>
        <v/>
      </c>
      <c r="F4393" t="inlineStr">
        <is>
          <t>NFLX</t>
        </is>
      </c>
      <c r="G4393" t="n">
        <v>5</v>
      </c>
      <c r="H4393" t="n">
        <v>-1953.1855</v>
      </c>
      <c r="I4393">
        <f>-H5490/G5490</f>
        <v/>
      </c>
      <c r="J4393" s="16" t="n">
        <v>44593</v>
      </c>
      <c r="K4393">
        <f>+OPERAC[[#This Row],[cantidad]]</f>
        <v/>
      </c>
      <c r="L4393">
        <f>+OPERAC[[#This Row],[cantidad venta]]*448.602</f>
        <v/>
      </c>
    </row>
    <row r="4394">
      <c r="A4394" t="n">
        <v>16824</v>
      </c>
      <c r="B4394" s="16" t="n">
        <v>44586</v>
      </c>
      <c r="C4394" t="inlineStr">
        <is>
          <t>VTA</t>
        </is>
      </c>
      <c r="D4394" t="n">
        <v>43</v>
      </c>
      <c r="E4394">
        <f>IF(D4992&gt;0,VLOOKUP(OPERAC[[#This Row],[COD CART]],[1]!MatrizCortoLargoCyl[#All],3,0),"")</f>
        <v/>
      </c>
      <c r="F4394" t="inlineStr">
        <is>
          <t>GMBL/CYL-PUT/2,50/20-01-23</t>
        </is>
      </c>
      <c r="G4394" t="n">
        <v>1500</v>
      </c>
      <c r="H4394" t="n">
        <v>-1524.062300000001</v>
      </c>
      <c r="I4394">
        <f>-H4992/G4992</f>
        <v/>
      </c>
      <c r="J4394" s="16" t="n">
        <v>44636</v>
      </c>
      <c r="K4394" t="n">
        <v>1500</v>
      </c>
      <c r="L4394">
        <f>-1.36*OPERAC[[#This Row],[cantidad venta]]</f>
        <v/>
      </c>
    </row>
    <row r="4395">
      <c r="A4395" t="n">
        <v>16824</v>
      </c>
      <c r="B4395" s="16" t="n">
        <v>44587</v>
      </c>
      <c r="C4395" t="inlineStr">
        <is>
          <t>VTA</t>
        </is>
      </c>
      <c r="D4395" t="n">
        <v>40</v>
      </c>
      <c r="E4395">
        <f>IF(D5589&gt;0,VLOOKUP(OPERAC[[#This Row],[COD CART]],[1]!MatrizCortoLargoCyl[#All],3,0),"")</f>
        <v/>
      </c>
      <c r="F4395" t="inlineStr">
        <is>
          <t>MSFT</t>
        </is>
      </c>
      <c r="G4395" t="n">
        <v>7</v>
      </c>
      <c r="H4395" t="n">
        <v>-2123.87882</v>
      </c>
      <c r="I4395">
        <f>-H5589/G5589</f>
        <v/>
      </c>
      <c r="J4395" s="16" t="n">
        <v>44606</v>
      </c>
      <c r="K4395">
        <f>+OPERAC[[#This Row],[cantidad]]</f>
        <v/>
      </c>
      <c r="L4395">
        <f>+OPERAC[[#This Row],[cantidad venta]]*290.091</f>
        <v/>
      </c>
    </row>
    <row r="4396">
      <c r="A4396" t="n">
        <v>16824</v>
      </c>
      <c r="B4396" s="16" t="n">
        <v>44594</v>
      </c>
      <c r="C4396" t="inlineStr">
        <is>
          <t>CPR</t>
        </is>
      </c>
      <c r="D4396" t="n">
        <v>40</v>
      </c>
      <c r="E4396">
        <f>IF(D5911&gt;0,VLOOKUP(OPERAC[[#This Row],[COD CART]],[1]!MatrizCortoLargoCyl[#All],3,0),"")</f>
        <v/>
      </c>
      <c r="F4396" t="inlineStr">
        <is>
          <t>EDU</t>
        </is>
      </c>
      <c r="G4396" t="n">
        <v>1500</v>
      </c>
      <c r="H4396" t="n">
        <v>-3024</v>
      </c>
      <c r="I4396">
        <f>-H5911/G5911</f>
        <v/>
      </c>
      <c r="J4396" s="16" t="n">
        <v>44601</v>
      </c>
      <c r="K4396" t="n">
        <v>1500</v>
      </c>
      <c r="L4396">
        <f>1500*1.642</f>
        <v/>
      </c>
    </row>
    <row r="4397">
      <c r="A4397" t="n">
        <v>16824</v>
      </c>
      <c r="B4397" s="16" t="n">
        <v>44601</v>
      </c>
      <c r="C4397" t="inlineStr">
        <is>
          <t>VTA</t>
        </is>
      </c>
      <c r="D4397" t="n">
        <v>39</v>
      </c>
      <c r="E4397">
        <f>IF(D1198&gt;0,VLOOKUP(OPERAC[[#This Row],[COD CART]],[1]!MatrizCortoLargoCyl[#All],3,0),"")</f>
        <v/>
      </c>
      <c r="F4397" t="inlineStr">
        <is>
          <t>ACB/V/5,00/16-09-22</t>
        </is>
      </c>
      <c r="G4397" t="n">
        <v>-6</v>
      </c>
      <c r="H4397">
        <f>-1.56*OPERAC[[#This Row],[cantidad]]</f>
        <v/>
      </c>
      <c r="I4397">
        <f>-H1198/G1198</f>
        <v/>
      </c>
    </row>
    <row r="4398">
      <c r="A4398" t="n">
        <v>16824</v>
      </c>
      <c r="B4398" s="16" t="n">
        <v>44602</v>
      </c>
      <c r="C4398" t="inlineStr">
        <is>
          <t>CPR</t>
        </is>
      </c>
      <c r="D4398" t="n">
        <v>32</v>
      </c>
      <c r="E4398">
        <f>IF(D5780&gt;0,VLOOKUP(OPERAC[[#This Row],[COD CART]],[1]!MatrizCortoLargoCyl[#All],3,0),"")</f>
        <v/>
      </c>
      <c r="F4398" t="inlineStr">
        <is>
          <t>BIOX</t>
        </is>
      </c>
      <c r="G4398" t="n">
        <v>200</v>
      </c>
      <c r="H4398">
        <f>-2672+29.76</f>
        <v/>
      </c>
      <c r="I4398">
        <f>-H5780/G5780</f>
        <v/>
      </c>
      <c r="J4398" s="16" t="n">
        <v>44669</v>
      </c>
      <c r="K4398">
        <f>100+100</f>
        <v/>
      </c>
      <c r="L4398">
        <f>1189.8+1368.847</f>
        <v/>
      </c>
    </row>
    <row r="4399">
      <c r="A4399" t="n">
        <v>16824</v>
      </c>
      <c r="B4399" s="16" t="n">
        <v>44608</v>
      </c>
      <c r="C4399" t="inlineStr">
        <is>
          <t>VTA</t>
        </is>
      </c>
      <c r="D4399" t="n">
        <v>32</v>
      </c>
      <c r="E4399">
        <f>IF(D5115&gt;0,VLOOKUP(OPERAC[[#This Row],[COD CART]],[1]!MatrizCortoLargoCyl[#All],3,0),"")</f>
        <v/>
      </c>
      <c r="F4399" t="inlineStr">
        <is>
          <t>DDD/CYL/17,00/01-04-22</t>
        </is>
      </c>
      <c r="G4399" t="n">
        <v>100</v>
      </c>
      <c r="H4399">
        <f>-1629.4234+19.7+16.45</f>
        <v/>
      </c>
      <c r="I4399">
        <f>-H5115/G5115</f>
        <v/>
      </c>
      <c r="J4399" s="16" t="n">
        <v>44649</v>
      </c>
      <c r="K4399" t="n">
        <v>100</v>
      </c>
      <c r="L4399" t="n">
        <v>1661.98</v>
      </c>
    </row>
    <row r="4400">
      <c r="A4400" t="n">
        <v>16824</v>
      </c>
      <c r="B4400" s="16" t="n">
        <v>44616</v>
      </c>
      <c r="C4400" t="inlineStr">
        <is>
          <t>CPR</t>
        </is>
      </c>
      <c r="D4400" t="n">
        <v>41</v>
      </c>
      <c r="E4400">
        <f>IF(D2706&gt;0,VLOOKUP(OPERAC[[#This Row],[COD CART]],[1]!MatrizCortoLargoCyl[#All],3,0),"")</f>
        <v/>
      </c>
      <c r="F4400" t="inlineStr">
        <is>
          <t>CORN</t>
        </is>
      </c>
      <c r="G4400" t="n">
        <v>20</v>
      </c>
      <c r="H4400" t="n">
        <v>-497.3392000000001</v>
      </c>
      <c r="I4400">
        <f>-H2706/G2706</f>
        <v/>
      </c>
    </row>
    <row r="4401">
      <c r="A4401" t="n">
        <v>16824</v>
      </c>
      <c r="B4401" s="16" t="n">
        <v>44616</v>
      </c>
      <c r="C4401" t="inlineStr">
        <is>
          <t>VTA</t>
        </is>
      </c>
      <c r="D4401" t="n">
        <v>39</v>
      </c>
      <c r="E4401">
        <f>IF(D1054&gt;0,VLOOKUP(OPERAC[[#This Row],[COD CART]],[1]!MatrizCortoLargoCyl[#All],3,0),"")</f>
        <v/>
      </c>
      <c r="F4401" t="inlineStr">
        <is>
          <t>ROKU/V/55,00/20-01-23</t>
        </is>
      </c>
      <c r="G4401" t="n">
        <v>-10</v>
      </c>
      <c r="H4401" t="n">
        <v>40.63</v>
      </c>
      <c r="I4401">
        <f>-H1054/G1054</f>
        <v/>
      </c>
      <c r="J4401" s="16" t="n">
        <v>44672</v>
      </c>
      <c r="K4401" t="n">
        <v>-10</v>
      </c>
      <c r="L4401" t="n">
        <v>-47.3995</v>
      </c>
    </row>
    <row r="4402">
      <c r="A4402" t="n">
        <v>16824</v>
      </c>
      <c r="B4402" s="16" t="n">
        <v>44616</v>
      </c>
      <c r="C4402" t="inlineStr">
        <is>
          <t>VTA</t>
        </is>
      </c>
      <c r="D4402" t="n">
        <v>41</v>
      </c>
      <c r="E4402">
        <f>IF(D1661&gt;0,VLOOKUP(OPERAC[[#This Row],[COD CART]],[1]!MatrizCortoLargoCyl[#All],3,0),"")</f>
        <v/>
      </c>
      <c r="F4402" t="inlineStr">
        <is>
          <t>SLV</t>
        </is>
      </c>
      <c r="G4402" t="n">
        <v>10</v>
      </c>
      <c r="H4402" t="n">
        <v>-231.0256</v>
      </c>
      <c r="I4402">
        <f>-H1661/G1661</f>
        <v/>
      </c>
    </row>
    <row r="4403">
      <c r="A4403" t="n">
        <v>16824</v>
      </c>
      <c r="B4403" s="16" t="n">
        <v>44616</v>
      </c>
      <c r="C4403" t="inlineStr">
        <is>
          <t>VTA</t>
        </is>
      </c>
      <c r="D4403" t="n">
        <v>41</v>
      </c>
      <c r="E4403">
        <f>IF(D2171&gt;0,VLOOKUP(OPERAC[[#This Row],[COD CART]],[1]!MatrizCortoLargoCyl[#All],3,0),"")</f>
        <v/>
      </c>
      <c r="F4403" t="inlineStr">
        <is>
          <t>GLD</t>
        </is>
      </c>
      <c r="G4403" t="n">
        <v>2</v>
      </c>
      <c r="H4403" t="n">
        <v>-362.872</v>
      </c>
      <c r="I4403">
        <f>-H2171/G2171</f>
        <v/>
      </c>
    </row>
    <row r="4404">
      <c r="A4404" t="n">
        <v>16824</v>
      </c>
      <c r="B4404" s="16" t="n">
        <v>44616</v>
      </c>
      <c r="C4404" t="inlineStr">
        <is>
          <t>VTA</t>
        </is>
      </c>
      <c r="D4404" t="n">
        <v>41</v>
      </c>
      <c r="E4404">
        <f>IF(D2917&gt;0,VLOOKUP(OPERAC[[#This Row],[COD CART]],[1]!MatrizCortoLargoCyl[#All],3,0),"")</f>
        <v/>
      </c>
      <c r="F4404" t="inlineStr">
        <is>
          <t>SOYB</t>
        </is>
      </c>
      <c r="G4404" t="n">
        <v>20</v>
      </c>
      <c r="H4404" t="n">
        <v>-550.7632</v>
      </c>
      <c r="I4404">
        <f>-H2917/G2917</f>
        <v/>
      </c>
    </row>
    <row r="4405">
      <c r="A4405" t="n">
        <v>16824</v>
      </c>
      <c r="B4405" s="16" t="n">
        <v>44616</v>
      </c>
      <c r="C4405" t="inlineStr">
        <is>
          <t>VTA</t>
        </is>
      </c>
      <c r="D4405" t="n">
        <v>41</v>
      </c>
      <c r="E4405">
        <f>IF(D3210&gt;0,VLOOKUP(OPERAC[[#This Row],[COD CART]],[1]!MatrizCortoLargoCyl[#All],3,0),"")</f>
        <v/>
      </c>
      <c r="F4405" t="inlineStr">
        <is>
          <t>URA</t>
        </is>
      </c>
      <c r="G4405" t="n">
        <v>30</v>
      </c>
      <c r="H4405" t="n">
        <v>-656.6032</v>
      </c>
      <c r="I4405">
        <f>-H3210/G3210</f>
        <v/>
      </c>
    </row>
    <row r="4406">
      <c r="A4406" t="n">
        <v>16824</v>
      </c>
      <c r="B4406" s="16" t="n">
        <v>44634</v>
      </c>
      <c r="C4406" t="inlineStr">
        <is>
          <t>VTA</t>
        </is>
      </c>
      <c r="D4406" t="n">
        <v>42</v>
      </c>
      <c r="E4406">
        <f>IF(D5225&gt;0,VLOOKUP(OPERAC[[#This Row],[COD CART]],[1]!MatrizCortoLargoCyl[#All],3,0),"")</f>
        <v/>
      </c>
      <c r="F4406" t="inlineStr">
        <is>
          <t>INO</t>
        </is>
      </c>
      <c r="G4406" t="n">
        <v>500</v>
      </c>
      <c r="H4406" t="n">
        <v>-1660.408</v>
      </c>
      <c r="I4406">
        <f>-H5225/G5225</f>
        <v/>
      </c>
      <c r="J4406" s="16" t="n">
        <v>44634</v>
      </c>
      <c r="K4406" t="n">
        <v>500</v>
      </c>
      <c r="L4406" t="n">
        <v>1494.4275</v>
      </c>
    </row>
    <row r="4407">
      <c r="A4407" t="n">
        <v>16824</v>
      </c>
      <c r="B4407" s="16" t="n">
        <v>44636</v>
      </c>
      <c r="C4407" t="inlineStr">
        <is>
          <t>CPR</t>
        </is>
      </c>
      <c r="D4407" t="n">
        <v>43</v>
      </c>
      <c r="E4407">
        <f>IF(D3419&gt;0,VLOOKUP(OPERAC[[#This Row],[COD CART]],[1]!MatrizCortoLargoCyl[#All],3,0),"")</f>
        <v/>
      </c>
      <c r="F4407" t="inlineStr">
        <is>
          <t>GMBL/CYL-PUT/1,00/20-01-23</t>
        </is>
      </c>
      <c r="G4407" t="n">
        <v>4500</v>
      </c>
      <c r="H4407" t="n">
        <v>-735.2489249999999</v>
      </c>
      <c r="I4407">
        <f>-H3419/G3419</f>
        <v/>
      </c>
    </row>
    <row r="4408">
      <c r="A4408" t="n">
        <v>16824</v>
      </c>
      <c r="B4408" s="16" t="n">
        <v>44637</v>
      </c>
      <c r="C4408" t="inlineStr">
        <is>
          <t>VTA</t>
        </is>
      </c>
      <c r="D4408" t="n">
        <v>43</v>
      </c>
      <c r="E4408">
        <f>IF(D2353&gt;0,VLOOKUP(OPERAC[[#This Row],[COD CART]],[1]!MatrizCortoLargoCyl[#All],3,0),"")</f>
        <v/>
      </c>
      <c r="F4408" t="inlineStr">
        <is>
          <t>GMBL/CYL-PUT/1,00/20-01-23</t>
        </is>
      </c>
      <c r="G4408" t="n">
        <v>2000</v>
      </c>
      <c r="H4408" t="n">
        <v>-415.6635199999999</v>
      </c>
      <c r="I4408">
        <f>-H2353/G2353</f>
        <v/>
      </c>
    </row>
    <row r="4409">
      <c r="A4409" t="n">
        <v>16824</v>
      </c>
      <c r="B4409" s="16" t="n">
        <v>44649</v>
      </c>
      <c r="C4409" t="inlineStr">
        <is>
          <t>CPR</t>
        </is>
      </c>
      <c r="D4409" t="n">
        <v>42</v>
      </c>
      <c r="E4409">
        <f>IF(D4010&gt;0,VLOOKUP(OPERAC[[#This Row],[COD CART]],[1]!MatrizCortoLargoCyl[#All],3,0),"")</f>
        <v/>
      </c>
      <c r="F4409" t="inlineStr">
        <is>
          <t>FB</t>
        </is>
      </c>
      <c r="G4409" t="n">
        <v>4</v>
      </c>
      <c r="H4409" t="n">
        <v>-919.6226</v>
      </c>
      <c r="I4409">
        <f>-H4010/G4010</f>
        <v/>
      </c>
      <c r="J4409" s="16" t="n">
        <v>44671</v>
      </c>
      <c r="K4409">
        <f>+OPERAC[[#This Row],[cantidad]]</f>
        <v/>
      </c>
      <c r="L4409">
        <f>+OPERAC[[#This Row],[cantidad venta]]*213.173</f>
        <v/>
      </c>
    </row>
    <row r="4410">
      <c r="A4410" t="n">
        <v>16824</v>
      </c>
      <c r="B4410" s="16" t="n">
        <v>44649</v>
      </c>
      <c r="C4410" t="inlineStr">
        <is>
          <t>VTA</t>
        </is>
      </c>
      <c r="D4410" t="n">
        <v>42</v>
      </c>
      <c r="E4410">
        <f>IF(D3761&gt;0,VLOOKUP(OPERAC[[#This Row],[COD CART]],[1]!MatrizCortoLargoCyl[#All],3,0),"")</f>
        <v/>
      </c>
      <c r="F4410" t="inlineStr">
        <is>
          <t>SMH</t>
        </is>
      </c>
      <c r="G4410" t="n">
        <v>3</v>
      </c>
      <c r="H4410" t="n">
        <v>-845.7715999999999</v>
      </c>
      <c r="I4410">
        <f>-H3761/G3761</f>
        <v/>
      </c>
      <c r="J4410" s="16" t="n">
        <v>44663</v>
      </c>
      <c r="K4410">
        <f>+OPERAC[[#This Row],[cantidad]]</f>
        <v/>
      </c>
      <c r="L4410">
        <f>+OPERAC[[#This Row],[cantidad venta]]*238.066</f>
        <v/>
      </c>
    </row>
    <row r="4411">
      <c r="A4411" t="n">
        <v>16824</v>
      </c>
      <c r="B4411" s="16" t="n">
        <v>44650</v>
      </c>
      <c r="C4411" t="inlineStr">
        <is>
          <t>VTA</t>
        </is>
      </c>
      <c r="D4411" t="n">
        <v>39</v>
      </c>
      <c r="E4411">
        <f>IF(D301&gt;0,VLOOKUP(OPERAC[[#This Row],[COD CART]],[1]!MatrizCortoLargoCyl[#All],3,0),"")</f>
        <v/>
      </c>
      <c r="F4411" t="inlineStr">
        <is>
          <t>TSLA/C/1250,00/01-04-22</t>
        </is>
      </c>
      <c r="G4411" t="n">
        <v>-2000</v>
      </c>
      <c r="H4411" t="n">
        <v>1533.69</v>
      </c>
      <c r="I4411">
        <f>-H301/G301</f>
        <v/>
      </c>
      <c r="J4411" s="16" t="n">
        <v>44652</v>
      </c>
      <c r="K4411" t="n">
        <v>-2000</v>
      </c>
      <c r="L4411" t="n">
        <v>0</v>
      </c>
    </row>
    <row r="4412">
      <c r="A4412" t="n">
        <v>16824</v>
      </c>
      <c r="B4412" s="16" t="n">
        <v>44662</v>
      </c>
      <c r="C4412" t="inlineStr">
        <is>
          <t>CPR</t>
        </is>
      </c>
      <c r="D4412" t="n">
        <v>42</v>
      </c>
      <c r="E4412">
        <f>IF(D4044&gt;0,VLOOKUP(OPERAC[[#This Row],[COD CART]],[1]!MatrizCortoLargoCyl[#All],3,0),"")</f>
        <v/>
      </c>
      <c r="F4412" t="inlineStr">
        <is>
          <t>HYDR</t>
        </is>
      </c>
      <c r="G4412" t="n">
        <v>50</v>
      </c>
      <c r="H4412" t="n">
        <v>-928.5172</v>
      </c>
      <c r="I4412">
        <f>-H4044/G4044</f>
        <v/>
      </c>
      <c r="J4412" s="16" t="n">
        <v>44692</v>
      </c>
      <c r="K4412" t="n">
        <v>50</v>
      </c>
      <c r="L4412" t="n">
        <v>646.458</v>
      </c>
    </row>
    <row r="4413">
      <c r="A4413" t="n">
        <v>16824</v>
      </c>
      <c r="B4413" s="16" t="n">
        <v>44664</v>
      </c>
      <c r="C4413" t="inlineStr">
        <is>
          <t>CPR</t>
        </is>
      </c>
      <c r="D4413" t="n">
        <v>42</v>
      </c>
      <c r="E4413">
        <f>IF(D4585&gt;0,VLOOKUP(OPERAC[[#This Row],[COD CART]],[1]!MatrizCortoLargoCyl[#All],3,0),"")</f>
        <v/>
      </c>
      <c r="F4413" t="inlineStr">
        <is>
          <t>PSQ</t>
        </is>
      </c>
      <c r="G4413" t="n">
        <v>100</v>
      </c>
      <c r="H4413" t="n">
        <v>-1243.2572181</v>
      </c>
      <c r="I4413">
        <f>-H4585/G4585</f>
        <v/>
      </c>
      <c r="J4413" s="16" t="n">
        <v>44680</v>
      </c>
      <c r="K4413">
        <f>+OPERAC[[#This Row],[cantidad]]</f>
        <v/>
      </c>
      <c r="L4413">
        <f>12.848*OPERAC[[#This Row],[cantidad venta]]</f>
        <v/>
      </c>
    </row>
    <row r="4414">
      <c r="A4414" t="n">
        <v>16824</v>
      </c>
      <c r="B4414" s="16" t="n">
        <v>44671</v>
      </c>
      <c r="C4414" t="inlineStr">
        <is>
          <t>CPR</t>
        </is>
      </c>
      <c r="D4414" t="n">
        <v>42</v>
      </c>
      <c r="E4414">
        <f>IF(D3508&gt;0,VLOOKUP(OPERAC[[#This Row],[COD CART]],[1]!MatrizCortoLargoCyl[#All],3,0),"")</f>
        <v/>
      </c>
      <c r="F4414" t="inlineStr">
        <is>
          <t>NFLX</t>
        </is>
      </c>
      <c r="G4414" t="n">
        <v>3</v>
      </c>
      <c r="H4414" t="n">
        <v>-763.51518</v>
      </c>
      <c r="I4414">
        <f>-H3508/G3508</f>
        <v/>
      </c>
    </row>
    <row r="4415">
      <c r="A4415" t="n">
        <v>16824</v>
      </c>
      <c r="B4415" s="16" t="n">
        <v>44677</v>
      </c>
      <c r="C4415" t="inlineStr">
        <is>
          <t>VTA</t>
        </is>
      </c>
      <c r="D4415" t="n">
        <v>39</v>
      </c>
      <c r="E4415">
        <f>IF(D43&gt;0,VLOOKUP(OPERAC[[#This Row],[COD CART]],[1]!MatrizCortoLargoCyl[#All],3,0),"")</f>
        <v/>
      </c>
      <c r="F4415" t="inlineStr">
        <is>
          <t>TSLA/V/830,00/29-04-22</t>
        </is>
      </c>
      <c r="G4415" t="n">
        <v>-1000</v>
      </c>
      <c r="H4415" t="n">
        <v>5473.08</v>
      </c>
      <c r="I4415">
        <f>-H43/G43</f>
        <v/>
      </c>
      <c r="J4415" s="16" t="n">
        <v>44679</v>
      </c>
      <c r="K4415" t="n">
        <v>-1000</v>
      </c>
      <c r="L4415" t="n">
        <v>-14189.59</v>
      </c>
    </row>
    <row r="4416">
      <c r="A4416" t="n">
        <v>16824</v>
      </c>
      <c r="B4416" s="16" t="n">
        <v>44679</v>
      </c>
      <c r="C4416" t="inlineStr">
        <is>
          <t>VTA</t>
        </is>
      </c>
      <c r="D4416" t="n">
        <v>39</v>
      </c>
      <c r="E4416">
        <f>IF(D910&gt;0,VLOOKUP(OPERAC[[#This Row],[COD CART]],[1]!MatrizCortoLargoCyl[#All],3,0),"")</f>
        <v/>
      </c>
      <c r="F4416" t="inlineStr">
        <is>
          <t>TSLA/V/750,00/06-05-22</t>
        </is>
      </c>
      <c r="G4416" t="n">
        <v>-10</v>
      </c>
      <c r="H4416" t="n">
        <v>140.79</v>
      </c>
      <c r="I4416">
        <f>-H910/G910</f>
        <v/>
      </c>
      <c r="J4416" s="16" t="n">
        <v>44684</v>
      </c>
      <c r="K4416" t="n">
        <v>-10</v>
      </c>
      <c r="L4416" t="n">
        <v>-9.970000000000001</v>
      </c>
    </row>
    <row r="4417">
      <c r="A4417" t="n">
        <v>16824</v>
      </c>
      <c r="B4417" s="16" t="n">
        <v>44680</v>
      </c>
      <c r="C4417" t="inlineStr">
        <is>
          <t>CPR</t>
        </is>
      </c>
      <c r="D4417" t="n">
        <v>42</v>
      </c>
      <c r="E4417">
        <f>IF(D4744&gt;0,VLOOKUP(OPERAC[[#This Row],[COD CART]],[1]!MatrizCortoLargoCyl[#All],3,0),"")</f>
        <v/>
      </c>
      <c r="F4417" t="inlineStr">
        <is>
          <t>XLP</t>
        </is>
      </c>
      <c r="G4417" t="n">
        <v>17</v>
      </c>
      <c r="H4417" t="n">
        <v>-1350.3865425</v>
      </c>
      <c r="I4417">
        <f>-H4744/G4744</f>
        <v/>
      </c>
    </row>
    <row r="4418">
      <c r="A4418" t="n">
        <v>16824</v>
      </c>
      <c r="B4418" s="16" t="n">
        <v>44680</v>
      </c>
      <c r="C4418" t="inlineStr">
        <is>
          <t>CPR</t>
        </is>
      </c>
      <c r="D4418" t="n">
        <v>32</v>
      </c>
      <c r="E4418">
        <f>IF(D4921&gt;0,VLOOKUP(OPERAC[[#This Row],[COD CART]],[1]!MatrizCortoLargoCyl[#All],3,0),"")</f>
        <v/>
      </c>
      <c r="F4418" t="inlineStr">
        <is>
          <t>COTY/CYL/8,00/17-06-22</t>
        </is>
      </c>
      <c r="G4418" t="n">
        <v>200</v>
      </c>
      <c r="H4418">
        <f>-1512.41+13.88</f>
        <v/>
      </c>
      <c r="I4418">
        <f>-H4921/G4921</f>
        <v/>
      </c>
    </row>
    <row r="4419">
      <c r="A4419" t="n">
        <v>16829</v>
      </c>
      <c r="B4419" s="16" t="n">
        <v>44167</v>
      </c>
      <c r="C4419" t="inlineStr">
        <is>
          <t>VTA</t>
        </is>
      </c>
      <c r="D4419" t="n">
        <v>39</v>
      </c>
      <c r="E4419">
        <f>IF(D873&gt;0,VLOOKUP(OPERAC[[#This Row],[COD CART]],[1]!MatrizCortoLargoCyl[#All],3,0),"")</f>
        <v/>
      </c>
      <c r="F4419" t="inlineStr">
        <is>
          <t>PBR/V/8,00/21-01-22</t>
        </is>
      </c>
      <c r="G4419" t="n">
        <v>-200</v>
      </c>
      <c r="H4419" t="n">
        <v>197.52</v>
      </c>
      <c r="I4419">
        <f>-H873/G873</f>
        <v/>
      </c>
      <c r="J4419" s="16" t="n">
        <v>44582</v>
      </c>
      <c r="K4419" t="n">
        <v>-200</v>
      </c>
      <c r="L4419" t="n">
        <v>0</v>
      </c>
    </row>
    <row r="4420">
      <c r="A4420" t="n">
        <v>16829</v>
      </c>
      <c r="B4420" s="16" t="n">
        <v>44441</v>
      </c>
      <c r="C4420" t="inlineStr">
        <is>
          <t>VTA</t>
        </is>
      </c>
      <c r="D4420" t="n">
        <v>39</v>
      </c>
      <c r="E4420">
        <f>IF(D588&gt;0,VLOOKUP(OPERAC[[#This Row],[COD CART]],[1]!MatrizCortoLargoCyl[#All],3,0),"")</f>
        <v/>
      </c>
      <c r="F4420" t="inlineStr">
        <is>
          <t>EDIT/V/35,00/20-01-23</t>
        </is>
      </c>
      <c r="G4420" t="n">
        <v>-100</v>
      </c>
      <c r="H4420" t="n">
        <v>644.8</v>
      </c>
      <c r="I4420">
        <f>-H588/G588</f>
        <v/>
      </c>
      <c r="J4420" s="16" t="n">
        <v>44614</v>
      </c>
      <c r="K4420" t="n">
        <v>-100</v>
      </c>
      <c r="L4420" t="n">
        <v>-2128.48</v>
      </c>
    </row>
    <row r="4421">
      <c r="A4421" t="n">
        <v>16829</v>
      </c>
      <c r="B4421" s="16" t="n">
        <v>44453</v>
      </c>
      <c r="C4421" t="inlineStr">
        <is>
          <t>CPR</t>
        </is>
      </c>
      <c r="D4421" t="n">
        <v>40</v>
      </c>
      <c r="E4421">
        <f>IF(D3343&gt;0,VLOOKUP(OPERAC[[#This Row],[COD CART]],[1]!MatrizCortoLargoCyl[#All],3,0),"")</f>
        <v/>
      </c>
      <c r="F4421" t="inlineStr">
        <is>
          <t>GMBL</t>
        </is>
      </c>
      <c r="G4421" t="n">
        <v>100</v>
      </c>
      <c r="H4421" t="n">
        <v>-697.2320000000001</v>
      </c>
      <c r="I4421">
        <f>-H3343/G3343</f>
        <v/>
      </c>
      <c r="J4421" s="16" t="n">
        <v>44706</v>
      </c>
      <c r="K4421" t="n">
        <v>100</v>
      </c>
      <c r="L4421" t="n">
        <v>35.35</v>
      </c>
    </row>
    <row r="4422">
      <c r="A4422" t="n">
        <v>16829</v>
      </c>
      <c r="B4422" s="16" t="n">
        <v>44489</v>
      </c>
      <c r="C4422" t="inlineStr">
        <is>
          <t>VTA</t>
        </is>
      </c>
      <c r="D4422" t="n">
        <v>43</v>
      </c>
      <c r="E4422">
        <f>IF(D1312&gt;0,VLOOKUP(OPERAC[[#This Row],[COD CART]],[1]!MatrizCortoLargoCyl[#All],3,0),"")</f>
        <v/>
      </c>
      <c r="F4422" t="inlineStr">
        <is>
          <t>SESN/CYL-PUT/1,00/19-01-24</t>
        </is>
      </c>
      <c r="G4422" t="n">
        <v>500</v>
      </c>
      <c r="H4422">
        <f>-0.1885*OPERAC[[#This Row],[cantidad]]</f>
        <v/>
      </c>
      <c r="I4422">
        <f>-H1312/G1312</f>
        <v/>
      </c>
      <c r="J4422" s="16" t="n">
        <v>44614</v>
      </c>
      <c r="K4422" t="n">
        <v>500</v>
      </c>
      <c r="L4422" t="n">
        <v>134.99</v>
      </c>
    </row>
    <row r="4423">
      <c r="A4423" t="n">
        <v>16829</v>
      </c>
      <c r="B4423" s="16" t="n">
        <v>44509</v>
      </c>
      <c r="C4423" t="inlineStr">
        <is>
          <t>VTA</t>
        </is>
      </c>
      <c r="D4423" t="n">
        <v>39</v>
      </c>
      <c r="E4423">
        <f>IF(D545&gt;0,VLOOKUP(OPERAC[[#This Row],[COD CART]],[1]!MatrizCortoLargoCyl[#All],3,0),"")</f>
        <v/>
      </c>
      <c r="F4423" t="inlineStr">
        <is>
          <t>TLRY/V/10,00/19-01-24</t>
        </is>
      </c>
      <c r="G4423" t="n">
        <v>-200</v>
      </c>
      <c r="H4423" t="n">
        <v>816.2199999999999</v>
      </c>
      <c r="I4423">
        <f>-H545/G545</f>
        <v/>
      </c>
      <c r="J4423" s="16" t="n">
        <v>44614</v>
      </c>
      <c r="K4423" t="n">
        <v>-200</v>
      </c>
      <c r="L4423" t="n">
        <v>-1165.2</v>
      </c>
    </row>
    <row r="4424">
      <c r="A4424" t="n">
        <v>16829</v>
      </c>
      <c r="B4424" s="16" t="n">
        <v>44532</v>
      </c>
      <c r="C4424" t="inlineStr">
        <is>
          <t>VTA</t>
        </is>
      </c>
      <c r="D4424" t="n">
        <v>32</v>
      </c>
      <c r="E4424">
        <f>IF(D3937&gt;0,VLOOKUP(OPERAC[[#This Row],[COD CART]],[1]!MatrizCortoLargoCyl[#All],3,0),"")</f>
        <v/>
      </c>
      <c r="F4424" t="inlineStr">
        <is>
          <t>COTY/CYL/10,00/18-02-22</t>
        </is>
      </c>
      <c r="G4424" t="n">
        <v>100</v>
      </c>
      <c r="H4424">
        <f>-901.599+20.838</f>
        <v/>
      </c>
      <c r="I4424">
        <f>-H3937/G3937</f>
        <v/>
      </c>
      <c r="J4424" s="16" t="n">
        <v>44608</v>
      </c>
      <c r="K4424">
        <f>+OPERAC[[#This Row],[cantidad]]</f>
        <v/>
      </c>
      <c r="L4424" t="n">
        <v>941.701</v>
      </c>
    </row>
    <row r="4425">
      <c r="A4425" t="n">
        <v>16829</v>
      </c>
      <c r="B4425" s="16" t="n">
        <v>44536</v>
      </c>
      <c r="C4425" t="inlineStr">
        <is>
          <t>CPR</t>
        </is>
      </c>
      <c r="D4425" t="n">
        <v>40</v>
      </c>
      <c r="E4425">
        <f>IF(D4784&gt;0,VLOOKUP(OPERAC[[#This Row],[COD CART]],[1]!MatrizCortoLargoCyl[#All],3,0),"")</f>
        <v/>
      </c>
      <c r="F4425" t="inlineStr">
        <is>
          <t>UVXY</t>
        </is>
      </c>
      <c r="G4425" t="n">
        <v>60</v>
      </c>
      <c r="H4425" t="n">
        <v>-1390.7352</v>
      </c>
      <c r="I4425">
        <f>-H4784/G4784</f>
        <v/>
      </c>
      <c r="J4425" s="16" t="n">
        <v>44571</v>
      </c>
      <c r="K4425">
        <f>+OPERAC[[#This Row],[cantidad]]</f>
        <v/>
      </c>
      <c r="L4425">
        <f>+OPERAC[[#This Row],[cantidad venta]]*14.135</f>
        <v/>
      </c>
    </row>
    <row r="4426">
      <c r="A4426" t="n">
        <v>16829</v>
      </c>
      <c r="B4426" s="16" t="n">
        <v>44550</v>
      </c>
      <c r="C4426" t="inlineStr">
        <is>
          <t>VTA</t>
        </is>
      </c>
      <c r="D4426" t="n">
        <v>40</v>
      </c>
      <c r="E4426">
        <f>IF(D1918&gt;0,VLOOKUP(OPERAC[[#This Row],[COD CART]],[1]!MatrizCortoLargoCyl[#All],3,0),"")</f>
        <v/>
      </c>
      <c r="F4426" t="inlineStr">
        <is>
          <t>SMH</t>
        </is>
      </c>
      <c r="G4426" t="n">
        <v>1</v>
      </c>
      <c r="H4426" t="n">
        <v>-293.97304</v>
      </c>
      <c r="I4426">
        <f>-H1918/G1918</f>
        <v/>
      </c>
      <c r="J4426" s="16" t="n">
        <v>44574</v>
      </c>
      <c r="K4426">
        <f>+OPERAC[[#This Row],[cantidad]]</f>
        <v/>
      </c>
      <c r="L4426">
        <f>+OPERAC[[#This Row],[cantidad venta]]*306.843</f>
        <v/>
      </c>
    </row>
    <row r="4427">
      <c r="A4427" t="n">
        <v>16829</v>
      </c>
      <c r="B4427" s="16" t="n">
        <v>44575</v>
      </c>
      <c r="C4427" t="inlineStr">
        <is>
          <t>VTA</t>
        </is>
      </c>
      <c r="D4427" t="n">
        <v>40</v>
      </c>
      <c r="E4427">
        <f>IF(D1986&gt;0,VLOOKUP(OPERAC[[#This Row],[COD CART]],[1]!MatrizCortoLargoCyl[#All],3,0),"")</f>
        <v/>
      </c>
      <c r="F4427" t="inlineStr">
        <is>
          <t>GBTC</t>
        </is>
      </c>
      <c r="G4427" t="n">
        <v>10</v>
      </c>
      <c r="H4427" t="n">
        <v>-306.8724</v>
      </c>
      <c r="I4427">
        <f>-H1986/G1986</f>
        <v/>
      </c>
      <c r="J4427" s="16" t="n">
        <v>44651</v>
      </c>
      <c r="K4427">
        <f>+OPERAC[[#This Row],[cantidad]]</f>
        <v/>
      </c>
      <c r="L4427">
        <f>+OPERAC[[#This Row],[cantidad venta]]*31.332</f>
        <v/>
      </c>
    </row>
    <row r="4428">
      <c r="A4428" t="n">
        <v>16829</v>
      </c>
      <c r="B4428" s="16" t="n">
        <v>44581</v>
      </c>
      <c r="C4428" t="inlineStr">
        <is>
          <t>VTA</t>
        </is>
      </c>
      <c r="D4428" t="n">
        <v>32</v>
      </c>
      <c r="E4428">
        <f>IF(D2264&gt;0,VLOOKUP(OPERAC[[#This Row],[COD CART]],[1]!MatrizCortoLargoCyl[#All],3,0),"")</f>
        <v/>
      </c>
      <c r="F4428" t="inlineStr">
        <is>
          <t>HMY/CYL/4,00/18-02-22</t>
        </is>
      </c>
      <c r="G4428" t="n">
        <v>100</v>
      </c>
      <c r="H4428" t="n">
        <v>-385.657448</v>
      </c>
      <c r="I4428">
        <f>-H2264/G2264</f>
        <v/>
      </c>
      <c r="J4428" s="16" t="n">
        <v>44610</v>
      </c>
      <c r="K4428">
        <f>+OPERAC[[#This Row],[cantidad]]</f>
        <v/>
      </c>
      <c r="L4428">
        <f>+OPERAC[[#This Row],[cantidad venta]]*3.8323</f>
        <v/>
      </c>
    </row>
    <row r="4429">
      <c r="A4429" t="n">
        <v>16829</v>
      </c>
      <c r="B4429" s="16" t="n">
        <v>44582</v>
      </c>
      <c r="C4429" t="inlineStr">
        <is>
          <t>CPR</t>
        </is>
      </c>
      <c r="D4429" t="n">
        <v>40</v>
      </c>
      <c r="E4429">
        <f>IF(D3535&gt;0,VLOOKUP(OPERAC[[#This Row],[COD CART]],[1]!MatrizCortoLargoCyl[#All],3,0),"")</f>
        <v/>
      </c>
      <c r="F4429" t="inlineStr">
        <is>
          <t>NFLX</t>
        </is>
      </c>
      <c r="G4429" t="n">
        <v>2</v>
      </c>
      <c r="H4429" t="n">
        <v>-769.0191600000001</v>
      </c>
      <c r="I4429">
        <f>-H3535/G3535</f>
        <v/>
      </c>
      <c r="J4429" s="16" t="n">
        <v>44593</v>
      </c>
      <c r="K4429">
        <f>+OPERAC[[#This Row],[cantidad]]</f>
        <v/>
      </c>
      <c r="L4429">
        <f>+OPERAC[[#This Row],[cantidad venta]]*448.602</f>
        <v/>
      </c>
    </row>
    <row r="4430">
      <c r="A4430" t="n">
        <v>16829</v>
      </c>
      <c r="B4430" s="16" t="n">
        <v>44586</v>
      </c>
      <c r="C4430" t="inlineStr">
        <is>
          <t>VTA</t>
        </is>
      </c>
      <c r="D4430" t="n">
        <v>43</v>
      </c>
      <c r="E4430">
        <f>IF(D1534&gt;0,VLOOKUP(OPERAC[[#This Row],[COD CART]],[1]!MatrizCortoLargoCyl[#All],3,0),"")</f>
        <v/>
      </c>
      <c r="F4430" t="inlineStr">
        <is>
          <t>GMBL/CYL-PUT/2,50/20-01-23</t>
        </is>
      </c>
      <c r="G4430" t="n">
        <v>200</v>
      </c>
      <c r="H4430" t="n">
        <v>-192.5711000000001</v>
      </c>
      <c r="I4430">
        <f>-H1534/G1534</f>
        <v/>
      </c>
    </row>
    <row r="4431">
      <c r="A4431" t="n">
        <v>16829</v>
      </c>
      <c r="B4431" s="16" t="n">
        <v>44609</v>
      </c>
      <c r="C4431" t="inlineStr">
        <is>
          <t>VTA</t>
        </is>
      </c>
      <c r="D4431" t="n">
        <v>32</v>
      </c>
      <c r="E4431">
        <f>IF(D3850&gt;0,VLOOKUP(OPERAC[[#This Row],[COD CART]],[1]!MatrizCortoLargoCyl[#All],3,0),"")</f>
        <v/>
      </c>
      <c r="F4431" t="inlineStr">
        <is>
          <t>HIMX/CYL/9,00/18-03-22</t>
        </is>
      </c>
      <c r="G4431" t="n">
        <v>100</v>
      </c>
      <c r="H4431" t="n">
        <v>-864.3919999999998</v>
      </c>
      <c r="I4431">
        <f>-H3850/G3850</f>
        <v/>
      </c>
      <c r="J4431" s="16" t="n">
        <v>44622</v>
      </c>
      <c r="K4431">
        <f>+OPERAC[[#This Row],[cantidad]]</f>
        <v/>
      </c>
      <c r="L4431" t="n">
        <v>883.576</v>
      </c>
    </row>
    <row r="4432">
      <c r="A4432" t="n">
        <v>16829</v>
      </c>
      <c r="B4432" s="16" t="n">
        <v>44651</v>
      </c>
      <c r="C4432" t="inlineStr">
        <is>
          <t>VTA</t>
        </is>
      </c>
      <c r="D4432" t="n">
        <v>42</v>
      </c>
      <c r="E4432">
        <f>IF(D2118&gt;0,VLOOKUP(OPERAC[[#This Row],[COD CART]],[1]!MatrizCortoLargoCyl[#All],3,0),"")</f>
        <v/>
      </c>
      <c r="F4432" t="inlineStr">
        <is>
          <t>AMD</t>
        </is>
      </c>
      <c r="G4432" t="n">
        <v>3</v>
      </c>
      <c r="H4432" t="n">
        <v>-340.34088</v>
      </c>
      <c r="I4432">
        <f>-H2118/G2118</f>
        <v/>
      </c>
    </row>
    <row r="4433">
      <c r="A4433" t="n">
        <v>16829</v>
      </c>
      <c r="B4433" s="16" t="n">
        <v>44662</v>
      </c>
      <c r="C4433" t="inlineStr">
        <is>
          <t>VTA</t>
        </is>
      </c>
      <c r="D4433" t="n">
        <v>42</v>
      </c>
      <c r="E4433">
        <f>IF(D1266&gt;0,VLOOKUP(OPERAC[[#This Row],[COD CART]],[1]!MatrizCortoLargoCyl[#All],3,0),"")</f>
        <v/>
      </c>
      <c r="F4433" t="inlineStr">
        <is>
          <t>HYDR</t>
        </is>
      </c>
      <c r="G4433" t="n">
        <v>2</v>
      </c>
      <c r="H4433" t="n">
        <v>-36.99334399999999</v>
      </c>
      <c r="I4433">
        <f>-H1266/G1266</f>
        <v/>
      </c>
    </row>
    <row r="4434">
      <c r="A4434" t="n">
        <v>16832</v>
      </c>
      <c r="B4434" s="16" t="n">
        <v>44440</v>
      </c>
      <c r="C4434" t="inlineStr">
        <is>
          <t>CPR</t>
        </is>
      </c>
      <c r="D4434" t="n">
        <v>40</v>
      </c>
      <c r="E4434">
        <f>IF(D4468&gt;0,VLOOKUP(OPERAC[[#This Row],[COD CART]],[1]!MatrizCortoLargoCyl[#All],3,0),"")</f>
        <v/>
      </c>
      <c r="F4434" t="inlineStr">
        <is>
          <t>SKLZ</t>
        </is>
      </c>
      <c r="G4434" t="n">
        <v>100</v>
      </c>
      <c r="H4434">
        <f>-1271.1624+28.72+53.54+22.93</f>
        <v/>
      </c>
      <c r="I4434">
        <f>-H4468/G4468</f>
        <v/>
      </c>
    </row>
    <row r="4435">
      <c r="A4435" t="n">
        <v>16832</v>
      </c>
      <c r="B4435" s="16" t="n">
        <v>44498</v>
      </c>
      <c r="C4435" t="inlineStr">
        <is>
          <t>VTA</t>
        </is>
      </c>
      <c r="D4435" t="n">
        <v>41</v>
      </c>
      <c r="E4435">
        <f>IF(D3201&gt;0,VLOOKUP(OPERAC[[#This Row],[COD CART]],[1]!MatrizCortoLargoCyl[#All],3,0),"")</f>
        <v/>
      </c>
      <c r="F4435" t="inlineStr">
        <is>
          <t>FB</t>
        </is>
      </c>
      <c r="G4435" t="n">
        <v>2</v>
      </c>
      <c r="H4435" t="n">
        <v>-651.704</v>
      </c>
      <c r="I4435">
        <f>-H3201/G3201</f>
        <v/>
      </c>
    </row>
    <row r="4436">
      <c r="A4436" t="n">
        <v>16832</v>
      </c>
      <c r="B4436" s="16" t="n">
        <v>44503</v>
      </c>
      <c r="C4436" t="inlineStr">
        <is>
          <t>VTA</t>
        </is>
      </c>
      <c r="D4436" t="n">
        <v>41</v>
      </c>
      <c r="E4436">
        <f>IF(D1975&gt;0,VLOOKUP(OPERAC[[#This Row],[COD CART]],[1]!MatrizCortoLargoCyl[#All],3,0),"")</f>
        <v/>
      </c>
      <c r="F4436" t="inlineStr">
        <is>
          <t>AAPL</t>
        </is>
      </c>
      <c r="G4436" t="n">
        <v>2</v>
      </c>
      <c r="H4436" t="n">
        <v>-304.509</v>
      </c>
      <c r="I4436">
        <f>-H1975/G1975</f>
        <v/>
      </c>
    </row>
    <row r="4437">
      <c r="A4437" t="n">
        <v>16832</v>
      </c>
      <c r="B4437" s="16" t="n">
        <v>44581</v>
      </c>
      <c r="C4437" t="inlineStr">
        <is>
          <t>VTA</t>
        </is>
      </c>
      <c r="D4437" t="n">
        <v>32</v>
      </c>
      <c r="E4437">
        <f>IF(D2276&gt;0,VLOOKUP(OPERAC[[#This Row],[COD CART]],[1]!MatrizCortoLargoCyl[#All],3,0),"")</f>
        <v/>
      </c>
      <c r="F4437" t="inlineStr">
        <is>
          <t>HMY/CYL/4,00/18-02-22</t>
        </is>
      </c>
      <c r="G4437" t="n">
        <v>100</v>
      </c>
      <c r="H4437" t="n">
        <v>-387.467996</v>
      </c>
      <c r="I4437">
        <f>-H2276/G2276</f>
        <v/>
      </c>
      <c r="J4437" s="16" t="n">
        <v>44610</v>
      </c>
      <c r="K4437">
        <f>+OPERAC[[#This Row],[cantidad]]</f>
        <v/>
      </c>
      <c r="L4437">
        <f>+OPERAC[[#This Row],[cantidad venta]]*3.8323</f>
        <v/>
      </c>
    </row>
    <row r="4438">
      <c r="A4438" t="n">
        <v>16833</v>
      </c>
      <c r="B4438" s="16" t="n">
        <v>44446</v>
      </c>
      <c r="C4438" t="inlineStr">
        <is>
          <t>CPR</t>
        </is>
      </c>
      <c r="D4438" t="n">
        <v>32</v>
      </c>
      <c r="E4438">
        <f>IF(D3307&gt;0,VLOOKUP(OPERAC[[#This Row],[COD CART]],[1]!MatrizCortoLargoCyl[#All],3,0),"")</f>
        <v/>
      </c>
      <c r="F4438" t="inlineStr">
        <is>
          <t>INO/CYL/8,00/21-01-22</t>
        </is>
      </c>
      <c r="G4438" t="n">
        <v>100</v>
      </c>
      <c r="H4438">
        <f>-758.932+27.502+30.172+14.579</f>
        <v/>
      </c>
      <c r="I4438">
        <f>-H3307/G3307</f>
        <v/>
      </c>
      <c r="J4438" s="16" t="n">
        <v>44581</v>
      </c>
      <c r="K4438" t="n">
        <v>100</v>
      </c>
      <c r="L4438" t="n">
        <v>412.156</v>
      </c>
    </row>
    <row r="4439">
      <c r="A4439" t="n">
        <v>16833</v>
      </c>
      <c r="B4439" s="16" t="n">
        <v>44501</v>
      </c>
      <c r="C4439" t="inlineStr">
        <is>
          <t>CPR</t>
        </is>
      </c>
      <c r="D4439" t="n">
        <v>32</v>
      </c>
      <c r="E4439">
        <f>IF(D4006&gt;0,VLOOKUP(OPERAC[[#This Row],[COD CART]],[1]!MatrizCortoLargoCyl[#All],3,0),"")</f>
        <v/>
      </c>
      <c r="F4439" t="inlineStr">
        <is>
          <t>SOLO/CYL/4,00/17-06-22</t>
        </is>
      </c>
      <c r="G4439" t="n">
        <v>300</v>
      </c>
      <c r="H4439">
        <f>-3.35*OPERAC[[#This Row],[cantidad]]+68.661+19.802</f>
        <v/>
      </c>
      <c r="I4439">
        <f>-H4006/G4006</f>
        <v/>
      </c>
      <c r="J4439" s="16" t="n">
        <v>44718</v>
      </c>
      <c r="K4439" t="n">
        <v>300</v>
      </c>
      <c r="L4439" t="n">
        <v>461.93</v>
      </c>
    </row>
    <row r="4440">
      <c r="A4440" t="n">
        <v>16833</v>
      </c>
      <c r="B4440" s="16" t="n">
        <v>44539</v>
      </c>
      <c r="C4440" t="inlineStr">
        <is>
          <t>CPR</t>
        </is>
      </c>
      <c r="D4440" t="n">
        <v>40</v>
      </c>
      <c r="E4440">
        <f>IF(D2798&gt;0,VLOOKUP(OPERAC[[#This Row],[COD CART]],[1]!MatrizCortoLargoCyl[#All],3,0),"")</f>
        <v/>
      </c>
      <c r="F4440" t="inlineStr">
        <is>
          <t>ROKU</t>
        </is>
      </c>
      <c r="G4440" t="n">
        <v>2</v>
      </c>
      <c r="H4440" t="n">
        <v>-515.4407199999999</v>
      </c>
      <c r="I4440">
        <f>-H2798/G2798</f>
        <v/>
      </c>
      <c r="J4440" s="16" t="n">
        <v>44606</v>
      </c>
      <c r="K4440">
        <f>+OPERAC[[#This Row],[cantidad]]</f>
        <v/>
      </c>
      <c r="L4440">
        <f>+OPERAC[[#This Row],[cantidad venta]]*160.574</f>
        <v/>
      </c>
    </row>
    <row r="4441">
      <c r="A4441" t="n">
        <v>16833</v>
      </c>
      <c r="B4441" s="16" t="n">
        <v>44581</v>
      </c>
      <c r="C4441" t="inlineStr">
        <is>
          <t>VTA</t>
        </is>
      </c>
      <c r="D4441" t="n">
        <v>39</v>
      </c>
      <c r="E4441">
        <f>IF(D740&gt;0,VLOOKUP(OPERAC[[#This Row],[COD CART]],[1]!MatrizCortoLargoCyl[#All],3,0),"")</f>
        <v/>
      </c>
      <c r="F4441" t="inlineStr">
        <is>
          <t>SMH/V/260,00/28-01-22</t>
        </is>
      </c>
      <c r="G4441" t="n">
        <v>-400</v>
      </c>
      <c r="H4441" t="n">
        <v>383.8</v>
      </c>
      <c r="I4441">
        <f>-H740/G740</f>
        <v/>
      </c>
      <c r="J4441" s="16" t="n">
        <v>44588</v>
      </c>
      <c r="K4441">
        <f>+OPERAC[[#This Row],[cantidad]]</f>
        <v/>
      </c>
      <c r="L4441">
        <f>-OPERAC[[#This Row],[importe]]</f>
        <v/>
      </c>
    </row>
    <row r="4442">
      <c r="A4442" t="n">
        <v>16833</v>
      </c>
      <c r="B4442" s="16" t="n">
        <v>44586</v>
      </c>
      <c r="C4442" t="inlineStr">
        <is>
          <t>CPR</t>
        </is>
      </c>
      <c r="D4442" t="n">
        <v>43</v>
      </c>
      <c r="E4442">
        <f>IF(D2744&gt;0,VLOOKUP(OPERAC[[#This Row],[COD CART]],[1]!MatrizCortoLargoCyl[#All],3,0),"")</f>
        <v/>
      </c>
      <c r="F4442" t="inlineStr">
        <is>
          <t>GMBL/CYL-PUT/2,50/20-01-23</t>
        </is>
      </c>
      <c r="G4442" t="n">
        <v>500</v>
      </c>
      <c r="H4442" t="n">
        <v>-508.0223000000001</v>
      </c>
      <c r="I4442">
        <f>-H2744/G2744</f>
        <v/>
      </c>
      <c r="J4442" s="16" t="n">
        <v>44643</v>
      </c>
      <c r="K4442">
        <f>200+300</f>
        <v/>
      </c>
      <c r="L4442">
        <f>-224.969-537.26</f>
        <v/>
      </c>
    </row>
    <row r="4443">
      <c r="A4443" t="n">
        <v>16833</v>
      </c>
      <c r="B4443" s="16" t="n">
        <v>44587</v>
      </c>
      <c r="C4443" t="inlineStr">
        <is>
          <t>CPR</t>
        </is>
      </c>
      <c r="D4443" t="n">
        <v>40</v>
      </c>
      <c r="E4443">
        <f>IF(D2682&gt;0,VLOOKUP(OPERAC[[#This Row],[COD CART]],[1]!MatrizCortoLargoCyl[#All],3,0),"")</f>
        <v/>
      </c>
      <c r="F4443" t="inlineStr">
        <is>
          <t>AAPL</t>
        </is>
      </c>
      <c r="G4443" t="n">
        <v>3</v>
      </c>
      <c r="H4443" t="n">
        <v>-492.16326</v>
      </c>
      <c r="I4443">
        <f>-H2682/G2682</f>
        <v/>
      </c>
      <c r="J4443" s="16" t="n">
        <v>44601</v>
      </c>
      <c r="K4443" t="n">
        <v>3</v>
      </c>
      <c r="L4443">
        <f>175.66*OPERAC[[#This Row],[cantidad venta]]</f>
        <v/>
      </c>
    </row>
    <row r="4444">
      <c r="A4444" t="n">
        <v>16833</v>
      </c>
      <c r="B4444" s="16" t="n">
        <v>44588</v>
      </c>
      <c r="C4444" t="inlineStr">
        <is>
          <t>VTA</t>
        </is>
      </c>
      <c r="D4444" t="n">
        <v>39</v>
      </c>
      <c r="E4444">
        <f>IF(D195&gt;0,VLOOKUP(OPERAC[[#This Row],[COD CART]],[1]!MatrizCortoLargoCyl[#All],3,0),"")</f>
        <v/>
      </c>
      <c r="F4444" t="inlineStr">
        <is>
          <t>SMH/V/255,00/04-02-22</t>
        </is>
      </c>
      <c r="G4444" t="n">
        <v>-300</v>
      </c>
      <c r="H4444" t="n">
        <v>2200.0335</v>
      </c>
      <c r="I4444">
        <f>-H195/G195</f>
        <v/>
      </c>
      <c r="J4444" s="16" t="n">
        <v>44596</v>
      </c>
      <c r="K4444" t="n">
        <v>-300</v>
      </c>
      <c r="L4444" t="n">
        <v>-9.614999999999998</v>
      </c>
    </row>
    <row r="4445">
      <c r="A4445" t="n">
        <v>16833</v>
      </c>
      <c r="B4445" s="16" t="n">
        <v>44609</v>
      </c>
      <c r="C4445" t="inlineStr">
        <is>
          <t>VTA</t>
        </is>
      </c>
      <c r="D4445" t="n">
        <v>32</v>
      </c>
      <c r="E4445">
        <f>IF(D3881&gt;0,VLOOKUP(OPERAC[[#This Row],[COD CART]],[1]!MatrizCortoLargoCyl[#All],3,0),"")</f>
        <v/>
      </c>
      <c r="F4445" t="inlineStr">
        <is>
          <t>HIMX/CYL/9,00/18-03-22</t>
        </is>
      </c>
      <c r="G4445" t="n">
        <v>100</v>
      </c>
      <c r="H4445" t="n">
        <v>-869.5839999999999</v>
      </c>
      <c r="I4445">
        <f>-H3881/G3881</f>
        <v/>
      </c>
      <c r="J4445" s="16" t="n">
        <v>44622</v>
      </c>
      <c r="K4445">
        <f>+OPERAC[[#This Row],[cantidad]]</f>
        <v/>
      </c>
      <c r="L4445" t="n">
        <v>883.576</v>
      </c>
    </row>
    <row r="4446">
      <c r="A4446" t="n">
        <v>16833</v>
      </c>
      <c r="B4446" s="16" t="n">
        <v>44628</v>
      </c>
      <c r="C4446" t="inlineStr">
        <is>
          <t>CPR</t>
        </is>
      </c>
      <c r="D4446" t="n">
        <v>32</v>
      </c>
      <c r="E4446">
        <f>IF(D3401&gt;0,VLOOKUP(OPERAC[[#This Row],[COD CART]],[1]!MatrizCortoLargoCyl[#All],3,0),"")</f>
        <v/>
      </c>
      <c r="F4446" t="inlineStr">
        <is>
          <t>COTY/CYL/8,00/14-04-22</t>
        </is>
      </c>
      <c r="G4446" t="n">
        <v>100</v>
      </c>
      <c r="H4446" t="n">
        <v>-718.0550999999999</v>
      </c>
      <c r="I4446">
        <f>-H3401/G3401</f>
        <v/>
      </c>
      <c r="J4446" s="16" t="n">
        <v>44643</v>
      </c>
      <c r="K4446" t="n">
        <v>100</v>
      </c>
      <c r="L4446" t="n">
        <v>779.3200000000001</v>
      </c>
    </row>
    <row r="4447">
      <c r="A4447" t="n">
        <v>16833</v>
      </c>
      <c r="B4447" s="16" t="n">
        <v>44643</v>
      </c>
      <c r="C4447" t="inlineStr">
        <is>
          <t>VTA</t>
        </is>
      </c>
      <c r="D4447" t="n">
        <v>42</v>
      </c>
      <c r="E4447">
        <f>IF(D1892&gt;0,VLOOKUP(OPERAC[[#This Row],[COD CART]],[1]!MatrizCortoLargoCyl[#All],3,0),"")</f>
        <v/>
      </c>
      <c r="F4447" t="inlineStr">
        <is>
          <t>JPM</t>
        </is>
      </c>
      <c r="G4447" t="n">
        <v>2</v>
      </c>
      <c r="H4447" t="n">
        <v>-282.49328</v>
      </c>
      <c r="I4447">
        <f>-H1892/G1892</f>
        <v/>
      </c>
      <c r="J4447" s="16" t="n">
        <v>44664</v>
      </c>
      <c r="K4447">
        <f>+OPERAC[[#This Row],[cantidad]]</f>
        <v/>
      </c>
      <c r="L4447">
        <f>+OPERAC[[#This Row],[cantidad venta]]*125.943</f>
        <v/>
      </c>
    </row>
    <row r="4448">
      <c r="A4448" t="n">
        <v>16833</v>
      </c>
      <c r="B4448" s="16" t="n">
        <v>44643</v>
      </c>
      <c r="C4448" t="inlineStr">
        <is>
          <t>VTA</t>
        </is>
      </c>
      <c r="D4448" t="n">
        <v>42</v>
      </c>
      <c r="E4448">
        <f>IF(D2456&gt;0,VLOOKUP(OPERAC[[#This Row],[COD CART]],[1]!MatrizCortoLargoCyl[#All],3,0),"")</f>
        <v/>
      </c>
      <c r="F4448" t="inlineStr">
        <is>
          <t>FB</t>
        </is>
      </c>
      <c r="G4448" t="n">
        <v>2</v>
      </c>
      <c r="H4448" t="n">
        <v>-432.24652</v>
      </c>
      <c r="I4448">
        <f>-H2456/G2456</f>
        <v/>
      </c>
      <c r="J4448" s="16" t="n">
        <v>44671</v>
      </c>
      <c r="K4448">
        <f>+OPERAC[[#This Row],[cantidad]]</f>
        <v/>
      </c>
      <c r="L4448">
        <f>+OPERAC[[#This Row],[cantidad venta]]*213.173</f>
        <v/>
      </c>
    </row>
    <row r="4449">
      <c r="A4449" t="n">
        <v>16833</v>
      </c>
      <c r="B4449" s="16" t="n">
        <v>44662</v>
      </c>
      <c r="C4449" t="inlineStr">
        <is>
          <t>VTA</t>
        </is>
      </c>
      <c r="D4449" t="n">
        <v>42</v>
      </c>
      <c r="E4449">
        <f>IF(D1503&gt;0,VLOOKUP(OPERAC[[#This Row],[COD CART]],[1]!MatrizCortoLargoCyl[#All],3,0),"")</f>
        <v/>
      </c>
      <c r="F4449" t="inlineStr">
        <is>
          <t>HYDR</t>
        </is>
      </c>
      <c r="G4449" t="n">
        <v>10</v>
      </c>
      <c r="H4449" t="n">
        <v>-185.70344</v>
      </c>
      <c r="I4449">
        <f>-H1503/G1503</f>
        <v/>
      </c>
      <c r="J4449" s="16" t="n">
        <v>44693</v>
      </c>
      <c r="K4449">
        <f>+OPERAC[[#This Row],[cantidad]]</f>
        <v/>
      </c>
      <c r="L4449">
        <f>+OPERAC[[#This Row],[cantidad venta]]*11.986</f>
        <v/>
      </c>
    </row>
    <row r="4450">
      <c r="A4450" t="n">
        <v>16833</v>
      </c>
      <c r="B4450" s="16" t="n">
        <v>44671</v>
      </c>
      <c r="C4450" t="inlineStr">
        <is>
          <t>CPR</t>
        </is>
      </c>
      <c r="D4450" t="n">
        <v>42</v>
      </c>
      <c r="E4450">
        <f>IF(D2770&gt;0,VLOOKUP(OPERAC[[#This Row],[COD CART]],[1]!MatrizCortoLargoCyl[#All],3,0),"")</f>
        <v/>
      </c>
      <c r="F4450" t="inlineStr">
        <is>
          <t>NFLX</t>
        </is>
      </c>
      <c r="G4450" t="n">
        <v>2</v>
      </c>
      <c r="H4450" t="n">
        <v>-509.01012</v>
      </c>
      <c r="I4450">
        <f>-H2770/G2770</f>
        <v/>
      </c>
      <c r="J4450" s="16" t="n">
        <v>44693</v>
      </c>
      <c r="K4450">
        <f>+OPERAC[[#This Row],[cantidad]]</f>
        <v/>
      </c>
      <c r="L4450">
        <f>+OPERAC[[#This Row],[cantidad venta]]*169.089</f>
        <v/>
      </c>
    </row>
    <row r="4451">
      <c r="A4451" t="n">
        <v>16833</v>
      </c>
      <c r="B4451" s="16" t="n">
        <v>44718</v>
      </c>
      <c r="C4451" t="inlineStr">
        <is>
          <t>CPR</t>
        </is>
      </c>
      <c r="D4451" t="n">
        <v>32</v>
      </c>
      <c r="E4451">
        <f>IF(D3278&gt;0,VLOOKUP(OPERAC[[#This Row],[COD CART]],[1]!MatrizCortoLargoCyl[#All],3,0),"")</f>
        <v/>
      </c>
      <c r="F4451" t="inlineStr">
        <is>
          <t>HMY/CYL/4,00/15-07-22</t>
        </is>
      </c>
      <c r="G4451" t="n">
        <v>200</v>
      </c>
      <c r="H4451" t="n">
        <v>-681.109</v>
      </c>
      <c r="I4451">
        <f>-H3278/G3278</f>
        <v/>
      </c>
    </row>
    <row r="4452">
      <c r="A4452" t="n">
        <v>16833</v>
      </c>
      <c r="B4452" s="16" t="n">
        <v>44718</v>
      </c>
      <c r="C4452" t="inlineStr">
        <is>
          <t>CPR</t>
        </is>
      </c>
      <c r="D4452" t="n">
        <v>32</v>
      </c>
      <c r="E4452">
        <f>IF(D3408&gt;0,VLOOKUP(OPERAC[[#This Row],[COD CART]],[1]!MatrizCortoLargoCyl[#All],3,0),"")</f>
        <v/>
      </c>
      <c r="F4452" t="inlineStr">
        <is>
          <t>COTY/CYL/8,50/08-07-22</t>
        </is>
      </c>
      <c r="G4452" t="n">
        <v>100</v>
      </c>
      <c r="H4452" t="n">
        <v>-720.7089999999999</v>
      </c>
      <c r="I4452">
        <f>-H3408/G3408</f>
        <v/>
      </c>
    </row>
    <row r="4453">
      <c r="A4453" t="n">
        <v>16833</v>
      </c>
      <c r="B4453" s="16" t="n">
        <v>44718</v>
      </c>
      <c r="C4453" t="inlineStr">
        <is>
          <t>VTA</t>
        </is>
      </c>
      <c r="D4453" t="n">
        <v>39</v>
      </c>
      <c r="E4453">
        <f>IF(D591&gt;0,VLOOKUP(OPERAC[[#This Row],[COD CART]],[1]!MatrizCortoLargoCyl[#All],3,0),"")</f>
        <v/>
      </c>
      <c r="F4453" t="inlineStr">
        <is>
          <t>TSLA/C/820,00/10-06-22</t>
        </is>
      </c>
      <c r="G4453" t="n">
        <v>-400</v>
      </c>
      <c r="H4453" t="n">
        <v>634.5599999999999</v>
      </c>
      <c r="I4453">
        <f>-H591/G591</f>
        <v/>
      </c>
      <c r="J4453" s="16" t="n">
        <v>44720</v>
      </c>
      <c r="K4453" t="n">
        <v>-400</v>
      </c>
      <c r="L4453" t="n">
        <v>-705.95</v>
      </c>
    </row>
    <row r="4454">
      <c r="A4454" t="n">
        <v>16833</v>
      </c>
      <c r="B4454" s="16" t="n">
        <v>44720</v>
      </c>
      <c r="C4454" t="inlineStr">
        <is>
          <t>VTA</t>
        </is>
      </c>
      <c r="D4454" t="n">
        <v>39</v>
      </c>
      <c r="E4454">
        <f>IF(D400&gt;0,VLOOKUP(OPERAC[[#This Row],[COD CART]],[1]!MatrizCortoLargoCyl[#All],3,0),"")</f>
        <v/>
      </c>
      <c r="F4454" t="inlineStr">
        <is>
          <t>TSLA/C/800,00/10-06-22</t>
        </is>
      </c>
      <c r="G4454" t="n">
        <v>-400</v>
      </c>
      <c r="H4454" t="n">
        <v>1189.8</v>
      </c>
      <c r="I4454">
        <f>-H400/G400</f>
        <v/>
      </c>
      <c r="J4454" s="16" t="n">
        <v>44722</v>
      </c>
      <c r="K4454">
        <f>+OPERAC[[#This Row],[cantidad]]</f>
        <v/>
      </c>
      <c r="L4454" t="n">
        <v>0</v>
      </c>
    </row>
    <row r="4455">
      <c r="A4455" t="n">
        <v>16842</v>
      </c>
      <c r="B4455" s="16" t="n">
        <v>44523</v>
      </c>
      <c r="C4455" t="inlineStr">
        <is>
          <t>VTA</t>
        </is>
      </c>
      <c r="D4455" t="n">
        <v>40</v>
      </c>
      <c r="E4455">
        <f>IF(D2152&gt;0,VLOOKUP(OPERAC[[#This Row],[COD CART]],[1]!MatrizCortoLargoCyl[#All],3,0),"")</f>
        <v/>
      </c>
      <c r="F4455" t="inlineStr">
        <is>
          <t>EDU</t>
        </is>
      </c>
      <c r="G4455" t="n">
        <v>200</v>
      </c>
      <c r="H4455">
        <f>-355.898+0.026*OPERAC[[#This Row],[cantidad]]</f>
        <v/>
      </c>
      <c r="I4455">
        <f>-H2152/G2152</f>
        <v/>
      </c>
      <c r="J4455" s="16" t="n">
        <v>44614</v>
      </c>
      <c r="K4455">
        <f>+OPERAC[[#This Row],[cantidad]]</f>
        <v/>
      </c>
      <c r="L4455">
        <f>1.483*OPERAC[[#This Row],[cantidad venta]]</f>
        <v/>
      </c>
    </row>
    <row r="4456">
      <c r="A4456" t="n">
        <v>16842</v>
      </c>
      <c r="B4456" s="16" t="n">
        <v>44641</v>
      </c>
      <c r="C4456" t="inlineStr">
        <is>
          <t>VTA</t>
        </is>
      </c>
      <c r="D4456" t="n">
        <v>42</v>
      </c>
      <c r="E4456">
        <f>IF(D1406&gt;0,VLOOKUP(OPERAC[[#This Row],[COD CART]],[1]!MatrizCortoLargoCyl[#All],3,0),"")</f>
        <v/>
      </c>
      <c r="F4456" t="inlineStr">
        <is>
          <t>JPM</t>
        </is>
      </c>
      <c r="G4456" t="n">
        <v>1</v>
      </c>
      <c r="H4456" t="n">
        <v>-140.45434</v>
      </c>
      <c r="I4456">
        <f>-H1406/G1406</f>
        <v/>
      </c>
      <c r="J4456" s="16" t="n">
        <v>44664</v>
      </c>
      <c r="K4456">
        <f>+OPERAC[[#This Row],[cantidad]]</f>
        <v/>
      </c>
      <c r="L4456">
        <f>+OPERAC[[#This Row],[cantidad venta]]*125.943</f>
        <v/>
      </c>
    </row>
    <row r="4457">
      <c r="A4457" t="n">
        <v>16842</v>
      </c>
      <c r="B4457" s="16" t="n">
        <v>44641</v>
      </c>
      <c r="C4457" t="inlineStr">
        <is>
          <t>VTA</t>
        </is>
      </c>
      <c r="D4457" t="n">
        <v>42</v>
      </c>
      <c r="E4457">
        <f>IF(D1605&gt;0,VLOOKUP(OPERAC[[#This Row],[COD CART]],[1]!MatrizCortoLargoCyl[#All],3,0),"")</f>
        <v/>
      </c>
      <c r="F4457" t="inlineStr">
        <is>
          <t>FB</t>
        </is>
      </c>
      <c r="G4457" t="n">
        <v>1</v>
      </c>
      <c r="H4457" t="n">
        <v>-212.15638</v>
      </c>
      <c r="I4457">
        <f>-H1605/G1605</f>
        <v/>
      </c>
      <c r="J4457" s="16" t="n">
        <v>44671</v>
      </c>
      <c r="K4457">
        <f>+OPERAC[[#This Row],[cantidad]]</f>
        <v/>
      </c>
      <c r="L4457">
        <f>+OPERAC[[#This Row],[cantidad venta]]*213.173</f>
        <v/>
      </c>
    </row>
    <row r="4458">
      <c r="A4458" t="n">
        <v>16842</v>
      </c>
      <c r="B4458" s="16" t="n">
        <v>44662</v>
      </c>
      <c r="C4458" t="inlineStr">
        <is>
          <t>VTA</t>
        </is>
      </c>
      <c r="D4458" t="n">
        <v>42</v>
      </c>
      <c r="E4458">
        <f>IF(D1261&gt;0,VLOOKUP(OPERAC[[#This Row],[COD CART]],[1]!MatrizCortoLargoCyl[#All],3,0),"")</f>
        <v/>
      </c>
      <c r="F4458" t="inlineStr">
        <is>
          <t>HYDR</t>
        </is>
      </c>
      <c r="G4458" t="n">
        <v>1</v>
      </c>
      <c r="H4458" t="n">
        <v>-18.570344</v>
      </c>
      <c r="I4458">
        <f>-H1261/G1261</f>
        <v/>
      </c>
      <c r="J4458" s="16" t="n">
        <v>44691</v>
      </c>
      <c r="K4458" t="n">
        <v>1</v>
      </c>
      <c r="L4458" t="n">
        <v>12.9</v>
      </c>
    </row>
    <row r="4459">
      <c r="A4459" t="n">
        <v>16842</v>
      </c>
      <c r="B4459" s="16" t="n">
        <v>44671</v>
      </c>
      <c r="C4459" t="inlineStr">
        <is>
          <t>VTA</t>
        </is>
      </c>
      <c r="D4459" t="n">
        <v>42</v>
      </c>
      <c r="E4459">
        <f>IF(D1753&gt;0,VLOOKUP(OPERAC[[#This Row],[COD CART]],[1]!MatrizCortoLargoCyl[#All],3,0),"")</f>
        <v/>
      </c>
      <c r="F4459" t="inlineStr">
        <is>
          <t>NFLX</t>
        </is>
      </c>
      <c r="G4459" t="n">
        <v>1</v>
      </c>
      <c r="H4459" t="n">
        <v>-254.50506</v>
      </c>
      <c r="I4459">
        <f>-H1753/G1753</f>
        <v/>
      </c>
      <c r="J4459" s="16" t="n">
        <v>44691</v>
      </c>
      <c r="K4459" t="n">
        <v>1</v>
      </c>
      <c r="L4459" t="n">
        <v>178.368</v>
      </c>
    </row>
    <row r="4460">
      <c r="A4460" t="n">
        <v>16842</v>
      </c>
      <c r="B4460" s="16" t="n">
        <v>44691</v>
      </c>
      <c r="C4460" t="inlineStr">
        <is>
          <t>VTA</t>
        </is>
      </c>
      <c r="D4460" t="n">
        <v>41</v>
      </c>
      <c r="E4460">
        <f>IF(D1987&gt;0,VLOOKUP(OPERAC[[#This Row],[COD CART]],[1]!MatrizCortoLargoCyl[#All],3,0),"")</f>
        <v/>
      </c>
      <c r="F4460" t="inlineStr">
        <is>
          <t>QQQ</t>
        </is>
      </c>
      <c r="G4460" t="n">
        <v>1</v>
      </c>
      <c r="H4460" t="n">
        <v>-307.03</v>
      </c>
      <c r="I4460">
        <f>-H1987/G1987</f>
        <v/>
      </c>
    </row>
    <row r="4461">
      <c r="A4461" t="n">
        <v>17042</v>
      </c>
      <c r="B4461" s="16" t="n">
        <v>44581</v>
      </c>
      <c r="C4461" t="inlineStr">
        <is>
          <t>VTA</t>
        </is>
      </c>
      <c r="D4461" t="n">
        <v>32</v>
      </c>
      <c r="E4461">
        <f>IF(D2277&gt;0,VLOOKUP(OPERAC[[#This Row],[COD CART]],[1]!MatrizCortoLargoCyl[#All],3,0),"")</f>
        <v/>
      </c>
      <c r="F4461" t="inlineStr">
        <is>
          <t>HMY/CYL/4,00/18-02-22</t>
        </is>
      </c>
      <c r="G4461" t="n">
        <v>100</v>
      </c>
      <c r="H4461" t="n">
        <v>-387.467996</v>
      </c>
      <c r="I4461">
        <f>-H2277/G2277</f>
        <v/>
      </c>
      <c r="J4461" s="16" t="n">
        <v>44610</v>
      </c>
      <c r="K4461">
        <f>+OPERAC[[#This Row],[cantidad]]</f>
        <v/>
      </c>
      <c r="L4461">
        <f>+OPERAC[[#This Row],[cantidad venta]]*3.8323</f>
        <v/>
      </c>
    </row>
    <row r="4462">
      <c r="A4462" t="n">
        <v>17042</v>
      </c>
      <c r="B4462" s="16" t="n">
        <v>44586</v>
      </c>
      <c r="C4462" t="inlineStr">
        <is>
          <t>VTA</t>
        </is>
      </c>
      <c r="D4462" t="n">
        <v>43</v>
      </c>
      <c r="E4462">
        <f>IF(D1573&gt;0,VLOOKUP(OPERAC[[#This Row],[COD CART]],[1]!MatrizCortoLargoCyl[#All],3,0),"")</f>
        <v/>
      </c>
      <c r="F4462" t="inlineStr">
        <is>
          <t>GMBL/CYL-PUT/2,50/20-01-23</t>
        </is>
      </c>
      <c r="G4462" t="n">
        <v>200</v>
      </c>
      <c r="H4462" t="n">
        <v>-203.2103</v>
      </c>
      <c r="I4462">
        <f>-H1573/G1573</f>
        <v/>
      </c>
    </row>
    <row r="4463">
      <c r="A4463" t="n">
        <v>17042</v>
      </c>
      <c r="B4463" s="16" t="n">
        <v>44587</v>
      </c>
      <c r="C4463" t="inlineStr">
        <is>
          <t>VTA</t>
        </is>
      </c>
      <c r="D4463" t="n">
        <v>40</v>
      </c>
      <c r="E4463">
        <f>IF(D1970&gt;0,VLOOKUP(OPERAC[[#This Row],[COD CART]],[1]!MatrizCortoLargoCyl[#All],3,0),"")</f>
        <v/>
      </c>
      <c r="F4463" t="inlineStr">
        <is>
          <t>MSFT</t>
        </is>
      </c>
      <c r="G4463" t="n">
        <v>1</v>
      </c>
      <c r="H4463" t="n">
        <v>-303.41126</v>
      </c>
      <c r="I4463">
        <f>-H1970/G1970</f>
        <v/>
      </c>
      <c r="J4463" s="16" t="n">
        <v>44606</v>
      </c>
      <c r="K4463">
        <f>+OPERAC[[#This Row],[cantidad]]</f>
        <v/>
      </c>
      <c r="L4463">
        <f>+OPERAC[[#This Row],[cantidad venta]]*290.091</f>
        <v/>
      </c>
    </row>
    <row r="4464">
      <c r="A4464" t="n">
        <v>17042</v>
      </c>
      <c r="B4464" s="16" t="n">
        <v>44641</v>
      </c>
      <c r="C4464" t="inlineStr">
        <is>
          <t>VTA</t>
        </is>
      </c>
      <c r="D4464" t="n">
        <v>42</v>
      </c>
      <c r="E4464">
        <f>IF(D1407&gt;0,VLOOKUP(OPERAC[[#This Row],[COD CART]],[1]!MatrizCortoLargoCyl[#All],3,0),"")</f>
        <v/>
      </c>
      <c r="F4464" t="inlineStr">
        <is>
          <t>JPM</t>
        </is>
      </c>
      <c r="G4464" t="n">
        <v>1</v>
      </c>
      <c r="H4464" t="n">
        <v>-140.45434</v>
      </c>
      <c r="I4464">
        <f>-H1407/G1407</f>
        <v/>
      </c>
      <c r="J4464" s="16" t="n">
        <v>44664</v>
      </c>
      <c r="K4464">
        <f>+OPERAC[[#This Row],[cantidad]]</f>
        <v/>
      </c>
      <c r="L4464">
        <f>+OPERAC[[#This Row],[cantidad venta]]*125.943</f>
        <v/>
      </c>
    </row>
    <row r="4465">
      <c r="A4465" t="n">
        <v>17042</v>
      </c>
      <c r="B4465" s="16" t="n">
        <v>44641</v>
      </c>
      <c r="C4465" t="inlineStr">
        <is>
          <t>VTA</t>
        </is>
      </c>
      <c r="D4465" t="n">
        <v>42</v>
      </c>
      <c r="E4465">
        <f>IF(D1606&gt;0,VLOOKUP(OPERAC[[#This Row],[COD CART]],[1]!MatrizCortoLargoCyl[#All],3,0),"")</f>
        <v/>
      </c>
      <c r="F4465" t="inlineStr">
        <is>
          <t>FB</t>
        </is>
      </c>
      <c r="G4465" t="n">
        <v>1</v>
      </c>
      <c r="H4465" t="n">
        <v>-212.15638</v>
      </c>
      <c r="I4465">
        <f>-H1606/G1606</f>
        <v/>
      </c>
      <c r="J4465" s="16" t="n">
        <v>44671</v>
      </c>
      <c r="K4465">
        <f>+OPERAC[[#This Row],[cantidad]]</f>
        <v/>
      </c>
      <c r="L4465">
        <f>+OPERAC[[#This Row],[cantidad venta]]*213.173</f>
        <v/>
      </c>
    </row>
    <row r="4466">
      <c r="A4466" t="n">
        <v>17042</v>
      </c>
      <c r="B4466" s="16" t="n">
        <v>44641</v>
      </c>
      <c r="C4466" t="inlineStr">
        <is>
          <t>VTA</t>
        </is>
      </c>
      <c r="D4466" t="n">
        <v>42</v>
      </c>
      <c r="E4466">
        <f>IF(D1822&gt;0,VLOOKUP(OPERAC[[#This Row],[COD CART]],[1]!MatrizCortoLargoCyl[#All],3,0),"")</f>
        <v/>
      </c>
      <c r="F4466" t="inlineStr">
        <is>
          <t>SMH</t>
        </is>
      </c>
      <c r="G4466" t="n">
        <v>1</v>
      </c>
      <c r="H4466" t="n">
        <v>-268.9576500000001</v>
      </c>
      <c r="I4466">
        <f>-H1822/G1822</f>
        <v/>
      </c>
      <c r="J4466" s="16" t="n">
        <v>44663</v>
      </c>
      <c r="K4466">
        <f>+OPERAC[[#This Row],[cantidad]]</f>
        <v/>
      </c>
      <c r="L4466">
        <f>+OPERAC[[#This Row],[cantidad venta]]*238.066</f>
        <v/>
      </c>
    </row>
    <row r="4467">
      <c r="A4467" t="n">
        <v>17042</v>
      </c>
      <c r="B4467" s="16" t="n">
        <v>44662</v>
      </c>
      <c r="C4467" t="inlineStr">
        <is>
          <t>VTA</t>
        </is>
      </c>
      <c r="D4467" t="n">
        <v>42</v>
      </c>
      <c r="E4467">
        <f>IF(D1307&gt;0,VLOOKUP(OPERAC[[#This Row],[COD CART]],[1]!MatrizCortoLargoCyl[#All],3,0),"")</f>
        <v/>
      </c>
      <c r="F4467" t="inlineStr">
        <is>
          <t>HYDR</t>
        </is>
      </c>
      <c r="G4467" t="n">
        <v>5</v>
      </c>
      <c r="H4467" t="n">
        <v>-92.85172000000001</v>
      </c>
      <c r="I4467">
        <f>-H1307/G1307</f>
        <v/>
      </c>
      <c r="J4467" s="16" t="n">
        <v>44691</v>
      </c>
      <c r="K4467" t="n">
        <v>5</v>
      </c>
      <c r="L4467" t="n">
        <v>64.44799999999999</v>
      </c>
    </row>
    <row r="4468">
      <c r="A4468" t="n">
        <v>17042</v>
      </c>
      <c r="B4468" s="16" t="n">
        <v>44671</v>
      </c>
      <c r="C4468" t="inlineStr">
        <is>
          <t>VTA</t>
        </is>
      </c>
      <c r="D4468" t="n">
        <v>42</v>
      </c>
      <c r="E4468">
        <f>IF(D1754&gt;0,VLOOKUP(OPERAC[[#This Row],[COD CART]],[1]!MatrizCortoLargoCyl[#All],3,0),"")</f>
        <v/>
      </c>
      <c r="F4468" t="inlineStr">
        <is>
          <t>NFLX</t>
        </is>
      </c>
      <c r="G4468" t="n">
        <v>1</v>
      </c>
      <c r="H4468" t="n">
        <v>-254.50506</v>
      </c>
      <c r="I4468">
        <f>-H1754/G1754</f>
        <v/>
      </c>
      <c r="J4468" s="16" t="n">
        <v>44691</v>
      </c>
      <c r="K4468" t="n">
        <v>1</v>
      </c>
      <c r="L4468" t="n">
        <v>177.816</v>
      </c>
    </row>
    <row r="4469">
      <c r="A4469" t="n">
        <v>17042</v>
      </c>
      <c r="B4469" s="16" t="n">
        <v>44691</v>
      </c>
      <c r="C4469" t="inlineStr">
        <is>
          <t>VTA</t>
        </is>
      </c>
      <c r="D4469" t="n">
        <v>40</v>
      </c>
      <c r="E4469">
        <f>IF(D1551&gt;0,VLOOKUP(OPERAC[[#This Row],[COD CART]],[1]!MatrizCortoLargoCyl[#All],3,0),"")</f>
        <v/>
      </c>
      <c r="F4469" t="inlineStr">
        <is>
          <t>FB</t>
        </is>
      </c>
      <c r="G4469" t="n">
        <v>1</v>
      </c>
      <c r="H4469" t="n">
        <v>-202.577</v>
      </c>
      <c r="I4469">
        <f>-H1551/G1551</f>
        <v/>
      </c>
    </row>
    <row r="4470">
      <c r="A4470" t="n">
        <v>17042</v>
      </c>
      <c r="B4470" s="16" t="n">
        <v>44691</v>
      </c>
      <c r="C4470" t="inlineStr">
        <is>
          <t>VTA</t>
        </is>
      </c>
      <c r="D4470" t="n">
        <v>40</v>
      </c>
      <c r="E4470">
        <f>IF(D1983&gt;0,VLOOKUP(OPERAC[[#This Row],[COD CART]],[1]!MatrizCortoLargoCyl[#All],3,0),"")</f>
        <v/>
      </c>
      <c r="F4470" t="inlineStr">
        <is>
          <t>QQQ</t>
        </is>
      </c>
      <c r="G4470" t="n">
        <v>1</v>
      </c>
      <c r="H4470" t="n">
        <v>-305.969</v>
      </c>
      <c r="I4470">
        <f>-H1983/G1983</f>
        <v/>
      </c>
    </row>
    <row r="4471">
      <c r="A4471" t="n">
        <v>18651</v>
      </c>
      <c r="B4471" s="16" t="n">
        <v>44340</v>
      </c>
      <c r="C4471" t="inlineStr">
        <is>
          <t>VTA</t>
        </is>
      </c>
      <c r="D4471" t="n">
        <v>39</v>
      </c>
      <c r="E4471">
        <f>IF(D255&gt;0,VLOOKUP(OPERAC[[#This Row],[COD CART]],[1]!MatrizCortoLargoCyl[#All],3,0),"")</f>
        <v/>
      </c>
      <c r="F4471" t="inlineStr">
        <is>
          <t>SOLO/V/3,50/21-01-22</t>
        </is>
      </c>
      <c r="G4471" t="n">
        <v>-1600</v>
      </c>
      <c r="H4471" t="n">
        <v>1743.368</v>
      </c>
      <c r="I4471">
        <f>-H255/G255</f>
        <v/>
      </c>
      <c r="J4471" s="16" t="n">
        <v>44579</v>
      </c>
      <c r="K4471">
        <f>+OPERAC[[#This Row],[cantidad]]</f>
        <v/>
      </c>
      <c r="L4471">
        <f>-OPERAC[[#This Row],[importe]]</f>
        <v/>
      </c>
    </row>
    <row r="4472">
      <c r="A4472" t="n">
        <v>18651</v>
      </c>
      <c r="B4472" s="16" t="n">
        <v>44341</v>
      </c>
      <c r="C4472" t="inlineStr">
        <is>
          <t>VTA</t>
        </is>
      </c>
      <c r="D4472" t="n">
        <v>39</v>
      </c>
      <c r="E4472">
        <f>IF(D1113&gt;0,VLOOKUP(OPERAC[[#This Row],[COD CART]],[1]!MatrizCortoLargoCyl[#All],3,0),"")</f>
        <v/>
      </c>
      <c r="F4472" t="inlineStr">
        <is>
          <t>ACB/V/5,00/20-01-23</t>
        </is>
      </c>
      <c r="G4472" t="n">
        <v>-15</v>
      </c>
      <c r="H4472" t="n">
        <v>22.5</v>
      </c>
      <c r="I4472">
        <f>-H1113/G1113</f>
        <v/>
      </c>
      <c r="J4472" s="16" t="n">
        <v>44617</v>
      </c>
      <c r="K4472" t="n">
        <v>-10</v>
      </c>
      <c r="L4472" t="n">
        <v>-21.59</v>
      </c>
    </row>
    <row r="4473">
      <c r="A4473" t="n">
        <v>18651</v>
      </c>
      <c r="B4473" s="16" t="n">
        <v>44357</v>
      </c>
      <c r="C4473" t="inlineStr">
        <is>
          <t>CPR</t>
        </is>
      </c>
      <c r="D4473" t="n">
        <v>31</v>
      </c>
      <c r="E4473">
        <f>IF(D6216&gt;0,VLOOKUP(OPERAC[[#This Row],[COD CART]],[1]!MatrizCortoLargoCyl[#All],3,0),"")</f>
        <v/>
      </c>
      <c r="F4473" t="inlineStr">
        <is>
          <t>SFM</t>
        </is>
      </c>
      <c r="G4473" t="n">
        <v>200</v>
      </c>
      <c r="H4473" t="n">
        <v>-5884.856000000001</v>
      </c>
      <c r="I4473">
        <f>-H6216/G6216</f>
        <v/>
      </c>
      <c r="J4473" s="16" t="n">
        <v>44574</v>
      </c>
      <c r="K4473" t="n">
        <v>200</v>
      </c>
      <c r="L4473" t="n">
        <v>5821.99</v>
      </c>
    </row>
    <row r="4474">
      <c r="A4474" t="n">
        <v>18651</v>
      </c>
      <c r="B4474" s="16" t="n">
        <v>44424</v>
      </c>
      <c r="C4474" t="inlineStr">
        <is>
          <t>VTA</t>
        </is>
      </c>
      <c r="D4474" t="n">
        <v>39</v>
      </c>
      <c r="E4474">
        <f>IF(D991&gt;0,VLOOKUP(OPERAC[[#This Row],[COD CART]],[1]!MatrizCortoLargoCyl[#All],3,0),"")</f>
        <v/>
      </c>
      <c r="F4474" t="inlineStr">
        <is>
          <t>ACB/V/5,00/20-01-23</t>
        </is>
      </c>
      <c r="G4474" t="n">
        <v>-50</v>
      </c>
      <c r="H4474" t="n">
        <v>71.47</v>
      </c>
      <c r="I4474">
        <f>-H991/G991</f>
        <v/>
      </c>
    </row>
    <row r="4475">
      <c r="A4475" t="n">
        <v>18651</v>
      </c>
      <c r="B4475" s="16" t="n">
        <v>44459</v>
      </c>
      <c r="C4475" t="inlineStr">
        <is>
          <t>CPR</t>
        </is>
      </c>
      <c r="D4475" t="n">
        <v>40</v>
      </c>
      <c r="E4475">
        <f>IF(D4001&gt;0,VLOOKUP(OPERAC[[#This Row],[COD CART]],[1]!MatrizCortoLargoCyl[#All],3,0),"")</f>
        <v/>
      </c>
      <c r="F4475" t="inlineStr">
        <is>
          <t>EDU</t>
        </is>
      </c>
      <c r="G4475" t="n">
        <v>1000</v>
      </c>
      <c r="H4475">
        <f>-955.96+0.04*OPERAC[[#This Row],[cantidad]]</f>
        <v/>
      </c>
      <c r="I4475">
        <f>-H4001/G4001</f>
        <v/>
      </c>
      <c r="J4475" s="16" t="n">
        <v>44614</v>
      </c>
      <c r="K4475">
        <f>+OPERAC[[#This Row],[cantidad]]</f>
        <v/>
      </c>
      <c r="L4475">
        <f>1.483*OPERAC[[#This Row],[cantidad venta]]</f>
        <v/>
      </c>
    </row>
    <row r="4476">
      <c r="A4476" t="n">
        <v>18651</v>
      </c>
      <c r="B4476" s="16" t="n">
        <v>44462</v>
      </c>
      <c r="C4476" t="inlineStr">
        <is>
          <t>VTA</t>
        </is>
      </c>
      <c r="D4476" t="n">
        <v>43</v>
      </c>
      <c r="E4476">
        <f>IF(D2055&gt;0,VLOOKUP(OPERAC[[#This Row],[COD CART]],[1]!MatrizCortoLargoCyl[#All],3,0),"")</f>
        <v/>
      </c>
      <c r="F4476" t="inlineStr">
        <is>
          <t>SOLO/CYL-PUT/4,00/16-09-22</t>
        </is>
      </c>
      <c r="G4476" t="n">
        <v>200</v>
      </c>
      <c r="H4476">
        <f>OPERAC[[#This Row],[cantidad]]*-2.54+0.32*OPERAC[[#This Row],[cantidad]]+0.387*OPERAC[[#This Row],[cantidad]]+0.22*OPERAC[[#This Row],[cantidad]]</f>
        <v/>
      </c>
      <c r="I4476">
        <f>-H2055/G2055</f>
        <v/>
      </c>
    </row>
    <row r="4477">
      <c r="A4477" t="n">
        <v>18651</v>
      </c>
      <c r="B4477" s="16" t="n">
        <v>44474</v>
      </c>
      <c r="C4477" t="inlineStr">
        <is>
          <t>VTA</t>
        </is>
      </c>
      <c r="D4477" t="n">
        <v>39</v>
      </c>
      <c r="E4477">
        <f>IF(D858&gt;0,VLOOKUP(OPERAC[[#This Row],[COD CART]],[1]!MatrizCortoLargoCyl[#All],3,0),"")</f>
        <v/>
      </c>
      <c r="F4477" t="inlineStr">
        <is>
          <t>NKE/V/115,00/21-01-22</t>
        </is>
      </c>
      <c r="G4477" t="n">
        <v>-200</v>
      </c>
      <c r="H4477" t="n">
        <v>199.914</v>
      </c>
      <c r="I4477">
        <f>-H858/G858</f>
        <v/>
      </c>
      <c r="J4477" s="16" t="n">
        <v>44582</v>
      </c>
      <c r="K4477">
        <f>+OPERAC[[#This Row],[cantidad]]</f>
        <v/>
      </c>
      <c r="L4477" t="n">
        <v>0</v>
      </c>
    </row>
    <row r="4478">
      <c r="A4478" t="n">
        <v>18651</v>
      </c>
      <c r="B4478" s="16" t="n">
        <v>44489</v>
      </c>
      <c r="C4478" t="inlineStr">
        <is>
          <t>CPR</t>
        </is>
      </c>
      <c r="D4478" t="n">
        <v>43</v>
      </c>
      <c r="E4478">
        <f>IF(D5671&gt;0,VLOOKUP(OPERAC[[#This Row],[COD CART]],[1]!MatrizCortoLargoCyl[#All],3,0),"")</f>
        <v/>
      </c>
      <c r="F4478" t="inlineStr">
        <is>
          <t>SESN/CYL-PUT/1,00/19-01-24</t>
        </is>
      </c>
      <c r="G4478" t="n">
        <v>13000</v>
      </c>
      <c r="H4478">
        <f>-0.1885*OPERAC[[#This Row],[cantidad]]</f>
        <v/>
      </c>
      <c r="I4478">
        <f>-H5671/G5671</f>
        <v/>
      </c>
      <c r="J4478" s="16" t="n">
        <v>44614</v>
      </c>
      <c r="K4478">
        <f>2000+2000</f>
        <v/>
      </c>
      <c r="L4478">
        <f>532.136+519.55</f>
        <v/>
      </c>
    </row>
    <row r="4479">
      <c r="A4479" t="n">
        <v>18651</v>
      </c>
      <c r="B4479" s="16" t="n">
        <v>44490</v>
      </c>
      <c r="C4479" t="inlineStr">
        <is>
          <t>VTA</t>
        </is>
      </c>
      <c r="D4479" t="n">
        <v>40</v>
      </c>
      <c r="E4479">
        <f>IF(D5092&gt;0,VLOOKUP(OPERAC[[#This Row],[COD CART]],[1]!MatrizCortoLargoCyl[#All],3,0),"")</f>
        <v/>
      </c>
      <c r="F4479" t="inlineStr">
        <is>
          <t>MELI</t>
        </is>
      </c>
      <c r="G4479" t="n">
        <v>1</v>
      </c>
      <c r="H4479" t="n">
        <v>-1587.905</v>
      </c>
      <c r="I4479">
        <f>-H5092/G5092</f>
        <v/>
      </c>
      <c r="J4479" s="16" t="n">
        <v>44606</v>
      </c>
      <c r="K4479" t="n">
        <v>1</v>
      </c>
      <c r="L4479" t="n">
        <v>1073.609</v>
      </c>
    </row>
    <row r="4480">
      <c r="A4480" t="n">
        <v>18651</v>
      </c>
      <c r="B4480" s="16" t="n">
        <v>44495</v>
      </c>
      <c r="C4480" t="inlineStr">
        <is>
          <t>VTA</t>
        </is>
      </c>
      <c r="D4480" t="n">
        <v>39</v>
      </c>
      <c r="E4480">
        <f>IF(D394&gt;0,VLOOKUP(OPERAC[[#This Row],[COD CART]],[1]!MatrizCortoLargoCyl[#All],3,0),"")</f>
        <v/>
      </c>
      <c r="F4480" t="inlineStr">
        <is>
          <t>YPF/CC10/LP7/CP3/19-01-24</t>
        </is>
      </c>
      <c r="G4480" t="n">
        <v>-500</v>
      </c>
      <c r="H4480">
        <f>-2.41*OPERAC[[#This Row],[cantidad]]</f>
        <v/>
      </c>
      <c r="I4480">
        <f>-H394/G394</f>
        <v/>
      </c>
    </row>
    <row r="4481">
      <c r="A4481" t="n">
        <v>18651</v>
      </c>
      <c r="B4481" s="16" t="n">
        <v>44511</v>
      </c>
      <c r="C4481" t="inlineStr">
        <is>
          <t>VTA</t>
        </is>
      </c>
      <c r="D4481" t="n">
        <v>31</v>
      </c>
      <c r="E4481">
        <f>IF(D5602&gt;0,VLOOKUP(OPERAC[[#This Row],[COD CART]],[1]!MatrizCortoLargoCyl[#All],3,0),"")</f>
        <v/>
      </c>
      <c r="F4481" t="inlineStr">
        <is>
          <t>IPIX</t>
        </is>
      </c>
      <c r="G4481" t="n">
        <v>20000</v>
      </c>
      <c r="H4481" t="n">
        <v>-2199.8</v>
      </c>
      <c r="I4481">
        <f>-H5602/G5602</f>
        <v/>
      </c>
    </row>
    <row r="4482">
      <c r="A4482" t="n">
        <v>18651</v>
      </c>
      <c r="B4482" s="16" t="n">
        <v>44533</v>
      </c>
      <c r="C4482" t="inlineStr">
        <is>
          <t>CPR</t>
        </is>
      </c>
      <c r="D4482" t="n">
        <v>32</v>
      </c>
      <c r="E4482">
        <f>IF(D6155&gt;0,VLOOKUP(OPERAC[[#This Row],[COD CART]],[1]!MatrizCortoLargoCyl[#All],3,0),"")</f>
        <v/>
      </c>
      <c r="F4482" t="inlineStr">
        <is>
          <t>HIMX</t>
        </is>
      </c>
      <c r="G4482" t="n">
        <v>500</v>
      </c>
      <c r="H4482">
        <f>-5047.175+194.93</f>
        <v/>
      </c>
      <c r="I4482">
        <f>-H6155/G6155</f>
        <v/>
      </c>
      <c r="J4482" s="16" t="n">
        <v>44670</v>
      </c>
      <c r="K4482" t="n">
        <v>500</v>
      </c>
      <c r="L4482" t="n">
        <v>4548.506</v>
      </c>
    </row>
    <row r="4483">
      <c r="A4483" t="n">
        <v>18651</v>
      </c>
      <c r="B4483" s="16" t="n">
        <v>44533</v>
      </c>
      <c r="C4483" t="inlineStr">
        <is>
          <t>CPR</t>
        </is>
      </c>
      <c r="D4483" t="n">
        <v>32</v>
      </c>
      <c r="E4483">
        <f>IF(D6281&gt;0,VLOOKUP(OPERAC[[#This Row],[COD CART]],[1]!MatrizCortoLargoCyl[#All],3,0),"")</f>
        <v/>
      </c>
      <c r="F4483" t="inlineStr">
        <is>
          <t>EDIT</t>
        </is>
      </c>
      <c r="G4483" t="n">
        <v>300</v>
      </c>
      <c r="H4483">
        <f>-26.92*OPERAC[[#This Row],[cantidad]]+9.904+69.44</f>
        <v/>
      </c>
      <c r="I4483">
        <f>-H6281/G6281</f>
        <v/>
      </c>
      <c r="J4483" s="16" t="n">
        <v>44564</v>
      </c>
      <c r="K4483">
        <f>100+200</f>
        <v/>
      </c>
      <c r="L4483">
        <f>2697.096+2137.674</f>
        <v/>
      </c>
    </row>
    <row r="4484">
      <c r="A4484" t="n">
        <v>18651</v>
      </c>
      <c r="B4484" s="16" t="n">
        <v>44537</v>
      </c>
      <c r="C4484" t="inlineStr">
        <is>
          <t>CPR</t>
        </is>
      </c>
      <c r="D4484" t="n">
        <v>43</v>
      </c>
      <c r="E4484">
        <f>IF(D5731&gt;0,VLOOKUP(OPERAC[[#This Row],[COD CART]],[1]!MatrizCortoLargoCyl[#All],3,0),"")</f>
        <v/>
      </c>
      <c r="F4484" t="inlineStr">
        <is>
          <t>XSPA/CYL-PUT/1,50/20-01-23</t>
        </is>
      </c>
      <c r="G4484" t="n">
        <v>5000</v>
      </c>
      <c r="H4484">
        <f>-0.52*OPERAC[[#This Row],[cantidad]]</f>
        <v/>
      </c>
      <c r="I4484">
        <f>-H5731/G5731</f>
        <v/>
      </c>
    </row>
    <row r="4485">
      <c r="A4485" t="n">
        <v>18651</v>
      </c>
      <c r="B4485" s="16" t="n">
        <v>44537</v>
      </c>
      <c r="C4485" t="inlineStr">
        <is>
          <t>VTA</t>
        </is>
      </c>
      <c r="D4485" t="n">
        <v>43</v>
      </c>
      <c r="E4485">
        <f>IF(D4999&gt;0,VLOOKUP(OPERAC[[#This Row],[COD CART]],[1]!MatrizCortoLargoCyl[#All],3,0),"")</f>
        <v/>
      </c>
      <c r="F4485" t="inlineStr">
        <is>
          <t>HEXO/CYL-PUT/1,00/20-01-23</t>
        </is>
      </c>
      <c r="G4485" t="n">
        <v>8500</v>
      </c>
      <c r="H4485">
        <f>-0.18*OPERAC[[#This Row],[cantidad]]</f>
        <v/>
      </c>
      <c r="I4485">
        <f>-H4999/G4999</f>
        <v/>
      </c>
      <c r="J4485" s="16" t="n">
        <v>44615</v>
      </c>
      <c r="K4485" t="n">
        <v>8500</v>
      </c>
      <c r="L4485" t="n">
        <v>2787.43</v>
      </c>
    </row>
    <row r="4486">
      <c r="A4486" t="n">
        <v>18651</v>
      </c>
      <c r="B4486" s="16" t="n">
        <v>44539</v>
      </c>
      <c r="C4486" t="inlineStr">
        <is>
          <t>CPR</t>
        </is>
      </c>
      <c r="D4486" t="n">
        <v>40</v>
      </c>
      <c r="E4486">
        <f>IF(D6182&gt;0,VLOOKUP(OPERAC[[#This Row],[COD CART]],[1]!MatrizCortoLargoCyl[#All],3,0),"")</f>
        <v/>
      </c>
      <c r="F4486" t="inlineStr">
        <is>
          <t>ROKU</t>
        </is>
      </c>
      <c r="G4486" t="n">
        <v>20</v>
      </c>
      <c r="H4486" t="n">
        <v>-5154.4072</v>
      </c>
      <c r="I4486">
        <f>-H6182/G6182</f>
        <v/>
      </c>
      <c r="J4486" s="16" t="n">
        <v>44606</v>
      </c>
      <c r="K4486">
        <f>+OPERAC[[#This Row],[cantidad]]</f>
        <v/>
      </c>
      <c r="L4486">
        <f>+OPERAC[[#This Row],[cantidad venta]]*160.574</f>
        <v/>
      </c>
    </row>
    <row r="4487">
      <c r="A4487" t="n">
        <v>18651</v>
      </c>
      <c r="B4487" s="16" t="n">
        <v>44543</v>
      </c>
      <c r="C4487" t="inlineStr">
        <is>
          <t>CPR</t>
        </is>
      </c>
      <c r="D4487" t="n">
        <v>40</v>
      </c>
      <c r="E4487">
        <f>IF(D1871&gt;0,VLOOKUP(OPERAC[[#This Row],[COD CART]],[1]!MatrizCortoLargoCyl[#All],3,0),"")</f>
        <v/>
      </c>
      <c r="F4487" t="inlineStr">
        <is>
          <t>VIST</t>
        </is>
      </c>
      <c r="G4487" t="n">
        <v>50</v>
      </c>
      <c r="H4487" t="n">
        <v>-279.97</v>
      </c>
      <c r="I4487">
        <f>-H1871/G1871</f>
        <v/>
      </c>
      <c r="J4487" s="16" t="n">
        <v>44574</v>
      </c>
      <c r="K4487">
        <f>+OPERAC[[#This Row],[cantidad]]</f>
        <v/>
      </c>
      <c r="L4487">
        <f>+OPERAC[[#This Row],[cantidad venta]]*6.125</f>
        <v/>
      </c>
    </row>
    <row r="4488">
      <c r="A4488" t="n">
        <v>18651</v>
      </c>
      <c r="B4488" s="16" t="n">
        <v>44550</v>
      </c>
      <c r="C4488" t="inlineStr">
        <is>
          <t>CPR</t>
        </is>
      </c>
      <c r="D4488" t="n">
        <v>40</v>
      </c>
      <c r="E4488">
        <f>IF(D4893&gt;0,VLOOKUP(OPERAC[[#This Row],[COD CART]],[1]!MatrizCortoLargoCyl[#All],3,0),"")</f>
        <v/>
      </c>
      <c r="F4488" t="inlineStr">
        <is>
          <t>SMH</t>
        </is>
      </c>
      <c r="G4488" t="n">
        <v>5</v>
      </c>
      <c r="H4488" t="n">
        <v>-1464.0326</v>
      </c>
      <c r="I4488">
        <f>-H4893/G4893</f>
        <v/>
      </c>
      <c r="J4488" s="16" t="n">
        <v>44574</v>
      </c>
      <c r="K4488">
        <f>+OPERAC[[#This Row],[cantidad]]</f>
        <v/>
      </c>
      <c r="L4488">
        <f>+OPERAC[[#This Row],[cantidad venta]]*306.843</f>
        <v/>
      </c>
    </row>
    <row r="4489">
      <c r="A4489" t="n">
        <v>18651</v>
      </c>
      <c r="B4489" s="16" t="n">
        <v>44553</v>
      </c>
      <c r="C4489" t="inlineStr">
        <is>
          <t>CPR</t>
        </is>
      </c>
      <c r="D4489" t="n">
        <v>40</v>
      </c>
      <c r="E4489">
        <f>IF(D4728&gt;0,VLOOKUP(OPERAC[[#This Row],[COD CART]],[1]!MatrizCortoLargoCyl[#All],3,0),"")</f>
        <v/>
      </c>
      <c r="F4489" t="inlineStr">
        <is>
          <t>ON</t>
        </is>
      </c>
      <c r="G4489" t="n">
        <v>20</v>
      </c>
      <c r="H4489" t="n">
        <v>-1342.27216</v>
      </c>
      <c r="I4489">
        <f>-H4728/G4728</f>
        <v/>
      </c>
      <c r="J4489" s="16" t="n">
        <v>44606</v>
      </c>
      <c r="K4489">
        <f>+OPERAC[[#This Row],[cantidad]]</f>
        <v/>
      </c>
      <c r="L4489">
        <f>+OPERAC[[#This Row],[cantidad venta]]*58.449</f>
        <v/>
      </c>
    </row>
    <row r="4490">
      <c r="A4490" t="n">
        <v>18651</v>
      </c>
      <c r="B4490" s="16" t="n">
        <v>44557</v>
      </c>
      <c r="C4490" t="inlineStr">
        <is>
          <t>CPR</t>
        </is>
      </c>
      <c r="D4490" t="n">
        <v>40</v>
      </c>
      <c r="E4490">
        <f>IF(D3553&gt;0,VLOOKUP(OPERAC[[#This Row],[COD CART]],[1]!MatrizCortoLargoCyl[#All],3,0),"")</f>
        <v/>
      </c>
      <c r="F4490" t="inlineStr">
        <is>
          <t>TLRY</t>
        </is>
      </c>
      <c r="G4490" t="n">
        <v>100</v>
      </c>
      <c r="H4490" t="n">
        <v>-771.62</v>
      </c>
      <c r="I4490">
        <f>-H3553/G3553</f>
        <v/>
      </c>
      <c r="J4490" s="16" t="n">
        <v>44585</v>
      </c>
      <c r="K4490">
        <f>+OPERAC[[#This Row],[cantidad]]</f>
        <v/>
      </c>
      <c r="L4490">
        <f>+OPERAC[[#This Row],[cantidad venta]]*5.263</f>
        <v/>
      </c>
    </row>
    <row r="4491">
      <c r="A4491" t="n">
        <v>18651</v>
      </c>
      <c r="B4491" s="16" t="n">
        <v>44558</v>
      </c>
      <c r="C4491" t="inlineStr">
        <is>
          <t>CPR</t>
        </is>
      </c>
      <c r="D4491" t="n">
        <v>40</v>
      </c>
      <c r="E4491">
        <f>IF(D5905&gt;0,VLOOKUP(OPERAC[[#This Row],[COD CART]],[1]!MatrizCortoLargoCyl[#All],3,0),"")</f>
        <v/>
      </c>
      <c r="F4491" t="inlineStr">
        <is>
          <t>UPST</t>
        </is>
      </c>
      <c r="G4491" t="n">
        <v>20</v>
      </c>
      <c r="H4491" t="n">
        <v>-3012.004</v>
      </c>
      <c r="I4491">
        <f>-H5905/G5905</f>
        <v/>
      </c>
      <c r="J4491" s="16" t="n">
        <v>44606</v>
      </c>
      <c r="K4491">
        <f>+OPERAC[[#This Row],[cantidad]]</f>
        <v/>
      </c>
      <c r="L4491">
        <f>+OPERAC[[#This Row],[cantidad venta]]*98.994</f>
        <v/>
      </c>
    </row>
    <row r="4492">
      <c r="A4492" t="n">
        <v>18651</v>
      </c>
      <c r="B4492" s="16" t="n">
        <v>44564</v>
      </c>
      <c r="C4492" t="inlineStr">
        <is>
          <t>VTA</t>
        </is>
      </c>
      <c r="D4492" t="n">
        <v>39</v>
      </c>
      <c r="E4492">
        <f>IF(D325&gt;0,VLOOKUP(OPERAC[[#This Row],[COD CART]],[1]!MatrizCortoLargoCyl[#All],3,0),"")</f>
        <v/>
      </c>
      <c r="F4492" t="inlineStr">
        <is>
          <t>TSLA/V/975,00/07-01-22</t>
        </is>
      </c>
      <c r="G4492" t="n">
        <v>-1800</v>
      </c>
      <c r="H4492" t="n">
        <v>1390.6404</v>
      </c>
      <c r="I4492">
        <f>-H325/G325</f>
        <v/>
      </c>
      <c r="J4492" s="16" t="n">
        <v>44567</v>
      </c>
      <c r="K4492" t="n">
        <v>-1800</v>
      </c>
      <c r="L4492" t="n">
        <v>-1390.64</v>
      </c>
    </row>
    <row r="4493">
      <c r="A4493" t="n">
        <v>18651</v>
      </c>
      <c r="B4493" s="16" t="n">
        <v>44567</v>
      </c>
      <c r="C4493" t="inlineStr">
        <is>
          <t>VTA</t>
        </is>
      </c>
      <c r="D4493" t="n">
        <v>39</v>
      </c>
      <c r="E4493">
        <f>IF(D12&gt;0,VLOOKUP(OPERAC[[#This Row],[COD CART]],[1]!MatrizCortoLargoCyl[#All],3,0),"")</f>
        <v/>
      </c>
      <c r="F4493" t="inlineStr">
        <is>
          <t>TSLA/V/880,00/14-01-22</t>
        </is>
      </c>
      <c r="G4493" t="n">
        <v>-1800</v>
      </c>
      <c r="H4493" t="n">
        <v>10708.8066</v>
      </c>
      <c r="I4493">
        <f>-H12/G12</f>
        <v/>
      </c>
      <c r="J4493" s="16" t="n">
        <v>44571</v>
      </c>
      <c r="K4493" t="n">
        <v>-1800</v>
      </c>
      <c r="L4493" t="n">
        <v>-6054.3954</v>
      </c>
    </row>
    <row r="4494">
      <c r="A4494" t="n">
        <v>18651</v>
      </c>
      <c r="B4494" s="16" t="n">
        <v>44571</v>
      </c>
      <c r="C4494" t="inlineStr">
        <is>
          <t>VTA</t>
        </is>
      </c>
      <c r="D4494" t="n">
        <v>39</v>
      </c>
      <c r="E4494">
        <f>IF(D76&gt;0,VLOOKUP(OPERAC[[#This Row],[COD CART]],[1]!MatrizCortoLargoCyl[#All],3,0),"")</f>
        <v/>
      </c>
      <c r="F4494" t="inlineStr">
        <is>
          <t>TSLA/V/870,00/21-01-22</t>
        </is>
      </c>
      <c r="G4494" t="n">
        <v>-700</v>
      </c>
      <c r="H4494" t="n">
        <v>4025.6559</v>
      </c>
      <c r="I4494">
        <f>-H76/G76</f>
        <v/>
      </c>
      <c r="J4494" s="16" t="n">
        <v>44574</v>
      </c>
      <c r="K4494" t="n">
        <v>-700</v>
      </c>
      <c r="L4494" t="n">
        <v>-1166.0691</v>
      </c>
    </row>
    <row r="4495">
      <c r="A4495" t="n">
        <v>18651</v>
      </c>
      <c r="B4495" s="16" t="n">
        <v>44574</v>
      </c>
      <c r="C4495" t="inlineStr">
        <is>
          <t>CPR</t>
        </is>
      </c>
      <c r="D4495" t="n">
        <v>32</v>
      </c>
      <c r="E4495">
        <f>IF(D6312&gt;0,VLOOKUP(OPERAC[[#This Row],[COD CART]],[1]!MatrizCortoLargoCyl[#All],3,0),"")</f>
        <v/>
      </c>
      <c r="F4495" t="inlineStr">
        <is>
          <t>BABA</t>
        </is>
      </c>
      <c r="G4495" t="n">
        <v>100</v>
      </c>
      <c r="H4495">
        <f>-13117.27+52.18+177.87+123.6</f>
        <v/>
      </c>
      <c r="I4495">
        <f>-H6312/G6312</f>
        <v/>
      </c>
      <c r="J4495" s="16" t="n">
        <v>44693</v>
      </c>
      <c r="K4495" t="n">
        <v>100</v>
      </c>
      <c r="L4495" t="n">
        <v>8003.589</v>
      </c>
    </row>
    <row r="4496">
      <c r="A4496" t="n">
        <v>18651</v>
      </c>
      <c r="B4496" s="16" t="n">
        <v>44574</v>
      </c>
      <c r="C4496" t="inlineStr">
        <is>
          <t>VTA</t>
        </is>
      </c>
      <c r="D4496" t="n">
        <v>39</v>
      </c>
      <c r="E4496">
        <f>IF(D428&gt;0,VLOOKUP(OPERAC[[#This Row],[COD CART]],[1]!MatrizCortoLargoCyl[#All],3,0),"")</f>
        <v/>
      </c>
      <c r="F4496" t="inlineStr">
        <is>
          <t>TSLA/V/900,00/21-01-22</t>
        </is>
      </c>
      <c r="G4496" t="n">
        <v>-400</v>
      </c>
      <c r="H4496" t="n">
        <v>1070.3008</v>
      </c>
      <c r="I4496">
        <f>-H428/G428</f>
        <v/>
      </c>
      <c r="J4496" s="16" t="n">
        <v>44582</v>
      </c>
      <c r="K4496">
        <f>+OPERAC[[#This Row],[cantidad]]</f>
        <v/>
      </c>
      <c r="L4496" t="n">
        <v>0</v>
      </c>
    </row>
    <row r="4497">
      <c r="A4497" t="n">
        <v>18651</v>
      </c>
      <c r="B4497" s="16" t="n">
        <v>44574</v>
      </c>
      <c r="C4497" t="inlineStr">
        <is>
          <t>VTA</t>
        </is>
      </c>
      <c r="D4497" t="n">
        <v>39</v>
      </c>
      <c r="E4497">
        <f>IF(D5443&gt;0,VLOOKUP(OPERAC[[#This Row],[COD CART]],[1]!MatrizCortoLargoCyl[#All],3,0),"")</f>
        <v/>
      </c>
      <c r="F4497" t="inlineStr">
        <is>
          <t>BABA/BULL/120,0-135,0/20-05-22</t>
        </is>
      </c>
      <c r="G4497" t="n">
        <v>200</v>
      </c>
      <c r="H4497" t="n">
        <v>-1881.6</v>
      </c>
      <c r="I4497">
        <f>-H5443/G5443</f>
        <v/>
      </c>
      <c r="J4497" s="16" t="n">
        <v>44701</v>
      </c>
      <c r="K4497">
        <f>+OPERAC[[#This Row],[cantidad]]</f>
        <v/>
      </c>
      <c r="L4497" t="n">
        <v>0</v>
      </c>
    </row>
    <row r="4498">
      <c r="A4498" t="n">
        <v>18651</v>
      </c>
      <c r="B4498" s="16" t="n">
        <v>44579</v>
      </c>
      <c r="C4498" t="inlineStr">
        <is>
          <t>VTA</t>
        </is>
      </c>
      <c r="D4498" t="n">
        <v>39</v>
      </c>
      <c r="E4498">
        <f>IF(D189&gt;0,VLOOKUP(OPERAC[[#This Row],[COD CART]],[1]!MatrizCortoLargoCyl[#All],3,0),"")</f>
        <v/>
      </c>
      <c r="F4498" t="inlineStr">
        <is>
          <t>SOLO/V/3,50/25-02-22</t>
        </is>
      </c>
      <c r="G4498" t="n">
        <v>-1600</v>
      </c>
      <c r="H4498" t="n">
        <v>2210.97184</v>
      </c>
      <c r="I4498">
        <f>-H189/G189</f>
        <v/>
      </c>
      <c r="J4498" s="16" t="n">
        <v>44608</v>
      </c>
      <c r="K4498">
        <f>+OPERAC[[#This Row],[cantidad]]</f>
        <v/>
      </c>
      <c r="L4498" t="n">
        <v>-2232.064</v>
      </c>
    </row>
    <row r="4499">
      <c r="A4499" t="n">
        <v>18651</v>
      </c>
      <c r="B4499" s="16" t="n">
        <v>44585</v>
      </c>
      <c r="C4499" t="inlineStr">
        <is>
          <t>VTA</t>
        </is>
      </c>
      <c r="D4499" t="n">
        <v>39</v>
      </c>
      <c r="E4499">
        <f>IF(D827&gt;0,VLOOKUP(OPERAC[[#This Row],[COD CART]],[1]!MatrizCortoLargoCyl[#All],3,0),"")</f>
        <v/>
      </c>
      <c r="F4499" t="inlineStr">
        <is>
          <t>TSLA/V/510,00/28-01-22</t>
        </is>
      </c>
      <c r="G4499" t="n">
        <v>-200</v>
      </c>
      <c r="H4499" t="n">
        <v>217.712</v>
      </c>
      <c r="I4499">
        <f>-H827/G827</f>
        <v/>
      </c>
      <c r="J4499" s="16" t="n">
        <v>44587</v>
      </c>
      <c r="K4499" t="n">
        <v>-200</v>
      </c>
      <c r="L4499" t="n">
        <v>-21.776</v>
      </c>
    </row>
    <row r="4500">
      <c r="A4500" t="n">
        <v>18651</v>
      </c>
      <c r="B4500" s="16" t="n">
        <v>44586</v>
      </c>
      <c r="C4500" t="inlineStr">
        <is>
          <t>CPR</t>
        </is>
      </c>
      <c r="D4500" t="n">
        <v>43</v>
      </c>
      <c r="E4500">
        <f>IF(D6040&gt;0,VLOOKUP(OPERAC[[#This Row],[COD CART]],[1]!MatrizCortoLargoCyl[#All],3,0),"")</f>
        <v/>
      </c>
      <c r="F4500" t="inlineStr">
        <is>
          <t>GMBL</t>
        </is>
      </c>
      <c r="G4500">
        <f>1000+1000</f>
        <v/>
      </c>
      <c r="H4500">
        <f>-1016.0423-2510</f>
        <v/>
      </c>
      <c r="I4500">
        <f>-H6040/G6040</f>
        <v/>
      </c>
    </row>
    <row r="4501">
      <c r="A4501" t="n">
        <v>18651</v>
      </c>
      <c r="B4501" s="16" t="n">
        <v>44594</v>
      </c>
      <c r="C4501" t="inlineStr">
        <is>
          <t>VTA</t>
        </is>
      </c>
      <c r="D4501" t="n">
        <v>40</v>
      </c>
      <c r="E4501">
        <f>IF(D5521&gt;0,VLOOKUP(OPERAC[[#This Row],[COD CART]],[1]!MatrizCortoLargoCyl[#All],3,0),"")</f>
        <v/>
      </c>
      <c r="F4501" t="inlineStr">
        <is>
          <t>EDU</t>
        </is>
      </c>
      <c r="G4501" t="n">
        <v>1000</v>
      </c>
      <c r="H4501" t="n">
        <v>-2016</v>
      </c>
      <c r="I4501">
        <f>-H5521/G5521</f>
        <v/>
      </c>
      <c r="J4501" s="16" t="n">
        <v>44599</v>
      </c>
      <c r="K4501" t="n">
        <v>1000</v>
      </c>
      <c r="L4501" t="n">
        <v>1540</v>
      </c>
    </row>
    <row r="4502">
      <c r="A4502" t="n">
        <v>18651</v>
      </c>
      <c r="B4502" s="16" t="n">
        <v>44607</v>
      </c>
      <c r="C4502" t="inlineStr">
        <is>
          <t>CPR</t>
        </is>
      </c>
      <c r="D4502" t="n">
        <v>32</v>
      </c>
      <c r="E4502">
        <f>IF(D6272&gt;0,VLOOKUP(OPERAC[[#This Row],[COD CART]],[1]!MatrizCortoLargoCyl[#All],3,0),"")</f>
        <v/>
      </c>
      <c r="F4502" t="inlineStr">
        <is>
          <t>UPST/CYL/80,00/18-03-22</t>
        </is>
      </c>
      <c r="G4502" t="n">
        <v>100</v>
      </c>
      <c r="H4502" t="n">
        <v>-7567.157770000001</v>
      </c>
      <c r="I4502">
        <f>-H6272/G6272</f>
        <v/>
      </c>
      <c r="J4502" s="16" t="n">
        <v>44608</v>
      </c>
      <c r="K4502" t="n">
        <v>100</v>
      </c>
      <c r="L4502" t="n">
        <v>7956.448</v>
      </c>
    </row>
    <row r="4503">
      <c r="A4503" t="n">
        <v>18651</v>
      </c>
      <c r="B4503" s="16" t="n">
        <v>44607</v>
      </c>
      <c r="C4503" t="inlineStr">
        <is>
          <t>VTA</t>
        </is>
      </c>
      <c r="D4503" t="n">
        <v>39</v>
      </c>
      <c r="E4503">
        <f>IF(D668&gt;0,VLOOKUP(OPERAC[[#This Row],[COD CART]],[1]!MatrizCortoLargoCyl[#All],3,0),"")</f>
        <v/>
      </c>
      <c r="F4503" t="inlineStr">
        <is>
          <t>TSLA/V/820,00/18-02-22</t>
        </is>
      </c>
      <c r="G4503" t="n">
        <v>-300</v>
      </c>
      <c r="H4503" t="n">
        <v>449.948</v>
      </c>
      <c r="I4503">
        <f>-H668/G668</f>
        <v/>
      </c>
      <c r="J4503" s="16" t="n">
        <v>44609</v>
      </c>
      <c r="K4503" t="n">
        <v>-300</v>
      </c>
      <c r="L4503" t="n">
        <v>-127.815</v>
      </c>
    </row>
    <row r="4504">
      <c r="A4504" t="n">
        <v>18651</v>
      </c>
      <c r="B4504" s="16" t="n">
        <v>44608</v>
      </c>
      <c r="C4504" t="inlineStr">
        <is>
          <t>CPR</t>
        </is>
      </c>
      <c r="D4504" t="n">
        <v>40</v>
      </c>
      <c r="E4504">
        <f>IF(D5754&gt;0,VLOOKUP(OPERAC[[#This Row],[COD CART]],[1]!MatrizCortoLargoCyl[#All],3,0),"")</f>
        <v/>
      </c>
      <c r="F4504" t="inlineStr">
        <is>
          <t>NVDA</t>
        </is>
      </c>
      <c r="G4504" t="n">
        <v>10</v>
      </c>
      <c r="H4504" t="n">
        <v>-2635.14</v>
      </c>
      <c r="I4504">
        <f>-H5754/G5754</f>
        <v/>
      </c>
      <c r="J4504" s="16" t="n">
        <v>44616</v>
      </c>
      <c r="K4504">
        <f>+OPERAC[[#This Row],[cantidad]]</f>
        <v/>
      </c>
      <c r="L4504">
        <f>+OPERAC[[#This Row],[cantidad venta]]*224.117</f>
        <v/>
      </c>
    </row>
    <row r="4505">
      <c r="A4505" t="n">
        <v>18651</v>
      </c>
      <c r="B4505" s="16" t="n">
        <v>44608</v>
      </c>
      <c r="C4505" t="inlineStr">
        <is>
          <t>CPR</t>
        </is>
      </c>
      <c r="D4505" t="n">
        <v>32</v>
      </c>
      <c r="E4505">
        <f>IF(D6144&gt;0,VLOOKUP(OPERAC[[#This Row],[COD CART]],[1]!MatrizCortoLargoCyl[#All],3,0),"")</f>
        <v/>
      </c>
      <c r="F4505" t="inlineStr">
        <is>
          <t>DDD/CYL/17,00/01-04-22</t>
        </is>
      </c>
      <c r="G4505" t="n">
        <v>300</v>
      </c>
      <c r="H4505">
        <f>-4888.2522+59.62+30.908</f>
        <v/>
      </c>
      <c r="I4505">
        <f>-H6144/G6144</f>
        <v/>
      </c>
      <c r="J4505" s="16" t="n">
        <v>44649</v>
      </c>
      <c r="K4505" t="n">
        <v>300</v>
      </c>
      <c r="L4505" t="n">
        <v>5002.23</v>
      </c>
    </row>
    <row r="4506">
      <c r="A4506" t="n">
        <v>18651</v>
      </c>
      <c r="B4506" s="16" t="n">
        <v>44608</v>
      </c>
      <c r="C4506" t="inlineStr">
        <is>
          <t>VTA</t>
        </is>
      </c>
      <c r="D4506" t="n">
        <v>39</v>
      </c>
      <c r="E4506">
        <f>IF(D331&gt;0,VLOOKUP(OPERAC[[#This Row],[COD CART]],[1]!MatrizCortoLargoCyl[#All],3,0),"")</f>
        <v/>
      </c>
      <c r="F4506" t="inlineStr">
        <is>
          <t>SOLO/V/3,00/18-03-22</t>
        </is>
      </c>
      <c r="G4506" t="n">
        <v>-1600</v>
      </c>
      <c r="H4506" t="n">
        <v>1368.064</v>
      </c>
      <c r="I4506">
        <f>-H331/G331</f>
        <v/>
      </c>
      <c r="J4506" s="16" t="n">
        <v>44614</v>
      </c>
      <c r="K4506">
        <f>+OPERAC[[#This Row],[cantidad]]</f>
        <v/>
      </c>
      <c r="L4506">
        <f>+OPERAC[[#This Row],[cantidad venta]]*1.113</f>
        <v/>
      </c>
    </row>
    <row r="4507">
      <c r="A4507" t="n">
        <v>18651</v>
      </c>
      <c r="B4507" s="16" t="n">
        <v>44610</v>
      </c>
      <c r="C4507" t="inlineStr">
        <is>
          <t>VTA</t>
        </is>
      </c>
      <c r="D4507" t="n">
        <v>39</v>
      </c>
      <c r="E4507">
        <f>IF(D1023&gt;0,VLOOKUP(OPERAC[[#This Row],[COD CART]],[1]!MatrizCortoLargoCyl[#All],3,0),"")</f>
        <v/>
      </c>
      <c r="F4507" t="inlineStr">
        <is>
          <t>MELI/V/540,00/16-09-22</t>
        </is>
      </c>
      <c r="G4507" t="n">
        <v>-2</v>
      </c>
      <c r="H4507" t="n">
        <v>55.55</v>
      </c>
      <c r="I4507">
        <f>-H1023/G1023</f>
        <v/>
      </c>
    </row>
    <row r="4508">
      <c r="A4508" t="n">
        <v>18651</v>
      </c>
      <c r="B4508" s="16" t="n">
        <v>44614</v>
      </c>
      <c r="C4508" t="inlineStr">
        <is>
          <t>VTA</t>
        </is>
      </c>
      <c r="D4508" t="n">
        <v>39</v>
      </c>
      <c r="E4508">
        <f>IF(D980&gt;0,VLOOKUP(OPERAC[[#This Row],[COD CART]],[1]!MatrizCortoLargoCyl[#All],3,0),"")</f>
        <v/>
      </c>
      <c r="F4508" t="inlineStr">
        <is>
          <t>MELI/V/540,00/19-01-24</t>
        </is>
      </c>
      <c r="G4508" t="n">
        <v>-1</v>
      </c>
      <c r="H4508" t="n">
        <v>76.38</v>
      </c>
      <c r="I4508">
        <f>-H980/G980</f>
        <v/>
      </c>
    </row>
    <row r="4509">
      <c r="A4509" t="n">
        <v>18651</v>
      </c>
      <c r="B4509" s="16" t="n">
        <v>44616</v>
      </c>
      <c r="C4509" t="inlineStr">
        <is>
          <t>CPR</t>
        </is>
      </c>
      <c r="D4509" t="n">
        <v>32</v>
      </c>
      <c r="E4509">
        <f>IF(D3653&gt;0,VLOOKUP(OPERAC[[#This Row],[COD CART]],[1]!MatrizCortoLargoCyl[#All],3,0),"")</f>
        <v/>
      </c>
      <c r="F4509" t="inlineStr">
        <is>
          <t>COTY/CYL/8,50/18-03-22</t>
        </is>
      </c>
      <c r="G4509" t="n">
        <v>100</v>
      </c>
      <c r="H4509" t="n">
        <v>-807.1405999999999</v>
      </c>
      <c r="I4509">
        <f>-H3653/G3653</f>
        <v/>
      </c>
      <c r="J4509" s="16" t="n">
        <v>44636</v>
      </c>
      <c r="K4509" t="n">
        <v>100</v>
      </c>
      <c r="L4509" t="n">
        <v>837.58</v>
      </c>
    </row>
    <row r="4510">
      <c r="A4510" t="n">
        <v>18651</v>
      </c>
      <c r="B4510" s="16" t="n">
        <v>44616</v>
      </c>
      <c r="C4510" t="inlineStr">
        <is>
          <t>CPR</t>
        </is>
      </c>
      <c r="D4510" t="n">
        <v>32</v>
      </c>
      <c r="E4510">
        <f>IF(D5807&gt;0,VLOOKUP(OPERAC[[#This Row],[COD CART]],[1]!MatrizCortoLargoCyl[#All],3,0),"")</f>
        <v/>
      </c>
      <c r="F4510" t="inlineStr">
        <is>
          <t>UUUU/CYL/8,00/18-03-22</t>
        </is>
      </c>
      <c r="G4510" t="n">
        <v>400</v>
      </c>
      <c r="H4510" t="n">
        <v>-2735.304</v>
      </c>
      <c r="I4510">
        <f>-H5807/G5807</f>
        <v/>
      </c>
      <c r="J4510" s="16" t="n">
        <v>44636</v>
      </c>
      <c r="K4510">
        <f>+OPERAC[[#This Row],[cantidad]]</f>
        <v/>
      </c>
      <c r="L4510" t="n">
        <v>3069.855</v>
      </c>
    </row>
    <row r="4511">
      <c r="A4511" t="n">
        <v>18651</v>
      </c>
      <c r="B4511" s="16" t="n">
        <v>44616</v>
      </c>
      <c r="C4511" t="inlineStr">
        <is>
          <t>CPR</t>
        </is>
      </c>
      <c r="D4511" t="n">
        <v>32</v>
      </c>
      <c r="E4511">
        <f>IF(D6191&gt;0,VLOOKUP(OPERAC[[#This Row],[COD CART]],[1]!MatrizCortoLargoCyl[#All],3,0),"")</f>
        <v/>
      </c>
      <c r="F4511" t="inlineStr">
        <is>
          <t>PLTR/CYL/12,00/14-04-22</t>
        </is>
      </c>
      <c r="G4511" t="n">
        <v>500</v>
      </c>
      <c r="H4511" t="n">
        <v>-5263.6325</v>
      </c>
      <c r="I4511">
        <f>-H6191/G6191</f>
        <v/>
      </c>
      <c r="J4511" s="16" t="n">
        <v>44643</v>
      </c>
      <c r="K4511" t="n">
        <v>500</v>
      </c>
      <c r="L4511" t="n">
        <v>5733.619</v>
      </c>
    </row>
    <row r="4512">
      <c r="A4512" t="n">
        <v>18651</v>
      </c>
      <c r="B4512" s="16" t="n">
        <v>44616</v>
      </c>
      <c r="C4512" t="inlineStr">
        <is>
          <t>CPR</t>
        </is>
      </c>
      <c r="D4512" t="n">
        <v>32</v>
      </c>
      <c r="E4512">
        <f>IF(D6276&gt;0,VLOOKUP(OPERAC[[#This Row],[COD CART]],[1]!MatrizCortoLargoCyl[#All],3,0),"")</f>
        <v/>
      </c>
      <c r="F4512" t="inlineStr">
        <is>
          <t>HMY/CYL/4,00/18-03-22</t>
        </is>
      </c>
      <c r="G4512" t="n">
        <v>2000</v>
      </c>
      <c r="H4512" t="n">
        <v>-7674.1</v>
      </c>
      <c r="I4512">
        <f>-H6276/G6276</f>
        <v/>
      </c>
      <c r="J4512" s="16" t="n">
        <v>44621</v>
      </c>
      <c r="K4512">
        <f>1000+1000</f>
        <v/>
      </c>
      <c r="L4512">
        <f>3893.72+3939.5</f>
        <v/>
      </c>
    </row>
    <row r="4513">
      <c r="A4513" t="n">
        <v>18651</v>
      </c>
      <c r="B4513" s="16" t="n">
        <v>44616</v>
      </c>
      <c r="C4513" t="inlineStr">
        <is>
          <t>VTA</t>
        </is>
      </c>
      <c r="D4513" t="n">
        <v>32</v>
      </c>
      <c r="E4513">
        <f>IF(D5052&gt;0,VLOOKUP(OPERAC[[#This Row],[COD CART]],[1]!MatrizCortoLargoCyl[#All],3,0),"")</f>
        <v/>
      </c>
      <c r="F4513" t="inlineStr">
        <is>
          <t>SPWR/CYL/20,00/18-03-22</t>
        </is>
      </c>
      <c r="G4513" t="n">
        <v>100</v>
      </c>
      <c r="H4513" t="n">
        <v>-1573.0928</v>
      </c>
      <c r="I4513">
        <f>-H5052/G5052</f>
        <v/>
      </c>
      <c r="J4513" s="16" t="n">
        <v>44636</v>
      </c>
      <c r="K4513" t="n">
        <v>100</v>
      </c>
      <c r="L4513" t="n">
        <v>1911.85</v>
      </c>
    </row>
    <row r="4514">
      <c r="A4514" t="n">
        <v>18651</v>
      </c>
      <c r="B4514" s="16" t="n">
        <v>44622</v>
      </c>
      <c r="C4514" t="inlineStr">
        <is>
          <t>CPR</t>
        </is>
      </c>
      <c r="D4514" t="n">
        <v>32</v>
      </c>
      <c r="E4514">
        <f>IF(D4884&gt;0,VLOOKUP(OPERAC[[#This Row],[COD CART]],[1]!MatrizCortoLargoCyl[#All],3,0),"")</f>
        <v/>
      </c>
      <c r="F4514" t="inlineStr">
        <is>
          <t>AMC/CYL/16,00/14-04-22</t>
        </is>
      </c>
      <c r="G4514" t="n">
        <v>100</v>
      </c>
      <c r="H4514" t="n">
        <v>-1460.8686</v>
      </c>
      <c r="I4514">
        <f>-H4884/G4884</f>
        <v/>
      </c>
      <c r="J4514" s="16" t="n">
        <v>44648</v>
      </c>
      <c r="K4514">
        <f>+OPERAC[[#This Row],[cantidad]]</f>
        <v/>
      </c>
      <c r="L4514" t="n">
        <v>1581.776</v>
      </c>
    </row>
    <row r="4515">
      <c r="A4515" t="n">
        <v>18651</v>
      </c>
      <c r="B4515" s="16" t="n">
        <v>44622</v>
      </c>
      <c r="C4515" t="inlineStr">
        <is>
          <t>CPR</t>
        </is>
      </c>
      <c r="D4515" t="n">
        <v>32</v>
      </c>
      <c r="E4515">
        <f>IF(D6134&gt;0,VLOOKUP(OPERAC[[#This Row],[COD CART]],[1]!MatrizCortoLargoCyl[#All],3,0),"")</f>
        <v/>
      </c>
      <c r="F4515" t="inlineStr">
        <is>
          <t>HMY/CYL/5,00/18-03-22</t>
        </is>
      </c>
      <c r="G4515" t="n">
        <v>1000</v>
      </c>
      <c r="H4515" t="n">
        <v>-4685.320000000001</v>
      </c>
      <c r="I4515">
        <f>-H6134/G6134</f>
        <v/>
      </c>
      <c r="J4515" s="16" t="n">
        <v>44637</v>
      </c>
      <c r="K4515">
        <f>+OPERAC[[#This Row],[cantidad]]</f>
        <v/>
      </c>
      <c r="L4515">
        <f>4.85553*OPERAC[[#This Row],[cantidad venta]]</f>
        <v/>
      </c>
    </row>
    <row r="4516">
      <c r="A4516" t="n">
        <v>18651</v>
      </c>
      <c r="B4516" s="16" t="n">
        <v>44641</v>
      </c>
      <c r="C4516" t="inlineStr">
        <is>
          <t>CPR</t>
        </is>
      </c>
      <c r="D4516" t="n">
        <v>42</v>
      </c>
      <c r="E4516">
        <f>IF(D4596&gt;0,VLOOKUP(OPERAC[[#This Row],[COD CART]],[1]!MatrizCortoLargoCyl[#All],3,0),"")</f>
        <v/>
      </c>
      <c r="F4516" t="inlineStr">
        <is>
          <t>DIS</t>
        </is>
      </c>
      <c r="G4516" t="n">
        <v>9</v>
      </c>
      <c r="H4516" t="n">
        <v>-1253.4408</v>
      </c>
      <c r="I4516">
        <f>-H4596/G4596</f>
        <v/>
      </c>
      <c r="J4516" s="16" t="n">
        <v>44671</v>
      </c>
      <c r="K4516">
        <f>+OPERAC[[#This Row],[cantidad]]</f>
        <v/>
      </c>
      <c r="L4516">
        <f>+OPERAC[[#This Row],[cantidad venta]]*123.621</f>
        <v/>
      </c>
    </row>
    <row r="4517">
      <c r="A4517" t="n">
        <v>18651</v>
      </c>
      <c r="B4517" s="16" t="n">
        <v>44641</v>
      </c>
      <c r="C4517" t="inlineStr">
        <is>
          <t>CPR</t>
        </is>
      </c>
      <c r="D4517" t="n">
        <v>42</v>
      </c>
      <c r="E4517">
        <f>IF(D4621&gt;0,VLOOKUP(OPERAC[[#This Row],[COD CART]],[1]!MatrizCortoLargoCyl[#All],3,0),"")</f>
        <v/>
      </c>
      <c r="F4517" t="inlineStr">
        <is>
          <t>FB</t>
        </is>
      </c>
      <c r="G4517" t="n">
        <v>6</v>
      </c>
      <c r="H4517" t="n">
        <v>-1272.93828</v>
      </c>
      <c r="I4517">
        <f>-H4621/G4621</f>
        <v/>
      </c>
      <c r="J4517" s="16" t="n">
        <v>44671</v>
      </c>
      <c r="K4517">
        <f>+OPERAC[[#This Row],[cantidad]]</f>
        <v/>
      </c>
      <c r="L4517">
        <f>+OPERAC[[#This Row],[cantidad venta]]*213.173</f>
        <v/>
      </c>
    </row>
    <row r="4518">
      <c r="A4518" t="n">
        <v>18651</v>
      </c>
      <c r="B4518" s="16" t="n">
        <v>44641</v>
      </c>
      <c r="C4518" t="inlineStr">
        <is>
          <t>CPR</t>
        </is>
      </c>
      <c r="D4518" t="n">
        <v>42</v>
      </c>
      <c r="E4518">
        <f>IF(D4729&gt;0,VLOOKUP(OPERAC[[#This Row],[COD CART]],[1]!MatrizCortoLargoCyl[#All],3,0),"")</f>
        <v/>
      </c>
      <c r="F4518" t="inlineStr">
        <is>
          <t>SMH</t>
        </is>
      </c>
      <c r="G4518" t="n">
        <v>5</v>
      </c>
      <c r="H4518" t="n">
        <v>-1344.78825</v>
      </c>
      <c r="I4518">
        <f>-H4729/G4729</f>
        <v/>
      </c>
      <c r="J4518" s="16" t="n">
        <v>44663</v>
      </c>
      <c r="K4518">
        <f>+OPERAC[[#This Row],[cantidad]]</f>
        <v/>
      </c>
      <c r="L4518">
        <f>+OPERAC[[#This Row],[cantidad venta]]*238.066</f>
        <v/>
      </c>
    </row>
    <row r="4519">
      <c r="A4519" t="n">
        <v>18651</v>
      </c>
      <c r="B4519" s="16" t="n">
        <v>44641</v>
      </c>
      <c r="C4519" t="inlineStr">
        <is>
          <t>CPR</t>
        </is>
      </c>
      <c r="D4519" t="n">
        <v>42</v>
      </c>
      <c r="E4519">
        <f>IF(D4811&gt;0,VLOOKUP(OPERAC[[#This Row],[COD CART]],[1]!MatrizCortoLargoCyl[#All],3,0),"")</f>
        <v/>
      </c>
      <c r="F4519" t="inlineStr">
        <is>
          <t>JPM</t>
        </is>
      </c>
      <c r="G4519" t="n">
        <v>10</v>
      </c>
      <c r="H4519" t="n">
        <v>-1404.5434</v>
      </c>
      <c r="I4519">
        <f>-H4811/G4811</f>
        <v/>
      </c>
      <c r="J4519" s="16" t="n">
        <v>44664</v>
      </c>
      <c r="K4519">
        <f>+OPERAC[[#This Row],[cantidad]]</f>
        <v/>
      </c>
      <c r="L4519">
        <f>+OPERAC[[#This Row],[cantidad venta]]*125.943</f>
        <v/>
      </c>
    </row>
    <row r="4520">
      <c r="A4520" t="n">
        <v>18651</v>
      </c>
      <c r="B4520" s="16" t="n">
        <v>44641</v>
      </c>
      <c r="C4520" t="inlineStr">
        <is>
          <t>CPR</t>
        </is>
      </c>
      <c r="D4520" t="n">
        <v>32</v>
      </c>
      <c r="E4520">
        <f>IF(D6255&gt;0,VLOOKUP(OPERAC[[#This Row],[COD CART]],[1]!MatrizCortoLargoCyl[#All],3,0),"")</f>
        <v/>
      </c>
      <c r="F4520" t="inlineStr">
        <is>
          <t>HMY</t>
        </is>
      </c>
      <c r="G4520" t="n">
        <v>1500</v>
      </c>
      <c r="H4520" t="n">
        <v>-7138.5585</v>
      </c>
      <c r="I4520">
        <f>-H6255/G6255</f>
        <v/>
      </c>
      <c r="J4520" s="16" t="n">
        <v>44669</v>
      </c>
      <c r="K4520">
        <f>+OPERAC[[#This Row],[cantidad]]</f>
        <v/>
      </c>
      <c r="L4520">
        <f>4.925*OPERAC[[#This Row],[cantidad venta]]</f>
        <v/>
      </c>
    </row>
    <row r="4521">
      <c r="A4521" t="n">
        <v>18651</v>
      </c>
      <c r="B4521" s="16" t="n">
        <v>44643</v>
      </c>
      <c r="C4521" t="inlineStr">
        <is>
          <t>CPR</t>
        </is>
      </c>
      <c r="D4521" t="n">
        <v>42</v>
      </c>
      <c r="E4521">
        <f>IF(D4438&gt;0,VLOOKUP(OPERAC[[#This Row],[COD CART]],[1]!MatrizCortoLargoCyl[#All],3,0),"")</f>
        <v/>
      </c>
      <c r="F4521" t="inlineStr">
        <is>
          <t>JPM</t>
        </is>
      </c>
      <c r="G4521" t="n">
        <v>8</v>
      </c>
      <c r="H4521" t="n">
        <v>-1129.97312</v>
      </c>
      <c r="I4521">
        <f>-H4438/G4438</f>
        <v/>
      </c>
      <c r="J4521" s="16" t="n">
        <v>44664</v>
      </c>
      <c r="K4521">
        <f>+OPERAC[[#This Row],[cantidad]]</f>
        <v/>
      </c>
      <c r="L4521">
        <f>+OPERAC[[#This Row],[cantidad venta]]*125.943</f>
        <v/>
      </c>
    </row>
    <row r="4522">
      <c r="A4522" t="n">
        <v>18651</v>
      </c>
      <c r="B4522" s="16" t="n">
        <v>44643</v>
      </c>
      <c r="C4522" t="inlineStr">
        <is>
          <t>CPR</t>
        </is>
      </c>
      <c r="D4522" t="n">
        <v>42</v>
      </c>
      <c r="E4522">
        <f>IF(D4720&gt;0,VLOOKUP(OPERAC[[#This Row],[COD CART]],[1]!MatrizCortoLargoCyl[#All],3,0),"")</f>
        <v/>
      </c>
      <c r="F4522" t="inlineStr">
        <is>
          <t>SMH</t>
        </is>
      </c>
      <c r="G4522" t="n">
        <v>5</v>
      </c>
      <c r="H4522" t="n">
        <v>-1335.81449</v>
      </c>
      <c r="I4522">
        <f>-H4720/G4720</f>
        <v/>
      </c>
      <c r="J4522" s="16" t="n">
        <v>44663</v>
      </c>
      <c r="K4522">
        <f>+OPERAC[[#This Row],[cantidad]]</f>
        <v/>
      </c>
      <c r="L4522">
        <f>+OPERAC[[#This Row],[cantidad venta]]*238.066</f>
        <v/>
      </c>
    </row>
    <row r="4523">
      <c r="A4523" t="n">
        <v>18651</v>
      </c>
      <c r="B4523" s="16" t="n">
        <v>44643</v>
      </c>
      <c r="C4523" t="inlineStr">
        <is>
          <t>CPR</t>
        </is>
      </c>
      <c r="D4523" t="n">
        <v>42</v>
      </c>
      <c r="E4523">
        <f>IF(D4972&gt;0,VLOOKUP(OPERAC[[#This Row],[COD CART]],[1]!MatrizCortoLargoCyl[#All],3,0),"")</f>
        <v/>
      </c>
      <c r="F4523" t="inlineStr">
        <is>
          <t>FB</t>
        </is>
      </c>
      <c r="G4523" t="n">
        <v>7</v>
      </c>
      <c r="H4523" t="n">
        <v>-1512.86282</v>
      </c>
      <c r="I4523">
        <f>-H4972/G4972</f>
        <v/>
      </c>
      <c r="J4523" s="16" t="n">
        <v>44671</v>
      </c>
      <c r="K4523">
        <f>+OPERAC[[#This Row],[cantidad]]</f>
        <v/>
      </c>
      <c r="L4523">
        <f>+OPERAC[[#This Row],[cantidad venta]]*213.173</f>
        <v/>
      </c>
    </row>
    <row r="4524">
      <c r="A4524" t="n">
        <v>18651</v>
      </c>
      <c r="B4524" s="16" t="n">
        <v>44648</v>
      </c>
      <c r="C4524" t="inlineStr">
        <is>
          <t>CPR</t>
        </is>
      </c>
      <c r="D4524" t="n">
        <v>42</v>
      </c>
      <c r="E4524">
        <f>IF(D4712&gt;0,VLOOKUP(OPERAC[[#This Row],[COD CART]],[1]!MatrizCortoLargoCyl[#All],3,0),"")</f>
        <v/>
      </c>
      <c r="F4524" t="inlineStr">
        <is>
          <t>ADBE</t>
        </is>
      </c>
      <c r="G4524" t="n">
        <v>3</v>
      </c>
      <c r="H4524" t="n">
        <v>-1324.23735</v>
      </c>
      <c r="I4524">
        <f>-H4712/G4712</f>
        <v/>
      </c>
      <c r="J4524" s="16" t="n">
        <v>44687</v>
      </c>
      <c r="K4524">
        <f>+OPERAC[[#This Row],[cantidad]]</f>
        <v/>
      </c>
      <c r="L4524" t="n">
        <v>1250.12</v>
      </c>
    </row>
    <row r="4525">
      <c r="A4525" t="n">
        <v>18651</v>
      </c>
      <c r="B4525" s="16" t="n">
        <v>44649</v>
      </c>
      <c r="C4525" t="inlineStr">
        <is>
          <t>CPR</t>
        </is>
      </c>
      <c r="D4525" t="n">
        <v>32</v>
      </c>
      <c r="E4525">
        <f>IF(D5900&gt;0,VLOOKUP(OPERAC[[#This Row],[COD CART]],[1]!MatrizCortoLargoCyl[#All],3,0),"")</f>
        <v/>
      </c>
      <c r="F4525" t="inlineStr">
        <is>
          <t>DDD</t>
        </is>
      </c>
      <c r="G4525" t="n">
        <v>200</v>
      </c>
      <c r="H4525" t="n">
        <v>-2997.897</v>
      </c>
      <c r="I4525">
        <f>-H5900/G5900</f>
        <v/>
      </c>
    </row>
    <row r="4526">
      <c r="A4526" t="n">
        <v>18651</v>
      </c>
      <c r="B4526" s="16" t="n">
        <v>44649</v>
      </c>
      <c r="C4526" t="inlineStr">
        <is>
          <t>VTA</t>
        </is>
      </c>
      <c r="D4526" t="n">
        <v>42</v>
      </c>
      <c r="E4526">
        <f>IF(D5059&gt;0,VLOOKUP(OPERAC[[#This Row],[COD CART]],[1]!MatrizCortoLargoCyl[#All],3,0),"")</f>
        <v/>
      </c>
      <c r="F4526" t="inlineStr">
        <is>
          <t>MSFT</t>
        </is>
      </c>
      <c r="G4526" t="n">
        <v>5</v>
      </c>
      <c r="H4526" t="n">
        <v>-1574.192</v>
      </c>
      <c r="I4526">
        <f>-H5059/G5059</f>
        <v/>
      </c>
      <c r="J4526" s="16" t="n">
        <v>44662</v>
      </c>
      <c r="K4526">
        <f>+OPERAC[[#This Row],[cantidad]]</f>
        <v/>
      </c>
      <c r="L4526">
        <f>287.546*OPERAC[[#This Row],[cantidad venta]]</f>
        <v/>
      </c>
    </row>
    <row r="4527">
      <c r="A4527" t="n">
        <v>18651</v>
      </c>
      <c r="B4527" s="16" t="n">
        <v>44662</v>
      </c>
      <c r="C4527" t="inlineStr">
        <is>
          <t>CPR</t>
        </is>
      </c>
      <c r="D4527" t="n">
        <v>42</v>
      </c>
      <c r="E4527">
        <f>IF(D6053&gt;0,VLOOKUP(OPERAC[[#This Row],[COD CART]],[1]!MatrizCortoLargoCyl[#All],3,0),"")</f>
        <v/>
      </c>
      <c r="F4527" t="inlineStr">
        <is>
          <t>HYDR</t>
        </is>
      </c>
      <c r="G4527" t="n">
        <v>195</v>
      </c>
      <c r="H4527" t="n">
        <v>-3621.21708</v>
      </c>
      <c r="I4527">
        <f>-H6053/G6053</f>
        <v/>
      </c>
      <c r="J4527" s="16" t="n">
        <v>44693</v>
      </c>
      <c r="K4527">
        <f>+OPERAC[[#This Row],[cantidad]]</f>
        <v/>
      </c>
      <c r="L4527">
        <f>+OPERAC[[#This Row],[cantidad venta]]*11.986</f>
        <v/>
      </c>
    </row>
    <row r="4528">
      <c r="A4528" t="n">
        <v>18651</v>
      </c>
      <c r="B4528" s="16" t="n">
        <v>44664</v>
      </c>
      <c r="C4528" t="inlineStr">
        <is>
          <t>CPR</t>
        </is>
      </c>
      <c r="D4528" t="n">
        <v>42</v>
      </c>
      <c r="E4528">
        <f>IF(D4194&gt;0,VLOOKUP(OPERAC[[#This Row],[COD CART]],[1]!MatrizCortoLargoCyl[#All],3,0),"")</f>
        <v/>
      </c>
      <c r="F4528" t="inlineStr">
        <is>
          <t>AMD</t>
        </is>
      </c>
      <c r="G4528" t="n">
        <v>10</v>
      </c>
      <c r="H4528" t="n">
        <v>-987.7065453</v>
      </c>
      <c r="I4528">
        <f>-H4194/G4194</f>
        <v/>
      </c>
      <c r="J4528" s="16" t="n">
        <v>44693</v>
      </c>
      <c r="K4528">
        <f>+OPERAC[[#This Row],[cantidad]]</f>
        <v/>
      </c>
      <c r="L4528">
        <f>+OPERAC[[#This Row],[cantidad venta]]*85.26</f>
        <v/>
      </c>
    </row>
    <row r="4529">
      <c r="A4529" t="n">
        <v>18651</v>
      </c>
      <c r="B4529" s="16" t="n">
        <v>44664</v>
      </c>
      <c r="C4529" t="inlineStr">
        <is>
          <t>CPR</t>
        </is>
      </c>
      <c r="D4529" t="n">
        <v>42</v>
      </c>
      <c r="E4529">
        <f>IF(D5694&gt;0,VLOOKUP(OPERAC[[#This Row],[COD CART]],[1]!MatrizCortoLargoCyl[#All],3,0),"")</f>
        <v/>
      </c>
      <c r="F4529" t="inlineStr">
        <is>
          <t>PSQ</t>
        </is>
      </c>
      <c r="G4529" t="n">
        <v>200</v>
      </c>
      <c r="H4529" t="n">
        <v>-2486.5144362</v>
      </c>
      <c r="I4529">
        <f>-H5694/G5694</f>
        <v/>
      </c>
      <c r="J4529" s="16" t="n">
        <v>44680</v>
      </c>
      <c r="K4529">
        <f>+OPERAC[[#This Row],[cantidad]]</f>
        <v/>
      </c>
      <c r="L4529">
        <f>12.848*OPERAC[[#This Row],[cantidad venta]]</f>
        <v/>
      </c>
    </row>
    <row r="4530">
      <c r="A4530" t="n">
        <v>18651</v>
      </c>
      <c r="B4530" s="16" t="n">
        <v>44669</v>
      </c>
      <c r="C4530" t="inlineStr">
        <is>
          <t>CPR</t>
        </is>
      </c>
      <c r="D4530" t="n">
        <v>32</v>
      </c>
      <c r="E4530">
        <f>IF(D6249&gt;0,VLOOKUP(OPERAC[[#This Row],[COD CART]],[1]!MatrizCortoLargoCyl[#All],3,0),"")</f>
        <v/>
      </c>
      <c r="F4530" t="inlineStr">
        <is>
          <t>HMY</t>
        </is>
      </c>
      <c r="G4530" t="n">
        <v>1500</v>
      </c>
      <c r="H4530">
        <f>-4.64*OPERAC[[#This Row],[cantidad]]</f>
        <v/>
      </c>
      <c r="I4530">
        <f>-H6249/G6249</f>
        <v/>
      </c>
    </row>
    <row r="4531">
      <c r="A4531" t="n">
        <v>18651</v>
      </c>
      <c r="B4531" s="16" t="n">
        <v>44670</v>
      </c>
      <c r="C4531" t="inlineStr">
        <is>
          <t>CPR</t>
        </is>
      </c>
      <c r="D4531" t="n">
        <v>32</v>
      </c>
      <c r="E4531">
        <f>IF(D5799&gt;0,VLOOKUP(OPERAC[[#This Row],[COD CART]],[1]!MatrizCortoLargoCyl[#All],3,0),"")</f>
        <v/>
      </c>
      <c r="F4531" t="inlineStr">
        <is>
          <t>DDD</t>
        </is>
      </c>
      <c r="G4531" t="n">
        <v>200</v>
      </c>
      <c r="H4531" t="n">
        <v>-2694.62</v>
      </c>
      <c r="I4531">
        <f>-H5799/G5799</f>
        <v/>
      </c>
    </row>
    <row r="4532">
      <c r="A4532" t="n">
        <v>18651</v>
      </c>
      <c r="B4532" s="16" t="n">
        <v>44670</v>
      </c>
      <c r="C4532" t="inlineStr">
        <is>
          <t>CPR</t>
        </is>
      </c>
      <c r="D4532" t="n">
        <v>43</v>
      </c>
      <c r="E4532">
        <f>IF(D6047&gt;0,VLOOKUP(OPERAC[[#This Row],[COD CART]],[1]!MatrizCortoLargoCyl[#All],3,0),"")</f>
        <v/>
      </c>
      <c r="F4532" t="inlineStr">
        <is>
          <t>PCT/CYL-PUT/7,50/20-01-23</t>
        </is>
      </c>
      <c r="G4532" t="n">
        <v>1000</v>
      </c>
      <c r="H4532" t="n">
        <v>-3580.229</v>
      </c>
      <c r="I4532">
        <f>-H6047/G6047</f>
        <v/>
      </c>
    </row>
    <row r="4533">
      <c r="A4533" t="n">
        <v>18651</v>
      </c>
      <c r="B4533" s="16" t="n">
        <v>44670</v>
      </c>
      <c r="C4533" t="inlineStr">
        <is>
          <t>VTA</t>
        </is>
      </c>
      <c r="D4533" t="n">
        <v>39</v>
      </c>
      <c r="E4533">
        <f>IF(D1148&gt;0,VLOOKUP(OPERAC[[#This Row],[COD CART]],[1]!MatrizCortoLargoCyl[#All],3,0),"")</f>
        <v/>
      </c>
      <c r="F4533" t="inlineStr">
        <is>
          <t>TSLA/V/400,00/20-01-23</t>
        </is>
      </c>
      <c r="G4533" t="n">
        <v>-2</v>
      </c>
      <c r="H4533" t="n">
        <v>18.2436</v>
      </c>
      <c r="I4533">
        <f>-H1148/G1148</f>
        <v/>
      </c>
    </row>
    <row r="4534">
      <c r="A4534" t="n">
        <v>18651</v>
      </c>
      <c r="B4534" s="16" t="n">
        <v>44671</v>
      </c>
      <c r="C4534" t="inlineStr">
        <is>
          <t>CPR</t>
        </is>
      </c>
      <c r="D4534" t="n">
        <v>42</v>
      </c>
      <c r="E4534">
        <f>IF(D4401&gt;0,VLOOKUP(OPERAC[[#This Row],[COD CART]],[1]!MatrizCortoLargoCyl[#All],3,0),"")</f>
        <v/>
      </c>
      <c r="F4534" t="inlineStr">
        <is>
          <t>TLT</t>
        </is>
      </c>
      <c r="G4534" t="n">
        <v>9</v>
      </c>
      <c r="H4534" t="n">
        <v>-1103.067045</v>
      </c>
      <c r="I4534">
        <f>-H4401/G4401</f>
        <v/>
      </c>
    </row>
    <row r="4535">
      <c r="A4535" t="n">
        <v>18651</v>
      </c>
      <c r="B4535" s="16" t="n">
        <v>44671</v>
      </c>
      <c r="C4535" t="inlineStr">
        <is>
          <t>CPR</t>
        </is>
      </c>
      <c r="D4535" t="n">
        <v>42</v>
      </c>
      <c r="E4535">
        <f>IF(D5826&gt;0,VLOOKUP(OPERAC[[#This Row],[COD CART]],[1]!MatrizCortoLargoCyl[#All],3,0),"")</f>
        <v/>
      </c>
      <c r="F4535" t="inlineStr">
        <is>
          <t>NFLX</t>
        </is>
      </c>
      <c r="G4535" t="n">
        <v>11</v>
      </c>
      <c r="H4535" t="n">
        <v>-2799.55566</v>
      </c>
      <c r="I4535">
        <f>-H5826/G5826</f>
        <v/>
      </c>
      <c r="J4535" s="16" t="n">
        <v>44693</v>
      </c>
      <c r="K4535">
        <f>+OPERAC[[#This Row],[cantidad]]</f>
        <v/>
      </c>
      <c r="L4535">
        <f>+OPERAC[[#This Row],[cantidad venta]]*169.089</f>
        <v/>
      </c>
    </row>
    <row r="4536">
      <c r="A4536" t="n">
        <v>18651</v>
      </c>
      <c r="B4536" s="16" t="n">
        <v>44680</v>
      </c>
      <c r="C4536" t="inlineStr">
        <is>
          <t>CPR</t>
        </is>
      </c>
      <c r="D4536" t="n">
        <v>42</v>
      </c>
      <c r="E4536">
        <f>IF(D5745&gt;0,VLOOKUP(OPERAC[[#This Row],[COD CART]],[1]!MatrizCortoLargoCyl[#All],3,0),"")</f>
        <v/>
      </c>
      <c r="F4536" t="inlineStr">
        <is>
          <t>XLP</t>
        </is>
      </c>
      <c r="G4536" t="n">
        <v>33</v>
      </c>
      <c r="H4536" t="n">
        <v>-2621.3385825</v>
      </c>
      <c r="I4536">
        <f>-H5745/G5745</f>
        <v/>
      </c>
      <c r="J4536" s="16" t="n">
        <v>44693</v>
      </c>
      <c r="K4536">
        <f>+OPERAC[[#This Row],[cantidad]]</f>
        <v/>
      </c>
      <c r="L4536">
        <f>+OPERAC[[#This Row],[cantidad venta]]*74.848</f>
        <v/>
      </c>
    </row>
    <row r="4537">
      <c r="A4537" t="n">
        <v>18651</v>
      </c>
      <c r="B4537" s="16" t="n">
        <v>44687</v>
      </c>
      <c r="C4537" t="inlineStr">
        <is>
          <t>VTA</t>
        </is>
      </c>
      <c r="D4537" t="n">
        <v>43</v>
      </c>
      <c r="E4537">
        <f>IF(D5156&gt;0,VLOOKUP(OPERAC[[#This Row],[COD CART]],[1]!MatrizCortoLargoCyl[#All],3,0),"")</f>
        <v/>
      </c>
      <c r="F4537" t="inlineStr">
        <is>
          <t>SPWR/CYP/16,50-15,50/20-05-22</t>
        </is>
      </c>
      <c r="G4537" t="n">
        <v>100</v>
      </c>
      <c r="H4537" t="n">
        <v>-1607.83</v>
      </c>
      <c r="I4537">
        <f>-H5156/G5156</f>
        <v/>
      </c>
      <c r="J4537" s="16" t="n">
        <v>44701</v>
      </c>
      <c r="K4537" t="n">
        <v>100</v>
      </c>
      <c r="L4537" t="n">
        <v>1637.55</v>
      </c>
    </row>
    <row r="4538">
      <c r="A4538" t="n">
        <v>18651</v>
      </c>
      <c r="B4538" s="16" t="n">
        <v>44691</v>
      </c>
      <c r="C4538" t="inlineStr">
        <is>
          <t>CPR</t>
        </is>
      </c>
      <c r="D4538" t="n">
        <v>32</v>
      </c>
      <c r="E4538">
        <f>IF(D6005&gt;0,VLOOKUP(OPERAC[[#This Row],[COD CART]],[1]!MatrizCortoLargoCyl[#All],3,0),"")</f>
        <v/>
      </c>
      <c r="F4538" t="inlineStr">
        <is>
          <t>UPST</t>
        </is>
      </c>
      <c r="G4538" t="n">
        <v>100</v>
      </c>
      <c r="H4538" t="n">
        <v>-3321.11</v>
      </c>
      <c r="I4538">
        <f>-H6005/G6005</f>
        <v/>
      </c>
      <c r="J4538" s="16" t="n">
        <v>44701</v>
      </c>
      <c r="K4538" t="n">
        <v>100</v>
      </c>
      <c r="L4538" t="n">
        <v>4386.11</v>
      </c>
    </row>
    <row r="4539">
      <c r="A4539" t="n">
        <v>18651</v>
      </c>
      <c r="B4539" s="16" t="n">
        <v>44698</v>
      </c>
      <c r="C4539" t="inlineStr">
        <is>
          <t>CPR</t>
        </is>
      </c>
      <c r="D4539" t="n">
        <v>39</v>
      </c>
      <c r="E4539">
        <f>IF(D4605&gt;0,VLOOKUP(OPERAC[[#This Row],[COD CART]],[1]!MatrizCortoLargoCyl[#All],3,0),"")</f>
        <v/>
      </c>
      <c r="F4539" t="inlineStr">
        <is>
          <t>NTLA/C/65,00/15-07-22</t>
        </is>
      </c>
      <c r="G4539" t="n">
        <v>500</v>
      </c>
      <c r="H4539" t="n">
        <v>-1260.625</v>
      </c>
      <c r="I4539">
        <f>-H4605/G4605</f>
        <v/>
      </c>
    </row>
    <row r="4540">
      <c r="A4540" t="n">
        <v>18651</v>
      </c>
      <c r="B4540" s="16" t="n">
        <v>44698</v>
      </c>
      <c r="C4540" t="inlineStr">
        <is>
          <t>VTA</t>
        </is>
      </c>
      <c r="D4540" t="n">
        <v>32</v>
      </c>
      <c r="E4540">
        <f>IF(D5611&gt;0,VLOOKUP(OPERAC[[#This Row],[COD CART]],[1]!MatrizCortoLargoCyl[#All],3,0),"")</f>
        <v/>
      </c>
      <c r="F4540" t="inlineStr">
        <is>
          <t>LAC/CYL/30,00/19-08-22</t>
        </is>
      </c>
      <c r="G4540" t="n">
        <v>100</v>
      </c>
      <c r="H4540" t="n">
        <v>-2238.32</v>
      </c>
      <c r="I4540">
        <f>-H5611/G5611</f>
        <v/>
      </c>
    </row>
    <row r="4541">
      <c r="A4541" t="n">
        <v>18651</v>
      </c>
      <c r="B4541" s="16" t="n">
        <v>44705</v>
      </c>
      <c r="C4541" t="inlineStr">
        <is>
          <t>CPR</t>
        </is>
      </c>
      <c r="D4541" t="n">
        <v>42</v>
      </c>
      <c r="E4541">
        <f>IF(D6035&gt;0,VLOOKUP(OPERAC[[#This Row],[COD CART]],[1]!MatrizCortoLargoCyl[#All],3,0),"")</f>
        <v/>
      </c>
      <c r="F4541" t="inlineStr">
        <is>
          <t>MELI</t>
        </is>
      </c>
      <c r="G4541" t="n">
        <v>5</v>
      </c>
      <c r="H4541" t="n">
        <v>-3524.04</v>
      </c>
      <c r="I4541">
        <f>-H6035/G6035</f>
        <v/>
      </c>
      <c r="J4541" s="16" t="n">
        <v>44706</v>
      </c>
      <c r="K4541">
        <f>+OPERAC[[#This Row],[cantidad]]</f>
        <v/>
      </c>
      <c r="L4541" t="n">
        <v>3629.367</v>
      </c>
    </row>
    <row r="4542">
      <c r="A4542" t="n">
        <v>18651</v>
      </c>
      <c r="B4542" s="16" t="n">
        <v>44707</v>
      </c>
      <c r="C4542" t="inlineStr">
        <is>
          <t>CPR</t>
        </is>
      </c>
      <c r="D4542" t="n">
        <v>43</v>
      </c>
      <c r="E4542">
        <f>IF(D6023&gt;0,VLOOKUP(OPERAC[[#This Row],[COD CART]],[1]!MatrizCortoLargoCyl[#All],3,0),"")</f>
        <v/>
      </c>
      <c r="F4542" t="inlineStr">
        <is>
          <t>SPWR/CYP/17,50-15,00/17-06-22</t>
        </is>
      </c>
      <c r="G4542" t="n">
        <v>200</v>
      </c>
      <c r="H4542" t="n">
        <v>-3434.054</v>
      </c>
      <c r="I4542">
        <f>-H6023/G6023</f>
        <v/>
      </c>
    </row>
    <row r="4543">
      <c r="A4543" t="n">
        <v>18651</v>
      </c>
      <c r="B4543" s="16" t="n">
        <v>44708</v>
      </c>
      <c r="C4543" t="inlineStr">
        <is>
          <t>CPR</t>
        </is>
      </c>
      <c r="D4543" t="n">
        <v>42</v>
      </c>
      <c r="E4543">
        <f>IF(D3988&gt;0,VLOOKUP(OPERAC[[#This Row],[COD CART]],[1]!MatrizCortoLargoCyl[#All],3,0),"")</f>
        <v/>
      </c>
      <c r="F4543" t="inlineStr">
        <is>
          <t>ACB</t>
        </is>
      </c>
      <c r="G4543" t="n">
        <v>500</v>
      </c>
      <c r="H4543" t="n">
        <v>-912.6603944024999</v>
      </c>
      <c r="I4543">
        <f>-H3988/G3988</f>
        <v/>
      </c>
    </row>
    <row r="4544">
      <c r="A4544" t="n">
        <v>18651</v>
      </c>
      <c r="B4544" s="16" t="n">
        <v>44708</v>
      </c>
      <c r="C4544" t="inlineStr">
        <is>
          <t>CPR</t>
        </is>
      </c>
      <c r="D4544" t="n">
        <v>32</v>
      </c>
      <c r="E4544">
        <f>IF(D4624&gt;0,VLOOKUP(OPERAC[[#This Row],[COD CART]],[1]!MatrizCortoLargoCyl[#All],3,0),"")</f>
        <v/>
      </c>
      <c r="F4544" t="inlineStr">
        <is>
          <t>CCL/CYL/13,00/03-06-22</t>
        </is>
      </c>
      <c r="G4544" t="n">
        <v>100</v>
      </c>
      <c r="H4544" t="n">
        <v>-1276.4</v>
      </c>
      <c r="I4544">
        <f>-H4624/G4624</f>
        <v/>
      </c>
      <c r="J4544" s="16" t="n">
        <v>44715</v>
      </c>
      <c r="K4544">
        <f>+OPERAC[[#This Row],[cantidad]]</f>
        <v/>
      </c>
      <c r="L4544">
        <f>+OPERAC[[#This Row],[cantidad venta]]*12.942</f>
        <v/>
      </c>
    </row>
    <row r="4545">
      <c r="A4545" t="n">
        <v>18651</v>
      </c>
      <c r="B4545" s="16" t="n">
        <v>44712</v>
      </c>
      <c r="C4545" t="inlineStr">
        <is>
          <t>CPR</t>
        </is>
      </c>
      <c r="D4545" t="n">
        <v>32</v>
      </c>
      <c r="E4545">
        <f>IF(D5680&gt;0,VLOOKUP(OPERAC[[#This Row],[COD CART]],[1]!MatrizCortoLargoCyl[#All],3,0),"")</f>
        <v/>
      </c>
      <c r="F4545" t="inlineStr">
        <is>
          <t>AMC/CYL/13,00/10-06-22</t>
        </is>
      </c>
      <c r="G4545" t="n">
        <v>200</v>
      </c>
      <c r="H4545" t="n">
        <v>-2465.5</v>
      </c>
      <c r="I4545">
        <f>-H5680/G5680</f>
        <v/>
      </c>
      <c r="J4545" s="16" t="n">
        <v>44722</v>
      </c>
      <c r="K4545" t="n">
        <v>200</v>
      </c>
      <c r="L4545" t="n">
        <v>2468.57</v>
      </c>
    </row>
    <row r="4546">
      <c r="A4546" t="n">
        <v>18651</v>
      </c>
      <c r="B4546" s="16" t="n">
        <v>44712</v>
      </c>
      <c r="C4546" t="inlineStr">
        <is>
          <t>VTA</t>
        </is>
      </c>
      <c r="D4546" t="n">
        <v>39</v>
      </c>
      <c r="E4546">
        <f>IF(D2328&gt;0,VLOOKUP(OPERAC[[#This Row],[COD CART]],[1]!MatrizCortoLargoCyl[#All],3,0),"")</f>
        <v/>
      </c>
      <c r="F4546" t="inlineStr">
        <is>
          <t>ET/C/10,00/21-10-22</t>
        </is>
      </c>
      <c r="G4546" t="n">
        <v>200</v>
      </c>
      <c r="H4546" t="n">
        <v>-405.616</v>
      </c>
      <c r="I4546">
        <f>-H2328/G2328</f>
        <v/>
      </c>
    </row>
    <row r="4547">
      <c r="A4547" t="n">
        <v>18651</v>
      </c>
      <c r="B4547" s="16" t="n">
        <v>44713</v>
      </c>
      <c r="C4547" t="inlineStr">
        <is>
          <t>CPR</t>
        </is>
      </c>
      <c r="D4547" t="n">
        <v>42</v>
      </c>
      <c r="E4547">
        <f>IF(D3410&gt;0,VLOOKUP(OPERAC[[#This Row],[COD CART]],[1]!MatrizCortoLargoCyl[#All],3,0),"")</f>
        <v/>
      </c>
      <c r="F4547" t="inlineStr">
        <is>
          <t>UPST</t>
        </is>
      </c>
      <c r="G4547" t="n">
        <v>15</v>
      </c>
      <c r="H4547" t="n">
        <v>-722.2022999999999</v>
      </c>
      <c r="I4547">
        <f>-H3410/G3410</f>
        <v/>
      </c>
      <c r="J4547" s="16" t="n">
        <v>44714</v>
      </c>
      <c r="K4547">
        <f>+OPERAC[[#This Row],[cantidad]]</f>
        <v/>
      </c>
      <c r="L4547">
        <f>+OPERAC[[#This Row],[cantidad venta]]*49.312</f>
        <v/>
      </c>
    </row>
    <row r="4548">
      <c r="A4548" t="n">
        <v>18651</v>
      </c>
      <c r="B4548" s="16" t="n">
        <v>44715</v>
      </c>
      <c r="C4548" t="inlineStr">
        <is>
          <t>VTA</t>
        </is>
      </c>
      <c r="D4548" t="n">
        <v>32</v>
      </c>
      <c r="E4548">
        <f>IF(D5068&gt;0,VLOOKUP(OPERAC[[#This Row],[COD CART]],[1]!MatrizCortoLargoCyl[#All],3,0),"")</f>
        <v/>
      </c>
      <c r="F4548" t="inlineStr">
        <is>
          <t>AAL/CYL/16,50/17-06-22</t>
        </is>
      </c>
      <c r="G4548" t="n">
        <v>100</v>
      </c>
      <c r="H4548" t="n">
        <v>-1580.215</v>
      </c>
      <c r="I4548">
        <f>-H5068/G5068</f>
        <v/>
      </c>
    </row>
    <row r="4549">
      <c r="A4549" t="n">
        <v>18651</v>
      </c>
      <c r="B4549" s="16" t="n">
        <v>44718</v>
      </c>
      <c r="C4549" t="inlineStr">
        <is>
          <t>CPR</t>
        </is>
      </c>
      <c r="D4549" t="n">
        <v>42</v>
      </c>
      <c r="E4549">
        <f>IF(D6164&gt;0,VLOOKUP(OPERAC[[#This Row],[COD CART]],[1]!MatrizCortoLargoCyl[#All],3,0),"")</f>
        <v/>
      </c>
      <c r="F4549" t="inlineStr">
        <is>
          <t>UPST</t>
        </is>
      </c>
      <c r="G4549" t="n">
        <v>100</v>
      </c>
      <c r="H4549">
        <f>-4979.84+71.586</f>
        <v/>
      </c>
      <c r="I4549">
        <f>-H6164/G6164</f>
        <v/>
      </c>
    </row>
    <row r="4550">
      <c r="A4550" t="n">
        <v>18651</v>
      </c>
      <c r="B4550" s="16" t="n">
        <v>44718</v>
      </c>
      <c r="C4550" t="inlineStr">
        <is>
          <t>CPR</t>
        </is>
      </c>
      <c r="D4550" t="n">
        <v>42</v>
      </c>
      <c r="E4550">
        <f>IF(D6236&gt;0,VLOOKUP(OPERAC[[#This Row],[COD CART]],[1]!MatrizCortoLargoCyl[#All],3,0),"")</f>
        <v/>
      </c>
      <c r="F4550" t="inlineStr">
        <is>
          <t>KWEB</t>
        </is>
      </c>
      <c r="G4550" t="n">
        <v>200</v>
      </c>
      <c r="H4550" t="n">
        <v>-6216.6776</v>
      </c>
      <c r="I4550">
        <f>-H6236/G6236</f>
        <v/>
      </c>
    </row>
    <row r="4551">
      <c r="A4551" t="n">
        <v>18651</v>
      </c>
      <c r="B4551" s="16" t="n">
        <v>44720</v>
      </c>
      <c r="C4551" t="inlineStr">
        <is>
          <t>CPR</t>
        </is>
      </c>
      <c r="D4551" t="n">
        <v>42</v>
      </c>
      <c r="E4551">
        <f>IF(D5916&gt;0,VLOOKUP(OPERAC[[#This Row],[COD CART]],[1]!MatrizCortoLargoCyl[#All],3,0),"")</f>
        <v/>
      </c>
      <c r="F4551" t="inlineStr">
        <is>
          <t>HYDR</t>
        </is>
      </c>
      <c r="G4551" t="n">
        <v>200</v>
      </c>
      <c r="H4551" t="n">
        <v>-3025.5</v>
      </c>
      <c r="I4551">
        <f>-H5916/G5916</f>
        <v/>
      </c>
    </row>
    <row r="4552">
      <c r="A4552" t="n">
        <v>18651</v>
      </c>
      <c r="B4552" s="16" t="n">
        <v>44721</v>
      </c>
      <c r="C4552" t="inlineStr">
        <is>
          <t>VTA</t>
        </is>
      </c>
      <c r="D4552" t="n">
        <v>39</v>
      </c>
      <c r="E4552">
        <f>IF(D56&gt;0,VLOOKUP(OPERAC[[#This Row],[COD CART]],[1]!MatrizCortoLargoCyl[#All],3,0),"")</f>
        <v/>
      </c>
      <c r="F4552" t="inlineStr">
        <is>
          <t>TSLA/P/600,00/17-06-22</t>
        </is>
      </c>
      <c r="G4552" t="n">
        <v>-1500</v>
      </c>
      <c r="H4552" t="n">
        <v>4907.925</v>
      </c>
      <c r="I4552">
        <f>-H56/G56</f>
        <v/>
      </c>
      <c r="J4552" s="16" t="n">
        <v>44726</v>
      </c>
      <c r="K4552" t="n">
        <v>-1500</v>
      </c>
      <c r="L4552" t="n">
        <v>-10301.828</v>
      </c>
    </row>
    <row r="4553">
      <c r="A4553" t="n">
        <v>18651</v>
      </c>
      <c r="B4553" s="16" t="n">
        <v>44721</v>
      </c>
      <c r="C4553" t="inlineStr">
        <is>
          <t>VTA</t>
        </is>
      </c>
      <c r="D4553" t="n">
        <v>39</v>
      </c>
      <c r="E4553">
        <f>IF(D889&gt;0,VLOOKUP(OPERAC[[#This Row],[COD CART]],[1]!MatrizCortoLargoCyl[#All],3,0),"")</f>
        <v/>
      </c>
      <c r="F4553" t="inlineStr">
        <is>
          <t>TSLA/P/450,00/16-09-22</t>
        </is>
      </c>
      <c r="G4553" t="n">
        <v>-10</v>
      </c>
      <c r="H4553" t="n">
        <v>176.61</v>
      </c>
      <c r="I4553">
        <f>-H889/G889</f>
        <v/>
      </c>
    </row>
    <row r="4554">
      <c r="A4554" t="n">
        <v>18651</v>
      </c>
      <c r="B4554" s="16" t="n">
        <v>44722</v>
      </c>
      <c r="C4554" t="inlineStr">
        <is>
          <t>CPR</t>
        </is>
      </c>
      <c r="D4554" t="n">
        <v>32</v>
      </c>
      <c r="E4554">
        <f>IF(D4216&gt;0,VLOOKUP(OPERAC[[#This Row],[COD CART]],[1]!MatrizCortoLargoCyl[#All],3,0),"")</f>
        <v/>
      </c>
      <c r="F4554" t="inlineStr">
        <is>
          <t>CCL/CYL/10,50/24-06-22</t>
        </is>
      </c>
      <c r="G4554" t="n">
        <v>100</v>
      </c>
      <c r="H4554" t="n">
        <v>-1005.33</v>
      </c>
      <c r="I4554">
        <f>-H4216/G4216</f>
        <v/>
      </c>
    </row>
    <row r="4555">
      <c r="A4555" t="n">
        <v>18651</v>
      </c>
      <c r="B4555" s="16" t="n">
        <v>44722</v>
      </c>
      <c r="C4555" t="inlineStr">
        <is>
          <t>CPR</t>
        </is>
      </c>
      <c r="D4555" t="n">
        <v>40</v>
      </c>
      <c r="E4555">
        <f>IF(D4808&gt;0,VLOOKUP(OPERAC[[#This Row],[COD CART]],[1]!MatrizCortoLargoCyl[#All],3,0),"")</f>
        <v/>
      </c>
      <c r="F4555" t="inlineStr">
        <is>
          <t>MELI</t>
        </is>
      </c>
      <c r="G4555" t="n">
        <v>2</v>
      </c>
      <c r="H4555" t="n">
        <v>-1403.69081</v>
      </c>
      <c r="I4555">
        <f>-H4808/G4808</f>
        <v/>
      </c>
    </row>
    <row r="4556">
      <c r="A4556" t="n">
        <v>18651</v>
      </c>
      <c r="B4556" s="16" t="n">
        <v>44722</v>
      </c>
      <c r="C4556" t="inlineStr">
        <is>
          <t>VTA</t>
        </is>
      </c>
      <c r="D4556" t="n">
        <v>32</v>
      </c>
      <c r="E4556">
        <f>IF(D3752&gt;0,VLOOKUP(OPERAC[[#This Row],[COD CART]],[1]!MatrizCortoLargoCyl[#All],3,0),"")</f>
        <v/>
      </c>
      <c r="F4556" t="inlineStr">
        <is>
          <t>NNOX/CYL/9,00/17-06-22</t>
        </is>
      </c>
      <c r="G4556" t="n">
        <v>100</v>
      </c>
      <c r="H4556" t="n">
        <v>-844.8390000000001</v>
      </c>
      <c r="I4556">
        <f>-H3752/G3752</f>
        <v/>
      </c>
    </row>
    <row r="4557">
      <c r="A4557" t="n">
        <v>18651</v>
      </c>
      <c r="B4557" s="16" t="n">
        <v>44722</v>
      </c>
      <c r="C4557" t="inlineStr">
        <is>
          <t>VTA</t>
        </is>
      </c>
      <c r="D4557" t="n">
        <v>32</v>
      </c>
      <c r="E4557">
        <f>IF(D5604&gt;0,VLOOKUP(OPERAC[[#This Row],[COD CART]],[1]!MatrizCortoLargoCyl[#All],3,0),"")</f>
        <v/>
      </c>
      <c r="F4557" t="inlineStr">
        <is>
          <t>CCL/CYL/13,00/24-06-22</t>
        </is>
      </c>
      <c r="G4557" t="n">
        <v>200</v>
      </c>
      <c r="H4557">
        <f>-2241.8955+37.677</f>
        <v/>
      </c>
      <c r="I4557">
        <f>-H5604/G5604</f>
        <v/>
      </c>
    </row>
    <row r="4558">
      <c r="A4558" t="n">
        <v>18651</v>
      </c>
      <c r="B4558" s="16" t="n">
        <v>44725</v>
      </c>
      <c r="C4558" t="inlineStr">
        <is>
          <t>CPR</t>
        </is>
      </c>
      <c r="D4558" t="n">
        <v>40</v>
      </c>
      <c r="E4558">
        <f>IF(D4208&gt;0,VLOOKUP(OPERAC[[#This Row],[COD CART]],[1]!MatrizCortoLargoCyl[#All],3,0),"")</f>
        <v/>
      </c>
      <c r="F4558" t="inlineStr">
        <is>
          <t>EDIT</t>
        </is>
      </c>
      <c r="G4558" t="n">
        <v>100</v>
      </c>
      <c r="H4558" t="n">
        <v>-993.8364099999999</v>
      </c>
      <c r="I4558">
        <f>-H4208/G4208</f>
        <v/>
      </c>
    </row>
    <row r="4559">
      <c r="A4559" t="n">
        <v>18651</v>
      </c>
      <c r="B4559" s="16" t="n">
        <v>44725</v>
      </c>
      <c r="C4559" t="inlineStr">
        <is>
          <t>CPR</t>
        </is>
      </c>
      <c r="D4559" t="n">
        <v>40</v>
      </c>
      <c r="E4559">
        <f>IF(D4724&gt;0,VLOOKUP(OPERAC[[#This Row],[COD CART]],[1]!MatrizCortoLargoCyl[#All],3,0),"")</f>
        <v/>
      </c>
      <c r="F4559" t="inlineStr">
        <is>
          <t>AAL</t>
        </is>
      </c>
      <c r="G4559" t="n">
        <v>100</v>
      </c>
      <c r="H4559" t="n">
        <v>-1336.56505</v>
      </c>
      <c r="I4559">
        <f>-H4724/G4724</f>
        <v/>
      </c>
    </row>
    <row r="4560">
      <c r="A4560" t="n">
        <v>18651</v>
      </c>
      <c r="B4560" s="16" t="n">
        <v>44725</v>
      </c>
      <c r="C4560" t="inlineStr">
        <is>
          <t>VTA</t>
        </is>
      </c>
      <c r="D4560" t="n">
        <v>39</v>
      </c>
      <c r="E4560">
        <f>IF(D966&gt;0,VLOOKUP(OPERAC[[#This Row],[COD CART]],[1]!MatrizCortoLargoCyl[#All],3,0),"")</f>
        <v/>
      </c>
      <c r="F4560" t="inlineStr">
        <is>
          <t>HIMX/V/10,00/20-01-23</t>
        </is>
      </c>
      <c r="G4560" t="n">
        <v>-30</v>
      </c>
      <c r="H4560" t="n">
        <v>84.77325</v>
      </c>
      <c r="I4560">
        <f>-H966/G966</f>
        <v/>
      </c>
    </row>
    <row r="4561">
      <c r="A4561" t="n">
        <v>18651</v>
      </c>
      <c r="B4561" s="16" t="n">
        <v>44725</v>
      </c>
      <c r="C4561" t="inlineStr">
        <is>
          <t>VTA</t>
        </is>
      </c>
      <c r="D4561" t="n">
        <v>40</v>
      </c>
      <c r="E4561">
        <f>IF(D3116&gt;0,VLOOKUP(OPERAC[[#This Row],[COD CART]],[1]!MatrizCortoLargoCyl[#All],3,0),"")</f>
        <v/>
      </c>
      <c r="F4561" t="inlineStr">
        <is>
          <t>MELI</t>
        </is>
      </c>
      <c r="G4561" t="n">
        <v>1</v>
      </c>
      <c r="H4561" t="n">
        <v>-628.39635</v>
      </c>
      <c r="I4561">
        <f>-H3116/G3116</f>
        <v/>
      </c>
    </row>
    <row r="4562">
      <c r="A4562" t="n">
        <v>18651</v>
      </c>
      <c r="B4562" s="16" t="n">
        <v>44725</v>
      </c>
      <c r="C4562" t="inlineStr">
        <is>
          <t>VTA</t>
        </is>
      </c>
      <c r="D4562" t="n">
        <v>40</v>
      </c>
      <c r="E4562">
        <f>IF(D3911&gt;0,VLOOKUP(OPERAC[[#This Row],[COD CART]],[1]!MatrizCortoLargoCyl[#All],3,0),"")</f>
        <v/>
      </c>
      <c r="F4562" t="inlineStr">
        <is>
          <t>AMD</t>
        </is>
      </c>
      <c r="G4562" t="n">
        <v>10</v>
      </c>
      <c r="H4562" t="n">
        <v>-876.9411749999999</v>
      </c>
      <c r="I4562">
        <f>-H3911/G3911</f>
        <v/>
      </c>
    </row>
    <row r="4563">
      <c r="A4563" t="n">
        <v>18661</v>
      </c>
      <c r="B4563" s="16" t="n">
        <v>43831</v>
      </c>
      <c r="C4563" t="inlineStr">
        <is>
          <t>CPR</t>
        </is>
      </c>
      <c r="D4563" t="n">
        <v>31</v>
      </c>
      <c r="E4563">
        <f>IF(D4575&gt;0,VLOOKUP(OPERAC[[#This Row],[COD CART]],[1]!MatrizCortoLargoCyl[#All],3,0),"")</f>
        <v/>
      </c>
      <c r="F4563" t="inlineStr">
        <is>
          <t>GGAL</t>
        </is>
      </c>
      <c r="G4563" t="n">
        <v>100</v>
      </c>
      <c r="H4563" t="n">
        <v>-1240</v>
      </c>
      <c r="I4563" t="n">
        <v>12.4</v>
      </c>
    </row>
    <row r="4564">
      <c r="A4564" t="n">
        <v>18661</v>
      </c>
      <c r="B4564" s="16" t="n">
        <v>43971</v>
      </c>
      <c r="C4564" t="inlineStr">
        <is>
          <t>CPR</t>
        </is>
      </c>
      <c r="D4564" t="n">
        <v>31</v>
      </c>
      <c r="E4564">
        <f>IF(D3312&gt;0,VLOOKUP(OPERAC[[#This Row],[COD CART]],[1]!MatrizCortoLargoCyl[#All],3,0),"")</f>
        <v/>
      </c>
      <c r="F4564" t="inlineStr">
        <is>
          <t>VIST</t>
        </is>
      </c>
      <c r="G4564" t="n">
        <v>200</v>
      </c>
      <c r="H4564" t="n">
        <v>-689.104</v>
      </c>
      <c r="I4564" t="n">
        <v>3.44552</v>
      </c>
      <c r="J4564" s="16" t="n">
        <v>44351</v>
      </c>
      <c r="K4564" t="n">
        <v>100</v>
      </c>
      <c r="L4564" t="n">
        <v>403.726</v>
      </c>
    </row>
    <row r="4565">
      <c r="A4565" t="n">
        <v>18661</v>
      </c>
      <c r="B4565" s="16" t="n">
        <v>44116</v>
      </c>
      <c r="C4565" t="inlineStr">
        <is>
          <t>VTA</t>
        </is>
      </c>
      <c r="D4565" t="n">
        <v>31</v>
      </c>
      <c r="E4565">
        <f>IF(D1432&gt;0,VLOOKUP(OPERAC[[#This Row],[COD CART]],[1]!MatrizCortoLargoCyl[#All],3,0),"")</f>
        <v/>
      </c>
      <c r="F4565" t="inlineStr">
        <is>
          <t>HEOFF</t>
        </is>
      </c>
      <c r="G4565" t="n">
        <v>100</v>
      </c>
      <c r="H4565" t="n">
        <v>-152.4455</v>
      </c>
      <c r="I4565">
        <f>-H1432/G1432</f>
        <v/>
      </c>
      <c r="J4565" s="16" t="n">
        <v>44582</v>
      </c>
      <c r="K4565" t="n">
        <v>100</v>
      </c>
      <c r="L4565" t="n">
        <v>185.496</v>
      </c>
    </row>
    <row r="4566">
      <c r="A4566" t="n">
        <v>18661</v>
      </c>
      <c r="B4566" s="16" t="n">
        <v>44281</v>
      </c>
      <c r="C4566" t="inlineStr">
        <is>
          <t>VTA</t>
        </is>
      </c>
      <c r="D4566" t="n">
        <v>31</v>
      </c>
      <c r="E4566">
        <f>IF(D1322&gt;0,VLOOKUP(OPERAC[[#This Row],[COD CART]],[1]!MatrizCortoLargoCyl[#All],3,0),"")</f>
        <v/>
      </c>
      <c r="F4566" t="inlineStr">
        <is>
          <t>RIOT</t>
        </is>
      </c>
      <c r="G4566" t="n">
        <v>2</v>
      </c>
      <c r="H4566" t="n">
        <v>-99.7842</v>
      </c>
      <c r="I4566">
        <f>-H1322/G1322</f>
        <v/>
      </c>
    </row>
    <row r="4567">
      <c r="A4567" t="n">
        <v>18661</v>
      </c>
      <c r="B4567" s="16" t="n">
        <v>44461</v>
      </c>
      <c r="C4567" t="inlineStr">
        <is>
          <t>VTA</t>
        </is>
      </c>
      <c r="D4567" t="n">
        <v>40</v>
      </c>
      <c r="E4567">
        <f>IF(D2818&gt;0,VLOOKUP(OPERAC[[#This Row],[COD CART]],[1]!MatrizCortoLargoCyl[#All],3,0),"")</f>
        <v/>
      </c>
      <c r="F4567" t="inlineStr">
        <is>
          <t>EDU</t>
        </is>
      </c>
      <c r="G4567" t="n">
        <v>500</v>
      </c>
      <c r="H4567">
        <f>-1.0864*OPERAC[[#This Row],[cantidad]]+0.04*OPERAC[[#This Row],[cantidad]]</f>
        <v/>
      </c>
      <c r="I4567">
        <f>-H2818/G2818</f>
        <v/>
      </c>
      <c r="J4567" s="16" t="n">
        <v>44630</v>
      </c>
      <c r="K4567" t="n">
        <v>500</v>
      </c>
      <c r="L4567" t="n">
        <v>568.328</v>
      </c>
    </row>
    <row r="4568">
      <c r="A4568" t="n">
        <v>18661</v>
      </c>
      <c r="B4568" s="16" t="n">
        <v>44470</v>
      </c>
      <c r="C4568" t="inlineStr">
        <is>
          <t>VTA</t>
        </is>
      </c>
      <c r="D4568" t="n">
        <v>41</v>
      </c>
      <c r="E4568">
        <f>IF(D2288&gt;0,VLOOKUP(OPERAC[[#This Row],[COD CART]],[1]!MatrizCortoLargoCyl[#All],3,0),"")</f>
        <v/>
      </c>
      <c r="F4568" t="inlineStr">
        <is>
          <t>GPRK</t>
        </is>
      </c>
      <c r="G4568" t="n">
        <v>30</v>
      </c>
      <c r="H4568" t="n">
        <v>-394.12</v>
      </c>
      <c r="I4568">
        <f>-H2288/G2288</f>
        <v/>
      </c>
    </row>
    <row r="4569">
      <c r="A4569" t="n">
        <v>18661</v>
      </c>
      <c r="B4569" s="16" t="n">
        <v>44494</v>
      </c>
      <c r="C4569" t="inlineStr">
        <is>
          <t>VTA</t>
        </is>
      </c>
      <c r="D4569" t="n">
        <v>40</v>
      </c>
      <c r="E4569">
        <f>IF(D2554&gt;0,VLOOKUP(OPERAC[[#This Row],[COD CART]],[1]!MatrizCortoLargoCyl[#All],3,0),"")</f>
        <v/>
      </c>
      <c r="F4569" t="inlineStr">
        <is>
          <t>YPF</t>
        </is>
      </c>
      <c r="G4569" t="n">
        <v>100</v>
      </c>
      <c r="H4569" t="n">
        <v>-465.272</v>
      </c>
      <c r="I4569">
        <f>-H2554/G2554</f>
        <v/>
      </c>
      <c r="J4569" s="16" t="n">
        <v>44582</v>
      </c>
      <c r="K4569" t="n">
        <v>100</v>
      </c>
      <c r="L4569" t="n">
        <v>382.42</v>
      </c>
    </row>
    <row r="4570">
      <c r="A4570" t="n">
        <v>18661</v>
      </c>
      <c r="B4570" s="16" t="n">
        <v>44523</v>
      </c>
      <c r="C4570" t="inlineStr">
        <is>
          <t>VTA</t>
        </is>
      </c>
      <c r="D4570" t="n">
        <v>32</v>
      </c>
      <c r="E4570">
        <f>IF(D2318&gt;0,VLOOKUP(OPERAC[[#This Row],[COD CART]],[1]!MatrizCortoLargoCyl[#All],3,0),"")</f>
        <v/>
      </c>
      <c r="F4570" t="inlineStr">
        <is>
          <t>GMBL</t>
        </is>
      </c>
      <c r="G4570" t="n">
        <v>100</v>
      </c>
      <c r="H4570">
        <f>-411.931+9.067</f>
        <v/>
      </c>
      <c r="I4570">
        <f>-H2318/G2318</f>
        <v/>
      </c>
      <c r="J4570" s="16" t="n">
        <v>44705</v>
      </c>
      <c r="K4570" t="n">
        <v>100</v>
      </c>
      <c r="L4570" t="n">
        <v>38.222</v>
      </c>
    </row>
    <row r="4571">
      <c r="A4571" t="n">
        <v>18661</v>
      </c>
      <c r="B4571" s="16" t="n">
        <v>44537</v>
      </c>
      <c r="C4571" t="inlineStr">
        <is>
          <t>VTA</t>
        </is>
      </c>
      <c r="D4571" t="n">
        <v>43</v>
      </c>
      <c r="E4571">
        <f>IF(D2812&gt;0,VLOOKUP(OPERAC[[#This Row],[COD CART]],[1]!MatrizCortoLargoCyl[#All],3,0),"")</f>
        <v/>
      </c>
      <c r="F4571" t="inlineStr">
        <is>
          <t>XSPA/CYL-PUT/1,50/20-01-23</t>
        </is>
      </c>
      <c r="G4571" t="n">
        <v>1000</v>
      </c>
      <c r="H4571">
        <f>-0.52*OPERAC[[#This Row],[cantidad]]</f>
        <v/>
      </c>
      <c r="I4571">
        <f>-H2812/G2812</f>
        <v/>
      </c>
    </row>
    <row r="4572">
      <c r="A4572" t="n">
        <v>18661</v>
      </c>
      <c r="B4572" s="16" t="n">
        <v>44582</v>
      </c>
      <c r="C4572" t="inlineStr">
        <is>
          <t>CPR</t>
        </is>
      </c>
      <c r="D4572" t="n">
        <v>40</v>
      </c>
      <c r="E4572">
        <f>IF(D3615&gt;0,VLOOKUP(OPERAC[[#This Row],[COD CART]],[1]!MatrizCortoLargoCyl[#All],3,0),"")</f>
        <v/>
      </c>
      <c r="F4572" t="inlineStr">
        <is>
          <t>NFLX</t>
        </is>
      </c>
      <c r="G4572" t="n">
        <v>2</v>
      </c>
      <c r="H4572" t="n">
        <v>-789.7966</v>
      </c>
      <c r="I4572">
        <f>-H3615/G3615</f>
        <v/>
      </c>
      <c r="J4572" s="16" t="n">
        <v>44593</v>
      </c>
      <c r="K4572">
        <f>+OPERAC[[#This Row],[cantidad]]</f>
        <v/>
      </c>
      <c r="L4572">
        <f>+OPERAC[[#This Row],[cantidad venta]]*448.602</f>
        <v/>
      </c>
    </row>
    <row r="4573">
      <c r="A4573" t="n">
        <v>18661</v>
      </c>
      <c r="B4573" s="16" t="n">
        <v>44594</v>
      </c>
      <c r="C4573" t="inlineStr">
        <is>
          <t>CPR</t>
        </is>
      </c>
      <c r="D4573" t="n">
        <v>40</v>
      </c>
      <c r="E4573">
        <f>IF(D4228&gt;0,VLOOKUP(OPERAC[[#This Row],[COD CART]],[1]!MatrizCortoLargoCyl[#All],3,0),"")</f>
        <v/>
      </c>
      <c r="F4573" t="inlineStr">
        <is>
          <t>EDU</t>
        </is>
      </c>
      <c r="G4573" t="n">
        <v>500</v>
      </c>
      <c r="H4573" t="n">
        <v>-1008</v>
      </c>
      <c r="I4573">
        <f>-H4228/G4228</f>
        <v/>
      </c>
      <c r="J4573" s="16" t="n">
        <v>44601</v>
      </c>
      <c r="K4573" t="n">
        <v>500</v>
      </c>
      <c r="L4573">
        <f>500*1.642</f>
        <v/>
      </c>
    </row>
    <row r="4574">
      <c r="A4574" t="n">
        <v>18661</v>
      </c>
      <c r="B4574" s="16" t="n">
        <v>44615</v>
      </c>
      <c r="C4574" t="inlineStr">
        <is>
          <t>VTA</t>
        </is>
      </c>
      <c r="D4574" t="n">
        <v>41</v>
      </c>
      <c r="E4574">
        <f>IF(D1588&gt;0,VLOOKUP(OPERAC[[#This Row],[COD CART]],[1]!MatrizCortoLargoCyl[#All],3,0),"")</f>
        <v/>
      </c>
      <c r="F4574" t="inlineStr">
        <is>
          <t>XLE</t>
        </is>
      </c>
      <c r="G4574" t="n">
        <v>3</v>
      </c>
      <c r="H4574" t="n">
        <v>-205.8</v>
      </c>
      <c r="I4574">
        <f>-H1588/G1588</f>
        <v/>
      </c>
    </row>
    <row r="4575">
      <c r="A4575" t="n">
        <v>18661</v>
      </c>
      <c r="B4575" s="16" t="n">
        <v>44629</v>
      </c>
      <c r="C4575" t="inlineStr">
        <is>
          <t>VTA</t>
        </is>
      </c>
      <c r="D4575" t="n">
        <v>41</v>
      </c>
      <c r="E4575">
        <f>IF(D2904&gt;0,VLOOKUP(OPERAC[[#This Row],[COD CART]],[1]!MatrizCortoLargoCyl[#All],3,0),"")</f>
        <v/>
      </c>
      <c r="F4575" t="inlineStr">
        <is>
          <t>TX</t>
        </is>
      </c>
      <c r="G4575" t="n">
        <v>14</v>
      </c>
      <c r="H4575" t="n">
        <v>-549.886</v>
      </c>
      <c r="I4575">
        <f>-H2904/G2904</f>
        <v/>
      </c>
    </row>
    <row r="4576">
      <c r="A4576" t="n">
        <v>18661</v>
      </c>
      <c r="B4576" s="16" t="n">
        <v>44719</v>
      </c>
      <c r="C4576" t="inlineStr">
        <is>
          <t>VTA</t>
        </is>
      </c>
      <c r="D4576" t="n">
        <v>41</v>
      </c>
      <c r="E4576">
        <f>IF(D3074&gt;0,VLOOKUP(OPERAC[[#This Row],[COD CART]],[1]!MatrizCortoLargoCyl[#All],3,0),"")</f>
        <v/>
      </c>
      <c r="F4576" t="inlineStr">
        <is>
          <t>AMZN</t>
        </is>
      </c>
      <c r="G4576" t="n">
        <v>5</v>
      </c>
      <c r="H4576" t="n">
        <v>-615.336</v>
      </c>
      <c r="I4576">
        <f>-H3074/G3074</f>
        <v/>
      </c>
    </row>
    <row r="4577">
      <c r="A4577" t="n">
        <v>18662</v>
      </c>
      <c r="B4577" s="16" t="n">
        <v>43831</v>
      </c>
      <c r="C4577" t="inlineStr">
        <is>
          <t>CPR</t>
        </is>
      </c>
      <c r="D4577" t="n">
        <v>41</v>
      </c>
      <c r="E4577">
        <f>IF(D3964&gt;0,VLOOKUP(OPERAC[[#This Row],[COD CART]],[1]!MatrizCortoLargoCyl[#All],3,0),"")</f>
        <v/>
      </c>
      <c r="F4577" t="inlineStr">
        <is>
          <t>YPF</t>
        </is>
      </c>
      <c r="G4577" t="n">
        <v>100</v>
      </c>
      <c r="H4577" t="n">
        <v>-894</v>
      </c>
      <c r="I4577" t="n">
        <v>8.94</v>
      </c>
    </row>
    <row r="4578">
      <c r="A4578" t="n">
        <v>18662</v>
      </c>
      <c r="B4578" s="16" t="n">
        <v>43831</v>
      </c>
      <c r="C4578" t="inlineStr">
        <is>
          <t>CPR</t>
        </is>
      </c>
      <c r="D4578" t="n">
        <v>41</v>
      </c>
      <c r="E4578">
        <f>IF(D4831&gt;0,VLOOKUP(OPERAC[[#This Row],[COD CART]],[1]!MatrizCortoLargoCyl[#All],3,0),"")</f>
        <v/>
      </c>
      <c r="F4578" t="inlineStr">
        <is>
          <t>GLD</t>
        </is>
      </c>
      <c r="G4578" t="n">
        <v>10</v>
      </c>
      <c r="H4578" t="n">
        <v>-1430.9</v>
      </c>
      <c r="I4578" t="n">
        <v>143.09</v>
      </c>
    </row>
    <row r="4579">
      <c r="A4579" t="n">
        <v>18662</v>
      </c>
      <c r="B4579" s="16" t="n">
        <v>43831</v>
      </c>
      <c r="C4579" t="inlineStr">
        <is>
          <t>VTA</t>
        </is>
      </c>
      <c r="D4579" t="n">
        <v>31</v>
      </c>
      <c r="E4579">
        <f>IF(D2139&gt;0,VLOOKUP(OPERAC[[#This Row],[COD CART]],[1]!MatrizCortoLargoCyl[#All],3,0),"")</f>
        <v/>
      </c>
      <c r="F4579" t="inlineStr">
        <is>
          <t>VIST</t>
        </is>
      </c>
      <c r="G4579" t="n">
        <v>50</v>
      </c>
      <c r="H4579" t="n">
        <v>-350</v>
      </c>
      <c r="I4579" t="n">
        <v>7</v>
      </c>
    </row>
    <row r="4580">
      <c r="A4580" t="n">
        <v>18662</v>
      </c>
      <c r="B4580" s="16" t="n">
        <v>43880</v>
      </c>
      <c r="C4580" t="inlineStr">
        <is>
          <t>VTA</t>
        </is>
      </c>
      <c r="D4580" t="n">
        <v>41</v>
      </c>
      <c r="E4580">
        <f>IF(D3952&gt;0,VLOOKUP(OPERAC[[#This Row],[COD CART]],[1]!MatrizCortoLargoCyl[#All],3,0),"")</f>
        <v/>
      </c>
      <c r="F4580" t="inlineStr">
        <is>
          <t>BBAR</t>
        </is>
      </c>
      <c r="G4580" t="n">
        <v>200</v>
      </c>
      <c r="H4580" t="n">
        <v>-888.0400000000002</v>
      </c>
      <c r="I4580" t="n">
        <v>4.440200000000001</v>
      </c>
    </row>
    <row r="4581">
      <c r="A4581" t="n">
        <v>18662</v>
      </c>
      <c r="B4581" s="16" t="n">
        <v>44166</v>
      </c>
      <c r="C4581" t="inlineStr">
        <is>
          <t>VTA</t>
        </is>
      </c>
      <c r="D4581" t="n">
        <v>41</v>
      </c>
      <c r="E4581">
        <f>IF(D1653&gt;0,VLOOKUP(OPERAC[[#This Row],[COD CART]],[1]!MatrizCortoLargoCyl[#All],3,0),"")</f>
        <v/>
      </c>
      <c r="F4581" t="inlineStr">
        <is>
          <t>GMBL</t>
        </is>
      </c>
      <c r="G4581" t="n">
        <v>50</v>
      </c>
      <c r="H4581" t="n">
        <v>-227</v>
      </c>
      <c r="I4581">
        <f>-H1653/G1653</f>
        <v/>
      </c>
    </row>
    <row r="4582">
      <c r="A4582" t="n">
        <v>18662</v>
      </c>
      <c r="B4582" s="16" t="n">
        <v>44166</v>
      </c>
      <c r="C4582" t="inlineStr">
        <is>
          <t>VTA</t>
        </is>
      </c>
      <c r="D4582" t="n">
        <v>41</v>
      </c>
      <c r="E4582">
        <f>IF(D2011&gt;0,VLOOKUP(OPERAC[[#This Row],[COD CART]],[1]!MatrizCortoLargoCyl[#All],3,0),"")</f>
        <v/>
      </c>
      <c r="F4582" t="inlineStr">
        <is>
          <t>AESE</t>
        </is>
      </c>
      <c r="G4582" t="n">
        <v>300</v>
      </c>
      <c r="H4582" t="n">
        <v>-312</v>
      </c>
      <c r="I4582">
        <f>-H2011/G2011</f>
        <v/>
      </c>
    </row>
    <row r="4583">
      <c r="A4583" t="n">
        <v>18662</v>
      </c>
      <c r="B4583" s="16" t="n">
        <v>44314</v>
      </c>
      <c r="C4583" t="inlineStr">
        <is>
          <t>VTA</t>
        </is>
      </c>
      <c r="D4583" t="n">
        <v>31</v>
      </c>
      <c r="E4583">
        <f>IF(D2975&gt;0,VLOOKUP(OPERAC[[#This Row],[COD CART]],[1]!MatrizCortoLargoCyl[#All],3,0),"")</f>
        <v/>
      </c>
      <c r="F4583" t="inlineStr">
        <is>
          <t>VIST</t>
        </is>
      </c>
      <c r="G4583" t="n">
        <v>200</v>
      </c>
      <c r="H4583" t="n">
        <v>-564.58</v>
      </c>
      <c r="I4583">
        <f>-H2975/G2975</f>
        <v/>
      </c>
      <c r="J4583" s="16" t="n">
        <v>44456</v>
      </c>
      <c r="K4583" t="n">
        <v>150</v>
      </c>
      <c r="L4583" t="n">
        <v>663.143</v>
      </c>
    </row>
    <row r="4584">
      <c r="A4584" t="n">
        <v>18662</v>
      </c>
      <c r="B4584" s="16" t="n">
        <v>44340</v>
      </c>
      <c r="C4584" t="inlineStr">
        <is>
          <t>VTA</t>
        </is>
      </c>
      <c r="D4584" t="n">
        <v>39</v>
      </c>
      <c r="E4584">
        <f>IF(D772&gt;0,VLOOKUP(OPERAC[[#This Row],[COD CART]],[1]!MatrizCortoLargoCyl[#All],3,0),"")</f>
        <v/>
      </c>
      <c r="F4584" t="inlineStr">
        <is>
          <t>SOLO/V/3,50/21-01-22</t>
        </is>
      </c>
      <c r="G4584" t="n">
        <v>-300</v>
      </c>
      <c r="H4584" t="n">
        <v>316.2565</v>
      </c>
      <c r="I4584">
        <f>-H772/G772</f>
        <v/>
      </c>
      <c r="J4584" s="16" t="n">
        <v>44579</v>
      </c>
      <c r="K4584">
        <f>+OPERAC[[#This Row],[cantidad]]</f>
        <v/>
      </c>
      <c r="L4584">
        <f>-OPERAC[[#This Row],[importe]]</f>
        <v/>
      </c>
    </row>
    <row r="4585">
      <c r="A4585" t="n">
        <v>18662</v>
      </c>
      <c r="B4585" s="16" t="n">
        <v>44446</v>
      </c>
      <c r="C4585" t="inlineStr">
        <is>
          <t>CPR</t>
        </is>
      </c>
      <c r="D4585" t="n">
        <v>32</v>
      </c>
      <c r="E4585">
        <f>IF(D3288&gt;0,VLOOKUP(OPERAC[[#This Row],[COD CART]],[1]!MatrizCortoLargoCyl[#All],3,0),"")</f>
        <v/>
      </c>
      <c r="F4585" t="inlineStr">
        <is>
          <t>INO/CYL/8,00/18-02-22</t>
        </is>
      </c>
      <c r="G4585" t="n">
        <v>100</v>
      </c>
      <c r="H4585">
        <f>-758.932+27.502+30.172+14.579+4.707</f>
        <v/>
      </c>
      <c r="I4585">
        <f>-H3288/G3288</f>
        <v/>
      </c>
      <c r="J4585" s="16" t="n">
        <v>44596</v>
      </c>
      <c r="K4585" t="n">
        <v>100</v>
      </c>
      <c r="L4585">
        <f>3.665*OPERAC[[#This Row],[cantidad venta]]</f>
        <v/>
      </c>
    </row>
    <row r="4586">
      <c r="A4586" t="n">
        <v>18662</v>
      </c>
      <c r="B4586" s="16" t="n">
        <v>44466</v>
      </c>
      <c r="C4586" t="inlineStr">
        <is>
          <t>VTA</t>
        </is>
      </c>
      <c r="D4586" t="n">
        <v>43</v>
      </c>
      <c r="E4586">
        <f>IF(D2341&gt;0,VLOOKUP(OPERAC[[#This Row],[COD CART]],[1]!MatrizCortoLargoCyl[#All],3,0),"")</f>
        <v/>
      </c>
      <c r="F4586" t="inlineStr">
        <is>
          <t>SOLO/CYL-PUT/4,00/16-09-22</t>
        </is>
      </c>
      <c r="G4586" t="n">
        <v>200</v>
      </c>
      <c r="H4586">
        <f>-594.83454+0.32*OPERAC[[#This Row],[cantidad]]+0.387*OPERAC[[#This Row],[cantidad]]+0.22*OPERAC[[#This Row],[cantidad]]</f>
        <v/>
      </c>
      <c r="I4586">
        <f>-H2341/G2341</f>
        <v/>
      </c>
    </row>
    <row r="4587">
      <c r="A4587" t="n">
        <v>18662</v>
      </c>
      <c r="B4587" s="16" t="n">
        <v>44494</v>
      </c>
      <c r="C4587" t="inlineStr">
        <is>
          <t>VTA</t>
        </is>
      </c>
      <c r="D4587" t="n">
        <v>40</v>
      </c>
      <c r="E4587">
        <f>IF(D2213&gt;0,VLOOKUP(OPERAC[[#This Row],[COD CART]],[1]!MatrizCortoLargoCyl[#All],3,0),"")</f>
        <v/>
      </c>
      <c r="F4587" t="inlineStr">
        <is>
          <t>YPF</t>
        </is>
      </c>
      <c r="G4587" t="n">
        <v>80</v>
      </c>
      <c r="H4587" t="n">
        <v>-372.2176</v>
      </c>
      <c r="I4587">
        <f>-H2213/G2213</f>
        <v/>
      </c>
      <c r="J4587" s="16" t="n">
        <v>44606</v>
      </c>
      <c r="K4587">
        <f>+OPERAC[[#This Row],[cantidad]]</f>
        <v/>
      </c>
      <c r="L4587">
        <f>+OPERAC[[#This Row],[cantidad venta]]*4.161</f>
        <v/>
      </c>
    </row>
    <row r="4588">
      <c r="A4588" t="n">
        <v>18662</v>
      </c>
      <c r="B4588" s="16" t="n">
        <v>44523</v>
      </c>
      <c r="C4588" t="inlineStr">
        <is>
          <t>VTA</t>
        </is>
      </c>
      <c r="D4588" t="n">
        <v>32</v>
      </c>
      <c r="E4588">
        <f>IF(D3746&gt;0,VLOOKUP(OPERAC[[#This Row],[COD CART]],[1]!MatrizCortoLargoCyl[#All],3,0),"")</f>
        <v/>
      </c>
      <c r="F4588" t="inlineStr">
        <is>
          <t>TEVA/CYL/9,00/21-01-22</t>
        </is>
      </c>
      <c r="G4588" t="n">
        <v>100</v>
      </c>
      <c r="H4588">
        <f>-861.6332+18.874</f>
        <v/>
      </c>
      <c r="I4588">
        <f>-H3746/G3746</f>
        <v/>
      </c>
      <c r="J4588" s="16" t="n">
        <v>44575</v>
      </c>
      <c r="K4588" t="n">
        <v>100</v>
      </c>
      <c r="L4588" t="n">
        <v>878.913</v>
      </c>
    </row>
    <row r="4589">
      <c r="A4589" t="n">
        <v>18662</v>
      </c>
      <c r="B4589" s="16" t="n">
        <v>44532</v>
      </c>
      <c r="C4589" t="inlineStr">
        <is>
          <t>VTA</t>
        </is>
      </c>
      <c r="D4589" t="n">
        <v>32</v>
      </c>
      <c r="E4589">
        <f>IF(D3938&gt;0,VLOOKUP(OPERAC[[#This Row],[COD CART]],[1]!MatrizCortoLargoCyl[#All],3,0),"")</f>
        <v/>
      </c>
      <c r="F4589" t="inlineStr">
        <is>
          <t>COTY/CYL/10,00/18-02-22</t>
        </is>
      </c>
      <c r="G4589" t="n">
        <v>100</v>
      </c>
      <c r="H4589">
        <f>-901.599+20.838</f>
        <v/>
      </c>
      <c r="I4589">
        <f>-H3938/G3938</f>
        <v/>
      </c>
      <c r="J4589" s="16" t="n">
        <v>44608</v>
      </c>
      <c r="K4589">
        <f>+OPERAC[[#This Row],[cantidad]]</f>
        <v/>
      </c>
      <c r="L4589" t="n">
        <v>941.701</v>
      </c>
    </row>
    <row r="4590">
      <c r="A4590" t="n">
        <v>18662</v>
      </c>
      <c r="B4590" s="16" t="n">
        <v>44543</v>
      </c>
      <c r="C4590" t="inlineStr">
        <is>
          <t>VTA</t>
        </is>
      </c>
      <c r="D4590" t="n">
        <v>39</v>
      </c>
      <c r="E4590">
        <f>IF(D872&gt;0,VLOOKUP(OPERAC[[#This Row],[COD CART]],[1]!MatrizCortoLargoCyl[#All],3,0),"")</f>
        <v/>
      </c>
      <c r="F4590" t="inlineStr">
        <is>
          <t>NKE/V/145,00/07-01-22</t>
        </is>
      </c>
      <c r="G4590" t="n">
        <v>-200</v>
      </c>
      <c r="H4590" t="n">
        <v>197.652</v>
      </c>
      <c r="I4590">
        <f>-H872/G872</f>
        <v/>
      </c>
      <c r="J4590" s="16" t="n">
        <v>44566</v>
      </c>
      <c r="K4590" t="n">
        <v>-200</v>
      </c>
      <c r="L4590" t="n">
        <v>-4.032</v>
      </c>
    </row>
    <row r="4591">
      <c r="A4591" t="n">
        <v>18662</v>
      </c>
      <c r="B4591" s="16" t="n">
        <v>44547</v>
      </c>
      <c r="C4591" t="inlineStr">
        <is>
          <t>VTA</t>
        </is>
      </c>
      <c r="D4591" t="n">
        <v>39</v>
      </c>
      <c r="E4591">
        <f>IF(D302&gt;0,VLOOKUP(OPERAC[[#This Row],[COD CART]],[1]!MatrizCortoLargoCyl[#All],3,0),"")</f>
        <v/>
      </c>
      <c r="F4591" t="inlineStr">
        <is>
          <t>TLRY/V/8,00/18-02-22</t>
        </is>
      </c>
      <c r="G4591" t="n">
        <v>-1100</v>
      </c>
      <c r="H4591" t="n">
        <v>1522.1701</v>
      </c>
      <c r="I4591">
        <f>-H302/G302</f>
        <v/>
      </c>
      <c r="J4591" s="16" t="n">
        <v>44601</v>
      </c>
      <c r="K4591" t="n">
        <v>-1100</v>
      </c>
      <c r="L4591">
        <f>1.38*OPERAC[[#This Row],[cantidad venta]]</f>
        <v/>
      </c>
    </row>
    <row r="4592">
      <c r="A4592" t="n">
        <v>18662</v>
      </c>
      <c r="B4592" s="16" t="n">
        <v>44547</v>
      </c>
      <c r="C4592" t="inlineStr">
        <is>
          <t>VTA</t>
        </is>
      </c>
      <c r="D4592" t="n">
        <v>39</v>
      </c>
      <c r="E4592">
        <f>IF(D885&gt;0,VLOOKUP(OPERAC[[#This Row],[COD CART]],[1]!MatrizCortoLargoCyl[#All],3,0),"")</f>
        <v/>
      </c>
      <c r="F4592" t="inlineStr">
        <is>
          <t>INO/V/7,00/21-01-22</t>
        </is>
      </c>
      <c r="G4592" t="n">
        <v>-200</v>
      </c>
      <c r="H4592" t="n">
        <v>182.088</v>
      </c>
      <c r="I4592">
        <f>-H885/G885</f>
        <v/>
      </c>
      <c r="J4592" s="16" t="n">
        <v>44580</v>
      </c>
      <c r="K4592">
        <f>+OPERAC[[#This Row],[cantidad]]</f>
        <v/>
      </c>
      <c r="L4592">
        <f>-OPERAC[[#This Row],[importe]]</f>
        <v/>
      </c>
    </row>
    <row r="4593">
      <c r="A4593" t="n">
        <v>18662</v>
      </c>
      <c r="B4593" s="16" t="n">
        <v>44547</v>
      </c>
      <c r="C4593" t="inlineStr">
        <is>
          <t>VTA</t>
        </is>
      </c>
      <c r="D4593" t="n">
        <v>32</v>
      </c>
      <c r="E4593">
        <f>IF(D3797&gt;0,VLOOKUP(OPERAC[[#This Row],[COD CART]],[1]!MatrizCortoLargoCyl[#All],3,0),"")</f>
        <v/>
      </c>
      <c r="F4593" t="inlineStr">
        <is>
          <t>ARLO/CYL/9,00/18-02-22</t>
        </is>
      </c>
      <c r="G4593" t="n">
        <v>100</v>
      </c>
      <c r="H4593">
        <f>-866.74+14.88</f>
        <v/>
      </c>
      <c r="I4593">
        <f>-H3797/G3797</f>
        <v/>
      </c>
      <c r="J4593" s="16" t="n">
        <v>44607</v>
      </c>
      <c r="K4593" t="n">
        <v>100</v>
      </c>
      <c r="L4593" t="n">
        <v>875.33</v>
      </c>
    </row>
    <row r="4594">
      <c r="A4594" t="n">
        <v>18662</v>
      </c>
      <c r="B4594" s="16" t="n">
        <v>44552</v>
      </c>
      <c r="C4594" t="inlineStr">
        <is>
          <t>VTA</t>
        </is>
      </c>
      <c r="D4594" t="n">
        <v>32</v>
      </c>
      <c r="E4594">
        <f>IF(D5384&gt;0,VLOOKUP(OPERAC[[#This Row],[COD CART]],[1]!MatrizCortoLargoCyl[#All],3,0),"")</f>
        <v/>
      </c>
      <c r="F4594" t="inlineStr">
        <is>
          <t>GOLD/CYL/19,00/21-01-22</t>
        </is>
      </c>
      <c r="G4594" t="n">
        <v>100</v>
      </c>
      <c r="H4594">
        <f>-18.08*OPERAC[[#This Row],[cantidad]]</f>
        <v/>
      </c>
      <c r="I4594">
        <f>-H5384/G5384</f>
        <v/>
      </c>
      <c r="J4594" s="16" t="n">
        <v>44580</v>
      </c>
      <c r="K4594" t="n">
        <v>100</v>
      </c>
      <c r="L4594" t="n">
        <v>1876.846</v>
      </c>
    </row>
    <row r="4595">
      <c r="A4595" t="n">
        <v>18662</v>
      </c>
      <c r="B4595" s="16" t="n">
        <v>44575</v>
      </c>
      <c r="C4595" t="inlineStr">
        <is>
          <t>VTA</t>
        </is>
      </c>
      <c r="D4595" t="n">
        <v>40</v>
      </c>
      <c r="E4595">
        <f>IF(D2000&gt;0,VLOOKUP(OPERAC[[#This Row],[COD CART]],[1]!MatrizCortoLargoCyl[#All],3,0),"")</f>
        <v/>
      </c>
      <c r="F4595" t="inlineStr">
        <is>
          <t>GBTC</t>
        </is>
      </c>
      <c r="G4595" t="n">
        <v>10</v>
      </c>
      <c r="H4595" t="n">
        <v>-308.0948</v>
      </c>
      <c r="I4595">
        <f>-H2000/G2000</f>
        <v/>
      </c>
      <c r="J4595" s="16" t="n">
        <v>44651</v>
      </c>
      <c r="K4595">
        <f>+OPERAC[[#This Row],[cantidad]]</f>
        <v/>
      </c>
      <c r="L4595">
        <f>+OPERAC[[#This Row],[cantidad venta]]*31.332</f>
        <v/>
      </c>
    </row>
    <row r="4596">
      <c r="A4596" t="n">
        <v>18662</v>
      </c>
      <c r="B4596" s="16" t="n">
        <v>44579</v>
      </c>
      <c r="C4596" t="inlineStr">
        <is>
          <t>VTA</t>
        </is>
      </c>
      <c r="D4596" t="n">
        <v>39</v>
      </c>
      <c r="E4596">
        <f>IF(D707&gt;0,VLOOKUP(OPERAC[[#This Row],[COD CART]],[1]!MatrizCortoLargoCyl[#All],3,0),"")</f>
        <v/>
      </c>
      <c r="F4596" t="inlineStr">
        <is>
          <t>SOLO/V/3,50/25-02-22</t>
        </is>
      </c>
      <c r="G4596" t="n">
        <v>-300</v>
      </c>
      <c r="H4596" t="n">
        <v>414.55722</v>
      </c>
      <c r="I4596">
        <f>-H707/G707</f>
        <v/>
      </c>
      <c r="J4596" s="16" t="n">
        <v>44608</v>
      </c>
      <c r="K4596">
        <f>+OPERAC[[#This Row],[cantidad]]</f>
        <v/>
      </c>
      <c r="L4596" t="n">
        <v>-418.5119999999999</v>
      </c>
    </row>
    <row r="4597">
      <c r="A4597" t="n">
        <v>18662</v>
      </c>
      <c r="B4597" s="16" t="n">
        <v>44580</v>
      </c>
      <c r="C4597" t="inlineStr">
        <is>
          <t>VTA</t>
        </is>
      </c>
      <c r="D4597" t="n">
        <v>39</v>
      </c>
      <c r="E4597">
        <f>IF(D636&gt;0,VLOOKUP(OPERAC[[#This Row],[COD CART]],[1]!MatrizCortoLargoCyl[#All],3,0),"")</f>
        <v/>
      </c>
      <c r="F4597" t="inlineStr">
        <is>
          <t>INO/V/7,00/18-02-22</t>
        </is>
      </c>
      <c r="G4597" t="n">
        <v>-200</v>
      </c>
      <c r="H4597" t="n">
        <v>554.13</v>
      </c>
      <c r="I4597">
        <f>-H636/G636</f>
        <v/>
      </c>
      <c r="J4597" s="16" t="n">
        <v>44600</v>
      </c>
      <c r="K4597" t="n">
        <v>-200</v>
      </c>
      <c r="L4597" t="n">
        <v>-554</v>
      </c>
    </row>
    <row r="4598">
      <c r="A4598" t="n">
        <v>18662</v>
      </c>
      <c r="B4598" s="16" t="n">
        <v>44582</v>
      </c>
      <c r="C4598" t="inlineStr">
        <is>
          <t>CPR</t>
        </is>
      </c>
      <c r="D4598" t="n">
        <v>40</v>
      </c>
      <c r="E4598">
        <f>IF(D4473&gt;0,VLOOKUP(OPERAC[[#This Row],[COD CART]],[1]!MatrizCortoLargoCyl[#All],3,0),"")</f>
        <v/>
      </c>
      <c r="F4598" t="inlineStr">
        <is>
          <t>NFLX</t>
        </is>
      </c>
      <c r="G4598" t="n">
        <v>3</v>
      </c>
      <c r="H4598" t="n">
        <v>-1171.9113</v>
      </c>
      <c r="I4598">
        <f>-H4473/G4473</f>
        <v/>
      </c>
      <c r="J4598" s="16" t="n">
        <v>44593</v>
      </c>
      <c r="K4598">
        <f>+OPERAC[[#This Row],[cantidad]]</f>
        <v/>
      </c>
      <c r="L4598">
        <f>+OPERAC[[#This Row],[cantidad venta]]*448.602</f>
        <v/>
      </c>
    </row>
    <row r="4599">
      <c r="A4599" t="n">
        <v>18662</v>
      </c>
      <c r="B4599" s="16" t="n">
        <v>44582</v>
      </c>
      <c r="C4599" t="inlineStr">
        <is>
          <t>CPR</t>
        </is>
      </c>
      <c r="D4599" t="n">
        <v>40</v>
      </c>
      <c r="E4599">
        <f>IF(D4532&gt;0,VLOOKUP(OPERAC[[#This Row],[COD CART]],[1]!MatrizCortoLargoCyl[#All],3,0),"")</f>
        <v/>
      </c>
      <c r="F4599" t="inlineStr">
        <is>
          <t>ACB</t>
        </is>
      </c>
      <c r="G4599" t="n">
        <v>48</v>
      </c>
      <c r="H4599">
        <f>-25*OPERAC[[#This Row],[cantidad]]</f>
        <v/>
      </c>
      <c r="I4599">
        <f>-H4532/G4532</f>
        <v/>
      </c>
      <c r="J4599" s="16" t="n">
        <v>44606</v>
      </c>
      <c r="K4599" t="n">
        <v>48</v>
      </c>
      <c r="L4599" t="n">
        <v>209.787</v>
      </c>
    </row>
    <row r="4600">
      <c r="A4600" t="n">
        <v>18662</v>
      </c>
      <c r="B4600" s="16" t="n">
        <v>44585</v>
      </c>
      <c r="C4600" t="inlineStr">
        <is>
          <t>VTA</t>
        </is>
      </c>
      <c r="D4600" t="n">
        <v>39</v>
      </c>
      <c r="E4600">
        <f>IF(D409&gt;0,VLOOKUP(OPERAC[[#This Row],[COD CART]],[1]!MatrizCortoLargoCyl[#All],3,0),"")</f>
        <v/>
      </c>
      <c r="F4600" t="inlineStr">
        <is>
          <t>MELI/V/700,00/28-01-22</t>
        </is>
      </c>
      <c r="G4600" t="n">
        <v>-400</v>
      </c>
      <c r="H4600" t="n">
        <v>1130.88</v>
      </c>
      <c r="I4600">
        <f>-H409/G409</f>
        <v/>
      </c>
      <c r="J4600" s="16" t="n">
        <v>44586</v>
      </c>
      <c r="K4600">
        <f>-200-200</f>
        <v/>
      </c>
      <c r="L4600">
        <f>-114.439-10.08</f>
        <v/>
      </c>
    </row>
    <row r="4601">
      <c r="A4601" t="n">
        <v>18662</v>
      </c>
      <c r="B4601" s="16" t="n">
        <v>44587</v>
      </c>
      <c r="C4601" t="inlineStr">
        <is>
          <t>CPR</t>
        </is>
      </c>
      <c r="D4601" t="n">
        <v>40</v>
      </c>
      <c r="E4601">
        <f>IF(D3674&gt;0,VLOOKUP(OPERAC[[#This Row],[COD CART]],[1]!MatrizCortoLargoCyl[#All],3,0),"")</f>
        <v/>
      </c>
      <c r="F4601" t="inlineStr">
        <is>
          <t>AAPL</t>
        </is>
      </c>
      <c r="G4601" t="n">
        <v>5</v>
      </c>
      <c r="H4601" t="n">
        <v>-820.2721</v>
      </c>
      <c r="I4601">
        <f>-H3674/G3674</f>
        <v/>
      </c>
      <c r="J4601" s="16" t="n">
        <v>44601</v>
      </c>
      <c r="K4601" t="n">
        <v>5</v>
      </c>
      <c r="L4601">
        <f>175.66*OPERAC[[#This Row],[cantidad venta]]</f>
        <v/>
      </c>
    </row>
    <row r="4602">
      <c r="A4602" t="n">
        <v>18662</v>
      </c>
      <c r="B4602" s="16" t="n">
        <v>44596</v>
      </c>
      <c r="C4602" t="inlineStr">
        <is>
          <t>VTA</t>
        </is>
      </c>
      <c r="D4602" t="n">
        <v>39</v>
      </c>
      <c r="E4602">
        <f>IF(D730&gt;0,VLOOKUP(OPERAC[[#This Row],[COD CART]],[1]!MatrizCortoLargoCyl[#All],3,0),"")</f>
        <v/>
      </c>
      <c r="F4602" t="inlineStr">
        <is>
          <t>MELI/V/850,00/11-02-22</t>
        </is>
      </c>
      <c r="G4602" t="n">
        <v>-100</v>
      </c>
      <c r="H4602" t="n">
        <v>390</v>
      </c>
      <c r="I4602">
        <f>-H730/G730</f>
        <v/>
      </c>
      <c r="J4602" s="16" t="n">
        <v>44603</v>
      </c>
      <c r="K4602" t="n">
        <v>-100</v>
      </c>
      <c r="L4602" t="n">
        <v>0</v>
      </c>
    </row>
    <row r="4603">
      <c r="A4603" t="n">
        <v>18662</v>
      </c>
      <c r="B4603" s="16" t="n">
        <v>44599</v>
      </c>
      <c r="C4603" t="inlineStr">
        <is>
          <t>CPR</t>
        </is>
      </c>
      <c r="D4603" t="n">
        <v>40</v>
      </c>
      <c r="E4603">
        <f>IF(D4514&gt;0,VLOOKUP(OPERAC[[#This Row],[COD CART]],[1]!MatrizCortoLargoCyl[#All],3,0),"")</f>
        <v/>
      </c>
      <c r="F4603" t="inlineStr">
        <is>
          <t>FB</t>
        </is>
      </c>
      <c r="G4603" t="n">
        <v>5</v>
      </c>
      <c r="H4603" t="n">
        <v>-1192.3</v>
      </c>
      <c r="I4603">
        <f>-H4514/G4514</f>
        <v/>
      </c>
      <c r="J4603" s="16" t="n">
        <v>44616</v>
      </c>
      <c r="K4603">
        <f>+OPERAC[[#This Row],[cantidad]]</f>
        <v/>
      </c>
      <c r="L4603">
        <f>200.299*OPERAC[[#This Row],[cantidad venta]]</f>
        <v/>
      </c>
    </row>
    <row r="4604">
      <c r="A4604" t="n">
        <v>18662</v>
      </c>
      <c r="B4604" s="16" t="n">
        <v>44600</v>
      </c>
      <c r="C4604" t="inlineStr">
        <is>
          <t>VTA</t>
        </is>
      </c>
      <c r="D4604" t="n">
        <v>39</v>
      </c>
      <c r="E4604">
        <f>IF(D1210&gt;0,VLOOKUP(OPERAC[[#This Row],[COD CART]],[1]!MatrizCortoLargoCyl[#All],3,0),"")</f>
        <v/>
      </c>
      <c r="F4604" t="inlineStr">
        <is>
          <t>DDD/V/12,00/20-01-23</t>
        </is>
      </c>
      <c r="G4604" t="n">
        <v>-5</v>
      </c>
      <c r="H4604">
        <f>-1.55*OPERAC[[#This Row],[cantidad]]</f>
        <v/>
      </c>
      <c r="I4604">
        <f>-H1210/G1210</f>
        <v/>
      </c>
    </row>
    <row r="4605">
      <c r="A4605" t="n">
        <v>18662</v>
      </c>
      <c r="B4605" s="16" t="n">
        <v>44601</v>
      </c>
      <c r="C4605" t="inlineStr">
        <is>
          <t>VTA</t>
        </is>
      </c>
      <c r="D4605" t="n">
        <v>39</v>
      </c>
      <c r="E4605">
        <f>IF(D1150&gt;0,VLOOKUP(OPERAC[[#This Row],[COD CART]],[1]!MatrizCortoLargoCyl[#All],3,0),"")</f>
        <v/>
      </c>
      <c r="F4605" t="inlineStr">
        <is>
          <t>ACB/V/5,00/16-09-22</t>
        </is>
      </c>
      <c r="G4605" t="n">
        <v>-11</v>
      </c>
      <c r="H4605">
        <f>-1.56*OPERAC[[#This Row],[cantidad]]</f>
        <v/>
      </c>
      <c r="I4605">
        <f>-H1150/G1150</f>
        <v/>
      </c>
    </row>
    <row r="4606">
      <c r="A4606" t="n">
        <v>18662</v>
      </c>
      <c r="B4606" s="16" t="n">
        <v>44608</v>
      </c>
      <c r="C4606" t="inlineStr">
        <is>
          <t>CPR</t>
        </is>
      </c>
      <c r="D4606" t="n">
        <v>32</v>
      </c>
      <c r="E4606">
        <f>IF(D4853&gt;0,VLOOKUP(OPERAC[[#This Row],[COD CART]],[1]!MatrizCortoLargoCyl[#All],3,0),"")</f>
        <v/>
      </c>
      <c r="F4606" t="inlineStr">
        <is>
          <t>SPWR/CYL/15,00/18-03-22</t>
        </is>
      </c>
      <c r="G4606" t="n">
        <v>100</v>
      </c>
      <c r="H4606" t="n">
        <v>-1441.812</v>
      </c>
      <c r="I4606">
        <f>-H4853/G4853</f>
        <v/>
      </c>
      <c r="J4606" s="16" t="n">
        <v>44628</v>
      </c>
      <c r="K4606">
        <f>+OPERAC[[#This Row],[cantidad]]</f>
        <v/>
      </c>
      <c r="L4606" t="n">
        <v>1504.278</v>
      </c>
    </row>
    <row r="4607">
      <c r="A4607" t="n">
        <v>18662</v>
      </c>
      <c r="B4607" s="16" t="n">
        <v>44608</v>
      </c>
      <c r="C4607" t="inlineStr">
        <is>
          <t>VTA</t>
        </is>
      </c>
      <c r="D4607" t="n">
        <v>39</v>
      </c>
      <c r="E4607">
        <f>IF(D799&gt;0,VLOOKUP(OPERAC[[#This Row],[COD CART]],[1]!MatrizCortoLargoCyl[#All],3,0),"")</f>
        <v/>
      </c>
      <c r="F4607" t="inlineStr">
        <is>
          <t>SOLO/V/3,00/18-03-22</t>
        </is>
      </c>
      <c r="G4607" t="n">
        <v>-300</v>
      </c>
      <c r="H4607" t="n">
        <v>256.512</v>
      </c>
      <c r="I4607">
        <f>-H799/G799</f>
        <v/>
      </c>
      <c r="J4607" s="16" t="n">
        <v>44616</v>
      </c>
      <c r="K4607" t="n">
        <v>-300</v>
      </c>
      <c r="L4607" t="n">
        <v>-364.08</v>
      </c>
    </row>
    <row r="4608">
      <c r="A4608" t="n">
        <v>18662</v>
      </c>
      <c r="B4608" s="16" t="n">
        <v>44608</v>
      </c>
      <c r="C4608" t="inlineStr">
        <is>
          <t>VTA</t>
        </is>
      </c>
      <c r="D4608" t="n">
        <v>32</v>
      </c>
      <c r="E4608">
        <f>IF(D5116&gt;0,VLOOKUP(OPERAC[[#This Row],[COD CART]],[1]!MatrizCortoLargoCyl[#All],3,0),"")</f>
        <v/>
      </c>
      <c r="F4608" t="inlineStr">
        <is>
          <t>DDD/CYL/17,00/01-04-22</t>
        </is>
      </c>
      <c r="G4608" t="n">
        <v>100</v>
      </c>
      <c r="H4608">
        <f>-1629.4234+19.7+16.45</f>
        <v/>
      </c>
      <c r="I4608">
        <f>-H5116/G5116</f>
        <v/>
      </c>
      <c r="J4608" s="16" t="n">
        <v>44649</v>
      </c>
      <c r="K4608" t="n">
        <v>100</v>
      </c>
      <c r="L4608" t="n">
        <v>1661.98</v>
      </c>
    </row>
    <row r="4609">
      <c r="A4609" t="n">
        <v>18662</v>
      </c>
      <c r="B4609" s="16" t="n">
        <v>44616</v>
      </c>
      <c r="C4609" t="inlineStr">
        <is>
          <t>CPR</t>
        </is>
      </c>
      <c r="D4609" t="n">
        <v>32</v>
      </c>
      <c r="E4609">
        <f>IF(D4323&gt;0,VLOOKUP(OPERAC[[#This Row],[COD CART]],[1]!MatrizCortoLargoCyl[#All],3,0),"")</f>
        <v/>
      </c>
      <c r="F4609" t="inlineStr">
        <is>
          <t>PLTR/CYL/12,00/14-04-22</t>
        </is>
      </c>
      <c r="G4609" t="n">
        <v>100</v>
      </c>
      <c r="H4609" t="n">
        <v>-1052.7265</v>
      </c>
      <c r="I4609">
        <f>-H4323/G4323</f>
        <v/>
      </c>
      <c r="J4609" s="16" t="n">
        <v>44643</v>
      </c>
      <c r="K4609" t="n">
        <v>100</v>
      </c>
      <c r="L4609" t="n">
        <v>1146.72</v>
      </c>
    </row>
    <row r="4610">
      <c r="A4610" t="n">
        <v>18662</v>
      </c>
      <c r="B4610" s="16" t="n">
        <v>44634</v>
      </c>
      <c r="C4610" t="inlineStr">
        <is>
          <t>VTA</t>
        </is>
      </c>
      <c r="D4610" t="n">
        <v>42</v>
      </c>
      <c r="E4610">
        <f>IF(D5635&gt;0,VLOOKUP(OPERAC[[#This Row],[COD CART]],[1]!MatrizCortoLargoCyl[#All],3,0),"")</f>
        <v/>
      </c>
      <c r="F4610" t="inlineStr">
        <is>
          <t>INO</t>
        </is>
      </c>
      <c r="G4610" t="n">
        <v>700</v>
      </c>
      <c r="H4610" t="n">
        <v>-2324.5712</v>
      </c>
      <c r="I4610">
        <f>-H5635/G5635</f>
        <v/>
      </c>
      <c r="J4610" s="16" t="n">
        <v>44634</v>
      </c>
      <c r="K4610" t="n">
        <v>700</v>
      </c>
      <c r="L4610" t="n">
        <v>2092.1985</v>
      </c>
    </row>
    <row r="4611">
      <c r="A4611" t="n">
        <v>18662</v>
      </c>
      <c r="B4611" s="16" t="n">
        <v>44641</v>
      </c>
      <c r="C4611" t="inlineStr">
        <is>
          <t>CPR</t>
        </is>
      </c>
      <c r="D4611" t="n">
        <v>42</v>
      </c>
      <c r="E4611">
        <f>IF(D3368&gt;0,VLOOKUP(OPERAC[[#This Row],[COD CART]],[1]!MatrizCortoLargoCyl[#All],3,0),"")</f>
        <v/>
      </c>
      <c r="F4611" t="inlineStr">
        <is>
          <t>JPM</t>
        </is>
      </c>
      <c r="G4611" t="n">
        <v>5</v>
      </c>
      <c r="H4611" t="n">
        <v>-702.2717000000001</v>
      </c>
      <c r="I4611">
        <f>-H3368/G3368</f>
        <v/>
      </c>
      <c r="J4611" s="16" t="n">
        <v>44664</v>
      </c>
      <c r="K4611">
        <f>+OPERAC[[#This Row],[cantidad]]</f>
        <v/>
      </c>
      <c r="L4611">
        <f>+OPERAC[[#This Row],[cantidad venta]]*125.943</f>
        <v/>
      </c>
    </row>
    <row r="4612">
      <c r="A4612" t="n">
        <v>18662</v>
      </c>
      <c r="B4612" s="16" t="n">
        <v>44641</v>
      </c>
      <c r="C4612" t="inlineStr">
        <is>
          <t>VTA</t>
        </is>
      </c>
      <c r="D4612" t="n">
        <v>42</v>
      </c>
      <c r="E4612">
        <f>IF(D2880&gt;0,VLOOKUP(OPERAC[[#This Row],[COD CART]],[1]!MatrizCortoLargoCyl[#All],3,0),"")</f>
        <v/>
      </c>
      <c r="F4612" t="inlineStr">
        <is>
          <t>SMH</t>
        </is>
      </c>
      <c r="G4612" t="n">
        <v>2</v>
      </c>
      <c r="H4612" t="n">
        <v>-537.9153000000001</v>
      </c>
      <c r="I4612">
        <f>-H2880/G2880</f>
        <v/>
      </c>
      <c r="J4612" s="16" t="n">
        <v>44663</v>
      </c>
      <c r="K4612">
        <f>+OPERAC[[#This Row],[cantidad]]</f>
        <v/>
      </c>
      <c r="L4612">
        <f>+OPERAC[[#This Row],[cantidad venta]]*238.066</f>
        <v/>
      </c>
    </row>
    <row r="4613">
      <c r="A4613" t="n">
        <v>18662</v>
      </c>
      <c r="B4613" s="16" t="n">
        <v>44641</v>
      </c>
      <c r="C4613" t="inlineStr">
        <is>
          <t>VTA</t>
        </is>
      </c>
      <c r="D4613" t="n">
        <v>42</v>
      </c>
      <c r="E4613">
        <f>IF(D3161&gt;0,VLOOKUP(OPERAC[[#This Row],[COD CART]],[1]!MatrizCortoLargoCyl[#All],3,0),"")</f>
        <v/>
      </c>
      <c r="F4613" t="inlineStr">
        <is>
          <t>FB</t>
        </is>
      </c>
      <c r="G4613" t="n">
        <v>3</v>
      </c>
      <c r="H4613" t="n">
        <v>-636.4691399999999</v>
      </c>
      <c r="I4613">
        <f>-H3161/G3161</f>
        <v/>
      </c>
      <c r="J4613" s="16" t="n">
        <v>44671</v>
      </c>
      <c r="K4613">
        <f>+OPERAC[[#This Row],[cantidad]]</f>
        <v/>
      </c>
      <c r="L4613">
        <f>+OPERAC[[#This Row],[cantidad venta]]*213.173</f>
        <v/>
      </c>
    </row>
    <row r="4614">
      <c r="A4614" t="n">
        <v>18662</v>
      </c>
      <c r="B4614" s="16" t="n">
        <v>44645</v>
      </c>
      <c r="C4614" t="inlineStr">
        <is>
          <t>CPR</t>
        </is>
      </c>
      <c r="D4614" t="n">
        <v>42</v>
      </c>
      <c r="E4614">
        <f>IF(D1864&gt;0,VLOOKUP(OPERAC[[#This Row],[COD CART]],[1]!MatrizCortoLargoCyl[#All],3,0),"")</f>
        <v/>
      </c>
      <c r="F4614" t="inlineStr">
        <is>
          <t>PLUG</t>
        </is>
      </c>
      <c r="G4614" t="n">
        <v>10</v>
      </c>
      <c r="H4614" t="n">
        <v>-279.3164</v>
      </c>
      <c r="I4614">
        <f>-H1864/G1864</f>
        <v/>
      </c>
      <c r="J4614" s="16" t="n">
        <v>44652</v>
      </c>
      <c r="K4614">
        <f>+OPERAC[[#This Row],[cantidad]]</f>
        <v/>
      </c>
      <c r="L4614">
        <f>+OPERAC[[#This Row],[cantidad venta]]*27.754</f>
        <v/>
      </c>
    </row>
    <row r="4615">
      <c r="A4615" t="n">
        <v>18662</v>
      </c>
      <c r="B4615" s="16" t="n">
        <v>44649</v>
      </c>
      <c r="C4615" t="inlineStr">
        <is>
          <t>CPR</t>
        </is>
      </c>
      <c r="D4615" t="n">
        <v>32</v>
      </c>
      <c r="E4615">
        <f>IF(D3692&gt;0,VLOOKUP(OPERAC[[#This Row],[COD CART]],[1]!MatrizCortoLargoCyl[#All],3,0),"")</f>
        <v/>
      </c>
      <c r="F4615" t="inlineStr">
        <is>
          <t>ARLO</t>
        </is>
      </c>
      <c r="G4615" t="n">
        <v>100</v>
      </c>
      <c r="H4615" t="n">
        <v>-827.412</v>
      </c>
      <c r="I4615">
        <f>-H3692/G3692</f>
        <v/>
      </c>
      <c r="J4615" s="16" t="n">
        <v>44713</v>
      </c>
      <c r="K4615" t="n">
        <v>100</v>
      </c>
      <c r="L4615" t="n">
        <v>709.335</v>
      </c>
    </row>
    <row r="4616">
      <c r="A4616" t="n">
        <v>18662</v>
      </c>
      <c r="B4616" s="16" t="n">
        <v>44651</v>
      </c>
      <c r="C4616" t="inlineStr">
        <is>
          <t>VTA</t>
        </is>
      </c>
      <c r="D4616" t="n">
        <v>42</v>
      </c>
      <c r="E4616">
        <f>IF(D2130&gt;0,VLOOKUP(OPERAC[[#This Row],[COD CART]],[1]!MatrizCortoLargoCyl[#All],3,0),"")</f>
        <v/>
      </c>
      <c r="F4616" t="inlineStr">
        <is>
          <t>AMD</t>
        </is>
      </c>
      <c r="G4616" t="n">
        <v>3</v>
      </c>
      <c r="H4616" t="n">
        <v>-341.69676</v>
      </c>
      <c r="I4616">
        <f>-H2130/G2130</f>
        <v/>
      </c>
      <c r="J4616" s="16" t="n">
        <v>44713</v>
      </c>
      <c r="K4616" t="n">
        <v>3</v>
      </c>
      <c r="L4616">
        <f>100.792*3</f>
        <v/>
      </c>
    </row>
    <row r="4617">
      <c r="A4617" t="n">
        <v>18662</v>
      </c>
      <c r="B4617" s="16" t="n">
        <v>44652</v>
      </c>
      <c r="C4617" t="inlineStr">
        <is>
          <t>VTA</t>
        </is>
      </c>
      <c r="D4617" t="n">
        <v>42</v>
      </c>
      <c r="E4617">
        <f>IF(D2045&gt;0,VLOOKUP(OPERAC[[#This Row],[COD CART]],[1]!MatrizCortoLargoCyl[#All],3,0),"")</f>
        <v/>
      </c>
      <c r="F4617" t="inlineStr">
        <is>
          <t>GBTC</t>
        </is>
      </c>
      <c r="G4617" t="n">
        <v>10</v>
      </c>
      <c r="H4617" t="n">
        <v>-321.098</v>
      </c>
      <c r="I4617">
        <f>-H2045/G2045</f>
        <v/>
      </c>
      <c r="J4617" s="16" t="n">
        <v>44662</v>
      </c>
      <c r="K4617">
        <f>+OPERAC[[#This Row],[cantidad]]</f>
        <v/>
      </c>
      <c r="L4617">
        <f>27.99*OPERAC[[#This Row],[cantidad venta]]</f>
        <v/>
      </c>
    </row>
    <row r="4618">
      <c r="A4618" t="n">
        <v>18662</v>
      </c>
      <c r="B4618" s="16" t="n">
        <v>44655</v>
      </c>
      <c r="C4618" t="inlineStr">
        <is>
          <t>CPR</t>
        </is>
      </c>
      <c r="D4618" t="n">
        <v>32</v>
      </c>
      <c r="E4618">
        <f>IF(D3701&gt;0,VLOOKUP(OPERAC[[#This Row],[COD CART]],[1]!MatrizCortoLargoCyl[#All],3,0),"")</f>
        <v/>
      </c>
      <c r="F4618" t="inlineStr">
        <is>
          <t>COTY</t>
        </is>
      </c>
      <c r="G4618" t="n">
        <v>100</v>
      </c>
      <c r="H4618" t="n">
        <v>-835.518</v>
      </c>
      <c r="I4618">
        <f>-H3701/G3701</f>
        <v/>
      </c>
    </row>
    <row r="4619">
      <c r="A4619" t="n">
        <v>18662</v>
      </c>
      <c r="B4619" s="16" t="n">
        <v>44662</v>
      </c>
      <c r="C4619" t="inlineStr">
        <is>
          <t>VTA</t>
        </is>
      </c>
      <c r="D4619" t="n">
        <v>42</v>
      </c>
      <c r="E4619">
        <f>IF(D2938&gt;0,VLOOKUP(OPERAC[[#This Row],[COD CART]],[1]!MatrizCortoLargoCyl[#All],3,0),"")</f>
        <v/>
      </c>
      <c r="F4619" t="inlineStr">
        <is>
          <t>HYDR</t>
        </is>
      </c>
      <c r="G4619" t="n">
        <v>30</v>
      </c>
      <c r="H4619" t="n">
        <v>-557.1103199999999</v>
      </c>
      <c r="I4619">
        <f>-H2938/G2938</f>
        <v/>
      </c>
      <c r="J4619" s="16" t="n">
        <v>44713</v>
      </c>
      <c r="K4619" t="n">
        <v>30</v>
      </c>
      <c r="L4619" t="n">
        <v>415.206</v>
      </c>
    </row>
    <row r="4620">
      <c r="A4620" t="n">
        <v>18662</v>
      </c>
      <c r="B4620" s="16" t="n">
        <v>44664</v>
      </c>
      <c r="C4620" t="inlineStr">
        <is>
          <t>CPR</t>
        </is>
      </c>
      <c r="D4620" t="n">
        <v>42</v>
      </c>
      <c r="E4620">
        <f>IF(D2694&gt;0,VLOOKUP(OPERAC[[#This Row],[COD CART]],[1]!MatrizCortoLargoCyl[#All],3,0),"")</f>
        <v/>
      </c>
      <c r="F4620" t="inlineStr">
        <is>
          <t>AMD</t>
        </is>
      </c>
      <c r="G4620" t="n">
        <v>5</v>
      </c>
      <c r="H4620" t="n">
        <v>-493.85327265</v>
      </c>
      <c r="I4620">
        <f>-H2694/G2694</f>
        <v/>
      </c>
      <c r="J4620" s="16" t="n">
        <v>44713</v>
      </c>
      <c r="K4620" t="n">
        <v>5</v>
      </c>
      <c r="L4620">
        <f>100.792*3</f>
        <v/>
      </c>
    </row>
    <row r="4621">
      <c r="A4621" t="n">
        <v>18662</v>
      </c>
      <c r="B4621" s="16" t="n">
        <v>44664</v>
      </c>
      <c r="C4621" t="inlineStr">
        <is>
          <t>CPR</t>
        </is>
      </c>
      <c r="D4621" t="n">
        <v>42</v>
      </c>
      <c r="E4621">
        <f>IF(D2705&gt;0,VLOOKUP(OPERAC[[#This Row],[COD CART]],[1]!MatrizCortoLargoCyl[#All],3,0),"")</f>
        <v/>
      </c>
      <c r="F4621" t="inlineStr">
        <is>
          <t>PSQ</t>
        </is>
      </c>
      <c r="G4621" t="n">
        <v>40</v>
      </c>
      <c r="H4621" t="n">
        <v>-497.30288724</v>
      </c>
      <c r="I4621">
        <f>-H2705/G2705</f>
        <v/>
      </c>
      <c r="J4621" s="16" t="n">
        <v>44680</v>
      </c>
      <c r="K4621">
        <f>+OPERAC[[#This Row],[cantidad]]</f>
        <v/>
      </c>
      <c r="L4621">
        <f>12.848*OPERAC[[#This Row],[cantidad venta]]</f>
        <v/>
      </c>
    </row>
    <row r="4622">
      <c r="A4622" t="n">
        <v>18662</v>
      </c>
      <c r="B4622" s="16" t="n">
        <v>44669</v>
      </c>
      <c r="C4622" t="inlineStr">
        <is>
          <t>VTA</t>
        </is>
      </c>
      <c r="D4622" t="n">
        <v>32</v>
      </c>
      <c r="E4622">
        <f>IF(D2535&gt;0,VLOOKUP(OPERAC[[#This Row],[COD CART]],[1]!MatrizCortoLargoCyl[#All],3,0),"")</f>
        <v/>
      </c>
      <c r="F4622" t="inlineStr">
        <is>
          <t>HMY</t>
        </is>
      </c>
      <c r="G4622" t="n">
        <v>100</v>
      </c>
      <c r="H4622">
        <f>-4.64*OPERAC[[#This Row],[cantidad]]</f>
        <v/>
      </c>
      <c r="I4622">
        <f>-H2535/G2535</f>
        <v/>
      </c>
      <c r="J4622" s="16" t="n">
        <v>44713</v>
      </c>
      <c r="K4622" t="n">
        <v>100</v>
      </c>
      <c r="L4622" t="n">
        <v>332.145</v>
      </c>
    </row>
    <row r="4623">
      <c r="A4623" t="n">
        <v>18662</v>
      </c>
      <c r="B4623" s="16" t="n">
        <v>44671</v>
      </c>
      <c r="C4623" t="inlineStr">
        <is>
          <t>CPR</t>
        </is>
      </c>
      <c r="D4623" t="n">
        <v>42</v>
      </c>
      <c r="E4623">
        <f>IF(D3509&gt;0,VLOOKUP(OPERAC[[#This Row],[COD CART]],[1]!MatrizCortoLargoCyl[#All],3,0),"")</f>
        <v/>
      </c>
      <c r="F4623" t="inlineStr">
        <is>
          <t>NFLX</t>
        </is>
      </c>
      <c r="G4623" t="n">
        <v>3</v>
      </c>
      <c r="H4623" t="n">
        <v>-763.51518</v>
      </c>
      <c r="I4623">
        <f>-H3509/G3509</f>
        <v/>
      </c>
      <c r="J4623" s="16" t="n">
        <v>44713</v>
      </c>
      <c r="K4623" t="n">
        <v>3</v>
      </c>
      <c r="L4623" t="n">
        <v>576.5359999999999</v>
      </c>
    </row>
    <row r="4624">
      <c r="A4624" t="n">
        <v>18662</v>
      </c>
      <c r="B4624" s="16" t="n">
        <v>44680</v>
      </c>
      <c r="C4624" t="inlineStr">
        <is>
          <t>VTA</t>
        </is>
      </c>
      <c r="D4624" t="n">
        <v>42</v>
      </c>
      <c r="E4624">
        <f>IF(D2927&gt;0,VLOOKUP(OPERAC[[#This Row],[COD CART]],[1]!MatrizCortoLargoCyl[#All],3,0),"")</f>
        <v/>
      </c>
      <c r="F4624" t="inlineStr">
        <is>
          <t>XLP</t>
        </is>
      </c>
      <c r="G4624" t="n">
        <v>7</v>
      </c>
      <c r="H4624" t="n">
        <v>-556.0415175000001</v>
      </c>
      <c r="I4624">
        <f>-H2927/G2927</f>
        <v/>
      </c>
      <c r="J4624" s="16" t="n">
        <v>44713</v>
      </c>
      <c r="K4624" t="n">
        <v>7</v>
      </c>
      <c r="L4624" t="n">
        <v>509.667</v>
      </c>
    </row>
    <row r="4625">
      <c r="A4625" t="n">
        <v>18662</v>
      </c>
      <c r="B4625" s="16" t="n">
        <v>44713</v>
      </c>
      <c r="C4625" t="inlineStr">
        <is>
          <t>CPR</t>
        </is>
      </c>
      <c r="D4625" t="n">
        <v>32</v>
      </c>
      <c r="E4625">
        <f>IF(D3247&gt;0,VLOOKUP(OPERAC[[#This Row],[COD CART]],[1]!MatrizCortoLargoCyl[#All],3,0),"")</f>
        <v/>
      </c>
      <c r="F4625" t="inlineStr">
        <is>
          <t>CRESY/CYL/7,50/17-06-22</t>
        </is>
      </c>
      <c r="G4625" t="n">
        <v>100</v>
      </c>
      <c r="H4625" t="n">
        <v>-675.95</v>
      </c>
      <c r="I4625">
        <f>-H3247/G3247</f>
        <v/>
      </c>
    </row>
    <row r="4626">
      <c r="A4626" t="n">
        <v>18662</v>
      </c>
      <c r="B4626" s="16" t="n">
        <v>44713</v>
      </c>
      <c r="C4626" t="inlineStr">
        <is>
          <t>CPR</t>
        </is>
      </c>
      <c r="D4626" t="n">
        <v>40</v>
      </c>
      <c r="E4626">
        <f>IF(D3411&gt;0,VLOOKUP(OPERAC[[#This Row],[COD CART]],[1]!MatrizCortoLargoCyl[#All],3,0),"")</f>
        <v/>
      </c>
      <c r="F4626" t="inlineStr">
        <is>
          <t>KWEB</t>
        </is>
      </c>
      <c r="G4626" t="n">
        <v>25</v>
      </c>
      <c r="H4626" t="n">
        <v>-723.665</v>
      </c>
      <c r="I4626">
        <f>-H3411/G3411</f>
        <v/>
      </c>
      <c r="J4626" s="16" t="n">
        <v>44726</v>
      </c>
      <c r="K4626" t="n">
        <v>25</v>
      </c>
      <c r="L4626" t="n">
        <v>768.9</v>
      </c>
    </row>
    <row r="4627">
      <c r="A4627" t="n">
        <v>18662</v>
      </c>
      <c r="B4627" s="16" t="n">
        <v>44713</v>
      </c>
      <c r="C4627" t="inlineStr">
        <is>
          <t>CPR</t>
        </is>
      </c>
      <c r="D4627" t="n">
        <v>40</v>
      </c>
      <c r="E4627">
        <f>IF(D3599&gt;0,VLOOKUP(OPERAC[[#This Row],[COD CART]],[1]!MatrizCortoLargoCyl[#All],3,0),"")</f>
        <v/>
      </c>
      <c r="F4627" t="inlineStr">
        <is>
          <t>MELI</t>
        </is>
      </c>
      <c r="G4627" t="n">
        <v>1</v>
      </c>
      <c r="H4627" t="n">
        <v>-779.104</v>
      </c>
      <c r="I4627">
        <f>-H3599/G3599</f>
        <v/>
      </c>
    </row>
    <row r="4628">
      <c r="A4628" t="n">
        <v>18662</v>
      </c>
      <c r="B4628" s="16" t="n">
        <v>44713</v>
      </c>
      <c r="C4628" t="inlineStr">
        <is>
          <t>CPR</t>
        </is>
      </c>
      <c r="D4628" t="n">
        <v>40</v>
      </c>
      <c r="E4628">
        <f>IF(D4539&gt;0,VLOOKUP(OPERAC[[#This Row],[COD CART]],[1]!MatrizCortoLargoCyl[#All],3,0),"")</f>
        <v/>
      </c>
      <c r="F4628" t="inlineStr">
        <is>
          <t>ET</t>
        </is>
      </c>
      <c r="G4628" t="n">
        <v>100</v>
      </c>
      <c r="H4628" t="n">
        <v>-1207.455</v>
      </c>
      <c r="I4628">
        <f>-H4539/G4539</f>
        <v/>
      </c>
      <c r="J4628" s="16" t="n">
        <v>44721</v>
      </c>
      <c r="K4628" t="n">
        <v>100</v>
      </c>
      <c r="L4628" t="n">
        <v>1203.345</v>
      </c>
    </row>
    <row r="4629">
      <c r="A4629" t="n">
        <v>18663</v>
      </c>
      <c r="B4629" s="16" t="n">
        <v>43831</v>
      </c>
      <c r="C4629" t="inlineStr">
        <is>
          <t>CPR</t>
        </is>
      </c>
      <c r="D4629" t="n">
        <v>41</v>
      </c>
      <c r="E4629">
        <f>IF(D2638&gt;0,VLOOKUP(OPERAC[[#This Row],[COD CART]],[1]!MatrizCortoLargoCyl[#All],3,0),"")</f>
        <v/>
      </c>
      <c r="F4629" t="inlineStr">
        <is>
          <t>ACB</t>
        </is>
      </c>
      <c r="G4629" t="n">
        <v>18</v>
      </c>
      <c r="H4629" t="n">
        <v>-483.84</v>
      </c>
      <c r="I4629" t="n">
        <v>26.88</v>
      </c>
      <c r="J4629" s="16" t="n">
        <v>44141</v>
      </c>
      <c r="K4629" t="n">
        <v>10</v>
      </c>
      <c r="L4629" t="n">
        <v>104.1</v>
      </c>
    </row>
    <row r="4630">
      <c r="A4630" t="n">
        <v>18663</v>
      </c>
      <c r="B4630" s="16" t="n">
        <v>43831</v>
      </c>
      <c r="C4630" t="inlineStr">
        <is>
          <t>CPR</t>
        </is>
      </c>
      <c r="D4630" t="n">
        <v>41</v>
      </c>
      <c r="E4630">
        <f>IF(D2716&gt;0,VLOOKUP(OPERAC[[#This Row],[COD CART]],[1]!MatrizCortoLargoCyl[#All],3,0),"")</f>
        <v/>
      </c>
      <c r="F4630" t="inlineStr">
        <is>
          <t>MPW</t>
        </is>
      </c>
      <c r="G4630" t="n">
        <v>24</v>
      </c>
      <c r="H4630" t="n">
        <v>-502.32</v>
      </c>
      <c r="I4630" t="n">
        <v>20.93</v>
      </c>
    </row>
    <row r="4631">
      <c r="A4631" t="n">
        <v>18663</v>
      </c>
      <c r="B4631" s="16" t="n">
        <v>43831</v>
      </c>
      <c r="C4631" t="inlineStr">
        <is>
          <t>VTA</t>
        </is>
      </c>
      <c r="D4631" t="n">
        <v>41</v>
      </c>
      <c r="E4631">
        <f>IF(D1320&gt;0,VLOOKUP(OPERAC[[#This Row],[COD CART]],[1]!MatrizCortoLargoCyl[#All],3,0),"")</f>
        <v/>
      </c>
      <c r="F4631" t="inlineStr">
        <is>
          <t>PNTV</t>
        </is>
      </c>
      <c r="G4631" t="n">
        <v>9950</v>
      </c>
      <c r="H4631" t="n">
        <v>-99.5</v>
      </c>
      <c r="I4631" t="n">
        <v>0.01</v>
      </c>
    </row>
    <row r="4632">
      <c r="A4632" t="n">
        <v>18663</v>
      </c>
      <c r="B4632" s="16" t="n">
        <v>43831</v>
      </c>
      <c r="C4632" t="inlineStr">
        <is>
          <t>VTA</t>
        </is>
      </c>
      <c r="D4632" t="n">
        <v>41</v>
      </c>
      <c r="E4632">
        <f>IF(D1381&gt;0,VLOOKUP(OPERAC[[#This Row],[COD CART]],[1]!MatrizCortoLargoCyl[#All],3,0),"")</f>
        <v/>
      </c>
      <c r="F4632" t="inlineStr">
        <is>
          <t>IPIX</t>
        </is>
      </c>
      <c r="G4632" t="n">
        <v>2100</v>
      </c>
      <c r="H4632" t="n">
        <v>-126</v>
      </c>
      <c r="I4632" t="n">
        <v>0.06</v>
      </c>
      <c r="K4632" t="n">
        <v>1000</v>
      </c>
      <c r="L4632" t="n">
        <v>505</v>
      </c>
    </row>
    <row r="4633">
      <c r="A4633" t="n">
        <v>18663</v>
      </c>
      <c r="B4633" s="16" t="n">
        <v>43831</v>
      </c>
      <c r="C4633" t="inlineStr">
        <is>
          <t>VTA</t>
        </is>
      </c>
      <c r="D4633" t="n">
        <v>41</v>
      </c>
      <c r="E4633">
        <f>IF(D1417&gt;0,VLOOKUP(OPERAC[[#This Row],[COD CART]],[1]!MatrizCortoLargoCyl[#All],3,0),"")</f>
        <v/>
      </c>
      <c r="F4633" t="inlineStr">
        <is>
          <t>BMA</t>
        </is>
      </c>
      <c r="G4633" t="n">
        <v>4</v>
      </c>
      <c r="H4633" t="n">
        <v>-145.44</v>
      </c>
      <c r="I4633" t="n">
        <v>36.36</v>
      </c>
    </row>
    <row r="4634">
      <c r="A4634" t="n">
        <v>18663</v>
      </c>
      <c r="B4634" s="16" t="n">
        <v>43831</v>
      </c>
      <c r="C4634" t="inlineStr">
        <is>
          <t>VTA</t>
        </is>
      </c>
      <c r="D4634" t="n">
        <v>41</v>
      </c>
      <c r="E4634">
        <f>IF(D1430&gt;0,VLOOKUP(OPERAC[[#This Row],[COD CART]],[1]!MatrizCortoLargoCyl[#All],3,0),"")</f>
        <v/>
      </c>
      <c r="F4634" t="inlineStr">
        <is>
          <t>NTTHF</t>
        </is>
      </c>
      <c r="G4634" t="n">
        <v>400</v>
      </c>
      <c r="H4634" t="n">
        <v>-152</v>
      </c>
      <c r="I4634" t="n">
        <v>0.38</v>
      </c>
      <c r="J4634" s="16" t="n">
        <v>44358</v>
      </c>
      <c r="K4634">
        <f>300+100</f>
        <v/>
      </c>
      <c r="L4634">
        <f>699.36+508.53</f>
        <v/>
      </c>
    </row>
    <row r="4635">
      <c r="A4635" t="n">
        <v>18663</v>
      </c>
      <c r="B4635" s="16" t="n">
        <v>43831</v>
      </c>
      <c r="C4635" t="inlineStr">
        <is>
          <t>VTA</t>
        </is>
      </c>
      <c r="D4635" t="n">
        <v>41</v>
      </c>
      <c r="E4635">
        <f>IF(D1452&gt;0,VLOOKUP(OPERAC[[#This Row],[COD CART]],[1]!MatrizCortoLargoCyl[#All],3,0),"")</f>
        <v/>
      </c>
      <c r="F4635" t="inlineStr">
        <is>
          <t>NRZ</t>
        </is>
      </c>
      <c r="G4635" t="n">
        <v>10</v>
      </c>
      <c r="H4635" t="n">
        <v>-160</v>
      </c>
      <c r="I4635" t="n">
        <v>16</v>
      </c>
    </row>
    <row r="4636">
      <c r="A4636" t="n">
        <v>18663</v>
      </c>
      <c r="B4636" s="16" t="n">
        <v>43831</v>
      </c>
      <c r="C4636" t="inlineStr">
        <is>
          <t>VTA</t>
        </is>
      </c>
      <c r="D4636" t="n">
        <v>41</v>
      </c>
      <c r="E4636">
        <f>IF(D1924&gt;0,VLOOKUP(OPERAC[[#This Row],[COD CART]],[1]!MatrizCortoLargoCyl[#All],3,0),"")</f>
        <v/>
      </c>
      <c r="F4636" t="inlineStr">
        <is>
          <t>DIS</t>
        </is>
      </c>
      <c r="G4636" t="n">
        <v>2</v>
      </c>
      <c r="H4636" t="n">
        <v>-296.4</v>
      </c>
      <c r="I4636" t="n">
        <v>148.2</v>
      </c>
      <c r="J4636" s="16" t="n">
        <v>44263</v>
      </c>
      <c r="K4636" t="n">
        <v>1</v>
      </c>
      <c r="L4636" t="n">
        <v>197.41984</v>
      </c>
    </row>
    <row r="4637">
      <c r="A4637" t="n">
        <v>18663</v>
      </c>
      <c r="B4637" s="16" t="n">
        <v>43831</v>
      </c>
      <c r="C4637" t="inlineStr">
        <is>
          <t>VTA</t>
        </is>
      </c>
      <c r="D4637" t="n">
        <v>41</v>
      </c>
      <c r="E4637">
        <f>IF(D2159&gt;0,VLOOKUP(OPERAC[[#This Row],[COD CART]],[1]!MatrizCortoLargoCyl[#All],3,0),"")</f>
        <v/>
      </c>
      <c r="F4637" t="inlineStr">
        <is>
          <t>ABBV</t>
        </is>
      </c>
      <c r="G4637" t="n">
        <v>4</v>
      </c>
      <c r="H4637" t="n">
        <v>-354.8</v>
      </c>
      <c r="I4637" t="n">
        <v>88.7</v>
      </c>
      <c r="J4637" s="16" t="n">
        <v>44726</v>
      </c>
      <c r="K4637" t="n">
        <v>4</v>
      </c>
      <c r="L4637" t="n">
        <v>-558.1</v>
      </c>
    </row>
    <row r="4638">
      <c r="A4638" t="n">
        <v>18663</v>
      </c>
      <c r="B4638" s="16" t="n">
        <v>43831</v>
      </c>
      <c r="C4638" t="inlineStr">
        <is>
          <t>VTA</t>
        </is>
      </c>
      <c r="D4638" t="n">
        <v>41</v>
      </c>
      <c r="E4638">
        <f>IF(D2500&gt;0,VLOOKUP(OPERAC[[#This Row],[COD CART]],[1]!MatrizCortoLargoCyl[#All],3,0),"")</f>
        <v/>
      </c>
      <c r="F4638" t="inlineStr">
        <is>
          <t>INTC</t>
        </is>
      </c>
      <c r="G4638" t="n">
        <v>9</v>
      </c>
      <c r="H4638" t="n">
        <v>-457</v>
      </c>
      <c r="I4638">
        <f>-H2500/G2500</f>
        <v/>
      </c>
      <c r="J4638" s="16" t="n">
        <v>44116</v>
      </c>
      <c r="K4638" t="n">
        <v>2</v>
      </c>
      <c r="L4638" t="n">
        <v>106.75</v>
      </c>
    </row>
    <row r="4639">
      <c r="A4639" t="n">
        <v>18663</v>
      </c>
      <c r="B4639" s="16" t="n">
        <v>43831</v>
      </c>
      <c r="C4639" t="inlineStr">
        <is>
          <t>VTA</t>
        </is>
      </c>
      <c r="D4639" t="n">
        <v>41</v>
      </c>
      <c r="E4639">
        <f>IF(D3861&gt;0,VLOOKUP(OPERAC[[#This Row],[COD CART]],[1]!MatrizCortoLargoCyl[#All],3,0),"")</f>
        <v/>
      </c>
      <c r="F4639" t="inlineStr">
        <is>
          <t>BABA</t>
        </is>
      </c>
      <c r="G4639" t="n">
        <v>4</v>
      </c>
      <c r="H4639" t="n">
        <v>-868</v>
      </c>
      <c r="I4639" t="n">
        <v>217</v>
      </c>
      <c r="K4639" t="n">
        <v>1</v>
      </c>
      <c r="L4639" t="n">
        <v>208</v>
      </c>
    </row>
    <row r="4640">
      <c r="A4640" t="n">
        <v>18663</v>
      </c>
      <c r="B4640" s="16" t="n">
        <v>44057</v>
      </c>
      <c r="C4640" t="inlineStr">
        <is>
          <t>CPR</t>
        </is>
      </c>
      <c r="D4640" t="n">
        <v>41</v>
      </c>
      <c r="E4640">
        <f>IF(D2707&gt;0,VLOOKUP(OPERAC[[#This Row],[COD CART]],[1]!MatrizCortoLargoCyl[#All],3,0),"")</f>
        <v/>
      </c>
      <c r="F4640" t="inlineStr">
        <is>
          <t>NRZ</t>
        </is>
      </c>
      <c r="G4640" t="n">
        <v>48</v>
      </c>
      <c r="H4640" t="n">
        <v>-499</v>
      </c>
      <c r="I4640">
        <f>-H2707/G2707</f>
        <v/>
      </c>
    </row>
    <row r="4641">
      <c r="A4641" t="n">
        <v>18663</v>
      </c>
      <c r="B4641" s="16" t="n">
        <v>44057</v>
      </c>
      <c r="C4641" t="inlineStr">
        <is>
          <t>VTA</t>
        </is>
      </c>
      <c r="D4641" t="n">
        <v>41</v>
      </c>
      <c r="E4641">
        <f>IF(D1900&gt;0,VLOOKUP(OPERAC[[#This Row],[COD CART]],[1]!MatrizCortoLargoCyl[#All],3,0),"")</f>
        <v/>
      </c>
      <c r="F4641" t="inlineStr">
        <is>
          <t>ABBV</t>
        </is>
      </c>
      <c r="G4641" t="n">
        <v>3</v>
      </c>
      <c r="H4641" t="n">
        <v>-287</v>
      </c>
      <c r="I4641">
        <f>-H1900/G1900</f>
        <v/>
      </c>
      <c r="J4641" s="16" t="n">
        <v>44726</v>
      </c>
      <c r="K4641" t="n">
        <v>3</v>
      </c>
      <c r="L4641" t="n">
        <v>-418.57</v>
      </c>
    </row>
    <row r="4642">
      <c r="A4642" t="n">
        <v>18663</v>
      </c>
      <c r="B4642" s="16" t="n">
        <v>44057</v>
      </c>
      <c r="C4642" t="inlineStr">
        <is>
          <t>VTA</t>
        </is>
      </c>
      <c r="D4642" t="n">
        <v>41</v>
      </c>
      <c r="E4642">
        <f>IF(D2100&gt;0,VLOOKUP(OPERAC[[#This Row],[COD CART]],[1]!MatrizCortoLargoCyl[#All],3,0),"")</f>
        <v/>
      </c>
      <c r="F4642" t="inlineStr">
        <is>
          <t>TCEHY</t>
        </is>
      </c>
      <c r="G4642" t="n">
        <v>5</v>
      </c>
      <c r="H4642" t="n">
        <v>-335</v>
      </c>
      <c r="I4642">
        <f>-H2100/G2100</f>
        <v/>
      </c>
    </row>
    <row r="4643">
      <c r="A4643" t="n">
        <v>18663</v>
      </c>
      <c r="B4643" s="16" t="n">
        <v>44057</v>
      </c>
      <c r="C4643" t="inlineStr">
        <is>
          <t>VTA</t>
        </is>
      </c>
      <c r="D4643" t="n">
        <v>41</v>
      </c>
      <c r="E4643">
        <f>IF(D2112&gt;0,VLOOKUP(OPERAC[[#This Row],[COD CART]],[1]!MatrizCortoLargoCyl[#All],3,0),"")</f>
        <v/>
      </c>
      <c r="F4643" t="inlineStr">
        <is>
          <t>V</t>
        </is>
      </c>
      <c r="G4643" t="n">
        <v>2</v>
      </c>
      <c r="H4643" t="n">
        <v>-339</v>
      </c>
      <c r="I4643">
        <f>-H2112/G2112</f>
        <v/>
      </c>
    </row>
    <row r="4644">
      <c r="A4644" t="n">
        <v>18663</v>
      </c>
      <c r="B4644" s="16" t="n">
        <v>44057</v>
      </c>
      <c r="C4644" t="inlineStr">
        <is>
          <t>VTA</t>
        </is>
      </c>
      <c r="D4644" t="n">
        <v>41</v>
      </c>
      <c r="E4644">
        <f>IF(D2809&gt;0,VLOOKUP(OPERAC[[#This Row],[COD CART]],[1]!MatrizCortoLargoCyl[#All],3,0),"")</f>
        <v/>
      </c>
      <c r="F4644" t="inlineStr">
        <is>
          <t>DIS</t>
        </is>
      </c>
      <c r="G4644" t="n">
        <v>5</v>
      </c>
      <c r="H4644" t="n">
        <v>-517</v>
      </c>
      <c r="I4644">
        <f>-H2809/G2809</f>
        <v/>
      </c>
    </row>
    <row r="4645">
      <c r="A4645" t="n">
        <v>18663</v>
      </c>
      <c r="B4645" s="16" t="n">
        <v>44057</v>
      </c>
      <c r="C4645" t="inlineStr">
        <is>
          <t>VTA</t>
        </is>
      </c>
      <c r="D4645" t="n">
        <v>41</v>
      </c>
      <c r="E4645">
        <f>IF(D2892&gt;0,VLOOKUP(OPERAC[[#This Row],[COD CART]],[1]!MatrizCortoLargoCyl[#All],3,0),"")</f>
        <v/>
      </c>
      <c r="F4645" t="inlineStr">
        <is>
          <t>MPW</t>
        </is>
      </c>
      <c r="G4645" t="n">
        <v>29</v>
      </c>
      <c r="H4645" t="n">
        <v>-541</v>
      </c>
      <c r="I4645">
        <f>-H2892/G2892</f>
        <v/>
      </c>
    </row>
    <row r="4646">
      <c r="A4646" t="n">
        <v>18663</v>
      </c>
      <c r="B4646" s="16" t="n">
        <v>44057</v>
      </c>
      <c r="C4646" t="inlineStr">
        <is>
          <t>VTA</t>
        </is>
      </c>
      <c r="D4646" t="n">
        <v>41</v>
      </c>
      <c r="E4646">
        <f>IF(D3126&gt;0,VLOOKUP(OPERAC[[#This Row],[COD CART]],[1]!MatrizCortoLargoCyl[#All],3,0),"")</f>
        <v/>
      </c>
      <c r="F4646" t="inlineStr">
        <is>
          <t>LTC</t>
        </is>
      </c>
      <c r="G4646" t="n">
        <v>15</v>
      </c>
      <c r="H4646" t="n">
        <v>-631</v>
      </c>
      <c r="I4646">
        <f>-H3126/G3126</f>
        <v/>
      </c>
    </row>
    <row r="4647">
      <c r="A4647" t="n">
        <v>18663</v>
      </c>
      <c r="B4647" s="16" t="n">
        <v>44078</v>
      </c>
      <c r="C4647" t="inlineStr">
        <is>
          <t>VTA</t>
        </is>
      </c>
      <c r="D4647" t="n">
        <v>41</v>
      </c>
      <c r="E4647">
        <f>IF(D1295&gt;0,VLOOKUP(OPERAC[[#This Row],[COD CART]],[1]!MatrizCortoLargoCyl[#All],3,0),"")</f>
        <v/>
      </c>
      <c r="F4647" t="inlineStr">
        <is>
          <t>ABBV</t>
        </is>
      </c>
      <c r="G4647" t="n">
        <v>1</v>
      </c>
      <c r="H4647" t="n">
        <v>-92.77911999999999</v>
      </c>
      <c r="I4647">
        <f>-H1295/G1295</f>
        <v/>
      </c>
    </row>
    <row r="4648">
      <c r="A4648" t="n">
        <v>18663</v>
      </c>
      <c r="B4648" s="16" t="n">
        <v>44078</v>
      </c>
      <c r="C4648" t="inlineStr">
        <is>
          <t>VTA</t>
        </is>
      </c>
      <c r="D4648" t="n">
        <v>41</v>
      </c>
      <c r="E4648">
        <f>IF(D1367&gt;0,VLOOKUP(OPERAC[[#This Row],[COD CART]],[1]!MatrizCortoLargoCyl[#All],3,0),"")</f>
        <v/>
      </c>
      <c r="F4648" t="inlineStr">
        <is>
          <t>MPW</t>
        </is>
      </c>
      <c r="G4648" t="n">
        <v>6</v>
      </c>
      <c r="H4648" t="n">
        <v>-111.92032</v>
      </c>
      <c r="I4648">
        <f>-H1367/G1367</f>
        <v/>
      </c>
    </row>
    <row r="4649">
      <c r="A4649" t="n">
        <v>18663</v>
      </c>
      <c r="B4649" s="16" t="n">
        <v>44103</v>
      </c>
      <c r="C4649" t="inlineStr">
        <is>
          <t>VTA</t>
        </is>
      </c>
      <c r="D4649" t="n">
        <v>41</v>
      </c>
      <c r="E4649">
        <f>IF(D1834&gt;0,VLOOKUP(OPERAC[[#This Row],[COD CART]],[1]!MatrizCortoLargoCyl[#All],3,0),"")</f>
        <v/>
      </c>
      <c r="F4649" t="inlineStr">
        <is>
          <t>STOR</t>
        </is>
      </c>
      <c r="G4649" t="n">
        <v>10</v>
      </c>
      <c r="H4649" t="n">
        <v>-273.8656</v>
      </c>
      <c r="I4649">
        <f>-H1834/G1834</f>
        <v/>
      </c>
    </row>
    <row r="4650">
      <c r="A4650" t="n">
        <v>18663</v>
      </c>
      <c r="B4650" s="16" t="n">
        <v>44116</v>
      </c>
      <c r="C4650" t="inlineStr">
        <is>
          <t>VTA</t>
        </is>
      </c>
      <c r="D4650" t="n">
        <v>41</v>
      </c>
      <c r="E4650">
        <f>IF(D1369&gt;0,VLOOKUP(OPERAC[[#This Row],[COD CART]],[1]!MatrizCortoLargoCyl[#All],3,0),"")</f>
        <v/>
      </c>
      <c r="F4650" t="inlineStr">
        <is>
          <t>MPW</t>
        </is>
      </c>
      <c r="G4650" t="n">
        <v>6</v>
      </c>
      <c r="H4650" t="n">
        <v>-114</v>
      </c>
      <c r="I4650">
        <f>-H1369/G1369</f>
        <v/>
      </c>
    </row>
    <row r="4651">
      <c r="A4651" t="n">
        <v>18663</v>
      </c>
      <c r="B4651" s="16" t="n">
        <v>44116</v>
      </c>
      <c r="C4651" t="inlineStr">
        <is>
          <t>VTA</t>
        </is>
      </c>
      <c r="D4651" t="n">
        <v>41</v>
      </c>
      <c r="E4651">
        <f>IF(D1416&gt;0,VLOOKUP(OPERAC[[#This Row],[COD CART]],[1]!MatrizCortoLargoCyl[#All],3,0),"")</f>
        <v/>
      </c>
      <c r="F4651" t="inlineStr">
        <is>
          <t>LTC</t>
        </is>
      </c>
      <c r="G4651" t="n">
        <v>4</v>
      </c>
      <c r="H4651" t="n">
        <v>-145</v>
      </c>
      <c r="I4651">
        <f>-H1416/G1416</f>
        <v/>
      </c>
    </row>
    <row r="4652">
      <c r="A4652" t="n">
        <v>18663</v>
      </c>
      <c r="B4652" s="16" t="n">
        <v>44116</v>
      </c>
      <c r="C4652" t="inlineStr">
        <is>
          <t>VTA</t>
        </is>
      </c>
      <c r="D4652" t="n">
        <v>41</v>
      </c>
      <c r="E4652">
        <f>IF(D2226&gt;0,VLOOKUP(OPERAC[[#This Row],[COD CART]],[1]!MatrizCortoLargoCyl[#All],3,0),"")</f>
        <v/>
      </c>
      <c r="F4652" t="inlineStr">
        <is>
          <t>HEOFF</t>
        </is>
      </c>
      <c r="G4652" t="n">
        <v>250</v>
      </c>
      <c r="H4652" t="n">
        <v>-376.997</v>
      </c>
      <c r="I4652">
        <f>-H2226/G2226</f>
        <v/>
      </c>
    </row>
    <row r="4653">
      <c r="A4653" t="n">
        <v>18663</v>
      </c>
      <c r="B4653" s="16" t="n">
        <v>44120</v>
      </c>
      <c r="C4653" t="inlineStr">
        <is>
          <t>VTA</t>
        </is>
      </c>
      <c r="D4653" t="n">
        <v>41</v>
      </c>
      <c r="E4653">
        <f>IF(D1438&gt;0,VLOOKUP(OPERAC[[#This Row],[COD CART]],[1]!MatrizCortoLargoCyl[#All],3,0),"")</f>
        <v/>
      </c>
      <c r="F4653" t="inlineStr">
        <is>
          <t>TCNNF</t>
        </is>
      </c>
      <c r="G4653" t="n">
        <v>7</v>
      </c>
      <c r="H4653" t="n">
        <v>-154.96192</v>
      </c>
      <c r="I4653">
        <f>-H1438/G1438</f>
        <v/>
      </c>
    </row>
    <row r="4654">
      <c r="A4654" t="n">
        <v>18663</v>
      </c>
      <c r="B4654" s="16" t="n">
        <v>44133</v>
      </c>
      <c r="C4654" t="inlineStr">
        <is>
          <t>VTA</t>
        </is>
      </c>
      <c r="D4654" t="n">
        <v>41</v>
      </c>
      <c r="E4654">
        <f>IF(D1386&gt;0,VLOOKUP(OPERAC[[#This Row],[COD CART]],[1]!MatrizCortoLargoCyl[#All],3,0),"")</f>
        <v/>
      </c>
      <c r="F4654" t="inlineStr">
        <is>
          <t>STOR</t>
        </is>
      </c>
      <c r="G4654" t="n">
        <v>5</v>
      </c>
      <c r="H4654" t="n">
        <v>-130.25</v>
      </c>
      <c r="I4654">
        <f>-H1386/G1386</f>
        <v/>
      </c>
    </row>
    <row r="4655">
      <c r="A4655" t="n">
        <v>18663</v>
      </c>
      <c r="B4655" s="16" t="n">
        <v>44145</v>
      </c>
      <c r="C4655" t="inlineStr">
        <is>
          <t>VTA</t>
        </is>
      </c>
      <c r="D4655" t="n">
        <v>41</v>
      </c>
      <c r="E4655">
        <f>IF(D1388&gt;0,VLOOKUP(OPERAC[[#This Row],[COD CART]],[1]!MatrizCortoLargoCyl[#All],3,0),"")</f>
        <v/>
      </c>
      <c r="F4655" t="inlineStr">
        <is>
          <t>ACB</t>
        </is>
      </c>
      <c r="G4655" t="n">
        <v>15</v>
      </c>
      <c r="H4655" t="n">
        <v>-130.774</v>
      </c>
      <c r="I4655">
        <f>-H1388/G1388</f>
        <v/>
      </c>
      <c r="J4655" s="16" t="n">
        <v>44223</v>
      </c>
      <c r="K4655" t="n">
        <v>10</v>
      </c>
      <c r="L4655" t="n">
        <v>110.69</v>
      </c>
    </row>
    <row r="4656">
      <c r="A4656" t="n">
        <v>18663</v>
      </c>
      <c r="B4656" s="16" t="n">
        <v>44145</v>
      </c>
      <c r="C4656" t="inlineStr">
        <is>
          <t>VTA</t>
        </is>
      </c>
      <c r="D4656" t="n">
        <v>41</v>
      </c>
      <c r="E4656">
        <f>IF(D1419&gt;0,VLOOKUP(OPERAC[[#This Row],[COD CART]],[1]!MatrizCortoLargoCyl[#All],3,0),"")</f>
        <v/>
      </c>
      <c r="F4656" t="inlineStr">
        <is>
          <t>TCEHY</t>
        </is>
      </c>
      <c r="G4656" t="n">
        <v>2</v>
      </c>
      <c r="H4656" t="n">
        <v>-149.338</v>
      </c>
      <c r="I4656">
        <f>-H1419/G1419</f>
        <v/>
      </c>
    </row>
    <row r="4657">
      <c r="A4657" t="n">
        <v>18663</v>
      </c>
      <c r="B4657" s="16" t="n">
        <v>44146</v>
      </c>
      <c r="C4657" t="inlineStr">
        <is>
          <t>VTA</t>
        </is>
      </c>
      <c r="D4657" t="n">
        <v>41</v>
      </c>
      <c r="E4657">
        <f>IF(D1389&gt;0,VLOOKUP(OPERAC[[#This Row],[COD CART]],[1]!MatrizCortoLargoCyl[#All],3,0),"")</f>
        <v/>
      </c>
      <c r="F4657" t="inlineStr">
        <is>
          <t>TCNNF</t>
        </is>
      </c>
      <c r="G4657" t="n">
        <v>5</v>
      </c>
      <c r="H4657" t="n">
        <v>-132.04</v>
      </c>
      <c r="I4657">
        <f>-H1389/G1389</f>
        <v/>
      </c>
    </row>
    <row r="4658">
      <c r="A4658" t="n">
        <v>18663</v>
      </c>
      <c r="B4658" s="16" t="n">
        <v>44147</v>
      </c>
      <c r="C4658" t="inlineStr">
        <is>
          <t>VTA</t>
        </is>
      </c>
      <c r="D4658" t="n">
        <v>41</v>
      </c>
      <c r="E4658">
        <f>IF(D1675&gt;0,VLOOKUP(OPERAC[[#This Row],[COD CART]],[1]!MatrizCortoLargoCyl[#All],3,0),"")</f>
        <v/>
      </c>
      <c r="F4658" t="inlineStr">
        <is>
          <t>AESE</t>
        </is>
      </c>
      <c r="G4658" t="n">
        <v>250</v>
      </c>
      <c r="H4658" t="n">
        <v>-236.87</v>
      </c>
      <c r="I4658">
        <f>-H1675/G1675</f>
        <v/>
      </c>
      <c r="J4658" s="16" t="n">
        <v>44222</v>
      </c>
      <c r="K4658" t="n">
        <v>200</v>
      </c>
      <c r="L4658" t="n">
        <v>459.498</v>
      </c>
    </row>
    <row r="4659">
      <c r="A4659" t="n">
        <v>18663</v>
      </c>
      <c r="B4659" s="16" t="n">
        <v>44169</v>
      </c>
      <c r="C4659" t="inlineStr">
        <is>
          <t>VTA</t>
        </is>
      </c>
      <c r="D4659" t="n">
        <v>41</v>
      </c>
      <c r="E4659">
        <f>IF(D2077&gt;0,VLOOKUP(OPERAC[[#This Row],[COD CART]],[1]!MatrizCortoLargoCyl[#All],3,0),"")</f>
        <v/>
      </c>
      <c r="F4659" t="inlineStr">
        <is>
          <t>VIOT</t>
        </is>
      </c>
      <c r="G4659" t="n">
        <v>60</v>
      </c>
      <c r="H4659" t="n">
        <v>-331.78</v>
      </c>
      <c r="I4659">
        <f>-H2077/G2077</f>
        <v/>
      </c>
      <c r="J4659" s="16" t="n">
        <v>44249</v>
      </c>
      <c r="K4659" t="n">
        <v>30</v>
      </c>
      <c r="L4659" t="n">
        <v>406.9915999999999</v>
      </c>
    </row>
    <row r="4660">
      <c r="A4660" t="n">
        <v>18663</v>
      </c>
      <c r="B4660" s="16" t="n">
        <v>44174</v>
      </c>
      <c r="C4660" t="inlineStr">
        <is>
          <t>VTA</t>
        </is>
      </c>
      <c r="D4660" t="n">
        <v>41</v>
      </c>
      <c r="E4660">
        <f>IF(D1672&gt;0,VLOOKUP(OPERAC[[#This Row],[COD CART]],[1]!MatrizCortoLargoCyl[#All],3,0),"")</f>
        <v/>
      </c>
      <c r="F4660" t="inlineStr">
        <is>
          <t>BEP</t>
        </is>
      </c>
      <c r="G4660" t="n">
        <v>6</v>
      </c>
      <c r="H4660" t="n">
        <v>-234.6</v>
      </c>
      <c r="I4660">
        <f>-H1672/G1672</f>
        <v/>
      </c>
    </row>
    <row r="4661">
      <c r="A4661" t="n">
        <v>18663</v>
      </c>
      <c r="B4661" s="16" t="n">
        <v>44188</v>
      </c>
      <c r="C4661" t="inlineStr">
        <is>
          <t>VTA</t>
        </is>
      </c>
      <c r="D4661" t="n">
        <v>41</v>
      </c>
      <c r="E4661">
        <f>IF(D1467&gt;0,VLOOKUP(OPERAC[[#This Row],[COD CART]],[1]!MatrizCortoLargoCyl[#All],3,0),"")</f>
        <v/>
      </c>
      <c r="F4661" t="inlineStr">
        <is>
          <t>STOR</t>
        </is>
      </c>
      <c r="G4661" t="n">
        <v>5</v>
      </c>
      <c r="H4661" t="n">
        <v>-167.2696</v>
      </c>
      <c r="I4661">
        <f>-H1467/G1467</f>
        <v/>
      </c>
    </row>
    <row r="4662">
      <c r="A4662" t="n">
        <v>18663</v>
      </c>
      <c r="B4662" s="16" t="n">
        <v>44197</v>
      </c>
      <c r="C4662" t="inlineStr">
        <is>
          <t>VTA</t>
        </is>
      </c>
      <c r="D4662" t="n">
        <v>41</v>
      </c>
      <c r="E4662">
        <f>IF(D1256&gt;0,VLOOKUP(OPERAC[[#This Row],[COD CART]],[1]!MatrizCortoLargoCyl[#All],3,0),"")</f>
        <v/>
      </c>
      <c r="F4662" t="inlineStr">
        <is>
          <t>VTRS</t>
        </is>
      </c>
      <c r="G4662" t="n">
        <v>1</v>
      </c>
      <c r="H4662" t="n">
        <v>0</v>
      </c>
      <c r="I4662">
        <f>-H1256/G1256</f>
        <v/>
      </c>
    </row>
    <row r="4663">
      <c r="A4663" t="n">
        <v>18663</v>
      </c>
      <c r="B4663" s="16" t="n">
        <v>44197</v>
      </c>
      <c r="C4663" t="inlineStr">
        <is>
          <t>VTA</t>
        </is>
      </c>
      <c r="D4663" t="n">
        <v>41</v>
      </c>
      <c r="E4663">
        <f>IF(D1257&gt;0,VLOOKUP(OPERAC[[#This Row],[COD CART]],[1]!MatrizCortoLargoCyl[#All],3,0),"")</f>
        <v/>
      </c>
      <c r="F4663" t="inlineStr">
        <is>
          <t>MAXN</t>
        </is>
      </c>
      <c r="G4663" t="n">
        <v>3</v>
      </c>
      <c r="H4663" t="n">
        <v>0</v>
      </c>
      <c r="I4663">
        <f>-H1257/G1257</f>
        <v/>
      </c>
    </row>
    <row r="4664">
      <c r="A4664" t="n">
        <v>18663</v>
      </c>
      <c r="B4664" s="16" t="n">
        <v>44197</v>
      </c>
      <c r="C4664" t="inlineStr">
        <is>
          <t>VTA</t>
        </is>
      </c>
      <c r="D4664" t="n">
        <v>41</v>
      </c>
      <c r="E4664">
        <f>IF(D1481&gt;0,VLOOKUP(OPERAC[[#This Row],[COD CART]],[1]!MatrizCortoLargoCyl[#All],3,0),"")</f>
        <v/>
      </c>
      <c r="F4664" t="inlineStr">
        <is>
          <t>CNTTQ</t>
        </is>
      </c>
      <c r="G4664" t="n">
        <v>63</v>
      </c>
      <c r="H4664">
        <f>-70.5-76.96-29.6</f>
        <v/>
      </c>
      <c r="I4664">
        <f>-H1481/G1481</f>
        <v/>
      </c>
    </row>
    <row r="4665">
      <c r="A4665" t="n">
        <v>18663</v>
      </c>
      <c r="B4665" s="16" t="n">
        <v>44201</v>
      </c>
      <c r="C4665" t="inlineStr">
        <is>
          <t>VTA</t>
        </is>
      </c>
      <c r="D4665" t="n">
        <v>41</v>
      </c>
      <c r="E4665">
        <f>IF(D1463&gt;0,VLOOKUP(OPERAC[[#This Row],[COD CART]],[1]!MatrizCortoLargoCyl[#All],3,0),"")</f>
        <v/>
      </c>
      <c r="F4665" t="inlineStr">
        <is>
          <t>STOR</t>
        </is>
      </c>
      <c r="G4665" t="n">
        <v>5</v>
      </c>
      <c r="H4665" t="n">
        <v>-164.4976</v>
      </c>
      <c r="I4665">
        <f>-H1463/G1463</f>
        <v/>
      </c>
    </row>
    <row r="4666">
      <c r="A4666" t="n">
        <v>18663</v>
      </c>
      <c r="B4666" s="16" t="n">
        <v>44203</v>
      </c>
      <c r="C4666" t="inlineStr">
        <is>
          <t>VTA</t>
        </is>
      </c>
      <c r="D4666" t="n">
        <v>41</v>
      </c>
      <c r="E4666">
        <f>IF(D1572&gt;0,VLOOKUP(OPERAC[[#This Row],[COD CART]],[1]!MatrizCortoLargoCyl[#All],3,0),"")</f>
        <v/>
      </c>
      <c r="F4666" t="inlineStr">
        <is>
          <t>MPW</t>
        </is>
      </c>
      <c r="G4666" t="n">
        <v>10</v>
      </c>
      <c r="H4666" t="n">
        <v>-203.0581</v>
      </c>
      <c r="I4666">
        <f>-H1572/G1572</f>
        <v/>
      </c>
    </row>
    <row r="4667">
      <c r="A4667" t="n">
        <v>18663</v>
      </c>
      <c r="B4667" s="16" t="n">
        <v>44211</v>
      </c>
      <c r="C4667" t="inlineStr">
        <is>
          <t>VTA</t>
        </is>
      </c>
      <c r="D4667" t="n">
        <v>41</v>
      </c>
      <c r="E4667">
        <f>IF(D1639&gt;0,VLOOKUP(OPERAC[[#This Row],[COD CART]],[1]!MatrizCortoLargoCyl[#All],3,0),"")</f>
        <v/>
      </c>
      <c r="F4667" t="inlineStr">
        <is>
          <t>T</t>
        </is>
      </c>
      <c r="G4667" t="n">
        <v>10</v>
      </c>
      <c r="H4667">
        <f>-22.08*OPERAC[[#This Row],[cantidad]]</f>
        <v/>
      </c>
      <c r="I4667">
        <f>-H1639/G1639</f>
        <v/>
      </c>
    </row>
    <row r="4668">
      <c r="A4668" t="n">
        <v>18663</v>
      </c>
      <c r="B4668" s="16" t="n">
        <v>44211</v>
      </c>
      <c r="C4668" t="inlineStr">
        <is>
          <t>VTA</t>
        </is>
      </c>
      <c r="D4668" t="n">
        <v>41</v>
      </c>
      <c r="E4668">
        <f>IF(D1984&gt;0,VLOOKUP(OPERAC[[#This Row],[COD CART]],[1]!MatrizCortoLargoCyl[#All],3,0),"")</f>
        <v/>
      </c>
      <c r="F4668" t="inlineStr">
        <is>
          <t>ACB</t>
        </is>
      </c>
      <c r="G4668" t="n">
        <v>17</v>
      </c>
      <c r="H4668" t="n">
        <v>-306</v>
      </c>
      <c r="I4668">
        <f>-H1984/G1984</f>
        <v/>
      </c>
    </row>
    <row r="4669">
      <c r="A4669" t="n">
        <v>18663</v>
      </c>
      <c r="B4669" s="16" t="n">
        <v>44215</v>
      </c>
      <c r="C4669" t="inlineStr">
        <is>
          <t>VTA</t>
        </is>
      </c>
      <c r="D4669" t="n">
        <v>41</v>
      </c>
      <c r="E4669">
        <f>IF(D1767&gt;0,VLOOKUP(OPERAC[[#This Row],[COD CART]],[1]!MatrizCortoLargoCyl[#All],3,0),"")</f>
        <v/>
      </c>
      <c r="F4669" t="inlineStr">
        <is>
          <t>HEOFF</t>
        </is>
      </c>
      <c r="G4669" t="n">
        <v>100</v>
      </c>
      <c r="H4669" t="n">
        <v>-258.04</v>
      </c>
      <c r="I4669">
        <f>-H1767/G1767</f>
        <v/>
      </c>
    </row>
    <row r="4670">
      <c r="A4670" t="n">
        <v>18663</v>
      </c>
      <c r="B4670" s="16" t="n">
        <v>44217</v>
      </c>
      <c r="C4670" t="inlineStr">
        <is>
          <t>VTA</t>
        </is>
      </c>
      <c r="D4670" t="n">
        <v>41</v>
      </c>
      <c r="E4670">
        <f>IF(D1609&gt;0,VLOOKUP(OPERAC[[#This Row],[COD CART]],[1]!MatrizCortoLargoCyl[#All],3,0),"")</f>
        <v/>
      </c>
      <c r="F4670" t="inlineStr">
        <is>
          <t>TCNNF</t>
        </is>
      </c>
      <c r="G4670" t="n">
        <v>5</v>
      </c>
      <c r="H4670" t="n">
        <v>-212.25</v>
      </c>
      <c r="I4670">
        <f>-H1609/G1609</f>
        <v/>
      </c>
    </row>
    <row r="4671">
      <c r="A4671" t="n">
        <v>18663</v>
      </c>
      <c r="B4671" s="16" t="n">
        <v>44228</v>
      </c>
      <c r="C4671" t="inlineStr">
        <is>
          <t>VTA</t>
        </is>
      </c>
      <c r="D4671" t="n">
        <v>41</v>
      </c>
      <c r="E4671">
        <f>IF(D1393&gt;0,VLOOKUP(OPERAC[[#This Row],[COD CART]],[1]!MatrizCortoLargoCyl[#All],3,0),"")</f>
        <v/>
      </c>
      <c r="F4671" t="inlineStr">
        <is>
          <t>SPWR</t>
        </is>
      </c>
      <c r="G4671" t="n">
        <v>3</v>
      </c>
      <c r="H4671" t="n">
        <v>-139.3700752</v>
      </c>
      <c r="I4671">
        <f>-H1393/G1393</f>
        <v/>
      </c>
    </row>
    <row r="4672">
      <c r="A4672" t="n">
        <v>18663</v>
      </c>
      <c r="B4672" s="16" t="n">
        <v>44228</v>
      </c>
      <c r="C4672" t="inlineStr">
        <is>
          <t>VTA</t>
        </is>
      </c>
      <c r="D4672" t="n">
        <v>41</v>
      </c>
      <c r="E4672">
        <f>IF(D1528&gt;0,VLOOKUP(OPERAC[[#This Row],[COD CART]],[1]!MatrizCortoLargoCyl[#All],3,0),"")</f>
        <v/>
      </c>
      <c r="F4672" t="inlineStr">
        <is>
          <t>STOR</t>
        </is>
      </c>
      <c r="G4672" t="n">
        <v>6</v>
      </c>
      <c r="H4672" t="n">
        <v>-188.82064</v>
      </c>
      <c r="I4672">
        <f>-H1528/G1528</f>
        <v/>
      </c>
    </row>
    <row r="4673">
      <c r="A4673" t="n">
        <v>18663</v>
      </c>
      <c r="B4673" s="16" t="n">
        <v>44237</v>
      </c>
      <c r="C4673" t="inlineStr">
        <is>
          <t>VTA</t>
        </is>
      </c>
      <c r="D4673" t="n">
        <v>41</v>
      </c>
      <c r="E4673">
        <f>IF(D503&gt;0,VLOOKUP(OPERAC[[#This Row],[COD CART]],[1]!MatrizCortoLargoCyl[#All],3,0),"")</f>
        <v/>
      </c>
      <c r="F4673" t="inlineStr">
        <is>
          <t>ACB/V/15,00/20-01-23</t>
        </is>
      </c>
      <c r="G4673" t="n">
        <v>-100</v>
      </c>
      <c r="H4673" t="n">
        <v>900</v>
      </c>
      <c r="I4673">
        <f>-H503/G503</f>
        <v/>
      </c>
    </row>
    <row r="4674">
      <c r="A4674" t="n">
        <v>18663</v>
      </c>
      <c r="B4674" s="16" t="n">
        <v>44243</v>
      </c>
      <c r="C4674" t="inlineStr">
        <is>
          <t>CPR</t>
        </is>
      </c>
      <c r="D4674" t="n">
        <v>41</v>
      </c>
      <c r="E4674">
        <f>IF(D2599&gt;0,VLOOKUP(OPERAC[[#This Row],[COD CART]],[1]!MatrizCortoLargoCyl[#All],3,0),"")</f>
        <v/>
      </c>
      <c r="F4674" t="inlineStr">
        <is>
          <t>BEP</t>
        </is>
      </c>
      <c r="G4674" t="n">
        <v>10</v>
      </c>
      <c r="H4674" t="n">
        <v>-470.62</v>
      </c>
      <c r="I4674">
        <f>-H2599/G2599</f>
        <v/>
      </c>
    </row>
    <row r="4675">
      <c r="A4675" t="n">
        <v>18663</v>
      </c>
      <c r="B4675" s="16" t="n">
        <v>44243</v>
      </c>
      <c r="C4675" t="inlineStr">
        <is>
          <t>VTA</t>
        </is>
      </c>
      <c r="D4675" t="n">
        <v>41</v>
      </c>
      <c r="E4675">
        <f>IF(D2050&gt;0,VLOOKUP(OPERAC[[#This Row],[COD CART]],[1]!MatrizCortoLargoCyl[#All],3,0),"")</f>
        <v/>
      </c>
      <c r="F4675" t="inlineStr">
        <is>
          <t>ABBV</t>
        </is>
      </c>
      <c r="G4675" t="n">
        <v>3</v>
      </c>
      <c r="H4675" t="n">
        <v>-321.27</v>
      </c>
      <c r="I4675">
        <f>-H2050/G2050</f>
        <v/>
      </c>
    </row>
    <row r="4676">
      <c r="A4676" t="n">
        <v>18663</v>
      </c>
      <c r="B4676" s="16" t="n">
        <v>44250</v>
      </c>
      <c r="C4676" t="inlineStr">
        <is>
          <t>VTA</t>
        </is>
      </c>
      <c r="D4676" t="n">
        <v>41</v>
      </c>
      <c r="E4676">
        <f>IF(D1489&gt;0,VLOOKUP(OPERAC[[#This Row],[COD CART]],[1]!MatrizCortoLargoCyl[#All],3,0),"")</f>
        <v/>
      </c>
      <c r="F4676" t="inlineStr">
        <is>
          <t>VIOT</t>
        </is>
      </c>
      <c r="G4676" t="n">
        <v>15</v>
      </c>
      <c r="H4676" t="n">
        <v>-184.5568</v>
      </c>
      <c r="I4676">
        <f>-H1489/G1489</f>
        <v/>
      </c>
    </row>
    <row r="4677">
      <c r="A4677" t="n">
        <v>18663</v>
      </c>
      <c r="B4677" s="16" t="n">
        <v>44253</v>
      </c>
      <c r="C4677" t="inlineStr">
        <is>
          <t>VTA</t>
        </is>
      </c>
      <c r="D4677" t="n">
        <v>41</v>
      </c>
      <c r="E4677">
        <f>IF(D1589&gt;0,VLOOKUP(OPERAC[[#This Row],[COD CART]],[1]!MatrizCortoLargoCyl[#All],3,0),"")</f>
        <v/>
      </c>
      <c r="F4677" t="inlineStr">
        <is>
          <t>STOR</t>
        </is>
      </c>
      <c r="G4677" t="n">
        <v>6</v>
      </c>
      <c r="H4677" t="n">
        <v>-206.45056</v>
      </c>
      <c r="I4677">
        <f>-H1589/G1589</f>
        <v/>
      </c>
    </row>
    <row r="4678">
      <c r="A4678" t="n">
        <v>18663</v>
      </c>
      <c r="B4678" s="16" t="n">
        <v>44257</v>
      </c>
      <c r="C4678" t="inlineStr">
        <is>
          <t>VTA</t>
        </is>
      </c>
      <c r="D4678" t="n">
        <v>41</v>
      </c>
      <c r="E4678">
        <f>IF(D1613&gt;0,VLOOKUP(OPERAC[[#This Row],[COD CART]],[1]!MatrizCortoLargoCyl[#All],3,0),"")</f>
        <v/>
      </c>
      <c r="F4678" t="inlineStr">
        <is>
          <t>BEP</t>
        </is>
      </c>
      <c r="G4678" t="n">
        <v>5</v>
      </c>
      <c r="H4678" t="n">
        <v>-215.2504</v>
      </c>
      <c r="I4678">
        <f>-H1613/G1613</f>
        <v/>
      </c>
    </row>
    <row r="4679">
      <c r="A4679" t="n">
        <v>18663</v>
      </c>
      <c r="B4679" s="16" t="n">
        <v>44259</v>
      </c>
      <c r="C4679" t="inlineStr">
        <is>
          <t>VTA</t>
        </is>
      </c>
      <c r="D4679" t="n">
        <v>41</v>
      </c>
      <c r="E4679">
        <f>IF(D1335&gt;0,VLOOKUP(OPERAC[[#This Row],[COD CART]],[1]!MatrizCortoLargoCyl[#All],3,0),"")</f>
        <v/>
      </c>
      <c r="F4679" t="inlineStr">
        <is>
          <t>VIOT</t>
        </is>
      </c>
      <c r="G4679" t="n">
        <v>10</v>
      </c>
      <c r="H4679" t="n">
        <v>-105.832</v>
      </c>
      <c r="I4679">
        <f>-H1335/G1335</f>
        <v/>
      </c>
    </row>
    <row r="4680">
      <c r="A4680" t="n">
        <v>18663</v>
      </c>
      <c r="B4680" s="16" t="n">
        <v>44263</v>
      </c>
      <c r="C4680" t="inlineStr">
        <is>
          <t>VTA</t>
        </is>
      </c>
      <c r="D4680" t="n">
        <v>41</v>
      </c>
      <c r="E4680">
        <f>IF(D1468&gt;0,VLOOKUP(OPERAC[[#This Row],[COD CART]],[1]!MatrizCortoLargoCyl[#All],3,0),"")</f>
        <v/>
      </c>
      <c r="F4680" t="inlineStr">
        <is>
          <t>TCEHY</t>
        </is>
      </c>
      <c r="G4680" t="n">
        <v>2</v>
      </c>
      <c r="H4680" t="n">
        <v>-167.32</v>
      </c>
      <c r="I4680">
        <f>-H1468/G1468</f>
        <v/>
      </c>
    </row>
    <row r="4681">
      <c r="A4681" t="n">
        <v>18663</v>
      </c>
      <c r="B4681" s="16" t="n">
        <v>44266</v>
      </c>
      <c r="C4681" t="inlineStr">
        <is>
          <t>VTA</t>
        </is>
      </c>
      <c r="D4681" t="n">
        <v>41</v>
      </c>
      <c r="E4681">
        <f>IF(D1614&gt;0,VLOOKUP(OPERAC[[#This Row],[COD CART]],[1]!MatrizCortoLargoCyl[#All],3,0),"")</f>
        <v/>
      </c>
      <c r="F4681" t="inlineStr">
        <is>
          <t>MPW</t>
        </is>
      </c>
      <c r="G4681" t="n">
        <v>10</v>
      </c>
      <c r="H4681" t="n">
        <v>-215.4016</v>
      </c>
      <c r="I4681">
        <f>-H1614/G1614</f>
        <v/>
      </c>
    </row>
    <row r="4682">
      <c r="A4682" t="n">
        <v>18663</v>
      </c>
      <c r="B4682" s="16" t="n">
        <v>44272</v>
      </c>
      <c r="C4682" t="inlineStr">
        <is>
          <t>VTA</t>
        </is>
      </c>
      <c r="D4682" t="n">
        <v>41</v>
      </c>
      <c r="E4682">
        <f>IF(D1577&gt;0,VLOOKUP(OPERAC[[#This Row],[COD CART]],[1]!MatrizCortoLargoCyl[#All],3,0),"")</f>
        <v/>
      </c>
      <c r="F4682" t="inlineStr">
        <is>
          <t>VIOT</t>
        </is>
      </c>
      <c r="G4682" t="n">
        <v>15</v>
      </c>
      <c r="H4682" t="n">
        <v>-203.4</v>
      </c>
      <c r="I4682">
        <f>-H1577/G1577</f>
        <v/>
      </c>
    </row>
    <row r="4683">
      <c r="A4683" t="n">
        <v>18663</v>
      </c>
      <c r="B4683" s="16" t="n">
        <v>44279</v>
      </c>
      <c r="C4683" t="inlineStr">
        <is>
          <t>VTA</t>
        </is>
      </c>
      <c r="D4683" t="n">
        <v>41</v>
      </c>
      <c r="E4683">
        <f>IF(D1533&gt;0,VLOOKUP(OPERAC[[#This Row],[COD CART]],[1]!MatrizCortoLargoCyl[#All],3,0),"")</f>
        <v/>
      </c>
      <c r="F4683" t="inlineStr">
        <is>
          <t>DIS</t>
        </is>
      </c>
      <c r="G4683" t="n">
        <v>1</v>
      </c>
      <c r="H4683" t="n">
        <v>-191.89504</v>
      </c>
      <c r="I4683">
        <f>-H1533/G1533</f>
        <v/>
      </c>
    </row>
    <row r="4684">
      <c r="A4684" t="n">
        <v>18663</v>
      </c>
      <c r="B4684" s="16" t="n">
        <v>44279</v>
      </c>
      <c r="C4684" t="inlineStr">
        <is>
          <t>VTA</t>
        </is>
      </c>
      <c r="D4684" t="n">
        <v>41</v>
      </c>
      <c r="E4684">
        <f>IF(D1537&gt;0,VLOOKUP(OPERAC[[#This Row],[COD CART]],[1]!MatrizCortoLargoCyl[#All],3,0),"")</f>
        <v/>
      </c>
      <c r="F4684" t="inlineStr">
        <is>
          <t>SPWR</t>
        </is>
      </c>
      <c r="G4684" t="n">
        <v>6</v>
      </c>
      <c r="H4684" t="n">
        <v>-195.56416</v>
      </c>
      <c r="I4684">
        <f>-H1537/G1537</f>
        <v/>
      </c>
      <c r="J4684" s="16" t="n">
        <v>44481</v>
      </c>
      <c r="K4684" t="n">
        <v>5</v>
      </c>
      <c r="L4684">
        <f>5*27.749</f>
        <v/>
      </c>
    </row>
    <row r="4685">
      <c r="A4685" t="n">
        <v>18663</v>
      </c>
      <c r="B4685" s="16" t="n">
        <v>44291</v>
      </c>
      <c r="C4685" t="inlineStr">
        <is>
          <t>VTA</t>
        </is>
      </c>
      <c r="D4685" t="n">
        <v>41</v>
      </c>
      <c r="E4685">
        <f>IF(D1676&gt;0,VLOOKUP(OPERAC[[#This Row],[COD CART]],[1]!MatrizCortoLargoCyl[#All],3,0),"")</f>
        <v/>
      </c>
      <c r="F4685" t="inlineStr">
        <is>
          <t>TCNNF</t>
        </is>
      </c>
      <c r="G4685" t="n">
        <v>5</v>
      </c>
      <c r="H4685" t="n">
        <v>-237.0232</v>
      </c>
      <c r="I4685">
        <f>-H1676/G1676</f>
        <v/>
      </c>
    </row>
    <row r="4686">
      <c r="A4686" t="n">
        <v>18663</v>
      </c>
      <c r="B4686" s="16" t="n">
        <v>44292</v>
      </c>
      <c r="C4686" t="inlineStr">
        <is>
          <t>VTA</t>
        </is>
      </c>
      <c r="D4686" t="n">
        <v>41</v>
      </c>
      <c r="E4686">
        <f>IF(D1628&gt;0,VLOOKUP(OPERAC[[#This Row],[COD CART]],[1]!MatrizCortoLargoCyl[#All],3,0),"")</f>
        <v/>
      </c>
      <c r="F4686" t="inlineStr">
        <is>
          <t>TCNNF</t>
        </is>
      </c>
      <c r="G4686" t="n">
        <v>5</v>
      </c>
      <c r="H4686" t="n">
        <v>-217.47</v>
      </c>
      <c r="I4686">
        <f>-H1628/G1628</f>
        <v/>
      </c>
    </row>
    <row r="4687">
      <c r="A4687" t="n">
        <v>18663</v>
      </c>
      <c r="B4687" s="16" t="n">
        <v>44292</v>
      </c>
      <c r="C4687" t="inlineStr">
        <is>
          <t>VTA</t>
        </is>
      </c>
      <c r="D4687" t="n">
        <v>41</v>
      </c>
      <c r="E4687">
        <f>IF(D1674&gt;0,VLOOKUP(OPERAC[[#This Row],[COD CART]],[1]!MatrizCortoLargoCyl[#All],3,0),"")</f>
        <v/>
      </c>
      <c r="F4687" t="inlineStr">
        <is>
          <t>T</t>
        </is>
      </c>
      <c r="G4687" t="n">
        <v>10</v>
      </c>
      <c r="H4687">
        <f>-23.55*OPERAC[[#This Row],[cantidad]]</f>
        <v/>
      </c>
      <c r="I4687">
        <f>-H1674/G1674</f>
        <v/>
      </c>
    </row>
    <row r="4688">
      <c r="A4688" t="n">
        <v>18663</v>
      </c>
      <c r="B4688" s="16" t="n">
        <v>44295</v>
      </c>
      <c r="C4688" t="inlineStr">
        <is>
          <t>VTA</t>
        </is>
      </c>
      <c r="D4688" t="n">
        <v>41</v>
      </c>
      <c r="E4688">
        <f>IF(D2156&gt;0,VLOOKUP(OPERAC[[#This Row],[COD CART]],[1]!MatrizCortoLargoCyl[#All],3,0),"")</f>
        <v/>
      </c>
      <c r="F4688" t="inlineStr">
        <is>
          <t>JEPI</t>
        </is>
      </c>
      <c r="G4688" t="n">
        <v>6</v>
      </c>
      <c r="H4688" t="n">
        <v>-352.631</v>
      </c>
      <c r="I4688">
        <f>-H2156/G2156</f>
        <v/>
      </c>
    </row>
    <row r="4689">
      <c r="A4689" t="n">
        <v>18663</v>
      </c>
      <c r="B4689" s="16" t="n">
        <v>44301</v>
      </c>
      <c r="C4689" t="inlineStr">
        <is>
          <t>VTA</t>
        </is>
      </c>
      <c r="D4689" t="n">
        <v>41</v>
      </c>
      <c r="E4689">
        <f>IF(D1437&gt;0,VLOOKUP(OPERAC[[#This Row],[COD CART]],[1]!MatrizCortoLargoCyl[#All],3,0),"")</f>
        <v/>
      </c>
      <c r="F4689" t="inlineStr">
        <is>
          <t>VIOT</t>
        </is>
      </c>
      <c r="G4689" t="n">
        <v>20</v>
      </c>
      <c r="H4689" t="n">
        <v>-154.1192</v>
      </c>
      <c r="I4689">
        <f>-H1437/G1437</f>
        <v/>
      </c>
    </row>
    <row r="4690">
      <c r="A4690" t="n">
        <v>18663</v>
      </c>
      <c r="B4690" s="16" t="n">
        <v>44305</v>
      </c>
      <c r="C4690" t="inlineStr">
        <is>
          <t>VTA</t>
        </is>
      </c>
      <c r="D4690" t="n">
        <v>41</v>
      </c>
      <c r="E4690">
        <f>IF(D1509&gt;0,VLOOKUP(OPERAC[[#This Row],[COD CART]],[1]!MatrizCortoLargoCyl[#All],3,0),"")</f>
        <v/>
      </c>
      <c r="F4690" t="inlineStr">
        <is>
          <t>TCNNF</t>
        </is>
      </c>
      <c r="G4690" t="n">
        <v>5</v>
      </c>
      <c r="H4690" t="n">
        <v>-186.742</v>
      </c>
      <c r="I4690">
        <f>-H1509/G1509</f>
        <v/>
      </c>
    </row>
    <row r="4691">
      <c r="A4691" t="n">
        <v>18663</v>
      </c>
      <c r="B4691" s="16" t="n">
        <v>44315</v>
      </c>
      <c r="C4691" t="inlineStr">
        <is>
          <t>VTA</t>
        </is>
      </c>
      <c r="D4691" t="n">
        <v>41</v>
      </c>
      <c r="E4691">
        <f>IF(D1645&gt;0,VLOOKUP(OPERAC[[#This Row],[COD CART]],[1]!MatrizCortoLargoCyl[#All],3,0),"")</f>
        <v/>
      </c>
      <c r="F4691" t="inlineStr">
        <is>
          <t>MPW</t>
        </is>
      </c>
      <c r="G4691" t="n">
        <v>10</v>
      </c>
      <c r="H4691" t="n">
        <v>-222.765</v>
      </c>
      <c r="I4691">
        <f>-H1645/G1645</f>
        <v/>
      </c>
    </row>
    <row r="4692">
      <c r="A4692" t="n">
        <v>18663</v>
      </c>
      <c r="B4692" s="16" t="n">
        <v>44321</v>
      </c>
      <c r="C4692" t="inlineStr">
        <is>
          <t>VTA</t>
        </is>
      </c>
      <c r="D4692" t="n">
        <v>41</v>
      </c>
      <c r="E4692">
        <f>IF(D1336&gt;0,VLOOKUP(OPERAC[[#This Row],[COD CART]],[1]!MatrizCortoLargoCyl[#All],3,0),"")</f>
        <v/>
      </c>
      <c r="F4692" t="inlineStr">
        <is>
          <t>NRZ</t>
        </is>
      </c>
      <c r="G4692" t="n">
        <v>10</v>
      </c>
      <c r="H4692" t="n">
        <v>-106.185</v>
      </c>
      <c r="I4692">
        <f>-H1336/G1336</f>
        <v/>
      </c>
    </row>
    <row r="4693">
      <c r="A4693" t="n">
        <v>18663</v>
      </c>
      <c r="B4693" s="16" t="n">
        <v>44327</v>
      </c>
      <c r="C4693" t="inlineStr">
        <is>
          <t>VTA</t>
        </is>
      </c>
      <c r="D4693" t="n">
        <v>41</v>
      </c>
      <c r="E4693">
        <f>IF(D2012&gt;0,VLOOKUP(OPERAC[[#This Row],[COD CART]],[1]!MatrizCortoLargoCyl[#All],3,0),"")</f>
        <v/>
      </c>
      <c r="F4693" t="inlineStr">
        <is>
          <t>NRZ</t>
        </is>
      </c>
      <c r="G4693" t="n">
        <v>30</v>
      </c>
      <c r="H4693" t="n">
        <v>-312.0184</v>
      </c>
      <c r="I4693">
        <f>-H2012/G2012</f>
        <v/>
      </c>
    </row>
    <row r="4694">
      <c r="A4694" t="n">
        <v>18663</v>
      </c>
      <c r="B4694" s="16" t="n">
        <v>44327</v>
      </c>
      <c r="C4694" t="inlineStr">
        <is>
          <t>VTA</t>
        </is>
      </c>
      <c r="D4694" t="n">
        <v>41</v>
      </c>
      <c r="E4694">
        <f>IF(D3027&gt;0,VLOOKUP(OPERAC[[#This Row],[COD CART]],[1]!MatrizCortoLargoCyl[#All],3,0),"")</f>
        <v/>
      </c>
      <c r="F4694" t="inlineStr">
        <is>
          <t>JEPI</t>
        </is>
      </c>
      <c r="G4694" t="n">
        <v>10</v>
      </c>
      <c r="H4694" t="n">
        <v>-601.53616</v>
      </c>
      <c r="I4694">
        <f>-H3027/G3027</f>
        <v/>
      </c>
    </row>
    <row r="4695">
      <c r="A4695" t="n">
        <v>18663</v>
      </c>
      <c r="B4695" s="16" t="n">
        <v>44329</v>
      </c>
      <c r="C4695" t="inlineStr">
        <is>
          <t>CPR</t>
        </is>
      </c>
      <c r="D4695" t="n">
        <v>41</v>
      </c>
      <c r="E4695">
        <f>IF(D4443&gt;0,VLOOKUP(OPERAC[[#This Row],[COD CART]],[1]!MatrizCortoLargoCyl[#All],3,0),"")</f>
        <v/>
      </c>
      <c r="F4695" t="inlineStr">
        <is>
          <t>TLRY</t>
        </is>
      </c>
      <c r="G4695" t="n">
        <v>76</v>
      </c>
      <c r="H4695">
        <f>+OPERAC[[#This Row],[cantidad]]*-15</f>
        <v/>
      </c>
      <c r="I4695">
        <f>-H4443/G4443</f>
        <v/>
      </c>
      <c r="J4695" s="16" t="n">
        <v>44344</v>
      </c>
      <c r="K4695" t="n">
        <v>55</v>
      </c>
      <c r="L4695">
        <f>451.59+198.392+412.466</f>
        <v/>
      </c>
    </row>
    <row r="4696">
      <c r="A4696" t="n">
        <v>18663</v>
      </c>
      <c r="B4696" s="16" t="n">
        <v>44334</v>
      </c>
      <c r="C4696" t="inlineStr">
        <is>
          <t>VTA</t>
        </is>
      </c>
      <c r="D4696" t="n">
        <v>41</v>
      </c>
      <c r="E4696">
        <f>IF(D2170&gt;0,VLOOKUP(OPERAC[[#This Row],[COD CART]],[1]!MatrizCortoLargoCyl[#All],3,0),"")</f>
        <v/>
      </c>
      <c r="F4696" t="inlineStr">
        <is>
          <t>JEPI</t>
        </is>
      </c>
      <c r="G4696" t="n">
        <v>6</v>
      </c>
      <c r="H4696" t="n">
        <v>-361.40032</v>
      </c>
      <c r="I4696">
        <f>-H2170/G2170</f>
        <v/>
      </c>
    </row>
    <row r="4697">
      <c r="A4697" t="n">
        <v>18663</v>
      </c>
      <c r="B4697" s="16" t="n">
        <v>44335</v>
      </c>
      <c r="C4697" t="inlineStr">
        <is>
          <t>VTA</t>
        </is>
      </c>
      <c r="D4697" t="n">
        <v>41</v>
      </c>
      <c r="E4697">
        <f>IF(D1592&gt;0,VLOOKUP(OPERAC[[#This Row],[COD CART]],[1]!MatrizCortoLargoCyl[#All],3,0),"")</f>
        <v/>
      </c>
      <c r="F4697" t="inlineStr">
        <is>
          <t>MPW</t>
        </is>
      </c>
      <c r="G4697" t="n">
        <v>10</v>
      </c>
      <c r="H4697" t="n">
        <v>-208.1944</v>
      </c>
      <c r="I4697">
        <f>-H1592/G1592</f>
        <v/>
      </c>
    </row>
    <row r="4698">
      <c r="A4698" t="n">
        <v>18663</v>
      </c>
      <c r="B4698" s="16" t="n">
        <v>44336</v>
      </c>
      <c r="C4698" t="inlineStr">
        <is>
          <t>VTA</t>
        </is>
      </c>
      <c r="D4698" t="n">
        <v>41</v>
      </c>
      <c r="E4698">
        <f>IF(D1671&gt;0,VLOOKUP(OPERAC[[#This Row],[COD CART]],[1]!MatrizCortoLargoCyl[#All],3,0),"")</f>
        <v/>
      </c>
      <c r="F4698" t="inlineStr">
        <is>
          <t>TCEHY</t>
        </is>
      </c>
      <c r="G4698" t="n">
        <v>3</v>
      </c>
      <c r="H4698" t="n">
        <v>-233.78752</v>
      </c>
      <c r="I4698">
        <f>-H1671/G1671</f>
        <v/>
      </c>
    </row>
    <row r="4699">
      <c r="A4699" t="n">
        <v>18663</v>
      </c>
      <c r="B4699" s="16" t="n">
        <v>44350</v>
      </c>
      <c r="C4699" t="inlineStr">
        <is>
          <t>VTA</t>
        </is>
      </c>
      <c r="D4699" t="n">
        <v>41</v>
      </c>
      <c r="E4699">
        <f>IF(D2287&gt;0,VLOOKUP(OPERAC[[#This Row],[COD CART]],[1]!MatrizCortoLargoCyl[#All],3,0),"")</f>
        <v/>
      </c>
      <c r="F4699" t="inlineStr">
        <is>
          <t>TLRY</t>
        </is>
      </c>
      <c r="G4699" t="n">
        <v>20</v>
      </c>
      <c r="H4699" t="n">
        <v>-393</v>
      </c>
      <c r="I4699">
        <f>-H2287/G2287</f>
        <v/>
      </c>
    </row>
    <row r="4700">
      <c r="A4700" t="n">
        <v>18663</v>
      </c>
      <c r="B4700" s="16" t="n">
        <v>44350</v>
      </c>
      <c r="C4700" t="inlineStr">
        <is>
          <t>VTA</t>
        </is>
      </c>
      <c r="D4700" t="n">
        <v>41</v>
      </c>
      <c r="E4700">
        <f>IF(D3014&gt;0,VLOOKUP(OPERAC[[#This Row],[COD CART]],[1]!MatrizCortoLargoCyl[#All],3,0),"")</f>
        <v/>
      </c>
      <c r="F4700" t="inlineStr">
        <is>
          <t>XXII</t>
        </is>
      </c>
      <c r="G4700">
        <f>100+100</f>
        <v/>
      </c>
      <c r="H4700">
        <f>-367.986333333333+6.29+18.78-31.185+44.62+44.37-302.4</f>
        <v/>
      </c>
      <c r="I4700">
        <f>-H3014/G3014</f>
        <v/>
      </c>
    </row>
    <row r="4701">
      <c r="A4701" t="n">
        <v>18663</v>
      </c>
      <c r="B4701" s="16" t="n">
        <v>44356</v>
      </c>
      <c r="C4701" t="inlineStr">
        <is>
          <t>VTA</t>
        </is>
      </c>
      <c r="D4701" t="n">
        <v>41</v>
      </c>
      <c r="E4701">
        <f>IF(D5042&gt;0,VLOOKUP(OPERAC[[#This Row],[COD CART]],[1]!MatrizCortoLargoCyl[#All],3,0),"")</f>
        <v/>
      </c>
      <c r="F4701" t="inlineStr">
        <is>
          <t>TLRY</t>
        </is>
      </c>
      <c r="G4701" t="n">
        <v>100</v>
      </c>
      <c r="H4701">
        <f>-1759.376-7.056+142.138+12.256+9.06+17+22.328</f>
        <v/>
      </c>
      <c r="I4701">
        <f>-H5042/G5042</f>
        <v/>
      </c>
    </row>
    <row r="4702">
      <c r="A4702" t="n">
        <v>18663</v>
      </c>
      <c r="B4702" s="16" t="n">
        <v>44362</v>
      </c>
      <c r="C4702" t="inlineStr">
        <is>
          <t>VTA</t>
        </is>
      </c>
      <c r="D4702" t="n">
        <v>41</v>
      </c>
      <c r="E4702">
        <f>IF(D2155&gt;0,VLOOKUP(OPERAC[[#This Row],[COD CART]],[1]!MatrizCortoLargoCyl[#All],3,0),"")</f>
        <v/>
      </c>
      <c r="F4702" t="inlineStr">
        <is>
          <t>TLRY</t>
        </is>
      </c>
      <c r="G4702" t="n">
        <v>19</v>
      </c>
      <c r="H4702" t="n">
        <v>-352.343</v>
      </c>
      <c r="I4702">
        <f>-H2155/G2155</f>
        <v/>
      </c>
    </row>
    <row r="4703">
      <c r="A4703" t="n">
        <v>18663</v>
      </c>
      <c r="B4703" s="16" t="n">
        <v>44363</v>
      </c>
      <c r="C4703" t="inlineStr">
        <is>
          <t>VTA</t>
        </is>
      </c>
      <c r="D4703" t="n">
        <v>41</v>
      </c>
      <c r="E4703">
        <f>IF(D2172&gt;0,VLOOKUP(OPERAC[[#This Row],[COD CART]],[1]!MatrizCortoLargoCyl[#All],3,0),"")</f>
        <v/>
      </c>
      <c r="F4703" t="inlineStr">
        <is>
          <t>TCNNF</t>
        </is>
      </c>
      <c r="G4703" t="n">
        <v>10</v>
      </c>
      <c r="H4703" t="n">
        <v>-363.9055</v>
      </c>
      <c r="I4703">
        <f>-H2172/G2172</f>
        <v/>
      </c>
    </row>
    <row r="4704">
      <c r="A4704" t="n">
        <v>18663</v>
      </c>
      <c r="B4704" s="16" t="n">
        <v>44376</v>
      </c>
      <c r="C4704" t="inlineStr">
        <is>
          <t>VTA</t>
        </is>
      </c>
      <c r="D4704" t="n">
        <v>41</v>
      </c>
      <c r="E4704">
        <f>IF(D1610&gt;0,VLOOKUP(OPERAC[[#This Row],[COD CART]],[1]!MatrizCortoLargoCyl[#All],3,0),"")</f>
        <v/>
      </c>
      <c r="F4704" t="inlineStr">
        <is>
          <t>NRZ</t>
        </is>
      </c>
      <c r="G4704" t="n">
        <v>20</v>
      </c>
      <c r="H4704" t="n">
        <v>-213.2848</v>
      </c>
      <c r="I4704">
        <f>-H1610/G1610</f>
        <v/>
      </c>
    </row>
    <row r="4705">
      <c r="A4705" t="n">
        <v>18663</v>
      </c>
      <c r="B4705" s="16" t="n">
        <v>44376</v>
      </c>
      <c r="C4705" t="inlineStr">
        <is>
          <t>VTA</t>
        </is>
      </c>
      <c r="D4705" t="n">
        <v>41</v>
      </c>
      <c r="E4705">
        <f>IF(D1988&gt;0,VLOOKUP(OPERAC[[#This Row],[COD CART]],[1]!MatrizCortoLargoCyl[#All],3,0),"")</f>
        <v/>
      </c>
      <c r="F4705" t="inlineStr">
        <is>
          <t>MPW</t>
        </is>
      </c>
      <c r="G4705" t="n">
        <v>15</v>
      </c>
      <c r="H4705" t="n">
        <v>-307.558</v>
      </c>
      <c r="I4705">
        <f>-H1988/G1988</f>
        <v/>
      </c>
    </row>
    <row r="4706">
      <c r="A4706" t="n">
        <v>18663</v>
      </c>
      <c r="B4706" s="16" t="n">
        <v>44377</v>
      </c>
      <c r="C4706" t="inlineStr">
        <is>
          <t>CPR</t>
        </is>
      </c>
      <c r="D4706" t="n">
        <v>41</v>
      </c>
      <c r="E4706">
        <f>IF(D4864&gt;0,VLOOKUP(OPERAC[[#This Row],[COD CART]],[1]!MatrizCortoLargoCyl[#All],3,0),"")</f>
        <v/>
      </c>
      <c r="F4706" t="inlineStr">
        <is>
          <t>HIMX</t>
        </is>
      </c>
      <c r="G4706" t="n">
        <v>100</v>
      </c>
      <c r="H4706">
        <f>-1505.0984+30.704+32.72-5.043</f>
        <v/>
      </c>
      <c r="I4706">
        <f>-H4864/G4864</f>
        <v/>
      </c>
    </row>
    <row r="4707">
      <c r="A4707" t="n">
        <v>18663</v>
      </c>
      <c r="B4707" s="16" t="n">
        <v>44377</v>
      </c>
      <c r="C4707" t="inlineStr">
        <is>
          <t>VTA</t>
        </is>
      </c>
      <c r="D4707" t="n">
        <v>41</v>
      </c>
      <c r="E4707">
        <f>IF(D2281&gt;0,VLOOKUP(OPERAC[[#This Row],[COD CART]],[1]!MatrizCortoLargoCyl[#All],3,0),"")</f>
        <v/>
      </c>
      <c r="F4707" t="inlineStr">
        <is>
          <t>SOLO</t>
        </is>
      </c>
      <c r="G4707" t="n">
        <v>100</v>
      </c>
      <c r="H4707">
        <f>-414.78+24.752</f>
        <v/>
      </c>
      <c r="I4707">
        <f>-H2281/G2281</f>
        <v/>
      </c>
    </row>
    <row r="4708">
      <c r="A4708" t="n">
        <v>18663</v>
      </c>
      <c r="B4708" s="16" t="n">
        <v>44383</v>
      </c>
      <c r="C4708" t="inlineStr">
        <is>
          <t>VTA</t>
        </is>
      </c>
      <c r="D4708" t="n">
        <v>41</v>
      </c>
      <c r="E4708">
        <f>IF(D2001&gt;0,VLOOKUP(OPERAC[[#This Row],[COD CART]],[1]!MatrizCortoLargoCyl[#All],3,0),"")</f>
        <v/>
      </c>
      <c r="F4708" t="inlineStr">
        <is>
          <t>JEPI</t>
        </is>
      </c>
      <c r="G4708" t="n">
        <v>5</v>
      </c>
      <c r="H4708" t="n">
        <v>-308.85</v>
      </c>
      <c r="I4708">
        <f>-H2001/G2001</f>
        <v/>
      </c>
    </row>
    <row r="4709">
      <c r="A4709" t="n">
        <v>18663</v>
      </c>
      <c r="B4709" s="16" t="n">
        <v>44385</v>
      </c>
      <c r="C4709" t="inlineStr">
        <is>
          <t>VTA</t>
        </is>
      </c>
      <c r="D4709" t="n">
        <v>41</v>
      </c>
      <c r="E4709">
        <f>IF(D1587&gt;0,VLOOKUP(OPERAC[[#This Row],[COD CART]],[1]!MatrizCortoLargoCyl[#All],3,0),"")</f>
        <v/>
      </c>
      <c r="F4709" t="inlineStr">
        <is>
          <t>NRZ</t>
        </is>
      </c>
      <c r="G4709" t="n">
        <v>20</v>
      </c>
      <c r="H4709" t="n">
        <v>-205.12</v>
      </c>
      <c r="I4709">
        <f>-H1587/G1587</f>
        <v/>
      </c>
    </row>
    <row r="4710">
      <c r="A4710" t="n">
        <v>18663</v>
      </c>
      <c r="B4710" s="16" t="n">
        <v>44406</v>
      </c>
      <c r="C4710" t="inlineStr">
        <is>
          <t>VTA</t>
        </is>
      </c>
      <c r="D4710" t="n">
        <v>41</v>
      </c>
      <c r="E4710">
        <f>IF(D782&gt;0,VLOOKUP(OPERAC[[#This Row],[COD CART]],[1]!MatrizCortoLargoCyl[#All],3,0),"")</f>
        <v/>
      </c>
      <c r="F4710" t="inlineStr">
        <is>
          <t>NRZ</t>
        </is>
      </c>
      <c r="G4710" t="n">
        <v>30</v>
      </c>
      <c r="H4710" t="n">
        <v>297.503</v>
      </c>
      <c r="I4710">
        <f>-H782/G782</f>
        <v/>
      </c>
    </row>
    <row r="4711">
      <c r="A4711" t="n">
        <v>18663</v>
      </c>
      <c r="B4711" s="16" t="n">
        <v>44410</v>
      </c>
      <c r="C4711" t="inlineStr">
        <is>
          <t>VTA</t>
        </is>
      </c>
      <c r="D4711" t="n">
        <v>41</v>
      </c>
      <c r="E4711">
        <f>IF(D1530&gt;0,VLOOKUP(OPERAC[[#This Row],[COD CART]],[1]!MatrizCortoLargoCyl[#All],3,0),"")</f>
        <v/>
      </c>
      <c r="F4711" t="inlineStr">
        <is>
          <t>HEOFF</t>
        </is>
      </c>
      <c r="G4711" t="n">
        <v>100</v>
      </c>
      <c r="H4711" t="n">
        <v>-190.504</v>
      </c>
      <c r="I4711">
        <f>-H1530/G1530</f>
        <v/>
      </c>
    </row>
    <row r="4712">
      <c r="A4712" t="n">
        <v>18663</v>
      </c>
      <c r="B4712" s="16" t="n">
        <v>44410</v>
      </c>
      <c r="C4712" t="inlineStr">
        <is>
          <t>VTA</t>
        </is>
      </c>
      <c r="D4712" t="n">
        <v>41</v>
      </c>
      <c r="E4712">
        <f>IF(D1615&gt;0,VLOOKUP(OPERAC[[#This Row],[COD CART]],[1]!MatrizCortoLargoCyl[#All],3,0),"")</f>
        <v/>
      </c>
      <c r="F4712" t="inlineStr">
        <is>
          <t>T</t>
        </is>
      </c>
      <c r="G4712" t="n">
        <v>10</v>
      </c>
      <c r="H4712">
        <f>-21.55*OPERAC[[#This Row],[cantidad]]</f>
        <v/>
      </c>
      <c r="I4712">
        <f>-H1615/G1615</f>
        <v/>
      </c>
    </row>
    <row r="4713">
      <c r="A4713" t="n">
        <v>18663</v>
      </c>
      <c r="B4713" s="16" t="n">
        <v>44411</v>
      </c>
      <c r="C4713" t="inlineStr">
        <is>
          <t>VTA</t>
        </is>
      </c>
      <c r="D4713" t="n">
        <v>41</v>
      </c>
      <c r="E4713">
        <f>IF(D756&gt;0,VLOOKUP(OPERAC[[#This Row],[COD CART]],[1]!MatrizCortoLargoCyl[#All],3,0),"")</f>
        <v/>
      </c>
      <c r="F4713" t="inlineStr">
        <is>
          <t>EDU/V/25,00/20-01-23</t>
        </is>
      </c>
      <c r="G4713" t="n">
        <v>-300</v>
      </c>
      <c r="H4713" t="n">
        <v>357.12</v>
      </c>
      <c r="I4713">
        <f>-H756/G756</f>
        <v/>
      </c>
    </row>
    <row r="4714">
      <c r="A4714" t="n">
        <v>18663</v>
      </c>
      <c r="B4714" s="16" t="n">
        <v>44411</v>
      </c>
      <c r="C4714" t="inlineStr">
        <is>
          <t>VTA</t>
        </is>
      </c>
      <c r="D4714" t="n">
        <v>41</v>
      </c>
      <c r="E4714">
        <f>IF(D1486&gt;0,VLOOKUP(OPERAC[[#This Row],[COD CART]],[1]!MatrizCortoLargoCyl[#All],3,0),"")</f>
        <v/>
      </c>
      <c r="F4714" t="inlineStr">
        <is>
          <t>EDU</t>
        </is>
      </c>
      <c r="G4714" t="n">
        <v>10</v>
      </c>
      <c r="H4714" t="n">
        <v>-183.7</v>
      </c>
      <c r="I4714">
        <f>-H1486/G1486</f>
        <v/>
      </c>
    </row>
    <row r="4715">
      <c r="A4715" t="n">
        <v>18663</v>
      </c>
      <c r="B4715" s="16" t="n">
        <v>44414</v>
      </c>
      <c r="C4715" t="inlineStr">
        <is>
          <t>VTA</t>
        </is>
      </c>
      <c r="D4715" t="n">
        <v>41</v>
      </c>
      <c r="E4715">
        <f>IF(D1772&gt;0,VLOOKUP(OPERAC[[#This Row],[COD CART]],[1]!MatrizCortoLargoCyl[#All],3,0),"")</f>
        <v/>
      </c>
      <c r="F4715" t="inlineStr">
        <is>
          <t>SESN</t>
        </is>
      </c>
      <c r="G4715" t="n">
        <v>100</v>
      </c>
      <c r="H4715" t="n">
        <v>-260.515</v>
      </c>
      <c r="I4715">
        <f>-H1772/G1772</f>
        <v/>
      </c>
    </row>
    <row r="4716">
      <c r="A4716" t="n">
        <v>18663</v>
      </c>
      <c r="B4716" s="16" t="n">
        <v>44421</v>
      </c>
      <c r="C4716" t="inlineStr">
        <is>
          <t>VTA</t>
        </is>
      </c>
      <c r="D4716" t="n">
        <v>41</v>
      </c>
      <c r="E4716">
        <f>IF(D1435&gt;0,VLOOKUP(OPERAC[[#This Row],[COD CART]],[1]!MatrizCortoLargoCyl[#All],3,0),"")</f>
        <v/>
      </c>
      <c r="F4716" t="inlineStr">
        <is>
          <t>TCNNF</t>
        </is>
      </c>
      <c r="G4716" t="n">
        <v>5</v>
      </c>
      <c r="H4716" t="n">
        <v>-153.3592</v>
      </c>
      <c r="I4716">
        <f>-H1435/G1435</f>
        <v/>
      </c>
    </row>
    <row r="4717">
      <c r="A4717" t="n">
        <v>18663</v>
      </c>
      <c r="B4717" s="16" t="n">
        <v>44421</v>
      </c>
      <c r="C4717" t="inlineStr">
        <is>
          <t>VTA</t>
        </is>
      </c>
      <c r="D4717" t="n">
        <v>41</v>
      </c>
      <c r="E4717">
        <f>IF(D1449&gt;0,VLOOKUP(OPERAC[[#This Row],[COD CART]],[1]!MatrizCortoLargoCyl[#All],3,0),"")</f>
        <v/>
      </c>
      <c r="F4717" t="inlineStr">
        <is>
          <t>TCNNF</t>
        </is>
      </c>
      <c r="G4717" t="n">
        <v>5</v>
      </c>
      <c r="H4717" t="n">
        <v>-158.9536</v>
      </c>
      <c r="I4717">
        <f>-H1449/G1449</f>
        <v/>
      </c>
    </row>
    <row r="4718">
      <c r="A4718" t="n">
        <v>18663</v>
      </c>
      <c r="B4718" s="16" t="n">
        <v>44427</v>
      </c>
      <c r="C4718" t="inlineStr">
        <is>
          <t>VTA</t>
        </is>
      </c>
      <c r="D4718" t="n">
        <v>41</v>
      </c>
      <c r="E4718">
        <f>IF(D1927&gt;0,VLOOKUP(OPERAC[[#This Row],[COD CART]],[1]!MatrizCortoLargoCyl[#All],3,0),"")</f>
        <v/>
      </c>
      <c r="F4718" t="inlineStr">
        <is>
          <t>MPW</t>
        </is>
      </c>
      <c r="G4718" t="n">
        <v>15</v>
      </c>
      <c r="H4718" t="n">
        <v>-298.032</v>
      </c>
      <c r="I4718">
        <f>-H1927/G1927</f>
        <v/>
      </c>
    </row>
    <row r="4719">
      <c r="A4719" t="n">
        <v>18663</v>
      </c>
      <c r="B4719" s="16" t="n">
        <v>44446</v>
      </c>
      <c r="C4719" t="inlineStr">
        <is>
          <t>VTA</t>
        </is>
      </c>
      <c r="D4719" t="n">
        <v>41</v>
      </c>
      <c r="E4719">
        <f>IF(D2018&gt;0,VLOOKUP(OPERAC[[#This Row],[COD CART]],[1]!MatrizCortoLargoCyl[#All],3,0),"")</f>
        <v/>
      </c>
      <c r="F4719" t="inlineStr">
        <is>
          <t>JEPI</t>
        </is>
      </c>
      <c r="G4719" t="n">
        <v>5</v>
      </c>
      <c r="H4719" t="n">
        <v>-313.41952</v>
      </c>
      <c r="I4719">
        <f>-H2018/G2018</f>
        <v/>
      </c>
    </row>
    <row r="4720">
      <c r="A4720" t="n">
        <v>18663</v>
      </c>
      <c r="B4720" s="16" t="n">
        <v>44452</v>
      </c>
      <c r="C4720" t="inlineStr">
        <is>
          <t>CPR</t>
        </is>
      </c>
      <c r="D4720" t="n">
        <v>41</v>
      </c>
      <c r="E4720">
        <f>IF(D4505&gt;0,VLOOKUP(OPERAC[[#This Row],[COD CART]],[1]!MatrizCortoLargoCyl[#All],3,0),"")</f>
        <v/>
      </c>
      <c r="F4720" t="inlineStr">
        <is>
          <t>GOLD</t>
        </is>
      </c>
      <c r="G4720" t="n">
        <v>60</v>
      </c>
      <c r="H4720" t="n">
        <v>-1185.408</v>
      </c>
      <c r="I4720">
        <f>-H4505/G4505</f>
        <v/>
      </c>
      <c r="J4720" s="16" t="n">
        <v>44609</v>
      </c>
      <c r="K4720" t="n">
        <v>20</v>
      </c>
      <c r="L4720" t="n">
        <v>458.963</v>
      </c>
    </row>
    <row r="4721">
      <c r="A4721" t="n">
        <v>18663</v>
      </c>
      <c r="B4721" s="16" t="n">
        <v>44452</v>
      </c>
      <c r="C4721" t="inlineStr">
        <is>
          <t>VTA</t>
        </is>
      </c>
      <c r="D4721" t="n">
        <v>41</v>
      </c>
      <c r="E4721">
        <f>IF(D2294&gt;0,VLOOKUP(OPERAC[[#This Row],[COD CART]],[1]!MatrizCortoLargoCyl[#All],3,0),"")</f>
        <v/>
      </c>
      <c r="F4721" t="inlineStr">
        <is>
          <t>BEP</t>
        </is>
      </c>
      <c r="G4721" t="n">
        <v>10</v>
      </c>
      <c r="H4721" t="n">
        <v>-397.144</v>
      </c>
      <c r="I4721">
        <f>-H2294/G2294</f>
        <v/>
      </c>
    </row>
    <row r="4722">
      <c r="A4722" t="n">
        <v>18663</v>
      </c>
      <c r="B4722" s="16" t="n">
        <v>44459</v>
      </c>
      <c r="C4722" t="inlineStr">
        <is>
          <t>VTA</t>
        </is>
      </c>
      <c r="D4722" t="n">
        <v>41</v>
      </c>
      <c r="E4722">
        <f>IF(D1973&gt;0,VLOOKUP(OPERAC[[#This Row],[COD CART]],[1]!MatrizCortoLargoCyl[#All],3,0),"")</f>
        <v/>
      </c>
      <c r="F4722" t="inlineStr">
        <is>
          <t>JEPI</t>
        </is>
      </c>
      <c r="G4722" t="n">
        <v>5</v>
      </c>
      <c r="H4722" t="n">
        <v>-304.25</v>
      </c>
      <c r="I4722">
        <f>-H1973/G1973</f>
        <v/>
      </c>
    </row>
    <row r="4723">
      <c r="A4723" t="n">
        <v>18663</v>
      </c>
      <c r="B4723" s="16" t="n">
        <v>44466</v>
      </c>
      <c r="C4723" t="inlineStr">
        <is>
          <t>VTA</t>
        </is>
      </c>
      <c r="D4723" t="n">
        <v>41</v>
      </c>
      <c r="E4723">
        <f>IF(D1906&gt;0,VLOOKUP(OPERAC[[#This Row],[COD CART]],[1]!MatrizCortoLargoCyl[#All],3,0),"")</f>
        <v/>
      </c>
      <c r="F4723" t="inlineStr">
        <is>
          <t>TCNNF</t>
        </is>
      </c>
      <c r="G4723" t="n">
        <v>10</v>
      </c>
      <c r="H4723" t="n">
        <v>-289.691</v>
      </c>
      <c r="I4723">
        <f>-H1906/G1906</f>
        <v/>
      </c>
    </row>
    <row r="4724">
      <c r="A4724" t="n">
        <v>18663</v>
      </c>
      <c r="B4724" s="16" t="n">
        <v>44470</v>
      </c>
      <c r="C4724" t="inlineStr">
        <is>
          <t>VTA</t>
        </is>
      </c>
      <c r="D4724" t="n">
        <v>41</v>
      </c>
      <c r="E4724">
        <f>IF(D2056&gt;0,VLOOKUP(OPERAC[[#This Row],[COD CART]],[1]!MatrizCortoLargoCyl[#All],3,0),"")</f>
        <v/>
      </c>
      <c r="F4724" t="inlineStr">
        <is>
          <t>SSYS</t>
        </is>
      </c>
      <c r="G4724" t="n">
        <v>15</v>
      </c>
      <c r="H4724" t="n">
        <v>-323.3584</v>
      </c>
      <c r="I4724">
        <f>-H2056/G2056</f>
        <v/>
      </c>
      <c r="J4724" s="16" t="n">
        <v>44649</v>
      </c>
      <c r="K4724" t="n">
        <v>15</v>
      </c>
      <c r="L4724" t="n">
        <v>401.058</v>
      </c>
    </row>
    <row r="4725">
      <c r="A4725" t="n">
        <v>18663</v>
      </c>
      <c r="B4725" s="16" t="n">
        <v>44474</v>
      </c>
      <c r="C4725" t="inlineStr">
        <is>
          <t>VTA</t>
        </is>
      </c>
      <c r="D4725" t="n">
        <v>41</v>
      </c>
      <c r="E4725">
        <f>IF(D1960&gt;0,VLOOKUP(OPERAC[[#This Row],[COD CART]],[1]!MatrizCortoLargoCyl[#All],3,0),"")</f>
        <v/>
      </c>
      <c r="F4725" t="inlineStr">
        <is>
          <t>MPW</t>
        </is>
      </c>
      <c r="G4725" t="n">
        <v>15</v>
      </c>
      <c r="H4725" t="n">
        <v>-302.039</v>
      </c>
      <c r="I4725">
        <f>-H1960/G1960</f>
        <v/>
      </c>
    </row>
    <row r="4726">
      <c r="A4726" t="n">
        <v>18663</v>
      </c>
      <c r="B4726" s="16" t="n">
        <v>44474</v>
      </c>
      <c r="C4726" t="inlineStr">
        <is>
          <t>VTA</t>
        </is>
      </c>
      <c r="D4726" t="n">
        <v>41</v>
      </c>
      <c r="E4726">
        <f>IF(D2069&gt;0,VLOOKUP(OPERAC[[#This Row],[COD CART]],[1]!MatrizCortoLargoCyl[#All],3,0),"")</f>
        <v/>
      </c>
      <c r="F4726" t="inlineStr">
        <is>
          <t>SOLO</t>
        </is>
      </c>
      <c r="G4726" t="n">
        <v>100</v>
      </c>
      <c r="H4726" t="n">
        <v>-328.096</v>
      </c>
      <c r="I4726">
        <f>-H2069/G2069</f>
        <v/>
      </c>
    </row>
    <row r="4727">
      <c r="A4727" t="n">
        <v>18663</v>
      </c>
      <c r="B4727" s="16" t="n">
        <v>44475</v>
      </c>
      <c r="C4727" t="inlineStr">
        <is>
          <t>VTA</t>
        </is>
      </c>
      <c r="D4727" t="n">
        <v>41</v>
      </c>
      <c r="E4727">
        <f>IF(D631&gt;0,VLOOKUP(OPERAC[[#This Row],[COD CART]],[1]!MatrizCortoLargoCyl[#All],3,0),"")</f>
        <v/>
      </c>
      <c r="F4727" t="inlineStr">
        <is>
          <t>TLRY/V/8,00/19-01-24</t>
        </is>
      </c>
      <c r="G4727" t="n">
        <v>-200</v>
      </c>
      <c r="H4727" t="n">
        <v>571.5</v>
      </c>
      <c r="I4727">
        <f>-H631/G631</f>
        <v/>
      </c>
    </row>
    <row r="4728">
      <c r="A4728" t="n">
        <v>18663</v>
      </c>
      <c r="B4728" s="16" t="n">
        <v>44481</v>
      </c>
      <c r="C4728" t="inlineStr">
        <is>
          <t>VTA</t>
        </is>
      </c>
      <c r="D4728" t="n">
        <v>41</v>
      </c>
      <c r="E4728">
        <f>IF(D2094&gt;0,VLOOKUP(OPERAC[[#This Row],[COD CART]],[1]!MatrizCortoLargoCyl[#All],3,0),"")</f>
        <v/>
      </c>
      <c r="F4728" t="inlineStr">
        <is>
          <t>BABA</t>
        </is>
      </c>
      <c r="G4728" t="n">
        <v>2</v>
      </c>
      <c r="H4728" t="n">
        <v>-333.68032</v>
      </c>
      <c r="I4728">
        <f>-H2094/G2094</f>
        <v/>
      </c>
    </row>
    <row r="4729">
      <c r="A4729" t="n">
        <v>18663</v>
      </c>
      <c r="B4729" s="16" t="n">
        <v>44483</v>
      </c>
      <c r="C4729" t="inlineStr">
        <is>
          <t>VTA</t>
        </is>
      </c>
      <c r="D4729" t="n">
        <v>41</v>
      </c>
      <c r="E4729">
        <f>IF(D3188&gt;0,VLOOKUP(OPERAC[[#This Row],[COD CART]],[1]!MatrizCortoLargoCyl[#All],3,0),"")</f>
        <v/>
      </c>
      <c r="F4729" t="inlineStr">
        <is>
          <t>GMBL</t>
        </is>
      </c>
      <c r="G4729">
        <f>50+50</f>
        <v/>
      </c>
      <c r="H4729">
        <f>-355.31-333.64+39.632</f>
        <v/>
      </c>
      <c r="I4729">
        <f>-H3188/G3188</f>
        <v/>
      </c>
    </row>
    <row r="4730">
      <c r="A4730" t="n">
        <v>18663</v>
      </c>
      <c r="B4730" s="16" t="n">
        <v>44484</v>
      </c>
      <c r="C4730" t="inlineStr">
        <is>
          <t>VTA</t>
        </is>
      </c>
      <c r="D4730" t="n">
        <v>41</v>
      </c>
      <c r="E4730">
        <f>IF(D2471&gt;0,VLOOKUP(OPERAC[[#This Row],[COD CART]],[1]!MatrizCortoLargoCyl[#All],3,0),"")</f>
        <v/>
      </c>
      <c r="F4730" t="inlineStr">
        <is>
          <t>ABBV</t>
        </is>
      </c>
      <c r="G4730" t="n">
        <v>4</v>
      </c>
      <c r="H4730" t="n">
        <v>-441.335</v>
      </c>
      <c r="I4730">
        <f>-H2471/G2471</f>
        <v/>
      </c>
    </row>
    <row r="4731">
      <c r="A4731" t="n">
        <v>18663</v>
      </c>
      <c r="B4731" s="16" t="n">
        <v>44489</v>
      </c>
      <c r="C4731" t="inlineStr">
        <is>
          <t>VTA</t>
        </is>
      </c>
      <c r="D4731" t="n">
        <v>41</v>
      </c>
      <c r="E4731">
        <f>IF(D1928&gt;0,VLOOKUP(OPERAC[[#This Row],[COD CART]],[1]!MatrizCortoLargoCyl[#All],3,0),"")</f>
        <v/>
      </c>
      <c r="F4731" t="inlineStr">
        <is>
          <t>T</t>
        </is>
      </c>
      <c r="G4731" t="n">
        <v>15</v>
      </c>
      <c r="H4731">
        <f>-19.93*OPERAC[[#This Row],[cantidad]]</f>
        <v/>
      </c>
      <c r="I4731">
        <f>-H1928/G1928</f>
        <v/>
      </c>
    </row>
    <row r="4732">
      <c r="A4732" t="n">
        <v>18663</v>
      </c>
      <c r="B4732" s="16" t="n">
        <v>44495</v>
      </c>
      <c r="C4732" t="inlineStr">
        <is>
          <t>VTA</t>
        </is>
      </c>
      <c r="D4732" t="n">
        <v>41</v>
      </c>
      <c r="E4732">
        <f>IF(D2564&gt;0,VLOOKUP(OPERAC[[#This Row],[COD CART]],[1]!MatrizCortoLargoCyl[#All],3,0),"")</f>
        <v/>
      </c>
      <c r="F4732" t="inlineStr">
        <is>
          <t>EWZ</t>
        </is>
      </c>
      <c r="G4732" t="n">
        <v>15</v>
      </c>
      <c r="H4732" t="n">
        <v>-467.074</v>
      </c>
      <c r="I4732">
        <f>-H2564/G2564</f>
        <v/>
      </c>
    </row>
    <row r="4733">
      <c r="A4733" t="n">
        <v>18663</v>
      </c>
      <c r="B4733" s="16" t="n">
        <v>44502</v>
      </c>
      <c r="C4733" t="inlineStr">
        <is>
          <t>VTA</t>
        </is>
      </c>
      <c r="D4733" t="n">
        <v>41</v>
      </c>
      <c r="E4733">
        <f>IF(D1925&gt;0,VLOOKUP(OPERAC[[#This Row],[COD CART]],[1]!MatrizCortoLargoCyl[#All],3,0),"")</f>
        <v/>
      </c>
      <c r="F4733" t="inlineStr">
        <is>
          <t>EWZ</t>
        </is>
      </c>
      <c r="G4733" t="n">
        <v>10</v>
      </c>
      <c r="H4733" t="n">
        <v>-297.302</v>
      </c>
      <c r="I4733">
        <f>-H1925/G1925</f>
        <v/>
      </c>
      <c r="J4733" s="16" t="n">
        <v>44574</v>
      </c>
      <c r="K4733" t="n">
        <v>10</v>
      </c>
      <c r="L4733" t="n">
        <v>285.366</v>
      </c>
    </row>
    <row r="4734">
      <c r="A4734" t="n">
        <v>18663</v>
      </c>
      <c r="B4734" s="16" t="n">
        <v>44504</v>
      </c>
      <c r="C4734" t="inlineStr">
        <is>
          <t>VTA</t>
        </is>
      </c>
      <c r="D4734" t="n">
        <v>41</v>
      </c>
      <c r="E4734">
        <f>IF(D2175&gt;0,VLOOKUP(OPERAC[[#This Row],[COD CART]],[1]!MatrizCortoLargoCyl[#All],3,0),"")</f>
        <v/>
      </c>
      <c r="F4734" t="inlineStr">
        <is>
          <t>SSYS</t>
        </is>
      </c>
      <c r="G4734" t="n">
        <v>10</v>
      </c>
      <c r="H4734" t="n">
        <v>-364.686</v>
      </c>
      <c r="I4734">
        <f>-H2175/G2175</f>
        <v/>
      </c>
      <c r="J4734" s="16" t="n">
        <v>44592</v>
      </c>
      <c r="K4734" t="n">
        <v>10</v>
      </c>
      <c r="L4734" t="n">
        <v>231.525</v>
      </c>
    </row>
    <row r="4735">
      <c r="A4735" t="n">
        <v>18663</v>
      </c>
      <c r="B4735" s="16" t="n">
        <v>44509</v>
      </c>
      <c r="C4735" t="inlineStr">
        <is>
          <t>VTA</t>
        </is>
      </c>
      <c r="D4735" t="n">
        <v>41</v>
      </c>
      <c r="E4735">
        <f>IF(D2466&gt;0,VLOOKUP(OPERAC[[#This Row],[COD CART]],[1]!MatrizCortoLargoCyl[#All],3,0),"")</f>
        <v/>
      </c>
      <c r="F4735" t="inlineStr">
        <is>
          <t>DDD</t>
        </is>
      </c>
      <c r="G4735" t="n">
        <v>15</v>
      </c>
      <c r="H4735" t="n">
        <v>-438.422</v>
      </c>
      <c r="I4735">
        <f>-H2466/G2466</f>
        <v/>
      </c>
    </row>
    <row r="4736">
      <c r="A4736" t="n">
        <v>18663</v>
      </c>
      <c r="B4736" s="16" t="n">
        <v>44516</v>
      </c>
      <c r="C4736" t="inlineStr">
        <is>
          <t>CPR</t>
        </is>
      </c>
      <c r="D4736" t="n">
        <v>41</v>
      </c>
      <c r="E4736">
        <f>IF(D4948&gt;0,VLOOKUP(OPERAC[[#This Row],[COD CART]],[1]!MatrizCortoLargoCyl[#All],3,0),"")</f>
        <v/>
      </c>
      <c r="F4736" t="inlineStr">
        <is>
          <t>CSDOO</t>
        </is>
      </c>
      <c r="G4736" t="n">
        <v>1617</v>
      </c>
      <c r="H4736" t="n">
        <v>-1507.27</v>
      </c>
      <c r="I4736">
        <f>-H4948/G4948</f>
        <v/>
      </c>
    </row>
    <row r="4737">
      <c r="A4737" t="n">
        <v>18663</v>
      </c>
      <c r="B4737" s="16" t="n">
        <v>44524</v>
      </c>
      <c r="C4737" t="inlineStr">
        <is>
          <t>VTA</t>
        </is>
      </c>
      <c r="D4737" t="n">
        <v>41</v>
      </c>
      <c r="E4737">
        <f>IF(D1337&gt;0,VLOOKUP(OPERAC[[#This Row],[COD CART]],[1]!MatrizCortoLargoCyl[#All],3,0),"")</f>
        <v/>
      </c>
      <c r="F4737" t="inlineStr">
        <is>
          <t>VIOT</t>
        </is>
      </c>
      <c r="G4737" t="n">
        <v>30</v>
      </c>
      <c r="H4737" t="n">
        <v>-107.747</v>
      </c>
      <c r="I4737">
        <f>-H1337/G1337</f>
        <v/>
      </c>
    </row>
    <row r="4738">
      <c r="A4738" t="n">
        <v>18663</v>
      </c>
      <c r="B4738" s="16" t="n">
        <v>44531</v>
      </c>
      <c r="C4738" t="inlineStr">
        <is>
          <t>VTA</t>
        </is>
      </c>
      <c r="D4738" t="n">
        <v>41</v>
      </c>
      <c r="E4738">
        <f>IF(D1434&gt;0,VLOOKUP(OPERAC[[#This Row],[COD CART]],[1]!MatrizCortoLargoCyl[#All],3,0),"")</f>
        <v/>
      </c>
      <c r="F4738" t="inlineStr">
        <is>
          <t>TLRY</t>
        </is>
      </c>
      <c r="G4738" t="n">
        <v>15</v>
      </c>
      <c r="H4738" t="n">
        <v>-152.805</v>
      </c>
      <c r="I4738">
        <f>-H1434/G1434</f>
        <v/>
      </c>
    </row>
    <row r="4739">
      <c r="A4739" t="n">
        <v>18663</v>
      </c>
      <c r="B4739" s="16" t="n">
        <v>44533</v>
      </c>
      <c r="C4739" t="inlineStr">
        <is>
          <t>VTA</t>
        </is>
      </c>
      <c r="D4739" t="n">
        <v>41</v>
      </c>
      <c r="E4739">
        <f>IF(D1733&gt;0,VLOOKUP(OPERAC[[#This Row],[COD CART]],[1]!MatrizCortoLargoCyl[#All],3,0),"")</f>
        <v/>
      </c>
      <c r="F4739" t="inlineStr">
        <is>
          <t>SSYS</t>
        </is>
      </c>
      <c r="G4739" t="n">
        <v>10</v>
      </c>
      <c r="H4739" t="n">
        <v>-250.48</v>
      </c>
      <c r="I4739">
        <f>-H1733/G1733</f>
        <v/>
      </c>
      <c r="J4739" s="16" t="n">
        <v>44637</v>
      </c>
      <c r="K4739" t="n">
        <v>10</v>
      </c>
      <c r="L4739" t="n">
        <v>247.496</v>
      </c>
    </row>
    <row r="4740">
      <c r="A4740" t="n">
        <v>18663</v>
      </c>
      <c r="B4740" s="16" t="n">
        <v>44533</v>
      </c>
      <c r="C4740" t="inlineStr">
        <is>
          <t>VTA</t>
        </is>
      </c>
      <c r="D4740" t="n">
        <v>41</v>
      </c>
      <c r="E4740">
        <f>IF(D1981&gt;0,VLOOKUP(OPERAC[[#This Row],[COD CART]],[1]!MatrizCortoLargoCyl[#All],3,0),"")</f>
        <v/>
      </c>
      <c r="F4740" t="inlineStr">
        <is>
          <t>JEPI</t>
        </is>
      </c>
      <c r="G4740" t="n">
        <v>5</v>
      </c>
      <c r="H4740" t="n">
        <v>-305.618</v>
      </c>
      <c r="I4740">
        <f>-H1981/G1981</f>
        <v/>
      </c>
    </row>
    <row r="4741">
      <c r="A4741" t="n">
        <v>18663</v>
      </c>
      <c r="B4741" s="16" t="n">
        <v>44539</v>
      </c>
      <c r="C4741" t="inlineStr">
        <is>
          <t>VTA</t>
        </is>
      </c>
      <c r="D4741" t="n">
        <v>41</v>
      </c>
      <c r="E4741">
        <f>IF(D942&gt;0,VLOOKUP(OPERAC[[#This Row],[COD CART]],[1]!MatrizCortoLargoCyl[#All],3,0),"")</f>
        <v/>
      </c>
      <c r="F4741" t="inlineStr">
        <is>
          <t>HIMX/V/10,00/18-03-22</t>
        </is>
      </c>
      <c r="G4741" t="n">
        <v>-100</v>
      </c>
      <c r="H4741" t="n">
        <v>98.93000000000001</v>
      </c>
      <c r="I4741">
        <f>-H942/G942</f>
        <v/>
      </c>
      <c r="J4741" s="16" t="n">
        <v>44638</v>
      </c>
      <c r="K4741" t="n">
        <v>-100</v>
      </c>
      <c r="L4741" t="n">
        <v>0</v>
      </c>
    </row>
    <row r="4742">
      <c r="A4742" t="n">
        <v>18663</v>
      </c>
      <c r="B4742" s="16" t="n">
        <v>44539</v>
      </c>
      <c r="C4742" t="inlineStr">
        <is>
          <t>VTA</t>
        </is>
      </c>
      <c r="D4742" t="n">
        <v>41</v>
      </c>
      <c r="E4742">
        <f>IF(D1784&gt;0,VLOOKUP(OPERAC[[#This Row],[COD CART]],[1]!MatrizCortoLargoCyl[#All],3,0),"")</f>
        <v/>
      </c>
      <c r="F4742" t="inlineStr">
        <is>
          <t>T</t>
        </is>
      </c>
      <c r="G4742" t="n">
        <v>15</v>
      </c>
      <c r="H4742">
        <f>-17.6*OPERAC[[#This Row],[cantidad]]</f>
        <v/>
      </c>
      <c r="I4742">
        <f>-H1784/G1784</f>
        <v/>
      </c>
    </row>
    <row r="4743">
      <c r="A4743" t="n">
        <v>18663</v>
      </c>
      <c r="B4743" s="16" t="n">
        <v>44543</v>
      </c>
      <c r="C4743" t="inlineStr">
        <is>
          <t>VTA</t>
        </is>
      </c>
      <c r="D4743" t="n">
        <v>41</v>
      </c>
      <c r="E4743">
        <f>IF(D1617&gt;0,VLOOKUP(OPERAC[[#This Row],[COD CART]],[1]!MatrizCortoLargoCyl[#All],3,0),"")</f>
        <v/>
      </c>
      <c r="F4743" t="inlineStr">
        <is>
          <t>DDD</t>
        </is>
      </c>
      <c r="G4743" t="n">
        <v>10</v>
      </c>
      <c r="H4743" t="n">
        <v>-215.9056</v>
      </c>
      <c r="I4743">
        <f>-H1617/G1617</f>
        <v/>
      </c>
    </row>
    <row r="4744">
      <c r="A4744" t="n">
        <v>18663</v>
      </c>
      <c r="B4744" s="16" t="n">
        <v>44546</v>
      </c>
      <c r="C4744" t="inlineStr">
        <is>
          <t>VTA</t>
        </is>
      </c>
      <c r="D4744" t="n">
        <v>41</v>
      </c>
      <c r="E4744">
        <f>IF(D1627&gt;0,VLOOKUP(OPERAC[[#This Row],[COD CART]],[1]!MatrizCortoLargoCyl[#All],3,0),"")</f>
        <v/>
      </c>
      <c r="F4744" t="inlineStr">
        <is>
          <t>DDD</t>
        </is>
      </c>
      <c r="G4744" t="n">
        <v>10</v>
      </c>
      <c r="H4744" t="n">
        <v>-217.095</v>
      </c>
      <c r="I4744">
        <f>-H1627/G1627</f>
        <v/>
      </c>
    </row>
    <row r="4745">
      <c r="A4745" t="n">
        <v>18663</v>
      </c>
      <c r="B4745" s="16" t="n">
        <v>44546</v>
      </c>
      <c r="C4745" t="inlineStr">
        <is>
          <t>VTA</t>
        </is>
      </c>
      <c r="D4745" t="n">
        <v>41</v>
      </c>
      <c r="E4745">
        <f>IF(D2116&gt;0,VLOOKUP(OPERAC[[#This Row],[COD CART]],[1]!MatrizCortoLargoCyl[#All],3,0),"")</f>
        <v/>
      </c>
      <c r="F4745" t="inlineStr">
        <is>
          <t>LTC</t>
        </is>
      </c>
      <c r="G4745" t="n">
        <v>10</v>
      </c>
      <c r="H4745" t="n">
        <v>-340.064</v>
      </c>
      <c r="I4745">
        <f>-H2116/G2116</f>
        <v/>
      </c>
    </row>
    <row r="4746">
      <c r="A4746" t="n">
        <v>18663</v>
      </c>
      <c r="B4746" s="16" t="n">
        <v>44559</v>
      </c>
      <c r="C4746" t="inlineStr">
        <is>
          <t>VTA</t>
        </is>
      </c>
      <c r="D4746" t="n">
        <v>41</v>
      </c>
      <c r="E4746">
        <f>IF(D1137&gt;0,VLOOKUP(OPERAC[[#This Row],[COD CART]],[1]!MatrizCortoLargoCyl[#All],3,0),"")</f>
        <v/>
      </c>
      <c r="F4746" t="inlineStr">
        <is>
          <t>HIMX/C/18,00/21-01-22</t>
        </is>
      </c>
      <c r="G4746" t="n">
        <v>-100</v>
      </c>
      <c r="H4746" t="n">
        <v>19.57</v>
      </c>
      <c r="I4746">
        <f>-H1137/G1137</f>
        <v/>
      </c>
      <c r="J4746" s="16" t="n">
        <v>44582</v>
      </c>
      <c r="K4746" t="n">
        <v>-100</v>
      </c>
      <c r="L4746" t="n">
        <v>0</v>
      </c>
    </row>
    <row r="4747">
      <c r="A4747" t="n">
        <v>18663</v>
      </c>
      <c r="B4747" s="16" t="n">
        <v>44565</v>
      </c>
      <c r="C4747" t="inlineStr">
        <is>
          <t>VTA</t>
        </is>
      </c>
      <c r="D4747" t="n">
        <v>41</v>
      </c>
      <c r="E4747">
        <f>IF(D1677&gt;0,VLOOKUP(OPERAC[[#This Row],[COD CART]],[1]!MatrizCortoLargoCyl[#All],3,0),"")</f>
        <v/>
      </c>
      <c r="F4747" t="inlineStr">
        <is>
          <t>MPW</t>
        </is>
      </c>
      <c r="G4747" t="n">
        <v>10</v>
      </c>
      <c r="H4747" t="n">
        <v>-237.628</v>
      </c>
      <c r="I4747">
        <f>-H1677/G1677</f>
        <v/>
      </c>
    </row>
    <row r="4748">
      <c r="A4748" t="n">
        <v>18663</v>
      </c>
      <c r="B4748" s="16" t="n">
        <v>44565</v>
      </c>
      <c r="C4748" t="inlineStr">
        <is>
          <t>VTA</t>
        </is>
      </c>
      <c r="D4748" t="n">
        <v>41</v>
      </c>
      <c r="E4748">
        <f>IF(D1736&gt;0,VLOOKUP(OPERAC[[#This Row],[COD CART]],[1]!MatrizCortoLargoCyl[#All],3,0),"")</f>
        <v/>
      </c>
      <c r="F4748" t="inlineStr">
        <is>
          <t>HIMX</t>
        </is>
      </c>
      <c r="G4748" t="n">
        <v>20</v>
      </c>
      <c r="H4748" t="n">
        <v>-251.153344</v>
      </c>
      <c r="I4748">
        <f>-H1736/G1736</f>
        <v/>
      </c>
    </row>
    <row r="4749">
      <c r="A4749" t="n">
        <v>18663</v>
      </c>
      <c r="B4749" s="16" t="n">
        <v>44565</v>
      </c>
      <c r="C4749" t="inlineStr">
        <is>
          <t>VTA</t>
        </is>
      </c>
      <c r="D4749" t="n">
        <v>41</v>
      </c>
      <c r="E4749">
        <f>IF(D1838&gt;0,VLOOKUP(OPERAC[[#This Row],[COD CART]],[1]!MatrizCortoLargoCyl[#All],3,0),"")</f>
        <v/>
      </c>
      <c r="F4749" t="inlineStr">
        <is>
          <t>EWZ</t>
        </is>
      </c>
      <c r="G4749" t="n">
        <v>10</v>
      </c>
      <c r="H4749" t="n">
        <v>-276.8896</v>
      </c>
      <c r="I4749">
        <f>-H1838/G1838</f>
        <v/>
      </c>
      <c r="J4749" s="16" t="n">
        <v>44587</v>
      </c>
      <c r="K4749" t="n">
        <v>10</v>
      </c>
      <c r="L4749" t="n">
        <v>305.429</v>
      </c>
    </row>
    <row r="4750">
      <c r="A4750" t="n">
        <v>18663</v>
      </c>
      <c r="B4750" s="16" t="n">
        <v>44567</v>
      </c>
      <c r="C4750" t="inlineStr">
        <is>
          <t>VTA</t>
        </is>
      </c>
      <c r="D4750" t="n">
        <v>41</v>
      </c>
      <c r="E4750">
        <f>IF(D1829&gt;0,VLOOKUP(OPERAC[[#This Row],[COD CART]],[1]!MatrizCortoLargoCyl[#All],3,0),"")</f>
        <v/>
      </c>
      <c r="F4750" t="inlineStr">
        <is>
          <t>EWZ</t>
        </is>
      </c>
      <c r="G4750" t="n">
        <v>10</v>
      </c>
      <c r="H4750" t="n">
        <v>-270.77704</v>
      </c>
      <c r="I4750">
        <f>-H1829/G1829</f>
        <v/>
      </c>
      <c r="J4750" s="16" t="n">
        <v>44623</v>
      </c>
      <c r="K4750" t="n">
        <v>10</v>
      </c>
      <c r="L4750" t="n">
        <v>341.494</v>
      </c>
    </row>
    <row r="4751">
      <c r="A4751" t="n">
        <v>18663</v>
      </c>
      <c r="B4751" s="16" t="n">
        <v>44579</v>
      </c>
      <c r="C4751" t="inlineStr">
        <is>
          <t>VTA</t>
        </is>
      </c>
      <c r="D4751" t="n">
        <v>41</v>
      </c>
      <c r="E4751">
        <f>IF(D2465&gt;0,VLOOKUP(OPERAC[[#This Row],[COD CART]],[1]!MatrizCortoLargoCyl[#All],3,0),"")</f>
        <v/>
      </c>
      <c r="F4751" t="inlineStr">
        <is>
          <t>FL</t>
        </is>
      </c>
      <c r="G4751" t="n">
        <v>10</v>
      </c>
      <c r="H4751" t="n">
        <v>-436.794</v>
      </c>
      <c r="I4751">
        <f>-H2465/G2465</f>
        <v/>
      </c>
    </row>
    <row r="4752">
      <c r="A4752" t="n">
        <v>18663</v>
      </c>
      <c r="B4752" s="16" t="n">
        <v>44582</v>
      </c>
      <c r="C4752" t="inlineStr">
        <is>
          <t>VTA</t>
        </is>
      </c>
      <c r="D4752" t="n">
        <v>41</v>
      </c>
      <c r="E4752">
        <f>IF(D1616&gt;0,VLOOKUP(OPERAC[[#This Row],[COD CART]],[1]!MatrizCortoLargoCyl[#All],3,0),"")</f>
        <v/>
      </c>
      <c r="F4752" t="inlineStr">
        <is>
          <t>NRZ</t>
        </is>
      </c>
      <c r="G4752" t="n">
        <v>20</v>
      </c>
      <c r="H4752" t="n">
        <v>-215.5024</v>
      </c>
      <c r="I4752">
        <f>-H1616/G1616</f>
        <v/>
      </c>
    </row>
    <row r="4753">
      <c r="A4753" t="n">
        <v>18663</v>
      </c>
      <c r="B4753" s="16" t="n">
        <v>44582</v>
      </c>
      <c r="C4753" t="inlineStr">
        <is>
          <t>VTA</t>
        </is>
      </c>
      <c r="D4753" t="n">
        <v>41</v>
      </c>
      <c r="E4753">
        <f>IF(D1704&gt;0,VLOOKUP(OPERAC[[#This Row],[COD CART]],[1]!MatrizCortoLargoCyl[#All],3,0),"")</f>
        <v/>
      </c>
      <c r="F4753" t="inlineStr">
        <is>
          <t>SPWR</t>
        </is>
      </c>
      <c r="G4753" t="n">
        <v>15</v>
      </c>
      <c r="H4753" t="n">
        <v>-241.71</v>
      </c>
      <c r="I4753">
        <f>-H1704/G1704</f>
        <v/>
      </c>
      <c r="J4753" s="16" t="n">
        <v>44587</v>
      </c>
      <c r="K4753" t="n">
        <v>15</v>
      </c>
      <c r="L4753" t="n">
        <v>251.31</v>
      </c>
    </row>
    <row r="4754">
      <c r="A4754" t="n">
        <v>18663</v>
      </c>
      <c r="B4754" s="16" t="n">
        <v>44582</v>
      </c>
      <c r="C4754" t="inlineStr">
        <is>
          <t>VTA</t>
        </is>
      </c>
      <c r="D4754" t="n">
        <v>41</v>
      </c>
      <c r="E4754">
        <f>IF(D2168&gt;0,VLOOKUP(OPERAC[[#This Row],[COD CART]],[1]!MatrizCortoLargoCyl[#All],3,0),"")</f>
        <v/>
      </c>
      <c r="F4754" t="inlineStr">
        <is>
          <t>DDD</t>
        </is>
      </c>
      <c r="G4754" t="n">
        <v>20</v>
      </c>
      <c r="H4754" t="n">
        <v>-360.6544</v>
      </c>
      <c r="I4754">
        <f>-H2168/G2168</f>
        <v/>
      </c>
    </row>
    <row r="4755">
      <c r="A4755" t="n">
        <v>18663</v>
      </c>
      <c r="B4755" s="16" t="n">
        <v>44585</v>
      </c>
      <c r="C4755" t="inlineStr">
        <is>
          <t>VTA</t>
        </is>
      </c>
      <c r="D4755" t="n">
        <v>41</v>
      </c>
      <c r="E4755">
        <f>IF(D1958&gt;0,VLOOKUP(OPERAC[[#This Row],[COD CART]],[1]!MatrizCortoLargoCyl[#All],3,0),"")</f>
        <v/>
      </c>
      <c r="F4755" t="inlineStr">
        <is>
          <t>STOR</t>
        </is>
      </c>
      <c r="G4755" t="n">
        <v>10</v>
      </c>
      <c r="H4755" t="n">
        <v>-301.485</v>
      </c>
      <c r="I4755">
        <f>-H1958/G1958</f>
        <v/>
      </c>
    </row>
    <row r="4756">
      <c r="A4756" t="n">
        <v>18663</v>
      </c>
      <c r="B4756" s="16" t="n">
        <v>44589</v>
      </c>
      <c r="C4756" t="inlineStr">
        <is>
          <t>VTA</t>
        </is>
      </c>
      <c r="D4756" t="n">
        <v>41</v>
      </c>
      <c r="E4756">
        <f>IF(D1591&gt;0,VLOOKUP(OPERAC[[#This Row],[COD CART]],[1]!MatrizCortoLargoCyl[#All],3,0),"")</f>
        <v/>
      </c>
      <c r="F4756" t="inlineStr">
        <is>
          <t>SSYS</t>
        </is>
      </c>
      <c r="G4756" t="n">
        <v>10</v>
      </c>
      <c r="H4756" t="n">
        <v>-208.144</v>
      </c>
      <c r="I4756">
        <f>-H1591/G1591</f>
        <v/>
      </c>
      <c r="J4756" s="16" t="n">
        <v>44602</v>
      </c>
      <c r="K4756" t="n">
        <v>10</v>
      </c>
      <c r="L4756" t="n">
        <v>266.52</v>
      </c>
    </row>
    <row r="4757">
      <c r="A4757" t="n">
        <v>18663</v>
      </c>
      <c r="B4757" s="16" t="n">
        <v>44589</v>
      </c>
      <c r="C4757" t="inlineStr">
        <is>
          <t>VTA</t>
        </is>
      </c>
      <c r="D4757" t="n">
        <v>41</v>
      </c>
      <c r="E4757">
        <f>IF(D1641&gt;0,VLOOKUP(OPERAC[[#This Row],[COD CART]],[1]!MatrizCortoLargoCyl[#All],3,0),"")</f>
        <v/>
      </c>
      <c r="F4757" t="inlineStr">
        <is>
          <t>SPWR</t>
        </is>
      </c>
      <c r="G4757" t="n">
        <v>15</v>
      </c>
      <c r="H4757" t="n">
        <v>-222.0877714285714</v>
      </c>
      <c r="I4757">
        <f>-H1641/G1641</f>
        <v/>
      </c>
      <c r="J4757" s="16" t="n">
        <v>44592</v>
      </c>
      <c r="K4757" t="n">
        <v>15</v>
      </c>
      <c r="L4757" t="n">
        <v>242.558</v>
      </c>
    </row>
    <row r="4758">
      <c r="A4758" t="n">
        <v>18663</v>
      </c>
      <c r="B4758" s="16" t="n">
        <v>44594</v>
      </c>
      <c r="C4758" t="inlineStr">
        <is>
          <t>VTA</t>
        </is>
      </c>
      <c r="D4758" t="n">
        <v>41</v>
      </c>
      <c r="E4758">
        <f>IF(D1841&gt;0,VLOOKUP(OPERAC[[#This Row],[COD CART]],[1]!MatrizCortoLargoCyl[#All],3,0),"")</f>
        <v/>
      </c>
      <c r="F4758" t="inlineStr">
        <is>
          <t>SFM</t>
        </is>
      </c>
      <c r="G4758" t="n">
        <v>10</v>
      </c>
      <c r="H4758" t="n">
        <v>-277.871</v>
      </c>
      <c r="I4758">
        <f>-H1841/G1841</f>
        <v/>
      </c>
      <c r="J4758" s="16" t="n">
        <v>44658</v>
      </c>
      <c r="K4758" t="n">
        <v>10</v>
      </c>
      <c r="L4758" t="n">
        <v>337.932</v>
      </c>
    </row>
    <row r="4759">
      <c r="A4759" t="n">
        <v>18663</v>
      </c>
      <c r="B4759" s="16" t="n">
        <v>44596</v>
      </c>
      <c r="C4759" t="inlineStr">
        <is>
          <t>VTA</t>
        </is>
      </c>
      <c r="D4759" t="n">
        <v>41</v>
      </c>
      <c r="E4759">
        <f>IF(D1579&gt;0,VLOOKUP(OPERAC[[#This Row],[COD CART]],[1]!MatrizCortoLargoCyl[#All],3,0),"")</f>
        <v/>
      </c>
      <c r="F4759" t="inlineStr">
        <is>
          <t>NRZ</t>
        </is>
      </c>
      <c r="G4759" t="n">
        <v>20</v>
      </c>
      <c r="H4759" t="n">
        <v>-204</v>
      </c>
      <c r="I4759">
        <f>-H1579/G1579</f>
        <v/>
      </c>
    </row>
    <row r="4760">
      <c r="A4760" t="n">
        <v>18663</v>
      </c>
      <c r="B4760" s="16" t="n">
        <v>44596</v>
      </c>
      <c r="C4760" t="inlineStr">
        <is>
          <t>VTA</t>
        </is>
      </c>
      <c r="D4760" t="n">
        <v>41</v>
      </c>
      <c r="E4760">
        <f>IF(D2435&gt;0,VLOOKUP(OPERAC[[#This Row],[COD CART]],[1]!MatrizCortoLargoCyl[#All],3,0),"")</f>
        <v/>
      </c>
      <c r="F4760" t="inlineStr">
        <is>
          <t>TCNNF</t>
        </is>
      </c>
      <c r="G4760" t="n">
        <v>20</v>
      </c>
      <c r="H4760" t="n">
        <v>-425</v>
      </c>
      <c r="I4760">
        <f>-H2435/G2435</f>
        <v/>
      </c>
      <c r="J4760" s="16" t="n">
        <v>44602</v>
      </c>
      <c r="K4760" t="n">
        <v>10</v>
      </c>
      <c r="L4760" t="n">
        <v>267.14</v>
      </c>
    </row>
    <row r="4761">
      <c r="A4761" t="n">
        <v>18663</v>
      </c>
      <c r="B4761" s="16" t="n">
        <v>44599</v>
      </c>
      <c r="C4761" t="inlineStr">
        <is>
          <t>VTA</t>
        </is>
      </c>
      <c r="D4761" t="n">
        <v>41</v>
      </c>
      <c r="E4761">
        <f>IF(D1611&gt;0,VLOOKUP(OPERAC[[#This Row],[COD CART]],[1]!MatrizCortoLargoCyl[#All],3,0),"")</f>
        <v/>
      </c>
      <c r="F4761" t="inlineStr">
        <is>
          <t>FL</t>
        </is>
      </c>
      <c r="G4761" t="n">
        <v>5</v>
      </c>
      <c r="H4761" t="n">
        <v>-213.65</v>
      </c>
      <c r="I4761">
        <f>-H1611/G1611</f>
        <v/>
      </c>
    </row>
    <row r="4762">
      <c r="A4762" t="n">
        <v>18663</v>
      </c>
      <c r="B4762" s="16" t="n">
        <v>44599</v>
      </c>
      <c r="C4762" t="inlineStr">
        <is>
          <t>VTA</t>
        </is>
      </c>
      <c r="D4762" t="n">
        <v>41</v>
      </c>
      <c r="E4762">
        <f>IF(D2110&gt;0,VLOOKUP(OPERAC[[#This Row],[COD CART]],[1]!MatrizCortoLargoCyl[#All],3,0),"")</f>
        <v/>
      </c>
      <c r="F4762" t="inlineStr">
        <is>
          <t>TCNNF</t>
        </is>
      </c>
      <c r="G4762" t="n">
        <v>15</v>
      </c>
      <c r="H4762" t="n">
        <v>-337.72</v>
      </c>
      <c r="I4762">
        <f>-H2110/G2110</f>
        <v/>
      </c>
    </row>
    <row r="4763">
      <c r="A4763" t="n">
        <v>18663</v>
      </c>
      <c r="B4763" s="16" t="n">
        <v>44602</v>
      </c>
      <c r="C4763" t="inlineStr">
        <is>
          <t>VTA</t>
        </is>
      </c>
      <c r="D4763" t="n">
        <v>41</v>
      </c>
      <c r="E4763">
        <f>IF(D1963&gt;0,VLOOKUP(OPERAC[[#This Row],[COD CART]],[1]!MatrizCortoLargoCyl[#All],3,0),"")</f>
        <v/>
      </c>
      <c r="F4763" t="inlineStr">
        <is>
          <t>JEPI</t>
        </is>
      </c>
      <c r="G4763" t="n">
        <v>5</v>
      </c>
      <c r="H4763">
        <f>-60.58*5</f>
        <v/>
      </c>
      <c r="I4763">
        <f>-H1963/G1963</f>
        <v/>
      </c>
    </row>
    <row r="4764">
      <c r="A4764" t="n">
        <v>18663</v>
      </c>
      <c r="B4764" s="16" t="n">
        <v>44607</v>
      </c>
      <c r="C4764" t="inlineStr">
        <is>
          <t>VTA</t>
        </is>
      </c>
      <c r="D4764" t="n">
        <v>41</v>
      </c>
      <c r="E4764">
        <f>IF(D1490&gt;0,VLOOKUP(OPERAC[[#This Row],[COD CART]],[1]!MatrizCortoLargoCyl[#All],3,0),"")</f>
        <v/>
      </c>
      <c r="F4764" t="inlineStr">
        <is>
          <t>TCEHY</t>
        </is>
      </c>
      <c r="G4764" t="n">
        <v>3</v>
      </c>
      <c r="H4764" t="n">
        <v>-184.88944</v>
      </c>
      <c r="I4764">
        <f>-H1490/G1490</f>
        <v/>
      </c>
    </row>
    <row r="4765">
      <c r="A4765" t="n">
        <v>18663</v>
      </c>
      <c r="B4765" s="16" t="n">
        <v>44608</v>
      </c>
      <c r="C4765" t="inlineStr">
        <is>
          <t>VTA</t>
        </is>
      </c>
      <c r="D4765" t="n">
        <v>41</v>
      </c>
      <c r="E4765">
        <f>IF(D1717&gt;0,VLOOKUP(OPERAC[[#This Row],[COD CART]],[1]!MatrizCortoLargoCyl[#All],3,0),"")</f>
        <v/>
      </c>
      <c r="F4765" t="inlineStr">
        <is>
          <t>HIMX</t>
        </is>
      </c>
      <c r="G4765" t="n">
        <v>20</v>
      </c>
      <c r="H4765" t="n">
        <v>-247.35</v>
      </c>
      <c r="I4765">
        <f>-H1717/G1717</f>
        <v/>
      </c>
    </row>
    <row r="4766">
      <c r="A4766" t="n">
        <v>18663</v>
      </c>
      <c r="B4766" s="16" t="n">
        <v>44610</v>
      </c>
      <c r="C4766" t="inlineStr">
        <is>
          <t>VTA</t>
        </is>
      </c>
      <c r="D4766" t="n">
        <v>41</v>
      </c>
      <c r="E4766">
        <f>IF(D2165&gt;0,VLOOKUP(OPERAC[[#This Row],[COD CART]],[1]!MatrizCortoLargoCyl[#All],3,0),"")</f>
        <v/>
      </c>
      <c r="F4766" t="inlineStr">
        <is>
          <t>TCNNF</t>
        </is>
      </c>
      <c r="G4766" t="n">
        <v>15</v>
      </c>
      <c r="H4766" t="n">
        <v>-359.0416</v>
      </c>
      <c r="I4766">
        <f>-H2165/G2165</f>
        <v/>
      </c>
    </row>
    <row r="4767">
      <c r="A4767" t="n">
        <v>18663</v>
      </c>
      <c r="B4767" s="16" t="n">
        <v>44615</v>
      </c>
      <c r="C4767" t="inlineStr">
        <is>
          <t>VTA</t>
        </is>
      </c>
      <c r="D4767" t="n">
        <v>41</v>
      </c>
      <c r="E4767">
        <f>IF(D2134&gt;0,VLOOKUP(OPERAC[[#This Row],[COD CART]],[1]!MatrizCortoLargoCyl[#All],3,0),"")</f>
        <v/>
      </c>
      <c r="F4767" t="inlineStr">
        <is>
          <t>SSYS</t>
        </is>
      </c>
      <c r="G4767" t="n">
        <v>15</v>
      </c>
      <c r="H4767" t="n">
        <v>-346.9456</v>
      </c>
      <c r="I4767">
        <f>-H2134/G2134</f>
        <v/>
      </c>
    </row>
    <row r="4768">
      <c r="A4768" t="n">
        <v>18663</v>
      </c>
      <c r="B4768" s="16" t="n">
        <v>44616</v>
      </c>
      <c r="C4768" t="inlineStr">
        <is>
          <t>VTA</t>
        </is>
      </c>
      <c r="D4768" t="n">
        <v>41</v>
      </c>
      <c r="E4768">
        <f>IF(D823&gt;0,VLOOKUP(OPERAC[[#This Row],[COD CART]],[1]!MatrizCortoLargoCyl[#All],3,0),"")</f>
        <v/>
      </c>
      <c r="F4768" t="inlineStr">
        <is>
          <t>SPWR/V/10,00/19-01-24</t>
        </is>
      </c>
      <c r="G4768" t="n">
        <v>-100</v>
      </c>
      <c r="H4768" t="n">
        <v>217.83767</v>
      </c>
      <c r="I4768">
        <f>-H823/G823</f>
        <v/>
      </c>
    </row>
    <row r="4769">
      <c r="A4769" t="n">
        <v>18663</v>
      </c>
      <c r="B4769" s="16" t="n">
        <v>44616</v>
      </c>
      <c r="C4769" t="inlineStr">
        <is>
          <t>VTA</t>
        </is>
      </c>
      <c r="D4769" t="n">
        <v>41</v>
      </c>
      <c r="E4769">
        <f>IF(D1901&gt;0,VLOOKUP(OPERAC[[#This Row],[COD CART]],[1]!MatrizCortoLargoCyl[#All],3,0),"")</f>
        <v/>
      </c>
      <c r="F4769" t="inlineStr">
        <is>
          <t>DIS</t>
        </is>
      </c>
      <c r="G4769" t="n">
        <v>2</v>
      </c>
      <c r="H4769" t="n">
        <v>-287.61472</v>
      </c>
      <c r="I4769">
        <f>-H1901/G1901</f>
        <v/>
      </c>
    </row>
    <row r="4770">
      <c r="A4770" t="n">
        <v>18663</v>
      </c>
      <c r="B4770" s="16" t="n">
        <v>44616</v>
      </c>
      <c r="C4770" t="inlineStr">
        <is>
          <t>VTA</t>
        </is>
      </c>
      <c r="D4770" t="n">
        <v>41</v>
      </c>
      <c r="E4770">
        <f>IF(D2093&gt;0,VLOOKUP(OPERAC[[#This Row],[COD CART]],[1]!MatrizCortoLargoCyl[#All],3,0),"")</f>
        <v/>
      </c>
      <c r="F4770" t="inlineStr">
        <is>
          <t>BEP</t>
        </is>
      </c>
      <c r="G4770" t="n">
        <v>10</v>
      </c>
      <c r="H4770" t="n">
        <v>-333.138016</v>
      </c>
      <c r="I4770">
        <f>-H2093/G2093</f>
        <v/>
      </c>
    </row>
    <row r="4771">
      <c r="A4771" t="n">
        <v>18663</v>
      </c>
      <c r="B4771" s="16" t="n">
        <v>44617</v>
      </c>
      <c r="C4771" t="inlineStr">
        <is>
          <t>VTA</t>
        </is>
      </c>
      <c r="D4771" t="n">
        <v>41</v>
      </c>
      <c r="E4771">
        <f>IF(D1835&gt;0,VLOOKUP(OPERAC[[#This Row],[COD CART]],[1]!MatrizCortoLargoCyl[#All],3,0),"")</f>
        <v/>
      </c>
      <c r="F4771" t="inlineStr">
        <is>
          <t>FL</t>
        </is>
      </c>
      <c r="G4771" t="n">
        <v>10</v>
      </c>
      <c r="H4771" t="n">
        <v>-274.575</v>
      </c>
      <c r="I4771">
        <f>-H1835/G1835</f>
        <v/>
      </c>
    </row>
    <row r="4772">
      <c r="A4772" t="n">
        <v>18663</v>
      </c>
      <c r="B4772" s="16" t="n">
        <v>44627</v>
      </c>
      <c r="C4772" t="inlineStr">
        <is>
          <t>VTA</t>
        </is>
      </c>
      <c r="D4772" t="n">
        <v>41</v>
      </c>
      <c r="E4772">
        <f>IF(D1755&gt;0,VLOOKUP(OPERAC[[#This Row],[COD CART]],[1]!MatrizCortoLargoCyl[#All],3,0),"")</f>
        <v/>
      </c>
      <c r="F4772" t="inlineStr">
        <is>
          <t>NRZ</t>
        </is>
      </c>
      <c r="G4772" t="n">
        <v>25</v>
      </c>
      <c r="H4772" t="n">
        <v>-254.89</v>
      </c>
      <c r="I4772">
        <f>-H1755/G1755</f>
        <v/>
      </c>
    </row>
    <row r="4773">
      <c r="A4773" t="n">
        <v>18663</v>
      </c>
      <c r="B4773" s="16" t="n">
        <v>44627</v>
      </c>
      <c r="C4773" t="inlineStr">
        <is>
          <t>VTA</t>
        </is>
      </c>
      <c r="D4773" t="n">
        <v>41</v>
      </c>
      <c r="E4773">
        <f>IF(D1899&gt;0,VLOOKUP(OPERAC[[#This Row],[COD CART]],[1]!MatrizCortoLargoCyl[#All],3,0),"")</f>
        <v/>
      </c>
      <c r="F4773" t="inlineStr">
        <is>
          <t>MSFT</t>
        </is>
      </c>
      <c r="G4773" t="n">
        <v>1</v>
      </c>
      <c r="H4773" t="n">
        <v>-285.614</v>
      </c>
      <c r="I4773">
        <f>-H1899/G1899</f>
        <v/>
      </c>
    </row>
    <row r="4774">
      <c r="A4774" t="n">
        <v>18663</v>
      </c>
      <c r="B4774" s="16" t="n">
        <v>44634</v>
      </c>
      <c r="C4774" t="inlineStr">
        <is>
          <t>VTA</t>
        </is>
      </c>
      <c r="D4774" t="n">
        <v>41</v>
      </c>
      <c r="E4774">
        <f>IF(D2024&gt;0,VLOOKUP(OPERAC[[#This Row],[COD CART]],[1]!MatrizCortoLargoCyl[#All],3,0),"")</f>
        <v/>
      </c>
      <c r="F4774" t="inlineStr">
        <is>
          <t>SFM</t>
        </is>
      </c>
      <c r="G4774" t="n">
        <v>10</v>
      </c>
      <c r="H4774" t="n">
        <v>-314.186</v>
      </c>
      <c r="I4774">
        <f>-H2024/G2024</f>
        <v/>
      </c>
    </row>
    <row r="4775">
      <c r="A4775" t="n">
        <v>18663</v>
      </c>
      <c r="B4775" s="16" t="n">
        <v>44635</v>
      </c>
      <c r="C4775" t="inlineStr">
        <is>
          <t>VTA</t>
        </is>
      </c>
      <c r="D4775" t="n">
        <v>41</v>
      </c>
      <c r="E4775">
        <f>IF(D2059&gt;0,VLOOKUP(OPERAC[[#This Row],[COD CART]],[1]!MatrizCortoLargoCyl[#All],3,0),"")</f>
        <v/>
      </c>
      <c r="F4775" t="inlineStr">
        <is>
          <t>EWZ</t>
        </is>
      </c>
      <c r="G4775" t="n">
        <v>10</v>
      </c>
      <c r="H4775" t="n">
        <v>-323.614</v>
      </c>
      <c r="I4775">
        <f>-H2059/G2059</f>
        <v/>
      </c>
    </row>
    <row r="4776">
      <c r="A4776" t="n">
        <v>18663</v>
      </c>
      <c r="B4776" s="16" t="n">
        <v>44641</v>
      </c>
      <c r="C4776" t="inlineStr">
        <is>
          <t>VTA</t>
        </is>
      </c>
      <c r="D4776" t="n">
        <v>41</v>
      </c>
      <c r="E4776">
        <f>IF(D2017&gt;0,VLOOKUP(OPERAC[[#This Row],[COD CART]],[1]!MatrizCortoLargoCyl[#All],3,0),"")</f>
        <v/>
      </c>
      <c r="F4776" t="inlineStr">
        <is>
          <t>BABA</t>
        </is>
      </c>
      <c r="G4776" t="n">
        <v>3</v>
      </c>
      <c r="H4776" t="n">
        <v>-313.198</v>
      </c>
      <c r="I4776">
        <f>-H2017/G2017</f>
        <v/>
      </c>
    </row>
    <row r="4777">
      <c r="A4777" t="n">
        <v>18663</v>
      </c>
      <c r="B4777" s="16" t="n">
        <v>44651</v>
      </c>
      <c r="C4777" t="inlineStr">
        <is>
          <t>VTA</t>
        </is>
      </c>
      <c r="D4777" t="n">
        <v>41</v>
      </c>
      <c r="E4777">
        <f>IF(D969&gt;0,VLOOKUP(OPERAC[[#This Row],[COD CART]],[1]!MatrizCortoLargoCyl[#All],3,0),"")</f>
        <v/>
      </c>
      <c r="F4777" t="inlineStr">
        <is>
          <t>HIMX/V/10,00/17-06-22</t>
        </is>
      </c>
      <c r="G4777" t="n">
        <v>-100</v>
      </c>
      <c r="H4777" t="n">
        <v>83.27</v>
      </c>
      <c r="I4777">
        <f>-H969/G969</f>
        <v/>
      </c>
    </row>
    <row r="4778">
      <c r="A4778" t="n">
        <v>18663</v>
      </c>
      <c r="B4778" s="16" t="n">
        <v>44655</v>
      </c>
      <c r="C4778" t="inlineStr">
        <is>
          <t>VTA</t>
        </is>
      </c>
      <c r="D4778" t="n">
        <v>41</v>
      </c>
      <c r="E4778">
        <f>IF(D1957&gt;0,VLOOKUP(OPERAC[[#This Row],[COD CART]],[1]!MatrizCortoLargoCyl[#All],3,0),"")</f>
        <v/>
      </c>
      <c r="F4778" t="inlineStr">
        <is>
          <t>FL</t>
        </is>
      </c>
      <c r="G4778" t="n">
        <v>10</v>
      </c>
      <c r="H4778" t="n">
        <v>-301.458</v>
      </c>
      <c r="I4778">
        <f>-H1957/G1957</f>
        <v/>
      </c>
      <c r="J4778" s="16" t="n">
        <v>44707</v>
      </c>
      <c r="K4778" t="n">
        <v>10</v>
      </c>
      <c r="L4778" t="n">
        <v>324.049</v>
      </c>
    </row>
    <row r="4779">
      <c r="A4779" t="n">
        <v>18663</v>
      </c>
      <c r="B4779" s="16" t="n">
        <v>44656</v>
      </c>
      <c r="C4779" t="inlineStr">
        <is>
          <t>VTA</t>
        </is>
      </c>
      <c r="D4779" t="n">
        <v>41</v>
      </c>
      <c r="E4779">
        <f>IF(D2212&gt;0,VLOOKUP(OPERAC[[#This Row],[COD CART]],[1]!MatrizCortoLargoCyl[#All],3,0),"")</f>
        <v/>
      </c>
      <c r="F4779" t="inlineStr">
        <is>
          <t>SSYS</t>
        </is>
      </c>
      <c r="G4779" t="n">
        <v>15</v>
      </c>
      <c r="H4779" t="n">
        <v>-372.045</v>
      </c>
      <c r="I4779">
        <f>-H2212/G2212</f>
        <v/>
      </c>
    </row>
    <row r="4780">
      <c r="A4780" t="n">
        <v>18663</v>
      </c>
      <c r="B4780" s="16" t="n">
        <v>44657</v>
      </c>
      <c r="C4780" t="inlineStr">
        <is>
          <t>VTA</t>
        </is>
      </c>
      <c r="D4780" t="n">
        <v>41</v>
      </c>
      <c r="E4780">
        <f>IF(D1670&gt;0,VLOOKUP(OPERAC[[#This Row],[COD CART]],[1]!MatrizCortoLargoCyl[#All],3,0),"")</f>
        <v/>
      </c>
      <c r="F4780" t="inlineStr">
        <is>
          <t>SSYS</t>
        </is>
      </c>
      <c r="G4780" t="n">
        <v>10</v>
      </c>
      <c r="H4780" t="n">
        <v>-233.2432</v>
      </c>
      <c r="I4780">
        <f>-H1670/G1670</f>
        <v/>
      </c>
    </row>
    <row r="4781">
      <c r="A4781" t="n">
        <v>18663</v>
      </c>
      <c r="B4781" s="16" t="n">
        <v>44669</v>
      </c>
      <c r="C4781" t="inlineStr">
        <is>
          <t>VTA</t>
        </is>
      </c>
      <c r="D4781" t="n">
        <v>41</v>
      </c>
      <c r="E4781">
        <f>IF(D1293&gt;0,VLOOKUP(OPERAC[[#This Row],[COD CART]],[1]!MatrizCortoLargoCyl[#All],3,0),"")</f>
        <v/>
      </c>
      <c r="F4781" t="inlineStr">
        <is>
          <t>WBD</t>
        </is>
      </c>
      <c r="G4781" t="n">
        <v>14</v>
      </c>
      <c r="H4781">
        <f>-6.57*OPERAC[[#This Row],[cantidad]]</f>
        <v/>
      </c>
      <c r="I4781">
        <f>-H1293/G1293</f>
        <v/>
      </c>
    </row>
    <row r="4782">
      <c r="A4782" t="n">
        <v>18663</v>
      </c>
      <c r="B4782" s="16" t="n">
        <v>44669</v>
      </c>
      <c r="C4782" t="inlineStr">
        <is>
          <t>VTA</t>
        </is>
      </c>
      <c r="D4782" t="n">
        <v>41</v>
      </c>
      <c r="E4782">
        <f>IF(D2036&gt;0,VLOOKUP(OPERAC[[#This Row],[COD CART]],[1]!MatrizCortoLargoCyl[#All],3,0),"")</f>
        <v/>
      </c>
      <c r="F4782" t="inlineStr">
        <is>
          <t>SFM</t>
        </is>
      </c>
      <c r="G4782" t="n">
        <v>10</v>
      </c>
      <c r="H4782" t="n">
        <v>-319.463</v>
      </c>
      <c r="I4782">
        <f>-H2036/G2036</f>
        <v/>
      </c>
    </row>
    <row r="4783">
      <c r="A4783" t="n">
        <v>18663</v>
      </c>
      <c r="B4783" s="16" t="n">
        <v>44670</v>
      </c>
      <c r="C4783" t="inlineStr">
        <is>
          <t>VTA</t>
        </is>
      </c>
      <c r="D4783" t="n">
        <v>41</v>
      </c>
      <c r="E4783">
        <f>IF(D2550&gt;0,VLOOKUP(OPERAC[[#This Row],[COD CART]],[1]!MatrizCortoLargoCyl[#All],3,0),"")</f>
        <v/>
      </c>
      <c r="F4783" t="inlineStr">
        <is>
          <t>HMY</t>
        </is>
      </c>
      <c r="G4783" t="n">
        <v>100</v>
      </c>
      <c r="H4783" t="n">
        <v>-464.414</v>
      </c>
      <c r="I4783">
        <f>-H2550/G2550</f>
        <v/>
      </c>
    </row>
    <row r="4784">
      <c r="A4784" t="n">
        <v>18663</v>
      </c>
      <c r="B4784" s="16" t="n">
        <v>44676</v>
      </c>
      <c r="C4784" t="inlineStr">
        <is>
          <t>VTA</t>
        </is>
      </c>
      <c r="D4784" t="n">
        <v>41</v>
      </c>
      <c r="E4784">
        <f>IF(D2223&gt;0,VLOOKUP(OPERAC[[#This Row],[COD CART]],[1]!MatrizCortoLargoCyl[#All],3,0),"")</f>
        <v/>
      </c>
      <c r="F4784" t="inlineStr">
        <is>
          <t>MPW</t>
        </is>
      </c>
      <c r="G4784" t="n">
        <v>20</v>
      </c>
      <c r="H4784" t="n">
        <v>-375.66</v>
      </c>
      <c r="I4784">
        <f>-H2223/G2223</f>
        <v/>
      </c>
    </row>
    <row r="4785">
      <c r="A4785" t="n">
        <v>18663</v>
      </c>
      <c r="B4785" s="16" t="n">
        <v>44678</v>
      </c>
      <c r="C4785" t="inlineStr">
        <is>
          <t>VTA</t>
        </is>
      </c>
      <c r="D4785" t="n">
        <v>41</v>
      </c>
      <c r="E4785">
        <f>IF(D1934&gt;0,VLOOKUP(OPERAC[[#This Row],[COD CART]],[1]!MatrizCortoLargoCyl[#All],3,0),"")</f>
        <v/>
      </c>
      <c r="F4785" t="inlineStr">
        <is>
          <t>SSYS</t>
        </is>
      </c>
      <c r="G4785" t="n">
        <v>15</v>
      </c>
      <c r="H4785" t="n">
        <v>-300.583</v>
      </c>
      <c r="I4785">
        <f>-H1934/G1934</f>
        <v/>
      </c>
    </row>
    <row r="4786">
      <c r="A4786" t="n">
        <v>18663</v>
      </c>
      <c r="B4786" s="16" t="n">
        <v>44680</v>
      </c>
      <c r="C4786" t="inlineStr">
        <is>
          <t>VTA</t>
        </is>
      </c>
      <c r="D4786" t="n">
        <v>41</v>
      </c>
      <c r="E4786">
        <f>IF(D1935&gt;0,VLOOKUP(OPERAC[[#This Row],[COD CART]],[1]!MatrizCortoLargoCyl[#All],3,0),"")</f>
        <v/>
      </c>
      <c r="F4786" t="inlineStr">
        <is>
          <t>JEPI</t>
        </is>
      </c>
      <c r="G4786" t="n">
        <v>5</v>
      </c>
      <c r="H4786" t="n">
        <v>-300.735</v>
      </c>
      <c r="I4786">
        <f>-H1935/G1935</f>
        <v/>
      </c>
    </row>
    <row r="4787">
      <c r="A4787" t="n">
        <v>18663</v>
      </c>
      <c r="B4787" s="16" t="n">
        <v>44685</v>
      </c>
      <c r="C4787" t="inlineStr">
        <is>
          <t>VTA</t>
        </is>
      </c>
      <c r="D4787" t="n">
        <v>41</v>
      </c>
      <c r="E4787">
        <f>IF(D1662&gt;0,VLOOKUP(OPERAC[[#This Row],[COD CART]],[1]!MatrizCortoLargoCyl[#All],3,0),"")</f>
        <v/>
      </c>
      <c r="F4787" t="inlineStr">
        <is>
          <t>NRZ</t>
        </is>
      </c>
      <c r="G4787" t="n">
        <v>20</v>
      </c>
      <c r="H4787" t="n">
        <v>-231.915</v>
      </c>
      <c r="I4787">
        <f>-H1662/G1662</f>
        <v/>
      </c>
    </row>
    <row r="4788">
      <c r="A4788" t="n">
        <v>18663</v>
      </c>
      <c r="B4788" s="16" t="n">
        <v>44686</v>
      </c>
      <c r="C4788" t="inlineStr">
        <is>
          <t>VTA</t>
        </is>
      </c>
      <c r="D4788" t="n">
        <v>41</v>
      </c>
      <c r="E4788">
        <f>IF(D2222&gt;0,VLOOKUP(OPERAC[[#This Row],[COD CART]],[1]!MatrizCortoLargoCyl[#All],3,0),"")</f>
        <v/>
      </c>
      <c r="F4788" t="inlineStr">
        <is>
          <t>SFM</t>
        </is>
      </c>
      <c r="G4788" t="n">
        <v>15</v>
      </c>
      <c r="H4788" t="n">
        <v>-375.616</v>
      </c>
      <c r="I4788">
        <f>-H2222/G2222</f>
        <v/>
      </c>
      <c r="J4788" s="16" t="n">
        <v>44714</v>
      </c>
      <c r="K4788" t="n">
        <v>15</v>
      </c>
      <c r="L4788" t="n">
        <v>406.361</v>
      </c>
    </row>
    <row r="4789">
      <c r="A4789" t="n">
        <v>18663</v>
      </c>
      <c r="B4789" s="16" t="n">
        <v>44687</v>
      </c>
      <c r="C4789" t="inlineStr">
        <is>
          <t>VTA</t>
        </is>
      </c>
      <c r="D4789" t="n">
        <v>41</v>
      </c>
      <c r="E4789">
        <f>IF(D1788&gt;0,VLOOKUP(OPERAC[[#This Row],[COD CART]],[1]!MatrizCortoLargoCyl[#All],3,0),"")</f>
        <v/>
      </c>
      <c r="F4789" t="inlineStr">
        <is>
          <t>TCNNF</t>
        </is>
      </c>
      <c r="G4789" t="n">
        <v>20</v>
      </c>
      <c r="H4789" t="n">
        <v>-266.244</v>
      </c>
      <c r="I4789">
        <f>-H1788/G1788</f>
        <v/>
      </c>
    </row>
    <row r="4790">
      <c r="A4790" t="n">
        <v>18663</v>
      </c>
      <c r="B4790" s="16" t="n">
        <v>44690</v>
      </c>
      <c r="C4790" t="inlineStr">
        <is>
          <t>VTA</t>
        </is>
      </c>
      <c r="D4790" t="n">
        <v>41</v>
      </c>
      <c r="E4790">
        <f>IF(D992&gt;0,VLOOKUP(OPERAC[[#This Row],[COD CART]],[1]!MatrizCortoLargoCyl[#All],3,0),"")</f>
        <v/>
      </c>
      <c r="F4790" t="inlineStr">
        <is>
          <t>COTY/V/6,00/18-11-2022</t>
        </is>
      </c>
      <c r="G4790" t="n">
        <v>-100</v>
      </c>
      <c r="H4790" t="n">
        <v>71.38800000000001</v>
      </c>
      <c r="I4790">
        <f>-H992/G992</f>
        <v/>
      </c>
    </row>
    <row r="4791">
      <c r="A4791" t="n">
        <v>18663</v>
      </c>
      <c r="B4791" s="16" t="n">
        <v>44690</v>
      </c>
      <c r="C4791" t="inlineStr">
        <is>
          <t>VTA</t>
        </is>
      </c>
      <c r="D4791" t="n">
        <v>41</v>
      </c>
      <c r="E4791">
        <f>IF(D1630&gt;0,VLOOKUP(OPERAC[[#This Row],[COD CART]],[1]!MatrizCortoLargoCyl[#All],3,0),"")</f>
        <v/>
      </c>
      <c r="F4791" t="inlineStr">
        <is>
          <t>NRZ</t>
        </is>
      </c>
      <c r="G4791" t="n">
        <v>20</v>
      </c>
      <c r="H4791" t="n">
        <v>-218.215196</v>
      </c>
      <c r="I4791">
        <f>-H1630/G1630</f>
        <v/>
      </c>
    </row>
    <row r="4792">
      <c r="A4792" t="n">
        <v>18663</v>
      </c>
      <c r="B4792" s="16" t="n">
        <v>44704</v>
      </c>
      <c r="C4792" t="inlineStr">
        <is>
          <t>VTA</t>
        </is>
      </c>
      <c r="D4792" t="n">
        <v>41</v>
      </c>
      <c r="E4792">
        <f>IF(D1680&gt;0,VLOOKUP(OPERAC[[#This Row],[COD CART]],[1]!MatrizCortoLargoCyl[#All],3,0),"")</f>
        <v/>
      </c>
      <c r="F4792" t="inlineStr">
        <is>
          <t>SFM</t>
        </is>
      </c>
      <c r="G4792" t="n">
        <v>10</v>
      </c>
      <c r="H4792" t="n">
        <v>-238.177</v>
      </c>
      <c r="I4792">
        <f>-H1680/G1680</f>
        <v/>
      </c>
    </row>
    <row r="4793">
      <c r="A4793" t="n">
        <v>18663</v>
      </c>
      <c r="B4793" s="16" t="n">
        <v>44713</v>
      </c>
      <c r="C4793" t="inlineStr">
        <is>
          <t>VTA</t>
        </is>
      </c>
      <c r="D4793" t="n">
        <v>41</v>
      </c>
      <c r="E4793">
        <f>IF(D1903&gt;0,VLOOKUP(OPERAC[[#This Row],[COD CART]],[1]!MatrizCortoLargoCyl[#All],3,0),"")</f>
        <v/>
      </c>
      <c r="F4793" t="inlineStr">
        <is>
          <t>JEPI</t>
        </is>
      </c>
      <c r="G4793" t="n">
        <v>5</v>
      </c>
      <c r="H4793" t="n">
        <v>-288.26611025</v>
      </c>
      <c r="I4793">
        <f>-H1903/G1903</f>
        <v/>
      </c>
    </row>
    <row r="4794">
      <c r="A4794" t="n">
        <v>18663</v>
      </c>
      <c r="B4794" s="16" t="n">
        <v>44713</v>
      </c>
      <c r="C4794" t="inlineStr">
        <is>
          <t>VTA</t>
        </is>
      </c>
      <c r="D4794" t="n">
        <v>41</v>
      </c>
      <c r="E4794">
        <f>IF(D2192&gt;0,VLOOKUP(OPERAC[[#This Row],[COD CART]],[1]!MatrizCortoLargoCyl[#All],3,0),"")</f>
        <v/>
      </c>
      <c r="F4794" t="inlineStr">
        <is>
          <t>MPW</t>
        </is>
      </c>
      <c r="G4794" t="n">
        <v>20</v>
      </c>
      <c r="H4794" t="n">
        <v>-365.58125</v>
      </c>
      <c r="I4794">
        <f>-H2192/G2192</f>
        <v/>
      </c>
    </row>
    <row r="4795">
      <c r="A4795" t="n">
        <v>18663</v>
      </c>
      <c r="B4795" s="16" t="n">
        <v>44714</v>
      </c>
      <c r="C4795" t="inlineStr">
        <is>
          <t>VTA</t>
        </is>
      </c>
      <c r="D4795" t="n">
        <v>41</v>
      </c>
      <c r="E4795">
        <f>IF(D1929&gt;0,VLOOKUP(OPERAC[[#This Row],[COD CART]],[1]!MatrizCortoLargoCyl[#All],3,0),"")</f>
        <v/>
      </c>
      <c r="F4795" t="inlineStr">
        <is>
          <t>ET</t>
        </is>
      </c>
      <c r="G4795" t="n">
        <v>25</v>
      </c>
      <c r="H4795" t="n">
        <v>-299.02</v>
      </c>
      <c r="I4795">
        <f>-H1929/G1929</f>
        <v/>
      </c>
    </row>
    <row r="4796">
      <c r="A4796" t="n">
        <v>18663</v>
      </c>
      <c r="B4796" s="16" t="n">
        <v>44720</v>
      </c>
      <c r="C4796" t="inlineStr">
        <is>
          <t>VTA</t>
        </is>
      </c>
      <c r="D4796" t="n">
        <v>41</v>
      </c>
      <c r="E4796">
        <f>IF(D2161&gt;0,VLOOKUP(OPERAC[[#This Row],[COD CART]],[1]!MatrizCortoLargoCyl[#All],3,0),"")</f>
        <v/>
      </c>
      <c r="F4796" t="inlineStr">
        <is>
          <t>TCEHY</t>
        </is>
      </c>
      <c r="G4796" t="n">
        <v>7</v>
      </c>
      <c r="H4796" t="n">
        <v>-356.22237</v>
      </c>
      <c r="I4796">
        <f>-H2161/G2161</f>
        <v/>
      </c>
    </row>
    <row r="4797">
      <c r="A4797" t="n">
        <v>18663</v>
      </c>
      <c r="B4797" s="16" t="n">
        <v>44720</v>
      </c>
      <c r="C4797" t="inlineStr">
        <is>
          <t>VTA</t>
        </is>
      </c>
      <c r="D4797" t="n">
        <v>41</v>
      </c>
      <c r="E4797">
        <f>IF(D2355&gt;0,VLOOKUP(OPERAC[[#This Row],[COD CART]],[1]!MatrizCortoLargoCyl[#All],3,0),"")</f>
        <v/>
      </c>
      <c r="F4797" t="inlineStr">
        <is>
          <t>INTC</t>
        </is>
      </c>
      <c r="G4797" t="n">
        <v>10</v>
      </c>
      <c r="H4797" t="n">
        <v>-416.81305</v>
      </c>
      <c r="I4797">
        <f>-H2355/G2355</f>
        <v/>
      </c>
    </row>
    <row r="4798">
      <c r="A4798" t="n">
        <v>18663</v>
      </c>
      <c r="B4798" s="16" t="n">
        <v>44722</v>
      </c>
      <c r="C4798" t="inlineStr">
        <is>
          <t>VTA</t>
        </is>
      </c>
      <c r="D4798" t="n">
        <v>41</v>
      </c>
      <c r="E4798">
        <f>IF(D1363&gt;0,VLOOKUP(OPERAC[[#This Row],[COD CART]],[1]!MatrizCortoLargoCyl[#All],3,0),"")</f>
        <v/>
      </c>
      <c r="F4798" t="inlineStr">
        <is>
          <t>NTLA/C/70,00/15-07-2022</t>
        </is>
      </c>
      <c r="G4798" t="n">
        <v>200</v>
      </c>
      <c r="H4798" t="n">
        <v>-110.935</v>
      </c>
      <c r="I4798">
        <f>-H1363/G1363</f>
        <v/>
      </c>
    </row>
    <row r="4799">
      <c r="A4799" t="n">
        <v>18663</v>
      </c>
      <c r="B4799" s="16" t="n">
        <v>44725</v>
      </c>
      <c r="C4799" t="inlineStr">
        <is>
          <t>VTA</t>
        </is>
      </c>
      <c r="D4799" t="n">
        <v>41</v>
      </c>
      <c r="E4799">
        <f>IF(D1646&gt;0,VLOOKUP(OPERAC[[#This Row],[COD CART]],[1]!MatrizCortoLargoCyl[#All],3,0),"")</f>
        <v/>
      </c>
      <c r="F4799" t="inlineStr">
        <is>
          <t>ET</t>
        </is>
      </c>
      <c r="G4799" t="n">
        <v>20</v>
      </c>
      <c r="H4799" t="n">
        <v>-222.77765</v>
      </c>
      <c r="I4799">
        <f>-H1646/G1646</f>
        <v/>
      </c>
    </row>
    <row r="4800">
      <c r="A4800" t="n">
        <v>18663</v>
      </c>
      <c r="B4800" s="16" t="n">
        <v>44725</v>
      </c>
      <c r="C4800" t="inlineStr">
        <is>
          <t>VTA</t>
        </is>
      </c>
      <c r="D4800" t="n">
        <v>41</v>
      </c>
      <c r="E4800">
        <f>IF(D1777&gt;0,VLOOKUP(OPERAC[[#This Row],[COD CART]],[1]!MatrizCortoLargoCyl[#All],3,0),"")</f>
        <v/>
      </c>
      <c r="F4800" t="inlineStr">
        <is>
          <t>SSYS</t>
        </is>
      </c>
      <c r="G4800" t="n">
        <v>15</v>
      </c>
      <c r="H4800" t="n">
        <v>-262.91595</v>
      </c>
      <c r="I4800">
        <f>-H1777/G1777</f>
        <v/>
      </c>
    </row>
    <row r="4801">
      <c r="A4801" t="n">
        <v>18663</v>
      </c>
      <c r="B4801" s="16" t="n">
        <v>44725</v>
      </c>
      <c r="C4801" t="inlineStr">
        <is>
          <t>VTA</t>
        </is>
      </c>
      <c r="D4801" t="n">
        <v>41</v>
      </c>
      <c r="E4801">
        <f>IF(D1911&gt;0,VLOOKUP(OPERAC[[#This Row],[COD CART]],[1]!MatrizCortoLargoCyl[#All],3,0),"")</f>
        <v/>
      </c>
      <c r="F4801" t="inlineStr">
        <is>
          <t>FL</t>
        </is>
      </c>
      <c r="G4801" t="n">
        <v>10</v>
      </c>
      <c r="H4801" t="n">
        <v>-291.15395</v>
      </c>
      <c r="I4801">
        <f>-H1911/G1911</f>
        <v/>
      </c>
    </row>
    <row r="4802">
      <c r="A4802" t="n">
        <v>18668</v>
      </c>
      <c r="B4802" s="16" t="n">
        <v>43831</v>
      </c>
      <c r="C4802" t="inlineStr">
        <is>
          <t>CPR</t>
        </is>
      </c>
      <c r="D4802" t="n">
        <v>41</v>
      </c>
      <c r="E4802">
        <f>IF(D2780&gt;0,VLOOKUP(OPERAC[[#This Row],[COD CART]],[1]!MatrizCortoLargoCyl[#All],3,0),"")</f>
        <v/>
      </c>
      <c r="F4802" t="inlineStr">
        <is>
          <t>BBAR</t>
        </is>
      </c>
      <c r="G4802" t="n">
        <v>100</v>
      </c>
      <c r="H4802" t="n">
        <v>-511.0000000000001</v>
      </c>
      <c r="I4802" t="n">
        <v>5.11</v>
      </c>
    </row>
    <row r="4803">
      <c r="A4803" t="n">
        <v>18668</v>
      </c>
      <c r="B4803" s="16" t="n">
        <v>43831</v>
      </c>
      <c r="C4803" t="inlineStr">
        <is>
          <t>CPR</t>
        </is>
      </c>
      <c r="D4803" t="n">
        <v>41</v>
      </c>
      <c r="E4803">
        <f>IF(D4169&gt;0,VLOOKUP(OPERAC[[#This Row],[COD CART]],[1]!MatrizCortoLargoCyl[#All],3,0),"")</f>
        <v/>
      </c>
      <c r="F4803" t="inlineStr">
        <is>
          <t>YPF</t>
        </is>
      </c>
      <c r="G4803" t="n">
        <v>100</v>
      </c>
      <c r="H4803" t="n">
        <v>-980.0000000000001</v>
      </c>
      <c r="I4803" t="n">
        <v>9.800000000000001</v>
      </c>
    </row>
    <row r="4804">
      <c r="A4804" t="n">
        <v>18668</v>
      </c>
      <c r="B4804" s="16" t="n">
        <v>43831</v>
      </c>
      <c r="C4804" t="inlineStr">
        <is>
          <t>CPR</t>
        </is>
      </c>
      <c r="D4804" t="n">
        <v>41</v>
      </c>
      <c r="E4804">
        <f>IF(D4609&gt;0,VLOOKUP(OPERAC[[#This Row],[COD CART]],[1]!MatrizCortoLargoCyl[#All],3,0),"")</f>
        <v/>
      </c>
      <c r="F4804" t="inlineStr">
        <is>
          <t>GGAL</t>
        </is>
      </c>
      <c r="G4804" t="n">
        <v>100</v>
      </c>
      <c r="H4804" t="n">
        <v>-1264</v>
      </c>
      <c r="I4804" t="n">
        <v>12.64</v>
      </c>
    </row>
    <row r="4805">
      <c r="A4805" t="n">
        <v>18668</v>
      </c>
      <c r="B4805" s="16" t="n">
        <v>43831</v>
      </c>
      <c r="C4805" t="inlineStr">
        <is>
          <t>VTA</t>
        </is>
      </c>
      <c r="D4805" t="n">
        <v>41</v>
      </c>
      <c r="E4805">
        <f>IF(D1276&gt;0,VLOOKUP(OPERAC[[#This Row],[COD CART]],[1]!MatrizCortoLargoCyl[#All],3,0),"")</f>
        <v/>
      </c>
      <c r="F4805" t="inlineStr">
        <is>
          <t>ACB</t>
        </is>
      </c>
      <c r="G4805" t="n">
        <v>8</v>
      </c>
      <c r="H4805" t="n">
        <v>-59.2</v>
      </c>
      <c r="I4805" t="n">
        <v>7.4</v>
      </c>
    </row>
    <row r="4806">
      <c r="A4806" t="n">
        <v>18668</v>
      </c>
      <c r="B4806" s="16" t="n">
        <v>44237</v>
      </c>
      <c r="C4806" t="inlineStr">
        <is>
          <t>CPR</t>
        </is>
      </c>
      <c r="D4806" t="n">
        <v>40</v>
      </c>
      <c r="E4806">
        <f>IF(D5834&gt;0,VLOOKUP(OPERAC[[#This Row],[COD CART]],[1]!MatrizCortoLargoCyl[#All],3,0),"")</f>
        <v/>
      </c>
      <c r="F4806" t="inlineStr">
        <is>
          <t>ACB</t>
        </is>
      </c>
      <c r="G4806" t="n">
        <v>200</v>
      </c>
      <c r="H4806" t="n">
        <v>-2837.294</v>
      </c>
      <c r="I4806">
        <f>-H5834/G5834</f>
        <v/>
      </c>
      <c r="J4806" s="16" t="n">
        <v>44606</v>
      </c>
      <c r="K4806" t="n">
        <v>200</v>
      </c>
      <c r="L4806" t="n">
        <v>874.112</v>
      </c>
    </row>
    <row r="4807">
      <c r="A4807" t="n">
        <v>18668</v>
      </c>
      <c r="B4807" s="16" t="n">
        <v>44403</v>
      </c>
      <c r="C4807" t="inlineStr">
        <is>
          <t>CPR</t>
        </is>
      </c>
      <c r="D4807" t="n">
        <v>41</v>
      </c>
      <c r="E4807">
        <f>IF(D4612&gt;0,VLOOKUP(OPERAC[[#This Row],[COD CART]],[1]!MatrizCortoLargoCyl[#All],3,0),"")</f>
        <v/>
      </c>
      <c r="F4807" t="inlineStr">
        <is>
          <t>EDU</t>
        </is>
      </c>
      <c r="G4807" t="n">
        <v>50</v>
      </c>
      <c r="H4807" t="n">
        <v>-1266.3</v>
      </c>
      <c r="I4807">
        <f>-H4612/G4612</f>
        <v/>
      </c>
    </row>
    <row r="4808">
      <c r="A4808" t="n">
        <v>18668</v>
      </c>
      <c r="B4808" s="16" t="n">
        <v>44474</v>
      </c>
      <c r="C4808" t="inlineStr">
        <is>
          <t>CPR</t>
        </is>
      </c>
      <c r="D4808" t="n">
        <v>41</v>
      </c>
      <c r="E4808">
        <f>IF(D6113&gt;0,VLOOKUP(OPERAC[[#This Row],[COD CART]],[1]!MatrizCortoLargoCyl[#All],3,0),"")</f>
        <v/>
      </c>
      <c r="F4808" t="inlineStr">
        <is>
          <t>JDST</t>
        </is>
      </c>
      <c r="G4808" t="n">
        <v>300</v>
      </c>
      <c r="H4808" t="n">
        <v>-4340.94</v>
      </c>
      <c r="I4808">
        <f>-H6113/G6113</f>
        <v/>
      </c>
    </row>
    <row r="4809">
      <c r="A4809" t="n">
        <v>18668</v>
      </c>
      <c r="B4809" s="16" t="n">
        <v>44533</v>
      </c>
      <c r="C4809" t="inlineStr">
        <is>
          <t>CPR</t>
        </is>
      </c>
      <c r="D4809" t="n">
        <v>41</v>
      </c>
      <c r="E4809">
        <f>IF(D6230&gt;0,VLOOKUP(OPERAC[[#This Row],[COD CART]],[1]!MatrizCortoLargoCyl[#All],3,0),"")</f>
        <v/>
      </c>
      <c r="F4809" t="inlineStr">
        <is>
          <t>SCO</t>
        </is>
      </c>
      <c r="G4809" t="n">
        <v>73</v>
      </c>
      <c r="H4809" t="n">
        <v>-6159.51</v>
      </c>
      <c r="I4809">
        <f>-H6230/G6230</f>
        <v/>
      </c>
    </row>
    <row r="4810">
      <c r="A4810" t="n">
        <v>18668</v>
      </c>
      <c r="B4810" s="16" t="n">
        <v>44641</v>
      </c>
      <c r="C4810" t="inlineStr">
        <is>
          <t>VTA</t>
        </is>
      </c>
      <c r="D4810" t="n">
        <v>42</v>
      </c>
      <c r="E4810">
        <f>IF(D2379&gt;0,VLOOKUP(OPERAC[[#This Row],[COD CART]],[1]!MatrizCortoLargoCyl[#All],3,0),"")</f>
        <v/>
      </c>
      <c r="F4810" t="inlineStr">
        <is>
          <t>JPM</t>
        </is>
      </c>
      <c r="G4810" t="n">
        <v>3</v>
      </c>
      <c r="H4810" t="n">
        <v>-421.3630200000001</v>
      </c>
      <c r="I4810">
        <f>-H2379/G2379</f>
        <v/>
      </c>
      <c r="J4810" s="16" t="n">
        <v>44664</v>
      </c>
      <c r="K4810">
        <f>+OPERAC[[#This Row],[cantidad]]</f>
        <v/>
      </c>
      <c r="L4810">
        <f>+OPERAC[[#This Row],[cantidad venta]]*125.943</f>
        <v/>
      </c>
    </row>
    <row r="4811">
      <c r="A4811" t="n">
        <v>18668</v>
      </c>
      <c r="B4811" s="16" t="n">
        <v>44641</v>
      </c>
      <c r="C4811" t="inlineStr">
        <is>
          <t>VTA</t>
        </is>
      </c>
      <c r="D4811" t="n">
        <v>42</v>
      </c>
      <c r="E4811">
        <f>IF(D2422&gt;0,VLOOKUP(OPERAC[[#This Row],[COD CART]],[1]!MatrizCortoLargoCyl[#All],3,0),"")</f>
        <v/>
      </c>
      <c r="F4811" t="inlineStr">
        <is>
          <t>FB</t>
        </is>
      </c>
      <c r="G4811" t="n">
        <v>2</v>
      </c>
      <c r="H4811" t="n">
        <v>-424.31276</v>
      </c>
      <c r="I4811">
        <f>-H2422/G2422</f>
        <v/>
      </c>
      <c r="J4811" s="16" t="n">
        <v>44671</v>
      </c>
      <c r="K4811">
        <f>+OPERAC[[#This Row],[cantidad]]</f>
        <v/>
      </c>
      <c r="L4811">
        <f>+OPERAC[[#This Row],[cantidad venta]]*213.173</f>
        <v/>
      </c>
    </row>
    <row r="4812">
      <c r="A4812" t="n">
        <v>18668</v>
      </c>
      <c r="B4812" s="16" t="n">
        <v>44671</v>
      </c>
      <c r="C4812" t="inlineStr">
        <is>
          <t>CPR</t>
        </is>
      </c>
      <c r="D4812" t="n">
        <v>42</v>
      </c>
      <c r="E4812">
        <f>IF(D2771&gt;0,VLOOKUP(OPERAC[[#This Row],[COD CART]],[1]!MatrizCortoLargoCyl[#All],3,0),"")</f>
        <v/>
      </c>
      <c r="F4812" t="inlineStr">
        <is>
          <t>NFLX</t>
        </is>
      </c>
      <c r="G4812" t="n">
        <v>2</v>
      </c>
      <c r="H4812" t="n">
        <v>-509.01012</v>
      </c>
      <c r="I4812">
        <f>-H2771/G2771</f>
        <v/>
      </c>
    </row>
    <row r="4813">
      <c r="A4813" t="n">
        <v>18669</v>
      </c>
      <c r="B4813" s="16" t="n">
        <v>44200</v>
      </c>
      <c r="C4813" t="inlineStr">
        <is>
          <t>VTA</t>
        </is>
      </c>
      <c r="D4813" t="n">
        <v>41</v>
      </c>
      <c r="E4813">
        <f>IF(D2015&gt;0,VLOOKUP(OPERAC[[#This Row],[COD CART]],[1]!MatrizCortoLargoCyl[#All],3,0),"")</f>
        <v/>
      </c>
      <c r="F4813" t="inlineStr">
        <is>
          <t>NIO</t>
        </is>
      </c>
      <c r="G4813" t="n">
        <v>6</v>
      </c>
      <c r="H4813" t="n">
        <v>-312.472</v>
      </c>
      <c r="I4813">
        <f>-H2015/G2015</f>
        <v/>
      </c>
    </row>
    <row r="4814">
      <c r="A4814" t="n">
        <v>18669</v>
      </c>
      <c r="B4814" s="16" t="n">
        <v>44323</v>
      </c>
      <c r="C4814" t="inlineStr">
        <is>
          <t>VTA</t>
        </is>
      </c>
      <c r="D4814" t="n">
        <v>41</v>
      </c>
      <c r="E4814">
        <f>IF(D1580&gt;0,VLOOKUP(OPERAC[[#This Row],[COD CART]],[1]!MatrizCortoLargoCyl[#All],3,0),"")</f>
        <v/>
      </c>
      <c r="F4814" t="inlineStr">
        <is>
          <t>PLTR</t>
        </is>
      </c>
      <c r="G4814" t="n">
        <v>10</v>
      </c>
      <c r="H4814" t="n">
        <v>-204.11</v>
      </c>
      <c r="I4814">
        <f>-H1580/G1580</f>
        <v/>
      </c>
    </row>
    <row r="4815">
      <c r="A4815" t="n">
        <v>18669</v>
      </c>
      <c r="B4815" s="16" t="n">
        <v>44369</v>
      </c>
      <c r="C4815" t="inlineStr">
        <is>
          <t>CPR</t>
        </is>
      </c>
      <c r="D4815" t="n">
        <v>41</v>
      </c>
      <c r="E4815">
        <f>IF(D2667&gt;0,VLOOKUP(OPERAC[[#This Row],[COD CART]],[1]!MatrizCortoLargoCyl[#All],3,0),"")</f>
        <v/>
      </c>
      <c r="F4815" t="inlineStr">
        <is>
          <t>ATOS</t>
        </is>
      </c>
      <c r="G4815" t="n">
        <v>100</v>
      </c>
      <c r="H4815">
        <f>-4.88*OPERAC[[#This Row],[cantidad]]</f>
        <v/>
      </c>
      <c r="I4815">
        <f>-H2667/G2667</f>
        <v/>
      </c>
    </row>
    <row r="4816">
      <c r="A4816" t="n">
        <v>18669</v>
      </c>
      <c r="B4816" s="16" t="n">
        <v>44419</v>
      </c>
      <c r="C4816" t="inlineStr">
        <is>
          <t>VTA</t>
        </is>
      </c>
      <c r="D4816" t="n">
        <v>41</v>
      </c>
      <c r="E4816">
        <f>IF(D3012&gt;0,VLOOKUP(OPERAC[[#This Row],[COD CART]],[1]!MatrizCortoLargoCyl[#All],3,0),"")</f>
        <v/>
      </c>
      <c r="F4816" t="inlineStr">
        <is>
          <t>PLTR</t>
        </is>
      </c>
      <c r="G4816" t="n">
        <v>25</v>
      </c>
      <c r="H4816" t="n">
        <v>-585.136</v>
      </c>
      <c r="I4816">
        <f>-H3012/G3012</f>
        <v/>
      </c>
    </row>
    <row r="4817">
      <c r="A4817" t="n">
        <v>18669</v>
      </c>
      <c r="B4817" s="16" t="n">
        <v>44482</v>
      </c>
      <c r="C4817" t="inlineStr">
        <is>
          <t>VTA</t>
        </is>
      </c>
      <c r="D4817" t="n">
        <v>41</v>
      </c>
      <c r="E4817">
        <f>IF(D1470&gt;0,VLOOKUP(OPERAC[[#This Row],[COD CART]],[1]!MatrizCortoLargoCyl[#All],3,0),"")</f>
        <v/>
      </c>
      <c r="F4817" t="inlineStr">
        <is>
          <t>VXX</t>
        </is>
      </c>
      <c r="G4817" t="n">
        <v>7</v>
      </c>
      <c r="H4817" t="n">
        <v>-172.143</v>
      </c>
      <c r="I4817">
        <f>-H1470/G1470</f>
        <v/>
      </c>
    </row>
    <row r="4818">
      <c r="A4818" t="n">
        <v>18669</v>
      </c>
      <c r="B4818" s="16" t="n">
        <v>44484</v>
      </c>
      <c r="C4818" t="inlineStr">
        <is>
          <t>VTA</t>
        </is>
      </c>
      <c r="D4818" t="n">
        <v>41</v>
      </c>
      <c r="E4818">
        <f>IF(D1487&gt;0,VLOOKUP(OPERAC[[#This Row],[COD CART]],[1]!MatrizCortoLargoCyl[#All],3,0),"")</f>
        <v/>
      </c>
      <c r="F4818" t="inlineStr">
        <is>
          <t>VXX</t>
        </is>
      </c>
      <c r="G4818" t="n">
        <v>8</v>
      </c>
      <c r="H4818" t="n">
        <v>-183.972</v>
      </c>
      <c r="I4818">
        <f>-H1487/G1487</f>
        <v/>
      </c>
    </row>
    <row r="4819">
      <c r="A4819" t="n">
        <v>18677</v>
      </c>
      <c r="B4819" s="16" t="n">
        <v>44414</v>
      </c>
      <c r="C4819" t="inlineStr">
        <is>
          <t>VTA</t>
        </is>
      </c>
      <c r="D4819" t="n">
        <v>39</v>
      </c>
      <c r="E4819">
        <f>IF(D972&gt;0,VLOOKUP(OPERAC[[#This Row],[COD CART]],[1]!MatrizCortoLargoCyl[#All],3,0),"")</f>
        <v/>
      </c>
      <c r="F4819" t="inlineStr">
        <is>
          <t>YPF/V/5,00/21-01-22</t>
        </is>
      </c>
      <c r="G4819" t="n">
        <v>-100</v>
      </c>
      <c r="H4819" t="n">
        <v>79.69</v>
      </c>
      <c r="I4819">
        <f>-H972/G972</f>
        <v/>
      </c>
      <c r="J4819" s="16" t="n">
        <v>44579</v>
      </c>
      <c r="K4819" t="n">
        <v>-100</v>
      </c>
      <c r="L4819" t="n">
        <v>-74.27500000000001</v>
      </c>
    </row>
    <row r="4820">
      <c r="A4820" t="n">
        <v>18677</v>
      </c>
      <c r="B4820" s="16" t="n">
        <v>44439</v>
      </c>
      <c r="C4820" t="inlineStr">
        <is>
          <t>VTA</t>
        </is>
      </c>
      <c r="D4820" t="n">
        <v>39</v>
      </c>
      <c r="E4820">
        <f>IF(D868&gt;0,VLOOKUP(OPERAC[[#This Row],[COD CART]],[1]!MatrizCortoLargoCyl[#All],3,0),"")</f>
        <v/>
      </c>
      <c r="F4820" t="inlineStr">
        <is>
          <t>SKLZ/P/7,50/20-01-23</t>
        </is>
      </c>
      <c r="G4820" t="n">
        <v>-100</v>
      </c>
      <c r="H4820" t="n">
        <v>198.4</v>
      </c>
      <c r="I4820">
        <f>-H868/G868</f>
        <v/>
      </c>
      <c r="J4820" s="16" t="n">
        <v>44614</v>
      </c>
      <c r="K4820">
        <f>+OPERAC[[#This Row],[cantidad]]</f>
        <v/>
      </c>
      <c r="L4820">
        <f>+OPERAC[[#This Row],[cantidad venta]]*4.488</f>
        <v/>
      </c>
    </row>
    <row r="4821">
      <c r="A4821" t="n">
        <v>18677</v>
      </c>
      <c r="B4821" s="16" t="n">
        <v>44441</v>
      </c>
      <c r="C4821" t="inlineStr">
        <is>
          <t>VTA</t>
        </is>
      </c>
      <c r="D4821" t="n">
        <v>39</v>
      </c>
      <c r="E4821">
        <f>IF(D611&gt;0,VLOOKUP(OPERAC[[#This Row],[COD CART]],[1]!MatrizCortoLargoCyl[#All],3,0),"")</f>
        <v/>
      </c>
      <c r="F4821" t="inlineStr">
        <is>
          <t>EDIT/V/35,00/20-01-23</t>
        </is>
      </c>
      <c r="G4821" t="n">
        <v>-100</v>
      </c>
      <c r="H4821" t="n">
        <v>600</v>
      </c>
      <c r="I4821">
        <f>-H611/G611</f>
        <v/>
      </c>
      <c r="J4821" s="16" t="n">
        <v>44614</v>
      </c>
      <c r="K4821" t="n">
        <v>-100</v>
      </c>
      <c r="L4821" t="n">
        <v>-2136.96</v>
      </c>
    </row>
    <row r="4822">
      <c r="A4822" t="n">
        <v>18677</v>
      </c>
      <c r="B4822" s="16" t="n">
        <v>44461</v>
      </c>
      <c r="C4822" t="inlineStr">
        <is>
          <t>VTA</t>
        </is>
      </c>
      <c r="D4822" t="n">
        <v>40</v>
      </c>
      <c r="E4822">
        <f>IF(D2819&gt;0,VLOOKUP(OPERAC[[#This Row],[COD CART]],[1]!MatrizCortoLargoCyl[#All],3,0),"")</f>
        <v/>
      </c>
      <c r="F4822" t="inlineStr">
        <is>
          <t>EDU</t>
        </is>
      </c>
      <c r="G4822" t="n">
        <v>500</v>
      </c>
      <c r="H4822">
        <f>-1.0864*OPERAC[[#This Row],[cantidad]]+0.04*OPERAC[[#This Row],[cantidad]]</f>
        <v/>
      </c>
      <c r="I4822">
        <f>-H2819/G2819</f>
        <v/>
      </c>
      <c r="J4822" s="16" t="n">
        <v>44615</v>
      </c>
      <c r="K4822" t="n">
        <v>500</v>
      </c>
      <c r="L4822">
        <f>+OPERAC[[#This Row],[cantidad venta]]*1.495</f>
        <v/>
      </c>
    </row>
    <row r="4823">
      <c r="A4823" t="n">
        <v>18677</v>
      </c>
      <c r="B4823" s="16" t="n">
        <v>44489</v>
      </c>
      <c r="C4823" t="inlineStr">
        <is>
          <t>VTA</t>
        </is>
      </c>
      <c r="D4823" t="n">
        <v>43</v>
      </c>
      <c r="E4823">
        <f>IF(D2234&gt;0,VLOOKUP(OPERAC[[#This Row],[COD CART]],[1]!MatrizCortoLargoCyl[#All],3,0),"")</f>
        <v/>
      </c>
      <c r="F4823" t="inlineStr">
        <is>
          <t>SESN/CYL-PUT/1,00/19-01-24</t>
        </is>
      </c>
      <c r="G4823" t="n">
        <v>2000</v>
      </c>
      <c r="H4823">
        <f>-0.1885*OPERAC[[#This Row],[cantidad]]</f>
        <v/>
      </c>
      <c r="I4823">
        <f>-H2234/G2234</f>
        <v/>
      </c>
      <c r="J4823" s="16" t="n">
        <v>44615</v>
      </c>
      <c r="K4823" t="n">
        <v>2000</v>
      </c>
      <c r="L4823">
        <f>1218.736-510.8</f>
        <v/>
      </c>
    </row>
    <row r="4824">
      <c r="A4824" t="n">
        <v>18677</v>
      </c>
      <c r="B4824" s="16" t="n">
        <v>44494</v>
      </c>
      <c r="C4824" t="inlineStr">
        <is>
          <t>VTA</t>
        </is>
      </c>
      <c r="D4824" t="n">
        <v>40</v>
      </c>
      <c r="E4824">
        <f>IF(D2063&gt;0,VLOOKUP(OPERAC[[#This Row],[COD CART]],[1]!MatrizCortoLargoCyl[#All],3,0),"")</f>
        <v/>
      </c>
      <c r="F4824" t="inlineStr">
        <is>
          <t>YPF</t>
        </is>
      </c>
      <c r="G4824" t="n">
        <v>70</v>
      </c>
      <c r="H4824" t="n">
        <v>-325.6904000000001</v>
      </c>
      <c r="I4824">
        <f>-H2063/G2063</f>
        <v/>
      </c>
      <c r="J4824" s="16" t="n">
        <v>44606</v>
      </c>
      <c r="K4824">
        <f>+OPERAC[[#This Row],[cantidad]]</f>
        <v/>
      </c>
      <c r="L4824">
        <f>+OPERAC[[#This Row],[cantidad venta]]*4.161</f>
        <v/>
      </c>
    </row>
    <row r="4825">
      <c r="A4825" t="n">
        <v>18677</v>
      </c>
      <c r="B4825" s="16" t="n">
        <v>44523</v>
      </c>
      <c r="C4825" t="inlineStr">
        <is>
          <t>VTA</t>
        </is>
      </c>
      <c r="D4825" t="n">
        <v>40</v>
      </c>
      <c r="E4825">
        <f>IF(D1476&gt;0,VLOOKUP(OPERAC[[#This Row],[COD CART]],[1]!MatrizCortoLargoCyl[#All],3,0),"")</f>
        <v/>
      </c>
      <c r="F4825" t="inlineStr">
        <is>
          <t>EDU</t>
        </is>
      </c>
      <c r="G4825" t="n">
        <v>100</v>
      </c>
      <c r="H4825">
        <f>-177.949+0.026*OPERAC[[#This Row],[cantidad]]</f>
        <v/>
      </c>
      <c r="I4825">
        <f>-H1476/G1476</f>
        <v/>
      </c>
      <c r="J4825" s="16" t="n">
        <v>44615</v>
      </c>
      <c r="K4825" t="n">
        <v>100</v>
      </c>
      <c r="L4825">
        <f>+OPERAC[[#This Row],[cantidad venta]]*1.495</f>
        <v/>
      </c>
    </row>
    <row r="4826">
      <c r="A4826" t="n">
        <v>18677</v>
      </c>
      <c r="B4826" s="16" t="n">
        <v>44531</v>
      </c>
      <c r="C4826" t="inlineStr">
        <is>
          <t>VTA</t>
        </is>
      </c>
      <c r="D4826" t="n">
        <v>39</v>
      </c>
      <c r="E4826">
        <f>IF(D1194&gt;0,VLOOKUP(OPERAC[[#This Row],[COD CART]],[1]!MatrizCortoLargoCyl[#All],3,0),"")</f>
        <v/>
      </c>
      <c r="F4826" t="inlineStr">
        <is>
          <t>SOLO/V/3,00/17-06-22</t>
        </is>
      </c>
      <c r="G4826" t="n">
        <v>-10</v>
      </c>
      <c r="H4826" t="n">
        <v>9.4015</v>
      </c>
      <c r="I4826">
        <f>-H1194/G1194</f>
        <v/>
      </c>
      <c r="J4826" s="16" t="n">
        <v>44690</v>
      </c>
      <c r="K4826" t="n">
        <v>-10</v>
      </c>
      <c r="L4826" t="n">
        <v>-14.62</v>
      </c>
    </row>
    <row r="4827">
      <c r="A4827" t="n">
        <v>18677</v>
      </c>
      <c r="B4827" s="16" t="n">
        <v>44539</v>
      </c>
      <c r="C4827" t="inlineStr">
        <is>
          <t>CPR</t>
        </is>
      </c>
      <c r="D4827" t="n">
        <v>40</v>
      </c>
      <c r="E4827">
        <f>IF(D2799&gt;0,VLOOKUP(OPERAC[[#This Row],[COD CART]],[1]!MatrizCortoLargoCyl[#All],3,0),"")</f>
        <v/>
      </c>
      <c r="F4827" t="inlineStr">
        <is>
          <t>ROKU</t>
        </is>
      </c>
      <c r="G4827" t="n">
        <v>2</v>
      </c>
      <c r="H4827" t="n">
        <v>-515.4407199999999</v>
      </c>
      <c r="I4827">
        <f>-H2799/G2799</f>
        <v/>
      </c>
      <c r="J4827" s="16" t="n">
        <v>44606</v>
      </c>
      <c r="K4827">
        <f>+OPERAC[[#This Row],[cantidad]]</f>
        <v/>
      </c>
      <c r="L4827">
        <f>+OPERAC[[#This Row],[cantidad venta]]*160.574</f>
        <v/>
      </c>
    </row>
    <row r="4828">
      <c r="A4828" t="n">
        <v>18677</v>
      </c>
      <c r="B4828" s="16" t="n">
        <v>44547</v>
      </c>
      <c r="C4828" t="inlineStr">
        <is>
          <t>VTA</t>
        </is>
      </c>
      <c r="D4828" t="n">
        <v>32</v>
      </c>
      <c r="E4828">
        <f>IF(D3798&gt;0,VLOOKUP(OPERAC[[#This Row],[COD CART]],[1]!MatrizCortoLargoCyl[#All],3,0),"")</f>
        <v/>
      </c>
      <c r="F4828" t="inlineStr">
        <is>
          <t>ARLO/CYL/9,00/18-02-22</t>
        </is>
      </c>
      <c r="G4828" t="n">
        <v>100</v>
      </c>
      <c r="H4828">
        <f>-866.74+14.88</f>
        <v/>
      </c>
      <c r="I4828">
        <f>-H3798/G3798</f>
        <v/>
      </c>
      <c r="J4828" s="16" t="n">
        <v>44607</v>
      </c>
      <c r="K4828" t="n">
        <v>100</v>
      </c>
      <c r="L4828" t="n">
        <v>875.33</v>
      </c>
    </row>
    <row r="4829">
      <c r="A4829" t="n">
        <v>18677</v>
      </c>
      <c r="B4829" s="16" t="n">
        <v>44553</v>
      </c>
      <c r="C4829" t="inlineStr">
        <is>
          <t>VTA</t>
        </is>
      </c>
      <c r="D4829" t="n">
        <v>40</v>
      </c>
      <c r="E4829">
        <f>IF(D1815&gt;0,VLOOKUP(OPERAC[[#This Row],[COD CART]],[1]!MatrizCortoLargoCyl[#All],3,0),"")</f>
        <v/>
      </c>
      <c r="F4829" t="inlineStr">
        <is>
          <t>ON</t>
        </is>
      </c>
      <c r="G4829" t="n">
        <v>4</v>
      </c>
      <c r="H4829" t="n">
        <v>-268.4544319999999</v>
      </c>
      <c r="I4829">
        <f>-H1815/G1815</f>
        <v/>
      </c>
      <c r="J4829" s="16" t="n">
        <v>44606</v>
      </c>
      <c r="K4829">
        <f>+OPERAC[[#This Row],[cantidad]]</f>
        <v/>
      </c>
      <c r="L4829">
        <f>+OPERAC[[#This Row],[cantidad venta]]*58.449</f>
        <v/>
      </c>
    </row>
    <row r="4830">
      <c r="A4830" t="n">
        <v>18677</v>
      </c>
      <c r="B4830" s="16" t="n">
        <v>44579</v>
      </c>
      <c r="C4830" t="inlineStr">
        <is>
          <t>VTA</t>
        </is>
      </c>
      <c r="D4830" t="n">
        <v>39</v>
      </c>
      <c r="E4830">
        <f>IF(D1254&gt;0,VLOOKUP(OPERAC[[#This Row],[COD CART]],[1]!MatrizCortoLargoCyl[#All],3,0),"")</f>
        <v/>
      </c>
      <c r="F4830" t="inlineStr">
        <is>
          <t>YPF/V/5,00/15-07-22</t>
        </is>
      </c>
      <c r="G4830" t="n">
        <v>-1</v>
      </c>
      <c r="H4830" t="n">
        <v>1.0849</v>
      </c>
      <c r="I4830">
        <f>-H1254/G1254</f>
        <v/>
      </c>
    </row>
    <row r="4831">
      <c r="A4831" t="n">
        <v>18677</v>
      </c>
      <c r="B4831" s="16" t="n">
        <v>44586</v>
      </c>
      <c r="C4831" t="inlineStr">
        <is>
          <t>VTA</t>
        </is>
      </c>
      <c r="D4831" t="n">
        <v>43</v>
      </c>
      <c r="E4831">
        <f>IF(D1324&gt;0,VLOOKUP(OPERAC[[#This Row],[COD CART]],[1]!MatrizCortoLargoCyl[#All],3,0),"")</f>
        <v/>
      </c>
      <c r="F4831" t="inlineStr">
        <is>
          <t>GMBL/CYL-PUT/2,50/20-01-23</t>
        </is>
      </c>
      <c r="G4831" t="n">
        <v>100</v>
      </c>
      <c r="H4831" t="n">
        <v>-101.6063</v>
      </c>
      <c r="I4831">
        <f>-H1324/G1324</f>
        <v/>
      </c>
      <c r="J4831" s="16" t="n">
        <v>44643</v>
      </c>
      <c r="K4831" t="n">
        <v>100</v>
      </c>
      <c r="L4831" t="n">
        <v>-112.485</v>
      </c>
    </row>
    <row r="4832">
      <c r="A4832" t="n">
        <v>18677</v>
      </c>
      <c r="B4832" s="16" t="n">
        <v>44594</v>
      </c>
      <c r="C4832" t="inlineStr">
        <is>
          <t>CPR</t>
        </is>
      </c>
      <c r="D4832" t="n">
        <v>40</v>
      </c>
      <c r="E4832">
        <f>IF(D4229&gt;0,VLOOKUP(OPERAC[[#This Row],[COD CART]],[1]!MatrizCortoLargoCyl[#All],3,0),"")</f>
        <v/>
      </c>
      <c r="F4832" t="inlineStr">
        <is>
          <t>EDU</t>
        </is>
      </c>
      <c r="G4832" t="n">
        <v>500</v>
      </c>
      <c r="H4832" t="n">
        <v>-1008</v>
      </c>
      <c r="I4832">
        <f>-H4229/G4229</f>
        <v/>
      </c>
      <c r="J4832" s="16" t="n">
        <v>44599</v>
      </c>
      <c r="K4832" t="n">
        <v>500</v>
      </c>
      <c r="L4832" t="n">
        <v>770</v>
      </c>
    </row>
    <row r="4833">
      <c r="A4833" t="n">
        <v>18677</v>
      </c>
      <c r="B4833" s="16" t="n">
        <v>44602</v>
      </c>
      <c r="C4833" t="inlineStr">
        <is>
          <t>VTA</t>
        </is>
      </c>
      <c r="D4833" t="n">
        <v>39</v>
      </c>
      <c r="E4833">
        <f>IF(D937&gt;0,VLOOKUP(OPERAC[[#This Row],[COD CART]],[1]!MatrizCortoLargoCyl[#All],3,0),"")</f>
        <v/>
      </c>
      <c r="F4833" t="inlineStr">
        <is>
          <t>TSLA/C/1005,00/11-02-22</t>
        </is>
      </c>
      <c r="G4833" t="n">
        <v>-200</v>
      </c>
      <c r="H4833">
        <f>-0.5*OPERAC[[#This Row],[cantidad]]</f>
        <v/>
      </c>
      <c r="I4833">
        <f>-H937/G937</f>
        <v/>
      </c>
      <c r="J4833" s="16" t="n">
        <v>44603</v>
      </c>
      <c r="K4833" t="n">
        <v>-200</v>
      </c>
      <c r="L4833" t="n">
        <v>0</v>
      </c>
    </row>
    <row r="4834">
      <c r="A4834" t="n">
        <v>18677</v>
      </c>
      <c r="B4834" s="16" t="n">
        <v>44602</v>
      </c>
      <c r="C4834" t="inlineStr">
        <is>
          <t>VTA</t>
        </is>
      </c>
      <c r="D4834" t="n">
        <v>39</v>
      </c>
      <c r="E4834">
        <f>IF(D938&gt;0,VLOOKUP(OPERAC[[#This Row],[COD CART]],[1]!MatrizCortoLargoCyl[#All],3,0),"")</f>
        <v/>
      </c>
      <c r="F4834" t="inlineStr">
        <is>
          <t>TSLA/V/840,00/11-02-22</t>
        </is>
      </c>
      <c r="G4834" t="n">
        <v>-200</v>
      </c>
      <c r="H4834">
        <f>-0.5*OPERAC[[#This Row],[cantidad]]</f>
        <v/>
      </c>
      <c r="I4834">
        <f>-H938/G938</f>
        <v/>
      </c>
      <c r="J4834" s="16" t="n">
        <v>44603</v>
      </c>
      <c r="K4834" t="n">
        <v>-200</v>
      </c>
      <c r="L4834" t="n">
        <v>0</v>
      </c>
    </row>
    <row r="4835">
      <c r="A4835" t="n">
        <v>18677</v>
      </c>
      <c r="B4835" s="16" t="n">
        <v>44608</v>
      </c>
      <c r="C4835" t="inlineStr">
        <is>
          <t>VTA</t>
        </is>
      </c>
      <c r="D4835" t="n">
        <v>32</v>
      </c>
      <c r="E4835">
        <f>IF(D5117&gt;0,VLOOKUP(OPERAC[[#This Row],[COD CART]],[1]!MatrizCortoLargoCyl[#All],3,0),"")</f>
        <v/>
      </c>
      <c r="F4835" t="inlineStr">
        <is>
          <t>DDD/CYL/17,00/01-04-22</t>
        </is>
      </c>
      <c r="G4835" t="n">
        <v>100</v>
      </c>
      <c r="H4835">
        <f>-1629.4234+19.7+16.45</f>
        <v/>
      </c>
      <c r="I4835">
        <f>-H5117/G5117</f>
        <v/>
      </c>
      <c r="J4835" s="16" t="n">
        <v>44649</v>
      </c>
      <c r="K4835" t="n">
        <v>100</v>
      </c>
      <c r="L4835" t="n">
        <v>1661.98</v>
      </c>
    </row>
    <row r="4836">
      <c r="A4836" t="n">
        <v>18677</v>
      </c>
      <c r="B4836" s="16" t="n">
        <v>44614</v>
      </c>
      <c r="C4836" t="inlineStr">
        <is>
          <t>VTA</t>
        </is>
      </c>
      <c r="D4836" t="n">
        <v>39</v>
      </c>
      <c r="E4836">
        <f>IF(D1124&gt;0,VLOOKUP(OPERAC[[#This Row],[COD CART]],[1]!MatrizCortoLargoCyl[#All],3,0),"")</f>
        <v/>
      </c>
      <c r="F4836" t="inlineStr">
        <is>
          <t>DDD/V/10,00/20-01-23</t>
        </is>
      </c>
      <c r="G4836" t="n">
        <v>-20</v>
      </c>
      <c r="H4836" t="n">
        <v>20.75</v>
      </c>
      <c r="I4836">
        <f>-H1124/G1124</f>
        <v/>
      </c>
    </row>
    <row r="4837">
      <c r="A4837" t="n">
        <v>18677</v>
      </c>
      <c r="B4837" s="16" t="n">
        <v>44616</v>
      </c>
      <c r="C4837" t="inlineStr">
        <is>
          <t>CPR</t>
        </is>
      </c>
      <c r="D4837" t="n">
        <v>32</v>
      </c>
      <c r="E4837">
        <f>IF(D3297&gt;0,VLOOKUP(OPERAC[[#This Row],[COD CART]],[1]!MatrizCortoLargoCyl[#All],3,0),"")</f>
        <v/>
      </c>
      <c r="F4837" t="inlineStr">
        <is>
          <t>UUUU/CYL/8,00/18-03-22</t>
        </is>
      </c>
      <c r="G4837" t="n">
        <v>100</v>
      </c>
      <c r="H4837" t="n">
        <v>-683.826</v>
      </c>
      <c r="I4837">
        <f>-H3297/G3297</f>
        <v/>
      </c>
      <c r="J4837" s="16" t="n">
        <v>44636</v>
      </c>
      <c r="K4837">
        <f>+OPERAC[[#This Row],[cantidad]]</f>
        <v/>
      </c>
      <c r="L4837" t="n">
        <v>767.46</v>
      </c>
    </row>
    <row r="4838">
      <c r="A4838" t="n">
        <v>18677</v>
      </c>
      <c r="B4838" s="16" t="n">
        <v>44622</v>
      </c>
      <c r="C4838" t="inlineStr">
        <is>
          <t>CPR</t>
        </is>
      </c>
      <c r="D4838" t="n">
        <v>32</v>
      </c>
      <c r="E4838">
        <f>IF(D2584&gt;0,VLOOKUP(OPERAC[[#This Row],[COD CART]],[1]!MatrizCortoLargoCyl[#All],3,0),"")</f>
        <v/>
      </c>
      <c r="F4838" t="inlineStr">
        <is>
          <t>HMY/CYL/5,00/18-03-22</t>
        </is>
      </c>
      <c r="G4838" t="n">
        <v>100</v>
      </c>
      <c r="H4838" t="n">
        <v>-468.532</v>
      </c>
      <c r="I4838">
        <f>-H2584/G2584</f>
        <v/>
      </c>
      <c r="J4838" s="16" t="n">
        <v>44637</v>
      </c>
      <c r="K4838">
        <f>+OPERAC[[#This Row],[cantidad]]</f>
        <v/>
      </c>
      <c r="L4838">
        <f>4.85553*OPERAC[[#This Row],[cantidad venta]]</f>
        <v/>
      </c>
    </row>
    <row r="4839">
      <c r="A4839" t="n">
        <v>18677</v>
      </c>
      <c r="B4839" s="16" t="n">
        <v>44641</v>
      </c>
      <c r="C4839" t="inlineStr">
        <is>
          <t>CPR</t>
        </is>
      </c>
      <c r="D4839" t="n">
        <v>42</v>
      </c>
      <c r="E4839">
        <f>IF(D1881&gt;0,VLOOKUP(OPERAC[[#This Row],[COD CART]],[1]!MatrizCortoLargoCyl[#All],3,0),"")</f>
        <v/>
      </c>
      <c r="F4839" t="inlineStr">
        <is>
          <t>JPM</t>
        </is>
      </c>
      <c r="G4839" t="n">
        <v>2</v>
      </c>
      <c r="H4839" t="n">
        <v>-280.9086800000001</v>
      </c>
      <c r="I4839">
        <f>-H1881/G1881</f>
        <v/>
      </c>
      <c r="J4839" s="16" t="n">
        <v>44664</v>
      </c>
      <c r="K4839">
        <f>+OPERAC[[#This Row],[cantidad]]</f>
        <v/>
      </c>
      <c r="L4839">
        <f>+OPERAC[[#This Row],[cantidad venta]]*125.943</f>
        <v/>
      </c>
    </row>
    <row r="4840">
      <c r="A4840" t="n">
        <v>18677</v>
      </c>
      <c r="B4840" s="16" t="n">
        <v>44641</v>
      </c>
      <c r="C4840" t="inlineStr">
        <is>
          <t>VTA</t>
        </is>
      </c>
      <c r="D4840" t="n">
        <v>39</v>
      </c>
      <c r="E4840">
        <f>IF(D469&gt;0,VLOOKUP(OPERAC[[#This Row],[COD CART]],[1]!MatrizCortoLargoCyl[#All],3,0),"")</f>
        <v/>
      </c>
      <c r="F4840" t="inlineStr">
        <is>
          <t>TSLA/V/790,00/25-03-22</t>
        </is>
      </c>
      <c r="G4840" t="n">
        <v>-1000</v>
      </c>
      <c r="H4840" t="n">
        <v>989.28</v>
      </c>
      <c r="I4840">
        <f>-H469/G469</f>
        <v/>
      </c>
      <c r="J4840" s="16" t="n">
        <v>44642</v>
      </c>
      <c r="K4840" t="n">
        <v>-1000</v>
      </c>
      <c r="L4840" t="n">
        <v>-365.57</v>
      </c>
    </row>
    <row r="4841">
      <c r="A4841" t="n">
        <v>18677</v>
      </c>
      <c r="B4841" s="16" t="n">
        <v>44641</v>
      </c>
      <c r="C4841" t="inlineStr">
        <is>
          <t>VTA</t>
        </is>
      </c>
      <c r="D4841" t="n">
        <v>42</v>
      </c>
      <c r="E4841">
        <f>IF(D2423&gt;0,VLOOKUP(OPERAC[[#This Row],[COD CART]],[1]!MatrizCortoLargoCyl[#All],3,0),"")</f>
        <v/>
      </c>
      <c r="F4841" t="inlineStr">
        <is>
          <t>FB</t>
        </is>
      </c>
      <c r="G4841" t="n">
        <v>2</v>
      </c>
      <c r="H4841" t="n">
        <v>-424.31276</v>
      </c>
      <c r="I4841">
        <f>-H2423/G2423</f>
        <v/>
      </c>
      <c r="J4841" s="16" t="n">
        <v>44671</v>
      </c>
      <c r="K4841">
        <f>+OPERAC[[#This Row],[cantidad]]</f>
        <v/>
      </c>
      <c r="L4841">
        <f>+OPERAC[[#This Row],[cantidad venta]]*213.173</f>
        <v/>
      </c>
    </row>
    <row r="4842">
      <c r="A4842" t="n">
        <v>18677</v>
      </c>
      <c r="B4842" s="16" t="n">
        <v>44641</v>
      </c>
      <c r="C4842" t="inlineStr">
        <is>
          <t>VTA</t>
        </is>
      </c>
      <c r="D4842" t="n">
        <v>42</v>
      </c>
      <c r="E4842">
        <f>IF(D2881&gt;0,VLOOKUP(OPERAC[[#This Row],[COD CART]],[1]!MatrizCortoLargoCyl[#All],3,0),"")</f>
        <v/>
      </c>
      <c r="F4842" t="inlineStr">
        <is>
          <t>SMH</t>
        </is>
      </c>
      <c r="G4842" t="n">
        <v>2</v>
      </c>
      <c r="H4842" t="n">
        <v>-537.9153000000001</v>
      </c>
      <c r="I4842">
        <f>-H2881/G2881</f>
        <v/>
      </c>
      <c r="J4842" s="16" t="n">
        <v>44663</v>
      </c>
      <c r="K4842">
        <f>+OPERAC[[#This Row],[cantidad]]</f>
        <v/>
      </c>
      <c r="L4842">
        <f>+OPERAC[[#This Row],[cantidad venta]]*238.066</f>
        <v/>
      </c>
    </row>
    <row r="4843">
      <c r="A4843" t="n">
        <v>18677</v>
      </c>
      <c r="B4843" s="16" t="n">
        <v>44642</v>
      </c>
      <c r="C4843" t="inlineStr">
        <is>
          <t>CPR</t>
        </is>
      </c>
      <c r="D4843" t="n">
        <v>42</v>
      </c>
      <c r="E4843">
        <f>IF(D2646&gt;0,VLOOKUP(OPERAC[[#This Row],[COD CART]],[1]!MatrizCortoLargoCyl[#All],3,0),"")</f>
        <v/>
      </c>
      <c r="F4843" t="inlineStr">
        <is>
          <t>HYDR</t>
        </is>
      </c>
      <c r="G4843" t="n">
        <v>25</v>
      </c>
      <c r="H4843">
        <f>-19.39*OPERAC[[#This Row],[cantidad]]</f>
        <v/>
      </c>
      <c r="I4843">
        <f>-H2646/G2646</f>
        <v/>
      </c>
      <c r="J4843" s="16" t="n">
        <v>44693</v>
      </c>
      <c r="K4843">
        <f>+OPERAC[[#This Row],[cantidad]]</f>
        <v/>
      </c>
      <c r="L4843">
        <f>+OPERAC[[#This Row],[cantidad venta]]*11.986</f>
        <v/>
      </c>
    </row>
    <row r="4844">
      <c r="A4844" t="n">
        <v>18677</v>
      </c>
      <c r="B4844" s="16" t="n">
        <v>44642</v>
      </c>
      <c r="C4844" t="inlineStr">
        <is>
          <t>VTA</t>
        </is>
      </c>
      <c r="D4844" t="n">
        <v>39</v>
      </c>
      <c r="E4844">
        <f>IF(D414&gt;0,VLOOKUP(OPERAC[[#This Row],[COD CART]],[1]!MatrizCortoLargoCyl[#All],3,0),"")</f>
        <v/>
      </c>
      <c r="F4844" t="inlineStr">
        <is>
          <t>TSLA/V/815,00/25-03-22</t>
        </is>
      </c>
      <c r="G4844" t="n">
        <v>-1000</v>
      </c>
      <c r="H4844" t="n">
        <v>1108.32</v>
      </c>
      <c r="I4844">
        <f>-H414/G414</f>
        <v/>
      </c>
      <c r="J4844" s="16" t="n">
        <v>44645</v>
      </c>
      <c r="K4844" t="n">
        <v>-1000</v>
      </c>
      <c r="L4844" t="n">
        <v>0</v>
      </c>
    </row>
    <row r="4845">
      <c r="A4845" t="n">
        <v>18677</v>
      </c>
      <c r="B4845" s="16" t="n">
        <v>44642</v>
      </c>
      <c r="C4845" t="inlineStr">
        <is>
          <t>VTA</t>
        </is>
      </c>
      <c r="D4845" t="n">
        <v>39</v>
      </c>
      <c r="E4845">
        <f>IF(D640&gt;0,VLOOKUP(OPERAC[[#This Row],[COD CART]],[1]!MatrizCortoLargoCyl[#All],3,0),"")</f>
        <v/>
      </c>
      <c r="F4845" t="inlineStr">
        <is>
          <t>TSLA/V/810,00/25-03-22</t>
        </is>
      </c>
      <c r="G4845" t="n">
        <v>-1000</v>
      </c>
      <c r="H4845" t="n">
        <v>542.88</v>
      </c>
      <c r="I4845">
        <f>-H640/G640</f>
        <v/>
      </c>
      <c r="J4845" s="16" t="n">
        <v>44645</v>
      </c>
      <c r="K4845" t="n">
        <v>-1000</v>
      </c>
      <c r="L4845" t="n">
        <v>0</v>
      </c>
    </row>
    <row r="4846">
      <c r="A4846" t="n">
        <v>18677</v>
      </c>
      <c r="B4846" s="16" t="n">
        <v>44643</v>
      </c>
      <c r="C4846" t="inlineStr">
        <is>
          <t>VTA</t>
        </is>
      </c>
      <c r="D4846" t="n">
        <v>42</v>
      </c>
      <c r="E4846">
        <f>IF(D1793&gt;0,VLOOKUP(OPERAC[[#This Row],[COD CART]],[1]!MatrizCortoLargoCyl[#All],3,0),"")</f>
        <v/>
      </c>
      <c r="F4846" t="inlineStr">
        <is>
          <t>SMH</t>
        </is>
      </c>
      <c r="G4846" t="n">
        <v>1</v>
      </c>
      <c r="H4846" t="n">
        <v>-267.162898</v>
      </c>
      <c r="I4846">
        <f>-H1793/G1793</f>
        <v/>
      </c>
      <c r="J4846" s="16" t="n">
        <v>44663</v>
      </c>
      <c r="K4846">
        <f>+OPERAC[[#This Row],[cantidad]]</f>
        <v/>
      </c>
      <c r="L4846">
        <f>+OPERAC[[#This Row],[cantidad venta]]*238.066</f>
        <v/>
      </c>
    </row>
    <row r="4847">
      <c r="A4847" t="n">
        <v>18677</v>
      </c>
      <c r="B4847" s="16" t="n">
        <v>44643</v>
      </c>
      <c r="C4847" t="inlineStr">
        <is>
          <t>VTA</t>
        </is>
      </c>
      <c r="D4847" t="n">
        <v>42</v>
      </c>
      <c r="E4847">
        <f>IF(D2369&gt;0,VLOOKUP(OPERAC[[#This Row],[COD CART]],[1]!MatrizCortoLargoCyl[#All],3,0),"")</f>
        <v/>
      </c>
      <c r="F4847" t="inlineStr">
        <is>
          <t>ADBE</t>
        </is>
      </c>
      <c r="G4847" t="n">
        <v>1</v>
      </c>
      <c r="H4847" t="n">
        <v>-421.054775</v>
      </c>
      <c r="I4847">
        <f>-H2369/G2369</f>
        <v/>
      </c>
      <c r="J4847" s="16" t="n">
        <v>44687</v>
      </c>
      <c r="K4847">
        <f>+OPERAC[[#This Row],[cantidad]]</f>
        <v/>
      </c>
      <c r="L4847" t="n">
        <v>386.42</v>
      </c>
    </row>
    <row r="4848">
      <c r="A4848" t="n">
        <v>18677</v>
      </c>
      <c r="B4848" s="16" t="n">
        <v>44643</v>
      </c>
      <c r="C4848" t="inlineStr">
        <is>
          <t>VTA</t>
        </is>
      </c>
      <c r="D4848" t="n">
        <v>42</v>
      </c>
      <c r="E4848">
        <f>IF(D2404&gt;0,VLOOKUP(OPERAC[[#This Row],[COD CART]],[1]!MatrizCortoLargoCyl[#All],3,0),"")</f>
        <v/>
      </c>
      <c r="F4848" t="inlineStr">
        <is>
          <t>JPM</t>
        </is>
      </c>
      <c r="G4848" t="n">
        <v>3</v>
      </c>
      <c r="H4848" t="n">
        <v>-423.73992</v>
      </c>
      <c r="I4848">
        <f>-H2404/G2404</f>
        <v/>
      </c>
      <c r="J4848" s="16" t="n">
        <v>44664</v>
      </c>
      <c r="K4848">
        <f>+OPERAC[[#This Row],[cantidad]]</f>
        <v/>
      </c>
      <c r="L4848">
        <f>+OPERAC[[#This Row],[cantidad venta]]*125.943</f>
        <v/>
      </c>
    </row>
    <row r="4849">
      <c r="A4849" t="n">
        <v>18677</v>
      </c>
      <c r="B4849" s="16" t="n">
        <v>44643</v>
      </c>
      <c r="C4849" t="inlineStr">
        <is>
          <t>VTA</t>
        </is>
      </c>
      <c r="D4849" t="n">
        <v>42</v>
      </c>
      <c r="E4849">
        <f>IF(D2457&gt;0,VLOOKUP(OPERAC[[#This Row],[COD CART]],[1]!MatrizCortoLargoCyl[#All],3,0),"")</f>
        <v/>
      </c>
      <c r="F4849" t="inlineStr">
        <is>
          <t>FB</t>
        </is>
      </c>
      <c r="G4849" t="n">
        <v>2</v>
      </c>
      <c r="H4849" t="n">
        <v>-432.24652</v>
      </c>
      <c r="I4849">
        <f>-H2457/G2457</f>
        <v/>
      </c>
      <c r="J4849" s="16" t="n">
        <v>44671</v>
      </c>
      <c r="K4849">
        <f>+OPERAC[[#This Row],[cantidad]]</f>
        <v/>
      </c>
      <c r="L4849">
        <f>+OPERAC[[#This Row],[cantidad venta]]*213.173</f>
        <v/>
      </c>
    </row>
    <row r="4850">
      <c r="A4850" t="n">
        <v>18677</v>
      </c>
      <c r="B4850" s="16" t="n">
        <v>44649</v>
      </c>
      <c r="C4850" t="inlineStr">
        <is>
          <t>VTA</t>
        </is>
      </c>
      <c r="D4850" t="n">
        <v>32</v>
      </c>
      <c r="E4850">
        <f>IF(D3225&gt;0,VLOOKUP(OPERAC[[#This Row],[COD CART]],[1]!MatrizCortoLargoCyl[#All],3,0),"")</f>
        <v/>
      </c>
      <c r="F4850" t="inlineStr">
        <is>
          <t>TLRY</t>
        </is>
      </c>
      <c r="G4850" t="n">
        <v>100</v>
      </c>
      <c r="H4850">
        <f>-672.216+9.915</f>
        <v/>
      </c>
      <c r="I4850">
        <f>-H3225/G3225</f>
        <v/>
      </c>
    </row>
    <row r="4851">
      <c r="A4851" t="n">
        <v>18677</v>
      </c>
      <c r="B4851" s="16" t="n">
        <v>44650</v>
      </c>
      <c r="C4851" t="inlineStr">
        <is>
          <t>CPR</t>
        </is>
      </c>
      <c r="D4851" t="n">
        <v>32</v>
      </c>
      <c r="E4851">
        <f>IF(D3433&gt;0,VLOOKUP(OPERAC[[#This Row],[COD CART]],[1]!MatrizCortoLargoCyl[#All],3,0),"")</f>
        <v/>
      </c>
      <c r="F4851" t="inlineStr">
        <is>
          <t>UUUU/CYL/8,00/20-05-22</t>
        </is>
      </c>
      <c r="G4851" t="n">
        <v>100</v>
      </c>
      <c r="H4851" t="n">
        <v>-748.0204</v>
      </c>
      <c r="I4851">
        <f>-H3433/G3433</f>
        <v/>
      </c>
      <c r="J4851" s="16" t="n">
        <v>44665</v>
      </c>
      <c r="K4851" t="n">
        <v>100</v>
      </c>
      <c r="L4851" t="n">
        <v>776</v>
      </c>
    </row>
    <row r="4852">
      <c r="A4852" t="n">
        <v>18677</v>
      </c>
      <c r="B4852" s="16" t="n">
        <v>44662</v>
      </c>
      <c r="C4852" t="inlineStr">
        <is>
          <t>VTA</t>
        </is>
      </c>
      <c r="D4852" t="n">
        <v>42</v>
      </c>
      <c r="E4852">
        <f>IF(D2506&gt;0,VLOOKUP(OPERAC[[#This Row],[COD CART]],[1]!MatrizCortoLargoCyl[#All],3,0),"")</f>
        <v/>
      </c>
      <c r="F4852" t="inlineStr">
        <is>
          <t>UPST</t>
        </is>
      </c>
      <c r="G4852" t="n">
        <v>5</v>
      </c>
      <c r="H4852" t="n">
        <v>-457.0018</v>
      </c>
      <c r="I4852">
        <f>-H2506/G2506</f>
        <v/>
      </c>
      <c r="J4852" s="16" t="n">
        <v>44693</v>
      </c>
      <c r="K4852" t="n">
        <v>5</v>
      </c>
      <c r="L4852" t="n">
        <v>158.792</v>
      </c>
    </row>
    <row r="4853">
      <c r="A4853" t="n">
        <v>18677</v>
      </c>
      <c r="B4853" s="16" t="n">
        <v>44664</v>
      </c>
      <c r="C4853" t="inlineStr">
        <is>
          <t>CPR</t>
        </is>
      </c>
      <c r="D4853" t="n">
        <v>42</v>
      </c>
      <c r="E4853">
        <f>IF(D4592&gt;0,VLOOKUP(OPERAC[[#This Row],[COD CART]],[1]!MatrizCortoLargoCyl[#All],3,0),"")</f>
        <v/>
      </c>
      <c r="F4853" t="inlineStr">
        <is>
          <t>PSQ</t>
        </is>
      </c>
      <c r="G4853" t="n">
        <v>100</v>
      </c>
      <c r="H4853" t="n">
        <v>-1243.2572181</v>
      </c>
      <c r="I4853">
        <f>-H4592/G4592</f>
        <v/>
      </c>
      <c r="J4853" s="16" t="n">
        <v>44680</v>
      </c>
      <c r="K4853">
        <f>+OPERAC[[#This Row],[cantidad]]</f>
        <v/>
      </c>
      <c r="L4853">
        <f>12.848*OPERAC[[#This Row],[cantidad venta]]</f>
        <v/>
      </c>
    </row>
    <row r="4854">
      <c r="A4854" t="n">
        <v>18677</v>
      </c>
      <c r="B4854" s="16" t="n">
        <v>44664</v>
      </c>
      <c r="C4854" t="inlineStr">
        <is>
          <t>VTA</t>
        </is>
      </c>
      <c r="D4854" t="n">
        <v>42</v>
      </c>
      <c r="E4854">
        <f>IF(D1723&gt;0,VLOOKUP(OPERAC[[#This Row],[COD CART]],[1]!MatrizCortoLargoCyl[#All],3,0),"")</f>
        <v/>
      </c>
      <c r="F4854" t="inlineStr">
        <is>
          <t>PSQ</t>
        </is>
      </c>
      <c r="G4854" t="n">
        <v>20</v>
      </c>
      <c r="H4854" t="n">
        <v>-248.65144362</v>
      </c>
      <c r="I4854">
        <f>-H1723/G1723</f>
        <v/>
      </c>
      <c r="J4854" s="16" t="n">
        <v>44680</v>
      </c>
      <c r="K4854">
        <f>+OPERAC[[#This Row],[cantidad]]</f>
        <v/>
      </c>
      <c r="L4854">
        <f>12.848*OPERAC[[#This Row],[cantidad venta]]</f>
        <v/>
      </c>
    </row>
    <row r="4855">
      <c r="A4855" t="n">
        <v>18677</v>
      </c>
      <c r="B4855" s="16" t="n">
        <v>44669</v>
      </c>
      <c r="C4855" t="inlineStr">
        <is>
          <t>VTA</t>
        </is>
      </c>
      <c r="D4855" t="n">
        <v>32</v>
      </c>
      <c r="E4855">
        <f>IF(D2536&gt;0,VLOOKUP(OPERAC[[#This Row],[COD CART]],[1]!MatrizCortoLargoCyl[#All],3,0),"")</f>
        <v/>
      </c>
      <c r="F4855" t="inlineStr">
        <is>
          <t>HMY</t>
        </is>
      </c>
      <c r="G4855" t="n">
        <v>100</v>
      </c>
      <c r="H4855">
        <f>-4.64*OPERAC[[#This Row],[cantidad]]</f>
        <v/>
      </c>
      <c r="I4855">
        <f>-H2536/G2536</f>
        <v/>
      </c>
      <c r="J4855" s="16" t="n">
        <v>44722</v>
      </c>
      <c r="K4855" t="n">
        <v>100</v>
      </c>
      <c r="L4855" t="n">
        <v>341.572</v>
      </c>
    </row>
    <row r="4856">
      <c r="A4856" t="n">
        <v>18677</v>
      </c>
      <c r="B4856" s="16" t="n">
        <v>44671</v>
      </c>
      <c r="C4856" t="inlineStr">
        <is>
          <t>CPR</t>
        </is>
      </c>
      <c r="D4856" t="n">
        <v>42</v>
      </c>
      <c r="E4856">
        <f>IF(D4264&gt;0,VLOOKUP(OPERAC[[#This Row],[COD CART]],[1]!MatrizCortoLargoCyl[#All],3,0),"")</f>
        <v/>
      </c>
      <c r="F4856" t="inlineStr">
        <is>
          <t>NFLX</t>
        </is>
      </c>
      <c r="G4856" t="n">
        <v>4</v>
      </c>
      <c r="H4856" t="n">
        <v>-1018.02024</v>
      </c>
      <c r="I4856">
        <f>-H4264/G4264</f>
        <v/>
      </c>
      <c r="J4856" s="16" t="n">
        <v>44693</v>
      </c>
      <c r="K4856">
        <f>+OPERAC[[#This Row],[cantidad]]</f>
        <v/>
      </c>
      <c r="L4856">
        <f>+OPERAC[[#This Row],[cantidad venta]]*169.089</f>
        <v/>
      </c>
    </row>
    <row r="4857">
      <c r="A4857" t="n">
        <v>18677</v>
      </c>
      <c r="B4857" s="16" t="n">
        <v>44680</v>
      </c>
      <c r="C4857" t="inlineStr">
        <is>
          <t>CPR</t>
        </is>
      </c>
      <c r="D4857" t="n">
        <v>42</v>
      </c>
      <c r="E4857">
        <f>IF(D4745&gt;0,VLOOKUP(OPERAC[[#This Row],[COD CART]],[1]!MatrizCortoLargoCyl[#All],3,0),"")</f>
        <v/>
      </c>
      <c r="F4857" t="inlineStr">
        <is>
          <t>XLP</t>
        </is>
      </c>
      <c r="G4857" t="n">
        <v>17</v>
      </c>
      <c r="H4857" t="n">
        <v>-1350.3865425</v>
      </c>
      <c r="I4857">
        <f>-H4745/G4745</f>
        <v/>
      </c>
      <c r="J4857" s="16" t="n">
        <v>44693</v>
      </c>
      <c r="K4857">
        <f>+OPERAC[[#This Row],[cantidad]]</f>
        <v/>
      </c>
      <c r="L4857">
        <f>+OPERAC[[#This Row],[cantidad venta]]*74.848</f>
        <v/>
      </c>
    </row>
    <row r="4858">
      <c r="A4858" t="n">
        <v>18677</v>
      </c>
      <c r="B4858" s="16" t="n">
        <v>44680</v>
      </c>
      <c r="C4858" t="inlineStr">
        <is>
          <t>VTA</t>
        </is>
      </c>
      <c r="D4858" t="n">
        <v>42</v>
      </c>
      <c r="E4858">
        <f>IF(D1685&gt;0,VLOOKUP(OPERAC[[#This Row],[COD CART]],[1]!MatrizCortoLargoCyl[#All],3,0),"")</f>
        <v/>
      </c>
      <c r="F4858" t="inlineStr">
        <is>
          <t>XLP</t>
        </is>
      </c>
      <c r="G4858" t="n">
        <v>3</v>
      </c>
      <c r="H4858" t="n">
        <v>-238.3035075</v>
      </c>
      <c r="I4858">
        <f>-H1685/G1685</f>
        <v/>
      </c>
      <c r="J4858" s="16" t="n">
        <v>44693</v>
      </c>
      <c r="K4858">
        <f>+OPERAC[[#This Row],[cantidad]]</f>
        <v/>
      </c>
      <c r="L4858">
        <f>+OPERAC[[#This Row],[cantidad venta]]*74.848</f>
        <v/>
      </c>
    </row>
    <row r="4859">
      <c r="A4859" t="n">
        <v>18677</v>
      </c>
      <c r="B4859" s="16" t="n">
        <v>44690</v>
      </c>
      <c r="C4859" t="inlineStr">
        <is>
          <t>VTA</t>
        </is>
      </c>
      <c r="D4859" t="n">
        <v>39</v>
      </c>
      <c r="E4859">
        <f>IF(D349&gt;0,VLOOKUP(OPERAC[[#This Row],[COD CART]],[1]!MatrizCortoLargoCyl[#All],3,0),"")</f>
        <v/>
      </c>
      <c r="F4859" t="inlineStr">
        <is>
          <t>TSLA/V/700,00/20-05-22</t>
        </is>
      </c>
      <c r="G4859" t="n">
        <v>-100</v>
      </c>
      <c r="H4859" t="n">
        <v>1293.9075</v>
      </c>
      <c r="I4859">
        <f>-H349/G349</f>
        <v/>
      </c>
      <c r="J4859" s="16" t="n">
        <v>44698</v>
      </c>
      <c r="K4859" t="n">
        <v>-100</v>
      </c>
      <c r="L4859" t="n">
        <v>-1100.879</v>
      </c>
    </row>
    <row r="4860">
      <c r="A4860" t="n">
        <v>18677</v>
      </c>
      <c r="B4860" s="16" t="n">
        <v>44690</v>
      </c>
      <c r="C4860" t="inlineStr">
        <is>
          <t>VTA</t>
        </is>
      </c>
      <c r="D4860" t="n">
        <v>39</v>
      </c>
      <c r="E4860">
        <f>IF(D771&gt;0,VLOOKUP(OPERAC[[#This Row],[COD CART]],[1]!MatrizCortoLargoCyl[#All],3,0),"")</f>
        <v/>
      </c>
      <c r="F4860" t="inlineStr">
        <is>
          <t>TSLA/V/700,00/13-05-22</t>
        </is>
      </c>
      <c r="G4860" t="n">
        <v>-100</v>
      </c>
      <c r="H4860" t="n">
        <v>316.2885</v>
      </c>
      <c r="I4860">
        <f>-H771/G771</f>
        <v/>
      </c>
      <c r="J4860" s="16" t="n">
        <v>44693</v>
      </c>
      <c r="K4860" t="n">
        <v>-100</v>
      </c>
      <c r="L4860" t="n">
        <v>-3212.8</v>
      </c>
    </row>
    <row r="4861">
      <c r="A4861" t="n">
        <v>18677</v>
      </c>
      <c r="B4861" s="16" t="n">
        <v>44693</v>
      </c>
      <c r="C4861" t="inlineStr">
        <is>
          <t>VTA</t>
        </is>
      </c>
      <c r="D4861" t="n">
        <v>39</v>
      </c>
      <c r="E4861">
        <f>IF(D116&gt;0,VLOOKUP(OPERAC[[#This Row],[COD CART]],[1]!MatrizCortoLargoCyl[#All],3,0),"")</f>
        <v/>
      </c>
      <c r="F4861" t="inlineStr">
        <is>
          <t>TSLA/V/550,00/20-05-22</t>
        </is>
      </c>
      <c r="G4861" t="n">
        <v>-700</v>
      </c>
      <c r="H4861" t="n">
        <v>3207.119999999999</v>
      </c>
      <c r="I4861">
        <f>-H116/G116</f>
        <v/>
      </c>
      <c r="J4861" s="16" t="n">
        <v>44700</v>
      </c>
      <c r="K4861" t="n">
        <v>-700</v>
      </c>
      <c r="L4861" t="n">
        <v>-134.13</v>
      </c>
    </row>
    <row r="4862">
      <c r="A4862" t="n">
        <v>18677</v>
      </c>
      <c r="B4862" s="16" t="n">
        <v>44698</v>
      </c>
      <c r="C4862" t="inlineStr">
        <is>
          <t>VTA</t>
        </is>
      </c>
      <c r="D4862" t="n">
        <v>39</v>
      </c>
      <c r="E4862">
        <f>IF(D546&gt;0,VLOOKUP(OPERAC[[#This Row],[COD CART]],[1]!MatrizCortoLargoCyl[#All],3,0),"")</f>
        <v/>
      </c>
      <c r="F4862" t="inlineStr">
        <is>
          <t>TSLA/P/635,00/27-05-22</t>
        </is>
      </c>
      <c r="G4862" t="n">
        <v>-100</v>
      </c>
      <c r="H4862" t="n">
        <v>793.2</v>
      </c>
      <c r="I4862">
        <f>-H546/G546</f>
        <v/>
      </c>
      <c r="J4862" s="16" t="n">
        <v>44701</v>
      </c>
      <c r="K4862" t="n">
        <v>-100</v>
      </c>
      <c r="L4862" t="n">
        <v>-3277.625</v>
      </c>
    </row>
    <row r="4863">
      <c r="A4863" t="n">
        <v>18677</v>
      </c>
      <c r="B4863" s="16" t="n">
        <v>44698</v>
      </c>
      <c r="C4863" t="inlineStr">
        <is>
          <t>VTA</t>
        </is>
      </c>
      <c r="D4863" t="n">
        <v>39</v>
      </c>
      <c r="E4863">
        <f>IF(D778&gt;0,VLOOKUP(OPERAC[[#This Row],[COD CART]],[1]!MatrizCortoLargoCyl[#All],3,0),"")</f>
        <v/>
      </c>
      <c r="F4863" t="inlineStr">
        <is>
          <t>TSLA/P/655,00/20-05-22</t>
        </is>
      </c>
      <c r="G4863" t="n">
        <v>-100</v>
      </c>
      <c r="H4863" t="n">
        <v>302.4075</v>
      </c>
      <c r="I4863">
        <f>-H778/G778</f>
        <v/>
      </c>
      <c r="J4863" s="16" t="n">
        <v>44700</v>
      </c>
      <c r="K4863" t="n">
        <v>-100</v>
      </c>
      <c r="L4863" t="n">
        <v>-130.197</v>
      </c>
    </row>
    <row r="4864">
      <c r="A4864" t="n">
        <v>18677</v>
      </c>
      <c r="B4864" s="16" t="n">
        <v>44698</v>
      </c>
      <c r="C4864" t="inlineStr">
        <is>
          <t>VTA</t>
        </is>
      </c>
      <c r="D4864" t="n">
        <v>39</v>
      </c>
      <c r="E4864">
        <f>IF(D1741&gt;0,VLOOKUP(OPERAC[[#This Row],[COD CART]],[1]!MatrizCortoLargoCyl[#All],3,0),"")</f>
        <v/>
      </c>
      <c r="F4864" t="inlineStr">
        <is>
          <t>NTLA/C/65,00/15-07-22</t>
        </is>
      </c>
      <c r="G4864" t="n">
        <v>100</v>
      </c>
      <c r="H4864" t="n">
        <v>-252.125</v>
      </c>
      <c r="I4864">
        <f>-H1741/G1741</f>
        <v/>
      </c>
    </row>
    <row r="4865">
      <c r="A4865" t="n">
        <v>18677</v>
      </c>
      <c r="B4865" s="16" t="n">
        <v>44701</v>
      </c>
      <c r="C4865" t="inlineStr">
        <is>
          <t>VTA</t>
        </is>
      </c>
      <c r="D4865" t="n">
        <v>39</v>
      </c>
      <c r="E4865">
        <f>IF(D1072&gt;0,VLOOKUP(OPERAC[[#This Row],[COD CART]],[1]!MatrizCortoLargoCyl[#All],3,0),"")</f>
        <v/>
      </c>
      <c r="F4865" t="inlineStr">
        <is>
          <t>TSLA/P/360,00/20-01-23</t>
        </is>
      </c>
      <c r="G4865" t="n">
        <v>-1</v>
      </c>
      <c r="H4865" t="n">
        <v>35.19825</v>
      </c>
      <c r="I4865">
        <f>-H1072/G1072</f>
        <v/>
      </c>
    </row>
    <row r="4866">
      <c r="A4866" t="n">
        <v>18677</v>
      </c>
      <c r="B4866" s="16" t="n">
        <v>44707</v>
      </c>
      <c r="C4866" t="inlineStr">
        <is>
          <t>VTA</t>
        </is>
      </c>
      <c r="D4866" t="n">
        <v>43</v>
      </c>
      <c r="E4866">
        <f>IF(D5298&gt;0,VLOOKUP(OPERAC[[#This Row],[COD CART]],[1]!MatrizCortoLargoCyl[#All],3,0),"")</f>
        <v/>
      </c>
      <c r="F4866" t="inlineStr">
        <is>
          <t>SPWR/CYP/17,50-15,00/17-06-22</t>
        </is>
      </c>
      <c r="G4866" t="n">
        <v>100</v>
      </c>
      <c r="H4866" t="n">
        <v>-1717.027</v>
      </c>
      <c r="I4866">
        <f>-H5298/G5298</f>
        <v/>
      </c>
    </row>
    <row r="4867">
      <c r="A4867" t="n">
        <v>18677</v>
      </c>
      <c r="B4867" s="16" t="n">
        <v>44708</v>
      </c>
      <c r="C4867" t="inlineStr">
        <is>
          <t>CPR</t>
        </is>
      </c>
      <c r="D4867" t="n">
        <v>32</v>
      </c>
      <c r="E4867">
        <f>IF(D4623&gt;0,VLOOKUP(OPERAC[[#This Row],[COD CART]],[1]!MatrizCortoLargoCyl[#All],3,0),"")</f>
        <v/>
      </c>
      <c r="F4867" t="inlineStr">
        <is>
          <t>CCL/CYL/13,00/03-06-22</t>
        </is>
      </c>
      <c r="G4867" t="n">
        <v>100</v>
      </c>
      <c r="H4867" t="n">
        <v>-1276.4</v>
      </c>
      <c r="I4867">
        <f>-H4623/G4623</f>
        <v/>
      </c>
      <c r="J4867" s="16" t="n">
        <v>44715</v>
      </c>
      <c r="K4867">
        <f>+OPERAC[[#This Row],[cantidad]]</f>
        <v/>
      </c>
      <c r="L4867">
        <f>+OPERAC[[#This Row],[cantidad venta]]*12.942</f>
        <v/>
      </c>
    </row>
    <row r="4868">
      <c r="A4868" t="n">
        <v>18677</v>
      </c>
      <c r="B4868" s="16" t="n">
        <v>44718</v>
      </c>
      <c r="C4868" t="inlineStr">
        <is>
          <t>VTA</t>
        </is>
      </c>
      <c r="D4868" t="n">
        <v>42</v>
      </c>
      <c r="E4868">
        <f>IF(D5034&gt;0,VLOOKUP(OPERAC[[#This Row],[COD CART]],[1]!MatrizCortoLargoCyl[#All],3,0),"")</f>
        <v/>
      </c>
      <c r="F4868" t="inlineStr">
        <is>
          <t>KWEB</t>
        </is>
      </c>
      <c r="G4868" t="n">
        <v>50</v>
      </c>
      <c r="H4868" t="n">
        <v>-1554.1694</v>
      </c>
      <c r="I4868">
        <f>-H5034/G5034</f>
        <v/>
      </c>
    </row>
    <row r="4869">
      <c r="A4869" t="n">
        <v>18690</v>
      </c>
      <c r="B4869" s="16" t="n">
        <v>44340</v>
      </c>
      <c r="C4869" t="inlineStr">
        <is>
          <t>VTA</t>
        </is>
      </c>
      <c r="D4869" t="n">
        <v>39</v>
      </c>
      <c r="E4869">
        <f>IF(D528&gt;0,VLOOKUP(OPERAC[[#This Row],[COD CART]],[1]!MatrizCortoLargoCyl[#All],3,0),"")</f>
        <v/>
      </c>
      <c r="F4869" t="inlineStr">
        <is>
          <t>SOLO/V/3,50/21-01-22</t>
        </is>
      </c>
      <c r="G4869" t="n">
        <v>-800</v>
      </c>
      <c r="H4869" t="n">
        <v>846.6839999999999</v>
      </c>
      <c r="I4869">
        <f>-H528/G528</f>
        <v/>
      </c>
      <c r="J4869" s="16" t="n">
        <v>44579</v>
      </c>
      <c r="K4869">
        <f>+OPERAC[[#This Row],[cantidad]]</f>
        <v/>
      </c>
      <c r="L4869">
        <f>-OPERAC[[#This Row],[importe]]</f>
        <v/>
      </c>
    </row>
    <row r="4870">
      <c r="A4870" t="n">
        <v>18690</v>
      </c>
      <c r="B4870" s="16" t="n">
        <v>44461</v>
      </c>
      <c r="C4870" t="inlineStr">
        <is>
          <t>CPR</t>
        </is>
      </c>
      <c r="D4870" t="n">
        <v>40</v>
      </c>
      <c r="E4870">
        <f>IF(D4296&gt;0,VLOOKUP(OPERAC[[#This Row],[COD CART]],[1]!MatrizCortoLargoCyl[#All],3,0),"")</f>
        <v/>
      </c>
      <c r="F4870" t="inlineStr">
        <is>
          <t>EDU</t>
        </is>
      </c>
      <c r="G4870" t="n">
        <v>1000</v>
      </c>
      <c r="H4870">
        <f>-1.0864*OPERAC[[#This Row],[cantidad]]+0.04*OPERAC[[#This Row],[cantidad]]</f>
        <v/>
      </c>
      <c r="I4870">
        <f>-H4296/G4296</f>
        <v/>
      </c>
      <c r="J4870" s="16" t="n">
        <v>44630</v>
      </c>
      <c r="K4870" t="n">
        <v>1000</v>
      </c>
      <c r="L4870">
        <f>+OPERAC[[#This Row],[cantidad venta]]*1.137</f>
        <v/>
      </c>
    </row>
    <row r="4871">
      <c r="A4871" t="n">
        <v>18690</v>
      </c>
      <c r="B4871" s="16" t="n">
        <v>44474</v>
      </c>
      <c r="C4871" t="inlineStr">
        <is>
          <t>VTA</t>
        </is>
      </c>
      <c r="D4871" t="n">
        <v>39</v>
      </c>
      <c r="E4871">
        <f>IF(D954&gt;0,VLOOKUP(OPERAC[[#This Row],[COD CART]],[1]!MatrizCortoLargoCyl[#All],3,0),"")</f>
        <v/>
      </c>
      <c r="F4871" t="inlineStr">
        <is>
          <t>NKE/V/115,00/21-01-22</t>
        </is>
      </c>
      <c r="G4871" t="n">
        <v>-100</v>
      </c>
      <c r="H4871" t="n">
        <v>94.95699999999999</v>
      </c>
      <c r="I4871">
        <f>-H954/G954</f>
        <v/>
      </c>
      <c r="J4871" s="16" t="n">
        <v>44582</v>
      </c>
      <c r="K4871">
        <f>+OPERAC[[#This Row],[cantidad]]</f>
        <v/>
      </c>
      <c r="L4871" t="n">
        <v>0</v>
      </c>
    </row>
    <row r="4872">
      <c r="A4872" t="n">
        <v>18690</v>
      </c>
      <c r="B4872" s="16" t="n">
        <v>44494</v>
      </c>
      <c r="C4872" t="inlineStr">
        <is>
          <t>VTA</t>
        </is>
      </c>
      <c r="D4872" t="n">
        <v>40</v>
      </c>
      <c r="E4872">
        <f>IF(D2214&gt;0,VLOOKUP(OPERAC[[#This Row],[COD CART]],[1]!MatrizCortoLargoCyl[#All],3,0),"")</f>
        <v/>
      </c>
      <c r="F4872" t="inlineStr">
        <is>
          <t>YPF</t>
        </is>
      </c>
      <c r="G4872" t="n">
        <v>80</v>
      </c>
      <c r="H4872" t="n">
        <v>-372.2176</v>
      </c>
      <c r="I4872">
        <f>-H2214/G2214</f>
        <v/>
      </c>
      <c r="J4872" s="16" t="n">
        <v>44606</v>
      </c>
      <c r="K4872">
        <f>+OPERAC[[#This Row],[cantidad]]</f>
        <v/>
      </c>
      <c r="L4872">
        <f>+OPERAC[[#This Row],[cantidad venta]]*4.161</f>
        <v/>
      </c>
    </row>
    <row r="4873">
      <c r="A4873" t="n">
        <v>18690</v>
      </c>
      <c r="B4873" s="16" t="n">
        <v>44495</v>
      </c>
      <c r="C4873" t="inlineStr">
        <is>
          <t>VTA</t>
        </is>
      </c>
      <c r="D4873" t="n">
        <v>39</v>
      </c>
      <c r="E4873">
        <f>IF(D395&gt;0,VLOOKUP(OPERAC[[#This Row],[COD CART]],[1]!MatrizCortoLargoCyl[#All],3,0),"")</f>
        <v/>
      </c>
      <c r="F4873" t="inlineStr">
        <is>
          <t>YPF/CC10/LP7/CP3/19-01-24</t>
        </is>
      </c>
      <c r="G4873" t="n">
        <v>-500</v>
      </c>
      <c r="H4873">
        <f>-2.41*OPERAC[[#This Row],[cantidad]]</f>
        <v/>
      </c>
      <c r="I4873">
        <f>-H395/G395</f>
        <v/>
      </c>
      <c r="J4873" s="16" t="n">
        <v>44713</v>
      </c>
      <c r="K4873" t="n">
        <v>-500</v>
      </c>
      <c r="L4873" t="n">
        <v>-1205</v>
      </c>
    </row>
    <row r="4874">
      <c r="A4874" t="n">
        <v>18690</v>
      </c>
      <c r="B4874" s="16" t="n">
        <v>44508</v>
      </c>
      <c r="C4874" t="inlineStr">
        <is>
          <t>VTA</t>
        </is>
      </c>
      <c r="D4874" t="n">
        <v>39</v>
      </c>
      <c r="E4874">
        <f>IF(D446&gt;0,VLOOKUP(OPERAC[[#This Row],[COD CART]],[1]!MatrizCortoLargoCyl[#All],3,0),"")</f>
        <v/>
      </c>
      <c r="F4874" t="inlineStr">
        <is>
          <t>ACB/V/6,00/21-01-22</t>
        </is>
      </c>
      <c r="G4874" t="n">
        <v>-2500</v>
      </c>
      <c r="H4874">
        <f>1065.775-0.5*OPERAC[[#This Row],[cantidad]]+0.51*OPERAC[[#This Row],[cantidad]]</f>
        <v/>
      </c>
      <c r="I4874">
        <f>-H446/G446</f>
        <v/>
      </c>
      <c r="J4874" s="16" t="n">
        <v>44581</v>
      </c>
      <c r="K4874">
        <f>+OPERAC[[#This Row],[cantidad]]</f>
        <v/>
      </c>
      <c r="L4874">
        <f>-OPERAC[[#This Row],[importe]]</f>
        <v/>
      </c>
    </row>
    <row r="4875">
      <c r="A4875" t="n">
        <v>18690</v>
      </c>
      <c r="B4875" s="16" t="n">
        <v>44511</v>
      </c>
      <c r="C4875" t="inlineStr">
        <is>
          <t>CPR</t>
        </is>
      </c>
      <c r="D4875" t="n">
        <v>31</v>
      </c>
      <c r="E4875">
        <f>IF(D4389&gt;0,VLOOKUP(OPERAC[[#This Row],[COD CART]],[1]!MatrizCortoLargoCyl[#All],3,0),"")</f>
        <v/>
      </c>
      <c r="F4875" t="inlineStr">
        <is>
          <t>IPIX</t>
        </is>
      </c>
      <c r="G4875" t="n">
        <v>10000</v>
      </c>
      <c r="H4875" t="n">
        <v>-1099.9</v>
      </c>
      <c r="I4875">
        <f>-H4389/G4389</f>
        <v/>
      </c>
    </row>
    <row r="4876">
      <c r="A4876" t="n">
        <v>18690</v>
      </c>
      <c r="B4876" s="16" t="n">
        <v>44523</v>
      </c>
      <c r="C4876" t="inlineStr">
        <is>
          <t>VTA</t>
        </is>
      </c>
      <c r="D4876" t="n">
        <v>40</v>
      </c>
      <c r="E4876">
        <f>IF(D1477&gt;0,VLOOKUP(OPERAC[[#This Row],[COD CART]],[1]!MatrizCortoLargoCyl[#All],3,0),"")</f>
        <v/>
      </c>
      <c r="F4876" t="inlineStr">
        <is>
          <t>EDU</t>
        </is>
      </c>
      <c r="G4876" t="n">
        <v>100</v>
      </c>
      <c r="H4876">
        <f>-177.949+0.026*OPERAC[[#This Row],[cantidad]]</f>
        <v/>
      </c>
      <c r="I4876">
        <f>-H1477/G1477</f>
        <v/>
      </c>
      <c r="J4876" s="16" t="n">
        <v>44630</v>
      </c>
      <c r="K4876" t="n">
        <v>100</v>
      </c>
      <c r="L4876">
        <f>+OPERAC[[#This Row],[cantidad venta]]*1.137</f>
        <v/>
      </c>
    </row>
    <row r="4877">
      <c r="A4877" t="n">
        <v>18690</v>
      </c>
      <c r="B4877" s="16" t="n">
        <v>44531</v>
      </c>
      <c r="C4877" t="inlineStr">
        <is>
          <t>VTA</t>
        </is>
      </c>
      <c r="D4877" t="n">
        <v>39</v>
      </c>
      <c r="E4877">
        <f>IF(D1036&gt;0,VLOOKUP(OPERAC[[#This Row],[COD CART]],[1]!MatrizCortoLargoCyl[#All],3,0),"")</f>
        <v/>
      </c>
      <c r="F4877" t="inlineStr">
        <is>
          <t>SOLO/V/3,00/17-06-22</t>
        </is>
      </c>
      <c r="G4877" t="n">
        <v>-50</v>
      </c>
      <c r="H4877" t="n">
        <v>46.995</v>
      </c>
      <c r="I4877">
        <f>-H1036/G1036</f>
        <v/>
      </c>
      <c r="J4877" s="16" t="n">
        <v>44690</v>
      </c>
      <c r="K4877" t="n">
        <v>-50</v>
      </c>
      <c r="L4877" t="n">
        <v>-73.11</v>
      </c>
    </row>
    <row r="4878">
      <c r="A4878" t="n">
        <v>18690</v>
      </c>
      <c r="B4878" s="16" t="n">
        <v>44532</v>
      </c>
      <c r="C4878" t="inlineStr">
        <is>
          <t>VTA</t>
        </is>
      </c>
      <c r="D4878" t="n">
        <v>32</v>
      </c>
      <c r="E4878">
        <f>IF(D5346&gt;0,VLOOKUP(OPERAC[[#This Row],[COD CART]],[1]!MatrizCortoLargoCyl[#All],3,0),"")</f>
        <v/>
      </c>
      <c r="F4878" t="inlineStr">
        <is>
          <t>COTY/CYL/10,00/18-02-22</t>
        </is>
      </c>
      <c r="G4878" t="n">
        <v>200</v>
      </c>
      <c r="H4878">
        <f>-1803.198+41.676</f>
        <v/>
      </c>
      <c r="I4878">
        <f>-H5346/G5346</f>
        <v/>
      </c>
      <c r="J4878" s="16" t="n">
        <v>44608</v>
      </c>
      <c r="K4878">
        <f>+OPERAC[[#This Row],[cantidad]]</f>
        <v/>
      </c>
      <c r="L4878" t="n">
        <v>1889.088</v>
      </c>
    </row>
    <row r="4879">
      <c r="A4879" t="n">
        <v>18690</v>
      </c>
      <c r="B4879" s="16" t="n">
        <v>44533</v>
      </c>
      <c r="C4879" t="inlineStr">
        <is>
          <t>CPR</t>
        </is>
      </c>
      <c r="D4879" t="n">
        <v>32</v>
      </c>
      <c r="E4879">
        <f>IF(D5840&gt;0,VLOOKUP(OPERAC[[#This Row],[COD CART]],[1]!MatrizCortoLargoCyl[#All],3,0),"")</f>
        <v/>
      </c>
      <c r="F4879" t="inlineStr">
        <is>
          <t>INO/CYL/7,00/21-01-22</t>
        </is>
      </c>
      <c r="G4879" t="n">
        <v>500</v>
      </c>
      <c r="H4879">
        <f>-5.7*OPERAC[[#This Row],[cantidad]]</f>
        <v/>
      </c>
      <c r="I4879">
        <f>-H5840/G5840</f>
        <v/>
      </c>
      <c r="J4879" s="16" t="n">
        <v>44581</v>
      </c>
      <c r="K4879" t="n">
        <v>500</v>
      </c>
      <c r="L4879" t="n">
        <v>2131.712</v>
      </c>
    </row>
    <row r="4880">
      <c r="A4880" t="n">
        <v>18690</v>
      </c>
      <c r="B4880" s="16" t="n">
        <v>44533</v>
      </c>
      <c r="C4880" t="inlineStr">
        <is>
          <t>CPR</t>
        </is>
      </c>
      <c r="D4880" t="n">
        <v>32</v>
      </c>
      <c r="E4880">
        <f>IF(D5892&gt;0,VLOOKUP(OPERAC[[#This Row],[COD CART]],[1]!MatrizCortoLargoCyl[#All],3,0),"")</f>
        <v/>
      </c>
      <c r="F4880" t="inlineStr">
        <is>
          <t>HIMX/CYL/12,00/21-01-22</t>
        </is>
      </c>
      <c r="G4880" t="n">
        <v>300</v>
      </c>
      <c r="H4880">
        <f>-9.9*OPERAC[[#This Row],[cantidad]]</f>
        <v/>
      </c>
      <c r="I4880">
        <f>-H5892/G5892</f>
        <v/>
      </c>
      <c r="J4880" s="16" t="n">
        <v>44575</v>
      </c>
      <c r="K4880" t="n">
        <v>300</v>
      </c>
      <c r="L4880" t="n">
        <v>3511.854</v>
      </c>
    </row>
    <row r="4881">
      <c r="A4881" t="n">
        <v>18690</v>
      </c>
      <c r="B4881" s="16" t="n">
        <v>44533</v>
      </c>
      <c r="C4881" t="inlineStr">
        <is>
          <t>CPR</t>
        </is>
      </c>
      <c r="D4881" t="n">
        <v>32</v>
      </c>
      <c r="E4881">
        <f>IF(D6215&gt;0,VLOOKUP(OPERAC[[#This Row],[COD CART]],[1]!MatrizCortoLargoCyl[#All],3,0),"")</f>
        <v/>
      </c>
      <c r="F4881" t="inlineStr">
        <is>
          <t>BYND/CYL/75,00/19-08-22</t>
        </is>
      </c>
      <c r="G4881" t="n">
        <v>100</v>
      </c>
      <c r="H4881">
        <f>-6182.815+148.4+69.038+71.366+12.89</f>
        <v/>
      </c>
      <c r="I4881">
        <f>-H6215/G6215</f>
        <v/>
      </c>
    </row>
    <row r="4882">
      <c r="A4882" t="n">
        <v>18690</v>
      </c>
      <c r="B4882" s="16" t="n">
        <v>44533</v>
      </c>
      <c r="C4882" t="inlineStr">
        <is>
          <t>VTA</t>
        </is>
      </c>
      <c r="D4882" t="n">
        <v>32</v>
      </c>
      <c r="E4882">
        <f>IF(D5012&gt;0,VLOOKUP(OPERAC[[#This Row],[COD CART]],[1]!MatrizCortoLargoCyl[#All],3,0),"")</f>
        <v/>
      </c>
      <c r="F4882" t="inlineStr">
        <is>
          <t>SKLZ/CYL/10,00/21-01-22</t>
        </is>
      </c>
      <c r="G4882" t="n">
        <v>200</v>
      </c>
      <c r="H4882">
        <f>-7.94*OPERAC[[#This Row],[cantidad]]+44.585</f>
        <v/>
      </c>
      <c r="I4882">
        <f>-H5012/G5012</f>
        <v/>
      </c>
      <c r="J4882" s="16" t="n">
        <v>44579</v>
      </c>
      <c r="K4882">
        <f>+OPERAC[[#This Row],[cantidad]]</f>
        <v/>
      </c>
      <c r="L4882">
        <f>+OPERAC[[#This Row],[cantidad venta]]*5.679</f>
        <v/>
      </c>
    </row>
    <row r="4883">
      <c r="A4883" t="n">
        <v>18690</v>
      </c>
      <c r="B4883" s="16" t="n">
        <v>44538</v>
      </c>
      <c r="C4883" t="inlineStr">
        <is>
          <t>VTA</t>
        </is>
      </c>
      <c r="D4883" t="n">
        <v>39</v>
      </c>
      <c r="E4883">
        <f>IF(D454&gt;0,VLOOKUP(OPERAC[[#This Row],[COD CART]],[1]!MatrizCortoLargoCyl[#All],3,0),"")</f>
        <v/>
      </c>
      <c r="F4883" t="inlineStr">
        <is>
          <t>MELI/V/880,00/21-01-22</t>
        </is>
      </c>
      <c r="G4883" t="n">
        <v>-100</v>
      </c>
      <c r="H4883" t="n">
        <v>1011.84</v>
      </c>
      <c r="I4883">
        <f>-H454/G454</f>
        <v/>
      </c>
      <c r="J4883" s="16" t="n">
        <v>44582</v>
      </c>
      <c r="K4883">
        <f>+OPERAC[[#This Row],[cantidad]]</f>
        <v/>
      </c>
      <c r="L4883" t="n">
        <v>0</v>
      </c>
    </row>
    <row r="4884">
      <c r="A4884" t="n">
        <v>18690</v>
      </c>
      <c r="B4884" s="16" t="n">
        <v>44539</v>
      </c>
      <c r="C4884" t="inlineStr">
        <is>
          <t>CPR</t>
        </is>
      </c>
      <c r="D4884" t="n">
        <v>40</v>
      </c>
      <c r="E4884">
        <f>IF(D4654&gt;0,VLOOKUP(OPERAC[[#This Row],[COD CART]],[1]!MatrizCortoLargoCyl[#All],3,0),"")</f>
        <v/>
      </c>
      <c r="F4884" t="inlineStr">
        <is>
          <t>ROKU</t>
        </is>
      </c>
      <c r="G4884" t="n">
        <v>5</v>
      </c>
      <c r="H4884" t="n">
        <v>-1288.6018</v>
      </c>
      <c r="I4884">
        <f>-H4654/G4654</f>
        <v/>
      </c>
      <c r="J4884" s="16" t="n">
        <v>44606</v>
      </c>
      <c r="K4884">
        <f>+OPERAC[[#This Row],[cantidad]]</f>
        <v/>
      </c>
      <c r="L4884">
        <f>+OPERAC[[#This Row],[cantidad venta]]*160.574</f>
        <v/>
      </c>
    </row>
    <row r="4885">
      <c r="A4885" t="n">
        <v>18690</v>
      </c>
      <c r="B4885" s="16" t="n">
        <v>44543</v>
      </c>
      <c r="C4885" t="inlineStr">
        <is>
          <t>VTA</t>
        </is>
      </c>
      <c r="D4885" t="n">
        <v>40</v>
      </c>
      <c r="E4885">
        <f>IF(D2953&gt;0,VLOOKUP(OPERAC[[#This Row],[COD CART]],[1]!MatrizCortoLargoCyl[#All],3,0),"")</f>
        <v/>
      </c>
      <c r="F4885" t="inlineStr">
        <is>
          <t>VIST</t>
        </is>
      </c>
      <c r="G4885" t="n">
        <v>100</v>
      </c>
      <c r="H4885" t="n">
        <v>-559.9400000000001</v>
      </c>
      <c r="I4885">
        <f>-H2953/G2953</f>
        <v/>
      </c>
      <c r="J4885" s="16" t="n">
        <v>44574</v>
      </c>
      <c r="K4885">
        <f>+OPERAC[[#This Row],[cantidad]]</f>
        <v/>
      </c>
      <c r="L4885">
        <f>+OPERAC[[#This Row],[cantidad venta]]*6.125</f>
        <v/>
      </c>
    </row>
    <row r="4886">
      <c r="A4886" t="n">
        <v>18690</v>
      </c>
      <c r="B4886" s="16" t="n">
        <v>44551</v>
      </c>
      <c r="C4886" t="inlineStr">
        <is>
          <t>VTA</t>
        </is>
      </c>
      <c r="D4886" t="n">
        <v>40</v>
      </c>
      <c r="E4886">
        <f>IF(D4989&gt;0,VLOOKUP(OPERAC[[#This Row],[COD CART]],[1]!MatrizCortoLargoCyl[#All],3,0),"")</f>
        <v/>
      </c>
      <c r="F4886" t="inlineStr">
        <is>
          <t>EDIT</t>
        </is>
      </c>
      <c r="G4886" t="n">
        <v>50</v>
      </c>
      <c r="H4886" t="n">
        <v>-1521.31</v>
      </c>
      <c r="I4886">
        <f>-H4989/G4989</f>
        <v/>
      </c>
      <c r="J4886" s="16" t="n">
        <v>44606</v>
      </c>
      <c r="K4886" t="n">
        <v>50</v>
      </c>
      <c r="L4886" t="n">
        <v>803.259</v>
      </c>
    </row>
    <row r="4887">
      <c r="A4887" t="n">
        <v>18690</v>
      </c>
      <c r="B4887" s="16" t="n">
        <v>44553</v>
      </c>
      <c r="C4887" t="inlineStr">
        <is>
          <t>VTA</t>
        </is>
      </c>
      <c r="D4887" t="n">
        <v>40</v>
      </c>
      <c r="E4887">
        <f>IF(D3035&gt;0,VLOOKUP(OPERAC[[#This Row],[COD CART]],[1]!MatrizCortoLargoCyl[#All],3,0),"")</f>
        <v/>
      </c>
      <c r="F4887" t="inlineStr">
        <is>
          <t>ON</t>
        </is>
      </c>
      <c r="G4887" t="n">
        <v>9</v>
      </c>
      <c r="H4887" t="n">
        <v>-604.0224719999999</v>
      </c>
      <c r="I4887">
        <f>-H3035/G3035</f>
        <v/>
      </c>
      <c r="J4887" s="16" t="n">
        <v>44606</v>
      </c>
      <c r="K4887">
        <f>+OPERAC[[#This Row],[cantidad]]</f>
        <v/>
      </c>
      <c r="L4887">
        <f>+OPERAC[[#This Row],[cantidad venta]]*58.449</f>
        <v/>
      </c>
    </row>
    <row r="4888">
      <c r="A4888" t="n">
        <v>18690</v>
      </c>
      <c r="B4888" s="16" t="n">
        <v>44575</v>
      </c>
      <c r="C4888" t="inlineStr">
        <is>
          <t>CPR</t>
        </is>
      </c>
      <c r="D4888" t="n">
        <v>40</v>
      </c>
      <c r="E4888">
        <f>IF(D4016&gt;0,VLOOKUP(OPERAC[[#This Row],[COD CART]],[1]!MatrizCortoLargoCyl[#All],3,0),"")</f>
        <v/>
      </c>
      <c r="F4888" t="inlineStr">
        <is>
          <t>GBTC</t>
        </is>
      </c>
      <c r="G4888" t="n">
        <v>30</v>
      </c>
      <c r="H4888" t="n">
        <v>-924.2843999999999</v>
      </c>
      <c r="I4888">
        <f>-H4016/G4016</f>
        <v/>
      </c>
      <c r="J4888" s="16" t="n">
        <v>44651</v>
      </c>
      <c r="K4888">
        <f>+OPERAC[[#This Row],[cantidad]]</f>
        <v/>
      </c>
      <c r="L4888">
        <f>+OPERAC[[#This Row],[cantidad venta]]*31.332</f>
        <v/>
      </c>
    </row>
    <row r="4889">
      <c r="A4889" t="n">
        <v>18690</v>
      </c>
      <c r="B4889" s="16" t="n">
        <v>44579</v>
      </c>
      <c r="C4889" t="inlineStr">
        <is>
          <t>VTA</t>
        </is>
      </c>
      <c r="D4889" t="n">
        <v>39</v>
      </c>
      <c r="E4889">
        <f>IF(D420&gt;0,VLOOKUP(OPERAC[[#This Row],[COD CART]],[1]!MatrizCortoLargoCyl[#All],3,0),"")</f>
        <v/>
      </c>
      <c r="F4889" t="inlineStr">
        <is>
          <t>SOLO/V/3,50/25-02-22</t>
        </is>
      </c>
      <c r="G4889" t="n">
        <v>-800</v>
      </c>
      <c r="H4889" t="n">
        <v>1105.48592</v>
      </c>
      <c r="I4889">
        <f>-H420/G420</f>
        <v/>
      </c>
      <c r="J4889" s="16" t="n">
        <v>44608</v>
      </c>
      <c r="K4889">
        <f>+OPERAC[[#This Row],[cantidad]]</f>
        <v/>
      </c>
      <c r="L4889" t="n">
        <v>-1116.032</v>
      </c>
    </row>
    <row r="4890">
      <c r="A4890" t="n">
        <v>18690</v>
      </c>
      <c r="B4890" s="16" t="n">
        <v>44579</v>
      </c>
      <c r="C4890" t="inlineStr">
        <is>
          <t>VTA</t>
        </is>
      </c>
      <c r="D4890" t="n">
        <v>39</v>
      </c>
      <c r="E4890">
        <f>IF(D539&gt;0,VLOOKUP(OPERAC[[#This Row],[COD CART]],[1]!MatrizCortoLargoCyl[#All],3,0),"")</f>
        <v/>
      </c>
      <c r="F4890" t="inlineStr">
        <is>
          <t>ACB/V/5,50/21-01-22</t>
        </is>
      </c>
      <c r="G4890" t="n">
        <v>-2600</v>
      </c>
      <c r="H4890" t="n">
        <v>830.336</v>
      </c>
      <c r="I4890">
        <f>-H539/G539</f>
        <v/>
      </c>
      <c r="J4890" s="16" t="n">
        <v>44581</v>
      </c>
      <c r="K4890">
        <f>+OPERAC[[#This Row],[cantidad]]</f>
        <v/>
      </c>
      <c r="L4890">
        <f>-OPERAC[[#This Row],[importe]]</f>
        <v/>
      </c>
    </row>
    <row r="4891">
      <c r="A4891" t="n">
        <v>18690</v>
      </c>
      <c r="B4891" s="16" t="n">
        <v>44579</v>
      </c>
      <c r="C4891" t="inlineStr">
        <is>
          <t>VTA</t>
        </is>
      </c>
      <c r="D4891" t="n">
        <v>39</v>
      </c>
      <c r="E4891">
        <f>IF(D543&gt;0,VLOOKUP(OPERAC[[#This Row],[COD CART]],[1]!MatrizCortoLargoCyl[#All],3,0),"")</f>
        <v/>
      </c>
      <c r="F4891" t="inlineStr">
        <is>
          <t>SOLO/V/3,50/25-02-22</t>
        </is>
      </c>
      <c r="G4891" t="n">
        <v>-600</v>
      </c>
      <c r="H4891" t="n">
        <v>829.1144399999999</v>
      </c>
      <c r="I4891">
        <f>-H543/G543</f>
        <v/>
      </c>
      <c r="J4891" s="16" t="n">
        <v>44608</v>
      </c>
      <c r="K4891">
        <f>+OPERAC[[#This Row],[cantidad]]</f>
        <v/>
      </c>
      <c r="L4891" t="n">
        <v>-837.0239999999999</v>
      </c>
    </row>
    <row r="4892">
      <c r="A4892" t="n">
        <v>18690</v>
      </c>
      <c r="B4892" s="16" t="n">
        <v>44581</v>
      </c>
      <c r="C4892" t="inlineStr">
        <is>
          <t>VTA</t>
        </is>
      </c>
      <c r="D4892" t="n">
        <v>39</v>
      </c>
      <c r="E4892">
        <f>IF(D152&gt;0,VLOOKUP(OPERAC[[#This Row],[COD CART]],[1]!MatrizCortoLargoCyl[#All],3,0),"")</f>
        <v/>
      </c>
      <c r="F4892" t="inlineStr">
        <is>
          <t>ACB/V/6,00/18-02-22</t>
        </is>
      </c>
      <c r="G4892" t="n">
        <v>-2200</v>
      </c>
      <c r="H4892" t="n">
        <v>2660.933</v>
      </c>
      <c r="I4892">
        <f>-H152/G152</f>
        <v/>
      </c>
      <c r="J4892" s="16" t="n">
        <v>44601</v>
      </c>
      <c r="K4892" t="n">
        <v>-2200</v>
      </c>
      <c r="L4892">
        <f>1.21*OPERAC[[#This Row],[cantidad venta]]</f>
        <v/>
      </c>
    </row>
    <row r="4893">
      <c r="A4893" t="n">
        <v>18690</v>
      </c>
      <c r="B4893" s="16" t="n">
        <v>44581</v>
      </c>
      <c r="C4893" t="inlineStr">
        <is>
          <t>VTA</t>
        </is>
      </c>
      <c r="D4893" t="n">
        <v>39</v>
      </c>
      <c r="E4893">
        <f>IF(D346&gt;0,VLOOKUP(OPERAC[[#This Row],[COD CART]],[1]!MatrizCortoLargoCyl[#All],3,0),"")</f>
        <v/>
      </c>
      <c r="F4893" t="inlineStr">
        <is>
          <t>ACB/V/5,50/25-02-22</t>
        </is>
      </c>
      <c r="G4893" t="n">
        <v>-1600</v>
      </c>
      <c r="H4893" t="n">
        <v>1312.9928</v>
      </c>
      <c r="I4893">
        <f>-H346/G346</f>
        <v/>
      </c>
      <c r="J4893" s="16" t="n">
        <v>44614</v>
      </c>
      <c r="K4893" t="n">
        <v>-1600</v>
      </c>
      <c r="L4893" t="n">
        <v>-1312</v>
      </c>
    </row>
    <row r="4894">
      <c r="A4894" t="n">
        <v>18690</v>
      </c>
      <c r="B4894" s="16" t="n">
        <v>44581</v>
      </c>
      <c r="C4894" t="inlineStr">
        <is>
          <t>VTA</t>
        </is>
      </c>
      <c r="D4894" t="n">
        <v>39</v>
      </c>
      <c r="E4894">
        <f>IF(D366&gt;0,VLOOKUP(OPERAC[[#This Row],[COD CART]],[1]!MatrizCortoLargoCyl[#All],3,0),"")</f>
        <v/>
      </c>
      <c r="F4894" t="inlineStr">
        <is>
          <t>ACB/V/5,50/25-02-22</t>
        </is>
      </c>
      <c r="G4894" t="n">
        <v>-1500</v>
      </c>
      <c r="H4894" t="n">
        <v>1230.93075</v>
      </c>
      <c r="I4894">
        <f>-H366/G366</f>
        <v/>
      </c>
      <c r="J4894" s="16" t="n">
        <v>44614</v>
      </c>
      <c r="K4894" t="n">
        <v>-1500</v>
      </c>
      <c r="L4894" t="n">
        <v>-1230</v>
      </c>
    </row>
    <row r="4895">
      <c r="A4895" t="n">
        <v>18690</v>
      </c>
      <c r="B4895" s="16" t="n">
        <v>44582</v>
      </c>
      <c r="C4895" t="inlineStr">
        <is>
          <t>CPR</t>
        </is>
      </c>
      <c r="D4895" t="n">
        <v>40</v>
      </c>
      <c r="E4895">
        <f>IF(D5644&gt;0,VLOOKUP(OPERAC[[#This Row],[COD CART]],[1]!MatrizCortoLargoCyl[#All],3,0),"")</f>
        <v/>
      </c>
      <c r="F4895" t="inlineStr">
        <is>
          <t>NFLX</t>
        </is>
      </c>
      <c r="G4895" t="n">
        <v>6</v>
      </c>
      <c r="H4895" t="n">
        <v>-2343.8226</v>
      </c>
      <c r="I4895">
        <f>-H5644/G5644</f>
        <v/>
      </c>
      <c r="J4895" s="16" t="n">
        <v>44593</v>
      </c>
      <c r="K4895">
        <f>+OPERAC[[#This Row],[cantidad]]</f>
        <v/>
      </c>
      <c r="L4895">
        <f>+OPERAC[[#This Row],[cantidad venta]]*448.602</f>
        <v/>
      </c>
    </row>
    <row r="4896">
      <c r="A4896" t="n">
        <v>18690</v>
      </c>
      <c r="B4896" s="16" t="n">
        <v>44586</v>
      </c>
      <c r="C4896" t="inlineStr">
        <is>
          <t>VTA</t>
        </is>
      </c>
      <c r="D4896" t="n">
        <v>43</v>
      </c>
      <c r="E4896">
        <f>IF(D5536&gt;0,VLOOKUP(OPERAC[[#This Row],[COD CART]],[1]!MatrizCortoLargoCyl[#All],3,0),"")</f>
        <v/>
      </c>
      <c r="F4896" t="inlineStr">
        <is>
          <t>GMBL/CYL-PUT/2,50/20-01-23</t>
        </is>
      </c>
      <c r="G4896" t="n">
        <v>2000</v>
      </c>
      <c r="H4896" t="n">
        <v>-2032.0823</v>
      </c>
      <c r="I4896">
        <f>-H5536/G5536</f>
        <v/>
      </c>
    </row>
    <row r="4897">
      <c r="A4897" t="n">
        <v>18690</v>
      </c>
      <c r="B4897" s="16" t="n">
        <v>44587</v>
      </c>
      <c r="C4897" t="inlineStr">
        <is>
          <t>CPR</t>
        </is>
      </c>
      <c r="D4897" t="n">
        <v>40</v>
      </c>
      <c r="E4897">
        <f>IF(D5668&gt;0,VLOOKUP(OPERAC[[#This Row],[COD CART]],[1]!MatrizCortoLargoCyl[#All],3,0),"")</f>
        <v/>
      </c>
      <c r="F4897" t="inlineStr">
        <is>
          <t>MSFT</t>
        </is>
      </c>
      <c r="G4897" t="n">
        <v>8</v>
      </c>
      <c r="H4897" t="n">
        <v>-2427.29008</v>
      </c>
      <c r="I4897">
        <f>-H5668/G5668</f>
        <v/>
      </c>
      <c r="J4897" s="16" t="n">
        <v>44606</v>
      </c>
      <c r="K4897">
        <f>+OPERAC[[#This Row],[cantidad]]</f>
        <v/>
      </c>
      <c r="L4897">
        <f>+OPERAC[[#This Row],[cantidad venta]]*290.091</f>
        <v/>
      </c>
    </row>
    <row r="4898">
      <c r="A4898" t="n">
        <v>18690</v>
      </c>
      <c r="B4898" s="16" t="n">
        <v>44587</v>
      </c>
      <c r="C4898" t="inlineStr">
        <is>
          <t>CPR</t>
        </is>
      </c>
      <c r="D4898" t="n">
        <v>40</v>
      </c>
      <c r="E4898">
        <f>IF(D5678&gt;0,VLOOKUP(OPERAC[[#This Row],[COD CART]],[1]!MatrizCortoLargoCyl[#All],3,0),"")</f>
        <v/>
      </c>
      <c r="F4898" t="inlineStr">
        <is>
          <t>AAPL</t>
        </is>
      </c>
      <c r="G4898" t="n">
        <v>15</v>
      </c>
      <c r="H4898" t="n">
        <v>-2460.8163</v>
      </c>
      <c r="I4898">
        <f>-H5678/G5678</f>
        <v/>
      </c>
      <c r="J4898" s="16" t="n">
        <v>44601</v>
      </c>
      <c r="K4898" t="n">
        <v>15</v>
      </c>
      <c r="L4898">
        <f>175.66*OPERAC[[#This Row],[cantidad venta]]</f>
        <v/>
      </c>
    </row>
    <row r="4899">
      <c r="A4899" t="n">
        <v>18690</v>
      </c>
      <c r="B4899" s="16" t="n">
        <v>44594</v>
      </c>
      <c r="C4899" t="inlineStr">
        <is>
          <t>VTA</t>
        </is>
      </c>
      <c r="D4899" t="n">
        <v>40</v>
      </c>
      <c r="E4899">
        <f>IF(D5522&gt;0,VLOOKUP(OPERAC[[#This Row],[COD CART]],[1]!MatrizCortoLargoCyl[#All],3,0),"")</f>
        <v/>
      </c>
      <c r="F4899" t="inlineStr">
        <is>
          <t>EDU</t>
        </is>
      </c>
      <c r="G4899" t="n">
        <v>1000</v>
      </c>
      <c r="H4899" t="n">
        <v>-2016</v>
      </c>
      <c r="I4899">
        <f>-H5522/G5522</f>
        <v/>
      </c>
      <c r="J4899" s="16" t="n">
        <v>44601</v>
      </c>
      <c r="K4899" t="n">
        <v>1000</v>
      </c>
      <c r="L4899" t="n">
        <v>1640</v>
      </c>
    </row>
    <row r="4900">
      <c r="A4900" t="n">
        <v>18690</v>
      </c>
      <c r="B4900" s="16" t="n">
        <v>44599</v>
      </c>
      <c r="C4900" t="inlineStr">
        <is>
          <t>VTA</t>
        </is>
      </c>
      <c r="D4900" t="n">
        <v>39</v>
      </c>
      <c r="E4900">
        <f>IF(D98&gt;0,VLOOKUP(OPERAC[[#This Row],[COD CART]],[1]!MatrizCortoLargoCyl[#All],3,0),"")</f>
        <v/>
      </c>
      <c r="F4900" t="inlineStr">
        <is>
          <t>MELI/V/850,00/18-02/22</t>
        </is>
      </c>
      <c r="G4900" t="n">
        <v>-500</v>
      </c>
      <c r="H4900" t="n">
        <v>3472</v>
      </c>
      <c r="I4900">
        <f>-H98/G98</f>
        <v/>
      </c>
      <c r="J4900" s="16" t="n">
        <v>44610</v>
      </c>
      <c r="K4900" t="n">
        <v>-500</v>
      </c>
      <c r="L4900" t="n">
        <v>0</v>
      </c>
    </row>
    <row r="4901">
      <c r="A4901" t="n">
        <v>18690</v>
      </c>
      <c r="B4901" s="16" t="n">
        <v>44601</v>
      </c>
      <c r="C4901" t="inlineStr">
        <is>
          <t>VTA</t>
        </is>
      </c>
      <c r="D4901" t="n">
        <v>39</v>
      </c>
      <c r="E4901">
        <f>IF(D1057&gt;0,VLOOKUP(OPERAC[[#This Row],[COD CART]],[1]!MatrizCortoLargoCyl[#All],3,0),"")</f>
        <v/>
      </c>
      <c r="F4901" t="inlineStr">
        <is>
          <t>ACB/V/5,00/16-09-22</t>
        </is>
      </c>
      <c r="G4901" t="n">
        <v>-25</v>
      </c>
      <c r="H4901">
        <f>-1.56*OPERAC[[#This Row],[cantidad]]</f>
        <v/>
      </c>
      <c r="I4901">
        <f>-H1057/G1057</f>
        <v/>
      </c>
      <c r="J4901" s="16" t="n">
        <v>44719</v>
      </c>
      <c r="K4901" t="n">
        <v>-8</v>
      </c>
      <c r="L4901" t="n">
        <v>-28.1184</v>
      </c>
    </row>
    <row r="4902">
      <c r="A4902" t="n">
        <v>18690</v>
      </c>
      <c r="B4902" s="16" t="n">
        <v>44607</v>
      </c>
      <c r="C4902" t="inlineStr">
        <is>
          <t>CPR</t>
        </is>
      </c>
      <c r="D4902" t="n">
        <v>32</v>
      </c>
      <c r="E4902">
        <f>IF(D6273&gt;0,VLOOKUP(OPERAC[[#This Row],[COD CART]],[1]!MatrizCortoLargoCyl[#All],3,0),"")</f>
        <v/>
      </c>
      <c r="F4902" t="inlineStr">
        <is>
          <t>UPST/CYL/80,00/18-03-22</t>
        </is>
      </c>
      <c r="G4902" t="n">
        <v>100</v>
      </c>
      <c r="H4902" t="n">
        <v>-7567.157770000001</v>
      </c>
      <c r="I4902">
        <f>-H6273/G6273</f>
        <v/>
      </c>
      <c r="J4902" s="16" t="n">
        <v>44608</v>
      </c>
      <c r="K4902" t="n">
        <v>100</v>
      </c>
      <c r="L4902" t="n">
        <v>7956.448</v>
      </c>
    </row>
    <row r="4903">
      <c r="A4903" t="n">
        <v>18690</v>
      </c>
      <c r="B4903" s="16" t="n">
        <v>44607</v>
      </c>
      <c r="C4903" t="inlineStr">
        <is>
          <t>VTA</t>
        </is>
      </c>
      <c r="D4903" t="n">
        <v>32</v>
      </c>
      <c r="E4903">
        <f>IF(D5238&gt;0,VLOOKUP(OPERAC[[#This Row],[COD CART]],[1]!MatrizCortoLargoCyl[#All],3,0),"")</f>
        <v/>
      </c>
      <c r="F4903" t="inlineStr">
        <is>
          <t>F</t>
        </is>
      </c>
      <c r="G4903" t="n">
        <v>100</v>
      </c>
      <c r="H4903">
        <f>-1719.296+57.398</f>
        <v/>
      </c>
      <c r="I4903">
        <f>-H5238/G5238</f>
        <v/>
      </c>
      <c r="J4903" s="16" t="n">
        <v>44726</v>
      </c>
      <c r="K4903" t="n">
        <v>100</v>
      </c>
      <c r="L4903" t="n">
        <v>1169.5</v>
      </c>
    </row>
    <row r="4904">
      <c r="A4904" t="n">
        <v>18690</v>
      </c>
      <c r="B4904" s="16" t="n">
        <v>44608</v>
      </c>
      <c r="C4904" t="inlineStr">
        <is>
          <t>CPR</t>
        </is>
      </c>
      <c r="D4904" t="n">
        <v>40</v>
      </c>
      <c r="E4904">
        <f>IF(D4701&gt;0,VLOOKUP(OPERAC[[#This Row],[COD CART]],[1]!MatrizCortoLargoCyl[#All],3,0),"")</f>
        <v/>
      </c>
      <c r="F4904" t="inlineStr">
        <is>
          <t>NVDA</t>
        </is>
      </c>
      <c r="G4904" t="n">
        <v>5</v>
      </c>
      <c r="H4904" t="n">
        <v>-1317.57</v>
      </c>
      <c r="I4904">
        <f>-H4701/G4701</f>
        <v/>
      </c>
      <c r="J4904" s="16" t="n">
        <v>44616</v>
      </c>
      <c r="K4904">
        <f>+OPERAC[[#This Row],[cantidad]]</f>
        <v/>
      </c>
      <c r="L4904">
        <f>+OPERAC[[#This Row],[cantidad venta]]*224.117</f>
        <v/>
      </c>
    </row>
    <row r="4905">
      <c r="A4905" t="n">
        <v>18690</v>
      </c>
      <c r="B4905" s="16" t="n">
        <v>44608</v>
      </c>
      <c r="C4905" t="inlineStr">
        <is>
          <t>CPR</t>
        </is>
      </c>
      <c r="D4905" t="n">
        <v>32</v>
      </c>
      <c r="E4905">
        <f>IF(D5971&gt;0,VLOOKUP(OPERAC[[#This Row],[COD CART]],[1]!MatrizCortoLargoCyl[#All],3,0),"")</f>
        <v/>
      </c>
      <c r="F4905" t="inlineStr">
        <is>
          <t>DDD/CYL/17,00/01-04-22</t>
        </is>
      </c>
      <c r="G4905" t="n">
        <v>200</v>
      </c>
      <c r="H4905">
        <f>-3258.8378+39.45+32.9</f>
        <v/>
      </c>
      <c r="I4905">
        <f>-H5971/G5971</f>
        <v/>
      </c>
      <c r="J4905" s="16" t="n">
        <v>44649</v>
      </c>
      <c r="K4905" t="n">
        <v>200</v>
      </c>
      <c r="L4905" t="n">
        <v>3323.96</v>
      </c>
    </row>
    <row r="4906">
      <c r="A4906" t="n">
        <v>18690</v>
      </c>
      <c r="B4906" s="16" t="n">
        <v>44608</v>
      </c>
      <c r="C4906" t="inlineStr">
        <is>
          <t>VTA</t>
        </is>
      </c>
      <c r="D4906" t="n">
        <v>39</v>
      </c>
      <c r="E4906">
        <f>IF(D572&gt;0,VLOOKUP(OPERAC[[#This Row],[COD CART]],[1]!MatrizCortoLargoCyl[#All],3,0),"")</f>
        <v/>
      </c>
      <c r="F4906" t="inlineStr">
        <is>
          <t>SOLO/V/3,00/18-03-22</t>
        </is>
      </c>
      <c r="G4906" t="n">
        <v>-800</v>
      </c>
      <c r="H4906" t="n">
        <v>684.032</v>
      </c>
      <c r="I4906">
        <f>-H572/G572</f>
        <v/>
      </c>
      <c r="J4906" s="16" t="n">
        <v>44614</v>
      </c>
      <c r="K4906">
        <f>+OPERAC[[#This Row],[cantidad]]</f>
        <v/>
      </c>
      <c r="L4906">
        <f>+OPERAC[[#This Row],[cantidad venta]]*1.113</f>
        <v/>
      </c>
    </row>
    <row r="4907">
      <c r="A4907" t="n">
        <v>18690</v>
      </c>
      <c r="B4907" s="16" t="n">
        <v>44608</v>
      </c>
      <c r="C4907" t="inlineStr">
        <is>
          <t>VTA</t>
        </is>
      </c>
      <c r="D4907" t="n">
        <v>39</v>
      </c>
      <c r="E4907">
        <f>IF(D652&gt;0,VLOOKUP(OPERAC[[#This Row],[COD CART]],[1]!MatrizCortoLargoCyl[#All],3,0),"")</f>
        <v/>
      </c>
      <c r="F4907" t="inlineStr">
        <is>
          <t>SOLO/V/3,00/18-03-22</t>
        </is>
      </c>
      <c r="G4907" t="n">
        <v>-600</v>
      </c>
      <c r="H4907" t="n">
        <v>513.024</v>
      </c>
      <c r="I4907">
        <f>-H652/G652</f>
        <v/>
      </c>
      <c r="J4907" s="16" t="n">
        <v>44614</v>
      </c>
      <c r="K4907">
        <f>+OPERAC[[#This Row],[cantidad]]</f>
        <v/>
      </c>
      <c r="L4907">
        <f>+OPERAC[[#This Row],[cantidad venta]]*1.113</f>
        <v/>
      </c>
    </row>
    <row r="4908">
      <c r="A4908" t="n">
        <v>18690</v>
      </c>
      <c r="B4908" s="16" t="n">
        <v>44609</v>
      </c>
      <c r="C4908" t="inlineStr">
        <is>
          <t>VTA</t>
        </is>
      </c>
      <c r="D4908" t="n">
        <v>32</v>
      </c>
      <c r="E4908">
        <f>IF(D5209&gt;0,VLOOKUP(OPERAC[[#This Row],[COD CART]],[1]!MatrizCortoLargoCyl[#All],3,0),"")</f>
        <v/>
      </c>
      <c r="F4908" t="inlineStr">
        <is>
          <t>F</t>
        </is>
      </c>
      <c r="G4908" t="n">
        <v>100</v>
      </c>
      <c r="H4908">
        <f>-1715.2776+57.398</f>
        <v/>
      </c>
      <c r="I4908">
        <f>-H5209/G5209</f>
        <v/>
      </c>
      <c r="J4908" s="16" t="n">
        <v>44726</v>
      </c>
      <c r="K4908" t="n">
        <v>100</v>
      </c>
      <c r="L4908" t="n">
        <v>1169.5</v>
      </c>
    </row>
    <row r="4909">
      <c r="A4909" t="n">
        <v>18690</v>
      </c>
      <c r="B4909" s="16" t="n">
        <v>44614</v>
      </c>
      <c r="C4909" t="inlineStr">
        <is>
          <t>VTA</t>
        </is>
      </c>
      <c r="D4909" t="n">
        <v>39</v>
      </c>
      <c r="E4909">
        <f>IF(D1091&gt;0,VLOOKUP(OPERAC[[#This Row],[COD CART]],[1]!MatrizCortoLargoCyl[#All],3,0),"")</f>
        <v/>
      </c>
      <c r="F4909" t="inlineStr">
        <is>
          <t>TSLA/V/200,00/19-01-24</t>
        </is>
      </c>
      <c r="G4909" t="n">
        <v>-3</v>
      </c>
      <c r="H4909" t="n">
        <v>26.77</v>
      </c>
      <c r="I4909">
        <f>-H1091/G1091</f>
        <v/>
      </c>
    </row>
    <row r="4910">
      <c r="A4910" t="n">
        <v>18690</v>
      </c>
      <c r="B4910" s="16" t="n">
        <v>44614</v>
      </c>
      <c r="C4910" t="inlineStr">
        <is>
          <t>VTA</t>
        </is>
      </c>
      <c r="D4910" t="n">
        <v>39</v>
      </c>
      <c r="E4910">
        <f>IF(D1125&gt;0,VLOOKUP(OPERAC[[#This Row],[COD CART]],[1]!MatrizCortoLargoCyl[#All],3,0),"")</f>
        <v/>
      </c>
      <c r="F4910" t="inlineStr">
        <is>
          <t>DDD/V/10,00/20-01-23</t>
        </is>
      </c>
      <c r="G4910" t="n">
        <v>-20</v>
      </c>
      <c r="H4910" t="n">
        <v>20.75</v>
      </c>
      <c r="I4910">
        <f>-H1125/G1125</f>
        <v/>
      </c>
    </row>
    <row r="4911">
      <c r="A4911" t="n">
        <v>18690</v>
      </c>
      <c r="B4911" s="16" t="n">
        <v>44616</v>
      </c>
      <c r="C4911" t="inlineStr">
        <is>
          <t>CPR</t>
        </is>
      </c>
      <c r="D4911" t="n">
        <v>32</v>
      </c>
      <c r="E4911">
        <f>IF(D3298&gt;0,VLOOKUP(OPERAC[[#This Row],[COD CART]],[1]!MatrizCortoLargoCyl[#All],3,0),"")</f>
        <v/>
      </c>
      <c r="F4911" t="inlineStr">
        <is>
          <t>UUUU/CYL/8,00/18-03-22</t>
        </is>
      </c>
      <c r="G4911" t="n">
        <v>100</v>
      </c>
      <c r="H4911" t="n">
        <v>-683.826</v>
      </c>
      <c r="I4911">
        <f>-H3298/G3298</f>
        <v/>
      </c>
      <c r="J4911" s="16" t="n">
        <v>44636</v>
      </c>
      <c r="K4911">
        <f>+OPERAC[[#This Row],[cantidad]]</f>
        <v/>
      </c>
      <c r="L4911" t="n">
        <v>767.46</v>
      </c>
    </row>
    <row r="4912">
      <c r="A4912" t="n">
        <v>18690</v>
      </c>
      <c r="B4912" s="16" t="n">
        <v>44616</v>
      </c>
      <c r="C4912" t="inlineStr">
        <is>
          <t>CPR</t>
        </is>
      </c>
      <c r="D4912" t="n">
        <v>32</v>
      </c>
      <c r="E4912">
        <f>IF(D4324&gt;0,VLOOKUP(OPERAC[[#This Row],[COD CART]],[1]!MatrizCortoLargoCyl[#All],3,0),"")</f>
        <v/>
      </c>
      <c r="F4912" t="inlineStr">
        <is>
          <t>PLTR/CYL/12,00/14-04-22</t>
        </is>
      </c>
      <c r="G4912" t="n">
        <v>100</v>
      </c>
      <c r="H4912" t="n">
        <v>-1052.7265</v>
      </c>
      <c r="I4912">
        <f>-H4324/G4324</f>
        <v/>
      </c>
      <c r="J4912" s="16" t="n">
        <v>44643</v>
      </c>
      <c r="K4912" t="n">
        <v>100</v>
      </c>
      <c r="L4912" t="n">
        <v>1146.72</v>
      </c>
    </row>
    <row r="4913">
      <c r="A4913" t="n">
        <v>18690</v>
      </c>
      <c r="B4913" s="16" t="n">
        <v>44634</v>
      </c>
      <c r="C4913" t="inlineStr">
        <is>
          <t>VTA</t>
        </is>
      </c>
      <c r="D4913" t="n">
        <v>42</v>
      </c>
      <c r="E4913">
        <f>IF(D5226&gt;0,VLOOKUP(OPERAC[[#This Row],[COD CART]],[1]!MatrizCortoLargoCyl[#All],3,0),"")</f>
        <v/>
      </c>
      <c r="F4913" t="inlineStr">
        <is>
          <t>INO</t>
        </is>
      </c>
      <c r="G4913" t="n">
        <v>500</v>
      </c>
      <c r="H4913" t="n">
        <v>-1660.408</v>
      </c>
      <c r="I4913">
        <f>-H5226/G5226</f>
        <v/>
      </c>
      <c r="J4913" s="16" t="n">
        <v>44634</v>
      </c>
      <c r="K4913" t="n">
        <v>500</v>
      </c>
      <c r="L4913" t="n">
        <v>1494.4275</v>
      </c>
    </row>
    <row r="4914">
      <c r="A4914" t="n">
        <v>18690</v>
      </c>
      <c r="B4914" s="16" t="n">
        <v>44637</v>
      </c>
      <c r="C4914" t="inlineStr">
        <is>
          <t>CPR</t>
        </is>
      </c>
      <c r="D4914" t="n">
        <v>31</v>
      </c>
      <c r="E4914">
        <f>IF(D2702&gt;0,VLOOKUP(OPERAC[[#This Row],[COD CART]],[1]!MatrizCortoLargoCyl[#All],3,0),"")</f>
        <v/>
      </c>
      <c r="F4914" t="inlineStr">
        <is>
          <t>IRS</t>
        </is>
      </c>
      <c r="G4914" t="n">
        <v>100</v>
      </c>
      <c r="H4914" t="n">
        <v>-496.936</v>
      </c>
      <c r="I4914">
        <f>-H2702/G2702</f>
        <v/>
      </c>
    </row>
    <row r="4915">
      <c r="A4915" t="n">
        <v>18690</v>
      </c>
      <c r="B4915" s="16" t="n">
        <v>44637</v>
      </c>
      <c r="C4915" t="inlineStr">
        <is>
          <t>CPR</t>
        </is>
      </c>
      <c r="D4915" t="n">
        <v>31</v>
      </c>
      <c r="E4915">
        <f>IF(D3352&gt;0,VLOOKUP(OPERAC[[#This Row],[COD CART]],[1]!MatrizCortoLargoCyl[#All],3,0),"")</f>
        <v/>
      </c>
      <c r="F4915" t="inlineStr">
        <is>
          <t>DIS</t>
        </is>
      </c>
      <c r="G4915" t="n">
        <v>5</v>
      </c>
      <c r="H4915" t="n">
        <v>-698.0359999999999</v>
      </c>
      <c r="I4915">
        <f>-H3352/G3352</f>
        <v/>
      </c>
    </row>
    <row r="4916">
      <c r="A4916" t="n">
        <v>18690</v>
      </c>
      <c r="B4916" s="16" t="n">
        <v>44637</v>
      </c>
      <c r="C4916" t="inlineStr">
        <is>
          <t>CPR</t>
        </is>
      </c>
      <c r="D4916" t="n">
        <v>31</v>
      </c>
      <c r="E4916">
        <f>IF(D3480&gt;0,VLOOKUP(OPERAC[[#This Row],[COD CART]],[1]!MatrizCortoLargoCyl[#All],3,0),"")</f>
        <v/>
      </c>
      <c r="F4916" t="inlineStr">
        <is>
          <t>CRESY</t>
        </is>
      </c>
      <c r="G4916" t="n">
        <v>100</v>
      </c>
      <c r="H4916" t="n">
        <v>-760.4312</v>
      </c>
      <c r="I4916">
        <f>-H3480/G3480</f>
        <v/>
      </c>
    </row>
    <row r="4917">
      <c r="A4917" t="n">
        <v>18690</v>
      </c>
      <c r="B4917" s="16" t="n">
        <v>44637</v>
      </c>
      <c r="C4917" t="inlineStr">
        <is>
          <t>CPR</t>
        </is>
      </c>
      <c r="D4917" t="n">
        <v>31</v>
      </c>
      <c r="E4917">
        <f>IF(D3617&gt;0,VLOOKUP(OPERAC[[#This Row],[COD CART]],[1]!MatrizCortoLargoCyl[#All],3,0),"")</f>
        <v/>
      </c>
      <c r="F4917" t="inlineStr">
        <is>
          <t>BMA</t>
        </is>
      </c>
      <c r="G4917" t="n">
        <v>50</v>
      </c>
      <c r="H4917" t="n">
        <v>-792.6831999999999</v>
      </c>
      <c r="I4917">
        <f>-H3617/G3617</f>
        <v/>
      </c>
    </row>
    <row r="4918">
      <c r="A4918" t="n">
        <v>18690</v>
      </c>
      <c r="B4918" s="16" t="n">
        <v>44637</v>
      </c>
      <c r="C4918" t="inlineStr">
        <is>
          <t>CPR</t>
        </is>
      </c>
      <c r="D4918" t="n">
        <v>31</v>
      </c>
      <c r="E4918">
        <f>IF(D3637&gt;0,VLOOKUP(OPERAC[[#This Row],[COD CART]],[1]!MatrizCortoLargoCyl[#All],3,0),"")</f>
        <v/>
      </c>
      <c r="F4918" t="inlineStr">
        <is>
          <t>AAPL</t>
        </is>
      </c>
      <c r="G4918" t="n">
        <v>5</v>
      </c>
      <c r="H4918" t="n">
        <v>-806.2196</v>
      </c>
      <c r="I4918">
        <f>-H3637/G3637</f>
        <v/>
      </c>
    </row>
    <row r="4919">
      <c r="A4919" t="n">
        <v>18690</v>
      </c>
      <c r="B4919" s="16" t="n">
        <v>44637</v>
      </c>
      <c r="C4919" t="inlineStr">
        <is>
          <t>CPR</t>
        </is>
      </c>
      <c r="D4919" t="n">
        <v>31</v>
      </c>
      <c r="E4919">
        <f>IF(D4201&gt;0,VLOOKUP(OPERAC[[#This Row],[COD CART]],[1]!MatrizCortoLargoCyl[#All],3,0),"")</f>
        <v/>
      </c>
      <c r="F4919" t="inlineStr">
        <is>
          <t>NVDA</t>
        </is>
      </c>
      <c r="G4919" t="n">
        <v>4</v>
      </c>
      <c r="H4919" t="n">
        <v>-987.7352</v>
      </c>
      <c r="I4919">
        <f>-H4201/G4201</f>
        <v/>
      </c>
    </row>
    <row r="4920">
      <c r="A4920" t="n">
        <v>18690</v>
      </c>
      <c r="B4920" s="16" t="n">
        <v>44637</v>
      </c>
      <c r="C4920" t="inlineStr">
        <is>
          <t>CPR</t>
        </is>
      </c>
      <c r="D4920" t="n">
        <v>31</v>
      </c>
      <c r="E4920">
        <f>IF(D4377&gt;0,VLOOKUP(OPERAC[[#This Row],[COD CART]],[1]!MatrizCortoLargoCyl[#All],3,0),"")</f>
        <v/>
      </c>
      <c r="F4920" t="inlineStr">
        <is>
          <t>GLD</t>
        </is>
      </c>
      <c r="G4920" t="n">
        <v>6</v>
      </c>
      <c r="H4920" t="n">
        <v>-1096.687904</v>
      </c>
      <c r="I4920">
        <f>-H4377/G4377</f>
        <v/>
      </c>
    </row>
    <row r="4921">
      <c r="A4921" t="n">
        <v>18690</v>
      </c>
      <c r="B4921" s="16" t="n">
        <v>44637</v>
      </c>
      <c r="C4921" t="inlineStr">
        <is>
          <t>VTA</t>
        </is>
      </c>
      <c r="D4921" t="n">
        <v>31</v>
      </c>
      <c r="E4921">
        <f>IF(D3056&gt;0,VLOOKUP(OPERAC[[#This Row],[COD CART]],[1]!MatrizCortoLargoCyl[#All],3,0),"")</f>
        <v/>
      </c>
      <c r="F4921" t="inlineStr">
        <is>
          <t>BIOX</t>
        </is>
      </c>
      <c r="G4921" t="n">
        <v>45</v>
      </c>
      <c r="H4921" t="n">
        <v>-610.1848</v>
      </c>
      <c r="I4921">
        <f>-H3056/G3056</f>
        <v/>
      </c>
    </row>
    <row r="4922">
      <c r="A4922" t="n">
        <v>18690</v>
      </c>
      <c r="B4922" s="16" t="n">
        <v>44637</v>
      </c>
      <c r="C4922" t="inlineStr">
        <is>
          <t>VTA</t>
        </is>
      </c>
      <c r="D4922" t="n">
        <v>31</v>
      </c>
      <c r="E4922">
        <f>IF(D3102&gt;0,VLOOKUP(OPERAC[[#This Row],[COD CART]],[1]!MatrizCortoLargoCyl[#All],3,0),"")</f>
        <v/>
      </c>
      <c r="F4922" t="inlineStr">
        <is>
          <t>FB</t>
        </is>
      </c>
      <c r="G4922" t="n">
        <v>3</v>
      </c>
      <c r="H4922" t="n">
        <v>-623.47424</v>
      </c>
      <c r="I4922">
        <f>-H3102/G3102</f>
        <v/>
      </c>
      <c r="J4922" s="16" t="n">
        <v>44672</v>
      </c>
      <c r="K4922" t="n">
        <v>3</v>
      </c>
      <c r="L4922" t="n">
        <v>583.15</v>
      </c>
    </row>
    <row r="4923">
      <c r="A4923" t="n">
        <v>18690</v>
      </c>
      <c r="B4923" s="16" t="n">
        <v>44641</v>
      </c>
      <c r="C4923" t="inlineStr">
        <is>
          <t>VTA</t>
        </is>
      </c>
      <c r="D4923" t="n">
        <v>42</v>
      </c>
      <c r="E4923">
        <f>IF(D2882&gt;0,VLOOKUP(OPERAC[[#This Row],[COD CART]],[1]!MatrizCortoLargoCyl[#All],3,0),"")</f>
        <v/>
      </c>
      <c r="F4923" t="inlineStr">
        <is>
          <t>SMH</t>
        </is>
      </c>
      <c r="G4923" t="n">
        <v>2</v>
      </c>
      <c r="H4923" t="n">
        <v>-537.9153000000001</v>
      </c>
      <c r="I4923">
        <f>-H2882/G2882</f>
        <v/>
      </c>
      <c r="J4923" s="16" t="n">
        <v>44663</v>
      </c>
      <c r="K4923">
        <f>+OPERAC[[#This Row],[cantidad]]</f>
        <v/>
      </c>
      <c r="L4923">
        <f>+OPERAC[[#This Row],[cantidad venta]]*238.066</f>
        <v/>
      </c>
    </row>
    <row r="4924">
      <c r="A4924" t="n">
        <v>18690</v>
      </c>
      <c r="B4924" s="16" t="n">
        <v>44641</v>
      </c>
      <c r="C4924" t="inlineStr">
        <is>
          <t>VTA</t>
        </is>
      </c>
      <c r="D4924" t="n">
        <v>42</v>
      </c>
      <c r="E4924">
        <f>IF(D2964&gt;0,VLOOKUP(OPERAC[[#This Row],[COD CART]],[1]!MatrizCortoLargoCyl[#All],3,0),"")</f>
        <v/>
      </c>
      <c r="F4924" t="inlineStr">
        <is>
          <t>JPM</t>
        </is>
      </c>
      <c r="G4924" t="n">
        <v>4</v>
      </c>
      <c r="H4924" t="n">
        <v>-561.8173600000001</v>
      </c>
      <c r="I4924">
        <f>-H2964/G2964</f>
        <v/>
      </c>
      <c r="J4924" s="16" t="n">
        <v>44664</v>
      </c>
      <c r="K4924">
        <f>+OPERAC[[#This Row],[cantidad]]</f>
        <v/>
      </c>
      <c r="L4924">
        <f>+OPERAC[[#This Row],[cantidad venta]]*125.943</f>
        <v/>
      </c>
    </row>
    <row r="4925">
      <c r="A4925" t="n">
        <v>18690</v>
      </c>
      <c r="B4925" s="16" t="n">
        <v>44641</v>
      </c>
      <c r="C4925" t="inlineStr">
        <is>
          <t>VTA</t>
        </is>
      </c>
      <c r="D4925" t="n">
        <v>42</v>
      </c>
      <c r="E4925">
        <f>IF(D3162&gt;0,VLOOKUP(OPERAC[[#This Row],[COD CART]],[1]!MatrizCortoLargoCyl[#All],3,0),"")</f>
        <v/>
      </c>
      <c r="F4925" t="inlineStr">
        <is>
          <t>FB</t>
        </is>
      </c>
      <c r="G4925" t="n">
        <v>3</v>
      </c>
      <c r="H4925" t="n">
        <v>-636.4691399999999</v>
      </c>
      <c r="I4925">
        <f>-H3162/G3162</f>
        <v/>
      </c>
      <c r="J4925" s="16" t="n">
        <v>44671</v>
      </c>
      <c r="K4925">
        <f>+OPERAC[[#This Row],[cantidad]]</f>
        <v/>
      </c>
      <c r="L4925">
        <f>+OPERAC[[#This Row],[cantidad venta]]*213.173</f>
        <v/>
      </c>
    </row>
    <row r="4926">
      <c r="A4926" t="n">
        <v>18690</v>
      </c>
      <c r="B4926" s="16" t="n">
        <v>44645</v>
      </c>
      <c r="C4926" t="inlineStr">
        <is>
          <t>CPR</t>
        </is>
      </c>
      <c r="D4926" t="n">
        <v>42</v>
      </c>
      <c r="E4926">
        <f>IF(D4800&gt;0,VLOOKUP(OPERAC[[#This Row],[COD CART]],[1]!MatrizCortoLargoCyl[#All],3,0),"")</f>
        <v/>
      </c>
      <c r="F4926" t="inlineStr">
        <is>
          <t>PLUG</t>
        </is>
      </c>
      <c r="G4926" t="n">
        <v>50</v>
      </c>
      <c r="H4926" t="n">
        <v>-1396.582</v>
      </c>
      <c r="I4926">
        <f>-H4800/G4800</f>
        <v/>
      </c>
      <c r="J4926" s="16" t="n">
        <v>44652</v>
      </c>
      <c r="K4926">
        <f>+OPERAC[[#This Row],[cantidad]]</f>
        <v/>
      </c>
      <c r="L4926">
        <f>+OPERAC[[#This Row],[cantidad venta]]*27.754</f>
        <v/>
      </c>
    </row>
    <row r="4927">
      <c r="A4927" t="n">
        <v>18690</v>
      </c>
      <c r="B4927" s="16" t="n">
        <v>44649</v>
      </c>
      <c r="C4927" t="inlineStr">
        <is>
          <t>CPR</t>
        </is>
      </c>
      <c r="D4927" t="n">
        <v>42</v>
      </c>
      <c r="E4927">
        <f>IF(D4788&gt;0,VLOOKUP(OPERAC[[#This Row],[COD CART]],[1]!MatrizCortoLargoCyl[#All],3,0),"")</f>
        <v/>
      </c>
      <c r="F4927" t="inlineStr">
        <is>
          <t>ADBE</t>
        </is>
      </c>
      <c r="G4927" t="n">
        <v>3</v>
      </c>
      <c r="H4927" t="n">
        <v>-1391.90528</v>
      </c>
      <c r="I4927">
        <f>-H4788/G4788</f>
        <v/>
      </c>
      <c r="J4927" s="16" t="n">
        <v>44669</v>
      </c>
      <c r="K4927" t="n">
        <v>3</v>
      </c>
      <c r="L4927" t="n">
        <v>1250.123</v>
      </c>
    </row>
    <row r="4928">
      <c r="A4928" t="n">
        <v>18690</v>
      </c>
      <c r="B4928" s="16" t="n">
        <v>44649</v>
      </c>
      <c r="C4928" t="inlineStr">
        <is>
          <t>CPR</t>
        </is>
      </c>
      <c r="D4928" t="n">
        <v>32</v>
      </c>
      <c r="E4928">
        <f>IF(D4933&gt;0,VLOOKUP(OPERAC[[#This Row],[COD CART]],[1]!MatrizCortoLargoCyl[#All],3,0),"")</f>
        <v/>
      </c>
      <c r="F4928" t="inlineStr">
        <is>
          <t>DDD</t>
        </is>
      </c>
      <c r="G4928" t="n">
        <v>100</v>
      </c>
      <c r="H4928" t="n">
        <v>-1498.949</v>
      </c>
      <c r="I4928">
        <f>-H4933/G4933</f>
        <v/>
      </c>
      <c r="J4928" s="16" t="n">
        <v>44705</v>
      </c>
      <c r="K4928" t="n">
        <v>100</v>
      </c>
      <c r="L4928" t="n">
        <v>995.48</v>
      </c>
    </row>
    <row r="4929">
      <c r="A4929" t="n">
        <v>18690</v>
      </c>
      <c r="B4929" s="16" t="n">
        <v>44649</v>
      </c>
      <c r="C4929" t="inlineStr">
        <is>
          <t>VTA</t>
        </is>
      </c>
      <c r="D4929" t="n">
        <v>42</v>
      </c>
      <c r="E4929">
        <f>IF(D1889&gt;0,VLOOKUP(OPERAC[[#This Row],[COD CART]],[1]!MatrizCortoLargoCyl[#All],3,0),"")</f>
        <v/>
      </c>
      <c r="F4929" t="inlineStr">
        <is>
          <t>SMH</t>
        </is>
      </c>
      <c r="G4929" t="n">
        <v>1</v>
      </c>
      <c r="H4929" t="n">
        <v>-281.9972</v>
      </c>
      <c r="I4929">
        <f>-H1889/G1889</f>
        <v/>
      </c>
      <c r="J4929" s="16" t="n">
        <v>44663</v>
      </c>
      <c r="K4929">
        <f>+OPERAC[[#This Row],[cantidad]]</f>
        <v/>
      </c>
      <c r="L4929">
        <f>+OPERAC[[#This Row],[cantidad venta]]*238.066</f>
        <v/>
      </c>
    </row>
    <row r="4930">
      <c r="A4930" t="n">
        <v>18690</v>
      </c>
      <c r="B4930" s="16" t="n">
        <v>44651</v>
      </c>
      <c r="C4930" t="inlineStr">
        <is>
          <t>CPR</t>
        </is>
      </c>
      <c r="D4930" t="n">
        <v>42</v>
      </c>
      <c r="E4930">
        <f>IF(D3978&gt;0,VLOOKUP(OPERAC[[#This Row],[COD CART]],[1]!MatrizCortoLargoCyl[#All],3,0),"")</f>
        <v/>
      </c>
      <c r="F4930" t="inlineStr">
        <is>
          <t>AMD</t>
        </is>
      </c>
      <c r="G4930" t="n">
        <v>8</v>
      </c>
      <c r="H4930" t="n">
        <v>-911.1913599999999</v>
      </c>
      <c r="I4930">
        <f>-H3978/G3978</f>
        <v/>
      </c>
    </row>
    <row r="4931">
      <c r="A4931" t="n">
        <v>18690</v>
      </c>
      <c r="B4931" s="16" t="n">
        <v>44652</v>
      </c>
      <c r="C4931" t="inlineStr">
        <is>
          <t>VTA</t>
        </is>
      </c>
      <c r="D4931" t="n">
        <v>42</v>
      </c>
      <c r="E4931">
        <f>IF(D5149&gt;0,VLOOKUP(OPERAC[[#This Row],[COD CART]],[1]!MatrizCortoLargoCyl[#All],3,0),"")</f>
        <v/>
      </c>
      <c r="F4931" t="inlineStr">
        <is>
          <t>GBTC</t>
        </is>
      </c>
      <c r="G4931" t="n">
        <v>50</v>
      </c>
      <c r="H4931" t="n">
        <v>-1605.49</v>
      </c>
      <c r="I4931">
        <f>-H5149/G5149</f>
        <v/>
      </c>
      <c r="J4931" s="16" t="n">
        <v>44662</v>
      </c>
      <c r="K4931">
        <f>+OPERAC[[#This Row],[cantidad]]</f>
        <v/>
      </c>
      <c r="L4931">
        <f>27.99*OPERAC[[#This Row],[cantidad venta]]</f>
        <v/>
      </c>
    </row>
    <row r="4932">
      <c r="A4932" t="n">
        <v>18690</v>
      </c>
      <c r="B4932" s="16" t="n">
        <v>44662</v>
      </c>
      <c r="C4932" t="inlineStr">
        <is>
          <t>VTA</t>
        </is>
      </c>
      <c r="D4932" t="n">
        <v>42</v>
      </c>
      <c r="E4932">
        <f>IF(D5061&gt;0,VLOOKUP(OPERAC[[#This Row],[COD CART]],[1]!MatrizCortoLargoCyl[#All],3,0),"")</f>
        <v/>
      </c>
      <c r="F4932" t="inlineStr">
        <is>
          <t>HYDR</t>
        </is>
      </c>
      <c r="G4932" t="n">
        <v>85</v>
      </c>
      <c r="H4932" t="n">
        <v>-1578.47924</v>
      </c>
      <c r="I4932">
        <f>-H5061/G5061</f>
        <v/>
      </c>
      <c r="J4932" s="16" t="n">
        <v>44693</v>
      </c>
      <c r="K4932">
        <f>+OPERAC[[#This Row],[cantidad]]</f>
        <v/>
      </c>
      <c r="L4932">
        <f>+OPERAC[[#This Row],[cantidad venta]]*11.986</f>
        <v/>
      </c>
    </row>
    <row r="4933">
      <c r="A4933" t="n">
        <v>18690</v>
      </c>
      <c r="B4933" s="16" t="n">
        <v>44664</v>
      </c>
      <c r="C4933" t="inlineStr">
        <is>
          <t>CPR</t>
        </is>
      </c>
      <c r="D4933" t="n">
        <v>42</v>
      </c>
      <c r="E4933">
        <f>IF(D4195&gt;0,VLOOKUP(OPERAC[[#This Row],[COD CART]],[1]!MatrizCortoLargoCyl[#All],3,0),"")</f>
        <v/>
      </c>
      <c r="F4933" t="inlineStr">
        <is>
          <t>AMD</t>
        </is>
      </c>
      <c r="G4933" t="n">
        <v>10</v>
      </c>
      <c r="H4933" t="n">
        <v>-987.7065453</v>
      </c>
      <c r="I4933">
        <f>-H4195/G4195</f>
        <v/>
      </c>
    </row>
    <row r="4934">
      <c r="A4934" t="n">
        <v>18690</v>
      </c>
      <c r="B4934" s="16" t="n">
        <v>44664</v>
      </c>
      <c r="C4934" t="inlineStr">
        <is>
          <t>CPR</t>
        </is>
      </c>
      <c r="D4934" t="n">
        <v>42</v>
      </c>
      <c r="E4934">
        <f>IF(D4586&gt;0,VLOOKUP(OPERAC[[#This Row],[COD CART]],[1]!MatrizCortoLargoCyl[#All],3,0),"")</f>
        <v/>
      </c>
      <c r="F4934" t="inlineStr">
        <is>
          <t>PSQ</t>
        </is>
      </c>
      <c r="G4934" t="n">
        <v>100</v>
      </c>
      <c r="H4934" t="n">
        <v>-1243.2572181</v>
      </c>
      <c r="I4934">
        <f>-H4586/G4586</f>
        <v/>
      </c>
      <c r="J4934" s="16" t="n">
        <v>44680</v>
      </c>
      <c r="K4934">
        <f>+OPERAC[[#This Row],[cantidad]]</f>
        <v/>
      </c>
      <c r="L4934">
        <f>12.848*OPERAC[[#This Row],[cantidad venta]]</f>
        <v/>
      </c>
    </row>
    <row r="4935">
      <c r="A4935" t="n">
        <v>18690</v>
      </c>
      <c r="B4935" s="16" t="n">
        <v>44671</v>
      </c>
      <c r="C4935" t="inlineStr">
        <is>
          <t>CPR</t>
        </is>
      </c>
      <c r="D4935" t="n">
        <v>42</v>
      </c>
      <c r="E4935">
        <f>IF(D3510&gt;0,VLOOKUP(OPERAC[[#This Row],[COD CART]],[1]!MatrizCortoLargoCyl[#All],3,0),"")</f>
        <v/>
      </c>
      <c r="F4935" t="inlineStr">
        <is>
          <t>NFLX</t>
        </is>
      </c>
      <c r="G4935" t="n">
        <v>3</v>
      </c>
      <c r="H4935" t="n">
        <v>-763.51518</v>
      </c>
      <c r="I4935">
        <f>-H3510/G3510</f>
        <v/>
      </c>
    </row>
    <row r="4936">
      <c r="A4936" t="n">
        <v>18690</v>
      </c>
      <c r="B4936" s="16" t="n">
        <v>44680</v>
      </c>
      <c r="C4936" t="inlineStr">
        <is>
          <t>CPR</t>
        </is>
      </c>
      <c r="D4936" t="n">
        <v>42</v>
      </c>
      <c r="E4936">
        <f>IF(D4746&gt;0,VLOOKUP(OPERAC[[#This Row],[COD CART]],[1]!MatrizCortoLargoCyl[#All],3,0),"")</f>
        <v/>
      </c>
      <c r="F4936" t="inlineStr">
        <is>
          <t>XLP</t>
        </is>
      </c>
      <c r="G4936" t="n">
        <v>17</v>
      </c>
      <c r="H4936" t="n">
        <v>-1350.3865425</v>
      </c>
      <c r="I4936">
        <f>-H4746/G4746</f>
        <v/>
      </c>
      <c r="J4936" s="16" t="n">
        <v>44693</v>
      </c>
      <c r="K4936">
        <f>+OPERAC[[#This Row],[cantidad]]</f>
        <v/>
      </c>
      <c r="L4936">
        <f>+OPERAC[[#This Row],[cantidad venta]]*74.848</f>
        <v/>
      </c>
    </row>
    <row r="4937">
      <c r="A4937" t="n">
        <v>18690</v>
      </c>
      <c r="B4937" s="16" t="n">
        <v>44690</v>
      </c>
      <c r="C4937" t="inlineStr">
        <is>
          <t>VTA</t>
        </is>
      </c>
      <c r="D4937" t="n">
        <v>39</v>
      </c>
      <c r="E4937">
        <f>IF(D32&gt;0,VLOOKUP(OPERAC[[#This Row],[COD CART]],[1]!MatrizCortoLargoCyl[#All],3,0),"")</f>
        <v/>
      </c>
      <c r="F4937" t="inlineStr">
        <is>
          <t>TSLA/V/700,00/20-05-22</t>
        </is>
      </c>
      <c r="G4937" t="n">
        <v>-500</v>
      </c>
      <c r="H4937" t="n">
        <v>6469.5375</v>
      </c>
      <c r="I4937">
        <f>-H32/G32</f>
        <v/>
      </c>
      <c r="J4937" s="16" t="n">
        <v>44698</v>
      </c>
      <c r="K4937" t="n">
        <v>-500</v>
      </c>
      <c r="L4937" t="n">
        <v>-5504.393</v>
      </c>
    </row>
    <row r="4938">
      <c r="A4938" t="n">
        <v>18690</v>
      </c>
      <c r="B4938" s="16" t="n">
        <v>44690</v>
      </c>
      <c r="C4938" t="inlineStr">
        <is>
          <t>VTA</t>
        </is>
      </c>
      <c r="D4938" t="n">
        <v>39</v>
      </c>
      <c r="E4938">
        <f>IF(D592&gt;0,VLOOKUP(OPERAC[[#This Row],[COD CART]],[1]!MatrizCortoLargoCyl[#All],3,0),"")</f>
        <v/>
      </c>
      <c r="F4938" t="inlineStr">
        <is>
          <t>TSLA/V/700,00/13-05-22</t>
        </is>
      </c>
      <c r="G4938" t="n">
        <v>-200</v>
      </c>
      <c r="H4938" t="n">
        <v>632.577</v>
      </c>
      <c r="I4938">
        <f>-H592/G592</f>
        <v/>
      </c>
      <c r="J4938" s="16" t="n">
        <v>44693</v>
      </c>
      <c r="K4938" t="n">
        <v>-200</v>
      </c>
      <c r="L4938" t="n">
        <v>-6425.6</v>
      </c>
    </row>
    <row r="4939">
      <c r="A4939" t="n">
        <v>18690</v>
      </c>
      <c r="B4939" s="16" t="n">
        <v>44693</v>
      </c>
      <c r="C4939" t="inlineStr">
        <is>
          <t>VTA</t>
        </is>
      </c>
      <c r="D4939" t="n">
        <v>39</v>
      </c>
      <c r="E4939">
        <f>IF(D1000&gt;0,VLOOKUP(OPERAC[[#This Row],[COD CART]],[1]!MatrizCortoLargoCyl[#All],3,0),"")</f>
        <v/>
      </c>
      <c r="F4939" t="inlineStr">
        <is>
          <t>MELI/V/460,00/20-01-2023</t>
        </is>
      </c>
      <c r="G4939" t="n">
        <v>-1</v>
      </c>
      <c r="H4939" t="n">
        <v>65.736</v>
      </c>
      <c r="I4939">
        <f>-H1000/G1000</f>
        <v/>
      </c>
    </row>
    <row r="4940">
      <c r="A4940" t="n">
        <v>18690</v>
      </c>
      <c r="B4940" s="16" t="n">
        <v>44698</v>
      </c>
      <c r="C4940" t="inlineStr">
        <is>
          <t>CPR</t>
        </is>
      </c>
      <c r="D4940" t="n">
        <v>39</v>
      </c>
      <c r="E4940">
        <f>IF(D2722&gt;0,VLOOKUP(OPERAC[[#This Row],[COD CART]],[1]!MatrizCortoLargoCyl[#All],3,0),"")</f>
        <v/>
      </c>
      <c r="F4940" t="inlineStr">
        <is>
          <t>NTLA/C/65,00/15-07-22</t>
        </is>
      </c>
      <c r="G4940" t="n">
        <v>200</v>
      </c>
      <c r="H4940" t="n">
        <v>-504.25</v>
      </c>
      <c r="I4940">
        <f>-H2722/G2722</f>
        <v/>
      </c>
    </row>
    <row r="4941">
      <c r="A4941" t="n">
        <v>18690</v>
      </c>
      <c r="B4941" s="16" t="n">
        <v>44698</v>
      </c>
      <c r="C4941" t="inlineStr">
        <is>
          <t>VTA</t>
        </is>
      </c>
      <c r="D4941" t="n">
        <v>39</v>
      </c>
      <c r="E4941">
        <f>IF(D79&gt;0,VLOOKUP(OPERAC[[#This Row],[COD CART]],[1]!MatrizCortoLargoCyl[#All],3,0),"")</f>
        <v/>
      </c>
      <c r="F4941" t="inlineStr">
        <is>
          <t>TSLA/P/635,00/27-05-22</t>
        </is>
      </c>
      <c r="G4941" t="n">
        <v>-500</v>
      </c>
      <c r="H4941" t="n">
        <v>3966</v>
      </c>
      <c r="I4941">
        <f>-H79/G79</f>
        <v/>
      </c>
      <c r="J4941" s="16" t="n">
        <v>44701</v>
      </c>
      <c r="K4941" t="n">
        <v>-500</v>
      </c>
      <c r="L4941" t="n">
        <v>-16388.125</v>
      </c>
    </row>
    <row r="4942">
      <c r="A4942" t="n">
        <v>18690</v>
      </c>
      <c r="B4942" s="16" t="n">
        <v>44698</v>
      </c>
      <c r="C4942" t="inlineStr">
        <is>
          <t>VTA</t>
        </is>
      </c>
      <c r="D4942" t="n">
        <v>39</v>
      </c>
      <c r="E4942">
        <f>IF(D303&gt;0,VLOOKUP(OPERAC[[#This Row],[COD CART]],[1]!MatrizCortoLargoCyl[#All],3,0),"")</f>
        <v/>
      </c>
      <c r="F4942" t="inlineStr">
        <is>
          <t>TSLA/P/655,00/20-05-22</t>
        </is>
      </c>
      <c r="G4942" t="n">
        <v>-500</v>
      </c>
      <c r="H4942" t="n">
        <v>1512.0375</v>
      </c>
      <c r="I4942">
        <f>-H303/G303</f>
        <v/>
      </c>
      <c r="J4942" s="16" t="n">
        <v>44700</v>
      </c>
      <c r="K4942" t="n">
        <v>-500</v>
      </c>
      <c r="L4942" t="n">
        <v>-650.987</v>
      </c>
    </row>
    <row r="4943">
      <c r="A4943" t="n">
        <v>18690</v>
      </c>
      <c r="B4943" s="16" t="n">
        <v>44701</v>
      </c>
      <c r="C4943" t="inlineStr">
        <is>
          <t>VTA</t>
        </is>
      </c>
      <c r="D4943" t="n">
        <v>39</v>
      </c>
      <c r="E4943">
        <f>IF(D890&gt;0,VLOOKUP(OPERAC[[#This Row],[COD CART]],[1]!MatrizCortoLargoCyl[#All],3,0),"")</f>
        <v/>
      </c>
      <c r="F4943" t="inlineStr">
        <is>
          <t>TSLA/P/360,00/20-01-23</t>
        </is>
      </c>
      <c r="G4943" t="n">
        <v>-5</v>
      </c>
      <c r="H4943" t="n">
        <v>175.99125</v>
      </c>
      <c r="I4943">
        <f>-H890/G890</f>
        <v/>
      </c>
    </row>
    <row r="4944">
      <c r="A4944" t="n">
        <v>18690</v>
      </c>
      <c r="B4944" s="16" t="n">
        <v>44705</v>
      </c>
      <c r="C4944" t="inlineStr">
        <is>
          <t>CPR</t>
        </is>
      </c>
      <c r="D4944" t="n">
        <v>42</v>
      </c>
      <c r="E4944">
        <f>IF(D6036&gt;0,VLOOKUP(OPERAC[[#This Row],[COD CART]],[1]!MatrizCortoLargoCyl[#All],3,0),"")</f>
        <v/>
      </c>
      <c r="F4944" t="inlineStr">
        <is>
          <t>MELI</t>
        </is>
      </c>
      <c r="G4944" t="n">
        <v>5</v>
      </c>
      <c r="H4944" t="n">
        <v>-3524.04</v>
      </c>
      <c r="I4944">
        <f>-H6036/G6036</f>
        <v/>
      </c>
      <c r="J4944" s="16" t="n">
        <v>44706</v>
      </c>
      <c r="K4944">
        <f>+OPERAC[[#This Row],[cantidad]]</f>
        <v/>
      </c>
      <c r="L4944" t="n">
        <v>3629.367</v>
      </c>
    </row>
    <row r="4945">
      <c r="A4945" t="n">
        <v>18690</v>
      </c>
      <c r="B4945" s="16" t="n">
        <v>44707</v>
      </c>
      <c r="C4945" t="inlineStr">
        <is>
          <t>VTA</t>
        </is>
      </c>
      <c r="D4945" t="n">
        <v>43</v>
      </c>
      <c r="E4945">
        <f>IF(D5297&gt;0,VLOOKUP(OPERAC[[#This Row],[COD CART]],[1]!MatrizCortoLargoCyl[#All],3,0),"")</f>
        <v/>
      </c>
      <c r="F4945" t="inlineStr">
        <is>
          <t>SPWR/CYP/17,50-15,00/17-06-22</t>
        </is>
      </c>
      <c r="G4945" t="n">
        <v>100</v>
      </c>
      <c r="H4945" t="n">
        <v>-1717.027</v>
      </c>
      <c r="I4945">
        <f>-H5297/G5297</f>
        <v/>
      </c>
    </row>
    <row r="4946">
      <c r="A4946" t="n">
        <v>18690</v>
      </c>
      <c r="B4946" s="16" t="n">
        <v>44708</v>
      </c>
      <c r="C4946" t="inlineStr">
        <is>
          <t>CPR</t>
        </is>
      </c>
      <c r="D4946" t="n">
        <v>32</v>
      </c>
      <c r="E4946">
        <f>IF(D4356&gt;0,VLOOKUP(OPERAC[[#This Row],[COD CART]],[1]!MatrizCortoLargoCyl[#All],3,0),"")</f>
        <v/>
      </c>
      <c r="F4946" t="inlineStr">
        <is>
          <t>AMC/CYL/11,00/03-06-22</t>
        </is>
      </c>
      <c r="G4946" t="n">
        <v>100</v>
      </c>
      <c r="H4946" t="n">
        <v>-1071.908</v>
      </c>
      <c r="I4946">
        <f>-H4356/G4356</f>
        <v/>
      </c>
      <c r="J4946" s="16" t="n">
        <v>44715</v>
      </c>
      <c r="K4946">
        <f>+OPERAC[[#This Row],[cantidad]]</f>
        <v/>
      </c>
      <c r="L4946">
        <f>+OPERAC[[#This Row],[cantidad venta]]*10.951</f>
        <v/>
      </c>
    </row>
    <row r="4947">
      <c r="A4947" t="n">
        <v>18690</v>
      </c>
      <c r="B4947" s="16" t="n">
        <v>44708</v>
      </c>
      <c r="C4947" t="inlineStr">
        <is>
          <t>CPR</t>
        </is>
      </c>
      <c r="D4947" t="n">
        <v>32</v>
      </c>
      <c r="E4947">
        <f>IF(D4622&gt;0,VLOOKUP(OPERAC[[#This Row],[COD CART]],[1]!MatrizCortoLargoCyl[#All],3,0),"")</f>
        <v/>
      </c>
      <c r="F4947" t="inlineStr">
        <is>
          <t>CCL/CYL/13,00/03-06-22</t>
        </is>
      </c>
      <c r="G4947" t="n">
        <v>100</v>
      </c>
      <c r="H4947" t="n">
        <v>-1276.4</v>
      </c>
      <c r="I4947">
        <f>-H4622/G4622</f>
        <v/>
      </c>
      <c r="J4947" s="16" t="n">
        <v>44715</v>
      </c>
      <c r="K4947">
        <f>+OPERAC[[#This Row],[cantidad]]</f>
        <v/>
      </c>
      <c r="L4947">
        <f>+OPERAC[[#This Row],[cantidad venta]]*12.942</f>
        <v/>
      </c>
    </row>
    <row r="4948">
      <c r="A4948" t="n">
        <v>18690</v>
      </c>
      <c r="B4948" s="16" t="n">
        <v>44718</v>
      </c>
      <c r="C4948" t="inlineStr">
        <is>
          <t>CPR</t>
        </is>
      </c>
      <c r="D4948" t="n">
        <v>42</v>
      </c>
      <c r="E4948">
        <f>IF(D5945&gt;0,VLOOKUP(OPERAC[[#This Row],[COD CART]],[1]!MatrizCortoLargoCyl[#All],3,0),"")</f>
        <v/>
      </c>
      <c r="F4948" t="inlineStr">
        <is>
          <t>KWEB</t>
        </is>
      </c>
      <c r="G4948" t="n">
        <v>100</v>
      </c>
      <c r="H4948" t="n">
        <v>-3108.3388</v>
      </c>
      <c r="I4948">
        <f>-H5945/G5945</f>
        <v/>
      </c>
    </row>
    <row r="4949">
      <c r="A4949" t="n">
        <v>18690</v>
      </c>
      <c r="B4949" s="16" t="n">
        <v>44719</v>
      </c>
      <c r="C4949" t="inlineStr">
        <is>
          <t>VTA</t>
        </is>
      </c>
      <c r="D4949" t="n">
        <v>39</v>
      </c>
      <c r="E4949">
        <f>IF(D457&gt;0,VLOOKUP(OPERAC[[#This Row],[COD CART]],[1]!MatrizCortoLargoCyl[#All],3,0),"")</f>
        <v/>
      </c>
      <c r="F4949" t="inlineStr">
        <is>
          <t>TSLA/V/625,00/10-06-22</t>
        </is>
      </c>
      <c r="G4949" t="n">
        <v>-700</v>
      </c>
      <c r="H4949" t="n">
        <v>1006.3725</v>
      </c>
      <c r="I4949">
        <f>-H457/G457</f>
        <v/>
      </c>
      <c r="J4949" s="16" t="n">
        <v>44721</v>
      </c>
      <c r="K4949" t="n">
        <v>-700</v>
      </c>
      <c r="L4949" t="n">
        <v>-162.369</v>
      </c>
    </row>
    <row r="4950">
      <c r="A4950" t="n">
        <v>18690</v>
      </c>
      <c r="B4950" s="16" t="n">
        <v>44719</v>
      </c>
      <c r="C4950" t="inlineStr">
        <is>
          <t>VTA</t>
        </is>
      </c>
      <c r="D4950" t="n">
        <v>39</v>
      </c>
      <c r="E4950">
        <f>IF(D526&gt;0,VLOOKUP(OPERAC[[#This Row],[COD CART]],[1]!MatrizCortoLargoCyl[#All],3,0),"")</f>
        <v/>
      </c>
      <c r="F4950" t="inlineStr">
        <is>
          <t>TSLA/C/790,00/10-06-22</t>
        </is>
      </c>
      <c r="G4950" t="n">
        <v>-400</v>
      </c>
      <c r="H4950" t="n">
        <v>851.4</v>
      </c>
      <c r="I4950">
        <f>-H526/G526</f>
        <v/>
      </c>
      <c r="J4950" s="16" t="n">
        <v>44722</v>
      </c>
      <c r="K4950">
        <f>+OPERAC[[#This Row],[cantidad]]</f>
        <v/>
      </c>
      <c r="L4950" t="n">
        <v>0</v>
      </c>
    </row>
    <row r="4951">
      <c r="A4951" t="n">
        <v>18690</v>
      </c>
      <c r="B4951" s="16" t="n">
        <v>44719</v>
      </c>
      <c r="C4951" t="inlineStr">
        <is>
          <t>VTA</t>
        </is>
      </c>
      <c r="D4951" t="n">
        <v>39</v>
      </c>
      <c r="E4951">
        <f>IF(D534&gt;0,VLOOKUP(OPERAC[[#This Row],[COD CART]],[1]!MatrizCortoLargoCyl[#All],3,0),"")</f>
        <v/>
      </c>
      <c r="F4951" t="inlineStr">
        <is>
          <t>TSLA/P/600,00/10-06-22</t>
        </is>
      </c>
      <c r="G4951" t="n">
        <v>-400</v>
      </c>
      <c r="H4951" t="n">
        <v>835.5599999999999</v>
      </c>
      <c r="I4951">
        <f>-H534/G534</f>
        <v/>
      </c>
      <c r="J4951" s="16" t="n">
        <v>44719</v>
      </c>
      <c r="K4951" t="n">
        <v>-400</v>
      </c>
      <c r="L4951" t="n">
        <v>-286.414</v>
      </c>
    </row>
    <row r="4952">
      <c r="A4952" t="n">
        <v>18690</v>
      </c>
      <c r="B4952" s="16" t="n">
        <v>44719</v>
      </c>
      <c r="C4952" t="inlineStr">
        <is>
          <t>VTA</t>
        </is>
      </c>
      <c r="D4952" t="n">
        <v>39</v>
      </c>
      <c r="E4952">
        <f>IF(D535&gt;0,VLOOKUP(OPERAC[[#This Row],[COD CART]],[1]!MatrizCortoLargoCyl[#All],3,0),"")</f>
        <v/>
      </c>
      <c r="F4952" t="inlineStr">
        <is>
          <t>TSLA/P/615,00/10-06-22</t>
        </is>
      </c>
      <c r="G4952" t="n">
        <v>-500</v>
      </c>
      <c r="H4952" t="n">
        <v>833.8275</v>
      </c>
      <c r="I4952">
        <f>-H535/G535</f>
        <v/>
      </c>
      <c r="J4952" s="16" t="n">
        <v>44719</v>
      </c>
      <c r="K4952" t="n">
        <v>-500</v>
      </c>
      <c r="L4952" t="n">
        <v>-540.3038749999999</v>
      </c>
    </row>
    <row r="4953">
      <c r="A4953" t="n">
        <v>18697</v>
      </c>
      <c r="B4953" s="16" t="n">
        <v>44459</v>
      </c>
      <c r="C4953" t="inlineStr">
        <is>
          <t>VTA</t>
        </is>
      </c>
      <c r="D4953" t="n">
        <v>40</v>
      </c>
      <c r="E4953">
        <f>IF(D1837&gt;0,VLOOKUP(OPERAC[[#This Row],[COD CART]],[1]!MatrizCortoLargoCyl[#All],3,0),"")</f>
        <v/>
      </c>
      <c r="F4953" t="inlineStr">
        <is>
          <t>EDU</t>
        </is>
      </c>
      <c r="G4953" t="n">
        <v>300</v>
      </c>
      <c r="H4953">
        <f>-288+0.04*OPERAC[[#This Row],[cantidad]]</f>
        <v/>
      </c>
      <c r="I4953">
        <f>-H1837/G1837</f>
        <v/>
      </c>
      <c r="J4953" s="16" t="n">
        <v>44614</v>
      </c>
      <c r="K4953">
        <f>+OPERAC[[#This Row],[cantidad]]</f>
        <v/>
      </c>
      <c r="L4953">
        <f>1.483*OPERAC[[#This Row],[cantidad venta]]</f>
        <v/>
      </c>
    </row>
    <row r="4954">
      <c r="A4954" t="n">
        <v>18697</v>
      </c>
      <c r="B4954" s="16" t="n">
        <v>44466</v>
      </c>
      <c r="C4954" t="inlineStr">
        <is>
          <t>VTA</t>
        </is>
      </c>
      <c r="D4954" t="n">
        <v>43</v>
      </c>
      <c r="E4954">
        <f>IF(D2342&gt;0,VLOOKUP(OPERAC[[#This Row],[COD CART]],[1]!MatrizCortoLargoCyl[#All],3,0),"")</f>
        <v/>
      </c>
      <c r="F4954" t="inlineStr">
        <is>
          <t>SOLO/CYL-PUT/4,00/16-09-22</t>
        </is>
      </c>
      <c r="G4954" t="n">
        <v>200</v>
      </c>
      <c r="H4954">
        <f>-594.83454+0.32*OPERAC[[#This Row],[cantidad]]+0.387*OPERAC[[#This Row],[cantidad]]+0.22*OPERAC[[#This Row],[cantidad]]</f>
        <v/>
      </c>
      <c r="I4954">
        <f>-H2342/G2342</f>
        <v/>
      </c>
      <c r="J4954" s="16" t="n">
        <v>44715</v>
      </c>
      <c r="K4954" t="n">
        <v>200</v>
      </c>
      <c r="L4954" t="n">
        <v>-233.706</v>
      </c>
    </row>
    <row r="4955">
      <c r="A4955" t="n">
        <v>18697</v>
      </c>
      <c r="B4955" s="16" t="n">
        <v>44494</v>
      </c>
      <c r="C4955" t="inlineStr">
        <is>
          <t>VTA</t>
        </is>
      </c>
      <c r="D4955" t="n">
        <v>40</v>
      </c>
      <c r="E4955">
        <f>IF(D2215&gt;0,VLOOKUP(OPERAC[[#This Row],[COD CART]],[1]!MatrizCortoLargoCyl[#All],3,0),"")</f>
        <v/>
      </c>
      <c r="F4955" t="inlineStr">
        <is>
          <t>YPF</t>
        </is>
      </c>
      <c r="G4955" t="n">
        <v>80</v>
      </c>
      <c r="H4955" t="n">
        <v>-372.2176</v>
      </c>
      <c r="I4955">
        <f>-H2215/G2215</f>
        <v/>
      </c>
      <c r="J4955" s="16" t="n">
        <v>44606</v>
      </c>
      <c r="K4955">
        <f>+OPERAC[[#This Row],[cantidad]]</f>
        <v/>
      </c>
      <c r="L4955">
        <f>+OPERAC[[#This Row],[cantidad venta]]*4.161</f>
        <v/>
      </c>
    </row>
    <row r="4956">
      <c r="A4956" t="n">
        <v>18697</v>
      </c>
      <c r="B4956" s="16" t="n">
        <v>44547</v>
      </c>
      <c r="C4956" t="inlineStr">
        <is>
          <t>CPR</t>
        </is>
      </c>
      <c r="D4956" t="n">
        <v>32</v>
      </c>
      <c r="E4956">
        <f>IF(D4415&gt;0,VLOOKUP(OPERAC[[#This Row],[COD CART]],[1]!MatrizCortoLargoCyl[#All],3,0),"")</f>
        <v/>
      </c>
      <c r="F4956" t="inlineStr">
        <is>
          <t>HIMX/CYL/12,00/21-01-22</t>
        </is>
      </c>
      <c r="G4956" t="n">
        <v>100</v>
      </c>
      <c r="H4956" t="n">
        <v>-1109.5304</v>
      </c>
      <c r="I4956">
        <f>-H4415/G4415</f>
        <v/>
      </c>
      <c r="J4956" s="16" t="n">
        <v>44575</v>
      </c>
      <c r="K4956" t="n">
        <v>100</v>
      </c>
      <c r="L4956" t="n">
        <v>1170.618</v>
      </c>
    </row>
    <row r="4957">
      <c r="A4957" t="n">
        <v>18697</v>
      </c>
      <c r="B4957" s="16" t="n">
        <v>44547</v>
      </c>
      <c r="C4957" t="inlineStr">
        <is>
          <t>VTA</t>
        </is>
      </c>
      <c r="D4957" t="n">
        <v>39</v>
      </c>
      <c r="E4957">
        <f>IF(D567&gt;0,VLOOKUP(OPERAC[[#This Row],[COD CART]],[1]!MatrizCortoLargoCyl[#All],3,0),"")</f>
        <v/>
      </c>
      <c r="F4957" t="inlineStr">
        <is>
          <t>TLRY/V/8,00/18-02-22</t>
        </is>
      </c>
      <c r="G4957" t="n">
        <v>-500</v>
      </c>
      <c r="H4957" t="n">
        <v>691.8955000000001</v>
      </c>
      <c r="I4957">
        <f>-H567/G567</f>
        <v/>
      </c>
      <c r="J4957" s="16" t="n">
        <v>44601</v>
      </c>
      <c r="K4957" t="n">
        <v>-500</v>
      </c>
      <c r="L4957">
        <f>1.38*OPERAC[[#This Row],[cantidad venta]]</f>
        <v/>
      </c>
    </row>
    <row r="4958">
      <c r="A4958" t="n">
        <v>18697</v>
      </c>
      <c r="B4958" s="16" t="n">
        <v>44581</v>
      </c>
      <c r="C4958" t="inlineStr">
        <is>
          <t>CPR</t>
        </is>
      </c>
      <c r="D4958" t="n">
        <v>32</v>
      </c>
      <c r="E4958">
        <f>IF(D3585&gt;0,VLOOKUP(OPERAC[[#This Row],[COD CART]],[1]!MatrizCortoLargoCyl[#All],3,0),"")</f>
        <v/>
      </c>
      <c r="F4958" t="inlineStr">
        <is>
          <t>HMY/CYL/4,00/18-02-22</t>
        </is>
      </c>
      <c r="G4958" t="n">
        <v>200</v>
      </c>
      <c r="H4958" t="n">
        <v>-774.9359920000001</v>
      </c>
      <c r="I4958">
        <f>-H3585/G3585</f>
        <v/>
      </c>
      <c r="J4958" s="16" t="n">
        <v>44610</v>
      </c>
      <c r="K4958">
        <f>+OPERAC[[#This Row],[cantidad]]</f>
        <v/>
      </c>
      <c r="L4958">
        <f>+OPERAC[[#This Row],[cantidad venta]]*3.8323</f>
        <v/>
      </c>
    </row>
    <row r="4959">
      <c r="A4959" t="n">
        <v>18697</v>
      </c>
      <c r="B4959" s="16" t="n">
        <v>44586</v>
      </c>
      <c r="C4959" t="inlineStr">
        <is>
          <t>VTA</t>
        </is>
      </c>
      <c r="D4959" t="n">
        <v>43</v>
      </c>
      <c r="E4959">
        <f>IF(D1574&gt;0,VLOOKUP(OPERAC[[#This Row],[COD CART]],[1]!MatrizCortoLargoCyl[#All],3,0),"")</f>
        <v/>
      </c>
      <c r="F4959" t="inlineStr">
        <is>
          <t>GMBL/CYL-PUT/2,50/20-01-23</t>
        </is>
      </c>
      <c r="G4959" t="n">
        <v>200</v>
      </c>
      <c r="H4959" t="n">
        <v>-203.2103</v>
      </c>
      <c r="I4959">
        <f>-H1574/G1574</f>
        <v/>
      </c>
      <c r="J4959" s="16" t="n">
        <v>44715</v>
      </c>
      <c r="K4959" t="n">
        <v>200</v>
      </c>
      <c r="L4959" t="n">
        <v>-361.22</v>
      </c>
    </row>
    <row r="4960">
      <c r="A4960" t="n">
        <v>18697</v>
      </c>
      <c r="B4960" s="16" t="n">
        <v>44594</v>
      </c>
      <c r="C4960" t="inlineStr">
        <is>
          <t>VTA</t>
        </is>
      </c>
      <c r="D4960" t="n">
        <v>40</v>
      </c>
      <c r="E4960">
        <f>IF(D3040&gt;0,VLOOKUP(OPERAC[[#This Row],[COD CART]],[1]!MatrizCortoLargoCyl[#All],3,0),"")</f>
        <v/>
      </c>
      <c r="F4960" t="inlineStr">
        <is>
          <t>EDU</t>
        </is>
      </c>
      <c r="G4960" t="n">
        <v>300</v>
      </c>
      <c r="H4960" t="n">
        <v>-604.8</v>
      </c>
      <c r="I4960">
        <f>-H3040/G3040</f>
        <v/>
      </c>
      <c r="J4960" s="16" t="n">
        <v>44599</v>
      </c>
      <c r="K4960" t="n">
        <v>300</v>
      </c>
      <c r="L4960" t="n">
        <v>462</v>
      </c>
    </row>
    <row r="4961">
      <c r="A4961" t="n">
        <v>18697</v>
      </c>
      <c r="B4961" s="16" t="n">
        <v>44601</v>
      </c>
      <c r="C4961" t="inlineStr">
        <is>
          <t>VTA</t>
        </is>
      </c>
      <c r="D4961" t="n">
        <v>39</v>
      </c>
      <c r="E4961">
        <f>IF(D520&gt;0,VLOOKUP(OPERAC[[#This Row],[COD CART]],[1]!MatrizCortoLargoCyl[#All],3,0),"")</f>
        <v/>
      </c>
      <c r="F4961" t="inlineStr">
        <is>
          <t>TSLA/V/805/18-02-22</t>
        </is>
      </c>
      <c r="G4961" t="n">
        <v>-300</v>
      </c>
      <c r="H4961" t="n">
        <v>860</v>
      </c>
      <c r="I4961">
        <f>-H520/G520</f>
        <v/>
      </c>
      <c r="J4961" s="16" t="n">
        <v>44607</v>
      </c>
      <c r="K4961" t="n">
        <v>-300</v>
      </c>
      <c r="L4961" t="n">
        <v>-319.498</v>
      </c>
    </row>
    <row r="4962">
      <c r="A4962" t="n">
        <v>18697</v>
      </c>
      <c r="B4962" s="16" t="n">
        <v>44607</v>
      </c>
      <c r="C4962" t="inlineStr">
        <is>
          <t>VTA</t>
        </is>
      </c>
      <c r="D4962" t="n">
        <v>39</v>
      </c>
      <c r="E4962">
        <f>IF(D880&gt;0,VLOOKUP(OPERAC[[#This Row],[COD CART]],[1]!MatrizCortoLargoCyl[#All],3,0),"")</f>
        <v/>
      </c>
      <c r="F4962" t="inlineStr">
        <is>
          <t>TSLA/V/830,00/18-02-22</t>
        </is>
      </c>
      <c r="G4962" t="n">
        <v>-100</v>
      </c>
      <c r="H4962" t="n">
        <v>192.74775</v>
      </c>
      <c r="I4962">
        <f>-H880/G880</f>
        <v/>
      </c>
      <c r="J4962" s="16" t="n">
        <v>44609</v>
      </c>
      <c r="K4962" t="n">
        <v>-100</v>
      </c>
      <c r="L4962" t="n">
        <v>-192.209</v>
      </c>
    </row>
    <row r="4963">
      <c r="A4963" t="n">
        <v>18697</v>
      </c>
      <c r="B4963" s="16" t="n">
        <v>44616</v>
      </c>
      <c r="C4963" t="inlineStr">
        <is>
          <t>CPR</t>
        </is>
      </c>
      <c r="D4963" t="n">
        <v>32</v>
      </c>
      <c r="E4963">
        <f>IF(D4325&gt;0,VLOOKUP(OPERAC[[#This Row],[COD CART]],[1]!MatrizCortoLargoCyl[#All],3,0),"")</f>
        <v/>
      </c>
      <c r="F4963" t="inlineStr">
        <is>
          <t>PLTR/CYL/12,00/14-04-22</t>
        </is>
      </c>
      <c r="G4963" t="n">
        <v>100</v>
      </c>
      <c r="H4963" t="n">
        <v>-1052.7265</v>
      </c>
      <c r="I4963">
        <f>-H4325/G4325</f>
        <v/>
      </c>
      <c r="J4963" s="16" t="n">
        <v>44643</v>
      </c>
      <c r="K4963" t="n">
        <v>100</v>
      </c>
      <c r="L4963" t="n">
        <v>1146.72</v>
      </c>
    </row>
    <row r="4964">
      <c r="A4964" t="n">
        <v>18697</v>
      </c>
      <c r="B4964" s="16" t="n">
        <v>44641</v>
      </c>
      <c r="C4964" t="inlineStr">
        <is>
          <t>VTA</t>
        </is>
      </c>
      <c r="D4964" t="n">
        <v>42</v>
      </c>
      <c r="E4964">
        <f>IF(D1607&gt;0,VLOOKUP(OPERAC[[#This Row],[COD CART]],[1]!MatrizCortoLargoCyl[#All],3,0),"")</f>
        <v/>
      </c>
      <c r="F4964" t="inlineStr">
        <is>
          <t>FB</t>
        </is>
      </c>
      <c r="G4964" t="n">
        <v>1</v>
      </c>
      <c r="H4964" t="n">
        <v>-212.15638</v>
      </c>
      <c r="I4964">
        <f>-H1607/G1607</f>
        <v/>
      </c>
      <c r="J4964" s="16" t="n">
        <v>44671</v>
      </c>
      <c r="K4964">
        <f>+OPERAC[[#This Row],[cantidad]]</f>
        <v/>
      </c>
      <c r="L4964">
        <f>+OPERAC[[#This Row],[cantidad venta]]*213.173</f>
        <v/>
      </c>
    </row>
    <row r="4965">
      <c r="A4965" t="n">
        <v>18697</v>
      </c>
      <c r="B4965" s="16" t="n">
        <v>44643</v>
      </c>
      <c r="C4965" t="inlineStr">
        <is>
          <t>VTA</t>
        </is>
      </c>
      <c r="D4965" t="n">
        <v>42</v>
      </c>
      <c r="E4965">
        <f>IF(D1622&gt;0,VLOOKUP(OPERAC[[#This Row],[COD CART]],[1]!MatrizCortoLargoCyl[#All],3,0),"")</f>
        <v/>
      </c>
      <c r="F4965" t="inlineStr">
        <is>
          <t>FB</t>
        </is>
      </c>
      <c r="G4965" t="n">
        <v>1</v>
      </c>
      <c r="H4965" t="n">
        <v>-216.12326</v>
      </c>
      <c r="I4965">
        <f>-H1622/G1622</f>
        <v/>
      </c>
      <c r="J4965" s="16" t="n">
        <v>44671</v>
      </c>
      <c r="K4965">
        <f>+OPERAC[[#This Row],[cantidad]]</f>
        <v/>
      </c>
      <c r="L4965">
        <f>+OPERAC[[#This Row],[cantidad venta]]*213.173</f>
        <v/>
      </c>
    </row>
    <row r="4966">
      <c r="A4966" t="n">
        <v>18697</v>
      </c>
      <c r="B4966" s="16" t="n">
        <v>44643</v>
      </c>
      <c r="C4966" t="inlineStr">
        <is>
          <t>VTA</t>
        </is>
      </c>
      <c r="D4966" t="n">
        <v>42</v>
      </c>
      <c r="E4966">
        <f>IF(D1794&gt;0,VLOOKUP(OPERAC[[#This Row],[COD CART]],[1]!MatrizCortoLargoCyl[#All],3,0),"")</f>
        <v/>
      </c>
      <c r="F4966" t="inlineStr">
        <is>
          <t>SMH</t>
        </is>
      </c>
      <c r="G4966" t="n">
        <v>1</v>
      </c>
      <c r="H4966" t="n">
        <v>-267.162898</v>
      </c>
      <c r="I4966">
        <f>-H1794/G1794</f>
        <v/>
      </c>
      <c r="J4966" s="16" t="n">
        <v>44663</v>
      </c>
      <c r="K4966">
        <f>+OPERAC[[#This Row],[cantidad]]</f>
        <v/>
      </c>
      <c r="L4966">
        <f>+OPERAC[[#This Row],[cantidad venta]]*238.066</f>
        <v/>
      </c>
    </row>
    <row r="4967">
      <c r="A4967" t="n">
        <v>18697</v>
      </c>
      <c r="B4967" s="16" t="n">
        <v>44643</v>
      </c>
      <c r="C4967" t="inlineStr">
        <is>
          <t>VTA</t>
        </is>
      </c>
      <c r="D4967" t="n">
        <v>42</v>
      </c>
      <c r="E4967">
        <f>IF(D2977&gt;0,VLOOKUP(OPERAC[[#This Row],[COD CART]],[1]!MatrizCortoLargoCyl[#All],3,0),"")</f>
        <v/>
      </c>
      <c r="F4967" t="inlineStr">
        <is>
          <t>JPM</t>
        </is>
      </c>
      <c r="G4967" t="n">
        <v>4</v>
      </c>
      <c r="H4967" t="n">
        <v>-564.9865600000001</v>
      </c>
      <c r="I4967">
        <f>-H2977/G2977</f>
        <v/>
      </c>
      <c r="J4967" s="16" t="n">
        <v>44664</v>
      </c>
      <c r="K4967">
        <f>+OPERAC[[#This Row],[cantidad]]</f>
        <v/>
      </c>
      <c r="L4967">
        <f>+OPERAC[[#This Row],[cantidad venta]]*125.943</f>
        <v/>
      </c>
    </row>
    <row r="4968">
      <c r="A4968" t="n">
        <v>18697</v>
      </c>
      <c r="B4968" s="16" t="n">
        <v>44662</v>
      </c>
      <c r="C4968" t="inlineStr">
        <is>
          <t>VTA</t>
        </is>
      </c>
      <c r="D4968" t="n">
        <v>42</v>
      </c>
      <c r="E4968">
        <f>IF(D1504&gt;0,VLOOKUP(OPERAC[[#This Row],[COD CART]],[1]!MatrizCortoLargoCyl[#All],3,0),"")</f>
        <v/>
      </c>
      <c r="F4968" t="inlineStr">
        <is>
          <t>HYDR</t>
        </is>
      </c>
      <c r="G4968" t="n">
        <v>10</v>
      </c>
      <c r="H4968" t="n">
        <v>-185.70344</v>
      </c>
      <c r="I4968">
        <f>-H1504/G1504</f>
        <v/>
      </c>
      <c r="J4968" s="16" t="n">
        <v>44693</v>
      </c>
      <c r="K4968">
        <f>+OPERAC[[#This Row],[cantidad]]</f>
        <v/>
      </c>
      <c r="L4968">
        <f>+OPERAC[[#This Row],[cantidad venta]]*11.986</f>
        <v/>
      </c>
    </row>
    <row r="4969">
      <c r="A4969" t="n">
        <v>18697</v>
      </c>
      <c r="B4969" s="16" t="n">
        <v>44669</v>
      </c>
      <c r="C4969" t="inlineStr">
        <is>
          <t>VTA</t>
        </is>
      </c>
      <c r="D4969" t="n">
        <v>32</v>
      </c>
      <c r="E4969">
        <f>IF(D2537&gt;0,VLOOKUP(OPERAC[[#This Row],[COD CART]],[1]!MatrizCortoLargoCyl[#All],3,0),"")</f>
        <v/>
      </c>
      <c r="F4969" t="inlineStr">
        <is>
          <t>HMY</t>
        </is>
      </c>
      <c r="G4969" t="n">
        <v>100</v>
      </c>
      <c r="H4969">
        <f>-4.64*OPERAC[[#This Row],[cantidad]]</f>
        <v/>
      </c>
      <c r="I4969">
        <f>-H2537/G2537</f>
        <v/>
      </c>
    </row>
    <row r="4970">
      <c r="A4970" t="n">
        <v>18697</v>
      </c>
      <c r="B4970" s="16" t="n">
        <v>44671</v>
      </c>
      <c r="C4970" t="inlineStr">
        <is>
          <t>CPR</t>
        </is>
      </c>
      <c r="D4970" t="n">
        <v>42</v>
      </c>
      <c r="E4970">
        <f>IF(D2772&gt;0,VLOOKUP(OPERAC[[#This Row],[COD CART]],[1]!MatrizCortoLargoCyl[#All],3,0),"")</f>
        <v/>
      </c>
      <c r="F4970" t="inlineStr">
        <is>
          <t>NFLX</t>
        </is>
      </c>
      <c r="G4970" t="n">
        <v>2</v>
      </c>
      <c r="H4970" t="n">
        <v>-509.01012</v>
      </c>
      <c r="I4970">
        <f>-H2772/G2772</f>
        <v/>
      </c>
      <c r="J4970" s="16" t="n">
        <v>44693</v>
      </c>
      <c r="K4970">
        <f>+OPERAC[[#This Row],[cantidad]]</f>
        <v/>
      </c>
      <c r="L4970">
        <f>+OPERAC[[#This Row],[cantidad venta]]*169.089</f>
        <v/>
      </c>
    </row>
    <row r="4971">
      <c r="A4971" t="n">
        <v>18697</v>
      </c>
      <c r="B4971" s="16" t="n">
        <v>44721</v>
      </c>
      <c r="C4971" t="inlineStr">
        <is>
          <t>VTA</t>
        </is>
      </c>
      <c r="D4971" t="n">
        <v>32</v>
      </c>
      <c r="E4971">
        <f>IF(D3122&gt;0,VLOOKUP(OPERAC[[#This Row],[COD CART]],[1]!MatrizCortoLargoCyl[#All],3,0),"")</f>
        <v/>
      </c>
      <c r="F4971" t="inlineStr">
        <is>
          <t>SESN/CYL/1,00/18-11-22</t>
        </is>
      </c>
      <c r="G4971" t="n">
        <v>1000</v>
      </c>
      <c r="H4971" t="n">
        <v>-630</v>
      </c>
      <c r="I4971">
        <f>-H3122/G3122</f>
        <v/>
      </c>
    </row>
    <row r="4972">
      <c r="A4972" t="n">
        <v>18703</v>
      </c>
      <c r="B4972" s="16" t="n">
        <v>44237</v>
      </c>
      <c r="C4972" t="inlineStr">
        <is>
          <t>VTA</t>
        </is>
      </c>
      <c r="D4972" t="n">
        <v>39</v>
      </c>
      <c r="E4972">
        <f>IF(D713&gt;0,VLOOKUP(OPERAC[[#This Row],[COD CART]],[1]!MatrizCortoLargoCyl[#All],3,0),"")</f>
        <v/>
      </c>
      <c r="F4972" t="inlineStr">
        <is>
          <t>TLRY1/V/10,00/20-01-23</t>
        </is>
      </c>
      <c r="G4972" t="n">
        <v>-400</v>
      </c>
      <c r="H4972" t="n">
        <v>400</v>
      </c>
      <c r="I4972">
        <f>-H713/G713</f>
        <v/>
      </c>
      <c r="J4972" s="16" t="n">
        <v>44614</v>
      </c>
      <c r="K4972" t="n">
        <v>-400</v>
      </c>
      <c r="L4972" t="n">
        <v>-2341.358</v>
      </c>
    </row>
    <row r="4973">
      <c r="A4973" t="n">
        <v>18703</v>
      </c>
      <c r="B4973" s="16" t="n">
        <v>44267</v>
      </c>
      <c r="C4973" t="inlineStr">
        <is>
          <t>CPR</t>
        </is>
      </c>
      <c r="D4973" t="n">
        <v>32</v>
      </c>
      <c r="E4973">
        <f>IF(D4530&gt;0,VLOOKUP(OPERAC[[#This Row],[COD CART]],[1]!MatrizCortoLargoCyl[#All],3,0),"")</f>
        <v/>
      </c>
      <c r="F4973" t="inlineStr">
        <is>
          <t>INO/CYL/8,00/18-02-22</t>
        </is>
      </c>
      <c r="G4973" t="n">
        <v>200</v>
      </c>
      <c r="H4973">
        <f>-943.3119+OPERAC[[#This Row],[cantidad]]*0.19+0.05*OPERAC[[#This Row],[cantidad]]+15.378+13.96-729.28+296.96+60.344+29.158+9.414</f>
        <v/>
      </c>
      <c r="I4973">
        <f>-H4530/G4530</f>
        <v/>
      </c>
      <c r="J4973" s="16" t="n">
        <v>44596</v>
      </c>
      <c r="K4973" t="n">
        <v>200</v>
      </c>
      <c r="L4973">
        <f>3.665*OPERAC[[#This Row],[cantidad venta]]</f>
        <v/>
      </c>
    </row>
    <row r="4974">
      <c r="A4974" t="n">
        <v>18703</v>
      </c>
      <c r="B4974" s="16" t="n">
        <v>44446</v>
      </c>
      <c r="C4974" t="inlineStr">
        <is>
          <t>CPR</t>
        </is>
      </c>
      <c r="D4974" t="n">
        <v>32</v>
      </c>
      <c r="E4974">
        <f>IF(D3289&gt;0,VLOOKUP(OPERAC[[#This Row],[COD CART]],[1]!MatrizCortoLargoCyl[#All],3,0),"")</f>
        <v/>
      </c>
      <c r="F4974" t="inlineStr">
        <is>
          <t>INO/CYL/8,00/18-02-22</t>
        </is>
      </c>
      <c r="G4974" t="n">
        <v>100</v>
      </c>
      <c r="H4974">
        <f>-758.932+27.502+30.172+14.579+4.707</f>
        <v/>
      </c>
      <c r="I4974">
        <f>-H3289/G3289</f>
        <v/>
      </c>
      <c r="J4974" s="16" t="n">
        <v>44596</v>
      </c>
      <c r="K4974" t="n">
        <v>100</v>
      </c>
      <c r="L4974">
        <f>3.665*OPERAC[[#This Row],[cantidad venta]]</f>
        <v/>
      </c>
    </row>
    <row r="4975">
      <c r="A4975" t="n">
        <v>18703</v>
      </c>
      <c r="B4975" s="16" t="n">
        <v>44490</v>
      </c>
      <c r="C4975" t="inlineStr">
        <is>
          <t>CPR</t>
        </is>
      </c>
      <c r="D4975" t="n">
        <v>43</v>
      </c>
      <c r="E4975">
        <f>IF(D1873&gt;0,VLOOKUP(OPERAC[[#This Row],[COD CART]],[1]!MatrizCortoLargoCyl[#All],3,0),"")</f>
        <v/>
      </c>
      <c r="F4975" t="inlineStr">
        <is>
          <t>SESN/CYL-PUT/1,00/19-01-24</t>
        </is>
      </c>
      <c r="G4975" t="n">
        <v>1000</v>
      </c>
      <c r="H4975">
        <f>-0.28*OPERAC[[#This Row],[cantidad]]</f>
        <v/>
      </c>
      <c r="I4975">
        <f>-H1873/G1873</f>
        <v/>
      </c>
      <c r="J4975" s="16" t="n">
        <v>44614</v>
      </c>
      <c r="K4975" t="n">
        <v>1000</v>
      </c>
      <c r="L4975" t="n">
        <v>266.068</v>
      </c>
    </row>
    <row r="4976">
      <c r="A4976" t="n">
        <v>18703</v>
      </c>
      <c r="B4976" s="16" t="n">
        <v>44494</v>
      </c>
      <c r="C4976" t="inlineStr">
        <is>
          <t>VTA</t>
        </is>
      </c>
      <c r="D4976" t="n">
        <v>40</v>
      </c>
      <c r="E4976">
        <f>IF(D2216&gt;0,VLOOKUP(OPERAC[[#This Row],[COD CART]],[1]!MatrizCortoLargoCyl[#All],3,0),"")</f>
        <v/>
      </c>
      <c r="F4976" t="inlineStr">
        <is>
          <t>YPF</t>
        </is>
      </c>
      <c r="G4976" t="n">
        <v>80</v>
      </c>
      <c r="H4976" t="n">
        <v>-372.2176</v>
      </c>
      <c r="I4976">
        <f>-H2216/G2216</f>
        <v/>
      </c>
      <c r="J4976" s="16" t="n">
        <v>44606</v>
      </c>
      <c r="K4976">
        <f>+OPERAC[[#This Row],[cantidad]]</f>
        <v/>
      </c>
      <c r="L4976">
        <f>+OPERAC[[#This Row],[cantidad venta]]*4.161</f>
        <v/>
      </c>
    </row>
    <row r="4977">
      <c r="A4977" t="n">
        <v>18703</v>
      </c>
      <c r="B4977" s="16" t="n">
        <v>44511</v>
      </c>
      <c r="C4977" t="inlineStr">
        <is>
          <t>VTA</t>
        </is>
      </c>
      <c r="D4977" t="n">
        <v>31</v>
      </c>
      <c r="E4977">
        <f>IF(D2911&gt;0,VLOOKUP(OPERAC[[#This Row],[COD CART]],[1]!MatrizCortoLargoCyl[#All],3,0),"")</f>
        <v/>
      </c>
      <c r="F4977" t="inlineStr">
        <is>
          <t>IPIX</t>
        </is>
      </c>
      <c r="G4977" t="n">
        <v>5000</v>
      </c>
      <c r="H4977" t="n">
        <v>-549.95</v>
      </c>
      <c r="I4977">
        <f>-H2911/G2911</f>
        <v/>
      </c>
    </row>
    <row r="4978">
      <c r="A4978" t="n">
        <v>18703</v>
      </c>
      <c r="B4978" s="16" t="n">
        <v>44558</v>
      </c>
      <c r="C4978" t="inlineStr">
        <is>
          <t>VTA</t>
        </is>
      </c>
      <c r="D4978" t="n">
        <v>40</v>
      </c>
      <c r="E4978">
        <f>IF(D1946&gt;0,VLOOKUP(OPERAC[[#This Row],[COD CART]],[1]!MatrizCortoLargoCyl[#All],3,0),"")</f>
        <v/>
      </c>
      <c r="F4978" t="inlineStr">
        <is>
          <t>UPST</t>
        </is>
      </c>
      <c r="G4978" t="n">
        <v>2</v>
      </c>
      <c r="H4978" t="n">
        <v>-301.2004</v>
      </c>
      <c r="I4978">
        <f>-H1946/G1946</f>
        <v/>
      </c>
      <c r="J4978" s="16" t="n">
        <v>44606</v>
      </c>
      <c r="K4978">
        <f>+OPERAC[[#This Row],[cantidad]]</f>
        <v/>
      </c>
      <c r="L4978">
        <f>+OPERAC[[#This Row],[cantidad venta]]*98.994</f>
        <v/>
      </c>
    </row>
    <row r="4979">
      <c r="A4979" t="n">
        <v>18703</v>
      </c>
      <c r="B4979" s="16" t="n">
        <v>44596</v>
      </c>
      <c r="C4979" t="inlineStr">
        <is>
          <t>VTA</t>
        </is>
      </c>
      <c r="D4979" t="n">
        <v>39</v>
      </c>
      <c r="E4979">
        <f>IF(D347&gt;0,VLOOKUP(OPERAC[[#This Row],[COD CART]],[1]!MatrizCortoLargoCyl[#All],3,0),"")</f>
        <v/>
      </c>
      <c r="F4979" t="inlineStr">
        <is>
          <t>ROKU/V/145,00/11-02-22</t>
        </is>
      </c>
      <c r="G4979" t="n">
        <v>-400</v>
      </c>
      <c r="H4979" t="n">
        <v>1307.82</v>
      </c>
      <c r="I4979">
        <f>-H347/G347</f>
        <v/>
      </c>
      <c r="J4979" s="16" t="n">
        <v>44603</v>
      </c>
      <c r="K4979" t="n">
        <v>-400</v>
      </c>
      <c r="L4979" t="n">
        <v>0</v>
      </c>
    </row>
    <row r="4980">
      <c r="A4980" t="n">
        <v>18703</v>
      </c>
      <c r="B4980" s="16" t="n">
        <v>44599</v>
      </c>
      <c r="C4980" t="inlineStr">
        <is>
          <t>CPR</t>
        </is>
      </c>
      <c r="D4980" t="n">
        <v>40</v>
      </c>
      <c r="E4980">
        <f>IF(D4515&gt;0,VLOOKUP(OPERAC[[#This Row],[COD CART]],[1]!MatrizCortoLargoCyl[#All],3,0),"")</f>
        <v/>
      </c>
      <c r="F4980" t="inlineStr">
        <is>
          <t>FB</t>
        </is>
      </c>
      <c r="G4980" t="n">
        <v>5</v>
      </c>
      <c r="H4980" t="n">
        <v>-1192.3</v>
      </c>
      <c r="I4980">
        <f>-H4515/G4515</f>
        <v/>
      </c>
      <c r="J4980" s="16" t="n">
        <v>44616</v>
      </c>
      <c r="K4980">
        <f>+OPERAC[[#This Row],[cantidad]]</f>
        <v/>
      </c>
      <c r="L4980">
        <f>200.299*OPERAC[[#This Row],[cantidad venta]]</f>
        <v/>
      </c>
    </row>
    <row r="4981">
      <c r="A4981" t="n">
        <v>18703</v>
      </c>
      <c r="B4981" s="16" t="n">
        <v>44607</v>
      </c>
      <c r="C4981" t="inlineStr">
        <is>
          <t>VTA</t>
        </is>
      </c>
      <c r="D4981" t="n">
        <v>32</v>
      </c>
      <c r="E4981">
        <f>IF(D5219&gt;0,VLOOKUP(OPERAC[[#This Row],[COD CART]],[1]!MatrizCortoLargoCyl[#All],3,0),"")</f>
        <v/>
      </c>
      <c r="F4981" t="inlineStr">
        <is>
          <t>F/CYL/17,00/18-03-22</t>
        </is>
      </c>
      <c r="G4981" t="n">
        <v>100</v>
      </c>
      <c r="H4981" t="n">
        <v>-1658.76</v>
      </c>
      <c r="I4981">
        <f>-H5219/G5219</f>
        <v/>
      </c>
      <c r="J4981" s="16" t="n">
        <v>44638</v>
      </c>
      <c r="K4981">
        <f>+OPERAC[[#This Row],[cantidad]]</f>
        <v/>
      </c>
      <c r="L4981">
        <f>+OPERAC[[#This Row],[cantidad venta]]*16.75</f>
        <v/>
      </c>
    </row>
    <row r="4982">
      <c r="A4982" t="n">
        <v>18703</v>
      </c>
      <c r="B4982" s="16" t="n">
        <v>44614</v>
      </c>
      <c r="C4982" t="inlineStr">
        <is>
          <t>VTA</t>
        </is>
      </c>
      <c r="D4982" t="n">
        <v>39</v>
      </c>
      <c r="E4982">
        <f>IF(D1168&gt;0,VLOOKUP(OPERAC[[#This Row],[COD CART]],[1]!MatrizCortoLargoCyl[#All],3,0),"")</f>
        <v/>
      </c>
      <c r="F4982" t="inlineStr">
        <is>
          <t>SPWR/V/10,00/20-01-23</t>
        </is>
      </c>
      <c r="G4982" t="n">
        <v>-10</v>
      </c>
      <c r="H4982" t="n">
        <v>13.84</v>
      </c>
      <c r="I4982">
        <f>-H1168/G1168</f>
        <v/>
      </c>
    </row>
    <row r="4983">
      <c r="A4983" t="n">
        <v>18703</v>
      </c>
      <c r="B4983" s="16" t="n">
        <v>44614</v>
      </c>
      <c r="C4983" t="inlineStr">
        <is>
          <t>VTA</t>
        </is>
      </c>
      <c r="D4983" t="n">
        <v>39</v>
      </c>
      <c r="E4983">
        <f>IF(D1185&gt;0,VLOOKUP(OPERAC[[#This Row],[COD CART]],[1]!MatrizCortoLargoCyl[#All],3,0),"")</f>
        <v/>
      </c>
      <c r="F4983" t="inlineStr">
        <is>
          <t>DDD/V/10,00/20-01-23</t>
        </is>
      </c>
      <c r="G4983" t="n">
        <v>-10</v>
      </c>
      <c r="H4983" t="n">
        <v>10.37</v>
      </c>
      <c r="I4983">
        <f>-H1185/G1185</f>
        <v/>
      </c>
    </row>
    <row r="4984">
      <c r="A4984" t="n">
        <v>18703</v>
      </c>
      <c r="B4984" s="16" t="n">
        <v>44614</v>
      </c>
      <c r="C4984" t="inlineStr">
        <is>
          <t>VTA</t>
        </is>
      </c>
      <c r="D4984" t="n">
        <v>39</v>
      </c>
      <c r="E4984">
        <f>IF(D1221&gt;0,VLOOKUP(OPERAC[[#This Row],[COD CART]],[1]!MatrizCortoLargoCyl[#All],3,0),"")</f>
        <v/>
      </c>
      <c r="F4984" t="inlineStr">
        <is>
          <t>SOLO/V/2,00/20-01-23</t>
        </is>
      </c>
      <c r="G4984" t="n">
        <v>-10</v>
      </c>
      <c r="H4984" t="n">
        <v>6.9</v>
      </c>
      <c r="I4984">
        <f>-H1221/G1221</f>
        <v/>
      </c>
    </row>
    <row r="4985">
      <c r="A4985" t="n">
        <v>18703</v>
      </c>
      <c r="B4985" s="16" t="n">
        <v>44616</v>
      </c>
      <c r="C4985" t="inlineStr">
        <is>
          <t>CPR</t>
        </is>
      </c>
      <c r="D4985" t="n">
        <v>32</v>
      </c>
      <c r="E4985">
        <f>IF(D4326&gt;0,VLOOKUP(OPERAC[[#This Row],[COD CART]],[1]!MatrizCortoLargoCyl[#All],3,0),"")</f>
        <v/>
      </c>
      <c r="F4985" t="inlineStr">
        <is>
          <t>PLTR/CYL/12,00/14-04-22</t>
        </is>
      </c>
      <c r="G4985" t="n">
        <v>100</v>
      </c>
      <c r="H4985" t="n">
        <v>-1052.7265</v>
      </c>
      <c r="I4985">
        <f>-H4326/G4326</f>
        <v/>
      </c>
      <c r="J4985" s="16" t="n">
        <v>44643</v>
      </c>
      <c r="K4985" t="n">
        <v>100</v>
      </c>
      <c r="L4985" t="n">
        <v>1146.72</v>
      </c>
    </row>
    <row r="4986">
      <c r="A4986" t="n">
        <v>18703</v>
      </c>
      <c r="B4986" s="16" t="n">
        <v>44616</v>
      </c>
      <c r="C4986" t="inlineStr">
        <is>
          <t>CPR</t>
        </is>
      </c>
      <c r="D4986" t="n">
        <v>32</v>
      </c>
      <c r="E4986">
        <f>IF(D4451&gt;0,VLOOKUP(OPERAC[[#This Row],[COD CART]],[1]!MatrizCortoLargoCyl[#All],3,0),"")</f>
        <v/>
      </c>
      <c r="F4986" t="inlineStr">
        <is>
          <t>HMY/CYL/4,00/18-03-22</t>
        </is>
      </c>
      <c r="G4986" t="n">
        <v>300</v>
      </c>
      <c r="H4986" t="n">
        <v>-1151.115</v>
      </c>
      <c r="I4986">
        <f>-H4451/G4451</f>
        <v/>
      </c>
      <c r="J4986" s="16" t="n">
        <v>44622</v>
      </c>
      <c r="K4986" t="n">
        <v>300</v>
      </c>
      <c r="L4986" t="n">
        <v>1181.85</v>
      </c>
    </row>
    <row r="4987">
      <c r="A4987" t="n">
        <v>18703</v>
      </c>
      <c r="B4987" s="16" t="n">
        <v>44622</v>
      </c>
      <c r="C4987" t="inlineStr">
        <is>
          <t>CPR</t>
        </is>
      </c>
      <c r="D4987" t="n">
        <v>32</v>
      </c>
      <c r="E4987">
        <f>IF(D4082&gt;0,VLOOKUP(OPERAC[[#This Row],[COD CART]],[1]!MatrizCortoLargoCyl[#All],3,0),"")</f>
        <v/>
      </c>
      <c r="F4987" t="inlineStr">
        <is>
          <t>HMY/CYL/5,00/18-03-22</t>
        </is>
      </c>
      <c r="G4987" t="n">
        <v>200</v>
      </c>
      <c r="H4987" t="n">
        <v>-937.0640000000001</v>
      </c>
      <c r="I4987">
        <f>-H4082/G4082</f>
        <v/>
      </c>
      <c r="J4987" s="16" t="n">
        <v>44637</v>
      </c>
      <c r="K4987">
        <f>+OPERAC[[#This Row],[cantidad]]</f>
        <v/>
      </c>
      <c r="L4987">
        <f>4.85553*OPERAC[[#This Row],[cantidad venta]]</f>
        <v/>
      </c>
    </row>
    <row r="4988">
      <c r="A4988" t="n">
        <v>18703</v>
      </c>
      <c r="B4988" s="16" t="n">
        <v>44641</v>
      </c>
      <c r="C4988" t="inlineStr">
        <is>
          <t>CPR</t>
        </is>
      </c>
      <c r="D4988" t="n">
        <v>32</v>
      </c>
      <c r="E4988">
        <f>IF(D5842&gt;0,VLOOKUP(OPERAC[[#This Row],[COD CART]],[1]!MatrizCortoLargoCyl[#All],3,0),"")</f>
        <v/>
      </c>
      <c r="F4988" t="inlineStr">
        <is>
          <t>HMY</t>
        </is>
      </c>
      <c r="G4988" t="n">
        <v>600</v>
      </c>
      <c r="H4988" t="n">
        <v>-2855.4234</v>
      </c>
      <c r="I4988">
        <f>-H5842/G5842</f>
        <v/>
      </c>
      <c r="J4988" s="16" t="n">
        <v>44669</v>
      </c>
      <c r="K4988">
        <f>+OPERAC[[#This Row],[cantidad]]</f>
        <v/>
      </c>
      <c r="L4988">
        <f>4.925*OPERAC[[#This Row],[cantidad venta]]</f>
        <v/>
      </c>
    </row>
    <row r="4989">
      <c r="A4989" t="n">
        <v>18703</v>
      </c>
      <c r="B4989" s="16" t="n">
        <v>44643</v>
      </c>
      <c r="C4989" t="inlineStr">
        <is>
          <t>VTA</t>
        </is>
      </c>
      <c r="D4989" t="n">
        <v>32</v>
      </c>
      <c r="E4989">
        <f>IF(D3815&gt;0,VLOOKUP(OPERAC[[#This Row],[COD CART]],[1]!MatrizCortoLargoCyl[#All],3,0),"")</f>
        <v/>
      </c>
      <c r="F4989" t="inlineStr">
        <is>
          <t>COTY/CYL/9,00/14-04-22</t>
        </is>
      </c>
      <c r="G4989" t="n">
        <v>100</v>
      </c>
      <c r="H4989" t="n">
        <v>-855.451</v>
      </c>
      <c r="I4989">
        <f>-H3815/G3815</f>
        <v/>
      </c>
      <c r="J4989" s="16" t="n">
        <v>44649</v>
      </c>
      <c r="K4989" t="n">
        <v>100</v>
      </c>
      <c r="L4989" t="n">
        <v>875.28</v>
      </c>
    </row>
    <row r="4990">
      <c r="A4990" t="n">
        <v>18703</v>
      </c>
      <c r="B4990" s="16" t="n">
        <v>44649</v>
      </c>
      <c r="C4990" t="inlineStr">
        <is>
          <t>VTA</t>
        </is>
      </c>
      <c r="D4990" t="n">
        <v>32</v>
      </c>
      <c r="E4990">
        <f>IF(D3226&gt;0,VLOOKUP(OPERAC[[#This Row],[COD CART]],[1]!MatrizCortoLargoCyl[#All],3,0),"")</f>
        <v/>
      </c>
      <c r="F4990" t="inlineStr">
        <is>
          <t>TLRY</t>
        </is>
      </c>
      <c r="G4990" t="n">
        <v>100</v>
      </c>
      <c r="H4990">
        <f>-672.216+9.915</f>
        <v/>
      </c>
      <c r="I4990">
        <f>-H3226/G3226</f>
        <v/>
      </c>
    </row>
    <row r="4991">
      <c r="A4991" t="n">
        <v>18703</v>
      </c>
      <c r="B4991" s="16" t="n">
        <v>44662</v>
      </c>
      <c r="C4991" t="inlineStr">
        <is>
          <t>CPR</t>
        </is>
      </c>
      <c r="D4991" t="n">
        <v>42</v>
      </c>
      <c r="E4991">
        <f>IF(D1848&gt;0,VLOOKUP(OPERAC[[#This Row],[COD CART]],[1]!MatrizCortoLargoCyl[#All],3,0),"")</f>
        <v/>
      </c>
      <c r="F4991" t="inlineStr">
        <is>
          <t>HYDR</t>
        </is>
      </c>
      <c r="G4991" t="n">
        <v>15</v>
      </c>
      <c r="H4991" t="n">
        <v>-278.5551599999999</v>
      </c>
      <c r="I4991">
        <f>-H1848/G1848</f>
        <v/>
      </c>
      <c r="J4991" s="16" t="n">
        <v>44693</v>
      </c>
      <c r="K4991">
        <f>+OPERAC[[#This Row],[cantidad]]</f>
        <v/>
      </c>
      <c r="L4991">
        <f>+OPERAC[[#This Row],[cantidad venta]]*11.986</f>
        <v/>
      </c>
    </row>
    <row r="4992">
      <c r="A4992" t="n">
        <v>18703</v>
      </c>
      <c r="B4992" s="16" t="n">
        <v>44669</v>
      </c>
      <c r="C4992" t="inlineStr">
        <is>
          <t>CPR</t>
        </is>
      </c>
      <c r="D4992" t="n">
        <v>32</v>
      </c>
      <c r="E4992">
        <f>IF(D5821&gt;0,VLOOKUP(OPERAC[[#This Row],[COD CART]],[1]!MatrizCortoLargoCyl[#All],3,0),"")</f>
        <v/>
      </c>
      <c r="F4992" t="inlineStr">
        <is>
          <t>HMY</t>
        </is>
      </c>
      <c r="G4992" t="n">
        <v>600</v>
      </c>
      <c r="H4992">
        <f>-4.64*OPERAC[[#This Row],[cantidad]]</f>
        <v/>
      </c>
      <c r="I4992">
        <f>-H5821/G5821</f>
        <v/>
      </c>
    </row>
    <row r="4993">
      <c r="A4993" t="n">
        <v>18703</v>
      </c>
      <c r="B4993" s="16" t="n">
        <v>44705</v>
      </c>
      <c r="C4993" t="inlineStr">
        <is>
          <t>CPR</t>
        </is>
      </c>
      <c r="D4993" t="n">
        <v>42</v>
      </c>
      <c r="E4993">
        <f>IF(D3378&gt;0,VLOOKUP(OPERAC[[#This Row],[COD CART]],[1]!MatrizCortoLargoCyl[#All],3,0),"")</f>
        <v/>
      </c>
      <c r="F4993" t="inlineStr">
        <is>
          <t>MELI</t>
        </is>
      </c>
      <c r="G4993" t="n">
        <v>1</v>
      </c>
      <c r="H4993" t="n">
        <v>-704.808</v>
      </c>
      <c r="I4993">
        <f>-H3378/G3378</f>
        <v/>
      </c>
      <c r="J4993" s="16" t="n">
        <v>44706</v>
      </c>
      <c r="K4993">
        <f>+OPERAC[[#This Row],[cantidad]]</f>
        <v/>
      </c>
      <c r="L4993" t="n">
        <v>725.8734000000001</v>
      </c>
    </row>
    <row r="4994">
      <c r="A4994" t="n">
        <v>18703</v>
      </c>
      <c r="B4994" s="16" t="n">
        <v>44721</v>
      </c>
      <c r="C4994" t="inlineStr">
        <is>
          <t>VTA</t>
        </is>
      </c>
      <c r="D4994" t="n">
        <v>32</v>
      </c>
      <c r="E4994">
        <f>IF(D3119&gt;0,VLOOKUP(OPERAC[[#This Row],[COD CART]],[1]!MatrizCortoLargoCyl[#All],3,0),"")</f>
        <v/>
      </c>
      <c r="F4994" t="inlineStr">
        <is>
          <t>SESN/CYL/1,00/18-11-22</t>
        </is>
      </c>
      <c r="G4994" t="n">
        <v>1000</v>
      </c>
      <c r="H4994" t="n">
        <v>-630</v>
      </c>
      <c r="I4994">
        <f>-H3119/G3119</f>
        <v/>
      </c>
    </row>
    <row r="4995">
      <c r="A4995" t="n">
        <v>18705</v>
      </c>
      <c r="B4995" s="16" t="n">
        <v>44439</v>
      </c>
      <c r="C4995" t="inlineStr">
        <is>
          <t>VTA</t>
        </is>
      </c>
      <c r="D4995" t="n">
        <v>39</v>
      </c>
      <c r="E4995">
        <f>IF(D867&gt;0,VLOOKUP(OPERAC[[#This Row],[COD CART]],[1]!MatrizCortoLargoCyl[#All],3,0),"")</f>
        <v/>
      </c>
      <c r="F4995" t="inlineStr">
        <is>
          <t>SKLZ/P/7,50/20-01-23</t>
        </is>
      </c>
      <c r="G4995" t="n">
        <v>-100</v>
      </c>
      <c r="H4995" t="n">
        <v>198.4</v>
      </c>
      <c r="I4995">
        <f>-H867/G867</f>
        <v/>
      </c>
      <c r="J4995" s="16" t="n">
        <v>44614</v>
      </c>
      <c r="K4995">
        <f>+OPERAC[[#This Row],[cantidad]]</f>
        <v/>
      </c>
      <c r="L4995">
        <f>+OPERAC[[#This Row],[cantidad venta]]*4.488</f>
        <v/>
      </c>
    </row>
    <row r="4996">
      <c r="A4996" t="n">
        <v>18705</v>
      </c>
      <c r="B4996" s="16" t="n">
        <v>44461</v>
      </c>
      <c r="C4996" t="inlineStr">
        <is>
          <t>CPR</t>
        </is>
      </c>
      <c r="D4996" t="n">
        <v>40</v>
      </c>
      <c r="E4996">
        <f>IF(D4297&gt;0,VLOOKUP(OPERAC[[#This Row],[COD CART]],[1]!MatrizCortoLargoCyl[#All],3,0),"")</f>
        <v/>
      </c>
      <c r="F4996" t="inlineStr">
        <is>
          <t>EDU</t>
        </is>
      </c>
      <c r="G4996" t="n">
        <v>1000</v>
      </c>
      <c r="H4996">
        <f>-1.0864*OPERAC[[#This Row],[cantidad]]+0.04*OPERAC[[#This Row],[cantidad]]</f>
        <v/>
      </c>
      <c r="I4996">
        <f>-H4297/G4297</f>
        <v/>
      </c>
      <c r="J4996" s="16" t="n">
        <v>44614</v>
      </c>
      <c r="K4996">
        <f>+OPERAC[[#This Row],[cantidad]]</f>
        <v/>
      </c>
      <c r="L4996">
        <f>1.483*OPERAC[[#This Row],[cantidad venta]]</f>
        <v/>
      </c>
    </row>
    <row r="4997">
      <c r="A4997" t="n">
        <v>18705</v>
      </c>
      <c r="B4997" s="16" t="n">
        <v>44489</v>
      </c>
      <c r="C4997" t="inlineStr">
        <is>
          <t>VTA</t>
        </is>
      </c>
      <c r="D4997" t="n">
        <v>43</v>
      </c>
      <c r="E4997">
        <f>IF(D2235&gt;0,VLOOKUP(OPERAC[[#This Row],[COD CART]],[1]!MatrizCortoLargoCyl[#All],3,0),"")</f>
        <v/>
      </c>
      <c r="F4997" t="inlineStr">
        <is>
          <t>SESN/CYL-PUT/1,00/19-01-24</t>
        </is>
      </c>
      <c r="G4997" t="n">
        <v>2000</v>
      </c>
      <c r="H4997">
        <f>-0.1885*OPERAC[[#This Row],[cantidad]]</f>
        <v/>
      </c>
      <c r="I4997">
        <f>-H2235/G2235</f>
        <v/>
      </c>
    </row>
    <row r="4998">
      <c r="A4998" t="n">
        <v>18705</v>
      </c>
      <c r="B4998" s="16" t="n">
        <v>44490</v>
      </c>
      <c r="C4998" t="inlineStr">
        <is>
          <t>CPR</t>
        </is>
      </c>
      <c r="D4998" t="n">
        <v>43</v>
      </c>
      <c r="E4998">
        <f>IF(D1874&gt;0,VLOOKUP(OPERAC[[#This Row],[COD CART]],[1]!MatrizCortoLargoCyl[#All],3,0),"")</f>
        <v/>
      </c>
      <c r="F4998" t="inlineStr">
        <is>
          <t>SESN/CYL-PUT/1,00/19-01-24</t>
        </is>
      </c>
      <c r="G4998" t="n">
        <v>1000</v>
      </c>
      <c r="H4998">
        <f>-0.28*OPERAC[[#This Row],[cantidad]]</f>
        <v/>
      </c>
      <c r="I4998">
        <f>-H1874/G1874</f>
        <v/>
      </c>
    </row>
    <row r="4999">
      <c r="A4999" t="n">
        <v>18705</v>
      </c>
      <c r="B4999" s="16" t="n">
        <v>44494</v>
      </c>
      <c r="C4999" t="inlineStr">
        <is>
          <t>CPR</t>
        </is>
      </c>
      <c r="D4999" t="n">
        <v>40</v>
      </c>
      <c r="E4999">
        <f>IF(D1858&gt;0,VLOOKUP(OPERAC[[#This Row],[COD CART]],[1]!MatrizCortoLargoCyl[#All],3,0),"")</f>
        <v/>
      </c>
      <c r="F4999" t="inlineStr">
        <is>
          <t>YPF</t>
        </is>
      </c>
      <c r="G4999" t="n">
        <v>60</v>
      </c>
      <c r="H4999" t="n">
        <v>-279.1632</v>
      </c>
      <c r="I4999">
        <f>-H1858/G1858</f>
        <v/>
      </c>
      <c r="J4999" s="16" t="n">
        <v>44606</v>
      </c>
      <c r="K4999">
        <f>+OPERAC[[#This Row],[cantidad]]</f>
        <v/>
      </c>
      <c r="L4999">
        <f>+OPERAC[[#This Row],[cantidad venta]]*4.161</f>
        <v/>
      </c>
    </row>
    <row r="5000">
      <c r="A5000" t="n">
        <v>18705</v>
      </c>
      <c r="B5000" s="16" t="n">
        <v>44495</v>
      </c>
      <c r="C5000" t="inlineStr">
        <is>
          <t>VTA</t>
        </is>
      </c>
      <c r="D5000" t="n">
        <v>39</v>
      </c>
      <c r="E5000">
        <f>IF(D396&gt;0,VLOOKUP(OPERAC[[#This Row],[COD CART]],[1]!MatrizCortoLargoCyl[#All],3,0),"")</f>
        <v/>
      </c>
      <c r="F5000" t="inlineStr">
        <is>
          <t>YPF/CC10/LP7/CP3/19-01-24</t>
        </is>
      </c>
      <c r="G5000" t="n">
        <v>-500</v>
      </c>
      <c r="H5000">
        <f>-2.41*OPERAC[[#This Row],[cantidad]]</f>
        <v/>
      </c>
      <c r="I5000">
        <f>-H396/G396</f>
        <v/>
      </c>
    </row>
    <row r="5001">
      <c r="A5001" t="n">
        <v>18705</v>
      </c>
      <c r="B5001" s="16" t="n">
        <v>44511</v>
      </c>
      <c r="C5001" t="inlineStr">
        <is>
          <t>VTA</t>
        </is>
      </c>
      <c r="D5001" t="n">
        <v>31</v>
      </c>
      <c r="E5001">
        <f>IF(D1354&gt;0,VLOOKUP(OPERAC[[#This Row],[COD CART]],[1]!MatrizCortoLargoCyl[#All],3,0),"")</f>
        <v/>
      </c>
      <c r="F5001" t="inlineStr">
        <is>
          <t>IPIX</t>
        </is>
      </c>
      <c r="G5001" t="n">
        <v>1000</v>
      </c>
      <c r="H5001" t="n">
        <v>-109.99</v>
      </c>
      <c r="I5001">
        <f>-H1354/G1354</f>
        <v/>
      </c>
    </row>
    <row r="5002">
      <c r="A5002" t="n">
        <v>18705</v>
      </c>
      <c r="B5002" s="16" t="n">
        <v>44515</v>
      </c>
      <c r="C5002" t="inlineStr">
        <is>
          <t>CPR</t>
        </is>
      </c>
      <c r="D5002" t="n">
        <v>41</v>
      </c>
      <c r="E5002">
        <f>IF(D2699&gt;0,VLOOKUP(OPERAC[[#This Row],[COD CART]],[1]!MatrizCortoLargoCyl[#All],3,0),"")</f>
        <v/>
      </c>
      <c r="F5002" t="inlineStr">
        <is>
          <t>JO</t>
        </is>
      </c>
      <c r="G5002" t="n">
        <v>8</v>
      </c>
      <c r="H5002" t="n">
        <v>-494.92</v>
      </c>
      <c r="I5002">
        <f>-H2699/G2699</f>
        <v/>
      </c>
      <c r="J5002" s="16" t="n">
        <v>44610</v>
      </c>
      <c r="K5002" t="n">
        <v>4</v>
      </c>
      <c r="L5002" t="n">
        <v>261.642</v>
      </c>
    </row>
    <row r="5003">
      <c r="A5003" t="n">
        <v>18705</v>
      </c>
      <c r="B5003" s="16" t="n">
        <v>44515</v>
      </c>
      <c r="C5003" t="inlineStr">
        <is>
          <t>VTA</t>
        </is>
      </c>
      <c r="D5003" t="n">
        <v>41</v>
      </c>
      <c r="E5003">
        <f>IF(D2468&gt;0,VLOOKUP(OPERAC[[#This Row],[COD CART]],[1]!MatrizCortoLargoCyl[#All],3,0),"")</f>
        <v/>
      </c>
      <c r="F5003" t="inlineStr">
        <is>
          <t>WOOD</t>
        </is>
      </c>
      <c r="G5003" t="n">
        <v>5</v>
      </c>
      <c r="H5003" t="n">
        <v>-439.1272</v>
      </c>
      <c r="I5003">
        <f>-H2468/G2468</f>
        <v/>
      </c>
    </row>
    <row r="5004">
      <c r="A5004" t="n">
        <v>18705</v>
      </c>
      <c r="B5004" s="16" t="n">
        <v>44515</v>
      </c>
      <c r="C5004" t="inlineStr">
        <is>
          <t>VTA</t>
        </is>
      </c>
      <c r="D5004" t="n">
        <v>41</v>
      </c>
      <c r="E5004">
        <f>IF(D2851&gt;0,VLOOKUP(OPERAC[[#This Row],[COD CART]],[1]!MatrizCortoLargoCyl[#All],3,0),"")</f>
        <v/>
      </c>
      <c r="F5004" t="inlineStr">
        <is>
          <t>GLD</t>
        </is>
      </c>
      <c r="G5004" t="n">
        <v>3</v>
      </c>
      <c r="H5004" t="n">
        <v>-527.96224</v>
      </c>
      <c r="I5004">
        <f>-H2851/G2851</f>
        <v/>
      </c>
    </row>
    <row r="5005">
      <c r="A5005" t="n">
        <v>18705</v>
      </c>
      <c r="B5005" s="16" t="n">
        <v>44515</v>
      </c>
      <c r="C5005" t="inlineStr">
        <is>
          <t>VTA</t>
        </is>
      </c>
      <c r="D5005" t="n">
        <v>41</v>
      </c>
      <c r="E5005">
        <f>IF(D3013&gt;0,VLOOKUP(OPERAC[[#This Row],[COD CART]],[1]!MatrizCortoLargoCyl[#All],3,0),"")</f>
        <v/>
      </c>
      <c r="F5005" t="inlineStr">
        <is>
          <t>SLV</t>
        </is>
      </c>
      <c r="G5005" t="n">
        <v>25</v>
      </c>
      <c r="H5005" t="n">
        <v>-585.136</v>
      </c>
      <c r="I5005">
        <f>-H3013/G3013</f>
        <v/>
      </c>
    </row>
    <row r="5006">
      <c r="A5006" t="n">
        <v>18705</v>
      </c>
      <c r="B5006" s="16" t="n">
        <v>44594</v>
      </c>
      <c r="C5006" t="inlineStr">
        <is>
          <t>VTA</t>
        </is>
      </c>
      <c r="D5006" t="n">
        <v>40</v>
      </c>
      <c r="E5006">
        <f>IF(D5523&gt;0,VLOOKUP(OPERAC[[#This Row],[COD CART]],[1]!MatrizCortoLargoCyl[#All],3,0),"")</f>
        <v/>
      </c>
      <c r="F5006" t="inlineStr">
        <is>
          <t>EDU</t>
        </is>
      </c>
      <c r="G5006" t="n">
        <v>1000</v>
      </c>
      <c r="H5006" t="n">
        <v>-2016</v>
      </c>
      <c r="I5006">
        <f>-H5523/G5523</f>
        <v/>
      </c>
      <c r="J5006" s="16" t="n">
        <v>44599</v>
      </c>
      <c r="K5006" t="n">
        <v>1000</v>
      </c>
      <c r="L5006" t="n">
        <v>1540</v>
      </c>
    </row>
    <row r="5007">
      <c r="A5007" t="n">
        <v>18705</v>
      </c>
      <c r="B5007" s="16" t="n">
        <v>44614</v>
      </c>
      <c r="C5007" t="inlineStr">
        <is>
          <t>CPR</t>
        </is>
      </c>
      <c r="D5007" t="n">
        <v>40</v>
      </c>
      <c r="E5007">
        <f>IF(D4732&gt;0,VLOOKUP(OPERAC[[#This Row],[COD CART]],[1]!MatrizCortoLargoCyl[#All],3,0),"")</f>
        <v/>
      </c>
      <c r="F5007" t="inlineStr">
        <is>
          <t>ROKU</t>
        </is>
      </c>
      <c r="G5007" t="n">
        <v>10</v>
      </c>
      <c r="H5007">
        <f>-135*OPERAC[[#This Row],[cantidad]]</f>
        <v/>
      </c>
      <c r="I5007">
        <f>-H4732/G4732</f>
        <v/>
      </c>
      <c r="J5007" s="16" t="n">
        <v>44616</v>
      </c>
      <c r="K5007" t="n">
        <v>10</v>
      </c>
      <c r="L5007" t="n">
        <v>1168.062</v>
      </c>
    </row>
    <row r="5008">
      <c r="A5008" t="n">
        <v>18705</v>
      </c>
      <c r="B5008" s="16" t="n">
        <v>44616</v>
      </c>
      <c r="C5008" t="inlineStr">
        <is>
          <t>CPR</t>
        </is>
      </c>
      <c r="D5008" t="n">
        <v>41</v>
      </c>
      <c r="E5008">
        <f>IF(D2711&gt;0,VLOOKUP(OPERAC[[#This Row],[COD CART]],[1]!MatrizCortoLargoCyl[#All],3,0),"")</f>
        <v/>
      </c>
      <c r="F5008" t="inlineStr">
        <is>
          <t>CORN</t>
        </is>
      </c>
      <c r="G5008" t="n">
        <v>20</v>
      </c>
      <c r="H5008" t="n">
        <v>-501.1696</v>
      </c>
      <c r="I5008">
        <f>-H2711/G2711</f>
        <v/>
      </c>
    </row>
    <row r="5009">
      <c r="A5009" t="n">
        <v>18705</v>
      </c>
      <c r="B5009" s="16" t="n">
        <v>44616</v>
      </c>
      <c r="C5009" t="inlineStr">
        <is>
          <t>VTA</t>
        </is>
      </c>
      <c r="D5009" t="n">
        <v>41</v>
      </c>
      <c r="E5009">
        <f>IF(D2924&gt;0,VLOOKUP(OPERAC[[#This Row],[COD CART]],[1]!MatrizCortoLargoCyl[#All],3,0),"")</f>
        <v/>
      </c>
      <c r="F5009" t="inlineStr">
        <is>
          <t>SOYB</t>
        </is>
      </c>
      <c r="G5009" t="n">
        <v>20</v>
      </c>
      <c r="H5009" t="n">
        <v>-556.0048</v>
      </c>
      <c r="I5009">
        <f>-H2924/G2924</f>
        <v/>
      </c>
    </row>
    <row r="5010">
      <c r="A5010" t="n">
        <v>18705</v>
      </c>
      <c r="B5010" s="16" t="n">
        <v>44657</v>
      </c>
      <c r="C5010" t="inlineStr">
        <is>
          <t>VTA</t>
        </is>
      </c>
      <c r="D5010" t="n">
        <v>39</v>
      </c>
      <c r="E5010">
        <f>IF(D507&gt;0,VLOOKUP(OPERAC[[#This Row],[COD CART]],[1]!MatrizCortoLargoCyl[#All],3,0),"")</f>
        <v/>
      </c>
      <c r="F5010" t="inlineStr">
        <is>
          <t>TSLA/V/850,00/14-04-22</t>
        </is>
      </c>
      <c r="G5010" t="n">
        <v>-700</v>
      </c>
      <c r="H5010" t="n">
        <v>886.112</v>
      </c>
      <c r="I5010">
        <f>-H507/G507</f>
        <v/>
      </c>
      <c r="J5010" s="16" t="n">
        <v>44665</v>
      </c>
      <c r="K5010" t="n">
        <v>-700</v>
      </c>
      <c r="L5010" t="n">
        <v>0</v>
      </c>
    </row>
    <row r="5011">
      <c r="A5011" t="n">
        <v>18705</v>
      </c>
      <c r="B5011" s="16" t="n">
        <v>44662</v>
      </c>
      <c r="C5011" t="inlineStr">
        <is>
          <t>VTA</t>
        </is>
      </c>
      <c r="D5011" t="n">
        <v>42</v>
      </c>
      <c r="E5011">
        <f>IF(D2504&gt;0,VLOOKUP(OPERAC[[#This Row],[COD CART]],[1]!MatrizCortoLargoCyl[#All],3,0),"")</f>
        <v/>
      </c>
      <c r="F5011" t="inlineStr">
        <is>
          <t>UPST</t>
        </is>
      </c>
      <c r="G5011" t="n">
        <v>5</v>
      </c>
      <c r="H5011" t="n">
        <v>-457.0018</v>
      </c>
      <c r="I5011">
        <f>-H2504/G2504</f>
        <v/>
      </c>
      <c r="J5011" s="16" t="n">
        <v>44693</v>
      </c>
      <c r="K5011" t="n">
        <v>5</v>
      </c>
      <c r="L5011" t="n">
        <v>158.792</v>
      </c>
    </row>
    <row r="5012">
      <c r="A5012" t="n">
        <v>18711</v>
      </c>
      <c r="B5012" s="16" t="n">
        <v>44461</v>
      </c>
      <c r="C5012" t="inlineStr">
        <is>
          <t>VTA</t>
        </is>
      </c>
      <c r="D5012" t="n">
        <v>40</v>
      </c>
      <c r="E5012">
        <f>IF(D2820&gt;0,VLOOKUP(OPERAC[[#This Row],[COD CART]],[1]!MatrizCortoLargoCyl[#All],3,0),"")</f>
        <v/>
      </c>
      <c r="F5012" t="inlineStr">
        <is>
          <t>EDU</t>
        </is>
      </c>
      <c r="G5012" t="n">
        <v>500</v>
      </c>
      <c r="H5012">
        <f>-1.0864*OPERAC[[#This Row],[cantidad]]+0.04*OPERAC[[#This Row],[cantidad]]</f>
        <v/>
      </c>
      <c r="I5012">
        <f>-H2820/G2820</f>
        <v/>
      </c>
      <c r="J5012" s="16" t="n">
        <v>44614</v>
      </c>
      <c r="K5012">
        <f>+OPERAC[[#This Row],[cantidad]]</f>
        <v/>
      </c>
      <c r="L5012">
        <f>1.483*OPERAC[[#This Row],[cantidad venta]]</f>
        <v/>
      </c>
    </row>
    <row r="5013">
      <c r="A5013" t="n">
        <v>18711</v>
      </c>
      <c r="B5013" s="16" t="n">
        <v>44511</v>
      </c>
      <c r="C5013" t="inlineStr">
        <is>
          <t>VTA</t>
        </is>
      </c>
      <c r="D5013" t="n">
        <v>31</v>
      </c>
      <c r="E5013">
        <f>IF(D1355&gt;0,VLOOKUP(OPERAC[[#This Row],[COD CART]],[1]!MatrizCortoLargoCyl[#All],3,0),"")</f>
        <v/>
      </c>
      <c r="F5013" t="inlineStr">
        <is>
          <t>IPIX</t>
        </is>
      </c>
      <c r="G5013" t="n">
        <v>1000</v>
      </c>
      <c r="H5013" t="n">
        <v>-109.99</v>
      </c>
      <c r="I5013">
        <f>-H1355/G1355</f>
        <v/>
      </c>
    </row>
    <row r="5014">
      <c r="A5014" t="n">
        <v>18711</v>
      </c>
      <c r="B5014" s="16" t="n">
        <v>44538</v>
      </c>
      <c r="C5014" t="inlineStr">
        <is>
          <t>CPR</t>
        </is>
      </c>
      <c r="D5014" t="n">
        <v>43</v>
      </c>
      <c r="E5014">
        <f>IF(D4678&gt;0,VLOOKUP(OPERAC[[#This Row],[COD CART]],[1]!MatrizCortoLargoCyl[#All],3,0),"")</f>
        <v/>
      </c>
      <c r="F5014" t="inlineStr">
        <is>
          <t>NNDM/CYL-PUT/2,50/19-01-24</t>
        </is>
      </c>
      <c r="G5014" t="n">
        <v>1000</v>
      </c>
      <c r="H5014">
        <f>-1.306*OPERAC[[#This Row],[cantidad]]</f>
        <v/>
      </c>
      <c r="I5014">
        <f>-H4678/G4678</f>
        <v/>
      </c>
    </row>
    <row r="5015">
      <c r="A5015" t="n">
        <v>18711</v>
      </c>
      <c r="B5015" s="16" t="n">
        <v>44538</v>
      </c>
      <c r="C5015" t="inlineStr">
        <is>
          <t>VTA</t>
        </is>
      </c>
      <c r="D5015" t="n">
        <v>43</v>
      </c>
      <c r="E5015">
        <f>IF(D1525&gt;0,VLOOKUP(OPERAC[[#This Row],[COD CART]],[1]!MatrizCortoLargoCyl[#All],3,0),"")</f>
        <v/>
      </c>
      <c r="F5015" t="inlineStr">
        <is>
          <t>HEXO/CYL-PUT/1,00/20-01-23</t>
        </is>
      </c>
      <c r="G5015" t="n">
        <v>1000</v>
      </c>
      <c r="H5015">
        <f>-0.1886*OPERAC[[#This Row],[cantidad]]</f>
        <v/>
      </c>
      <c r="I5015">
        <f>-H1525/G1525</f>
        <v/>
      </c>
      <c r="J5015" s="16" t="n">
        <v>44670</v>
      </c>
      <c r="K5015">
        <f>500+500</f>
        <v/>
      </c>
      <c r="L5015">
        <f>160.665-290.23</f>
        <v/>
      </c>
    </row>
    <row r="5016">
      <c r="A5016" t="n">
        <v>18711</v>
      </c>
      <c r="B5016" s="16" t="n">
        <v>44539</v>
      </c>
      <c r="C5016" t="inlineStr">
        <is>
          <t>CPR</t>
        </is>
      </c>
      <c r="D5016" t="n">
        <v>40</v>
      </c>
      <c r="E5016">
        <f>IF(D4655&gt;0,VLOOKUP(OPERAC[[#This Row],[COD CART]],[1]!MatrizCortoLargoCyl[#All],3,0),"")</f>
        <v/>
      </c>
      <c r="F5016" t="inlineStr">
        <is>
          <t>ROKU</t>
        </is>
      </c>
      <c r="G5016" t="n">
        <v>5</v>
      </c>
      <c r="H5016" t="n">
        <v>-1288.6018</v>
      </c>
      <c r="I5016">
        <f>-H4655/G4655</f>
        <v/>
      </c>
      <c r="J5016" s="16" t="n">
        <v>44606</v>
      </c>
      <c r="K5016">
        <f>+OPERAC[[#This Row],[cantidad]]</f>
        <v/>
      </c>
      <c r="L5016">
        <f>+OPERAC[[#This Row],[cantidad venta]]*160.574</f>
        <v/>
      </c>
    </row>
    <row r="5017">
      <c r="A5017" t="n">
        <v>18711</v>
      </c>
      <c r="B5017" s="16" t="n">
        <v>44558</v>
      </c>
      <c r="C5017" t="inlineStr">
        <is>
          <t>VTA</t>
        </is>
      </c>
      <c r="D5017" t="n">
        <v>40</v>
      </c>
      <c r="E5017">
        <f>IF(D1947&gt;0,VLOOKUP(OPERAC[[#This Row],[COD CART]],[1]!MatrizCortoLargoCyl[#All],3,0),"")</f>
        <v/>
      </c>
      <c r="F5017" t="inlineStr">
        <is>
          <t>UPST</t>
        </is>
      </c>
      <c r="G5017" t="n">
        <v>2</v>
      </c>
      <c r="H5017" t="n">
        <v>-301.2004</v>
      </c>
      <c r="I5017">
        <f>-H1947/G1947</f>
        <v/>
      </c>
      <c r="J5017" s="16" t="n">
        <v>44606</v>
      </c>
      <c r="K5017">
        <f>+OPERAC[[#This Row],[cantidad]]</f>
        <v/>
      </c>
      <c r="L5017">
        <f>+OPERAC[[#This Row],[cantidad venta]]*98.994</f>
        <v/>
      </c>
    </row>
    <row r="5018">
      <c r="A5018" t="n">
        <v>18711</v>
      </c>
      <c r="B5018" s="16" t="n">
        <v>44586</v>
      </c>
      <c r="C5018" t="inlineStr">
        <is>
          <t>VTA</t>
        </is>
      </c>
      <c r="D5018" t="n">
        <v>43</v>
      </c>
      <c r="E5018">
        <f>IF(D1325&gt;0,VLOOKUP(OPERAC[[#This Row],[COD CART]],[1]!MatrizCortoLargoCyl[#All],3,0),"")</f>
        <v/>
      </c>
      <c r="F5018" t="inlineStr">
        <is>
          <t>GMBL/CYL-PUT/2,50/20-01-23</t>
        </is>
      </c>
      <c r="G5018" t="n">
        <v>100</v>
      </c>
      <c r="H5018" t="n">
        <v>-101.6063</v>
      </c>
      <c r="I5018">
        <f>-H1325/G1325</f>
        <v/>
      </c>
      <c r="J5018" s="16" t="n">
        <v>44637</v>
      </c>
      <c r="K5018" t="n">
        <v>100</v>
      </c>
      <c r="L5018" t="n">
        <v>-124.06</v>
      </c>
    </row>
    <row r="5019">
      <c r="A5019" t="n">
        <v>18711</v>
      </c>
      <c r="B5019" s="16" t="n">
        <v>44594</v>
      </c>
      <c r="C5019" t="inlineStr">
        <is>
          <t>CPR</t>
        </is>
      </c>
      <c r="D5019" t="n">
        <v>40</v>
      </c>
      <c r="E5019">
        <f>IF(D4231&gt;0,VLOOKUP(OPERAC[[#This Row],[COD CART]],[1]!MatrizCortoLargoCyl[#All],3,0),"")</f>
        <v/>
      </c>
      <c r="F5019" t="inlineStr">
        <is>
          <t>EDU</t>
        </is>
      </c>
      <c r="G5019" t="n">
        <v>500</v>
      </c>
      <c r="H5019" t="n">
        <v>-1008</v>
      </c>
      <c r="I5019">
        <f>-H4231/G4231</f>
        <v/>
      </c>
      <c r="J5019" s="16" t="n">
        <v>44599</v>
      </c>
      <c r="K5019" t="n">
        <v>500</v>
      </c>
      <c r="L5019" t="n">
        <v>770</v>
      </c>
    </row>
    <row r="5020">
      <c r="A5020" t="n">
        <v>18711</v>
      </c>
      <c r="B5020" s="16" t="n">
        <v>44602</v>
      </c>
      <c r="C5020" t="inlineStr">
        <is>
          <t>VTA</t>
        </is>
      </c>
      <c r="D5020" t="n">
        <v>39</v>
      </c>
      <c r="E5020">
        <f>IF(D905&gt;0,VLOOKUP(OPERAC[[#This Row],[COD CART]],[1]!MatrizCortoLargoCyl[#All],3,0),"")</f>
        <v/>
      </c>
      <c r="F5020" t="inlineStr">
        <is>
          <t>TSLA/C/1005,00/11-02-22</t>
        </is>
      </c>
      <c r="G5020" t="n">
        <v>-300</v>
      </c>
      <c r="H5020">
        <f>-0.5*OPERAC[[#This Row],[cantidad]]</f>
        <v/>
      </c>
      <c r="I5020">
        <f>-H905/G905</f>
        <v/>
      </c>
      <c r="J5020" s="16" t="n">
        <v>44603</v>
      </c>
      <c r="K5020" t="n">
        <v>-300</v>
      </c>
      <c r="L5020" t="n">
        <v>0</v>
      </c>
    </row>
    <row r="5021">
      <c r="A5021" t="n">
        <v>18711</v>
      </c>
      <c r="B5021" s="16" t="n">
        <v>44602</v>
      </c>
      <c r="C5021" t="inlineStr">
        <is>
          <t>VTA</t>
        </is>
      </c>
      <c r="D5021" t="n">
        <v>39</v>
      </c>
      <c r="E5021">
        <f>IF(D906&gt;0,VLOOKUP(OPERAC[[#This Row],[COD CART]],[1]!MatrizCortoLargoCyl[#All],3,0),"")</f>
        <v/>
      </c>
      <c r="F5021" t="inlineStr">
        <is>
          <t>TSLA/V/840,00/11-02-22</t>
        </is>
      </c>
      <c r="G5021" t="n">
        <v>-300</v>
      </c>
      <c r="H5021">
        <f>-0.5*OPERAC[[#This Row],[cantidad]]</f>
        <v/>
      </c>
      <c r="I5021">
        <f>-H906/G906</f>
        <v/>
      </c>
      <c r="J5021" s="16" t="n">
        <v>44603</v>
      </c>
      <c r="K5021" t="n">
        <v>-300</v>
      </c>
      <c r="L5021" t="n">
        <v>0</v>
      </c>
    </row>
    <row r="5022">
      <c r="A5022" t="n">
        <v>18711</v>
      </c>
      <c r="B5022" s="16" t="n">
        <v>44609</v>
      </c>
      <c r="C5022" t="inlineStr">
        <is>
          <t>VTA</t>
        </is>
      </c>
      <c r="D5022" t="n">
        <v>32</v>
      </c>
      <c r="E5022">
        <f>IF(D3882&gt;0,VLOOKUP(OPERAC[[#This Row],[COD CART]],[1]!MatrizCortoLargoCyl[#All],3,0),"")</f>
        <v/>
      </c>
      <c r="F5022" t="inlineStr">
        <is>
          <t>HIMX/CYL/9,00/18-03-22</t>
        </is>
      </c>
      <c r="G5022" t="n">
        <v>100</v>
      </c>
      <c r="H5022" t="n">
        <v>-869.5839999999999</v>
      </c>
      <c r="I5022">
        <f>-H3882/G3882</f>
        <v/>
      </c>
      <c r="J5022" s="16" t="n">
        <v>44622</v>
      </c>
      <c r="K5022">
        <f>+OPERAC[[#This Row],[cantidad]]</f>
        <v/>
      </c>
      <c r="L5022" t="n">
        <v>883.576</v>
      </c>
    </row>
    <row r="5023">
      <c r="A5023" t="n">
        <v>18711</v>
      </c>
      <c r="B5023" s="16" t="n">
        <v>44614</v>
      </c>
      <c r="C5023" t="inlineStr">
        <is>
          <t>CPR</t>
        </is>
      </c>
      <c r="D5023" t="n">
        <v>40</v>
      </c>
      <c r="E5023">
        <f>IF(D4104&gt;0,VLOOKUP(OPERAC[[#This Row],[COD CART]],[1]!MatrizCortoLargoCyl[#All],3,0),"")</f>
        <v/>
      </c>
      <c r="F5023" t="inlineStr">
        <is>
          <t>ROKU</t>
        </is>
      </c>
      <c r="G5023" t="n">
        <v>7</v>
      </c>
      <c r="H5023">
        <f>-135*OPERAC[[#This Row],[cantidad]]</f>
        <v/>
      </c>
      <c r="I5023">
        <f>-H4104/G4104</f>
        <v/>
      </c>
      <c r="J5023" s="16" t="n">
        <v>44705</v>
      </c>
      <c r="K5023" t="n">
        <v>7</v>
      </c>
      <c r="L5023" t="n">
        <v>528.241</v>
      </c>
    </row>
    <row r="5024">
      <c r="A5024" t="n">
        <v>18711</v>
      </c>
      <c r="B5024" s="16" t="n">
        <v>44634</v>
      </c>
      <c r="C5024" t="inlineStr">
        <is>
          <t>CPR</t>
        </is>
      </c>
      <c r="D5024" t="n">
        <v>42</v>
      </c>
      <c r="E5024">
        <f>IF(D3233&gt;0,VLOOKUP(OPERAC[[#This Row],[COD CART]],[1]!MatrizCortoLargoCyl[#All],3,0),"")</f>
        <v/>
      </c>
      <c r="F5024" t="inlineStr">
        <is>
          <t>INO</t>
        </is>
      </c>
      <c r="G5024" t="n">
        <v>200</v>
      </c>
      <c r="H5024" t="n">
        <v>-664.1632</v>
      </c>
      <c r="I5024">
        <f>-H3233/G3233</f>
        <v/>
      </c>
      <c r="J5024" s="16" t="n">
        <v>44634</v>
      </c>
      <c r="K5024" t="n">
        <v>200</v>
      </c>
      <c r="L5024" t="n">
        <v>597.771</v>
      </c>
    </row>
    <row r="5025">
      <c r="A5025" t="n">
        <v>18711</v>
      </c>
      <c r="B5025" s="16" t="n">
        <v>44637</v>
      </c>
      <c r="C5025" t="inlineStr">
        <is>
          <t>VTA</t>
        </is>
      </c>
      <c r="D5025" t="n">
        <v>43</v>
      </c>
      <c r="E5025">
        <f>IF(D1464&gt;0,VLOOKUP(OPERAC[[#This Row],[COD CART]],[1]!MatrizCortoLargoCyl[#All],3,0),"")</f>
        <v/>
      </c>
      <c r="F5025" t="inlineStr">
        <is>
          <t>GMBL/CYL-PUT/1,00/20-01-23</t>
        </is>
      </c>
      <c r="G5025" t="n">
        <v>800</v>
      </c>
      <c r="H5025" t="n">
        <v>-166.265408</v>
      </c>
      <c r="I5025">
        <f>-H1464/G1464</f>
        <v/>
      </c>
      <c r="J5025" s="16" t="n">
        <v>44698</v>
      </c>
      <c r="K5025" t="n">
        <v>800</v>
      </c>
      <c r="L5025">
        <f>-172.12-80.68</f>
        <v/>
      </c>
    </row>
    <row r="5026">
      <c r="A5026" t="n">
        <v>18711</v>
      </c>
      <c r="B5026" s="16" t="n">
        <v>44645</v>
      </c>
      <c r="C5026" t="inlineStr">
        <is>
          <t>CPR</t>
        </is>
      </c>
      <c r="D5026" t="n">
        <v>42</v>
      </c>
      <c r="E5026">
        <f>IF(D1865&gt;0,VLOOKUP(OPERAC[[#This Row],[COD CART]],[1]!MatrizCortoLargoCyl[#All],3,0),"")</f>
        <v/>
      </c>
      <c r="F5026" t="inlineStr">
        <is>
          <t>PLUG</t>
        </is>
      </c>
      <c r="G5026" t="n">
        <v>10</v>
      </c>
      <c r="H5026" t="n">
        <v>-279.3164</v>
      </c>
      <c r="I5026">
        <f>-H1865/G1865</f>
        <v/>
      </c>
      <c r="J5026" s="16" t="n">
        <v>44652</v>
      </c>
      <c r="K5026">
        <f>+OPERAC[[#This Row],[cantidad]]</f>
        <v/>
      </c>
      <c r="L5026">
        <f>+OPERAC[[#This Row],[cantidad venta]]*27.754</f>
        <v/>
      </c>
    </row>
    <row r="5027">
      <c r="A5027" t="n">
        <v>18711</v>
      </c>
      <c r="B5027" s="16" t="n">
        <v>44652</v>
      </c>
      <c r="C5027" t="inlineStr">
        <is>
          <t>VTA</t>
        </is>
      </c>
      <c r="D5027" t="n">
        <v>42</v>
      </c>
      <c r="E5027">
        <f>IF(D2046&gt;0,VLOOKUP(OPERAC[[#This Row],[COD CART]],[1]!MatrizCortoLargoCyl[#All],3,0),"")</f>
        <v/>
      </c>
      <c r="F5027" t="inlineStr">
        <is>
          <t>GBTC</t>
        </is>
      </c>
      <c r="G5027" t="n">
        <v>10</v>
      </c>
      <c r="H5027" t="n">
        <v>-321.098</v>
      </c>
      <c r="I5027">
        <f>-H2046/G2046</f>
        <v/>
      </c>
      <c r="J5027" s="16" t="n">
        <v>44662</v>
      </c>
      <c r="K5027">
        <f>+OPERAC[[#This Row],[cantidad]]</f>
        <v/>
      </c>
      <c r="L5027">
        <f>27.99*OPERAC[[#This Row],[cantidad venta]]</f>
        <v/>
      </c>
    </row>
    <row r="5028">
      <c r="A5028" t="n">
        <v>18711</v>
      </c>
      <c r="B5028" s="16" t="n">
        <v>44662</v>
      </c>
      <c r="C5028" t="inlineStr">
        <is>
          <t>CPR</t>
        </is>
      </c>
      <c r="D5028" t="n">
        <v>42</v>
      </c>
      <c r="E5028">
        <f>IF(D1849&gt;0,VLOOKUP(OPERAC[[#This Row],[COD CART]],[1]!MatrizCortoLargoCyl[#All],3,0),"")</f>
        <v/>
      </c>
      <c r="F5028" t="inlineStr">
        <is>
          <t>HYDR</t>
        </is>
      </c>
      <c r="G5028" t="n">
        <v>15</v>
      </c>
      <c r="H5028" t="n">
        <v>-278.5551599999999</v>
      </c>
      <c r="I5028">
        <f>-H1849/G1849</f>
        <v/>
      </c>
      <c r="J5028" s="16" t="n">
        <v>44693</v>
      </c>
      <c r="K5028">
        <f>+OPERAC[[#This Row],[cantidad]]</f>
        <v/>
      </c>
      <c r="L5028">
        <f>+OPERAC[[#This Row],[cantidad venta]]*11.986</f>
        <v/>
      </c>
    </row>
    <row r="5029">
      <c r="A5029" t="n">
        <v>18711</v>
      </c>
      <c r="B5029" s="16" t="n">
        <v>44664</v>
      </c>
      <c r="C5029" t="inlineStr">
        <is>
          <t>VTA</t>
        </is>
      </c>
      <c r="D5029" t="n">
        <v>42</v>
      </c>
      <c r="E5029">
        <f>IF(D1724&gt;0,VLOOKUP(OPERAC[[#This Row],[COD CART]],[1]!MatrizCortoLargoCyl[#All],3,0),"")</f>
        <v/>
      </c>
      <c r="F5029" t="inlineStr">
        <is>
          <t>PSQ</t>
        </is>
      </c>
      <c r="G5029" t="n">
        <v>20</v>
      </c>
      <c r="H5029" t="n">
        <v>-248.65144362</v>
      </c>
      <c r="I5029">
        <f>-H1724/G1724</f>
        <v/>
      </c>
      <c r="J5029" s="16" t="n">
        <v>44680</v>
      </c>
      <c r="K5029">
        <f>+OPERAC[[#This Row],[cantidad]]</f>
        <v/>
      </c>
      <c r="L5029">
        <f>12.848*OPERAC[[#This Row],[cantidad venta]]</f>
        <v/>
      </c>
    </row>
    <row r="5030">
      <c r="A5030" t="n">
        <v>18711</v>
      </c>
      <c r="B5030" s="16" t="n">
        <v>44670</v>
      </c>
      <c r="C5030" t="inlineStr">
        <is>
          <t>VTA</t>
        </is>
      </c>
      <c r="D5030" t="n">
        <v>39</v>
      </c>
      <c r="E5030">
        <f>IF(D660&gt;0,VLOOKUP(OPERAC[[#This Row],[COD CART]],[1]!MatrizCortoLargoCyl[#All],3,0),"")</f>
        <v/>
      </c>
      <c r="F5030" t="inlineStr">
        <is>
          <t>UPST/V/80,00/22-04-22</t>
        </is>
      </c>
      <c r="G5030" t="n">
        <v>-500</v>
      </c>
      <c r="H5030" t="n">
        <v>470.963</v>
      </c>
      <c r="I5030">
        <f>-H660/G660</f>
        <v/>
      </c>
      <c r="J5030" s="16" t="n">
        <v>44673</v>
      </c>
      <c r="K5030" t="n">
        <v>-500</v>
      </c>
      <c r="L5030" t="n">
        <v>-1966.575</v>
      </c>
    </row>
    <row r="5031">
      <c r="A5031" t="n">
        <v>18711</v>
      </c>
      <c r="B5031" s="16" t="n">
        <v>44672</v>
      </c>
      <c r="C5031" t="inlineStr">
        <is>
          <t>VTA</t>
        </is>
      </c>
      <c r="D5031" t="n">
        <v>39</v>
      </c>
      <c r="E5031">
        <f>IF(D440&gt;0,VLOOKUP(OPERAC[[#This Row],[COD CART]],[1]!MatrizCortoLargoCyl[#All],3,0),"")</f>
        <v/>
      </c>
      <c r="F5031" t="inlineStr">
        <is>
          <t>UPST/V/75,00/22-04-22</t>
        </is>
      </c>
      <c r="G5031" t="n">
        <v>-500</v>
      </c>
      <c r="H5031" t="n">
        <v>1041.075</v>
      </c>
      <c r="I5031">
        <f>-H440/G440</f>
        <v/>
      </c>
      <c r="J5031" s="16" t="n">
        <v>44673</v>
      </c>
      <c r="K5031" t="n">
        <v>-500</v>
      </c>
      <c r="L5031" t="n">
        <v>-1058.925</v>
      </c>
    </row>
    <row r="5032">
      <c r="A5032" t="n">
        <v>18711</v>
      </c>
      <c r="B5032" s="16" t="n">
        <v>44673</v>
      </c>
      <c r="C5032" t="inlineStr">
        <is>
          <t>VTA</t>
        </is>
      </c>
      <c r="D5032" t="n">
        <v>39</v>
      </c>
      <c r="E5032">
        <f>IF(D442&gt;0,VLOOKUP(OPERAC[[#This Row],[COD CART]],[1]!MatrizCortoLargoCyl[#All],3,0),"")</f>
        <v/>
      </c>
      <c r="F5032" t="inlineStr">
        <is>
          <t>UPST/V/70,00/29-04-22</t>
        </is>
      </c>
      <c r="G5032" t="n">
        <v>-500</v>
      </c>
      <c r="H5032" t="n">
        <v>1041.075</v>
      </c>
      <c r="I5032">
        <f>-H442/G442</f>
        <v/>
      </c>
      <c r="J5032" s="16" t="n">
        <v>44676</v>
      </c>
      <c r="K5032" t="n">
        <v>-500</v>
      </c>
      <c r="L5032" t="n">
        <v>-665.61</v>
      </c>
    </row>
    <row r="5033">
      <c r="A5033" t="n">
        <v>18711</v>
      </c>
      <c r="B5033" s="16" t="n">
        <v>44673</v>
      </c>
      <c r="C5033" t="inlineStr">
        <is>
          <t>VTA</t>
        </is>
      </c>
      <c r="D5033" t="n">
        <v>39</v>
      </c>
      <c r="E5033">
        <f>IF(D465&gt;0,VLOOKUP(OPERAC[[#This Row],[COD CART]],[1]!MatrizCortoLargoCyl[#All],3,0),"")</f>
        <v/>
      </c>
      <c r="F5033" t="inlineStr">
        <is>
          <t>UPST/V/68,00/29-04-22</t>
        </is>
      </c>
      <c r="G5033" t="n">
        <v>-500</v>
      </c>
      <c r="H5033" t="n">
        <v>991.5</v>
      </c>
      <c r="I5033">
        <f>-H465/G465</f>
        <v/>
      </c>
      <c r="J5033" s="16" t="n">
        <v>44679</v>
      </c>
      <c r="K5033">
        <f>+OPERAC[[#This Row],[cantidad]]</f>
        <v/>
      </c>
      <c r="L5033" t="n">
        <v>-252.125</v>
      </c>
    </row>
    <row r="5034">
      <c r="A5034" t="n">
        <v>18711</v>
      </c>
      <c r="B5034" s="16" t="n">
        <v>44676</v>
      </c>
      <c r="C5034" t="inlineStr">
        <is>
          <t>VTA</t>
        </is>
      </c>
      <c r="D5034" t="n">
        <v>39</v>
      </c>
      <c r="E5034">
        <f>IF(D575&gt;0,VLOOKUP(OPERAC[[#This Row],[COD CART]],[1]!MatrizCortoLargoCyl[#All],3,0),"")</f>
        <v/>
      </c>
      <c r="F5034" t="inlineStr">
        <is>
          <t>UPST/V/67,00/06-05-22</t>
        </is>
      </c>
      <c r="G5034" t="n">
        <v>-300</v>
      </c>
      <c r="H5034" t="n">
        <v>669.2625</v>
      </c>
      <c r="I5034">
        <f>-H575/G575</f>
        <v/>
      </c>
      <c r="J5034" s="16" t="n">
        <v>44687</v>
      </c>
      <c r="K5034">
        <f>OPERAC[[#This Row],[cantidad]]</f>
        <v/>
      </c>
      <c r="L5034" t="n">
        <v>0</v>
      </c>
    </row>
    <row r="5035">
      <c r="A5035" t="n">
        <v>18711</v>
      </c>
      <c r="B5035" s="16" t="n">
        <v>44677</v>
      </c>
      <c r="C5035" t="inlineStr">
        <is>
          <t>CPR</t>
        </is>
      </c>
      <c r="D5035" t="n">
        <v>32</v>
      </c>
      <c r="E5035">
        <f>IF(D3537&gt;0,VLOOKUP(OPERAC[[#This Row],[COD CART]],[1]!MatrizCortoLargoCyl[#All],3,0),"")</f>
        <v/>
      </c>
      <c r="F5035" t="inlineStr">
        <is>
          <t>HMY</t>
        </is>
      </c>
      <c r="G5035" t="n">
        <v>200</v>
      </c>
      <c r="H5035">
        <f>-3.849*OPERAC[[#This Row],[cantidad]]</f>
        <v/>
      </c>
      <c r="I5035">
        <f>-H3537/G3537</f>
        <v/>
      </c>
      <c r="J5035" s="16" t="n">
        <v>44722</v>
      </c>
      <c r="K5035" t="n">
        <v>200</v>
      </c>
      <c r="L5035" t="n">
        <v>682.549</v>
      </c>
    </row>
    <row r="5036">
      <c r="A5036" t="n">
        <v>18711</v>
      </c>
      <c r="B5036" s="16" t="n">
        <v>44680</v>
      </c>
      <c r="C5036" t="inlineStr">
        <is>
          <t>VTA</t>
        </is>
      </c>
      <c r="D5036" t="n">
        <v>42</v>
      </c>
      <c r="E5036">
        <f>IF(D1686&gt;0,VLOOKUP(OPERAC[[#This Row],[COD CART]],[1]!MatrizCortoLargoCyl[#All],3,0),"")</f>
        <v/>
      </c>
      <c r="F5036" t="inlineStr">
        <is>
          <t>XLP</t>
        </is>
      </c>
      <c r="G5036" t="n">
        <v>3</v>
      </c>
      <c r="H5036" t="n">
        <v>-238.3035075</v>
      </c>
      <c r="I5036">
        <f>-H1686/G1686</f>
        <v/>
      </c>
      <c r="J5036" s="16" t="n">
        <v>44693</v>
      </c>
      <c r="K5036">
        <f>+OPERAC[[#This Row],[cantidad]]</f>
        <v/>
      </c>
      <c r="L5036">
        <f>+OPERAC[[#This Row],[cantidad venta]]*74.848</f>
        <v/>
      </c>
    </row>
    <row r="5037">
      <c r="A5037" t="n">
        <v>18711</v>
      </c>
      <c r="B5037" s="16" t="n">
        <v>44698</v>
      </c>
      <c r="C5037" t="inlineStr">
        <is>
          <t>CPR</t>
        </is>
      </c>
      <c r="D5037" t="n">
        <v>32</v>
      </c>
      <c r="E5037">
        <f>IF(D4128&gt;0,VLOOKUP(OPERAC[[#This Row],[COD CART]],[1]!MatrizCortoLargoCyl[#All],3,0),"")</f>
        <v/>
      </c>
      <c r="F5037" t="inlineStr">
        <is>
          <t>TLRY/CYL/6,50/24-06-22</t>
        </is>
      </c>
      <c r="G5037" t="n">
        <v>200</v>
      </c>
      <c r="H5037" t="n">
        <v>-961.851</v>
      </c>
      <c r="I5037">
        <f>-H4128/G4128</f>
        <v/>
      </c>
    </row>
    <row r="5038">
      <c r="A5038" t="n">
        <v>18711</v>
      </c>
      <c r="B5038" s="16" t="n">
        <v>44698</v>
      </c>
      <c r="C5038" t="inlineStr">
        <is>
          <t>CPR</t>
        </is>
      </c>
      <c r="D5038" t="n">
        <v>32</v>
      </c>
      <c r="E5038">
        <f>IF(D4287&gt;0,VLOOKUP(OPERAC[[#This Row],[COD CART]],[1]!MatrizCortoLargoCyl[#All],3,0),"")</f>
        <v/>
      </c>
      <c r="F5038" t="inlineStr">
        <is>
          <t>DDD/CYL/13,00/24-06-22</t>
        </is>
      </c>
      <c r="G5038" t="n">
        <v>100</v>
      </c>
      <c r="H5038" t="n">
        <v>-1031.82</v>
      </c>
      <c r="I5038">
        <f>-H4287/G4287</f>
        <v/>
      </c>
    </row>
    <row r="5039">
      <c r="A5039" t="n">
        <v>18711</v>
      </c>
      <c r="B5039" s="16" t="n">
        <v>44698</v>
      </c>
      <c r="C5039" t="inlineStr">
        <is>
          <t>VTA</t>
        </is>
      </c>
      <c r="D5039" t="n">
        <v>39</v>
      </c>
      <c r="E5039">
        <f>IF(D237&gt;0,VLOOKUP(OPERAC[[#This Row],[COD CART]],[1]!MatrizCortoLargoCyl[#All],3,0),"")</f>
        <v/>
      </c>
      <c r="F5039" t="inlineStr">
        <is>
          <t>TSLA/V/550,00/27-05-22</t>
        </is>
      </c>
      <c r="G5039" t="n">
        <v>-800</v>
      </c>
      <c r="H5039" t="n">
        <v>1864.02</v>
      </c>
      <c r="I5039">
        <f>-H237/G237</f>
        <v/>
      </c>
      <c r="J5039" s="16" t="n">
        <v>44706</v>
      </c>
      <c r="K5039">
        <f>+OPERAC[[#This Row],[cantidad]]</f>
        <v/>
      </c>
      <c r="L5039" t="n">
        <v>-363.06</v>
      </c>
    </row>
    <row r="5040">
      <c r="A5040" t="n">
        <v>18713</v>
      </c>
      <c r="B5040" s="16" t="n">
        <v>44453</v>
      </c>
      <c r="C5040" t="inlineStr">
        <is>
          <t>VTA</t>
        </is>
      </c>
      <c r="D5040" t="n">
        <v>39</v>
      </c>
      <c r="E5040">
        <f>IF(D1246&gt;0,VLOOKUP(OPERAC[[#This Row],[COD CART]],[1]!MatrizCortoLargoCyl[#All],3,0),"")</f>
        <v/>
      </c>
      <c r="F5040" t="inlineStr">
        <is>
          <t>EDIT/V/20,00/20-01-23</t>
        </is>
      </c>
      <c r="G5040" t="n">
        <v>-1</v>
      </c>
      <c r="H5040" t="n">
        <v>2.07</v>
      </c>
      <c r="I5040">
        <f>-H1246/G1246</f>
        <v/>
      </c>
    </row>
    <row r="5041">
      <c r="A5041" t="n">
        <v>18713</v>
      </c>
      <c r="B5041" s="16" t="n">
        <v>44459</v>
      </c>
      <c r="C5041" t="inlineStr">
        <is>
          <t>VTA</t>
        </is>
      </c>
      <c r="D5041" t="n">
        <v>39</v>
      </c>
      <c r="E5041">
        <f>IF(D726&gt;0,VLOOKUP(OPERAC[[#This Row],[COD CART]],[1]!MatrizCortoLargoCyl[#All],3,0),"")</f>
        <v/>
      </c>
      <c r="F5041" t="inlineStr">
        <is>
          <t>SOLO/P/3,00/21-01-22</t>
        </is>
      </c>
      <c r="G5041" t="n">
        <v>-1000</v>
      </c>
      <c r="H5041" t="n">
        <v>393.96</v>
      </c>
      <c r="I5041">
        <f>-H726/G726</f>
        <v/>
      </c>
      <c r="J5041" s="16" t="n">
        <v>44572</v>
      </c>
      <c r="K5041" t="n">
        <v>-1000</v>
      </c>
      <c r="L5041" t="n">
        <v>-393.96</v>
      </c>
    </row>
    <row r="5042">
      <c r="A5042" t="n">
        <v>18713</v>
      </c>
      <c r="B5042" s="16" t="n">
        <v>44461</v>
      </c>
      <c r="C5042" t="inlineStr">
        <is>
          <t>VTA</t>
        </is>
      </c>
      <c r="D5042" t="n">
        <v>40</v>
      </c>
      <c r="E5042">
        <f>IF(D2821&gt;0,VLOOKUP(OPERAC[[#This Row],[COD CART]],[1]!MatrizCortoLargoCyl[#All],3,0),"")</f>
        <v/>
      </c>
      <c r="F5042" t="inlineStr">
        <is>
          <t>EDU</t>
        </is>
      </c>
      <c r="G5042" t="n">
        <v>500</v>
      </c>
      <c r="H5042">
        <f>-1.0864*OPERAC[[#This Row],[cantidad]]+0.04*OPERAC[[#This Row],[cantidad]]</f>
        <v/>
      </c>
      <c r="I5042">
        <f>-H2821/G2821</f>
        <v/>
      </c>
      <c r="J5042" s="16" t="n">
        <v>44614</v>
      </c>
      <c r="K5042">
        <f>+OPERAC[[#This Row],[cantidad]]</f>
        <v/>
      </c>
      <c r="L5042">
        <f>1.483*OPERAC[[#This Row],[cantidad venta]]</f>
        <v/>
      </c>
    </row>
    <row r="5043">
      <c r="A5043" t="n">
        <v>18713</v>
      </c>
      <c r="B5043" s="16" t="n">
        <v>44466</v>
      </c>
      <c r="C5043" t="inlineStr">
        <is>
          <t>VTA</t>
        </is>
      </c>
      <c r="D5043" t="n">
        <v>43</v>
      </c>
      <c r="E5043">
        <f>IF(D3073&gt;0,VLOOKUP(OPERAC[[#This Row],[COD CART]],[1]!MatrizCortoLargoCyl[#All],3,0),"")</f>
        <v/>
      </c>
      <c r="F5043" t="inlineStr">
        <is>
          <t>SOLO/CYL-PUT/4,00/16-09-22</t>
        </is>
      </c>
      <c r="G5043" t="n">
        <v>300</v>
      </c>
      <c r="H5043">
        <f>-892.25181+0.32*OPERAC[[#This Row],[cantidad]]+0.387*OPERAC[[#This Row],[cantidad]]+0.22*OPERAC[[#This Row],[cantidad]]</f>
        <v/>
      </c>
      <c r="I5043">
        <f>-H3073/G3073</f>
        <v/>
      </c>
      <c r="J5043" s="16" t="n">
        <v>44697</v>
      </c>
      <c r="K5043" t="n">
        <v>300</v>
      </c>
      <c r="L5043" t="n">
        <v>-295.05</v>
      </c>
    </row>
    <row r="5044">
      <c r="A5044" t="n">
        <v>18713</v>
      </c>
      <c r="B5044" s="16" t="n">
        <v>44494</v>
      </c>
      <c r="C5044" t="inlineStr">
        <is>
          <t>VTA</t>
        </is>
      </c>
      <c r="D5044" t="n">
        <v>40</v>
      </c>
      <c r="E5044">
        <f>IF(D2555&gt;0,VLOOKUP(OPERAC[[#This Row],[COD CART]],[1]!MatrizCortoLargoCyl[#All],3,0),"")</f>
        <v/>
      </c>
      <c r="F5044" t="inlineStr">
        <is>
          <t>YPF</t>
        </is>
      </c>
      <c r="G5044" t="n">
        <v>100</v>
      </c>
      <c r="H5044" t="n">
        <v>-465.272</v>
      </c>
      <c r="I5044">
        <f>-H2555/G2555</f>
        <v/>
      </c>
      <c r="J5044" s="16" t="n">
        <v>44606</v>
      </c>
      <c r="K5044">
        <f>+OPERAC[[#This Row],[cantidad]]</f>
        <v/>
      </c>
      <c r="L5044">
        <f>+OPERAC[[#This Row],[cantidad venta]]*4.161</f>
        <v/>
      </c>
    </row>
    <row r="5045">
      <c r="A5045" t="n">
        <v>18713</v>
      </c>
      <c r="B5045" s="16" t="n">
        <v>44511</v>
      </c>
      <c r="C5045" t="inlineStr">
        <is>
          <t>VTA</t>
        </is>
      </c>
      <c r="D5045" t="n">
        <v>31</v>
      </c>
      <c r="E5045">
        <f>IF(D1356&gt;0,VLOOKUP(OPERAC[[#This Row],[COD CART]],[1]!MatrizCortoLargoCyl[#All],3,0),"")</f>
        <v/>
      </c>
      <c r="F5045" t="inlineStr">
        <is>
          <t>IPIX</t>
        </is>
      </c>
      <c r="G5045" t="n">
        <v>1000</v>
      </c>
      <c r="H5045" t="n">
        <v>-109.99</v>
      </c>
      <c r="I5045">
        <f>-H1356/G1356</f>
        <v/>
      </c>
    </row>
    <row r="5046">
      <c r="A5046" t="n">
        <v>18713</v>
      </c>
      <c r="B5046" s="16" t="n">
        <v>44538</v>
      </c>
      <c r="C5046" t="inlineStr">
        <is>
          <t>VTA</t>
        </is>
      </c>
      <c r="D5046" t="n">
        <v>43</v>
      </c>
      <c r="E5046">
        <f>IF(D1526&gt;0,VLOOKUP(OPERAC[[#This Row],[COD CART]],[1]!MatrizCortoLargoCyl[#All],3,0),"")</f>
        <v/>
      </c>
      <c r="F5046" t="inlineStr">
        <is>
          <t>HEXO/CYL-PUT/1,00/20-01-23</t>
        </is>
      </c>
      <c r="G5046" t="n">
        <v>1000</v>
      </c>
      <c r="H5046">
        <f>-0.1886*OPERAC[[#This Row],[cantidad]]</f>
        <v/>
      </c>
      <c r="I5046">
        <f>-H1526/G1526</f>
        <v/>
      </c>
      <c r="J5046" s="16" t="n">
        <v>44697</v>
      </c>
      <c r="K5046" t="n">
        <v>1000</v>
      </c>
      <c r="L5046" t="n">
        <v>171.91</v>
      </c>
    </row>
    <row r="5047">
      <c r="A5047" t="n">
        <v>18713</v>
      </c>
      <c r="B5047" s="16" t="n">
        <v>44539</v>
      </c>
      <c r="C5047" t="inlineStr">
        <is>
          <t>CPR</t>
        </is>
      </c>
      <c r="D5047" t="n">
        <v>40</v>
      </c>
      <c r="E5047">
        <f>IF(D4656&gt;0,VLOOKUP(OPERAC[[#This Row],[COD CART]],[1]!MatrizCortoLargoCyl[#All],3,0),"")</f>
        <v/>
      </c>
      <c r="F5047" t="inlineStr">
        <is>
          <t>ROKU</t>
        </is>
      </c>
      <c r="G5047" t="n">
        <v>5</v>
      </c>
      <c r="H5047" t="n">
        <v>-1288.6018</v>
      </c>
      <c r="I5047">
        <f>-H4656/G4656</f>
        <v/>
      </c>
      <c r="J5047" s="16" t="n">
        <v>44606</v>
      </c>
      <c r="K5047">
        <f>+OPERAC[[#This Row],[cantidad]]</f>
        <v/>
      </c>
      <c r="L5047">
        <f>+OPERAC[[#This Row],[cantidad venta]]*160.574</f>
        <v/>
      </c>
    </row>
    <row r="5048">
      <c r="A5048" t="n">
        <v>18713</v>
      </c>
      <c r="B5048" s="16" t="n">
        <v>44557</v>
      </c>
      <c r="C5048" t="inlineStr">
        <is>
          <t>CPR</t>
        </is>
      </c>
      <c r="D5048" t="n">
        <v>40</v>
      </c>
      <c r="E5048">
        <f>IF(D3554&gt;0,VLOOKUP(OPERAC[[#This Row],[COD CART]],[1]!MatrizCortoLargoCyl[#All],3,0),"")</f>
        <v/>
      </c>
      <c r="F5048" t="inlineStr">
        <is>
          <t>TLRY</t>
        </is>
      </c>
      <c r="G5048" t="n">
        <v>100</v>
      </c>
      <c r="H5048" t="n">
        <v>-771.62</v>
      </c>
      <c r="I5048">
        <f>-H3554/G3554</f>
        <v/>
      </c>
      <c r="J5048" s="16" t="n">
        <v>44585</v>
      </c>
      <c r="K5048">
        <f>+OPERAC[[#This Row],[cantidad]]</f>
        <v/>
      </c>
      <c r="L5048">
        <f>+OPERAC[[#This Row],[cantidad venta]]*5.263</f>
        <v/>
      </c>
    </row>
    <row r="5049">
      <c r="A5049" t="n">
        <v>18713</v>
      </c>
      <c r="B5049" s="16" t="n">
        <v>44558</v>
      </c>
      <c r="C5049" t="inlineStr">
        <is>
          <t>VTA</t>
        </is>
      </c>
      <c r="D5049" t="n">
        <v>40</v>
      </c>
      <c r="E5049">
        <f>IF(D1948&gt;0,VLOOKUP(OPERAC[[#This Row],[COD CART]],[1]!MatrizCortoLargoCyl[#All],3,0),"")</f>
        <v/>
      </c>
      <c r="F5049" t="inlineStr">
        <is>
          <t>UPST</t>
        </is>
      </c>
      <c r="G5049" t="n">
        <v>2</v>
      </c>
      <c r="H5049" t="n">
        <v>-301.2004</v>
      </c>
      <c r="I5049">
        <f>-H1948/G1948</f>
        <v/>
      </c>
      <c r="J5049" s="16" t="n">
        <v>44606</v>
      </c>
      <c r="K5049">
        <f>+OPERAC[[#This Row],[cantidad]]</f>
        <v/>
      </c>
      <c r="L5049">
        <f>+OPERAC[[#This Row],[cantidad venta]]*98.994</f>
        <v/>
      </c>
    </row>
    <row r="5050">
      <c r="A5050" t="n">
        <v>18713</v>
      </c>
      <c r="B5050" s="16" t="n">
        <v>44560</v>
      </c>
      <c r="C5050" t="inlineStr">
        <is>
          <t>VTA</t>
        </is>
      </c>
      <c r="D5050" t="n">
        <v>39</v>
      </c>
      <c r="E5050">
        <f>IF(D326&gt;0,VLOOKUP(OPERAC[[#This Row],[COD CART]],[1]!MatrizCortoLargoCyl[#All],3,0),"")</f>
        <v/>
      </c>
      <c r="F5050" t="inlineStr">
        <is>
          <t>ACB/V/6,00/07-01-22</t>
        </is>
      </c>
      <c r="G5050" t="n">
        <v>-2900</v>
      </c>
      <c r="H5050" t="n">
        <v>1389.7235</v>
      </c>
      <c r="I5050">
        <f>-H326/G326</f>
        <v/>
      </c>
      <c r="J5050" s="16" t="n">
        <v>44567</v>
      </c>
      <c r="K5050" t="n">
        <v>-2900</v>
      </c>
      <c r="L5050" t="n">
        <v>-1389.72</v>
      </c>
    </row>
    <row r="5051">
      <c r="A5051" t="n">
        <v>18713</v>
      </c>
      <c r="B5051" s="16" t="n">
        <v>44567</v>
      </c>
      <c r="C5051" t="inlineStr">
        <is>
          <t>VTA</t>
        </is>
      </c>
      <c r="D5051" t="n">
        <v>39</v>
      </c>
      <c r="E5051">
        <f>IF(D241&gt;0,VLOOKUP(OPERAC[[#This Row],[COD CART]],[1]!MatrizCortoLargoCyl[#All],3,0),"")</f>
        <v/>
      </c>
      <c r="F5051" t="inlineStr">
        <is>
          <t>ACB/V/6,00/14-01-22</t>
        </is>
      </c>
      <c r="G5051" t="n">
        <v>-2900</v>
      </c>
      <c r="H5051" t="n">
        <v>1844.4319</v>
      </c>
      <c r="I5051">
        <f>-H241/G241</f>
        <v/>
      </c>
      <c r="J5051" s="16" t="n">
        <v>44574</v>
      </c>
      <c r="K5051">
        <f>+OPERAC[[#This Row],[cantidad]]</f>
        <v/>
      </c>
      <c r="L5051" t="n">
        <v>-1341.305</v>
      </c>
    </row>
    <row r="5052">
      <c r="A5052" t="n">
        <v>18713</v>
      </c>
      <c r="B5052" s="16" t="n">
        <v>44572</v>
      </c>
      <c r="C5052" t="inlineStr">
        <is>
          <t>VTA</t>
        </is>
      </c>
      <c r="D5052" t="n">
        <v>39</v>
      </c>
      <c r="E5052">
        <f>IF(D533&gt;0,VLOOKUP(OPERAC[[#This Row],[COD CART]],[1]!MatrizCortoLargoCyl[#All],3,0),"")</f>
        <v/>
      </c>
      <c r="F5052" t="inlineStr">
        <is>
          <t>BABA/V/128,00/14-01-22</t>
        </is>
      </c>
      <c r="G5052" t="n">
        <v>-800</v>
      </c>
      <c r="H5052" t="n">
        <v>836.216</v>
      </c>
      <c r="I5052">
        <f>-H533/G533</f>
        <v/>
      </c>
      <c r="J5052" s="16" t="n">
        <v>44575</v>
      </c>
      <c r="K5052" t="n">
        <v>-800</v>
      </c>
      <c r="L5052" t="n">
        <v>-247.368</v>
      </c>
    </row>
    <row r="5053">
      <c r="A5053" t="n">
        <v>18713</v>
      </c>
      <c r="B5053" s="16" t="n">
        <v>44574</v>
      </c>
      <c r="C5053" t="inlineStr">
        <is>
          <t>VTA</t>
        </is>
      </c>
      <c r="D5053" t="n">
        <v>39</v>
      </c>
      <c r="E5053">
        <f>IF(D318&gt;0,VLOOKUP(OPERAC[[#This Row],[COD CART]],[1]!MatrizCortoLargoCyl[#All],3,0),"")</f>
        <v/>
      </c>
      <c r="F5053" t="inlineStr">
        <is>
          <t>ACB/V/6,00/21-01-22</t>
        </is>
      </c>
      <c r="G5053" t="n">
        <v>-2900</v>
      </c>
      <c r="H5053" t="n">
        <v>1412.535</v>
      </c>
      <c r="I5053">
        <f>-H318/G318</f>
        <v/>
      </c>
      <c r="J5053" s="16" t="n">
        <v>44581</v>
      </c>
      <c r="K5053">
        <f>+OPERAC[[#This Row],[cantidad]]</f>
        <v/>
      </c>
      <c r="L5053">
        <f>-OPERAC[[#This Row],[importe]]</f>
        <v/>
      </c>
    </row>
    <row r="5054">
      <c r="A5054" t="n">
        <v>18713</v>
      </c>
      <c r="B5054" s="16" t="n">
        <v>44581</v>
      </c>
      <c r="C5054" t="inlineStr">
        <is>
          <t>VTA</t>
        </is>
      </c>
      <c r="D5054" t="n">
        <v>39</v>
      </c>
      <c r="E5054">
        <f>IF(D126&gt;0,VLOOKUP(OPERAC[[#This Row],[COD CART]],[1]!MatrizCortoLargoCyl[#All],3,0),"")</f>
        <v/>
      </c>
      <c r="F5054" t="inlineStr">
        <is>
          <t>ACB/V/6,00/18-02-22</t>
        </is>
      </c>
      <c r="G5054" t="n">
        <v>-2600</v>
      </c>
      <c r="H5054" t="n">
        <v>3144.739</v>
      </c>
      <c r="I5054">
        <f>-H126/G126</f>
        <v/>
      </c>
      <c r="J5054" s="16" t="n">
        <v>44601</v>
      </c>
      <c r="K5054" t="n">
        <v>-2600</v>
      </c>
      <c r="L5054">
        <f>1.21*OPERAC[[#This Row],[cantidad venta]]</f>
        <v/>
      </c>
    </row>
    <row r="5055">
      <c r="A5055" t="n">
        <v>18713</v>
      </c>
      <c r="B5055" s="16" t="n">
        <v>44585</v>
      </c>
      <c r="C5055" t="inlineStr">
        <is>
          <t>VTA</t>
        </is>
      </c>
      <c r="D5055" t="n">
        <v>39</v>
      </c>
      <c r="E5055">
        <f>IF(D828&gt;0,VLOOKUP(OPERAC[[#This Row],[COD CART]],[1]!MatrizCortoLargoCyl[#All],3,0),"")</f>
        <v/>
      </c>
      <c r="F5055" t="inlineStr">
        <is>
          <t>TSLA/V/510,00/28-01-22</t>
        </is>
      </c>
      <c r="G5055" t="n">
        <v>-200</v>
      </c>
      <c r="H5055" t="n">
        <v>217.712</v>
      </c>
      <c r="I5055">
        <f>-H828/G828</f>
        <v/>
      </c>
      <c r="J5055" s="16" t="n">
        <v>44587</v>
      </c>
      <c r="K5055" t="n">
        <v>-200</v>
      </c>
      <c r="L5055" t="n">
        <v>-21.776</v>
      </c>
    </row>
    <row r="5056">
      <c r="A5056" t="n">
        <v>18713</v>
      </c>
      <c r="B5056" s="16" t="n">
        <v>44586</v>
      </c>
      <c r="C5056" t="inlineStr">
        <is>
          <t>CPR</t>
        </is>
      </c>
      <c r="D5056" t="n">
        <v>43</v>
      </c>
      <c r="E5056">
        <f>IF(D2745&gt;0,VLOOKUP(OPERAC[[#This Row],[COD CART]],[1]!MatrizCortoLargoCyl[#All],3,0),"")</f>
        <v/>
      </c>
      <c r="F5056" t="inlineStr">
        <is>
          <t>GMBL/CYL-PUT/2,50/20-01-23</t>
        </is>
      </c>
      <c r="G5056" t="n">
        <v>500</v>
      </c>
      <c r="H5056" t="n">
        <v>-508.0223000000001</v>
      </c>
      <c r="I5056">
        <f>-H2745/G2745</f>
        <v/>
      </c>
      <c r="J5056" s="16" t="n">
        <v>44697</v>
      </c>
      <c r="K5056" t="n">
        <v>500</v>
      </c>
      <c r="L5056" t="n">
        <v>-859.51</v>
      </c>
    </row>
    <row r="5057">
      <c r="A5057" t="n">
        <v>18713</v>
      </c>
      <c r="B5057" s="16" t="n">
        <v>44594</v>
      </c>
      <c r="C5057" t="inlineStr">
        <is>
          <t>CPR</t>
        </is>
      </c>
      <c r="D5057" t="n">
        <v>40</v>
      </c>
      <c r="E5057">
        <f>IF(D4232&gt;0,VLOOKUP(OPERAC[[#This Row],[COD CART]],[1]!MatrizCortoLargoCyl[#All],3,0),"")</f>
        <v/>
      </c>
      <c r="F5057" t="inlineStr">
        <is>
          <t>EDU</t>
        </is>
      </c>
      <c r="G5057" t="n">
        <v>500</v>
      </c>
      <c r="H5057" t="n">
        <v>-1008</v>
      </c>
      <c r="I5057">
        <f>-H4232/G4232</f>
        <v/>
      </c>
      <c r="J5057" s="16" t="n">
        <v>44599</v>
      </c>
      <c r="K5057" t="n">
        <v>500</v>
      </c>
      <c r="L5057" t="n">
        <v>770</v>
      </c>
    </row>
    <row r="5058">
      <c r="A5058" t="n">
        <v>18713</v>
      </c>
      <c r="B5058" s="16" t="n">
        <v>44601</v>
      </c>
      <c r="C5058" t="inlineStr">
        <is>
          <t>VTA</t>
        </is>
      </c>
      <c r="D5058" t="n">
        <v>39</v>
      </c>
      <c r="E5058">
        <f>IF(D1038&gt;0,VLOOKUP(OPERAC[[#This Row],[COD CART]],[1]!MatrizCortoLargoCyl[#All],3,0),"")</f>
        <v/>
      </c>
      <c r="F5058" t="inlineStr">
        <is>
          <t>ACB/V/5,00/16-09-22</t>
        </is>
      </c>
      <c r="G5058" t="n">
        <v>-30</v>
      </c>
      <c r="H5058">
        <f>-1.56*OPERAC[[#This Row],[cantidad]]</f>
        <v/>
      </c>
      <c r="I5058">
        <f>-H1038/G1038</f>
        <v/>
      </c>
      <c r="J5058" s="16" t="n">
        <v>44720</v>
      </c>
      <c r="K5058" t="n">
        <v>-20</v>
      </c>
      <c r="L5058" t="n">
        <v>-69.5865</v>
      </c>
    </row>
    <row r="5059">
      <c r="A5059" t="n">
        <v>18713</v>
      </c>
      <c r="B5059" s="16" t="n">
        <v>44607</v>
      </c>
      <c r="C5059" t="inlineStr">
        <is>
          <t>VTA</t>
        </is>
      </c>
      <c r="D5059" t="n">
        <v>32</v>
      </c>
      <c r="E5059">
        <f>IF(D5220&gt;0,VLOOKUP(OPERAC[[#This Row],[COD CART]],[1]!MatrizCortoLargoCyl[#All],3,0),"")</f>
        <v/>
      </c>
      <c r="F5059" t="inlineStr">
        <is>
          <t>F/CYL/17,00/18-03-22</t>
        </is>
      </c>
      <c r="G5059" t="n">
        <v>100</v>
      </c>
      <c r="H5059" t="n">
        <v>-1658.76</v>
      </c>
      <c r="I5059">
        <f>-H5220/G5220</f>
        <v/>
      </c>
      <c r="J5059" s="16" t="n">
        <v>44638</v>
      </c>
      <c r="K5059">
        <f>+OPERAC[[#This Row],[cantidad]]</f>
        <v/>
      </c>
      <c r="L5059">
        <f>+OPERAC[[#This Row],[cantidad venta]]*16.75</f>
        <v/>
      </c>
    </row>
    <row r="5060">
      <c r="A5060" t="n">
        <v>18713</v>
      </c>
      <c r="B5060" s="16" t="n">
        <v>44622</v>
      </c>
      <c r="C5060" t="inlineStr">
        <is>
          <t>CPR</t>
        </is>
      </c>
      <c r="D5060" t="n">
        <v>32</v>
      </c>
      <c r="E5060">
        <f>IF(D2585&gt;0,VLOOKUP(OPERAC[[#This Row],[COD CART]],[1]!MatrizCortoLargoCyl[#All],3,0),"")</f>
        <v/>
      </c>
      <c r="F5060" t="inlineStr">
        <is>
          <t>HMY/CYL/5,00/18-03-22</t>
        </is>
      </c>
      <c r="G5060" t="n">
        <v>100</v>
      </c>
      <c r="H5060" t="n">
        <v>-468.532</v>
      </c>
      <c r="I5060">
        <f>-H2585/G2585</f>
        <v/>
      </c>
      <c r="J5060" s="16" t="n">
        <v>44637</v>
      </c>
      <c r="K5060">
        <f>+OPERAC[[#This Row],[cantidad]]</f>
        <v/>
      </c>
      <c r="L5060">
        <f>4.85553*OPERAC[[#This Row],[cantidad venta]]</f>
        <v/>
      </c>
    </row>
    <row r="5061">
      <c r="A5061" t="n">
        <v>18713</v>
      </c>
      <c r="B5061" s="16" t="n">
        <v>44641</v>
      </c>
      <c r="C5061" t="inlineStr">
        <is>
          <t>CPR</t>
        </is>
      </c>
      <c r="D5061" t="n">
        <v>42</v>
      </c>
      <c r="E5061">
        <f>IF(D1882&gt;0,VLOOKUP(OPERAC[[#This Row],[COD CART]],[1]!MatrizCortoLargoCyl[#All],3,0),"")</f>
        <v/>
      </c>
      <c r="F5061" t="inlineStr">
        <is>
          <t>JPM</t>
        </is>
      </c>
      <c r="G5061" t="n">
        <v>2</v>
      </c>
      <c r="H5061" t="n">
        <v>-280.9086800000001</v>
      </c>
      <c r="I5061">
        <f>-H1882/G1882</f>
        <v/>
      </c>
      <c r="J5061" s="16" t="n">
        <v>44664</v>
      </c>
      <c r="K5061">
        <f>+OPERAC[[#This Row],[cantidad]]</f>
        <v/>
      </c>
      <c r="L5061">
        <f>+OPERAC[[#This Row],[cantidad venta]]*125.943</f>
        <v/>
      </c>
    </row>
    <row r="5062">
      <c r="A5062" t="n">
        <v>18713</v>
      </c>
      <c r="B5062" s="16" t="n">
        <v>44641</v>
      </c>
      <c r="C5062" t="inlineStr">
        <is>
          <t>CPR</t>
        </is>
      </c>
      <c r="D5062" t="n">
        <v>32</v>
      </c>
      <c r="E5062">
        <f>IF(D4825&gt;0,VLOOKUP(OPERAC[[#This Row],[COD CART]],[1]!MatrizCortoLargoCyl[#All],3,0),"")</f>
        <v/>
      </c>
      <c r="F5062" t="inlineStr">
        <is>
          <t>HMY</t>
        </is>
      </c>
      <c r="G5062" t="n">
        <v>300</v>
      </c>
      <c r="H5062" t="n">
        <v>-1427.7117</v>
      </c>
      <c r="I5062">
        <f>-H4825/G4825</f>
        <v/>
      </c>
      <c r="J5062" s="16" t="n">
        <v>44669</v>
      </c>
      <c r="K5062">
        <f>+OPERAC[[#This Row],[cantidad]]</f>
        <v/>
      </c>
      <c r="L5062">
        <f>4.925*OPERAC[[#This Row],[cantidad venta]]</f>
        <v/>
      </c>
    </row>
    <row r="5063">
      <c r="A5063" t="n">
        <v>18713</v>
      </c>
      <c r="B5063" s="16" t="n">
        <v>44641</v>
      </c>
      <c r="C5063" t="inlineStr">
        <is>
          <t>VTA</t>
        </is>
      </c>
      <c r="D5063" t="n">
        <v>42</v>
      </c>
      <c r="E5063">
        <f>IF(D1823&gt;0,VLOOKUP(OPERAC[[#This Row],[COD CART]],[1]!MatrizCortoLargoCyl[#All],3,0),"")</f>
        <v/>
      </c>
      <c r="F5063" t="inlineStr">
        <is>
          <t>SMH</t>
        </is>
      </c>
      <c r="G5063" t="n">
        <v>1</v>
      </c>
      <c r="H5063" t="n">
        <v>-268.9576500000001</v>
      </c>
      <c r="I5063">
        <f>-H1823/G1823</f>
        <v/>
      </c>
      <c r="J5063" s="16" t="n">
        <v>44663</v>
      </c>
      <c r="K5063">
        <f>+OPERAC[[#This Row],[cantidad]]</f>
        <v/>
      </c>
      <c r="L5063">
        <f>+OPERAC[[#This Row],[cantidad venta]]*238.066</f>
        <v/>
      </c>
    </row>
    <row r="5064">
      <c r="A5064" t="n">
        <v>18713</v>
      </c>
      <c r="B5064" s="16" t="n">
        <v>44641</v>
      </c>
      <c r="C5064" t="inlineStr">
        <is>
          <t>VTA</t>
        </is>
      </c>
      <c r="D5064" t="n">
        <v>42</v>
      </c>
      <c r="E5064">
        <f>IF(D2424&gt;0,VLOOKUP(OPERAC[[#This Row],[COD CART]],[1]!MatrizCortoLargoCyl[#All],3,0),"")</f>
        <v/>
      </c>
      <c r="F5064" t="inlineStr">
        <is>
          <t>FB</t>
        </is>
      </c>
      <c r="G5064" t="n">
        <v>2</v>
      </c>
      <c r="H5064" t="n">
        <v>-424.31276</v>
      </c>
      <c r="I5064">
        <f>-H2424/G2424</f>
        <v/>
      </c>
      <c r="J5064" s="16" t="n">
        <v>44671</v>
      </c>
      <c r="K5064">
        <f>+OPERAC[[#This Row],[cantidad]]</f>
        <v/>
      </c>
      <c r="L5064">
        <f>+OPERAC[[#This Row],[cantidad venta]]*213.173</f>
        <v/>
      </c>
    </row>
    <row r="5065">
      <c r="A5065" t="n">
        <v>18713</v>
      </c>
      <c r="B5065" s="16" t="n">
        <v>44662</v>
      </c>
      <c r="C5065" t="inlineStr">
        <is>
          <t>CPR</t>
        </is>
      </c>
      <c r="D5065" t="n">
        <v>42</v>
      </c>
      <c r="E5065">
        <f>IF(D1850&gt;0,VLOOKUP(OPERAC[[#This Row],[COD CART]],[1]!MatrizCortoLargoCyl[#All],3,0),"")</f>
        <v/>
      </c>
      <c r="F5065" t="inlineStr">
        <is>
          <t>HYDR</t>
        </is>
      </c>
      <c r="G5065" t="n">
        <v>15</v>
      </c>
      <c r="H5065" t="n">
        <v>-278.5551599999999</v>
      </c>
      <c r="I5065">
        <f>-H1850/G1850</f>
        <v/>
      </c>
      <c r="J5065" s="16" t="n">
        <v>44693</v>
      </c>
      <c r="K5065">
        <f>+OPERAC[[#This Row],[cantidad]]</f>
        <v/>
      </c>
      <c r="L5065">
        <f>+OPERAC[[#This Row],[cantidad venta]]*11.986</f>
        <v/>
      </c>
    </row>
    <row r="5066">
      <c r="A5066" t="n">
        <v>18713</v>
      </c>
      <c r="B5066" s="16" t="n">
        <v>44669</v>
      </c>
      <c r="C5066" t="inlineStr">
        <is>
          <t>CPR</t>
        </is>
      </c>
      <c r="D5066" t="n">
        <v>32</v>
      </c>
      <c r="E5066">
        <f>IF(D4790&gt;0,VLOOKUP(OPERAC[[#This Row],[COD CART]],[1]!MatrizCortoLargoCyl[#All],3,0),"")</f>
        <v/>
      </c>
      <c r="F5066" t="inlineStr">
        <is>
          <t>HMY</t>
        </is>
      </c>
      <c r="G5066" t="n">
        <v>300</v>
      </c>
      <c r="H5066">
        <f>-4.64*OPERAC[[#This Row],[cantidad]]</f>
        <v/>
      </c>
      <c r="I5066">
        <f>-H4790/G4790</f>
        <v/>
      </c>
      <c r="J5066" s="16" t="n">
        <v>44705</v>
      </c>
      <c r="K5066">
        <f>100+200</f>
        <v/>
      </c>
      <c r="L5066">
        <f>366.855+680.714</f>
        <v/>
      </c>
    </row>
    <row r="5067">
      <c r="A5067" t="n">
        <v>18713</v>
      </c>
      <c r="B5067" s="16" t="n">
        <v>44671</v>
      </c>
      <c r="C5067" t="inlineStr">
        <is>
          <t>CPR</t>
        </is>
      </c>
      <c r="D5067" t="n">
        <v>42</v>
      </c>
      <c r="E5067">
        <f>IF(D2773&gt;0,VLOOKUP(OPERAC[[#This Row],[COD CART]],[1]!MatrizCortoLargoCyl[#All],3,0),"")</f>
        <v/>
      </c>
      <c r="F5067" t="inlineStr">
        <is>
          <t>NFLX</t>
        </is>
      </c>
      <c r="G5067" t="n">
        <v>2</v>
      </c>
      <c r="H5067" t="n">
        <v>-509.01012</v>
      </c>
      <c r="I5067">
        <f>-H2773/G2773</f>
        <v/>
      </c>
      <c r="J5067" s="16" t="n">
        <v>44693</v>
      </c>
      <c r="K5067">
        <f>+OPERAC[[#This Row],[cantidad]]</f>
        <v/>
      </c>
      <c r="L5067">
        <f>+OPERAC[[#This Row],[cantidad venta]]*169.089</f>
        <v/>
      </c>
    </row>
    <row r="5068">
      <c r="A5068" t="n">
        <v>18713</v>
      </c>
      <c r="B5068" s="16" t="n">
        <v>44697</v>
      </c>
      <c r="C5068" t="inlineStr">
        <is>
          <t>CPR</t>
        </is>
      </c>
      <c r="D5068" t="n">
        <v>32</v>
      </c>
      <c r="E5068">
        <f>IF(D3661&gt;0,VLOOKUP(OPERAC[[#This Row],[COD CART]],[1]!MatrizCortoLargoCyl[#All],3,0),"")</f>
        <v/>
      </c>
      <c r="F5068" t="inlineStr">
        <is>
          <t>PLTR/CYL/11,00/24-06-22</t>
        </is>
      </c>
      <c r="G5068" t="n">
        <v>100</v>
      </c>
      <c r="H5068" t="n">
        <v>-813.576</v>
      </c>
      <c r="I5068">
        <f>-H3661/G3661</f>
        <v/>
      </c>
    </row>
    <row r="5069">
      <c r="A5069" t="n">
        <v>18713</v>
      </c>
      <c r="B5069" s="16" t="n">
        <v>44697</v>
      </c>
      <c r="C5069" t="inlineStr">
        <is>
          <t>CPR</t>
        </is>
      </c>
      <c r="D5069" t="n">
        <v>32</v>
      </c>
      <c r="E5069">
        <f>IF(D4243&gt;0,VLOOKUP(OPERAC[[#This Row],[COD CART]],[1]!MatrizCortoLargoCyl[#All],3,0),"")</f>
        <v/>
      </c>
      <c r="F5069" t="inlineStr">
        <is>
          <t>DDD/CYL/14,00/24-06-22</t>
        </is>
      </c>
      <c r="G5069" t="n">
        <v>100</v>
      </c>
      <c r="H5069" t="n">
        <v>-1009.344</v>
      </c>
      <c r="I5069">
        <f>-H4243/G4243</f>
        <v/>
      </c>
    </row>
    <row r="5070">
      <c r="A5070" t="n">
        <v>18713</v>
      </c>
      <c r="B5070" s="16" t="n">
        <v>44697</v>
      </c>
      <c r="C5070" t="inlineStr">
        <is>
          <t>CPR</t>
        </is>
      </c>
      <c r="D5070" t="n">
        <v>32</v>
      </c>
      <c r="E5070">
        <f>IF(D4866&gt;0,VLOOKUP(OPERAC[[#This Row],[COD CART]],[1]!MatrizCortoLargoCyl[#All],3,0),"")</f>
        <v/>
      </c>
      <c r="F5070" t="inlineStr">
        <is>
          <t>TLRY/CYL/6,50/24-06-22</t>
        </is>
      </c>
      <c r="G5070" t="n">
        <v>300</v>
      </c>
      <c r="H5070" t="n">
        <v>-1451.85</v>
      </c>
      <c r="I5070">
        <f>-H4866/G4866</f>
        <v/>
      </c>
    </row>
    <row r="5071">
      <c r="A5071" t="n">
        <v>18713</v>
      </c>
      <c r="B5071" s="16" t="n">
        <v>44697</v>
      </c>
      <c r="C5071" t="inlineStr">
        <is>
          <t>VTA</t>
        </is>
      </c>
      <c r="D5071" t="n">
        <v>39</v>
      </c>
      <c r="E5071">
        <f>IF(D87&gt;0,VLOOKUP(OPERAC[[#This Row],[COD CART]],[1]!MatrizCortoLargoCyl[#All],3,0),"")</f>
        <v/>
      </c>
      <c r="F5071" t="inlineStr">
        <is>
          <t>TSLA/V/625,00/20-05-22</t>
        </is>
      </c>
      <c r="G5071" t="n">
        <v>-1000</v>
      </c>
      <c r="H5071" t="n">
        <v>3817.275</v>
      </c>
      <c r="I5071">
        <f>-H87/G87</f>
        <v/>
      </c>
      <c r="J5071" s="16" t="n">
        <v>44698</v>
      </c>
      <c r="K5071" t="n">
        <v>-1000</v>
      </c>
      <c r="L5071" t="n">
        <v>-1247.01</v>
      </c>
    </row>
    <row r="5072">
      <c r="A5072" t="n">
        <v>18713</v>
      </c>
      <c r="B5072" s="16" t="n">
        <v>44697</v>
      </c>
      <c r="C5072" t="inlineStr">
        <is>
          <t>VTA</t>
        </is>
      </c>
      <c r="D5072" t="n">
        <v>32</v>
      </c>
      <c r="E5072">
        <f>IF(D2932&gt;0,VLOOKUP(OPERAC[[#This Row],[COD CART]],[1]!MatrizCortoLargoCyl[#All],3,0),"")</f>
        <v/>
      </c>
      <c r="F5072" t="inlineStr">
        <is>
          <t>UUUU/CYL/8,00/15-07-22</t>
        </is>
      </c>
      <c r="G5072" t="n">
        <v>100</v>
      </c>
      <c r="H5072" t="n">
        <v>-557.085</v>
      </c>
      <c r="I5072">
        <f>-H2932/G2932</f>
        <v/>
      </c>
    </row>
    <row r="5073">
      <c r="A5073" t="n">
        <v>18713</v>
      </c>
      <c r="B5073" s="16" t="n">
        <v>44698</v>
      </c>
      <c r="C5073" t="inlineStr">
        <is>
          <t>VTA</t>
        </is>
      </c>
      <c r="D5073" t="n">
        <v>39</v>
      </c>
      <c r="E5073">
        <f>IF(D355&gt;0,VLOOKUP(OPERAC[[#This Row],[COD CART]],[1]!MatrizCortoLargoCyl[#All],3,0),"")</f>
        <v/>
      </c>
      <c r="F5073" t="inlineStr">
        <is>
          <t>TSLA/V/650,00/20-05-22</t>
        </is>
      </c>
      <c r="G5073" t="n">
        <v>-600</v>
      </c>
      <c r="H5073" t="n">
        <v>1249.29</v>
      </c>
      <c r="I5073">
        <f>-H355/G355</f>
        <v/>
      </c>
      <c r="J5073" s="16" t="n">
        <v>44701</v>
      </c>
      <c r="K5073" t="n">
        <v>-600</v>
      </c>
      <c r="L5073" t="n">
        <v>-3025.5</v>
      </c>
    </row>
    <row r="5074">
      <c r="A5074" t="n">
        <v>18713</v>
      </c>
      <c r="B5074" s="16" t="n">
        <v>44701</v>
      </c>
      <c r="C5074" t="inlineStr">
        <is>
          <t>VTA</t>
        </is>
      </c>
      <c r="D5074" t="n">
        <v>39</v>
      </c>
      <c r="E5074">
        <f>IF(D1077&gt;0,VLOOKUP(OPERAC[[#This Row],[COD CART]],[1]!MatrizCortoLargoCyl[#All],3,0),"")</f>
        <v/>
      </c>
      <c r="F5074" t="inlineStr">
        <is>
          <t>TSLA/P/230,00/20-01-23</t>
        </is>
      </c>
      <c r="G5074" t="n">
        <v>-3</v>
      </c>
      <c r="H5074" t="n">
        <v>31.08</v>
      </c>
      <c r="I5074">
        <f>-H1077/G1077</f>
        <v/>
      </c>
    </row>
    <row r="5075">
      <c r="A5075" t="n">
        <v>18713</v>
      </c>
      <c r="B5075" s="16" t="n">
        <v>44720</v>
      </c>
      <c r="C5075" t="inlineStr">
        <is>
          <t>VTA</t>
        </is>
      </c>
      <c r="D5075" t="n">
        <v>39</v>
      </c>
      <c r="E5075">
        <f>IF(D143&gt;0,VLOOKUP(OPERAC[[#This Row],[COD CART]],[1]!MatrizCortoLargoCyl[#All],3,0),"")</f>
        <v/>
      </c>
      <c r="F5075" t="inlineStr">
        <is>
          <t>TSLA/P/660,00/10-06-22</t>
        </is>
      </c>
      <c r="G5075" t="n">
        <v>-2500</v>
      </c>
      <c r="H5075" t="n">
        <v>2850.563</v>
      </c>
      <c r="I5075">
        <f>-H143/G143</f>
        <v/>
      </c>
      <c r="J5075" s="16" t="n">
        <v>44722</v>
      </c>
      <c r="K5075">
        <f>+OPERAC[[#This Row],[cantidad]]</f>
        <v/>
      </c>
      <c r="L5075" t="n">
        <v>0</v>
      </c>
    </row>
    <row r="5076">
      <c r="A5076" t="n">
        <v>18713</v>
      </c>
      <c r="B5076" s="16" t="n">
        <v>44720</v>
      </c>
      <c r="C5076" t="inlineStr">
        <is>
          <t>VTA</t>
        </is>
      </c>
      <c r="D5076" t="n">
        <v>39</v>
      </c>
      <c r="E5076">
        <f>IF(D166&gt;0,VLOOKUP(OPERAC[[#This Row],[COD CART]],[1]!MatrizCortoLargoCyl[#All],3,0),"")</f>
        <v/>
      </c>
      <c r="F5076" t="inlineStr">
        <is>
          <t>TSLA/C/790,00/10-06-22</t>
        </is>
      </c>
      <c r="G5076" t="n">
        <v>-700</v>
      </c>
      <c r="H5076" t="n">
        <v>2429.175</v>
      </c>
      <c r="I5076">
        <f>-H166/G166</f>
        <v/>
      </c>
      <c r="J5076" s="16" t="n">
        <v>44722</v>
      </c>
      <c r="K5076">
        <f>+OPERAC[[#This Row],[cantidad]]</f>
        <v/>
      </c>
      <c r="L5076" t="n">
        <v>0</v>
      </c>
    </row>
    <row r="5077">
      <c r="A5077" t="n">
        <v>18713</v>
      </c>
      <c r="B5077" s="16" t="n">
        <v>44720</v>
      </c>
      <c r="C5077" t="inlineStr">
        <is>
          <t>VTA</t>
        </is>
      </c>
      <c r="D5077" t="n">
        <v>39</v>
      </c>
      <c r="E5077">
        <f>IF(D353&gt;0,VLOOKUP(OPERAC[[#This Row],[COD CART]],[1]!MatrizCortoLargoCyl[#All],3,0),"")</f>
        <v/>
      </c>
      <c r="F5077" t="inlineStr">
        <is>
          <t>TSLA/P/640,00/10-06-22</t>
        </is>
      </c>
      <c r="G5077" t="n">
        <v>-1100</v>
      </c>
      <c r="H5077" t="n">
        <v>1254.248</v>
      </c>
      <c r="I5077">
        <f>-H353/G353</f>
        <v/>
      </c>
      <c r="J5077" s="16" t="n">
        <v>44721</v>
      </c>
      <c r="K5077" t="n">
        <v>-1100</v>
      </c>
      <c r="L5077" t="n">
        <v>-388.273</v>
      </c>
    </row>
    <row r="5078">
      <c r="A5078" t="n">
        <v>18716</v>
      </c>
      <c r="B5078" s="16" t="n">
        <v>44453</v>
      </c>
      <c r="C5078" t="inlineStr">
        <is>
          <t>VTA</t>
        </is>
      </c>
      <c r="D5078" t="n">
        <v>39</v>
      </c>
      <c r="E5078">
        <f>IF(D706&gt;0,VLOOKUP(OPERAC[[#This Row],[COD CART]],[1]!MatrizCortoLargoCyl[#All],3,0),"")</f>
        <v/>
      </c>
      <c r="F5078" t="inlineStr">
        <is>
          <t>EDIT/V/20,00/20-01-23</t>
        </is>
      </c>
      <c r="G5078" t="n">
        <v>-200</v>
      </c>
      <c r="H5078" t="n">
        <v>414.94</v>
      </c>
      <c r="I5078">
        <f>-H706/G706</f>
        <v/>
      </c>
      <c r="J5078" s="16" t="n">
        <v>44628</v>
      </c>
      <c r="K5078" t="n">
        <v>-200</v>
      </c>
      <c r="L5078" t="n">
        <v>-1512</v>
      </c>
    </row>
    <row r="5079">
      <c r="A5079" t="n">
        <v>18716</v>
      </c>
      <c r="B5079" s="16" t="n">
        <v>44461</v>
      </c>
      <c r="C5079" t="inlineStr">
        <is>
          <t>VTA</t>
        </is>
      </c>
      <c r="D5079" t="n">
        <v>40</v>
      </c>
      <c r="E5079">
        <f>IF(D2822&gt;0,VLOOKUP(OPERAC[[#This Row],[COD CART]],[1]!MatrizCortoLargoCyl[#All],3,0),"")</f>
        <v/>
      </c>
      <c r="F5079" t="inlineStr">
        <is>
          <t>EDU</t>
        </is>
      </c>
      <c r="G5079" t="n">
        <v>500</v>
      </c>
      <c r="H5079">
        <f>-1.0864*OPERAC[[#This Row],[cantidad]]+0.04*OPERAC[[#This Row],[cantidad]]</f>
        <v/>
      </c>
      <c r="I5079">
        <f>-H2822/G2822</f>
        <v/>
      </c>
      <c r="J5079" s="16" t="n">
        <v>44606</v>
      </c>
      <c r="K5079" t="n">
        <v>500</v>
      </c>
      <c r="L5079" t="n">
        <v>727.5549999999999</v>
      </c>
    </row>
    <row r="5080">
      <c r="A5080" t="n">
        <v>18716</v>
      </c>
      <c r="B5080" s="16" t="n">
        <v>44558</v>
      </c>
      <c r="C5080" t="inlineStr">
        <is>
          <t>VTA</t>
        </is>
      </c>
      <c r="D5080" t="n">
        <v>40</v>
      </c>
      <c r="E5080">
        <f>IF(D1949&gt;0,VLOOKUP(OPERAC[[#This Row],[COD CART]],[1]!MatrizCortoLargoCyl[#All],3,0),"")</f>
        <v/>
      </c>
      <c r="F5080" t="inlineStr">
        <is>
          <t>UPST</t>
        </is>
      </c>
      <c r="G5080" t="n">
        <v>2</v>
      </c>
      <c r="H5080" t="n">
        <v>-301.2004</v>
      </c>
      <c r="I5080">
        <f>-H1949/G1949</f>
        <v/>
      </c>
      <c r="J5080" s="16" t="n">
        <v>44606</v>
      </c>
      <c r="K5080">
        <f>+OPERAC[[#This Row],[cantidad]]</f>
        <v/>
      </c>
      <c r="L5080">
        <f>+OPERAC[[#This Row],[cantidad venta]]*98.994</f>
        <v/>
      </c>
    </row>
    <row r="5081">
      <c r="A5081" t="n">
        <v>18716</v>
      </c>
      <c r="B5081" s="16" t="n">
        <v>44594</v>
      </c>
      <c r="C5081" t="inlineStr">
        <is>
          <t>CPR</t>
        </is>
      </c>
      <c r="D5081" t="n">
        <v>40</v>
      </c>
      <c r="E5081">
        <f>IF(D4233&gt;0,VLOOKUP(OPERAC[[#This Row],[COD CART]],[1]!MatrizCortoLargoCyl[#All],3,0),"")</f>
        <v/>
      </c>
      <c r="F5081" t="inlineStr">
        <is>
          <t>EDU</t>
        </is>
      </c>
      <c r="G5081" t="n">
        <v>500</v>
      </c>
      <c r="H5081" t="n">
        <v>-1008</v>
      </c>
      <c r="I5081">
        <f>-H4233/G4233</f>
        <v/>
      </c>
      <c r="J5081" s="16" t="n">
        <v>44599</v>
      </c>
      <c r="K5081" t="n">
        <v>500</v>
      </c>
      <c r="L5081" t="n">
        <v>770</v>
      </c>
    </row>
    <row r="5082">
      <c r="A5082" t="n">
        <v>18716</v>
      </c>
      <c r="B5082" s="16" t="n">
        <v>44602</v>
      </c>
      <c r="C5082" t="inlineStr">
        <is>
          <t>VTA</t>
        </is>
      </c>
      <c r="D5082" t="n">
        <v>39</v>
      </c>
      <c r="E5082">
        <f>IF(D935&gt;0,VLOOKUP(OPERAC[[#This Row],[COD CART]],[1]!MatrizCortoLargoCyl[#All],3,0),"")</f>
        <v/>
      </c>
      <c r="F5082" t="inlineStr">
        <is>
          <t>TSLA/C/1005,00/11-02-22</t>
        </is>
      </c>
      <c r="G5082" t="n">
        <v>-200</v>
      </c>
      <c r="H5082">
        <f>-0.5*OPERAC[[#This Row],[cantidad]]</f>
        <v/>
      </c>
      <c r="I5082">
        <f>-H935/G935</f>
        <v/>
      </c>
      <c r="J5082" s="16" t="n">
        <v>44603</v>
      </c>
      <c r="K5082" t="n">
        <v>-200</v>
      </c>
      <c r="L5082" t="n">
        <v>0</v>
      </c>
    </row>
    <row r="5083">
      <c r="A5083" t="n">
        <v>18716</v>
      </c>
      <c r="B5083" s="16" t="n">
        <v>44602</v>
      </c>
      <c r="C5083" t="inlineStr">
        <is>
          <t>VTA</t>
        </is>
      </c>
      <c r="D5083" t="n">
        <v>39</v>
      </c>
      <c r="E5083">
        <f>IF(D936&gt;0,VLOOKUP(OPERAC[[#This Row],[COD CART]],[1]!MatrizCortoLargoCyl[#All],3,0),"")</f>
        <v/>
      </c>
      <c r="F5083" t="inlineStr">
        <is>
          <t>TSLA/V/840,00/11-02-22</t>
        </is>
      </c>
      <c r="G5083" t="n">
        <v>-200</v>
      </c>
      <c r="H5083">
        <f>-0.5*OPERAC[[#This Row],[cantidad]]</f>
        <v/>
      </c>
      <c r="I5083">
        <f>-H936/G936</f>
        <v/>
      </c>
      <c r="J5083" s="16" t="n">
        <v>44603</v>
      </c>
      <c r="K5083" t="n">
        <v>-200</v>
      </c>
      <c r="L5083" t="n">
        <v>0</v>
      </c>
    </row>
    <row r="5084">
      <c r="A5084" t="n">
        <v>18716</v>
      </c>
      <c r="B5084" s="16" t="n">
        <v>44606</v>
      </c>
      <c r="C5084" t="inlineStr">
        <is>
          <t>VTA</t>
        </is>
      </c>
      <c r="D5084" t="n">
        <v>39</v>
      </c>
      <c r="E5084">
        <f>IF(D655&gt;0,VLOOKUP(OPERAC[[#This Row],[COD CART]],[1]!MatrizCortoLargoCyl[#All],3,0),"")</f>
        <v/>
      </c>
      <c r="F5084" t="inlineStr">
        <is>
          <t>SMH/V/240,00/18-02-22</t>
        </is>
      </c>
      <c r="G5084" t="n">
        <v>-500</v>
      </c>
      <c r="H5084" t="n">
        <v>493.34</v>
      </c>
      <c r="I5084">
        <f>-H655/G655</f>
        <v/>
      </c>
      <c r="J5084" s="16" t="n">
        <v>44609</v>
      </c>
      <c r="K5084" t="n">
        <v>-500</v>
      </c>
      <c r="L5084" t="n">
        <v>-45.898</v>
      </c>
    </row>
    <row r="5085">
      <c r="A5085" t="n">
        <v>18716</v>
      </c>
      <c r="B5085" s="16" t="n">
        <v>44607</v>
      </c>
      <c r="C5085" t="inlineStr">
        <is>
          <t>VTA</t>
        </is>
      </c>
      <c r="D5085" t="n">
        <v>32</v>
      </c>
      <c r="E5085">
        <f>IF(D5221&gt;0,VLOOKUP(OPERAC[[#This Row],[COD CART]],[1]!MatrizCortoLargoCyl[#All],3,0),"")</f>
        <v/>
      </c>
      <c r="F5085" t="inlineStr">
        <is>
          <t>F/CYL/17,00/18-03-22</t>
        </is>
      </c>
      <c r="G5085" t="n">
        <v>100</v>
      </c>
      <c r="H5085" t="n">
        <v>-1658.76</v>
      </c>
      <c r="I5085">
        <f>-H5221/G5221</f>
        <v/>
      </c>
      <c r="J5085" s="16" t="n">
        <v>44638</v>
      </c>
      <c r="K5085">
        <f>+OPERAC[[#This Row],[cantidad]]</f>
        <v/>
      </c>
      <c r="L5085">
        <f>+OPERAC[[#This Row],[cantidad venta]]*16.75</f>
        <v/>
      </c>
    </row>
    <row r="5086">
      <c r="A5086" t="n">
        <v>18716</v>
      </c>
      <c r="B5086" s="16" t="n">
        <v>44641</v>
      </c>
      <c r="C5086" t="inlineStr">
        <is>
          <t>CPR</t>
        </is>
      </c>
      <c r="D5086" t="n">
        <v>42</v>
      </c>
      <c r="E5086">
        <f>IF(D1883&gt;0,VLOOKUP(OPERAC[[#This Row],[COD CART]],[1]!MatrizCortoLargoCyl[#All],3,0),"")</f>
        <v/>
      </c>
      <c r="F5086" t="inlineStr">
        <is>
          <t>JPM</t>
        </is>
      </c>
      <c r="G5086" t="n">
        <v>2</v>
      </c>
      <c r="H5086" t="n">
        <v>-280.9086800000001</v>
      </c>
      <c r="I5086">
        <f>-H1883/G1883</f>
        <v/>
      </c>
      <c r="J5086" s="16" t="n">
        <v>44645</v>
      </c>
      <c r="K5086" t="n">
        <v>2</v>
      </c>
      <c r="L5086" t="n">
        <v>257.49</v>
      </c>
    </row>
    <row r="5087">
      <c r="A5087" t="n">
        <v>18716</v>
      </c>
      <c r="B5087" s="16" t="n">
        <v>44641</v>
      </c>
      <c r="C5087" t="inlineStr">
        <is>
          <t>VTA</t>
        </is>
      </c>
      <c r="D5087" t="n">
        <v>42</v>
      </c>
      <c r="E5087">
        <f>IF(D2417&gt;0,VLOOKUP(OPERAC[[#This Row],[COD CART]],[1]!MatrizCortoLargoCyl[#All],3,0),"")</f>
        <v/>
      </c>
      <c r="F5087" t="inlineStr">
        <is>
          <t>FB</t>
        </is>
      </c>
      <c r="G5087" t="n">
        <v>2</v>
      </c>
      <c r="H5087" t="n">
        <v>-424.31276</v>
      </c>
      <c r="I5087">
        <f>-H2417/G2417</f>
        <v/>
      </c>
      <c r="J5087" s="16" t="n">
        <v>44645</v>
      </c>
      <c r="K5087" t="n">
        <v>2</v>
      </c>
      <c r="L5087" t="n">
        <v>434.746</v>
      </c>
    </row>
    <row r="5088">
      <c r="A5088" t="n">
        <v>18716</v>
      </c>
      <c r="B5088" s="16" t="n">
        <v>44641</v>
      </c>
      <c r="C5088" t="inlineStr">
        <is>
          <t>VTA</t>
        </is>
      </c>
      <c r="D5088" t="n">
        <v>42</v>
      </c>
      <c r="E5088">
        <f>IF(D2883&gt;0,VLOOKUP(OPERAC[[#This Row],[COD CART]],[1]!MatrizCortoLargoCyl[#All],3,0),"")</f>
        <v/>
      </c>
      <c r="F5088" t="inlineStr">
        <is>
          <t>SMH</t>
        </is>
      </c>
      <c r="G5088" t="n">
        <v>2</v>
      </c>
      <c r="H5088" t="n">
        <v>-537.9153000000001</v>
      </c>
      <c r="I5088">
        <f>-H2883/G2883</f>
        <v/>
      </c>
      <c r="J5088" s="16" t="n">
        <v>44645</v>
      </c>
      <c r="K5088" t="n">
        <v>2</v>
      </c>
      <c r="L5088" t="n">
        <v>540.28</v>
      </c>
    </row>
    <row r="5089">
      <c r="A5089" t="n">
        <v>18724</v>
      </c>
      <c r="B5089" s="16" t="n">
        <v>44494</v>
      </c>
      <c r="C5089" t="inlineStr">
        <is>
          <t>CPR</t>
        </is>
      </c>
      <c r="D5089" t="n">
        <v>40</v>
      </c>
      <c r="E5089">
        <f>IF(D3707&gt;0,VLOOKUP(OPERAC[[#This Row],[COD CART]],[1]!MatrizCortoLargoCyl[#All],3,0),"")</f>
        <v/>
      </c>
      <c r="F5089" t="inlineStr">
        <is>
          <t>YPF</t>
        </is>
      </c>
      <c r="G5089" t="n">
        <v>180</v>
      </c>
      <c r="H5089" t="n">
        <v>-837.4896</v>
      </c>
      <c r="I5089">
        <f>-H3707/G3707</f>
        <v/>
      </c>
      <c r="J5089" s="16" t="n">
        <v>44606</v>
      </c>
      <c r="K5089">
        <f>+OPERAC[[#This Row],[cantidad]]</f>
        <v/>
      </c>
      <c r="L5089">
        <f>+OPERAC[[#This Row],[cantidad venta]]*4.161</f>
        <v/>
      </c>
    </row>
    <row r="5090">
      <c r="A5090" t="n">
        <v>18724</v>
      </c>
      <c r="B5090" s="16" t="n">
        <v>44511</v>
      </c>
      <c r="C5090" t="inlineStr">
        <is>
          <t>VTA</t>
        </is>
      </c>
      <c r="D5090" t="n">
        <v>31</v>
      </c>
      <c r="E5090">
        <f>IF(D2912&gt;0,VLOOKUP(OPERAC[[#This Row],[COD CART]],[1]!MatrizCortoLargoCyl[#All],3,0),"")</f>
        <v/>
      </c>
      <c r="F5090" t="inlineStr">
        <is>
          <t>IPIX</t>
        </is>
      </c>
      <c r="G5090" t="n">
        <v>5000</v>
      </c>
      <c r="H5090" t="n">
        <v>-549.95</v>
      </c>
      <c r="I5090">
        <f>-H2912/G2912</f>
        <v/>
      </c>
    </row>
    <row r="5091">
      <c r="A5091" t="n">
        <v>18724</v>
      </c>
      <c r="B5091" s="16" t="n">
        <v>44523</v>
      </c>
      <c r="C5091" t="inlineStr">
        <is>
          <t>VTA</t>
        </is>
      </c>
      <c r="D5091" t="n">
        <v>40</v>
      </c>
      <c r="E5091">
        <f>IF(D2153&gt;0,VLOOKUP(OPERAC[[#This Row],[COD CART]],[1]!MatrizCortoLargoCyl[#All],3,0),"")</f>
        <v/>
      </c>
      <c r="F5091" t="inlineStr">
        <is>
          <t>EDU</t>
        </is>
      </c>
      <c r="G5091" t="n">
        <v>200</v>
      </c>
      <c r="H5091">
        <f>-355.898+0.026*OPERAC[[#This Row],[cantidad]]</f>
        <v/>
      </c>
      <c r="I5091">
        <f>-H2153/G2153</f>
        <v/>
      </c>
      <c r="J5091" s="16" t="n">
        <v>44614</v>
      </c>
      <c r="K5091">
        <f>+OPERAC[[#This Row],[cantidad]]</f>
        <v/>
      </c>
      <c r="L5091">
        <f>1.483*OPERAC[[#This Row],[cantidad venta]]</f>
        <v/>
      </c>
    </row>
    <row r="5092">
      <c r="A5092" t="n">
        <v>18724</v>
      </c>
      <c r="B5092" s="16" t="n">
        <v>44523</v>
      </c>
      <c r="C5092" t="inlineStr">
        <is>
          <t>VTA</t>
        </is>
      </c>
      <c r="D5092" t="n">
        <v>40</v>
      </c>
      <c r="E5092">
        <f>IF(D2319&gt;0,VLOOKUP(OPERAC[[#This Row],[COD CART]],[1]!MatrizCortoLargoCyl[#All],3,0),"")</f>
        <v/>
      </c>
      <c r="F5092" t="inlineStr">
        <is>
          <t>GMBL</t>
        </is>
      </c>
      <c r="G5092" t="n">
        <v>100</v>
      </c>
      <c r="H5092">
        <f>-411.931+9.067</f>
        <v/>
      </c>
      <c r="I5092">
        <f>-H2319/G2319</f>
        <v/>
      </c>
      <c r="J5092" s="16" t="n">
        <v>44629</v>
      </c>
      <c r="K5092" t="n">
        <v>100</v>
      </c>
      <c r="L5092" t="n">
        <v>75.384</v>
      </c>
    </row>
    <row r="5093">
      <c r="A5093" t="n">
        <v>18724</v>
      </c>
      <c r="B5093" s="16" t="n">
        <v>44538</v>
      </c>
      <c r="C5093" t="inlineStr">
        <is>
          <t>CPR</t>
        </is>
      </c>
      <c r="D5093" t="n">
        <v>43</v>
      </c>
      <c r="E5093">
        <f>IF(D4679&gt;0,VLOOKUP(OPERAC[[#This Row],[COD CART]],[1]!MatrizCortoLargoCyl[#All],3,0),"")</f>
        <v/>
      </c>
      <c r="F5093" t="inlineStr">
        <is>
          <t>NNDM/CYL-PUT/2,50/19-01-24</t>
        </is>
      </c>
      <c r="G5093" t="n">
        <v>1000</v>
      </c>
      <c r="H5093">
        <f>-1.306*OPERAC[[#This Row],[cantidad]]</f>
        <v/>
      </c>
      <c r="I5093">
        <f>-H4679/G4679</f>
        <v/>
      </c>
    </row>
    <row r="5094">
      <c r="A5094" t="n">
        <v>18724</v>
      </c>
      <c r="B5094" s="16" t="n">
        <v>44538</v>
      </c>
      <c r="C5094" t="inlineStr">
        <is>
          <t>VTA</t>
        </is>
      </c>
      <c r="D5094" t="n">
        <v>43</v>
      </c>
      <c r="E5094">
        <f>IF(D2239&gt;0,VLOOKUP(OPERAC[[#This Row],[COD CART]],[1]!MatrizCortoLargoCyl[#All],3,0),"")</f>
        <v/>
      </c>
      <c r="F5094" t="inlineStr">
        <is>
          <t>HEXO/CYL-PUT/1,00/20-01-23</t>
        </is>
      </c>
      <c r="G5094" t="n">
        <v>2000</v>
      </c>
      <c r="H5094">
        <f>-0.1886*OPERAC[[#This Row],[cantidad]]</f>
        <v/>
      </c>
      <c r="I5094">
        <f>-H2239/G2239</f>
        <v/>
      </c>
      <c r="J5094" s="16" t="n">
        <v>44614</v>
      </c>
      <c r="K5094" t="n">
        <v>2000</v>
      </c>
      <c r="L5094" t="n">
        <v>661.346</v>
      </c>
    </row>
    <row r="5095">
      <c r="A5095" t="n">
        <v>18724</v>
      </c>
      <c r="B5095" s="16" t="n">
        <v>44538</v>
      </c>
      <c r="C5095" t="inlineStr">
        <is>
          <t>VTA</t>
        </is>
      </c>
      <c r="D5095" t="n">
        <v>43</v>
      </c>
      <c r="E5095">
        <f>IF(D3019&gt;0,VLOOKUP(OPERAC[[#This Row],[COD CART]],[1]!MatrizCortoLargoCyl[#All],3,0),"")</f>
        <v/>
      </c>
      <c r="F5095" t="inlineStr">
        <is>
          <t>XSPA/CYL-PUT/1,50/20-01-23</t>
        </is>
      </c>
      <c r="G5095" t="n">
        <v>1000</v>
      </c>
      <c r="H5095">
        <f>-0.59863*OPERAC[[#This Row],[cantidad]]</f>
        <v/>
      </c>
      <c r="I5095">
        <f>-H3019/G3019</f>
        <v/>
      </c>
    </row>
    <row r="5096">
      <c r="A5096" t="n">
        <v>18724</v>
      </c>
      <c r="B5096" s="16" t="n">
        <v>44539</v>
      </c>
      <c r="C5096" t="inlineStr">
        <is>
          <t>VTA</t>
        </is>
      </c>
      <c r="D5096" t="n">
        <v>40</v>
      </c>
      <c r="E5096">
        <f>IF(D5551&gt;0,VLOOKUP(OPERAC[[#This Row],[COD CART]],[1]!MatrizCortoLargoCyl[#All],3,0),"")</f>
        <v/>
      </c>
      <c r="F5096" t="inlineStr">
        <is>
          <t>ROKU</t>
        </is>
      </c>
      <c r="G5096" t="n">
        <v>8</v>
      </c>
      <c r="H5096" t="n">
        <v>-2061.76288</v>
      </c>
      <c r="I5096">
        <f>-H5551/G5551</f>
        <v/>
      </c>
      <c r="J5096" s="16" t="n">
        <v>44606</v>
      </c>
      <c r="K5096">
        <f>+OPERAC[[#This Row],[cantidad]]</f>
        <v/>
      </c>
      <c r="L5096">
        <f>+OPERAC[[#This Row],[cantidad venta]]*160.574</f>
        <v/>
      </c>
    </row>
    <row r="5097">
      <c r="A5097" t="n">
        <v>18724</v>
      </c>
      <c r="B5097" s="16" t="n">
        <v>44553</v>
      </c>
      <c r="C5097" t="inlineStr">
        <is>
          <t>VTA</t>
        </is>
      </c>
      <c r="D5097" t="n">
        <v>40</v>
      </c>
      <c r="E5097">
        <f>IF(D2105&gt;0,VLOOKUP(OPERAC[[#This Row],[COD CART]],[1]!MatrizCortoLargoCyl[#All],3,0),"")</f>
        <v/>
      </c>
      <c r="F5097" t="inlineStr">
        <is>
          <t>ON</t>
        </is>
      </c>
      <c r="G5097" t="n">
        <v>5</v>
      </c>
      <c r="H5097" t="n">
        <v>-335.56804</v>
      </c>
      <c r="I5097">
        <f>-H2105/G2105</f>
        <v/>
      </c>
      <c r="J5097" s="16" t="n">
        <v>44606</v>
      </c>
      <c r="K5097">
        <f>+OPERAC[[#This Row],[cantidad]]</f>
        <v/>
      </c>
      <c r="L5097">
        <f>+OPERAC[[#This Row],[cantidad venta]]*58.449</f>
        <v/>
      </c>
    </row>
    <row r="5098">
      <c r="A5098" t="n">
        <v>18724</v>
      </c>
      <c r="B5098" s="16" t="n">
        <v>44558</v>
      </c>
      <c r="C5098" t="inlineStr">
        <is>
          <t>VTA</t>
        </is>
      </c>
      <c r="D5098" t="n">
        <v>40</v>
      </c>
      <c r="E5098">
        <f>IF(D1950&gt;0,VLOOKUP(OPERAC[[#This Row],[COD CART]],[1]!MatrizCortoLargoCyl[#All],3,0),"")</f>
        <v/>
      </c>
      <c r="F5098" t="inlineStr">
        <is>
          <t>UPST</t>
        </is>
      </c>
      <c r="G5098" t="n">
        <v>2</v>
      </c>
      <c r="H5098" t="n">
        <v>-301.2004</v>
      </c>
      <c r="I5098">
        <f>-H1950/G1950</f>
        <v/>
      </c>
      <c r="J5098" s="16" t="n">
        <v>44606</v>
      </c>
      <c r="K5098">
        <f>+OPERAC[[#This Row],[cantidad]]</f>
        <v/>
      </c>
      <c r="L5098">
        <f>+OPERAC[[#This Row],[cantidad venta]]*98.994</f>
        <v/>
      </c>
    </row>
    <row r="5099">
      <c r="A5099" t="n">
        <v>18724</v>
      </c>
      <c r="B5099" s="16" t="n">
        <v>44582</v>
      </c>
      <c r="C5099" t="inlineStr">
        <is>
          <t>VTA</t>
        </is>
      </c>
      <c r="D5099" t="n">
        <v>40</v>
      </c>
      <c r="E5099">
        <f>IF(D5495&gt;0,VLOOKUP(OPERAC[[#This Row],[COD CART]],[1]!MatrizCortoLargoCyl[#All],3,0),"")</f>
        <v/>
      </c>
      <c r="F5099" t="inlineStr">
        <is>
          <t>NFLX</t>
        </is>
      </c>
      <c r="G5099" t="n">
        <v>5</v>
      </c>
      <c r="H5099" t="n">
        <v>-1954.147</v>
      </c>
      <c r="I5099">
        <f>-H5495/G5495</f>
        <v/>
      </c>
      <c r="J5099" s="16" t="n">
        <v>44593</v>
      </c>
      <c r="K5099">
        <f>+OPERAC[[#This Row],[cantidad]]</f>
        <v/>
      </c>
      <c r="L5099">
        <f>+OPERAC[[#This Row],[cantidad venta]]*448.602</f>
        <v/>
      </c>
    </row>
    <row r="5100">
      <c r="A5100" t="n">
        <v>18724</v>
      </c>
      <c r="B5100" s="16" t="n">
        <v>44586</v>
      </c>
      <c r="C5100" t="inlineStr">
        <is>
          <t>VTA</t>
        </is>
      </c>
      <c r="D5100" t="n">
        <v>43</v>
      </c>
      <c r="E5100">
        <f>IF(D5537&gt;0,VLOOKUP(OPERAC[[#This Row],[COD CART]],[1]!MatrizCortoLargoCyl[#All],3,0),"")</f>
        <v/>
      </c>
      <c r="F5100" t="inlineStr">
        <is>
          <t>GMBL/CYL-PUT/2,50/20-01-23</t>
        </is>
      </c>
      <c r="G5100" t="n">
        <v>2000</v>
      </c>
      <c r="H5100" t="n">
        <v>-2032.0823</v>
      </c>
      <c r="I5100">
        <f>-H5537/G5537</f>
        <v/>
      </c>
    </row>
    <row r="5101">
      <c r="A5101" t="n">
        <v>18724</v>
      </c>
      <c r="B5101" s="16" t="n">
        <v>44599</v>
      </c>
      <c r="C5101" t="inlineStr">
        <is>
          <t>CPR</t>
        </is>
      </c>
      <c r="D5101" t="n">
        <v>40</v>
      </c>
      <c r="E5101">
        <f>IF(D5656&gt;0,VLOOKUP(OPERAC[[#This Row],[COD CART]],[1]!MatrizCortoLargoCyl[#All],3,0),"")</f>
        <v/>
      </c>
      <c r="F5101" t="inlineStr">
        <is>
          <t>FB</t>
        </is>
      </c>
      <c r="G5101" t="n">
        <v>10</v>
      </c>
      <c r="H5101" t="n">
        <v>-2384.6</v>
      </c>
      <c r="I5101">
        <f>-H5656/G5656</f>
        <v/>
      </c>
      <c r="J5101" s="16" t="n">
        <v>44616</v>
      </c>
      <c r="K5101">
        <f>+OPERAC[[#This Row],[cantidad]]</f>
        <v/>
      </c>
      <c r="L5101">
        <f>200.299*OPERAC[[#This Row],[cantidad venta]]</f>
        <v/>
      </c>
    </row>
    <row r="5102">
      <c r="A5102" t="n">
        <v>18724</v>
      </c>
      <c r="B5102" s="16" t="n">
        <v>44602</v>
      </c>
      <c r="C5102" t="inlineStr">
        <is>
          <t>CPR</t>
        </is>
      </c>
      <c r="D5102" t="n">
        <v>32</v>
      </c>
      <c r="E5102">
        <f>IF(D5781&gt;0,VLOOKUP(OPERAC[[#This Row],[COD CART]],[1]!MatrizCortoLargoCyl[#All],3,0),"")</f>
        <v/>
      </c>
      <c r="F5102" t="inlineStr">
        <is>
          <t>BIOX</t>
        </is>
      </c>
      <c r="G5102" t="n">
        <v>200</v>
      </c>
      <c r="H5102">
        <f>-2672+29.76</f>
        <v/>
      </c>
      <c r="I5102">
        <f>-H5781/G5781</f>
        <v/>
      </c>
      <c r="J5102" s="16" t="n">
        <v>44680</v>
      </c>
      <c r="K5102">
        <f>+OPERAC[[#This Row],[cantidad]]</f>
        <v/>
      </c>
      <c r="L5102">
        <f>13.688*OPERAC[[#This Row],[cantidad venta]]</f>
        <v/>
      </c>
    </row>
    <row r="5103">
      <c r="A5103" t="n">
        <v>18724</v>
      </c>
      <c r="B5103" s="16" t="n">
        <v>44602</v>
      </c>
      <c r="C5103" t="inlineStr">
        <is>
          <t>VTA</t>
        </is>
      </c>
      <c r="D5103" t="n">
        <v>32</v>
      </c>
      <c r="E5103">
        <f>IF(D3841&gt;0,VLOOKUP(OPERAC[[#This Row],[COD CART]],[1]!MatrizCortoLargoCyl[#All],3,0),"")</f>
        <v/>
      </c>
      <c r="F5103" t="inlineStr">
        <is>
          <t>TEVA</t>
        </is>
      </c>
      <c r="G5103" t="n">
        <v>100</v>
      </c>
      <c r="H5103">
        <f>-8.59*OPERAC[[#This Row],[cantidad]]</f>
        <v/>
      </c>
      <c r="I5103">
        <f>-H3841/G3841</f>
        <v/>
      </c>
      <c r="J5103" s="16" t="n">
        <v>44643</v>
      </c>
      <c r="K5103">
        <f>+OPERAC[[#This Row],[cantidad]]</f>
        <v/>
      </c>
      <c r="L5103">
        <f>+OPERAC[[#This Row],[cantidad venta]]*8.051</f>
        <v/>
      </c>
    </row>
    <row r="5104">
      <c r="A5104" t="n">
        <v>18724</v>
      </c>
      <c r="B5104" s="16" t="n">
        <v>44607</v>
      </c>
      <c r="C5104" t="inlineStr">
        <is>
          <t>VTA</t>
        </is>
      </c>
      <c r="D5104" t="n">
        <v>32</v>
      </c>
      <c r="E5104">
        <f>IF(D5313&gt;0,VLOOKUP(OPERAC[[#This Row],[COD CART]],[1]!MatrizCortoLargoCyl[#All],3,0),"")</f>
        <v/>
      </c>
      <c r="F5104" t="inlineStr">
        <is>
          <t>F</t>
        </is>
      </c>
      <c r="G5104" t="n">
        <v>100</v>
      </c>
      <c r="H5104" t="n">
        <v>-1719.296</v>
      </c>
      <c r="I5104">
        <f>-H5313/G5313</f>
        <v/>
      </c>
      <c r="J5104" s="16" t="n">
        <v>44649</v>
      </c>
      <c r="K5104" t="n">
        <v>100</v>
      </c>
      <c r="L5104">
        <f>17.636*OPERAC[[#This Row],[cantidad venta]]</f>
        <v/>
      </c>
    </row>
    <row r="5105">
      <c r="A5105" t="n">
        <v>18724</v>
      </c>
      <c r="B5105" s="16" t="n">
        <v>44608</v>
      </c>
      <c r="C5105" t="inlineStr">
        <is>
          <t>CPR</t>
        </is>
      </c>
      <c r="D5105" t="n">
        <v>32</v>
      </c>
      <c r="E5105">
        <f>IF(D4854&gt;0,VLOOKUP(OPERAC[[#This Row],[COD CART]],[1]!MatrizCortoLargoCyl[#All],3,0),"")</f>
        <v/>
      </c>
      <c r="F5105" t="inlineStr">
        <is>
          <t>SPWR/CYL/15,00/18-03-22</t>
        </is>
      </c>
      <c r="G5105" t="n">
        <v>100</v>
      </c>
      <c r="H5105" t="n">
        <v>-1441.812</v>
      </c>
      <c r="I5105">
        <f>-H4854/G4854</f>
        <v/>
      </c>
      <c r="J5105" s="16" t="n">
        <v>44628</v>
      </c>
      <c r="K5105">
        <f>+OPERAC[[#This Row],[cantidad]]</f>
        <v/>
      </c>
      <c r="L5105" t="n">
        <v>1504.278</v>
      </c>
    </row>
    <row r="5106">
      <c r="A5106" t="n">
        <v>18724</v>
      </c>
      <c r="B5106" s="16" t="n">
        <v>44616</v>
      </c>
      <c r="C5106" t="inlineStr">
        <is>
          <t>VTA</t>
        </is>
      </c>
      <c r="D5106" t="n">
        <v>32</v>
      </c>
      <c r="E5106">
        <f>IF(D5573&gt;0,VLOOKUP(OPERAC[[#This Row],[COD CART]],[1]!MatrizCortoLargoCyl[#All],3,0),"")</f>
        <v/>
      </c>
      <c r="F5106" t="inlineStr">
        <is>
          <t>PLTR/CYL/12,00/14-04-22</t>
        </is>
      </c>
      <c r="G5106" t="n">
        <v>200</v>
      </c>
      <c r="H5106" t="n">
        <v>-2105.453</v>
      </c>
      <c r="I5106">
        <f>-H5573/G5573</f>
        <v/>
      </c>
      <c r="J5106" s="16" t="n">
        <v>44643</v>
      </c>
      <c r="K5106" t="n">
        <v>200</v>
      </c>
      <c r="L5106" t="n">
        <v>2293.448</v>
      </c>
    </row>
    <row r="5107">
      <c r="A5107" t="n">
        <v>18724</v>
      </c>
      <c r="B5107" s="16" t="n">
        <v>44622</v>
      </c>
      <c r="C5107" t="inlineStr">
        <is>
          <t>CPR</t>
        </is>
      </c>
      <c r="D5107" t="n">
        <v>32</v>
      </c>
      <c r="E5107">
        <f>IF(D2586&gt;0,VLOOKUP(OPERAC[[#This Row],[COD CART]],[1]!MatrizCortoLargoCyl[#All],3,0),"")</f>
        <v/>
      </c>
      <c r="F5107" t="inlineStr">
        <is>
          <t>HMY/CYL/5,00/18-03-22</t>
        </is>
      </c>
      <c r="G5107" t="n">
        <v>100</v>
      </c>
      <c r="H5107" t="n">
        <v>-468.532</v>
      </c>
      <c r="I5107">
        <f>-H2586/G2586</f>
        <v/>
      </c>
      <c r="J5107" s="16" t="n">
        <v>44637</v>
      </c>
      <c r="K5107">
        <f>+OPERAC[[#This Row],[cantidad]]</f>
        <v/>
      </c>
      <c r="L5107">
        <f>4.85553*OPERAC[[#This Row],[cantidad venta]]</f>
        <v/>
      </c>
    </row>
    <row r="5108">
      <c r="A5108" t="n">
        <v>18724</v>
      </c>
      <c r="B5108" s="16" t="n">
        <v>44634</v>
      </c>
      <c r="C5108" t="inlineStr">
        <is>
          <t>VTA</t>
        </is>
      </c>
      <c r="D5108" t="n">
        <v>42</v>
      </c>
      <c r="E5108">
        <f>IF(D5227&gt;0,VLOOKUP(OPERAC[[#This Row],[COD CART]],[1]!MatrizCortoLargoCyl[#All],3,0),"")</f>
        <v/>
      </c>
      <c r="F5108" t="inlineStr">
        <is>
          <t>INO</t>
        </is>
      </c>
      <c r="G5108" t="n">
        <v>500</v>
      </c>
      <c r="H5108" t="n">
        <v>-1660.408</v>
      </c>
      <c r="I5108">
        <f>-H5227/G5227</f>
        <v/>
      </c>
      <c r="J5108" s="16" t="n">
        <v>44634</v>
      </c>
      <c r="K5108" t="n">
        <v>500</v>
      </c>
      <c r="L5108" t="n">
        <v>1494.4275</v>
      </c>
    </row>
    <row r="5109">
      <c r="A5109" t="n">
        <v>18724</v>
      </c>
      <c r="B5109" s="16" t="n">
        <v>44641</v>
      </c>
      <c r="C5109" t="inlineStr">
        <is>
          <t>CPR</t>
        </is>
      </c>
      <c r="D5109" t="n">
        <v>32</v>
      </c>
      <c r="E5109">
        <f>IF(D5676&gt;0,VLOOKUP(OPERAC[[#This Row],[COD CART]],[1]!MatrizCortoLargoCyl[#All],3,0),"")</f>
        <v/>
      </c>
      <c r="F5109" t="inlineStr">
        <is>
          <t>LAC/CYL/25,00/14-04-22</t>
        </is>
      </c>
      <c r="G5109" t="n">
        <v>100</v>
      </c>
      <c r="H5109" t="n">
        <v>-2453.918</v>
      </c>
      <c r="I5109">
        <f>-H5676/G5676</f>
        <v/>
      </c>
      <c r="J5109" s="16" t="n">
        <v>44644</v>
      </c>
      <c r="K5109">
        <f>+OPERAC[[#This Row],[cantidad]]</f>
        <v/>
      </c>
      <c r="L5109" t="n">
        <v>2485.061</v>
      </c>
    </row>
    <row r="5110">
      <c r="A5110" t="n">
        <v>18724</v>
      </c>
      <c r="B5110" s="16" t="n">
        <v>44643</v>
      </c>
      <c r="C5110" t="inlineStr">
        <is>
          <t>CPR</t>
        </is>
      </c>
      <c r="D5110" t="n">
        <v>32</v>
      </c>
      <c r="E5110">
        <f>IF(D3277&gt;0,VLOOKUP(OPERAC[[#This Row],[COD CART]],[1]!MatrizCortoLargoCyl[#All],3,0),"")</f>
        <v/>
      </c>
      <c r="F5110" t="inlineStr">
        <is>
          <t>CRESY</t>
        </is>
      </c>
      <c r="G5110" t="n">
        <v>100</v>
      </c>
      <c r="H5110" t="n">
        <v>-680.303</v>
      </c>
      <c r="I5110">
        <f>-H3277/G3277</f>
        <v/>
      </c>
      <c r="J5110" s="16" t="n">
        <v>44708</v>
      </c>
      <c r="K5110" t="n">
        <v>100</v>
      </c>
      <c r="L5110" t="n">
        <v>733.71</v>
      </c>
    </row>
    <row r="5111">
      <c r="A5111" t="n">
        <v>18724</v>
      </c>
      <c r="B5111" s="16" t="n">
        <v>44643</v>
      </c>
      <c r="C5111" t="inlineStr">
        <is>
          <t>VTA</t>
        </is>
      </c>
      <c r="D5111" t="n">
        <v>32</v>
      </c>
      <c r="E5111">
        <f>IF(D5202&gt;0,VLOOKUP(OPERAC[[#This Row],[COD CART]],[1]!MatrizCortoLargoCyl[#All],3,0),"")</f>
        <v/>
      </c>
      <c r="F5111" t="inlineStr">
        <is>
          <t>EDIT/CYL/17,00/14-04-22</t>
        </is>
      </c>
      <c r="G5111" t="n">
        <v>100</v>
      </c>
      <c r="H5111" t="n">
        <v>-1650.54</v>
      </c>
      <c r="I5111">
        <f>-H5202/G5202</f>
        <v/>
      </c>
      <c r="J5111" s="16" t="n">
        <v>44648</v>
      </c>
      <c r="K5111" t="n">
        <v>100</v>
      </c>
      <c r="L5111">
        <f>-202.298+1898.018</f>
        <v/>
      </c>
    </row>
    <row r="5112">
      <c r="A5112" t="n">
        <v>18724</v>
      </c>
      <c r="B5112" s="16" t="n">
        <v>44644</v>
      </c>
      <c r="C5112" t="inlineStr">
        <is>
          <t>CPR</t>
        </is>
      </c>
      <c r="D5112" t="n">
        <v>32</v>
      </c>
      <c r="E5112">
        <f>IF(D5930&gt;0,VLOOKUP(OPERAC[[#This Row],[COD CART]],[1]!MatrizCortoLargoCyl[#All],3,0),"")</f>
        <v/>
      </c>
      <c r="F5112" t="inlineStr">
        <is>
          <t>LAC</t>
        </is>
      </c>
      <c r="G5112" t="n">
        <v>100</v>
      </c>
      <c r="H5112">
        <f>-3262.4185+183.428</f>
        <v/>
      </c>
      <c r="I5112">
        <f>-H5930/G5930</f>
        <v/>
      </c>
    </row>
    <row r="5113">
      <c r="A5113" t="n">
        <v>18724</v>
      </c>
      <c r="B5113" s="16" t="n">
        <v>44650</v>
      </c>
      <c r="C5113" t="inlineStr">
        <is>
          <t>CPR</t>
        </is>
      </c>
      <c r="D5113" t="n">
        <v>42</v>
      </c>
      <c r="E5113">
        <f>IF(D3994&gt;0,VLOOKUP(OPERAC[[#This Row],[COD CART]],[1]!MatrizCortoLargoCyl[#All],3,0),"")</f>
        <v/>
      </c>
      <c r="F5113" t="inlineStr">
        <is>
          <t>BBAR</t>
        </is>
      </c>
      <c r="G5113" t="n">
        <v>250</v>
      </c>
      <c r="H5113" t="n">
        <v>-913.49</v>
      </c>
      <c r="I5113">
        <f>-H3994/G3994</f>
        <v/>
      </c>
      <c r="J5113" s="16" t="n">
        <v>44693</v>
      </c>
      <c r="K5113" t="n">
        <v>250</v>
      </c>
      <c r="L5113" t="n">
        <v>699.0309999999999</v>
      </c>
    </row>
    <row r="5114">
      <c r="A5114" t="n">
        <v>18724</v>
      </c>
      <c r="B5114" s="16" t="n">
        <v>44650</v>
      </c>
      <c r="C5114" t="inlineStr">
        <is>
          <t>CPR</t>
        </is>
      </c>
      <c r="D5114" t="n">
        <v>42</v>
      </c>
      <c r="E5114">
        <f>IF(D4032&gt;0,VLOOKUP(OPERAC[[#This Row],[COD CART]],[1]!MatrizCortoLargoCyl[#All],3,0),"")</f>
        <v/>
      </c>
      <c r="F5114" t="inlineStr">
        <is>
          <t>SPY</t>
        </is>
      </c>
      <c r="G5114" t="n">
        <v>2</v>
      </c>
      <c r="H5114" t="n">
        <v>-927.12872</v>
      </c>
      <c r="I5114">
        <f>-H4032/G4032</f>
        <v/>
      </c>
      <c r="J5114" s="16" t="n">
        <v>44693</v>
      </c>
      <c r="K5114" t="n">
        <v>2</v>
      </c>
      <c r="L5114" t="n">
        <v>771.1849999999999</v>
      </c>
    </row>
    <row r="5115">
      <c r="A5115" t="n">
        <v>18724</v>
      </c>
      <c r="B5115" s="16" t="n">
        <v>44650</v>
      </c>
      <c r="C5115" t="inlineStr">
        <is>
          <t>CPR</t>
        </is>
      </c>
      <c r="D5115" t="n">
        <v>42</v>
      </c>
      <c r="E5115">
        <f>IF(D4357&gt;0,VLOOKUP(OPERAC[[#This Row],[COD CART]],[1]!MatrizCortoLargoCyl[#All],3,0),"")</f>
        <v/>
      </c>
      <c r="F5115" t="inlineStr">
        <is>
          <t>BRK B</t>
        </is>
      </c>
      <c r="G5115" t="n">
        <v>3</v>
      </c>
      <c r="H5115" t="n">
        <v>-1073.63496</v>
      </c>
      <c r="I5115">
        <f>-H4357/G4357</f>
        <v/>
      </c>
      <c r="J5115" s="16" t="n">
        <v>44693</v>
      </c>
      <c r="K5115" t="n">
        <v>3</v>
      </c>
      <c r="L5115" t="n">
        <v>908.538</v>
      </c>
    </row>
    <row r="5116">
      <c r="A5116" t="n">
        <v>18724</v>
      </c>
      <c r="B5116" s="16" t="n">
        <v>44662</v>
      </c>
      <c r="C5116" t="inlineStr">
        <is>
          <t>CPR</t>
        </is>
      </c>
      <c r="D5116" t="n">
        <v>42</v>
      </c>
      <c r="E5116">
        <f>IF(D4272&gt;0,VLOOKUP(OPERAC[[#This Row],[COD CART]],[1]!MatrizCortoLargoCyl[#All],3,0),"")</f>
        <v/>
      </c>
      <c r="F5116" t="inlineStr">
        <is>
          <t>HYDR</t>
        </is>
      </c>
      <c r="G5116" t="n">
        <v>55</v>
      </c>
      <c r="H5116" t="n">
        <v>-1021.36892</v>
      </c>
      <c r="I5116">
        <f>-H4272/G4272</f>
        <v/>
      </c>
      <c r="J5116" s="16" t="n">
        <v>44693</v>
      </c>
      <c r="K5116">
        <f>+OPERAC[[#This Row],[cantidad]]</f>
        <v/>
      </c>
      <c r="L5116">
        <f>+OPERAC[[#This Row],[cantidad venta]]*11.986</f>
        <v/>
      </c>
    </row>
    <row r="5117">
      <c r="A5117" t="n">
        <v>18724</v>
      </c>
      <c r="B5117" s="16" t="n">
        <v>44677</v>
      </c>
      <c r="C5117" t="inlineStr">
        <is>
          <t>CPR</t>
        </is>
      </c>
      <c r="D5117" t="n">
        <v>32</v>
      </c>
      <c r="E5117">
        <f>IF(D3540&gt;0,VLOOKUP(OPERAC[[#This Row],[COD CART]],[1]!MatrizCortoLargoCyl[#All],3,0),"")</f>
        <v/>
      </c>
      <c r="F5117" t="inlineStr">
        <is>
          <t>HMY</t>
        </is>
      </c>
      <c r="G5117" t="n">
        <v>200</v>
      </c>
      <c r="H5117">
        <f>-3.849*OPERAC[[#This Row],[cantidad]]</f>
        <v/>
      </c>
      <c r="I5117">
        <f>-H3540/G3540</f>
        <v/>
      </c>
    </row>
    <row r="5118">
      <c r="A5118" t="n">
        <v>18724</v>
      </c>
      <c r="B5118" s="16" t="n">
        <v>44680</v>
      </c>
      <c r="C5118" t="inlineStr">
        <is>
          <t>CPR</t>
        </is>
      </c>
      <c r="D5118" t="n">
        <v>32</v>
      </c>
      <c r="E5118">
        <f>IF(D4920&gt;0,VLOOKUP(OPERAC[[#This Row],[COD CART]],[1]!MatrizCortoLargoCyl[#All],3,0),"")</f>
        <v/>
      </c>
      <c r="F5118" t="inlineStr">
        <is>
          <t>COTY/CYL/8,00/17-06-22</t>
        </is>
      </c>
      <c r="G5118" t="n">
        <v>200</v>
      </c>
      <c r="H5118">
        <f>-1512.41+13.881</f>
        <v/>
      </c>
      <c r="I5118">
        <f>-H4920/G4920</f>
        <v/>
      </c>
    </row>
    <row r="5119">
      <c r="A5119" t="n">
        <v>18724</v>
      </c>
      <c r="B5119" s="16" t="n">
        <v>44683</v>
      </c>
      <c r="C5119" t="inlineStr">
        <is>
          <t>CPR</t>
        </is>
      </c>
      <c r="D5119" t="n">
        <v>32</v>
      </c>
      <c r="E5119">
        <f>IF(D3375&gt;0,VLOOKUP(OPERAC[[#This Row],[COD CART]],[1]!MatrizCortoLargoCyl[#All],3,0),"")</f>
        <v/>
      </c>
      <c r="F5119" t="inlineStr">
        <is>
          <t>CRESY</t>
        </is>
      </c>
      <c r="G5119" t="n">
        <v>100</v>
      </c>
      <c r="H5119" t="n">
        <v>-704.698</v>
      </c>
      <c r="I5119">
        <f>-H3375/G3375</f>
        <v/>
      </c>
      <c r="J5119" s="16" t="n">
        <v>44708</v>
      </c>
      <c r="K5119" t="n">
        <v>100</v>
      </c>
      <c r="L5119" t="n">
        <v>733.71</v>
      </c>
    </row>
    <row r="5120">
      <c r="A5120" t="n">
        <v>18724</v>
      </c>
      <c r="B5120" s="16" t="n">
        <v>44687</v>
      </c>
      <c r="C5120" t="inlineStr">
        <is>
          <t>VTA</t>
        </is>
      </c>
      <c r="D5120" t="n">
        <v>43</v>
      </c>
      <c r="E5120">
        <f>IF(D5157&gt;0,VLOOKUP(OPERAC[[#This Row],[COD CART]],[1]!MatrizCortoLargoCyl[#All],3,0),"")</f>
        <v/>
      </c>
      <c r="F5120" t="inlineStr">
        <is>
          <t>SPWR/CYP/16,50-15,50/20-05-22</t>
        </is>
      </c>
      <c r="G5120" t="n">
        <v>100</v>
      </c>
      <c r="H5120" t="n">
        <v>-1607.83</v>
      </c>
      <c r="I5120">
        <f>-H5157/G5157</f>
        <v/>
      </c>
      <c r="J5120" s="16" t="n">
        <v>44701</v>
      </c>
      <c r="K5120" t="n">
        <v>100</v>
      </c>
      <c r="L5120" t="n">
        <v>1637.55</v>
      </c>
    </row>
    <row r="5121">
      <c r="A5121" t="n">
        <v>18724</v>
      </c>
      <c r="B5121" s="16" t="n">
        <v>44698</v>
      </c>
      <c r="C5121" t="inlineStr">
        <is>
          <t>CPR</t>
        </is>
      </c>
      <c r="D5121" t="n">
        <v>39</v>
      </c>
      <c r="E5121">
        <f>IF(D3462&gt;0,VLOOKUP(OPERAC[[#This Row],[COD CART]],[1]!MatrizCortoLargoCyl[#All],3,0),"")</f>
        <v/>
      </c>
      <c r="F5121" t="inlineStr">
        <is>
          <t>NTLA/C/65,00/15-07-22</t>
        </is>
      </c>
      <c r="G5121" t="n">
        <v>300</v>
      </c>
      <c r="H5121" t="n">
        <v>-756.375</v>
      </c>
      <c r="I5121">
        <f>-H3462/G3462</f>
        <v/>
      </c>
    </row>
    <row r="5122">
      <c r="A5122" t="n">
        <v>18724</v>
      </c>
      <c r="B5122" s="16" t="n">
        <v>44705</v>
      </c>
      <c r="C5122" t="inlineStr">
        <is>
          <t>CPR</t>
        </is>
      </c>
      <c r="D5122" t="n">
        <v>32</v>
      </c>
      <c r="E5122">
        <f>IF(D5700&gt;0,VLOOKUP(OPERAC[[#This Row],[COD CART]],[1]!MatrizCortoLargoCyl[#All],3,0),"")</f>
        <v/>
      </c>
      <c r="F5122" t="inlineStr">
        <is>
          <t>HIMX/CYL/8,50/03-06-22</t>
        </is>
      </c>
      <c r="G5122" t="n">
        <v>300</v>
      </c>
      <c r="H5122" t="n">
        <v>-2491.041</v>
      </c>
      <c r="I5122">
        <f>-H5700/G5700</f>
        <v/>
      </c>
      <c r="J5122" s="16" t="n">
        <v>44715</v>
      </c>
      <c r="K5122">
        <f>+OPERAC[[#This Row],[cantidad]]</f>
        <v/>
      </c>
      <c r="L5122">
        <f>+OPERAC[[#This Row],[cantidad venta]]*8.462</f>
        <v/>
      </c>
    </row>
    <row r="5123">
      <c r="A5123" t="n">
        <v>18724</v>
      </c>
      <c r="B5123" s="16" t="n">
        <v>44705</v>
      </c>
      <c r="C5123" t="inlineStr">
        <is>
          <t>CPR</t>
        </is>
      </c>
      <c r="D5123" t="n">
        <v>42</v>
      </c>
      <c r="E5123">
        <f>IF(D6037&gt;0,VLOOKUP(OPERAC[[#This Row],[COD CART]],[1]!MatrizCortoLargoCyl[#All],3,0),"")</f>
        <v/>
      </c>
      <c r="F5123" t="inlineStr">
        <is>
          <t>MELI</t>
        </is>
      </c>
      <c r="G5123" t="n">
        <v>5</v>
      </c>
      <c r="H5123" t="n">
        <v>-3524.04</v>
      </c>
      <c r="I5123">
        <f>-H6037/G6037</f>
        <v/>
      </c>
      <c r="J5123" s="16" t="n">
        <v>44706</v>
      </c>
      <c r="K5123">
        <f>+OPERAC[[#This Row],[cantidad]]</f>
        <v/>
      </c>
      <c r="L5123" t="n">
        <v>3629.367</v>
      </c>
    </row>
    <row r="5124">
      <c r="A5124" t="n">
        <v>18724</v>
      </c>
      <c r="B5124" s="16" t="n">
        <v>44705</v>
      </c>
      <c r="C5124" t="inlineStr">
        <is>
          <t>VTA</t>
        </is>
      </c>
      <c r="D5124" t="n">
        <v>32</v>
      </c>
      <c r="E5124">
        <f>IF(D3897&gt;0,VLOOKUP(OPERAC[[#This Row],[COD CART]],[1]!MatrizCortoLargoCyl[#All],3,0),"")</f>
        <v/>
      </c>
      <c r="F5124" t="inlineStr">
        <is>
          <t>AMC/CYL/9,00/03-06-22</t>
        </is>
      </c>
      <c r="G5124" t="n">
        <v>100</v>
      </c>
      <c r="H5124" t="n">
        <v>-876.657</v>
      </c>
      <c r="I5124">
        <f>-H3897/G3897</f>
        <v/>
      </c>
      <c r="J5124" s="16" t="n">
        <v>44715</v>
      </c>
      <c r="K5124">
        <f>+OPERAC[[#This Row],[cantidad]]</f>
        <v/>
      </c>
      <c r="L5124">
        <f>8.96*OPERAC[[#This Row],[cantidad venta]]</f>
        <v/>
      </c>
    </row>
    <row r="5125">
      <c r="A5125" t="n">
        <v>18724</v>
      </c>
      <c r="B5125" s="16" t="n">
        <v>44715</v>
      </c>
      <c r="C5125" t="inlineStr">
        <is>
          <t>VTA</t>
        </is>
      </c>
      <c r="D5125" t="n">
        <v>32</v>
      </c>
      <c r="E5125">
        <f>IF(D5067&gt;0,VLOOKUP(OPERAC[[#This Row],[COD CART]],[1]!MatrizCortoLargoCyl[#All],3,0),"")</f>
        <v/>
      </c>
      <c r="F5125" t="inlineStr">
        <is>
          <t>AAL/CYL/16,50/17-06-22</t>
        </is>
      </c>
      <c r="G5125" t="n">
        <v>100</v>
      </c>
      <c r="H5125" t="n">
        <v>-1580.215</v>
      </c>
      <c r="I5125">
        <f>-H5067/G5067</f>
        <v/>
      </c>
    </row>
    <row r="5126">
      <c r="A5126" t="n">
        <v>18724</v>
      </c>
      <c r="B5126" s="16" t="n">
        <v>44718</v>
      </c>
      <c r="C5126" t="inlineStr">
        <is>
          <t>CPR</t>
        </is>
      </c>
      <c r="D5126" t="n">
        <v>42</v>
      </c>
      <c r="E5126">
        <f>IF(D5946&gt;0,VLOOKUP(OPERAC[[#This Row],[COD CART]],[1]!MatrizCortoLargoCyl[#All],3,0),"")</f>
        <v/>
      </c>
      <c r="F5126" t="inlineStr">
        <is>
          <t>KWEB</t>
        </is>
      </c>
      <c r="G5126" t="n">
        <v>100</v>
      </c>
      <c r="H5126" t="n">
        <v>-3108.3388</v>
      </c>
      <c r="I5126">
        <f>-H5946/G5946</f>
        <v/>
      </c>
    </row>
    <row r="5127">
      <c r="A5127" t="n">
        <v>18724</v>
      </c>
      <c r="B5127" s="16" t="n">
        <v>44722</v>
      </c>
      <c r="C5127" t="inlineStr">
        <is>
          <t>CPR</t>
        </is>
      </c>
      <c r="D5127" t="n">
        <v>40</v>
      </c>
      <c r="E5127">
        <f>IF(D3379&gt;0,VLOOKUP(OPERAC[[#This Row],[COD CART]],[1]!MatrizCortoLargoCyl[#All],3,0),"")</f>
        <v/>
      </c>
      <c r="F5127" t="inlineStr">
        <is>
          <t>GLD</t>
        </is>
      </c>
      <c r="G5127" t="n">
        <v>4</v>
      </c>
      <c r="H5127" t="n">
        <v>-705.5034362</v>
      </c>
      <c r="I5127">
        <f>-H3379/G3379</f>
        <v/>
      </c>
    </row>
    <row r="5128">
      <c r="A5128" t="n">
        <v>18724</v>
      </c>
      <c r="B5128" s="16" t="n">
        <v>44722</v>
      </c>
      <c r="C5128" t="inlineStr">
        <is>
          <t>VTA</t>
        </is>
      </c>
      <c r="D5128" t="n">
        <v>40</v>
      </c>
      <c r="E5128">
        <f>IF(D1773&gt;0,VLOOKUP(OPERAC[[#This Row],[COD CART]],[1]!MatrizCortoLargoCyl[#All],3,0),"")</f>
        <v/>
      </c>
      <c r="F5128" t="inlineStr">
        <is>
          <t>HYDR</t>
        </is>
      </c>
      <c r="G5128" t="n">
        <v>20</v>
      </c>
      <c r="H5128" t="n">
        <v>-260.5964</v>
      </c>
      <c r="I5128">
        <f>-H1773/G1773</f>
        <v/>
      </c>
    </row>
    <row r="5129">
      <c r="A5129" t="n">
        <v>18724</v>
      </c>
      <c r="B5129" s="16" t="n">
        <v>44722</v>
      </c>
      <c r="C5129" t="inlineStr">
        <is>
          <t>VTA</t>
        </is>
      </c>
      <c r="D5129" t="n">
        <v>40</v>
      </c>
      <c r="E5129">
        <f>IF(D2131&gt;0,VLOOKUP(OPERAC[[#This Row],[COD CART]],[1]!MatrizCortoLargoCyl[#All],3,0),"")</f>
        <v/>
      </c>
      <c r="F5129" t="inlineStr">
        <is>
          <t>BIOX</t>
        </is>
      </c>
      <c r="G5129" t="n">
        <v>25</v>
      </c>
      <c r="H5129" t="n">
        <v>-342.38575</v>
      </c>
      <c r="I5129">
        <f>-H2131/G2131</f>
        <v/>
      </c>
    </row>
    <row r="5130">
      <c r="A5130" t="n">
        <v>18726</v>
      </c>
      <c r="B5130" s="16" t="n">
        <v>44572</v>
      </c>
      <c r="C5130" t="inlineStr">
        <is>
          <t>CPR</t>
        </is>
      </c>
      <c r="D5130" t="n">
        <v>40</v>
      </c>
      <c r="E5130">
        <f>IF(D2778&gt;0,VLOOKUP(OPERAC[[#This Row],[COD CART]],[1]!MatrizCortoLargoCyl[#All],3,0),"")</f>
        <v/>
      </c>
      <c r="F5130" t="inlineStr">
        <is>
          <t>GLOB</t>
        </is>
      </c>
      <c r="G5130" t="n">
        <v>2</v>
      </c>
      <c r="H5130" t="n">
        <v>-510.221</v>
      </c>
      <c r="I5130">
        <f>-H2778/G2778</f>
        <v/>
      </c>
      <c r="J5130" s="16" t="n">
        <v>44693</v>
      </c>
      <c r="K5130" t="n">
        <v>2</v>
      </c>
      <c r="L5130" t="n">
        <v>337.96</v>
      </c>
    </row>
    <row r="5131">
      <c r="A5131" t="n">
        <v>18726</v>
      </c>
      <c r="B5131" s="16" t="n">
        <v>44572</v>
      </c>
      <c r="C5131" t="inlineStr">
        <is>
          <t>CPR</t>
        </is>
      </c>
      <c r="D5131" t="n">
        <v>31</v>
      </c>
      <c r="E5131">
        <f>IF(D2779&gt;0,VLOOKUP(OPERAC[[#This Row],[COD CART]],[1]!MatrizCortoLargoCyl[#All],3,0),"")</f>
        <v/>
      </c>
      <c r="F5131" t="inlineStr">
        <is>
          <t>GLD</t>
        </is>
      </c>
      <c r="G5131" t="n">
        <v>3</v>
      </c>
      <c r="H5131" t="n">
        <v>-510.722</v>
      </c>
      <c r="I5131">
        <f>-H2779/G2779</f>
        <v/>
      </c>
      <c r="J5131" s="16" t="n">
        <v>44693</v>
      </c>
      <c r="K5131" t="n">
        <v>3</v>
      </c>
      <c r="L5131" t="n">
        <v>507.059</v>
      </c>
    </row>
    <row r="5132">
      <c r="A5132" t="n">
        <v>18726</v>
      </c>
      <c r="B5132" s="16" t="n">
        <v>44572</v>
      </c>
      <c r="C5132" t="inlineStr">
        <is>
          <t>VTA</t>
        </is>
      </c>
      <c r="D5132" t="n">
        <v>40</v>
      </c>
      <c r="E5132">
        <f>IF(D2201&gt;0,VLOOKUP(OPERAC[[#This Row],[COD CART]],[1]!MatrizCortoLargoCyl[#All],3,0),"")</f>
        <v/>
      </c>
      <c r="F5132" t="inlineStr">
        <is>
          <t>ROKU</t>
        </is>
      </c>
      <c r="G5132" t="n">
        <v>2</v>
      </c>
      <c r="H5132" t="n">
        <v>-368.779</v>
      </c>
      <c r="I5132">
        <f>-H2201/G2201</f>
        <v/>
      </c>
      <c r="J5132" s="16" t="n">
        <v>44606</v>
      </c>
      <c r="K5132">
        <f>+OPERAC[[#This Row],[cantidad]]</f>
        <v/>
      </c>
      <c r="L5132">
        <f>+OPERAC[[#This Row],[cantidad venta]]*160.574</f>
        <v/>
      </c>
    </row>
    <row r="5133">
      <c r="A5133" t="n">
        <v>18726</v>
      </c>
      <c r="B5133" s="16" t="n">
        <v>44572</v>
      </c>
      <c r="C5133" t="inlineStr">
        <is>
          <t>VTA</t>
        </is>
      </c>
      <c r="D5133" t="n">
        <v>32</v>
      </c>
      <c r="E5133">
        <f>IF(D5390&gt;0,VLOOKUP(OPERAC[[#This Row],[COD CART]],[1]!MatrizCortoLargoCyl[#All],3,0),"")</f>
        <v/>
      </c>
      <c r="F5133" t="inlineStr">
        <is>
          <t>DDD/CYL/20,00/17-06-22</t>
        </is>
      </c>
      <c r="G5133" t="n">
        <v>100</v>
      </c>
      <c r="H5133">
        <f>-1913.06+29.02+53.81+9.17+9.915</f>
        <v/>
      </c>
      <c r="I5133">
        <f>-H5390/G5390</f>
        <v/>
      </c>
    </row>
    <row r="5134">
      <c r="A5134" t="n">
        <v>18726</v>
      </c>
      <c r="B5134" s="16" t="n">
        <v>44581</v>
      </c>
      <c r="C5134" t="inlineStr">
        <is>
          <t>CPR</t>
        </is>
      </c>
      <c r="D5134" t="n">
        <v>32</v>
      </c>
      <c r="E5134">
        <f>IF(D3586&gt;0,VLOOKUP(OPERAC[[#This Row],[COD CART]],[1]!MatrizCortoLargoCyl[#All],3,0),"")</f>
        <v/>
      </c>
      <c r="F5134" t="inlineStr">
        <is>
          <t>HMY/CYL/4,00/18-02-22</t>
        </is>
      </c>
      <c r="G5134" t="n">
        <v>200</v>
      </c>
      <c r="H5134" t="n">
        <v>-774.9359920000001</v>
      </c>
      <c r="I5134">
        <f>-H3586/G3586</f>
        <v/>
      </c>
      <c r="J5134" s="16" t="n">
        <v>44610</v>
      </c>
      <c r="K5134">
        <f>+OPERAC[[#This Row],[cantidad]]</f>
        <v/>
      </c>
      <c r="L5134">
        <f>+OPERAC[[#This Row],[cantidad venta]]*3.8323</f>
        <v/>
      </c>
    </row>
    <row r="5135">
      <c r="A5135" t="n">
        <v>18726</v>
      </c>
      <c r="B5135" s="16" t="n">
        <v>44586</v>
      </c>
      <c r="C5135" t="inlineStr">
        <is>
          <t>CPR</t>
        </is>
      </c>
      <c r="D5135" t="n">
        <v>43</v>
      </c>
      <c r="E5135">
        <f>IF(D2746&gt;0,VLOOKUP(OPERAC[[#This Row],[COD CART]],[1]!MatrizCortoLargoCyl[#All],3,0),"")</f>
        <v/>
      </c>
      <c r="F5135" t="inlineStr">
        <is>
          <t>GMBL/CYL-PUT/2,50/20-01-23</t>
        </is>
      </c>
      <c r="G5135" t="n">
        <v>500</v>
      </c>
      <c r="H5135" t="n">
        <v>-508.0223000000001</v>
      </c>
      <c r="I5135">
        <f>-H2746/G2746</f>
        <v/>
      </c>
    </row>
    <row r="5136">
      <c r="A5136" t="n">
        <v>18726</v>
      </c>
      <c r="B5136" s="16" t="n">
        <v>44616</v>
      </c>
      <c r="C5136" t="inlineStr">
        <is>
          <t>CPR</t>
        </is>
      </c>
      <c r="D5136" t="n">
        <v>32</v>
      </c>
      <c r="E5136">
        <f>IF(D4327&gt;0,VLOOKUP(OPERAC[[#This Row],[COD CART]],[1]!MatrizCortoLargoCyl[#All],3,0),"")</f>
        <v/>
      </c>
      <c r="F5136" t="inlineStr">
        <is>
          <t>PLTR/CYL/12,00/14-04-22</t>
        </is>
      </c>
      <c r="G5136" t="n">
        <v>100</v>
      </c>
      <c r="H5136" t="n">
        <v>-1052.7265</v>
      </c>
      <c r="I5136">
        <f>-H4327/G4327</f>
        <v/>
      </c>
      <c r="J5136" s="16" t="n">
        <v>44643</v>
      </c>
      <c r="K5136" t="n">
        <v>100</v>
      </c>
      <c r="L5136" t="n">
        <v>1146.72</v>
      </c>
    </row>
    <row r="5137">
      <c r="A5137" t="n">
        <v>18726</v>
      </c>
      <c r="B5137" s="16" t="n">
        <v>44641</v>
      </c>
      <c r="C5137" t="inlineStr">
        <is>
          <t>CPR</t>
        </is>
      </c>
      <c r="D5137" t="n">
        <v>32</v>
      </c>
      <c r="E5137">
        <f>IF(D2621&gt;0,VLOOKUP(OPERAC[[#This Row],[COD CART]],[1]!MatrizCortoLargoCyl[#All],3,0),"")</f>
        <v/>
      </c>
      <c r="F5137" t="inlineStr">
        <is>
          <t>HMY</t>
        </is>
      </c>
      <c r="G5137" t="n">
        <v>100</v>
      </c>
      <c r="H5137" t="n">
        <v>-475.9039</v>
      </c>
      <c r="I5137">
        <f>-H2621/G2621</f>
        <v/>
      </c>
      <c r="J5137" s="16" t="n">
        <v>44669</v>
      </c>
      <c r="K5137">
        <f>+OPERAC[[#This Row],[cantidad]]</f>
        <v/>
      </c>
      <c r="L5137">
        <f>4.925*OPERAC[[#This Row],[cantidad venta]]</f>
        <v/>
      </c>
    </row>
    <row r="5138">
      <c r="A5138" t="n">
        <v>18726</v>
      </c>
      <c r="B5138" s="16" t="n">
        <v>44643</v>
      </c>
      <c r="C5138" t="inlineStr">
        <is>
          <t>VTA</t>
        </is>
      </c>
      <c r="D5138" t="n">
        <v>32</v>
      </c>
      <c r="E5138">
        <f>IF(D3816&gt;0,VLOOKUP(OPERAC[[#This Row],[COD CART]],[1]!MatrizCortoLargoCyl[#All],3,0),"")</f>
        <v/>
      </c>
      <c r="F5138" t="inlineStr">
        <is>
          <t>COTY/CYL/9,00/14-04-22</t>
        </is>
      </c>
      <c r="G5138" t="n">
        <v>100</v>
      </c>
      <c r="H5138" t="n">
        <v>-855.451</v>
      </c>
      <c r="I5138">
        <f>-H3816/G3816</f>
        <v/>
      </c>
      <c r="J5138" s="16" t="n">
        <v>44649</v>
      </c>
      <c r="K5138" t="n">
        <v>100</v>
      </c>
      <c r="L5138" t="n">
        <v>875.28</v>
      </c>
    </row>
    <row r="5139">
      <c r="A5139" t="n">
        <v>18726</v>
      </c>
      <c r="B5139" s="16" t="n">
        <v>44649</v>
      </c>
      <c r="C5139" t="inlineStr">
        <is>
          <t>VTA</t>
        </is>
      </c>
      <c r="D5139" t="n">
        <v>32</v>
      </c>
      <c r="E5139">
        <f>IF(D3227&gt;0,VLOOKUP(OPERAC[[#This Row],[COD CART]],[1]!MatrizCortoLargoCyl[#All],3,0),"")</f>
        <v/>
      </c>
      <c r="F5139" t="inlineStr">
        <is>
          <t>TLRY</t>
        </is>
      </c>
      <c r="G5139" t="n">
        <v>100</v>
      </c>
      <c r="H5139">
        <f>-672.216+9.915</f>
        <v/>
      </c>
      <c r="I5139">
        <f>-H3227/G3227</f>
        <v/>
      </c>
    </row>
    <row r="5140">
      <c r="A5140" t="n">
        <v>18726</v>
      </c>
      <c r="B5140" s="16" t="n">
        <v>44662</v>
      </c>
      <c r="C5140" t="inlineStr">
        <is>
          <t>CPR</t>
        </is>
      </c>
      <c r="D5140" t="n">
        <v>42</v>
      </c>
      <c r="E5140">
        <f>IF(D1851&gt;0,VLOOKUP(OPERAC[[#This Row],[COD CART]],[1]!MatrizCortoLargoCyl[#All],3,0),"")</f>
        <v/>
      </c>
      <c r="F5140" t="inlineStr">
        <is>
          <t>HYDR</t>
        </is>
      </c>
      <c r="G5140" t="n">
        <v>15</v>
      </c>
      <c r="H5140" t="n">
        <v>-278.5551599999999</v>
      </c>
      <c r="I5140">
        <f>-H1851/G1851</f>
        <v/>
      </c>
      <c r="J5140" s="16" t="n">
        <v>44693</v>
      </c>
      <c r="K5140">
        <f>+OPERAC[[#This Row],[cantidad]]</f>
        <v/>
      </c>
      <c r="L5140">
        <f>+OPERAC[[#This Row],[cantidad venta]]*11.986</f>
        <v/>
      </c>
    </row>
    <row r="5141">
      <c r="A5141" t="n">
        <v>18726</v>
      </c>
      <c r="B5141" s="16" t="n">
        <v>44669</v>
      </c>
      <c r="C5141" t="inlineStr">
        <is>
          <t>VTA</t>
        </is>
      </c>
      <c r="D5141" t="n">
        <v>32</v>
      </c>
      <c r="E5141">
        <f>IF(D2538&gt;0,VLOOKUP(OPERAC[[#This Row],[COD CART]],[1]!MatrizCortoLargoCyl[#All],3,0),"")</f>
        <v/>
      </c>
      <c r="F5141" t="inlineStr">
        <is>
          <t>HMY</t>
        </is>
      </c>
      <c r="G5141" t="n">
        <v>100</v>
      </c>
      <c r="H5141">
        <f>-4.64*OPERAC[[#This Row],[cantidad]]</f>
        <v/>
      </c>
      <c r="I5141">
        <f>-H2538/G2538</f>
        <v/>
      </c>
    </row>
    <row r="5142">
      <c r="A5142" t="n">
        <v>18726</v>
      </c>
      <c r="B5142" s="16" t="n">
        <v>44705</v>
      </c>
      <c r="C5142" t="inlineStr">
        <is>
          <t>VTA</t>
        </is>
      </c>
      <c r="D5142" t="n">
        <v>32</v>
      </c>
      <c r="E5142">
        <f>IF(D3898&gt;0,VLOOKUP(OPERAC[[#This Row],[COD CART]],[1]!MatrizCortoLargoCyl[#All],3,0),"")</f>
        <v/>
      </c>
      <c r="F5142" t="inlineStr">
        <is>
          <t>AMC/CYL/9,00/03-06-22</t>
        </is>
      </c>
      <c r="G5142" t="n">
        <v>100</v>
      </c>
      <c r="H5142" t="n">
        <v>-876.657</v>
      </c>
      <c r="I5142">
        <f>-H3898/G3898</f>
        <v/>
      </c>
      <c r="J5142" s="16" t="n">
        <v>44715</v>
      </c>
      <c r="K5142">
        <f>+OPERAC[[#This Row],[cantidad]]</f>
        <v/>
      </c>
      <c r="L5142">
        <f>8.96*OPERAC[[#This Row],[cantidad venta]]</f>
        <v/>
      </c>
    </row>
    <row r="5143">
      <c r="A5143" t="n">
        <v>18726</v>
      </c>
      <c r="B5143" s="16" t="n">
        <v>44718</v>
      </c>
      <c r="C5143" t="inlineStr">
        <is>
          <t>VTA</t>
        </is>
      </c>
      <c r="D5143" t="n">
        <v>42</v>
      </c>
      <c r="E5143">
        <f>IF(D5035&gt;0,VLOOKUP(OPERAC[[#This Row],[COD CART]],[1]!MatrizCortoLargoCyl[#All],3,0),"")</f>
        <v/>
      </c>
      <c r="F5143" t="inlineStr">
        <is>
          <t>KWEB</t>
        </is>
      </c>
      <c r="G5143" t="n">
        <v>50</v>
      </c>
      <c r="H5143" t="n">
        <v>-1554.1694</v>
      </c>
      <c r="I5143">
        <f>-H5035/G5035</f>
        <v/>
      </c>
    </row>
    <row r="5144">
      <c r="A5144" t="n">
        <v>19867</v>
      </c>
      <c r="B5144" s="16" t="n">
        <v>44340</v>
      </c>
      <c r="C5144" t="inlineStr">
        <is>
          <t>VTA</t>
        </is>
      </c>
      <c r="D5144" t="n">
        <v>39</v>
      </c>
      <c r="E5144">
        <f>IF(D529&gt;0,VLOOKUP(OPERAC[[#This Row],[COD CART]],[1]!MatrizCortoLargoCyl[#All],3,0),"")</f>
        <v/>
      </c>
      <c r="F5144" t="inlineStr">
        <is>
          <t>SOLO/V/3,50/21-01-22</t>
        </is>
      </c>
      <c r="G5144" t="n">
        <v>-800</v>
      </c>
      <c r="H5144" t="n">
        <v>846.6839999999999</v>
      </c>
      <c r="I5144">
        <f>-H529/G529</f>
        <v/>
      </c>
      <c r="J5144" s="16" t="n">
        <v>44579</v>
      </c>
      <c r="K5144">
        <f>+OPERAC[[#This Row],[cantidad]]</f>
        <v/>
      </c>
      <c r="L5144">
        <f>-OPERAC[[#This Row],[importe]]</f>
        <v/>
      </c>
    </row>
    <row r="5145">
      <c r="A5145" t="n">
        <v>19867</v>
      </c>
      <c r="B5145" s="16" t="n">
        <v>44341</v>
      </c>
      <c r="C5145" t="inlineStr">
        <is>
          <t>VTA</t>
        </is>
      </c>
      <c r="D5145" t="n">
        <v>39</v>
      </c>
      <c r="E5145">
        <f>IF(D1214&gt;0,VLOOKUP(OPERAC[[#This Row],[COD CART]],[1]!MatrizCortoLargoCyl[#All],3,0),"")</f>
        <v/>
      </c>
      <c r="F5145" t="inlineStr">
        <is>
          <t>ACB/V/5,00/20-01-23</t>
        </is>
      </c>
      <c r="G5145" t="n">
        <v>-5</v>
      </c>
      <c r="H5145" t="n">
        <v>7.5</v>
      </c>
      <c r="I5145">
        <f>-H1214/G1214</f>
        <v/>
      </c>
      <c r="J5145" s="16" t="n">
        <v>44629</v>
      </c>
      <c r="K5145" t="n">
        <v>-5</v>
      </c>
      <c r="L5145">
        <f>+OPERAC[[#This Row],[cantidad venta]]*2.345</f>
        <v/>
      </c>
    </row>
    <row r="5146">
      <c r="A5146" t="n">
        <v>19867</v>
      </c>
      <c r="B5146" s="16" t="n">
        <v>44424</v>
      </c>
      <c r="C5146" t="inlineStr">
        <is>
          <t>VTA</t>
        </is>
      </c>
      <c r="D5146" t="n">
        <v>39</v>
      </c>
      <c r="E5146">
        <f>IF(D1051&gt;0,VLOOKUP(OPERAC[[#This Row],[COD CART]],[1]!MatrizCortoLargoCyl[#All],3,0),"")</f>
        <v/>
      </c>
      <c r="F5146" t="inlineStr">
        <is>
          <t>ACB/V/5,00/20-01-23</t>
        </is>
      </c>
      <c r="G5146" t="n">
        <v>-30</v>
      </c>
      <c r="H5146" t="n">
        <v>43.13</v>
      </c>
      <c r="I5146">
        <f>-H1051/G1051</f>
        <v/>
      </c>
      <c r="J5146" s="16" t="n">
        <v>44629</v>
      </c>
      <c r="K5146" t="n">
        <v>-30</v>
      </c>
      <c r="L5146">
        <f>+OPERAC[[#This Row],[cantidad venta]]*2.345</f>
        <v/>
      </c>
    </row>
    <row r="5147">
      <c r="A5147" t="n">
        <v>19867</v>
      </c>
      <c r="B5147" s="16" t="n">
        <v>44432</v>
      </c>
      <c r="C5147" t="inlineStr">
        <is>
          <t>VTA</t>
        </is>
      </c>
      <c r="D5147" t="n">
        <v>39</v>
      </c>
      <c r="E5147">
        <f>IF(D1093&gt;0,VLOOKUP(OPERAC[[#This Row],[COD CART]],[1]!MatrizCortoLargoCyl[#All],3,0),"")</f>
        <v/>
      </c>
      <c r="F5147" t="inlineStr">
        <is>
          <t>TLRY1/V/10,00/20-01-23</t>
        </is>
      </c>
      <c r="G5147" t="n">
        <v>-10</v>
      </c>
      <c r="H5147" t="n">
        <v>26.64</v>
      </c>
      <c r="I5147">
        <f>-H1093/G1093</f>
        <v/>
      </c>
      <c r="J5147" s="16" t="n">
        <v>44629</v>
      </c>
      <c r="K5147" t="n">
        <v>-10</v>
      </c>
      <c r="L5147" t="n">
        <v>-62.06</v>
      </c>
    </row>
    <row r="5148">
      <c r="A5148" t="n">
        <v>19867</v>
      </c>
      <c r="B5148" s="16" t="n">
        <v>44438</v>
      </c>
      <c r="C5148" t="inlineStr">
        <is>
          <t>VTA</t>
        </is>
      </c>
      <c r="D5148" t="n">
        <v>39</v>
      </c>
      <c r="E5148">
        <f>IF(D1071&gt;0,VLOOKUP(OPERAC[[#This Row],[COD CART]],[1]!MatrizCortoLargoCyl[#All],3,0),"")</f>
        <v/>
      </c>
      <c r="F5148" t="inlineStr">
        <is>
          <t>EDU/V/25,00/20-01-23</t>
        </is>
      </c>
      <c r="G5148" t="n">
        <v>-30</v>
      </c>
      <c r="H5148" t="n">
        <v>35.252</v>
      </c>
      <c r="I5148">
        <f>-H1071/G1071</f>
        <v/>
      </c>
      <c r="J5148" s="16" t="n">
        <v>44629</v>
      </c>
      <c r="K5148" t="n">
        <v>-30</v>
      </c>
      <c r="L5148" t="n">
        <v>-42.5427</v>
      </c>
    </row>
    <row r="5149">
      <c r="A5149" t="n">
        <v>19867</v>
      </c>
      <c r="B5149" s="16" t="n">
        <v>44459</v>
      </c>
      <c r="C5149" t="inlineStr">
        <is>
          <t>VTA</t>
        </is>
      </c>
      <c r="D5149" t="n">
        <v>40</v>
      </c>
      <c r="E5149">
        <f>IF(D3175&gt;0,VLOOKUP(OPERAC[[#This Row],[COD CART]],[1]!MatrizCortoLargoCyl[#All],3,0),"")</f>
        <v/>
      </c>
      <c r="F5149" t="inlineStr">
        <is>
          <t>EDU</t>
        </is>
      </c>
      <c r="G5149" t="n">
        <v>700</v>
      </c>
      <c r="H5149">
        <f>-672+0.04*OPERAC[[#This Row],[cantidad]]</f>
        <v/>
      </c>
      <c r="I5149">
        <f>-H3175/G3175</f>
        <v/>
      </c>
      <c r="J5149" s="16" t="n">
        <v>44622</v>
      </c>
      <c r="K5149" t="n">
        <v>700</v>
      </c>
      <c r="L5149">
        <f>+OPERAC[[#This Row],[cantidad venta]]*1.378</f>
        <v/>
      </c>
    </row>
    <row r="5150">
      <c r="A5150" t="n">
        <v>19867</v>
      </c>
      <c r="B5150" s="16" t="n">
        <v>44461</v>
      </c>
      <c r="C5150" t="inlineStr">
        <is>
          <t>VTA</t>
        </is>
      </c>
      <c r="D5150" t="n">
        <v>40</v>
      </c>
      <c r="E5150">
        <f>IF(D2022&gt;0,VLOOKUP(OPERAC[[#This Row],[COD CART]],[1]!MatrizCortoLargoCyl[#All],3,0),"")</f>
        <v/>
      </c>
      <c r="F5150" t="inlineStr">
        <is>
          <t>EDU</t>
        </is>
      </c>
      <c r="G5150" t="n">
        <v>300</v>
      </c>
      <c r="H5150">
        <f>-1.0864*OPERAC[[#This Row],[cantidad]]+0.04*OPERAC[[#This Row],[cantidad]]</f>
        <v/>
      </c>
      <c r="I5150">
        <f>-H2022/G2022</f>
        <v/>
      </c>
      <c r="J5150" s="16" t="n">
        <v>44622</v>
      </c>
      <c r="K5150" t="n">
        <v>300</v>
      </c>
      <c r="L5150">
        <f>+OPERAC[[#This Row],[cantidad venta]]*1.378</f>
        <v/>
      </c>
    </row>
    <row r="5151">
      <c r="A5151" t="n">
        <v>19867</v>
      </c>
      <c r="B5151" s="16" t="n">
        <v>44474</v>
      </c>
      <c r="C5151" t="inlineStr">
        <is>
          <t>VTA</t>
        </is>
      </c>
      <c r="D5151" t="n">
        <v>39</v>
      </c>
      <c r="E5151">
        <f>IF(D859&gt;0,VLOOKUP(OPERAC[[#This Row],[COD CART]],[1]!MatrizCortoLargoCyl[#All],3,0),"")</f>
        <v/>
      </c>
      <c r="F5151" t="inlineStr">
        <is>
          <t>NKE/V/115,00/21-01-22</t>
        </is>
      </c>
      <c r="G5151" t="n">
        <v>-200</v>
      </c>
      <c r="H5151" t="n">
        <v>199.914</v>
      </c>
      <c r="I5151">
        <f>-H859/G859</f>
        <v/>
      </c>
      <c r="J5151" s="16" t="n">
        <v>44582</v>
      </c>
      <c r="K5151">
        <f>+OPERAC[[#This Row],[cantidad]]</f>
        <v/>
      </c>
      <c r="L5151" t="n">
        <v>0</v>
      </c>
    </row>
    <row r="5152">
      <c r="A5152" t="n">
        <v>19867</v>
      </c>
      <c r="B5152" s="16" t="n">
        <v>44489</v>
      </c>
      <c r="C5152" t="inlineStr">
        <is>
          <t>VTA</t>
        </is>
      </c>
      <c r="D5152" t="n">
        <v>43</v>
      </c>
      <c r="E5152">
        <f>IF(D2985&gt;0,VLOOKUP(OPERAC[[#This Row],[COD CART]],[1]!MatrizCortoLargoCyl[#All],3,0),"")</f>
        <v/>
      </c>
      <c r="F5152" t="inlineStr">
        <is>
          <t>SESN/CYL-PUT/1,00/19-01-24</t>
        </is>
      </c>
      <c r="G5152" t="n">
        <v>3000</v>
      </c>
      <c r="H5152">
        <f>-0.1885*OPERAC[[#This Row],[cantidad]]</f>
        <v/>
      </c>
      <c r="I5152">
        <f>-H2985/G2985</f>
        <v/>
      </c>
      <c r="J5152" s="16" t="n">
        <v>44614</v>
      </c>
      <c r="K5152" t="n">
        <v>3000</v>
      </c>
      <c r="L5152" t="n">
        <v>798.204</v>
      </c>
    </row>
    <row r="5153">
      <c r="A5153" t="n">
        <v>19867</v>
      </c>
      <c r="B5153" s="16" t="n">
        <v>44511</v>
      </c>
      <c r="C5153" t="inlineStr">
        <is>
          <t>VTA</t>
        </is>
      </c>
      <c r="D5153" t="n">
        <v>31</v>
      </c>
      <c r="E5153">
        <f>IF(D5603&gt;0,VLOOKUP(OPERAC[[#This Row],[COD CART]],[1]!MatrizCortoLargoCyl[#All],3,0),"")</f>
        <v/>
      </c>
      <c r="F5153" t="inlineStr">
        <is>
          <t>IPIX</t>
        </is>
      </c>
      <c r="G5153" t="n">
        <v>20000</v>
      </c>
      <c r="H5153" t="n">
        <v>-2199.8</v>
      </c>
      <c r="I5153">
        <f>-H5603/G5603</f>
        <v/>
      </c>
    </row>
    <row r="5154">
      <c r="A5154" t="n">
        <v>19867</v>
      </c>
      <c r="B5154" s="16" t="n">
        <v>44532</v>
      </c>
      <c r="C5154" t="inlineStr">
        <is>
          <t>VTA</t>
        </is>
      </c>
      <c r="D5154" t="n">
        <v>32</v>
      </c>
      <c r="E5154">
        <f>IF(D3939&gt;0,VLOOKUP(OPERAC[[#This Row],[COD CART]],[1]!MatrizCortoLargoCyl[#All],3,0),"")</f>
        <v/>
      </c>
      <c r="F5154" t="inlineStr">
        <is>
          <t>COTY/CYL/10,00/18-02-22</t>
        </is>
      </c>
      <c r="G5154" t="n">
        <v>100</v>
      </c>
      <c r="H5154">
        <f>-901.599+20.838</f>
        <v/>
      </c>
      <c r="I5154">
        <f>-H3939/G3939</f>
        <v/>
      </c>
      <c r="J5154" s="16" t="n">
        <v>44608</v>
      </c>
      <c r="K5154">
        <f>+OPERAC[[#This Row],[cantidad]]</f>
        <v/>
      </c>
      <c r="L5154" t="n">
        <v>941.701</v>
      </c>
    </row>
    <row r="5155">
      <c r="A5155" t="n">
        <v>19867</v>
      </c>
      <c r="B5155" s="16" t="n">
        <v>44533</v>
      </c>
      <c r="C5155" t="inlineStr">
        <is>
          <t>CPR</t>
        </is>
      </c>
      <c r="D5155" t="n">
        <v>32</v>
      </c>
      <c r="E5155">
        <f>IF(D5794&gt;0,VLOOKUP(OPERAC[[#This Row],[COD CART]],[1]!MatrizCortoLargoCyl[#All],3,0),"")</f>
        <v/>
      </c>
      <c r="F5155" t="inlineStr">
        <is>
          <t>GMBL/CYL/5,00/21-01-22</t>
        </is>
      </c>
      <c r="G5155" t="n">
        <v>700</v>
      </c>
      <c r="H5155">
        <f>-3.83*OPERAC[[#This Row],[cantidad]]</f>
        <v/>
      </c>
      <c r="I5155">
        <f>-H5794/G5794</f>
        <v/>
      </c>
      <c r="J5155" s="16" t="n">
        <v>44581</v>
      </c>
      <c r="K5155" t="n">
        <v>700</v>
      </c>
      <c r="L5155" t="n">
        <v>2053.211</v>
      </c>
    </row>
    <row r="5156">
      <c r="A5156" t="n">
        <v>19867</v>
      </c>
      <c r="B5156" s="16" t="n">
        <v>44533</v>
      </c>
      <c r="C5156" t="inlineStr">
        <is>
          <t>CPR</t>
        </is>
      </c>
      <c r="D5156" t="n">
        <v>32</v>
      </c>
      <c r="E5156">
        <f>IF(D5841&gt;0,VLOOKUP(OPERAC[[#This Row],[COD CART]],[1]!MatrizCortoLargoCyl[#All],3,0),"")</f>
        <v/>
      </c>
      <c r="F5156" t="inlineStr">
        <is>
          <t>INO/CYL/7,00/21-01-22</t>
        </is>
      </c>
      <c r="G5156" t="n">
        <v>500</v>
      </c>
      <c r="H5156">
        <f>-5.7*OPERAC[[#This Row],[cantidad]]</f>
        <v/>
      </c>
      <c r="I5156">
        <f>-H5841/G5841</f>
        <v/>
      </c>
      <c r="J5156" s="16" t="n">
        <v>44581</v>
      </c>
      <c r="K5156" t="n">
        <v>500</v>
      </c>
      <c r="L5156" t="n">
        <v>2131.712</v>
      </c>
    </row>
    <row r="5157">
      <c r="A5157" t="n">
        <v>19867</v>
      </c>
      <c r="B5157" s="16" t="n">
        <v>44533</v>
      </c>
      <c r="C5157" t="inlineStr">
        <is>
          <t>CPR</t>
        </is>
      </c>
      <c r="D5157" t="n">
        <v>40</v>
      </c>
      <c r="E5157">
        <f>IF(D6192&gt;0,VLOOKUP(OPERAC[[#This Row],[COD CART]],[1]!MatrizCortoLargoCyl[#All],3,0),"")</f>
        <v/>
      </c>
      <c r="F5157" t="inlineStr">
        <is>
          <t>EDIT</t>
        </is>
      </c>
      <c r="G5157" t="n">
        <v>200</v>
      </c>
      <c r="H5157">
        <f>-26.42*OPERAC[[#This Row],[cantidad]]+9.904</f>
        <v/>
      </c>
      <c r="I5157">
        <f>-H6192/G6192</f>
        <v/>
      </c>
      <c r="J5157" s="16" t="n">
        <v>44614</v>
      </c>
      <c r="K5157" t="n">
        <v>200</v>
      </c>
      <c r="L5157" t="n">
        <v>2974.97</v>
      </c>
    </row>
    <row r="5158">
      <c r="A5158" t="n">
        <v>19867</v>
      </c>
      <c r="B5158" s="16" t="n">
        <v>44538</v>
      </c>
      <c r="C5158" t="inlineStr">
        <is>
          <t>CPR</t>
        </is>
      </c>
      <c r="D5158" t="n">
        <v>43</v>
      </c>
      <c r="E5158">
        <f>IF(D4099&gt;0,VLOOKUP(OPERAC[[#This Row],[COD CART]],[1]!MatrizCortoLargoCyl[#All],3,0),"")</f>
        <v/>
      </c>
      <c r="F5158" t="inlineStr">
        <is>
          <t>HEXO/CYL-PUT/1,00/20-01-23</t>
        </is>
      </c>
      <c r="G5158" t="n">
        <v>5000</v>
      </c>
      <c r="H5158">
        <f>-0.1886*OPERAC[[#This Row],[cantidad]]</f>
        <v/>
      </c>
      <c r="I5158">
        <f>-H4099/G4099</f>
        <v/>
      </c>
      <c r="J5158" s="16" t="n">
        <v>44614</v>
      </c>
      <c r="K5158" t="n">
        <v>5000</v>
      </c>
      <c r="L5158" t="n">
        <v>1653.364</v>
      </c>
    </row>
    <row r="5159">
      <c r="A5159" t="n">
        <v>19867</v>
      </c>
      <c r="B5159" s="16" t="n">
        <v>44538</v>
      </c>
      <c r="C5159" t="inlineStr">
        <is>
          <t>CPR</t>
        </is>
      </c>
      <c r="D5159" t="n">
        <v>43</v>
      </c>
      <c r="E5159">
        <f>IF(D4680&gt;0,VLOOKUP(OPERAC[[#This Row],[COD CART]],[1]!MatrizCortoLargoCyl[#All],3,0),"")</f>
        <v/>
      </c>
      <c r="F5159" t="inlineStr">
        <is>
          <t>NNDM/CYL-PUT/2,50/19-01-24</t>
        </is>
      </c>
      <c r="G5159" t="n">
        <v>1000</v>
      </c>
      <c r="H5159">
        <f>-1.306*OPERAC[[#This Row],[cantidad]]</f>
        <v/>
      </c>
      <c r="I5159">
        <f>-H4680/G4680</f>
        <v/>
      </c>
    </row>
    <row r="5160">
      <c r="A5160" t="n">
        <v>19867</v>
      </c>
      <c r="B5160" s="16" t="n">
        <v>44538</v>
      </c>
      <c r="C5160" t="inlineStr">
        <is>
          <t>VTA</t>
        </is>
      </c>
      <c r="D5160" t="n">
        <v>43</v>
      </c>
      <c r="E5160">
        <f>IF(D3020&gt;0,VLOOKUP(OPERAC[[#This Row],[COD CART]],[1]!MatrizCortoLargoCyl[#All],3,0),"")</f>
        <v/>
      </c>
      <c r="F5160" t="inlineStr">
        <is>
          <t>XSPA/CYL-PUT/1,50/20-01-23</t>
        </is>
      </c>
      <c r="G5160" t="n">
        <v>1000</v>
      </c>
      <c r="H5160">
        <f>-0.59863*OPERAC[[#This Row],[cantidad]]</f>
        <v/>
      </c>
      <c r="I5160">
        <f>-H3020/G3020</f>
        <v/>
      </c>
    </row>
    <row r="5161">
      <c r="A5161" t="n">
        <v>19867</v>
      </c>
      <c r="B5161" s="16" t="n">
        <v>44539</v>
      </c>
      <c r="C5161" t="inlineStr">
        <is>
          <t>CPR</t>
        </is>
      </c>
      <c r="D5161" t="n">
        <v>40</v>
      </c>
      <c r="E5161">
        <f>IF(D4657&gt;0,VLOOKUP(OPERAC[[#This Row],[COD CART]],[1]!MatrizCortoLargoCyl[#All],3,0),"")</f>
        <v/>
      </c>
      <c r="F5161" t="inlineStr">
        <is>
          <t>ROKU</t>
        </is>
      </c>
      <c r="G5161" t="n">
        <v>5</v>
      </c>
      <c r="H5161" t="n">
        <v>-1288.6018</v>
      </c>
      <c r="I5161">
        <f>-H4657/G4657</f>
        <v/>
      </c>
      <c r="J5161" s="16" t="n">
        <v>44606</v>
      </c>
      <c r="K5161">
        <f>+OPERAC[[#This Row],[cantidad]]</f>
        <v/>
      </c>
      <c r="L5161">
        <f>+OPERAC[[#This Row],[cantidad venta]]*160.574</f>
        <v/>
      </c>
    </row>
    <row r="5162">
      <c r="A5162" t="n">
        <v>19867</v>
      </c>
      <c r="B5162" s="16" t="n">
        <v>44547</v>
      </c>
      <c r="C5162" t="inlineStr">
        <is>
          <t>VTA</t>
        </is>
      </c>
      <c r="D5162" t="n">
        <v>32</v>
      </c>
      <c r="E5162">
        <f>IF(D3799&gt;0,VLOOKUP(OPERAC[[#This Row],[COD CART]],[1]!MatrizCortoLargoCyl[#All],3,0),"")</f>
        <v/>
      </c>
      <c r="F5162" t="inlineStr">
        <is>
          <t>ARLO/CYL/9,00/18-02-22</t>
        </is>
      </c>
      <c r="G5162" t="n">
        <v>100</v>
      </c>
      <c r="H5162">
        <f>-866.74+14.88</f>
        <v/>
      </c>
      <c r="I5162">
        <f>-H3799/G3799</f>
        <v/>
      </c>
      <c r="J5162" s="16" t="n">
        <v>44607</v>
      </c>
      <c r="K5162" t="n">
        <v>100</v>
      </c>
      <c r="L5162" t="n">
        <v>875.33</v>
      </c>
    </row>
    <row r="5163">
      <c r="A5163" t="n">
        <v>19867</v>
      </c>
      <c r="B5163" s="16" t="n">
        <v>44553</v>
      </c>
      <c r="C5163" t="inlineStr">
        <is>
          <t>CPR</t>
        </is>
      </c>
      <c r="D5163" t="n">
        <v>40</v>
      </c>
      <c r="E5163">
        <f>IF(D2593&gt;0,VLOOKUP(OPERAC[[#This Row],[COD CART]],[1]!MatrizCortoLargoCyl[#All],3,0),"")</f>
        <v/>
      </c>
      <c r="F5163" t="inlineStr">
        <is>
          <t>ON</t>
        </is>
      </c>
      <c r="G5163" t="n">
        <v>7</v>
      </c>
      <c r="H5163" t="n">
        <v>-469.7952559999999</v>
      </c>
      <c r="I5163">
        <f>-H2593/G2593</f>
        <v/>
      </c>
      <c r="J5163" s="16" t="n">
        <v>44606</v>
      </c>
      <c r="K5163">
        <f>+OPERAC[[#This Row],[cantidad]]</f>
        <v/>
      </c>
      <c r="L5163">
        <f>+OPERAC[[#This Row],[cantidad venta]]*58.449</f>
        <v/>
      </c>
    </row>
    <row r="5164">
      <c r="A5164" t="n">
        <v>19867</v>
      </c>
      <c r="B5164" s="16" t="n">
        <v>44574</v>
      </c>
      <c r="C5164" t="inlineStr">
        <is>
          <t>CPR</t>
        </is>
      </c>
      <c r="D5164" t="n">
        <v>39</v>
      </c>
      <c r="E5164">
        <f>IF(D4137&gt;0,VLOOKUP(OPERAC[[#This Row],[COD CART]],[1]!MatrizCortoLargoCyl[#All],3,0),"")</f>
        <v/>
      </c>
      <c r="F5164" t="inlineStr">
        <is>
          <t>BABA/BULL/120,0-135,0/20-05-22</t>
        </is>
      </c>
      <c r="G5164" t="n">
        <v>100</v>
      </c>
      <c r="H5164" t="n">
        <v>-965.8</v>
      </c>
      <c r="I5164">
        <f>-H4137/G4137</f>
        <v/>
      </c>
      <c r="J5164" s="16" t="n">
        <v>44701</v>
      </c>
      <c r="K5164">
        <f>+OPERAC[[#This Row],[cantidad]]</f>
        <v/>
      </c>
      <c r="L5164" t="n">
        <v>0</v>
      </c>
    </row>
    <row r="5165">
      <c r="A5165" t="n">
        <v>19867</v>
      </c>
      <c r="B5165" s="16" t="n">
        <v>44579</v>
      </c>
      <c r="C5165" t="inlineStr">
        <is>
          <t>VTA</t>
        </is>
      </c>
      <c r="D5165" t="n">
        <v>39</v>
      </c>
      <c r="E5165">
        <f>IF(D421&gt;0,VLOOKUP(OPERAC[[#This Row],[COD CART]],[1]!MatrizCortoLargoCyl[#All],3,0),"")</f>
        <v/>
      </c>
      <c r="F5165" t="inlineStr">
        <is>
          <t>SOLO/V/3,50/25-02-22</t>
        </is>
      </c>
      <c r="G5165" t="n">
        <v>-800</v>
      </c>
      <c r="H5165" t="n">
        <v>1105.48592</v>
      </c>
      <c r="I5165">
        <f>-H421/G421</f>
        <v/>
      </c>
      <c r="J5165" s="16" t="n">
        <v>44608</v>
      </c>
      <c r="K5165">
        <f>+OPERAC[[#This Row],[cantidad]]</f>
        <v/>
      </c>
      <c r="L5165" t="n">
        <v>-1116.032</v>
      </c>
    </row>
    <row r="5166">
      <c r="A5166" t="n">
        <v>19867</v>
      </c>
      <c r="B5166" s="16" t="n">
        <v>44581</v>
      </c>
      <c r="C5166" t="inlineStr">
        <is>
          <t>VTA</t>
        </is>
      </c>
      <c r="D5166" t="n">
        <v>39</v>
      </c>
      <c r="E5166">
        <f>IF(D341&gt;0,VLOOKUP(OPERAC[[#This Row],[COD CART]],[1]!MatrizCortoLargoCyl[#All],3,0),"")</f>
        <v/>
      </c>
      <c r="F5166" t="inlineStr">
        <is>
          <t>ACB/V/6,00/18-02-22</t>
        </is>
      </c>
      <c r="G5166" t="n">
        <v>-1100</v>
      </c>
      <c r="H5166" t="n">
        <v>1330.4665</v>
      </c>
      <c r="I5166">
        <f>-H341/G341</f>
        <v/>
      </c>
      <c r="J5166" s="16" t="n">
        <v>44601</v>
      </c>
      <c r="K5166" t="n">
        <v>-1100</v>
      </c>
      <c r="L5166">
        <f>1.21*OPERAC[[#This Row],[cantidad venta]]</f>
        <v/>
      </c>
    </row>
    <row r="5167">
      <c r="A5167" t="n">
        <v>19867</v>
      </c>
      <c r="B5167" s="16" t="n">
        <v>44581</v>
      </c>
      <c r="C5167" t="inlineStr">
        <is>
          <t>VTA</t>
        </is>
      </c>
      <c r="D5167" t="n">
        <v>39</v>
      </c>
      <c r="E5167">
        <f>IF(D367&gt;0,VLOOKUP(OPERAC[[#This Row],[COD CART]],[1]!MatrizCortoLargoCyl[#All],3,0),"")</f>
        <v/>
      </c>
      <c r="F5167" t="inlineStr">
        <is>
          <t>ACB/V/5,50/25-02-22</t>
        </is>
      </c>
      <c r="G5167" t="n">
        <v>-1500</v>
      </c>
      <c r="H5167" t="n">
        <v>1230.93075</v>
      </c>
      <c r="I5167">
        <f>-H367/G367</f>
        <v/>
      </c>
      <c r="J5167" s="16" t="n">
        <v>44614</v>
      </c>
      <c r="K5167" t="n">
        <v>-1500</v>
      </c>
      <c r="L5167" t="n">
        <v>-2272.19</v>
      </c>
    </row>
    <row r="5168">
      <c r="A5168" t="n">
        <v>19867</v>
      </c>
      <c r="B5168" s="16" t="n">
        <v>44582</v>
      </c>
      <c r="C5168" t="inlineStr">
        <is>
          <t>CPR</t>
        </is>
      </c>
      <c r="D5168" t="n">
        <v>40</v>
      </c>
      <c r="E5168">
        <f>IF(D6081&gt;0,VLOOKUP(OPERAC[[#This Row],[COD CART]],[1]!MatrizCortoLargoCyl[#All],3,0),"")</f>
        <v/>
      </c>
      <c r="F5168" t="inlineStr">
        <is>
          <t>NFLX</t>
        </is>
      </c>
      <c r="G5168" t="n">
        <v>10</v>
      </c>
      <c r="H5168" t="n">
        <v>-3906.371000000001</v>
      </c>
      <c r="I5168">
        <f>-H6081/G6081</f>
        <v/>
      </c>
      <c r="J5168" s="16" t="n">
        <v>44593</v>
      </c>
      <c r="K5168">
        <f>+OPERAC[[#This Row],[cantidad]]</f>
        <v/>
      </c>
      <c r="L5168">
        <f>+OPERAC[[#This Row],[cantidad venta]]*448.602</f>
        <v/>
      </c>
    </row>
    <row r="5169">
      <c r="A5169" t="n">
        <v>19867</v>
      </c>
      <c r="B5169" s="16" t="n">
        <v>44582</v>
      </c>
      <c r="C5169" t="inlineStr">
        <is>
          <t>CPR</t>
        </is>
      </c>
      <c r="D5169" t="n">
        <v>40</v>
      </c>
      <c r="E5169">
        <f>IF(D6282&gt;0,VLOOKUP(OPERAC[[#This Row],[COD CART]],[1]!MatrizCortoLargoCyl[#All],3,0),"")</f>
        <v/>
      </c>
      <c r="F5169" t="inlineStr">
        <is>
          <t>ACB</t>
        </is>
      </c>
      <c r="G5169" t="n">
        <v>320</v>
      </c>
      <c r="H5169">
        <f>-25*OPERAC[[#This Row],[cantidad]]</f>
        <v/>
      </c>
      <c r="I5169">
        <f>-H6282/G6282</f>
        <v/>
      </c>
      <c r="J5169" s="16" t="n">
        <v>44606</v>
      </c>
      <c r="K5169" t="n">
        <v>320</v>
      </c>
      <c r="L5169" t="n">
        <v>1398.579</v>
      </c>
    </row>
    <row r="5170">
      <c r="A5170" t="n">
        <v>19867</v>
      </c>
      <c r="B5170" s="16" t="n">
        <v>44586</v>
      </c>
      <c r="C5170" t="inlineStr">
        <is>
          <t>VTA</t>
        </is>
      </c>
      <c r="D5170" t="n">
        <v>39</v>
      </c>
      <c r="E5170">
        <f>IF(D240&gt;0,VLOOKUP(OPERAC[[#This Row],[COD CART]],[1]!MatrizCortoLargoCyl[#All],3,0),"")</f>
        <v/>
      </c>
      <c r="F5170" t="inlineStr">
        <is>
          <t>MELI/V/750,00/04-02-22</t>
        </is>
      </c>
      <c r="G5170" t="n">
        <v>-400</v>
      </c>
      <c r="H5170" t="n">
        <v>1849.088</v>
      </c>
      <c r="I5170">
        <f>-H240/G240</f>
        <v/>
      </c>
      <c r="J5170" s="16" t="n">
        <v>44592</v>
      </c>
      <c r="K5170" t="n">
        <v>-400</v>
      </c>
      <c r="L5170" t="n">
        <v>-40.32</v>
      </c>
    </row>
    <row r="5171">
      <c r="A5171" t="n">
        <v>19867</v>
      </c>
      <c r="B5171" s="16" t="n">
        <v>44588</v>
      </c>
      <c r="C5171" t="inlineStr">
        <is>
          <t>VTA</t>
        </is>
      </c>
      <c r="D5171" t="n">
        <v>39</v>
      </c>
      <c r="E5171">
        <f>IF(D90&gt;0,VLOOKUP(OPERAC[[#This Row],[COD CART]],[1]!MatrizCortoLargoCyl[#All],3,0),"")</f>
        <v/>
      </c>
      <c r="F5171" t="inlineStr">
        <is>
          <t>ROKU/V/150,00/04-02-22</t>
        </is>
      </c>
      <c r="G5171" t="n">
        <v>-400</v>
      </c>
      <c r="H5171" t="n">
        <v>3799.75</v>
      </c>
      <c r="I5171">
        <f>-H90/G90</f>
        <v/>
      </c>
      <c r="J5171" s="16" t="n">
        <v>44595</v>
      </c>
      <c r="K5171" t="n">
        <v>-400</v>
      </c>
      <c r="L5171" t="n">
        <v>-2340.164</v>
      </c>
    </row>
    <row r="5172">
      <c r="A5172" t="n">
        <v>19867</v>
      </c>
      <c r="B5172" s="16" t="n">
        <v>44594</v>
      </c>
      <c r="C5172" t="inlineStr">
        <is>
          <t>CPR</t>
        </is>
      </c>
      <c r="D5172" t="n">
        <v>40</v>
      </c>
      <c r="E5172">
        <f>IF(D4818&gt;0,VLOOKUP(OPERAC[[#This Row],[COD CART]],[1]!MatrizCortoLargoCyl[#All],3,0),"")</f>
        <v/>
      </c>
      <c r="F5172" t="inlineStr">
        <is>
          <t>EDU</t>
        </is>
      </c>
      <c r="G5172" t="n">
        <v>700</v>
      </c>
      <c r="H5172" t="n">
        <v>-1411.2</v>
      </c>
      <c r="I5172">
        <f>-H4818/G4818</f>
        <v/>
      </c>
      <c r="J5172" s="16" t="n">
        <v>44601</v>
      </c>
      <c r="K5172" t="n">
        <v>700</v>
      </c>
      <c r="L5172">
        <f>700*1.64</f>
        <v/>
      </c>
    </row>
    <row r="5173">
      <c r="A5173" t="n">
        <v>19867</v>
      </c>
      <c r="B5173" s="16" t="n">
        <v>44594</v>
      </c>
      <c r="C5173" t="inlineStr">
        <is>
          <t>VTA</t>
        </is>
      </c>
      <c r="D5173" t="n">
        <v>40</v>
      </c>
      <c r="E5173">
        <f>IF(D3039&gt;0,VLOOKUP(OPERAC[[#This Row],[COD CART]],[1]!MatrizCortoLargoCyl[#All],3,0),"")</f>
        <v/>
      </c>
      <c r="F5173" t="inlineStr">
        <is>
          <t>EDU</t>
        </is>
      </c>
      <c r="G5173" t="n">
        <v>300</v>
      </c>
      <c r="H5173" t="n">
        <v>-604.8</v>
      </c>
      <c r="I5173">
        <f>-H3039/G3039</f>
        <v/>
      </c>
      <c r="J5173" s="16" t="n">
        <v>44601</v>
      </c>
      <c r="K5173" t="n">
        <v>300</v>
      </c>
      <c r="L5173">
        <f>300*1.64</f>
        <v/>
      </c>
    </row>
    <row r="5174">
      <c r="A5174" t="n">
        <v>19867</v>
      </c>
      <c r="B5174" s="16" t="n">
        <v>44595</v>
      </c>
      <c r="C5174" t="inlineStr">
        <is>
          <t>VTA</t>
        </is>
      </c>
      <c r="D5174" t="n">
        <v>39</v>
      </c>
      <c r="E5174">
        <f>IF(D186&gt;0,VLOOKUP(OPERAC[[#This Row],[COD CART]],[1]!MatrizCortoLargoCyl[#All],3,0),"")</f>
        <v/>
      </c>
      <c r="F5174" t="inlineStr">
        <is>
          <t>ROKU/V/145,00/11-02-22</t>
        </is>
      </c>
      <c r="G5174" t="n">
        <v>-300</v>
      </c>
      <c r="H5174" t="n">
        <v>2230.779</v>
      </c>
      <c r="I5174">
        <f>-H186/G186</f>
        <v/>
      </c>
      <c r="J5174" s="16" t="n">
        <v>44603</v>
      </c>
      <c r="K5174" t="n">
        <v>-300</v>
      </c>
      <c r="L5174" t="n">
        <v>0</v>
      </c>
    </row>
    <row r="5175">
      <c r="A5175" t="n">
        <v>19867</v>
      </c>
      <c r="B5175" s="16" t="n">
        <v>44599</v>
      </c>
      <c r="C5175" t="inlineStr">
        <is>
          <t>CPR</t>
        </is>
      </c>
      <c r="D5175" t="n">
        <v>40</v>
      </c>
      <c r="E5175">
        <f>IF(D4517&gt;0,VLOOKUP(OPERAC[[#This Row],[COD CART]],[1]!MatrizCortoLargoCyl[#All],3,0),"")</f>
        <v/>
      </c>
      <c r="F5175" t="inlineStr">
        <is>
          <t>FB</t>
        </is>
      </c>
      <c r="G5175" t="n">
        <v>5</v>
      </c>
      <c r="H5175" t="n">
        <v>-1192.3</v>
      </c>
      <c r="I5175">
        <f>-H4517/G4517</f>
        <v/>
      </c>
      <c r="J5175" s="16" t="n">
        <v>44616</v>
      </c>
      <c r="K5175">
        <f>+OPERAC[[#This Row],[cantidad]]</f>
        <v/>
      </c>
      <c r="L5175">
        <f>200.299*OPERAC[[#This Row],[cantidad venta]]</f>
        <v/>
      </c>
    </row>
    <row r="5176">
      <c r="A5176" t="n">
        <v>19867</v>
      </c>
      <c r="B5176" s="16" t="n">
        <v>44601</v>
      </c>
      <c r="C5176" t="inlineStr">
        <is>
          <t>VTA</t>
        </is>
      </c>
      <c r="D5176" t="n">
        <v>39</v>
      </c>
      <c r="E5176">
        <f>IF(D1131&gt;0,VLOOKUP(OPERAC[[#This Row],[COD CART]],[1]!MatrizCortoLargoCyl[#All],3,0),"")</f>
        <v/>
      </c>
      <c r="F5176" t="inlineStr">
        <is>
          <t>ACB/V/5,00/16-09-22</t>
        </is>
      </c>
      <c r="G5176" t="n">
        <v>-13</v>
      </c>
      <c r="H5176">
        <f>-1.56*OPERAC[[#This Row],[cantidad]]</f>
        <v/>
      </c>
      <c r="I5176">
        <f>-H1131/G1131</f>
        <v/>
      </c>
      <c r="J5176" s="16" t="n">
        <v>44629</v>
      </c>
      <c r="K5176" t="n">
        <v>-13</v>
      </c>
      <c r="L5176" t="n">
        <v>-26.89</v>
      </c>
    </row>
    <row r="5177">
      <c r="A5177" t="n">
        <v>19867</v>
      </c>
      <c r="B5177" s="16" t="n">
        <v>44601</v>
      </c>
      <c r="C5177" t="inlineStr">
        <is>
          <t>VTA</t>
        </is>
      </c>
      <c r="D5177" t="n">
        <v>43</v>
      </c>
      <c r="E5177">
        <f>IF(D5258&gt;0,VLOOKUP(OPERAC[[#This Row],[COD CART]],[1]!MatrizCortoLargoCyl[#All],3,0),"")</f>
        <v/>
      </c>
      <c r="F5177" t="inlineStr">
        <is>
          <t>GMBL/CYL-PUT/2,50/20-01-23</t>
        </is>
      </c>
      <c r="G5177" t="n">
        <v>1300</v>
      </c>
      <c r="H5177">
        <f>-1.3*OPERAC[[#This Row],[cantidad]]</f>
        <v/>
      </c>
      <c r="I5177">
        <f>-H5258/G5258</f>
        <v/>
      </c>
      <c r="J5177" s="16" t="n">
        <v>44629</v>
      </c>
      <c r="K5177" t="n">
        <v>1300</v>
      </c>
      <c r="L5177" t="n">
        <v>-1504.4</v>
      </c>
    </row>
    <row r="5178">
      <c r="A5178" t="n">
        <v>19867</v>
      </c>
      <c r="B5178" s="16" t="n">
        <v>44607</v>
      </c>
      <c r="C5178" t="inlineStr">
        <is>
          <t>CPR</t>
        </is>
      </c>
      <c r="D5178" t="n">
        <v>32</v>
      </c>
      <c r="E5178">
        <f>IF(D5965&gt;0,VLOOKUP(OPERAC[[#This Row],[COD CART]],[1]!MatrizCortoLargoCyl[#All],3,0),"")</f>
        <v/>
      </c>
      <c r="F5178" t="inlineStr">
        <is>
          <t>DDD/CYL/17,00/01-04-22</t>
        </is>
      </c>
      <c r="G5178" t="n">
        <v>200</v>
      </c>
      <c r="H5178">
        <f>-3240.46+39.45+32.908</f>
        <v/>
      </c>
      <c r="I5178">
        <f>-H5965/G5965</f>
        <v/>
      </c>
      <c r="J5178" s="16" t="n">
        <v>44649</v>
      </c>
      <c r="K5178" t="n">
        <v>200</v>
      </c>
      <c r="L5178" t="n">
        <v>3323.96</v>
      </c>
    </row>
    <row r="5179">
      <c r="A5179" t="n">
        <v>19867</v>
      </c>
      <c r="B5179" s="16" t="n">
        <v>44608</v>
      </c>
      <c r="C5179" t="inlineStr">
        <is>
          <t>VTA</t>
        </is>
      </c>
      <c r="D5179" t="n">
        <v>39</v>
      </c>
      <c r="E5179">
        <f>IF(D573&gt;0,VLOOKUP(OPERAC[[#This Row],[COD CART]],[1]!MatrizCortoLargoCyl[#All],3,0),"")</f>
        <v/>
      </c>
      <c r="F5179" t="inlineStr">
        <is>
          <t>SOLO/V/3,00/18-03-22</t>
        </is>
      </c>
      <c r="G5179" t="n">
        <v>-800</v>
      </c>
      <c r="H5179" t="n">
        <v>684.032</v>
      </c>
      <c r="I5179">
        <f>-H573/G573</f>
        <v/>
      </c>
      <c r="J5179" s="16" t="n">
        <v>44614</v>
      </c>
      <c r="K5179">
        <f>+OPERAC[[#This Row],[cantidad]]</f>
        <v/>
      </c>
      <c r="L5179">
        <f>+OPERAC[[#This Row],[cantidad venta]]*1.113</f>
        <v/>
      </c>
    </row>
    <row r="5180">
      <c r="A5180" t="n">
        <v>19867</v>
      </c>
      <c r="B5180" s="16" t="n">
        <v>44614</v>
      </c>
      <c r="C5180" t="inlineStr">
        <is>
          <t>VTA</t>
        </is>
      </c>
      <c r="D5180" t="n">
        <v>39</v>
      </c>
      <c r="E5180">
        <f>IF(D929&gt;0,VLOOKUP(OPERAC[[#This Row],[COD CART]],[1]!MatrizCortoLargoCyl[#All],3,0),"")</f>
        <v/>
      </c>
      <c r="F5180" t="inlineStr">
        <is>
          <t>TSLA/V/300,00/19-01-24</t>
        </is>
      </c>
      <c r="G5180" t="n">
        <v>-5</v>
      </c>
      <c r="H5180" t="n">
        <v>109.08</v>
      </c>
      <c r="I5180">
        <f>-H929/G929</f>
        <v/>
      </c>
      <c r="J5180" s="16" t="n">
        <v>44641</v>
      </c>
      <c r="K5180" t="n">
        <v>-1</v>
      </c>
      <c r="L5180" t="n">
        <v>-20.66</v>
      </c>
    </row>
    <row r="5181">
      <c r="A5181" t="n">
        <v>19867</v>
      </c>
      <c r="B5181" s="16" t="n">
        <v>44616</v>
      </c>
      <c r="C5181" t="inlineStr">
        <is>
          <t>CPR</t>
        </is>
      </c>
      <c r="D5181" t="n">
        <v>32</v>
      </c>
      <c r="E5181">
        <f>IF(D4328&gt;0,VLOOKUP(OPERAC[[#This Row],[COD CART]],[1]!MatrizCortoLargoCyl[#All],3,0),"")</f>
        <v/>
      </c>
      <c r="F5181" t="inlineStr">
        <is>
          <t>PLTR/CYL/12,00/14-04-22</t>
        </is>
      </c>
      <c r="G5181" t="n">
        <v>100</v>
      </c>
      <c r="H5181" t="n">
        <v>-1052.7265</v>
      </c>
      <c r="I5181">
        <f>-H4328/G4328</f>
        <v/>
      </c>
      <c r="J5181" s="16" t="n">
        <v>44643</v>
      </c>
      <c r="K5181" t="n">
        <v>100</v>
      </c>
      <c r="L5181" t="n">
        <v>1146.72</v>
      </c>
    </row>
    <row r="5182">
      <c r="A5182" t="n">
        <v>19867</v>
      </c>
      <c r="B5182" s="16" t="n">
        <v>44616</v>
      </c>
      <c r="C5182" t="inlineStr">
        <is>
          <t>CPR</t>
        </is>
      </c>
      <c r="D5182" t="n">
        <v>32</v>
      </c>
      <c r="E5182">
        <f>IF(D4758&gt;0,VLOOKUP(OPERAC[[#This Row],[COD CART]],[1]!MatrizCortoLargoCyl[#All],3,0),"")</f>
        <v/>
      </c>
      <c r="F5182" t="inlineStr">
        <is>
          <t>UUUU/CYL/8,00/18-03-22</t>
        </is>
      </c>
      <c r="G5182" t="n">
        <v>200</v>
      </c>
      <c r="H5182" t="n">
        <v>-1367.652</v>
      </c>
      <c r="I5182">
        <f>-H4758/G4758</f>
        <v/>
      </c>
      <c r="J5182" s="16" t="n">
        <v>44636</v>
      </c>
      <c r="K5182">
        <f>+OPERAC[[#This Row],[cantidad]]</f>
        <v/>
      </c>
      <c r="L5182" t="n">
        <v>1534.92</v>
      </c>
    </row>
    <row r="5183">
      <c r="A5183" t="n">
        <v>19867</v>
      </c>
      <c r="B5183" s="16" t="n">
        <v>44616</v>
      </c>
      <c r="C5183" t="inlineStr">
        <is>
          <t>VTA</t>
        </is>
      </c>
      <c r="D5183" t="n">
        <v>32</v>
      </c>
      <c r="E5183">
        <f>IF(D5053&gt;0,VLOOKUP(OPERAC[[#This Row],[COD CART]],[1]!MatrizCortoLargoCyl[#All],3,0),"")</f>
        <v/>
      </c>
      <c r="F5183" t="inlineStr">
        <is>
          <t>SPWR/CYL/20,00/18-03-22</t>
        </is>
      </c>
      <c r="G5183" t="n">
        <v>100</v>
      </c>
      <c r="H5183" t="n">
        <v>-1573.0928</v>
      </c>
      <c r="I5183">
        <f>-H5053/G5053</f>
        <v/>
      </c>
      <c r="J5183" s="16" t="n">
        <v>44636</v>
      </c>
      <c r="K5183" t="n">
        <v>100</v>
      </c>
      <c r="L5183" t="n">
        <v>1911.85</v>
      </c>
    </row>
    <row r="5184">
      <c r="A5184" t="n">
        <v>19867</v>
      </c>
      <c r="B5184" s="16" t="n">
        <v>44616</v>
      </c>
      <c r="C5184" t="inlineStr">
        <is>
          <t>VTA</t>
        </is>
      </c>
      <c r="D5184" t="n">
        <v>32</v>
      </c>
      <c r="E5184">
        <f>IF(D5054&gt;0,VLOOKUP(OPERAC[[#This Row],[COD CART]],[1]!MatrizCortoLargoCyl[#All],3,0),"")</f>
        <v/>
      </c>
      <c r="F5184" t="inlineStr">
        <is>
          <t>SPWR/CYL/20,00/18-03-22</t>
        </is>
      </c>
      <c r="G5184" t="n">
        <v>100</v>
      </c>
      <c r="H5184" t="n">
        <v>-1573.0928</v>
      </c>
      <c r="I5184">
        <f>-H5054/G5054</f>
        <v/>
      </c>
      <c r="J5184" s="16" t="n">
        <v>44636</v>
      </c>
      <c r="K5184" t="n">
        <v>100</v>
      </c>
      <c r="L5184" t="n">
        <v>1911.85</v>
      </c>
    </row>
    <row r="5185">
      <c r="A5185" t="n">
        <v>19867</v>
      </c>
      <c r="B5185" s="16" t="n">
        <v>44622</v>
      </c>
      <c r="C5185" t="inlineStr">
        <is>
          <t>CPR</t>
        </is>
      </c>
      <c r="D5185" t="n">
        <v>32</v>
      </c>
      <c r="E5185">
        <f>IF(D4885&gt;0,VLOOKUP(OPERAC[[#This Row],[COD CART]],[1]!MatrizCortoLargoCyl[#All],3,0),"")</f>
        <v/>
      </c>
      <c r="F5185" t="inlineStr">
        <is>
          <t>AMC/CYL/16,00/14-04-22</t>
        </is>
      </c>
      <c r="G5185" t="n">
        <v>100</v>
      </c>
      <c r="H5185" t="n">
        <v>-1460.8686</v>
      </c>
      <c r="I5185">
        <f>-H4885/G4885</f>
        <v/>
      </c>
      <c r="J5185" s="16" t="n">
        <v>44648</v>
      </c>
      <c r="K5185">
        <f>+OPERAC[[#This Row],[cantidad]]</f>
        <v/>
      </c>
      <c r="L5185" t="n">
        <v>1581.776</v>
      </c>
    </row>
    <row r="5186">
      <c r="A5186" t="n">
        <v>19867</v>
      </c>
      <c r="B5186" s="16" t="n">
        <v>44629</v>
      </c>
      <c r="C5186" t="inlineStr">
        <is>
          <t>VTA</t>
        </is>
      </c>
      <c r="D5186" t="n">
        <v>39</v>
      </c>
      <c r="E5186">
        <f>IF(D813&gt;0,VLOOKUP(OPERAC[[#This Row],[COD CART]],[1]!MatrizCortoLargoCyl[#All],3,0),"")</f>
        <v/>
      </c>
      <c r="F5186" t="inlineStr">
        <is>
          <t>TSLA/V/300,00/19-01-24</t>
        </is>
      </c>
      <c r="G5186" t="n">
        <v>-10</v>
      </c>
      <c r="H5186" t="n">
        <v>230.61</v>
      </c>
      <c r="I5186">
        <f>-H813/G813</f>
        <v/>
      </c>
    </row>
    <row r="5187">
      <c r="A5187" t="n">
        <v>19867</v>
      </c>
      <c r="B5187" s="16" t="n">
        <v>44641</v>
      </c>
      <c r="C5187" t="inlineStr">
        <is>
          <t>CPR</t>
        </is>
      </c>
      <c r="D5187" t="n">
        <v>42</v>
      </c>
      <c r="E5187">
        <f>IF(D4360&gt;0,VLOOKUP(OPERAC[[#This Row],[COD CART]],[1]!MatrizCortoLargoCyl[#All],3,0),"")</f>
        <v/>
      </c>
      <c r="F5187" t="inlineStr">
        <is>
          <t>SMH</t>
        </is>
      </c>
      <c r="G5187" t="n">
        <v>4</v>
      </c>
      <c r="H5187" t="n">
        <v>-1075.8306</v>
      </c>
      <c r="I5187">
        <f>-H4360/G4360</f>
        <v/>
      </c>
      <c r="J5187" s="16" t="n">
        <v>44663</v>
      </c>
      <c r="K5187">
        <f>+OPERAC[[#This Row],[cantidad]]</f>
        <v/>
      </c>
      <c r="L5187">
        <f>+OPERAC[[#This Row],[cantidad venta]]*238.066</f>
        <v/>
      </c>
    </row>
    <row r="5188">
      <c r="A5188" t="n">
        <v>19867</v>
      </c>
      <c r="B5188" s="16" t="n">
        <v>44641</v>
      </c>
      <c r="C5188" t="inlineStr">
        <is>
          <t>CPR</t>
        </is>
      </c>
      <c r="D5188" t="n">
        <v>42</v>
      </c>
      <c r="E5188">
        <f>IF(D4421&gt;0,VLOOKUP(OPERAC[[#This Row],[COD CART]],[1]!MatrizCortoLargoCyl[#All],3,0),"")</f>
        <v/>
      </c>
      <c r="F5188" t="inlineStr">
        <is>
          <t>DIS</t>
        </is>
      </c>
      <c r="G5188" t="n">
        <v>8</v>
      </c>
      <c r="H5188" t="n">
        <v>-1114.1696</v>
      </c>
      <c r="I5188">
        <f>-H4421/G4421</f>
        <v/>
      </c>
      <c r="J5188" s="16" t="n">
        <v>44671</v>
      </c>
      <c r="K5188">
        <f>+OPERAC[[#This Row],[cantidad]]</f>
        <v/>
      </c>
      <c r="L5188">
        <f>+OPERAC[[#This Row],[cantidad venta]]*123.621</f>
        <v/>
      </c>
    </row>
    <row r="5189">
      <c r="A5189" t="n">
        <v>19867</v>
      </c>
      <c r="B5189" s="16" t="n">
        <v>44641</v>
      </c>
      <c r="C5189" t="inlineStr">
        <is>
          <t>CPR</t>
        </is>
      </c>
      <c r="D5189" t="n">
        <v>42</v>
      </c>
      <c r="E5189">
        <f>IF(D4434&gt;0,VLOOKUP(OPERAC[[#This Row],[COD CART]],[1]!MatrizCortoLargoCyl[#All],3,0),"")</f>
        <v/>
      </c>
      <c r="F5189" t="inlineStr">
        <is>
          <t>JPM</t>
        </is>
      </c>
      <c r="G5189" t="n">
        <v>8</v>
      </c>
      <c r="H5189" t="n">
        <v>-1123.63472</v>
      </c>
      <c r="I5189">
        <f>-H4434/G4434</f>
        <v/>
      </c>
      <c r="J5189" s="16" t="n">
        <v>44664</v>
      </c>
      <c r="K5189">
        <f>+OPERAC[[#This Row],[cantidad]]</f>
        <v/>
      </c>
      <c r="L5189">
        <f>+OPERAC[[#This Row],[cantidad venta]]*125.943</f>
        <v/>
      </c>
    </row>
    <row r="5190">
      <c r="A5190" t="n">
        <v>19867</v>
      </c>
      <c r="B5190" s="16" t="n">
        <v>44641</v>
      </c>
      <c r="C5190" t="inlineStr">
        <is>
          <t>VTA</t>
        </is>
      </c>
      <c r="D5190" t="n">
        <v>39</v>
      </c>
      <c r="E5190">
        <f>IF(D1083&gt;0,VLOOKUP(OPERAC[[#This Row],[COD CART]],[1]!MatrizCortoLargoCyl[#All],3,0),"")</f>
        <v/>
      </c>
      <c r="F5190" t="inlineStr">
        <is>
          <t>TSLA/V/380,00/20-01-23</t>
        </is>
      </c>
      <c r="G5190" t="n">
        <v>-2</v>
      </c>
      <c r="H5190" t="n">
        <v>28.76</v>
      </c>
      <c r="I5190">
        <f>-H1083/G1083</f>
        <v/>
      </c>
    </row>
    <row r="5191">
      <c r="A5191" t="n">
        <v>19867</v>
      </c>
      <c r="B5191" s="16" t="n">
        <v>44641</v>
      </c>
      <c r="C5191" t="inlineStr">
        <is>
          <t>VTA</t>
        </is>
      </c>
      <c r="D5191" t="n">
        <v>42</v>
      </c>
      <c r="E5191">
        <f>IF(D3778&gt;0,VLOOKUP(OPERAC[[#This Row],[COD CART]],[1]!MatrizCortoLargoCyl[#All],3,0),"")</f>
        <v/>
      </c>
      <c r="F5191" t="inlineStr">
        <is>
          <t>FB</t>
        </is>
      </c>
      <c r="G5191" t="n">
        <v>4</v>
      </c>
      <c r="H5191" t="n">
        <v>-848.6255200000001</v>
      </c>
      <c r="I5191">
        <f>-H3778/G3778</f>
        <v/>
      </c>
      <c r="J5191" s="16" t="n">
        <v>44671</v>
      </c>
      <c r="K5191">
        <f>+OPERAC[[#This Row],[cantidad]]</f>
        <v/>
      </c>
      <c r="L5191">
        <f>+OPERAC[[#This Row],[cantidad venta]]*213.173</f>
        <v/>
      </c>
    </row>
    <row r="5192">
      <c r="A5192" t="n">
        <v>19867</v>
      </c>
      <c r="B5192" s="16" t="n">
        <v>44643</v>
      </c>
      <c r="C5192" t="inlineStr">
        <is>
          <t>CPR</t>
        </is>
      </c>
      <c r="D5192" t="n">
        <v>31</v>
      </c>
      <c r="E5192">
        <f>IF(D4092&gt;0,VLOOKUP(OPERAC[[#This Row],[COD CART]],[1]!MatrizCortoLargoCyl[#All],3,0),"")</f>
        <v/>
      </c>
      <c r="F5192" t="inlineStr">
        <is>
          <t>CEPU</t>
        </is>
      </c>
      <c r="G5192" t="n">
        <v>250</v>
      </c>
      <c r="H5192" t="n">
        <v>-941.21</v>
      </c>
      <c r="I5192">
        <f>-H4092/G4092</f>
        <v/>
      </c>
    </row>
    <row r="5193">
      <c r="A5193" t="n">
        <v>19867</v>
      </c>
      <c r="B5193" s="16" t="n">
        <v>44643</v>
      </c>
      <c r="C5193" t="inlineStr">
        <is>
          <t>CPR</t>
        </is>
      </c>
      <c r="D5193" t="n">
        <v>31</v>
      </c>
      <c r="E5193">
        <f>IF(D4129&gt;0,VLOOKUP(OPERAC[[#This Row],[COD CART]],[1]!MatrizCortoLargoCyl[#All],3,0),"")</f>
        <v/>
      </c>
      <c r="F5193" t="inlineStr">
        <is>
          <t>HYDR</t>
        </is>
      </c>
      <c r="G5193" t="n">
        <v>50</v>
      </c>
      <c r="H5193" t="n">
        <v>-962.6319999999998</v>
      </c>
      <c r="I5193">
        <f>-H4129/G4129</f>
        <v/>
      </c>
      <c r="J5193" s="16" t="n">
        <v>44693</v>
      </c>
      <c r="K5193">
        <f>+OPERAC[[#This Row],[cantidad]]</f>
        <v/>
      </c>
      <c r="L5193">
        <f>+OPERAC[[#This Row],[cantidad venta]]*11.986</f>
        <v/>
      </c>
    </row>
    <row r="5194">
      <c r="A5194" t="n">
        <v>19867</v>
      </c>
      <c r="B5194" s="16" t="n">
        <v>44643</v>
      </c>
      <c r="C5194" t="inlineStr">
        <is>
          <t>CPR</t>
        </is>
      </c>
      <c r="D5194" t="n">
        <v>31</v>
      </c>
      <c r="E5194">
        <f>IF(D4429&gt;0,VLOOKUP(OPERAC[[#This Row],[COD CART]],[1]!MatrizCortoLargoCyl[#All],3,0),"")</f>
        <v/>
      </c>
      <c r="F5194" t="inlineStr">
        <is>
          <t>COST</t>
        </is>
      </c>
      <c r="G5194" t="n">
        <v>2</v>
      </c>
      <c r="H5194" t="n">
        <v>-1118.34784</v>
      </c>
      <c r="I5194">
        <f>-H4429/G4429</f>
        <v/>
      </c>
      <c r="J5194" s="16" t="n">
        <v>44693</v>
      </c>
      <c r="K5194" t="n">
        <v>2</v>
      </c>
      <c r="L5194" t="n">
        <v>967.639</v>
      </c>
    </row>
    <row r="5195">
      <c r="A5195" t="n">
        <v>19867</v>
      </c>
      <c r="B5195" s="16" t="n">
        <v>44643</v>
      </c>
      <c r="C5195" t="inlineStr">
        <is>
          <t>CPR</t>
        </is>
      </c>
      <c r="D5195" t="n">
        <v>42</v>
      </c>
      <c r="E5195">
        <f>IF(D5709&gt;0,VLOOKUP(OPERAC[[#This Row],[COD CART]],[1]!MatrizCortoLargoCyl[#All],3,0),"")</f>
        <v/>
      </c>
      <c r="F5195" t="inlineStr">
        <is>
          <t>ADBE</t>
        </is>
      </c>
      <c r="G5195" t="n">
        <v>6</v>
      </c>
      <c r="H5195" t="n">
        <v>-2526.32865</v>
      </c>
      <c r="I5195">
        <f>-H5709/G5709</f>
        <v/>
      </c>
      <c r="J5195" s="16" t="n">
        <v>44687</v>
      </c>
      <c r="K5195">
        <f>+OPERAC[[#This Row],[cantidad]]</f>
        <v/>
      </c>
      <c r="L5195" t="n">
        <v>2318.53</v>
      </c>
    </row>
    <row r="5196">
      <c r="A5196" t="n">
        <v>19867</v>
      </c>
      <c r="B5196" s="16" t="n">
        <v>44643</v>
      </c>
      <c r="C5196" t="inlineStr">
        <is>
          <t>VTA</t>
        </is>
      </c>
      <c r="D5196" t="n">
        <v>39</v>
      </c>
      <c r="E5196">
        <f>IF(D911&gt;0,VLOOKUP(OPERAC[[#This Row],[COD CART]],[1]!MatrizCortoLargoCyl[#All],3,0),"")</f>
        <v/>
      </c>
      <c r="F5196" t="inlineStr">
        <is>
          <t>TSLA/V/500,00/16-09-22</t>
        </is>
      </c>
      <c r="G5196" t="n">
        <v>-10</v>
      </c>
      <c r="H5196" t="n">
        <v>139.84</v>
      </c>
      <c r="I5196">
        <f>-H911/G911</f>
        <v/>
      </c>
    </row>
    <row r="5197">
      <c r="A5197" t="n">
        <v>19867</v>
      </c>
      <c r="B5197" s="16" t="n">
        <v>44643</v>
      </c>
      <c r="C5197" t="inlineStr">
        <is>
          <t>VTA</t>
        </is>
      </c>
      <c r="D5197" t="n">
        <v>31</v>
      </c>
      <c r="E5197">
        <f>IF(D3218&gt;0,VLOOKUP(OPERAC[[#This Row],[COD CART]],[1]!MatrizCortoLargoCyl[#All],3,0),"")</f>
        <v/>
      </c>
      <c r="F5197" t="inlineStr">
        <is>
          <t>SFM</t>
        </is>
      </c>
      <c r="G5197" t="n">
        <v>20</v>
      </c>
      <c r="H5197" t="n">
        <v>-658.216</v>
      </c>
      <c r="I5197">
        <f>-H3218/G3218</f>
        <v/>
      </c>
    </row>
    <row r="5198">
      <c r="A5198" t="n">
        <v>19867</v>
      </c>
      <c r="B5198" s="16" t="n">
        <v>44643</v>
      </c>
      <c r="C5198" t="inlineStr">
        <is>
          <t>VTA</t>
        </is>
      </c>
      <c r="D5198" t="n">
        <v>31</v>
      </c>
      <c r="E5198">
        <f>IF(D5013&gt;0,VLOOKUP(OPERAC[[#This Row],[COD CART]],[1]!MatrizCortoLargoCyl[#All],3,0),"")</f>
        <v/>
      </c>
      <c r="F5198" t="inlineStr">
        <is>
          <t>QCOM</t>
        </is>
      </c>
      <c r="G5198" t="n">
        <v>10</v>
      </c>
      <c r="H5198" t="n">
        <v>-1544.4496</v>
      </c>
      <c r="I5198">
        <f>-H5013/G5013</f>
        <v/>
      </c>
    </row>
    <row r="5199">
      <c r="A5199" t="n">
        <v>19867</v>
      </c>
      <c r="B5199" s="16" t="n">
        <v>44643</v>
      </c>
      <c r="C5199" t="inlineStr">
        <is>
          <t>VTA</t>
        </is>
      </c>
      <c r="D5199" t="n">
        <v>42</v>
      </c>
      <c r="E5199">
        <f>IF(D5137&gt;0,VLOOKUP(OPERAC[[#This Row],[COD CART]],[1]!MatrizCortoLargoCyl[#All],3,0),"")</f>
        <v/>
      </c>
      <c r="F5199" t="inlineStr">
        <is>
          <t>SMH</t>
        </is>
      </c>
      <c r="G5199" t="n">
        <v>6</v>
      </c>
      <c r="H5199" t="n">
        <v>-1602.977388</v>
      </c>
      <c r="I5199">
        <f>-H5137/G5137</f>
        <v/>
      </c>
      <c r="J5199" s="16" t="n">
        <v>44663</v>
      </c>
      <c r="K5199">
        <f>+OPERAC[[#This Row],[cantidad]]</f>
        <v/>
      </c>
      <c r="L5199">
        <f>+OPERAC[[#This Row],[cantidad venta]]*238.066</f>
        <v/>
      </c>
    </row>
    <row r="5200">
      <c r="A5200" t="n">
        <v>19867</v>
      </c>
      <c r="B5200" s="16" t="n">
        <v>44643</v>
      </c>
      <c r="C5200" t="inlineStr">
        <is>
          <t>VTA</t>
        </is>
      </c>
      <c r="D5200" t="n">
        <v>42</v>
      </c>
      <c r="E5200">
        <f>IF(D5260&gt;0,VLOOKUP(OPERAC[[#This Row],[COD CART]],[1]!MatrizCortoLargoCyl[#All],3,0),"")</f>
        <v/>
      </c>
      <c r="F5200" t="inlineStr">
        <is>
          <t>JPM</t>
        </is>
      </c>
      <c r="G5200" t="n">
        <v>12</v>
      </c>
      <c r="H5200" t="n">
        <v>-1694.95968</v>
      </c>
      <c r="I5200">
        <f>-H5260/G5260</f>
        <v/>
      </c>
      <c r="J5200" s="16" t="n">
        <v>44664</v>
      </c>
      <c r="K5200">
        <f>+OPERAC[[#This Row],[cantidad]]</f>
        <v/>
      </c>
      <c r="L5200">
        <f>+OPERAC[[#This Row],[cantidad venta]]*125.943</f>
        <v/>
      </c>
    </row>
    <row r="5201">
      <c r="A5201" t="n">
        <v>19867</v>
      </c>
      <c r="B5201" s="16" t="n">
        <v>44643</v>
      </c>
      <c r="C5201" t="inlineStr">
        <is>
          <t>VTA</t>
        </is>
      </c>
      <c r="D5201" t="n">
        <v>42</v>
      </c>
      <c r="E5201">
        <f>IF(D5318&gt;0,VLOOKUP(OPERAC[[#This Row],[COD CART]],[1]!MatrizCortoLargoCyl[#All],3,0),"")</f>
        <v/>
      </c>
      <c r="F5201" t="inlineStr">
        <is>
          <t>FB</t>
        </is>
      </c>
      <c r="G5201" t="n">
        <v>8</v>
      </c>
      <c r="H5201" t="n">
        <v>-1728.98608</v>
      </c>
      <c r="I5201">
        <f>-H5318/G5318</f>
        <v/>
      </c>
      <c r="J5201" s="16" t="n">
        <v>44669</v>
      </c>
      <c r="K5201">
        <f>7+1</f>
        <v/>
      </c>
      <c r="L5201">
        <f>1453.271+213.173</f>
        <v/>
      </c>
    </row>
    <row r="5202">
      <c r="A5202" t="n">
        <v>19867</v>
      </c>
      <c r="B5202" s="16" t="n">
        <v>44643</v>
      </c>
      <c r="C5202" t="inlineStr">
        <is>
          <t>VTA</t>
        </is>
      </c>
      <c r="D5202" t="n">
        <v>42</v>
      </c>
      <c r="E5202">
        <f>IF(D5394&gt;0,VLOOKUP(OPERAC[[#This Row],[COD CART]],[1]!MatrizCortoLargoCyl[#All],3,0),"")</f>
        <v/>
      </c>
      <c r="F5202" t="inlineStr">
        <is>
          <t>DIS</t>
        </is>
      </c>
      <c r="G5202" t="n">
        <v>13</v>
      </c>
      <c r="H5202" t="n">
        <v>-1816.12795</v>
      </c>
      <c r="I5202">
        <f>-H5394/G5394</f>
        <v/>
      </c>
      <c r="J5202" s="16" t="n">
        <v>44671</v>
      </c>
      <c r="K5202">
        <f>+OPERAC[[#This Row],[cantidad]]</f>
        <v/>
      </c>
      <c r="L5202">
        <f>+OPERAC[[#This Row],[cantidad venta]]*123.621</f>
        <v/>
      </c>
    </row>
    <row r="5203">
      <c r="A5203" t="n">
        <v>19867</v>
      </c>
      <c r="B5203" s="16" t="n">
        <v>44643</v>
      </c>
      <c r="C5203" t="inlineStr">
        <is>
          <t>VTA</t>
        </is>
      </c>
      <c r="D5203" t="n">
        <v>31</v>
      </c>
      <c r="E5203">
        <f>IF(D5594&gt;0,VLOOKUP(OPERAC[[#This Row],[COD CART]],[1]!MatrizCortoLargoCyl[#All],3,0),"")</f>
        <v/>
      </c>
      <c r="F5203" t="inlineStr">
        <is>
          <t>FB</t>
        </is>
      </c>
      <c r="G5203" t="n">
        <v>10</v>
      </c>
      <c r="H5203" t="n">
        <v>-2157.112</v>
      </c>
      <c r="I5203">
        <f>-H5594/G5594</f>
        <v/>
      </c>
      <c r="J5203" s="16" t="n">
        <v>44672</v>
      </c>
      <c r="K5203" t="n">
        <v>10</v>
      </c>
      <c r="L5203" t="n">
        <v>1943.836</v>
      </c>
    </row>
    <row r="5204">
      <c r="A5204" t="n">
        <v>19867</v>
      </c>
      <c r="B5204" s="16" t="n">
        <v>44648</v>
      </c>
      <c r="C5204" t="inlineStr">
        <is>
          <t>VTA</t>
        </is>
      </c>
      <c r="D5204" t="n">
        <v>32</v>
      </c>
      <c r="E5204">
        <f>IF(D5134&gt;0,VLOOKUP(OPERAC[[#This Row],[COD CART]],[1]!MatrizCortoLargoCyl[#All],3,0),"")</f>
        <v/>
      </c>
      <c r="F5204" t="inlineStr">
        <is>
          <t>F/CYL/17,00/17-06-22</t>
        </is>
      </c>
      <c r="G5204" t="n">
        <v>100</v>
      </c>
      <c r="H5204">
        <f>-1616.534+17.847</f>
        <v/>
      </c>
      <c r="I5204">
        <f>-H5134/G5134</f>
        <v/>
      </c>
    </row>
    <row r="5205">
      <c r="A5205" t="n">
        <v>19867</v>
      </c>
      <c r="B5205" s="16" t="n">
        <v>44649</v>
      </c>
      <c r="C5205" t="inlineStr">
        <is>
          <t>CPR</t>
        </is>
      </c>
      <c r="D5205" t="n">
        <v>32</v>
      </c>
      <c r="E5205">
        <f>IF(D4838&gt;0,VLOOKUP(OPERAC[[#This Row],[COD CART]],[1]!MatrizCortoLargoCyl[#All],3,0),"")</f>
        <v/>
      </c>
      <c r="F5205" t="inlineStr">
        <is>
          <t>DDD</t>
        </is>
      </c>
      <c r="G5205" t="n">
        <v>100</v>
      </c>
      <c r="H5205" t="n">
        <v>-1439.859</v>
      </c>
      <c r="I5205">
        <f>-H4838/G4838</f>
        <v/>
      </c>
    </row>
    <row r="5206">
      <c r="A5206" t="n">
        <v>19867</v>
      </c>
      <c r="B5206" s="16" t="n">
        <v>44649</v>
      </c>
      <c r="C5206" t="inlineStr">
        <is>
          <t>CPR</t>
        </is>
      </c>
      <c r="D5206" t="n">
        <v>32</v>
      </c>
      <c r="E5206">
        <f>IF(D4925&gt;0,VLOOKUP(OPERAC[[#This Row],[COD CART]],[1]!MatrizCortoLargoCyl[#All],3,0),"")</f>
        <v/>
      </c>
      <c r="F5206" t="inlineStr">
        <is>
          <t>DDD</t>
        </is>
      </c>
      <c r="G5206" t="n">
        <v>100</v>
      </c>
      <c r="H5206" t="n">
        <v>-1498.949</v>
      </c>
      <c r="I5206">
        <f>-H4925/G4925</f>
        <v/>
      </c>
    </row>
    <row r="5207">
      <c r="A5207" t="n">
        <v>19867</v>
      </c>
      <c r="B5207" s="16" t="n">
        <v>44664</v>
      </c>
      <c r="C5207" t="inlineStr">
        <is>
          <t>CPR</t>
        </is>
      </c>
      <c r="D5207" t="n">
        <v>42</v>
      </c>
      <c r="E5207">
        <f>IF(D4196&gt;0,VLOOKUP(OPERAC[[#This Row],[COD CART]],[1]!MatrizCortoLargoCyl[#All],3,0),"")</f>
        <v/>
      </c>
      <c r="F5207" t="inlineStr">
        <is>
          <t>AMD</t>
        </is>
      </c>
      <c r="G5207" t="n">
        <v>10</v>
      </c>
      <c r="H5207" t="n">
        <v>-987.7065453</v>
      </c>
      <c r="I5207">
        <f>-H4196/G4196</f>
        <v/>
      </c>
      <c r="J5207" s="16" t="n">
        <v>44693</v>
      </c>
      <c r="K5207">
        <f>+OPERAC[[#This Row],[cantidad]]</f>
        <v/>
      </c>
      <c r="L5207">
        <f>+OPERAC[[#This Row],[cantidad venta]]*85.26</f>
        <v/>
      </c>
    </row>
    <row r="5208">
      <c r="A5208" t="n">
        <v>19867</v>
      </c>
      <c r="B5208" s="16" t="n">
        <v>44664</v>
      </c>
      <c r="C5208" t="inlineStr">
        <is>
          <t>CPR</t>
        </is>
      </c>
      <c r="D5208" t="n">
        <v>42</v>
      </c>
      <c r="E5208">
        <f>IF(D4197&gt;0,VLOOKUP(OPERAC[[#This Row],[COD CART]],[1]!MatrizCortoLargoCyl[#All],3,0),"")</f>
        <v/>
      </c>
      <c r="F5208" t="inlineStr">
        <is>
          <t>AMD</t>
        </is>
      </c>
      <c r="G5208" t="n">
        <v>10</v>
      </c>
      <c r="H5208" t="n">
        <v>-987.7065453</v>
      </c>
      <c r="I5208">
        <f>-H4197/G4197</f>
        <v/>
      </c>
      <c r="J5208" s="16" t="n">
        <v>44693</v>
      </c>
      <c r="K5208">
        <f>+OPERAC[[#This Row],[cantidad]]</f>
        <v/>
      </c>
      <c r="L5208">
        <f>+OPERAC[[#This Row],[cantidad venta]]*85.26</f>
        <v/>
      </c>
    </row>
    <row r="5209">
      <c r="A5209" t="n">
        <v>19867</v>
      </c>
      <c r="B5209" s="16" t="n">
        <v>44664</v>
      </c>
      <c r="C5209" t="inlineStr">
        <is>
          <t>CPR</t>
        </is>
      </c>
      <c r="D5209" t="n">
        <v>42</v>
      </c>
      <c r="E5209">
        <f>IF(D4587&gt;0,VLOOKUP(OPERAC[[#This Row],[COD CART]],[1]!MatrizCortoLargoCyl[#All],3,0),"")</f>
        <v/>
      </c>
      <c r="F5209" t="inlineStr">
        <is>
          <t>PSQ</t>
        </is>
      </c>
      <c r="G5209" t="n">
        <v>100</v>
      </c>
      <c r="H5209" t="n">
        <v>-1243.2572181</v>
      </c>
      <c r="I5209">
        <f>-H4587/G4587</f>
        <v/>
      </c>
      <c r="J5209" s="16" t="n">
        <v>44680</v>
      </c>
      <c r="K5209">
        <f>+OPERAC[[#This Row],[cantidad]]</f>
        <v/>
      </c>
      <c r="L5209">
        <f>12.848*OPERAC[[#This Row],[cantidad venta]]</f>
        <v/>
      </c>
    </row>
    <row r="5210">
      <c r="A5210" t="n">
        <v>19867</v>
      </c>
      <c r="B5210" s="16" t="n">
        <v>44664</v>
      </c>
      <c r="C5210" t="inlineStr">
        <is>
          <t>CPR</t>
        </is>
      </c>
      <c r="D5210" t="n">
        <v>42</v>
      </c>
      <c r="E5210">
        <f>IF(D5695&gt;0,VLOOKUP(OPERAC[[#This Row],[COD CART]],[1]!MatrizCortoLargoCyl[#All],3,0),"")</f>
        <v/>
      </c>
      <c r="F5210" t="inlineStr">
        <is>
          <t>PSQ</t>
        </is>
      </c>
      <c r="G5210" t="n">
        <v>200</v>
      </c>
      <c r="H5210" t="n">
        <v>-2486.5144362</v>
      </c>
      <c r="I5210">
        <f>-H5695/G5695</f>
        <v/>
      </c>
      <c r="J5210" s="16" t="n">
        <v>44680</v>
      </c>
      <c r="K5210">
        <f>+OPERAC[[#This Row],[cantidad]]</f>
        <v/>
      </c>
      <c r="L5210">
        <f>12.848*OPERAC[[#This Row],[cantidad venta]]</f>
        <v/>
      </c>
    </row>
    <row r="5211">
      <c r="A5211" t="n">
        <v>19867</v>
      </c>
      <c r="B5211" s="16" t="n">
        <v>44670</v>
      </c>
      <c r="C5211" t="inlineStr">
        <is>
          <t>CPR</t>
        </is>
      </c>
      <c r="D5211" t="n">
        <v>32</v>
      </c>
      <c r="E5211">
        <f>IF(D3384&gt;0,VLOOKUP(OPERAC[[#This Row],[COD CART]],[1]!MatrizCortoLargoCyl[#All],3,0),"")</f>
        <v/>
      </c>
      <c r="F5211" t="inlineStr">
        <is>
          <t>PCT/CYL/7,50/20-05-22</t>
        </is>
      </c>
      <c r="G5211" t="n">
        <v>100</v>
      </c>
      <c r="H5211" t="n">
        <v>-710.274</v>
      </c>
      <c r="I5211">
        <f>-H3384/G3384</f>
        <v/>
      </c>
      <c r="J5211" s="16" t="n">
        <v>44698</v>
      </c>
      <c r="K5211">
        <f>+OPERAC[[#This Row],[cantidad]]</f>
        <v/>
      </c>
      <c r="L5211">
        <f>7.3616*OPERAC[[#This Row],[cantidad venta]]</f>
        <v/>
      </c>
    </row>
    <row r="5212">
      <c r="A5212" t="n">
        <v>19867</v>
      </c>
      <c r="B5212" s="16" t="n">
        <v>44671</v>
      </c>
      <c r="C5212" t="inlineStr">
        <is>
          <t>CPR</t>
        </is>
      </c>
      <c r="D5212" t="n">
        <v>42</v>
      </c>
      <c r="E5212">
        <f>IF(D4171&gt;0,VLOOKUP(OPERAC[[#This Row],[COD CART]],[1]!MatrizCortoLargoCyl[#All],3,0),"")</f>
        <v/>
      </c>
      <c r="F5212" t="inlineStr">
        <is>
          <t>TLT</t>
        </is>
      </c>
      <c r="G5212" t="n">
        <v>8</v>
      </c>
      <c r="H5212" t="n">
        <v>-980.50404</v>
      </c>
      <c r="I5212">
        <f>-H4171/G4171</f>
        <v/>
      </c>
    </row>
    <row r="5213">
      <c r="A5213" t="n">
        <v>19867</v>
      </c>
      <c r="B5213" s="16" t="n">
        <v>44671</v>
      </c>
      <c r="C5213" t="inlineStr">
        <is>
          <t>CPR</t>
        </is>
      </c>
      <c r="D5213" t="n">
        <v>42</v>
      </c>
      <c r="E5213">
        <f>IF(D4265&gt;0,VLOOKUP(OPERAC[[#This Row],[COD CART]],[1]!MatrizCortoLargoCyl[#All],3,0),"")</f>
        <v/>
      </c>
      <c r="F5213" t="inlineStr">
        <is>
          <t>NFLX</t>
        </is>
      </c>
      <c r="G5213" t="n">
        <v>4</v>
      </c>
      <c r="H5213" t="n">
        <v>-1018.02024</v>
      </c>
      <c r="I5213">
        <f>-H4265/G4265</f>
        <v/>
      </c>
      <c r="J5213" s="16" t="n">
        <v>44693</v>
      </c>
      <c r="K5213">
        <f>+OPERAC[[#This Row],[cantidad]]</f>
        <v/>
      </c>
      <c r="L5213">
        <f>+OPERAC[[#This Row],[cantidad venta]]*169.089</f>
        <v/>
      </c>
    </row>
    <row r="5214">
      <c r="A5214" t="n">
        <v>19867</v>
      </c>
      <c r="B5214" s="16" t="n">
        <v>44671</v>
      </c>
      <c r="C5214" t="inlineStr">
        <is>
          <t>VTA</t>
        </is>
      </c>
      <c r="D5214" t="n">
        <v>42</v>
      </c>
      <c r="E5214">
        <f>IF(D5125&gt;0,VLOOKUP(OPERAC[[#This Row],[COD CART]],[1]!MatrizCortoLargoCyl[#All],3,0),"")</f>
        <v/>
      </c>
      <c r="F5214" t="inlineStr">
        <is>
          <t>TLT</t>
        </is>
      </c>
      <c r="G5214" t="n">
        <v>13</v>
      </c>
      <c r="H5214" t="n">
        <v>-1593.319065</v>
      </c>
      <c r="I5214">
        <f>-H5125/G5125</f>
        <v/>
      </c>
    </row>
    <row r="5215">
      <c r="A5215" t="n">
        <v>19867</v>
      </c>
      <c r="B5215" s="16" t="n">
        <v>44677</v>
      </c>
      <c r="C5215" t="inlineStr">
        <is>
          <t>VTA</t>
        </is>
      </c>
      <c r="D5215" t="n">
        <v>32</v>
      </c>
      <c r="E5215">
        <f>IF(D5472&gt;0,VLOOKUP(OPERAC[[#This Row],[COD CART]],[1]!MatrizCortoLargoCyl[#All],3,0),"")</f>
        <v/>
      </c>
      <c r="F5215" t="inlineStr">
        <is>
          <t>HMY</t>
        </is>
      </c>
      <c r="G5215" t="n">
        <v>500</v>
      </c>
      <c r="H5215">
        <f>-3.849*OPERAC[[#This Row],[cantidad]]</f>
        <v/>
      </c>
      <c r="I5215">
        <f>-H5472/G5472</f>
        <v/>
      </c>
    </row>
    <row r="5216">
      <c r="A5216" t="n">
        <v>19867</v>
      </c>
      <c r="B5216" s="16" t="n">
        <v>44680</v>
      </c>
      <c r="C5216" t="inlineStr">
        <is>
          <t>CPR</t>
        </is>
      </c>
      <c r="D5216" t="n">
        <v>42</v>
      </c>
      <c r="E5216">
        <f>IF(D4747&gt;0,VLOOKUP(OPERAC[[#This Row],[COD CART]],[1]!MatrizCortoLargoCyl[#All],3,0),"")</f>
        <v/>
      </c>
      <c r="F5216" t="inlineStr">
        <is>
          <t>XLP</t>
        </is>
      </c>
      <c r="G5216" t="n">
        <v>17</v>
      </c>
      <c r="H5216" t="n">
        <v>-1350.3865425</v>
      </c>
      <c r="I5216">
        <f>-H4747/G4747</f>
        <v/>
      </c>
      <c r="J5216" s="16" t="n">
        <v>44693</v>
      </c>
      <c r="K5216">
        <f>+OPERAC[[#This Row],[cantidad]]</f>
        <v/>
      </c>
      <c r="L5216">
        <f>+OPERAC[[#This Row],[cantidad venta]]*74.848</f>
        <v/>
      </c>
    </row>
    <row r="5217">
      <c r="A5217" t="n">
        <v>19867</v>
      </c>
      <c r="B5217" s="16" t="n">
        <v>44680</v>
      </c>
      <c r="C5217" t="inlineStr">
        <is>
          <t>CPR</t>
        </is>
      </c>
      <c r="D5217" t="n">
        <v>42</v>
      </c>
      <c r="E5217">
        <f>IF(D5746&gt;0,VLOOKUP(OPERAC[[#This Row],[COD CART]],[1]!MatrizCortoLargoCyl[#All],3,0),"")</f>
        <v/>
      </c>
      <c r="F5217" t="inlineStr">
        <is>
          <t>XLP</t>
        </is>
      </c>
      <c r="G5217" t="n">
        <v>33</v>
      </c>
      <c r="H5217" t="n">
        <v>-2621.3385825</v>
      </c>
      <c r="I5217">
        <f>-H5746/G5746</f>
        <v/>
      </c>
      <c r="J5217" s="16" t="n">
        <v>44693</v>
      </c>
      <c r="K5217">
        <f>+OPERAC[[#This Row],[cantidad]]</f>
        <v/>
      </c>
      <c r="L5217">
        <f>+OPERAC[[#This Row],[cantidad venta]]*74.848</f>
        <v/>
      </c>
    </row>
    <row r="5218">
      <c r="A5218" t="n">
        <v>19867</v>
      </c>
      <c r="B5218" s="16" t="n">
        <v>44687</v>
      </c>
      <c r="C5218" t="inlineStr">
        <is>
          <t>VTA</t>
        </is>
      </c>
      <c r="D5218" t="n">
        <v>43</v>
      </c>
      <c r="E5218">
        <f>IF(D5158&gt;0,VLOOKUP(OPERAC[[#This Row],[COD CART]],[1]!MatrizCortoLargoCyl[#All],3,0),"")</f>
        <v/>
      </c>
      <c r="F5218" t="inlineStr">
        <is>
          <t>SPWR/CYP/16,50-15,50/20-05-22</t>
        </is>
      </c>
      <c r="G5218" t="n">
        <v>100</v>
      </c>
      <c r="H5218" t="n">
        <v>-1607.83</v>
      </c>
      <c r="I5218">
        <f>-H5158/G5158</f>
        <v/>
      </c>
      <c r="J5218" s="16" t="n">
        <v>44701</v>
      </c>
      <c r="K5218" t="n">
        <v>100</v>
      </c>
      <c r="L5218" t="n">
        <v>1637.55</v>
      </c>
    </row>
    <row r="5219">
      <c r="A5219" t="n">
        <v>19867</v>
      </c>
      <c r="B5219" s="16" t="n">
        <v>44698</v>
      </c>
      <c r="C5219" t="inlineStr">
        <is>
          <t>CPR</t>
        </is>
      </c>
      <c r="D5219" t="n">
        <v>39</v>
      </c>
      <c r="E5219">
        <f>IF(D3461&gt;0,VLOOKUP(OPERAC[[#This Row],[COD CART]],[1]!MatrizCortoLargoCyl[#All],3,0),"")</f>
        <v/>
      </c>
      <c r="F5219" t="inlineStr">
        <is>
          <t>NTLA/C/65,00/15-07-22</t>
        </is>
      </c>
      <c r="G5219" t="n">
        <v>300</v>
      </c>
      <c r="H5219" t="n">
        <v>-756.375</v>
      </c>
      <c r="I5219">
        <f>-H3461/G3461</f>
        <v/>
      </c>
    </row>
    <row r="5220">
      <c r="A5220" t="n">
        <v>19867</v>
      </c>
      <c r="B5220" s="16" t="n">
        <v>44705</v>
      </c>
      <c r="C5220" t="inlineStr">
        <is>
          <t>CPR</t>
        </is>
      </c>
      <c r="D5220" t="n">
        <v>42</v>
      </c>
      <c r="E5220">
        <f>IF(D6253&gt;0,VLOOKUP(OPERAC[[#This Row],[COD CART]],[1]!MatrizCortoLargoCyl[#All],3,0),"")</f>
        <v/>
      </c>
      <c r="F5220" t="inlineStr">
        <is>
          <t>MELI</t>
        </is>
      </c>
      <c r="G5220" t="n">
        <v>10</v>
      </c>
      <c r="H5220" t="n">
        <v>-7048.08</v>
      </c>
      <c r="I5220">
        <f>-H6253/G6253</f>
        <v/>
      </c>
      <c r="J5220" s="16" t="n">
        <v>44706</v>
      </c>
      <c r="K5220">
        <f>+OPERAC[[#This Row],[cantidad]]</f>
        <v/>
      </c>
      <c r="L5220" t="n">
        <v>7258.734</v>
      </c>
    </row>
    <row r="5221">
      <c r="A5221" t="n">
        <v>19867</v>
      </c>
      <c r="B5221" s="16" t="n">
        <v>44707</v>
      </c>
      <c r="C5221" t="inlineStr">
        <is>
          <t>VTA</t>
        </is>
      </c>
      <c r="D5221" t="n">
        <v>43</v>
      </c>
      <c r="E5221">
        <f>IF(D5296&gt;0,VLOOKUP(OPERAC[[#This Row],[COD CART]],[1]!MatrizCortoLargoCyl[#All],3,0),"")</f>
        <v/>
      </c>
      <c r="F5221" t="inlineStr">
        <is>
          <t>SPWR/CYP/17,50-15,00/17-06-22</t>
        </is>
      </c>
      <c r="G5221" t="n">
        <v>100</v>
      </c>
      <c r="H5221" t="n">
        <v>-1717.027</v>
      </c>
      <c r="I5221">
        <f>-H5296/G5296</f>
        <v/>
      </c>
    </row>
    <row r="5222">
      <c r="A5222" t="n">
        <v>19867</v>
      </c>
      <c r="B5222" s="16" t="n">
        <v>44708</v>
      </c>
      <c r="C5222" t="inlineStr">
        <is>
          <t>CPR</t>
        </is>
      </c>
      <c r="D5222" t="n">
        <v>32</v>
      </c>
      <c r="E5222">
        <f>IF(D4355&gt;0,VLOOKUP(OPERAC[[#This Row],[COD CART]],[1]!MatrizCortoLargoCyl[#All],3,0),"")</f>
        <v/>
      </c>
      <c r="F5222" t="inlineStr">
        <is>
          <t>AMC/CYL/11,00/03-06-22</t>
        </is>
      </c>
      <c r="G5222" t="n">
        <v>100</v>
      </c>
      <c r="H5222" t="n">
        <v>-1071.908</v>
      </c>
      <c r="I5222">
        <f>-H4355/G4355</f>
        <v/>
      </c>
      <c r="J5222" s="16" t="n">
        <v>44715</v>
      </c>
      <c r="K5222">
        <f>+OPERAC[[#This Row],[cantidad]]</f>
        <v/>
      </c>
      <c r="L5222">
        <f>+OPERAC[[#This Row],[cantidad venta]]*10.951</f>
        <v/>
      </c>
    </row>
    <row r="5223">
      <c r="A5223" t="n">
        <v>19867</v>
      </c>
      <c r="B5223" s="16" t="n">
        <v>44712</v>
      </c>
      <c r="C5223" t="inlineStr">
        <is>
          <t>CPR</t>
        </is>
      </c>
      <c r="D5223" t="n">
        <v>32</v>
      </c>
      <c r="E5223">
        <f>IF(D5681&gt;0,VLOOKUP(OPERAC[[#This Row],[COD CART]],[1]!MatrizCortoLargoCyl[#All],3,0),"")</f>
        <v/>
      </c>
      <c r="F5223" t="inlineStr">
        <is>
          <t>AMC/CYL/13,00/10-06-22</t>
        </is>
      </c>
      <c r="G5223" t="n">
        <v>200</v>
      </c>
      <c r="H5223" t="n">
        <v>-2465.5</v>
      </c>
      <c r="I5223">
        <f>-H5681/G5681</f>
        <v/>
      </c>
      <c r="J5223" s="16" t="n">
        <v>44722</v>
      </c>
      <c r="K5223" t="n">
        <v>200</v>
      </c>
      <c r="L5223" t="n">
        <v>2468.57</v>
      </c>
    </row>
    <row r="5224">
      <c r="A5224" t="n">
        <v>19867</v>
      </c>
      <c r="B5224" s="16" t="n">
        <v>44712</v>
      </c>
      <c r="C5224" t="inlineStr">
        <is>
          <t>VTA</t>
        </is>
      </c>
      <c r="D5224" t="n">
        <v>39</v>
      </c>
      <c r="E5224">
        <f>IF(D2329&gt;0,VLOOKUP(OPERAC[[#This Row],[COD CART]],[1]!MatrizCortoLargoCyl[#All],3,0),"")</f>
        <v/>
      </c>
      <c r="F5224" t="inlineStr">
        <is>
          <t>ET/C/10,00/21-10-22</t>
        </is>
      </c>
      <c r="G5224" t="n">
        <v>200</v>
      </c>
      <c r="H5224" t="n">
        <v>-405.616</v>
      </c>
      <c r="I5224">
        <f>-H2329/G2329</f>
        <v/>
      </c>
    </row>
    <row r="5225">
      <c r="A5225" t="n">
        <v>19867</v>
      </c>
      <c r="B5225" s="16" t="n">
        <v>44715</v>
      </c>
      <c r="C5225" t="inlineStr">
        <is>
          <t>VTA</t>
        </is>
      </c>
      <c r="D5225" t="n">
        <v>32</v>
      </c>
      <c r="E5225">
        <f>IF(D5066&gt;0,VLOOKUP(OPERAC[[#This Row],[COD CART]],[1]!MatrizCortoLargoCyl[#All],3,0),"")</f>
        <v/>
      </c>
      <c r="F5225" t="inlineStr">
        <is>
          <t>AAL/CYL/16,50/17-06-22</t>
        </is>
      </c>
      <c r="G5225" t="n">
        <v>100</v>
      </c>
      <c r="H5225" t="n">
        <v>-1580.215</v>
      </c>
      <c r="I5225">
        <f>-H5066/G5066</f>
        <v/>
      </c>
    </row>
    <row r="5226">
      <c r="A5226" t="n">
        <v>19867</v>
      </c>
      <c r="B5226" s="16" t="n">
        <v>44718</v>
      </c>
      <c r="C5226" t="inlineStr">
        <is>
          <t>CPR</t>
        </is>
      </c>
      <c r="D5226" t="n">
        <v>42</v>
      </c>
      <c r="E5226">
        <f>IF(D5947&gt;0,VLOOKUP(OPERAC[[#This Row],[COD CART]],[1]!MatrizCortoLargoCyl[#All],3,0),"")</f>
        <v/>
      </c>
      <c r="F5226" t="inlineStr">
        <is>
          <t>KWEB</t>
        </is>
      </c>
      <c r="G5226" t="n">
        <v>100</v>
      </c>
      <c r="H5226" t="n">
        <v>-3108.3388</v>
      </c>
      <c r="I5226">
        <f>-H5947/G5947</f>
        <v/>
      </c>
      <c r="J5226" s="16" t="n">
        <v>44726</v>
      </c>
      <c r="K5226" t="n">
        <v>100</v>
      </c>
      <c r="L5226" t="n">
        <v>3081.582</v>
      </c>
    </row>
    <row r="5227">
      <c r="A5227" t="n">
        <v>19867</v>
      </c>
      <c r="B5227" s="16" t="n">
        <v>44720</v>
      </c>
      <c r="C5227" t="inlineStr">
        <is>
          <t>CPR</t>
        </is>
      </c>
      <c r="D5227" t="n">
        <v>42</v>
      </c>
      <c r="E5227">
        <f>IF(D5914&gt;0,VLOOKUP(OPERAC[[#This Row],[COD CART]],[1]!MatrizCortoLargoCyl[#All],3,0),"")</f>
        <v/>
      </c>
      <c r="F5227" t="inlineStr">
        <is>
          <t>HYDR</t>
        </is>
      </c>
      <c r="G5227" t="n">
        <v>200</v>
      </c>
      <c r="H5227" t="n">
        <v>-3025.5</v>
      </c>
      <c r="I5227">
        <f>-H5914/G5914</f>
        <v/>
      </c>
    </row>
    <row r="5228">
      <c r="A5228" t="n">
        <v>19867</v>
      </c>
      <c r="B5228" s="16" t="n">
        <v>44722</v>
      </c>
      <c r="C5228" t="inlineStr">
        <is>
          <t>CPR</t>
        </is>
      </c>
      <c r="D5228" t="n">
        <v>32</v>
      </c>
      <c r="E5228">
        <f>IF(D4217&gt;0,VLOOKUP(OPERAC[[#This Row],[COD CART]],[1]!MatrizCortoLargoCyl[#All],3,0),"")</f>
        <v/>
      </c>
      <c r="F5228" t="inlineStr">
        <is>
          <t>CCL/CYL/10,50/24-06-22</t>
        </is>
      </c>
      <c r="G5228" t="n">
        <v>100</v>
      </c>
      <c r="H5228" t="n">
        <v>-1005.33</v>
      </c>
      <c r="I5228">
        <f>-H4217/G4217</f>
        <v/>
      </c>
    </row>
    <row r="5229">
      <c r="A5229" t="n">
        <v>19867</v>
      </c>
      <c r="B5229" s="16" t="n">
        <v>44722</v>
      </c>
      <c r="C5229" t="inlineStr">
        <is>
          <t>VTA</t>
        </is>
      </c>
      <c r="D5229" t="n">
        <v>32</v>
      </c>
      <c r="E5229">
        <f>IF(D3753&gt;0,VLOOKUP(OPERAC[[#This Row],[COD CART]],[1]!MatrizCortoLargoCyl[#All],3,0),"")</f>
        <v/>
      </c>
      <c r="F5229" t="inlineStr">
        <is>
          <t>NNOX/CYL/9,00/17-06-22</t>
        </is>
      </c>
      <c r="G5229" t="n">
        <v>100</v>
      </c>
      <c r="H5229" t="n">
        <v>-844.8390000000001</v>
      </c>
      <c r="I5229">
        <f>-H3753/G3753</f>
        <v/>
      </c>
    </row>
    <row r="5230">
      <c r="A5230" t="n">
        <v>19867</v>
      </c>
      <c r="B5230" s="16" t="n">
        <v>44725</v>
      </c>
      <c r="C5230" t="inlineStr">
        <is>
          <t>VTA</t>
        </is>
      </c>
      <c r="D5230" t="n">
        <v>40</v>
      </c>
      <c r="E5230">
        <f>IF(D3914&gt;0,VLOOKUP(OPERAC[[#This Row],[COD CART]],[1]!MatrizCortoLargoCyl[#All],3,0),"")</f>
        <v/>
      </c>
      <c r="F5230" t="inlineStr">
        <is>
          <t>AMD</t>
        </is>
      </c>
      <c r="G5230" t="n">
        <v>10</v>
      </c>
      <c r="H5230" t="n">
        <v>-876.9411749999999</v>
      </c>
      <c r="I5230">
        <f>-H3914/G3914</f>
        <v/>
      </c>
    </row>
    <row r="5231">
      <c r="A5231" t="n">
        <v>19878</v>
      </c>
      <c r="B5231" s="16" t="n">
        <v>44307</v>
      </c>
      <c r="C5231" t="inlineStr">
        <is>
          <t>VTA</t>
        </is>
      </c>
      <c r="D5231" t="n">
        <v>39</v>
      </c>
      <c r="E5231">
        <f>IF(D506&gt;0,VLOOKUP(OPERAC[[#This Row],[COD CART]],[1]!MatrizCortoLargoCyl[#All],3,0),"")</f>
        <v/>
      </c>
      <c r="F5231" t="inlineStr">
        <is>
          <t>ACB/V/15,00/20-01-23</t>
        </is>
      </c>
      <c r="G5231" t="n">
        <v>-100</v>
      </c>
      <c r="H5231" t="n">
        <v>890</v>
      </c>
      <c r="I5231">
        <f>-H506/G506</f>
        <v/>
      </c>
      <c r="J5231" s="16" t="n">
        <v>44614</v>
      </c>
      <c r="K5231" t="n">
        <v>-100</v>
      </c>
      <c r="L5231" t="n">
        <v>-890</v>
      </c>
    </row>
    <row r="5232">
      <c r="A5232" t="n">
        <v>19878</v>
      </c>
      <c r="B5232" s="16" t="n">
        <v>44340</v>
      </c>
      <c r="C5232" t="inlineStr">
        <is>
          <t>VTA</t>
        </is>
      </c>
      <c r="D5232" t="n">
        <v>39</v>
      </c>
      <c r="E5232">
        <f>IF(D530&gt;0,VLOOKUP(OPERAC[[#This Row],[COD CART]],[1]!MatrizCortoLargoCyl[#All],3,0),"")</f>
        <v/>
      </c>
      <c r="F5232" t="inlineStr">
        <is>
          <t>SOLO/V/3,50/21-01-22</t>
        </is>
      </c>
      <c r="G5232" t="n">
        <v>-800</v>
      </c>
      <c r="H5232" t="n">
        <v>846.6839999999999</v>
      </c>
      <c r="I5232">
        <f>-H530/G530</f>
        <v/>
      </c>
      <c r="J5232" s="16" t="n">
        <v>44579</v>
      </c>
      <c r="K5232">
        <f>+OPERAC[[#This Row],[cantidad]]</f>
        <v/>
      </c>
      <c r="L5232">
        <f>-OPERAC[[#This Row],[importe]]</f>
        <v/>
      </c>
    </row>
    <row r="5233">
      <c r="A5233" t="n">
        <v>19878</v>
      </c>
      <c r="B5233" s="16" t="n">
        <v>44431</v>
      </c>
      <c r="C5233" t="inlineStr">
        <is>
          <t>VTA</t>
        </is>
      </c>
      <c r="D5233" t="n">
        <v>39</v>
      </c>
      <c r="E5233">
        <f>IF(D1178&gt;0,VLOOKUP(OPERAC[[#This Row],[COD CART]],[1]!MatrizCortoLargoCyl[#All],3,0),"")</f>
        <v/>
      </c>
      <c r="F5233" t="inlineStr">
        <is>
          <t>GGAL/V/10,00/20-01-23</t>
        </is>
      </c>
      <c r="G5233" t="n">
        <v>-5</v>
      </c>
      <c r="H5233" t="n">
        <v>12.4</v>
      </c>
      <c r="I5233">
        <f>-H1178/G1178</f>
        <v/>
      </c>
    </row>
    <row r="5234">
      <c r="A5234" t="n">
        <v>19878</v>
      </c>
      <c r="B5234" s="16" t="n">
        <v>44439</v>
      </c>
      <c r="C5234" t="inlineStr">
        <is>
          <t>VTA</t>
        </is>
      </c>
      <c r="D5234" t="n">
        <v>39</v>
      </c>
      <c r="E5234">
        <f>IF(D224&gt;0,VLOOKUP(OPERAC[[#This Row],[COD CART]],[1]!MatrizCortoLargoCyl[#All],3,0),"")</f>
        <v/>
      </c>
      <c r="F5234" t="inlineStr">
        <is>
          <t>SKLZ/P/7,50/20-01-23</t>
        </is>
      </c>
      <c r="G5234" t="n">
        <v>-1000</v>
      </c>
      <c r="H5234" t="n">
        <v>1984</v>
      </c>
      <c r="I5234">
        <f>-H224/G224</f>
        <v/>
      </c>
      <c r="J5234" s="16" t="n">
        <v>44614</v>
      </c>
      <c r="K5234">
        <f>+OPERAC[[#This Row],[cantidad]]</f>
        <v/>
      </c>
      <c r="L5234">
        <f>+OPERAC[[#This Row],[cantidad venta]]*4.488</f>
        <v/>
      </c>
    </row>
    <row r="5235">
      <c r="A5235" t="n">
        <v>19878</v>
      </c>
      <c r="B5235" s="16" t="n">
        <v>44453</v>
      </c>
      <c r="C5235" t="inlineStr">
        <is>
          <t>VTA</t>
        </is>
      </c>
      <c r="D5235" t="n">
        <v>39</v>
      </c>
      <c r="E5235">
        <f>IF(D1183&gt;0,VLOOKUP(OPERAC[[#This Row],[COD CART]],[1]!MatrizCortoLargoCyl[#All],3,0),"")</f>
        <v/>
      </c>
      <c r="F5235" t="inlineStr">
        <is>
          <t>EDIT/V/20,00/20-01-23</t>
        </is>
      </c>
      <c r="G5235" t="n">
        <v>-5</v>
      </c>
      <c r="H5235" t="n">
        <v>10.37</v>
      </c>
      <c r="I5235">
        <f>-H1183/G1183</f>
        <v/>
      </c>
    </row>
    <row r="5236">
      <c r="A5236" t="n">
        <v>19878</v>
      </c>
      <c r="B5236" s="16" t="n">
        <v>44459</v>
      </c>
      <c r="C5236" t="inlineStr">
        <is>
          <t>VTA</t>
        </is>
      </c>
      <c r="D5236" t="n">
        <v>40</v>
      </c>
      <c r="E5236">
        <f>IF(D2902&gt;0,VLOOKUP(OPERAC[[#This Row],[COD CART]],[1]!MatrizCortoLargoCyl[#All],3,0),"")</f>
        <v/>
      </c>
      <c r="F5236" t="inlineStr">
        <is>
          <t>EDU</t>
        </is>
      </c>
      <c r="G5236" t="n">
        <v>600</v>
      </c>
      <c r="H5236">
        <f>-573.57+0.04*OPERAC[[#This Row],[cantidad]]</f>
        <v/>
      </c>
      <c r="I5236">
        <f>-H2902/G2902</f>
        <v/>
      </c>
      <c r="J5236" s="16" t="n">
        <v>44622</v>
      </c>
      <c r="K5236" t="n">
        <v>600</v>
      </c>
      <c r="L5236" t="n">
        <v>821.145</v>
      </c>
    </row>
    <row r="5237">
      <c r="A5237" t="n">
        <v>19878</v>
      </c>
      <c r="B5237" s="16" t="n">
        <v>44474</v>
      </c>
      <c r="C5237" t="inlineStr">
        <is>
          <t>VTA</t>
        </is>
      </c>
      <c r="D5237" t="n">
        <v>39</v>
      </c>
      <c r="E5237">
        <f>IF(D947&gt;0,VLOOKUP(OPERAC[[#This Row],[COD CART]],[1]!MatrizCortoLargoCyl[#All],3,0),"")</f>
        <v/>
      </c>
      <c r="F5237" t="inlineStr">
        <is>
          <t>NKE/V/115,00/21-01-22</t>
        </is>
      </c>
      <c r="G5237" t="n">
        <v>-100</v>
      </c>
      <c r="H5237" t="n">
        <v>94.95699999999999</v>
      </c>
      <c r="I5237">
        <f>-H947/G947</f>
        <v/>
      </c>
      <c r="J5237" s="16" t="n">
        <v>44582</v>
      </c>
      <c r="K5237">
        <f>+OPERAC[[#This Row],[cantidad]]</f>
        <v/>
      </c>
      <c r="L5237" t="n">
        <v>0</v>
      </c>
    </row>
    <row r="5238">
      <c r="A5238" t="n">
        <v>19878</v>
      </c>
      <c r="B5238" s="16" t="n">
        <v>44489</v>
      </c>
      <c r="C5238" t="inlineStr">
        <is>
          <t>CPR</t>
        </is>
      </c>
      <c r="D5238" t="n">
        <v>43</v>
      </c>
      <c r="E5238">
        <f>IF(D4952&gt;0,VLOOKUP(OPERAC[[#This Row],[COD CART]],[1]!MatrizCortoLargoCyl[#All],3,0),"")</f>
        <v/>
      </c>
      <c r="F5238" t="inlineStr">
        <is>
          <t>SESN/CYL-PUT/1,00/19-01-24</t>
        </is>
      </c>
      <c r="G5238" t="n">
        <v>8000</v>
      </c>
      <c r="H5238">
        <f>-0.1885*OPERAC[[#This Row],[cantidad]]</f>
        <v/>
      </c>
      <c r="I5238">
        <f>-H4952/G4952</f>
        <v/>
      </c>
      <c r="J5238" s="16" t="n">
        <v>44614</v>
      </c>
      <c r="K5238" t="n">
        <v>3000</v>
      </c>
      <c r="L5238" t="n">
        <v>798.204</v>
      </c>
    </row>
    <row r="5239">
      <c r="A5239" t="n">
        <v>19878</v>
      </c>
      <c r="B5239" s="16" t="n">
        <v>44490</v>
      </c>
      <c r="C5239" t="inlineStr">
        <is>
          <t>VTA</t>
        </is>
      </c>
      <c r="D5239" t="n">
        <v>40</v>
      </c>
      <c r="E5239">
        <f>IF(D5093&gt;0,VLOOKUP(OPERAC[[#This Row],[COD CART]],[1]!MatrizCortoLargoCyl[#All],3,0),"")</f>
        <v/>
      </c>
      <c r="F5239" t="inlineStr">
        <is>
          <t>MELI</t>
        </is>
      </c>
      <c r="G5239" t="n">
        <v>1</v>
      </c>
      <c r="H5239" t="n">
        <v>-1587.905</v>
      </c>
      <c r="I5239">
        <f>-H5093/G5093</f>
        <v/>
      </c>
      <c r="J5239" s="16" t="n">
        <v>44606</v>
      </c>
      <c r="K5239" t="n">
        <v>1</v>
      </c>
      <c r="L5239" t="n">
        <v>1073.609</v>
      </c>
    </row>
    <row r="5240">
      <c r="A5240" t="n">
        <v>19878</v>
      </c>
      <c r="B5240" s="16" t="n">
        <v>44495</v>
      </c>
      <c r="C5240" t="inlineStr">
        <is>
          <t>VTA</t>
        </is>
      </c>
      <c r="D5240" t="n">
        <v>39</v>
      </c>
      <c r="E5240">
        <f>IF(D370&gt;0,VLOOKUP(OPERAC[[#This Row],[COD CART]],[1]!MatrizCortoLargoCyl[#All],3,0),"")</f>
        <v/>
      </c>
      <c r="F5240" t="inlineStr">
        <is>
          <t>TLRY/V/11,00/21-01-22</t>
        </is>
      </c>
      <c r="G5240" t="n">
        <v>-700</v>
      </c>
      <c r="H5240" t="n">
        <v>1208.34</v>
      </c>
      <c r="I5240">
        <f>-H370/G370</f>
        <v/>
      </c>
      <c r="J5240" s="16" t="n">
        <v>44571</v>
      </c>
      <c r="K5240">
        <f>+OPERAC[[#This Row],[cantidad]]</f>
        <v/>
      </c>
      <c r="L5240">
        <f>-OPERAC[[#This Row],[importe]]</f>
        <v/>
      </c>
    </row>
    <row r="5241">
      <c r="A5241" t="n">
        <v>19878</v>
      </c>
      <c r="B5241" s="16" t="n">
        <v>44511</v>
      </c>
      <c r="C5241" t="inlineStr">
        <is>
          <t>CPR</t>
        </is>
      </c>
      <c r="D5241" t="n">
        <v>31</v>
      </c>
      <c r="E5241">
        <f>IF(D4390&gt;0,VLOOKUP(OPERAC[[#This Row],[COD CART]],[1]!MatrizCortoLargoCyl[#All],3,0),"")</f>
        <v/>
      </c>
      <c r="F5241" t="inlineStr">
        <is>
          <t>IPIX</t>
        </is>
      </c>
      <c r="G5241" t="n">
        <v>10000</v>
      </c>
      <c r="H5241" t="n">
        <v>-1099.9</v>
      </c>
      <c r="I5241">
        <f>-H4390/G4390</f>
        <v/>
      </c>
    </row>
    <row r="5242">
      <c r="A5242" t="n">
        <v>19878</v>
      </c>
      <c r="B5242" s="16" t="n">
        <v>44531</v>
      </c>
      <c r="C5242" t="inlineStr">
        <is>
          <t>VTA</t>
        </is>
      </c>
      <c r="D5242" t="n">
        <v>39</v>
      </c>
      <c r="E5242">
        <f>IF(D718&gt;0,VLOOKUP(OPERAC[[#This Row],[COD CART]],[1]!MatrizCortoLargoCyl[#All],3,0),"")</f>
        <v/>
      </c>
      <c r="F5242" t="inlineStr">
        <is>
          <t>MELI/V/740,00/16-09-22</t>
        </is>
      </c>
      <c r="G5242" t="n">
        <v>-200</v>
      </c>
      <c r="H5242">
        <f>-2*OPERAC[[#This Row],[cantidad]]</f>
        <v/>
      </c>
      <c r="I5242">
        <f>-H718/G718</f>
        <v/>
      </c>
      <c r="J5242" s="16" t="n">
        <v>44614</v>
      </c>
      <c r="K5242">
        <f>+OPERAC[[#This Row],[cantidad]]</f>
        <v/>
      </c>
      <c r="L5242" t="n">
        <v>-400</v>
      </c>
    </row>
    <row r="5243">
      <c r="A5243" t="n">
        <v>19878</v>
      </c>
      <c r="B5243" s="16" t="n">
        <v>44532</v>
      </c>
      <c r="C5243" t="inlineStr">
        <is>
          <t>VTA</t>
        </is>
      </c>
      <c r="D5243" t="n">
        <v>32</v>
      </c>
      <c r="E5243">
        <f>IF(D3940&gt;0,VLOOKUP(OPERAC[[#This Row],[COD CART]],[1]!MatrizCortoLargoCyl[#All],3,0),"")</f>
        <v/>
      </c>
      <c r="F5243" t="inlineStr">
        <is>
          <t>COTY/CYL/10,00/18-02-22</t>
        </is>
      </c>
      <c r="G5243" t="n">
        <v>100</v>
      </c>
      <c r="H5243">
        <f>-901.599+20.838</f>
        <v/>
      </c>
      <c r="I5243">
        <f>-H3940/G3940</f>
        <v/>
      </c>
      <c r="J5243" s="16" t="n">
        <v>44608</v>
      </c>
      <c r="K5243">
        <f>+OPERAC[[#This Row],[cantidad]]</f>
        <v/>
      </c>
      <c r="L5243" t="n">
        <v>941.701</v>
      </c>
    </row>
    <row r="5244">
      <c r="A5244" t="n">
        <v>19878</v>
      </c>
      <c r="B5244" s="16" t="n">
        <v>44533</v>
      </c>
      <c r="C5244" t="inlineStr">
        <is>
          <t>CPR</t>
        </is>
      </c>
      <c r="D5244" t="n">
        <v>40</v>
      </c>
      <c r="E5244">
        <f>IF(D5797&gt;0,VLOOKUP(OPERAC[[#This Row],[COD CART]],[1]!MatrizCortoLargoCyl[#All],3,0),"")</f>
        <v/>
      </c>
      <c r="F5244" t="inlineStr">
        <is>
          <t>EDIT</t>
        </is>
      </c>
      <c r="G5244" t="n">
        <v>100</v>
      </c>
      <c r="H5244">
        <f>-26.92*OPERAC[[#This Row],[cantidad]]+4.952</f>
        <v/>
      </c>
      <c r="I5244">
        <f>-H5797/G5797</f>
        <v/>
      </c>
      <c r="J5244" s="16" t="n">
        <v>44614</v>
      </c>
      <c r="K5244" t="n">
        <v>100</v>
      </c>
      <c r="L5244" t="n">
        <v>1487.47</v>
      </c>
    </row>
    <row r="5245">
      <c r="A5245" t="n">
        <v>19878</v>
      </c>
      <c r="B5245" s="16" t="n">
        <v>44533</v>
      </c>
      <c r="C5245" t="inlineStr">
        <is>
          <t>CPR</t>
        </is>
      </c>
      <c r="D5245" t="n">
        <v>32</v>
      </c>
      <c r="E5245">
        <f>IF(D5806&gt;0,VLOOKUP(OPERAC[[#This Row],[COD CART]],[1]!MatrizCortoLargoCyl[#All],3,0),"")</f>
        <v/>
      </c>
      <c r="F5245" t="inlineStr">
        <is>
          <t>SPCE/CYL/20,00/21-01-22</t>
        </is>
      </c>
      <c r="G5245" t="n">
        <v>200</v>
      </c>
      <c r="H5245">
        <f>-13.67*OPERAC[[#This Row],[cantidad]]</f>
        <v/>
      </c>
      <c r="I5245">
        <f>-H5806/G5806</f>
        <v/>
      </c>
      <c r="J5245" s="16" t="n">
        <v>44579</v>
      </c>
      <c r="K5245" t="n">
        <v>200</v>
      </c>
      <c r="L5245">
        <f>+OPERAC[[#This Row],[cantidad venta]]*9.64</f>
        <v/>
      </c>
    </row>
    <row r="5246">
      <c r="A5246" t="n">
        <v>19878</v>
      </c>
      <c r="B5246" s="16" t="n">
        <v>44533</v>
      </c>
      <c r="C5246" t="inlineStr">
        <is>
          <t>CPR</t>
        </is>
      </c>
      <c r="D5246" t="n">
        <v>32</v>
      </c>
      <c r="E5246">
        <f>IF(D5857&gt;0,VLOOKUP(OPERAC[[#This Row],[COD CART]],[1]!MatrizCortoLargoCyl[#All],3,0),"")</f>
        <v/>
      </c>
      <c r="F5246" t="inlineStr">
        <is>
          <t>INO/CYL/8,00/18-02-22</t>
        </is>
      </c>
      <c r="G5246" t="n">
        <v>500</v>
      </c>
      <c r="H5246">
        <f>-5.87*OPERAC[[#This Row],[cantidad]]+23.536</f>
        <v/>
      </c>
      <c r="I5246">
        <f>-H5857/G5857</f>
        <v/>
      </c>
      <c r="J5246" s="16" t="n">
        <v>44594</v>
      </c>
      <c r="K5246">
        <f>300+200</f>
        <v/>
      </c>
      <c r="L5246">
        <f>1157.015+366</f>
        <v/>
      </c>
    </row>
    <row r="5247">
      <c r="A5247" t="n">
        <v>19878</v>
      </c>
      <c r="B5247" s="16" t="n">
        <v>44536</v>
      </c>
      <c r="C5247" t="inlineStr">
        <is>
          <t>CPR</t>
        </is>
      </c>
      <c r="D5247" t="n">
        <v>40</v>
      </c>
      <c r="E5247">
        <f>IF(D5714&gt;0,VLOOKUP(OPERAC[[#This Row],[COD CART]],[1]!MatrizCortoLargoCyl[#All],3,0),"")</f>
        <v/>
      </c>
      <c r="F5247" t="inlineStr">
        <is>
          <t>UVXY</t>
        </is>
      </c>
      <c r="G5247" t="n">
        <v>110</v>
      </c>
      <c r="H5247" t="n">
        <v>-2549.6812</v>
      </c>
      <c r="I5247">
        <f>-H5714/G5714</f>
        <v/>
      </c>
      <c r="J5247" s="16" t="n">
        <v>44559</v>
      </c>
      <c r="K5247">
        <f>25+85</f>
        <v/>
      </c>
      <c r="L5247">
        <f>320.656+1201.456</f>
        <v/>
      </c>
    </row>
    <row r="5248">
      <c r="A5248" t="n">
        <v>19878</v>
      </c>
      <c r="B5248" s="16" t="n">
        <v>44538</v>
      </c>
      <c r="C5248" t="inlineStr">
        <is>
          <t>CPR</t>
        </is>
      </c>
      <c r="D5248" t="n">
        <v>43</v>
      </c>
      <c r="E5248">
        <f>IF(D4100&gt;0,VLOOKUP(OPERAC[[#This Row],[COD CART]],[1]!MatrizCortoLargoCyl[#All],3,0),"")</f>
        <v/>
      </c>
      <c r="F5248" t="inlineStr">
        <is>
          <t>HEXO/CYL-PUT/1,00/20-01-23</t>
        </is>
      </c>
      <c r="G5248" t="n">
        <v>5000</v>
      </c>
      <c r="H5248">
        <f>-0.1886*OPERAC[[#This Row],[cantidad]]</f>
        <v/>
      </c>
      <c r="I5248">
        <f>-H4100/G4100</f>
        <v/>
      </c>
      <c r="J5248" s="16" t="n">
        <v>44614</v>
      </c>
      <c r="K5248" t="n">
        <v>5000</v>
      </c>
      <c r="L5248" t="n">
        <v>1653.364</v>
      </c>
    </row>
    <row r="5249">
      <c r="A5249" t="n">
        <v>19878</v>
      </c>
      <c r="B5249" s="16" t="n">
        <v>44539</v>
      </c>
      <c r="C5249" t="inlineStr">
        <is>
          <t>CPR</t>
        </is>
      </c>
      <c r="D5249" t="n">
        <v>40</v>
      </c>
      <c r="E5249">
        <f>IF(D4658&gt;0,VLOOKUP(OPERAC[[#This Row],[COD CART]],[1]!MatrizCortoLargoCyl[#All],3,0),"")</f>
        <v/>
      </c>
      <c r="F5249" t="inlineStr">
        <is>
          <t>ROKU</t>
        </is>
      </c>
      <c r="G5249" t="n">
        <v>5</v>
      </c>
      <c r="H5249" t="n">
        <v>-1288.6018</v>
      </c>
      <c r="I5249">
        <f>-H4658/G4658</f>
        <v/>
      </c>
      <c r="J5249" s="16" t="n">
        <v>44606</v>
      </c>
      <c r="K5249">
        <f>+OPERAC[[#This Row],[cantidad]]</f>
        <v/>
      </c>
      <c r="L5249">
        <f>+OPERAC[[#This Row],[cantidad venta]]*160.574</f>
        <v/>
      </c>
    </row>
    <row r="5250">
      <c r="A5250" t="n">
        <v>19878</v>
      </c>
      <c r="B5250" s="16" t="n">
        <v>44571</v>
      </c>
      <c r="C5250" t="inlineStr">
        <is>
          <t>VTA</t>
        </is>
      </c>
      <c r="D5250" t="n">
        <v>39</v>
      </c>
      <c r="E5250">
        <f>IF(D147&gt;0,VLOOKUP(OPERAC[[#This Row],[COD CART]],[1]!MatrizCortoLargoCyl[#All],3,0),"")</f>
        <v/>
      </c>
      <c r="F5250" t="inlineStr">
        <is>
          <t>DIS/V/155,00/21-01-22</t>
        </is>
      </c>
      <c r="G5250" t="n">
        <v>-1000</v>
      </c>
      <c r="H5250" t="n">
        <v>2823.25</v>
      </c>
      <c r="I5250">
        <f>-H147/G147</f>
        <v/>
      </c>
      <c r="J5250" s="16" t="n">
        <v>44581</v>
      </c>
      <c r="K5250" t="n">
        <v>-1000</v>
      </c>
      <c r="L5250">
        <f>-OPERAC[[#This Row],[importe]]</f>
        <v/>
      </c>
    </row>
    <row r="5251">
      <c r="A5251" t="n">
        <v>19878</v>
      </c>
      <c r="B5251" s="16" t="n">
        <v>44574</v>
      </c>
      <c r="C5251" t="inlineStr">
        <is>
          <t>CPR</t>
        </is>
      </c>
      <c r="D5251" t="n">
        <v>39</v>
      </c>
      <c r="E5251">
        <f>IF(D4139&gt;0,VLOOKUP(OPERAC[[#This Row],[COD CART]],[1]!MatrizCortoLargoCyl[#All],3,0),"")</f>
        <v/>
      </c>
      <c r="F5251" t="inlineStr">
        <is>
          <t>BABA/BULL/120,0-135,0/20-05-22</t>
        </is>
      </c>
      <c r="G5251" t="n">
        <v>100</v>
      </c>
      <c r="H5251" t="n">
        <v>-965.8</v>
      </c>
      <c r="I5251">
        <f>-H4139/G4139</f>
        <v/>
      </c>
      <c r="J5251" s="16" t="n">
        <v>44701</v>
      </c>
      <c r="K5251">
        <f>+OPERAC[[#This Row],[cantidad]]</f>
        <v/>
      </c>
      <c r="L5251" t="n">
        <v>0</v>
      </c>
    </row>
    <row r="5252">
      <c r="A5252" t="n">
        <v>19878</v>
      </c>
      <c r="B5252" s="16" t="n">
        <v>44579</v>
      </c>
      <c r="C5252" t="inlineStr">
        <is>
          <t>VTA</t>
        </is>
      </c>
      <c r="D5252" t="n">
        <v>39</v>
      </c>
      <c r="E5252">
        <f>IF(D422&gt;0,VLOOKUP(OPERAC[[#This Row],[COD CART]],[1]!MatrizCortoLargoCyl[#All],3,0),"")</f>
        <v/>
      </c>
      <c r="F5252" t="inlineStr">
        <is>
          <t>SOLO/V/3,50/25-02-22</t>
        </is>
      </c>
      <c r="G5252" t="n">
        <v>-800</v>
      </c>
      <c r="H5252" t="n">
        <v>1105.48592</v>
      </c>
      <c r="I5252">
        <f>-H422/G422</f>
        <v/>
      </c>
      <c r="J5252" s="16" t="n">
        <v>44608</v>
      </c>
      <c r="K5252">
        <f>+OPERAC[[#This Row],[cantidad]]</f>
        <v/>
      </c>
      <c r="L5252" t="n">
        <v>-1116.032</v>
      </c>
    </row>
    <row r="5253">
      <c r="A5253" t="n">
        <v>19878</v>
      </c>
      <c r="B5253" s="16" t="n">
        <v>44579</v>
      </c>
      <c r="C5253" t="inlineStr">
        <is>
          <t>VTA</t>
        </is>
      </c>
      <c r="D5253" t="n">
        <v>39</v>
      </c>
      <c r="E5253">
        <f>IF(D1119&gt;0,VLOOKUP(OPERAC[[#This Row],[COD CART]],[1]!MatrizCortoLargoCyl[#All],3,0),"")</f>
        <v/>
      </c>
      <c r="F5253" t="inlineStr">
        <is>
          <t>YPF/V/5,00/15-07-22</t>
        </is>
      </c>
      <c r="G5253" t="n">
        <v>-20</v>
      </c>
      <c r="H5253" t="n">
        <v>21.698</v>
      </c>
      <c r="I5253">
        <f>-H1119/G1119</f>
        <v/>
      </c>
    </row>
    <row r="5254">
      <c r="A5254" t="n">
        <v>19878</v>
      </c>
      <c r="B5254" s="16" t="n">
        <v>44581</v>
      </c>
      <c r="C5254" t="inlineStr">
        <is>
          <t>CPR</t>
        </is>
      </c>
      <c r="D5254" t="n">
        <v>32</v>
      </c>
      <c r="E5254">
        <f>IF(D3587&gt;0,VLOOKUP(OPERAC[[#This Row],[COD CART]],[1]!MatrizCortoLargoCyl[#All],3,0),"")</f>
        <v/>
      </c>
      <c r="F5254" t="inlineStr">
        <is>
          <t>HMY/CYL/4,00/18-02-22</t>
        </is>
      </c>
      <c r="G5254" t="n">
        <v>200</v>
      </c>
      <c r="H5254" t="n">
        <v>-774.9359920000001</v>
      </c>
      <c r="I5254">
        <f>-H3587/G3587</f>
        <v/>
      </c>
      <c r="J5254" s="16" t="n">
        <v>44610</v>
      </c>
      <c r="K5254">
        <f>+OPERAC[[#This Row],[cantidad]]</f>
        <v/>
      </c>
      <c r="L5254">
        <f>+OPERAC[[#This Row],[cantidad venta]]*3.8323</f>
        <v/>
      </c>
    </row>
    <row r="5255">
      <c r="A5255" t="n">
        <v>19878</v>
      </c>
      <c r="B5255" s="16" t="n">
        <v>44581</v>
      </c>
      <c r="C5255" t="inlineStr">
        <is>
          <t>VTA</t>
        </is>
      </c>
      <c r="D5255" t="n">
        <v>39</v>
      </c>
      <c r="E5255">
        <f>IF(D68&gt;0,VLOOKUP(OPERAC[[#This Row],[COD CART]],[1]!MatrizCortoLargoCyl[#All],3,0),"")</f>
        <v/>
      </c>
      <c r="F5255" t="inlineStr">
        <is>
          <t>DIS/V/155,00/18-02-22</t>
        </is>
      </c>
      <c r="G5255" t="n">
        <v>-600</v>
      </c>
      <c r="H5255" t="n">
        <v>4462.338</v>
      </c>
      <c r="I5255">
        <f>-H68/G68</f>
        <v/>
      </c>
      <c r="J5255" s="16" t="n">
        <v>44607</v>
      </c>
      <c r="K5255" t="n">
        <v>-600</v>
      </c>
      <c r="L5255" t="n">
        <v>-1304.52</v>
      </c>
    </row>
    <row r="5256">
      <c r="A5256" t="n">
        <v>19878</v>
      </c>
      <c r="B5256" s="16" t="n">
        <v>44582</v>
      </c>
      <c r="C5256" t="inlineStr">
        <is>
          <t>VTA</t>
        </is>
      </c>
      <c r="D5256" t="n">
        <v>40</v>
      </c>
      <c r="E5256">
        <f>IF(D5491&gt;0,VLOOKUP(OPERAC[[#This Row],[COD CART]],[1]!MatrizCortoLargoCyl[#All],3,0),"")</f>
        <v/>
      </c>
      <c r="F5256" t="inlineStr">
        <is>
          <t>NFLX</t>
        </is>
      </c>
      <c r="G5256" t="n">
        <v>5</v>
      </c>
      <c r="H5256" t="n">
        <v>-1953.1855</v>
      </c>
      <c r="I5256">
        <f>-H5491/G5491</f>
        <v/>
      </c>
      <c r="J5256" s="16" t="n">
        <v>44593</v>
      </c>
      <c r="K5256">
        <f>+OPERAC[[#This Row],[cantidad]]</f>
        <v/>
      </c>
      <c r="L5256">
        <f>+OPERAC[[#This Row],[cantidad venta]]*448.602</f>
        <v/>
      </c>
    </row>
    <row r="5257">
      <c r="A5257" t="n">
        <v>19878</v>
      </c>
      <c r="B5257" s="16" t="n">
        <v>44586</v>
      </c>
      <c r="C5257" t="inlineStr">
        <is>
          <t>VTA</t>
        </is>
      </c>
      <c r="D5257" t="n">
        <v>43</v>
      </c>
      <c r="E5257">
        <f>IF(D4993&gt;0,VLOOKUP(OPERAC[[#This Row],[COD CART]],[1]!MatrizCortoLargoCyl[#All],3,0),"")</f>
        <v/>
      </c>
      <c r="F5257" t="inlineStr">
        <is>
          <t>GMBL/CYL-PUT/2,50/20-01-23</t>
        </is>
      </c>
      <c r="G5257" t="n">
        <v>1500</v>
      </c>
      <c r="H5257" t="n">
        <v>-1524.062300000001</v>
      </c>
      <c r="I5257">
        <f>-H4993/G4993</f>
        <v/>
      </c>
    </row>
    <row r="5258">
      <c r="A5258" t="n">
        <v>19878</v>
      </c>
      <c r="B5258" s="16" t="n">
        <v>44594</v>
      </c>
      <c r="C5258" t="inlineStr">
        <is>
          <t>CPR</t>
        </is>
      </c>
      <c r="D5258" t="n">
        <v>40</v>
      </c>
      <c r="E5258">
        <f>IF(D4541&gt;0,VLOOKUP(OPERAC[[#This Row],[COD CART]],[1]!MatrizCortoLargoCyl[#All],3,0),"")</f>
        <v/>
      </c>
      <c r="F5258" t="inlineStr">
        <is>
          <t>EDU</t>
        </is>
      </c>
      <c r="G5258" t="n">
        <v>600</v>
      </c>
      <c r="H5258" t="n">
        <v>-1209.6</v>
      </c>
      <c r="I5258">
        <f>-H4541/G4541</f>
        <v/>
      </c>
      <c r="J5258" s="16" t="n">
        <v>44601</v>
      </c>
      <c r="K5258" t="n">
        <v>600</v>
      </c>
      <c r="L5258">
        <f>600*1.642</f>
        <v/>
      </c>
    </row>
    <row r="5259">
      <c r="A5259" t="n">
        <v>19878</v>
      </c>
      <c r="B5259" s="16" t="n">
        <v>44594</v>
      </c>
      <c r="C5259" t="inlineStr">
        <is>
          <t>VTA</t>
        </is>
      </c>
      <c r="D5259" t="n">
        <v>39</v>
      </c>
      <c r="E5259">
        <f>IF(D594&gt;0,VLOOKUP(OPERAC[[#This Row],[COD CART]],[1]!MatrizCortoLargoCyl[#All],3,0),"")</f>
        <v/>
      </c>
      <c r="F5259" t="inlineStr">
        <is>
          <t>TSLA/C/1030,00/04-02-22</t>
        </is>
      </c>
      <c r="G5259" t="n">
        <v>-600</v>
      </c>
      <c r="H5259" t="n">
        <v>626.766</v>
      </c>
      <c r="I5259">
        <f>-H594/G594</f>
        <v/>
      </c>
      <c r="J5259" s="16" t="n">
        <v>44596</v>
      </c>
      <c r="K5259" t="n">
        <v>-600</v>
      </c>
      <c r="L5259" t="n">
        <v>0</v>
      </c>
    </row>
    <row r="5260">
      <c r="A5260" t="n">
        <v>19878</v>
      </c>
      <c r="B5260" s="16" t="n">
        <v>44594</v>
      </c>
      <c r="C5260" t="inlineStr">
        <is>
          <t>VTA</t>
        </is>
      </c>
      <c r="D5260" t="n">
        <v>39</v>
      </c>
      <c r="E5260">
        <f>IF(D624&gt;0,VLOOKUP(OPERAC[[#This Row],[COD CART]],[1]!MatrizCortoLargoCyl[#All],3,0),"")</f>
        <v/>
      </c>
      <c r="F5260" t="inlineStr">
        <is>
          <t>TSLA/V/830,00/04-02-22</t>
        </is>
      </c>
      <c r="G5260" t="n">
        <v>-600</v>
      </c>
      <c r="H5260" t="n">
        <v>579.1319999999999</v>
      </c>
      <c r="I5260">
        <f>-H624/G624</f>
        <v/>
      </c>
      <c r="J5260" s="16" t="n">
        <v>44596</v>
      </c>
      <c r="K5260" t="n">
        <v>-600</v>
      </c>
      <c r="L5260" t="n">
        <v>0</v>
      </c>
    </row>
    <row r="5261">
      <c r="A5261" t="n">
        <v>19878</v>
      </c>
      <c r="B5261" s="16" t="n">
        <v>44596</v>
      </c>
      <c r="C5261" t="inlineStr">
        <is>
          <t>VTA</t>
        </is>
      </c>
      <c r="D5261" t="n">
        <v>39</v>
      </c>
      <c r="E5261">
        <f>IF(D502&gt;0,VLOOKUP(OPERAC[[#This Row],[COD CART]],[1]!MatrizCortoLargoCyl[#All],3,0),"")</f>
        <v/>
      </c>
      <c r="F5261" t="inlineStr">
        <is>
          <t>SMH/V/260,00/11-02-22</t>
        </is>
      </c>
      <c r="G5261" t="n">
        <v>-300</v>
      </c>
      <c r="H5261" t="n">
        <v>902.5889999999999</v>
      </c>
      <c r="I5261">
        <f>-H502/G502</f>
        <v/>
      </c>
      <c r="J5261" s="16" t="n">
        <v>44603</v>
      </c>
      <c r="K5261" t="n">
        <v>-300</v>
      </c>
      <c r="L5261">
        <f>-0.1*300</f>
        <v/>
      </c>
    </row>
    <row r="5262">
      <c r="A5262" t="n">
        <v>19878</v>
      </c>
      <c r="B5262" s="16" t="n">
        <v>44599</v>
      </c>
      <c r="C5262" t="inlineStr">
        <is>
          <t>CPR</t>
        </is>
      </c>
      <c r="D5262" t="n">
        <v>40</v>
      </c>
      <c r="E5262">
        <f>IF(D4516&gt;0,VLOOKUP(OPERAC[[#This Row],[COD CART]],[1]!MatrizCortoLargoCyl[#All],3,0),"")</f>
        <v/>
      </c>
      <c r="F5262" t="inlineStr">
        <is>
          <t>FB</t>
        </is>
      </c>
      <c r="G5262" t="n">
        <v>5</v>
      </c>
      <c r="H5262" t="n">
        <v>-1192.3</v>
      </c>
      <c r="I5262">
        <f>-H4516/G4516</f>
        <v/>
      </c>
      <c r="J5262" s="16" t="n">
        <v>44616</v>
      </c>
      <c r="K5262">
        <f>+OPERAC[[#This Row],[cantidad]]</f>
        <v/>
      </c>
      <c r="L5262">
        <f>200.299*OPERAC[[#This Row],[cantidad venta]]</f>
        <v/>
      </c>
    </row>
    <row r="5263">
      <c r="A5263" t="n">
        <v>19878</v>
      </c>
      <c r="B5263" s="16" t="n">
        <v>44606</v>
      </c>
      <c r="C5263" t="inlineStr">
        <is>
          <t>VTA</t>
        </is>
      </c>
      <c r="D5263" t="n">
        <v>39</v>
      </c>
      <c r="E5263">
        <f>IF(D309&gt;0,VLOOKUP(OPERAC[[#This Row],[COD CART]],[1]!MatrizCortoLargoCyl[#All],3,0),"")</f>
        <v/>
      </c>
      <c r="F5263" t="inlineStr">
        <is>
          <t>SMH/V/240,00/18-02-22</t>
        </is>
      </c>
      <c r="G5263" t="n">
        <v>-1500</v>
      </c>
      <c r="H5263" t="n">
        <v>1480.02</v>
      </c>
      <c r="I5263">
        <f>-H309/G309</f>
        <v/>
      </c>
      <c r="J5263" s="16" t="n">
        <v>44609</v>
      </c>
      <c r="K5263" t="n">
        <v>-1500</v>
      </c>
      <c r="L5263" t="n">
        <v>-137.693</v>
      </c>
    </row>
    <row r="5264">
      <c r="A5264" t="n">
        <v>19878</v>
      </c>
      <c r="B5264" s="16" t="n">
        <v>44607</v>
      </c>
      <c r="C5264" t="inlineStr">
        <is>
          <t>CPR</t>
        </is>
      </c>
      <c r="D5264" t="n">
        <v>32</v>
      </c>
      <c r="E5264">
        <f>IF(D6274&gt;0,VLOOKUP(OPERAC[[#This Row],[COD CART]],[1]!MatrizCortoLargoCyl[#All],3,0),"")</f>
        <v/>
      </c>
      <c r="F5264" t="inlineStr">
        <is>
          <t>UPST/CYL/80,00/18-03-22</t>
        </is>
      </c>
      <c r="G5264" t="n">
        <v>100</v>
      </c>
      <c r="H5264" t="n">
        <v>-7567.157770000001</v>
      </c>
      <c r="I5264">
        <f>-H6274/G6274</f>
        <v/>
      </c>
      <c r="J5264" s="16" t="n">
        <v>44608</v>
      </c>
      <c r="K5264" t="n">
        <v>100</v>
      </c>
      <c r="L5264" t="n">
        <v>7956.448</v>
      </c>
    </row>
    <row r="5265">
      <c r="A5265" t="n">
        <v>19878</v>
      </c>
      <c r="B5265" s="16" t="n">
        <v>44607</v>
      </c>
      <c r="C5265" t="inlineStr">
        <is>
          <t>VTA</t>
        </is>
      </c>
      <c r="D5265" t="n">
        <v>39</v>
      </c>
      <c r="E5265">
        <f>IF(D350&gt;0,VLOOKUP(OPERAC[[#This Row],[COD CART]],[1]!MatrizCortoLargoCyl[#All],3,0),"")</f>
        <v/>
      </c>
      <c r="F5265" t="inlineStr">
        <is>
          <t>ROKU/V/120,00/18-02-22</t>
        </is>
      </c>
      <c r="G5265" t="n">
        <v>-1200</v>
      </c>
      <c r="H5265" t="n">
        <v>1292.712</v>
      </c>
      <c r="I5265">
        <f>-H350/G350</f>
        <v/>
      </c>
      <c r="J5265" s="16" t="n">
        <v>44609</v>
      </c>
      <c r="K5265" t="n">
        <v>-1200</v>
      </c>
      <c r="L5265" t="n">
        <v>-4845.12</v>
      </c>
    </row>
    <row r="5266">
      <c r="A5266" t="n">
        <v>19878</v>
      </c>
      <c r="B5266" s="16" t="n">
        <v>44608</v>
      </c>
      <c r="C5266" t="inlineStr">
        <is>
          <t>CPR</t>
        </is>
      </c>
      <c r="D5266" t="n">
        <v>40</v>
      </c>
      <c r="E5266">
        <f>IF(D4702&gt;0,VLOOKUP(OPERAC[[#This Row],[COD CART]],[1]!MatrizCortoLargoCyl[#All],3,0),"")</f>
        <v/>
      </c>
      <c r="F5266" t="inlineStr">
        <is>
          <t>NVDA</t>
        </is>
      </c>
      <c r="G5266" t="n">
        <v>5</v>
      </c>
      <c r="H5266" t="n">
        <v>-1317.57</v>
      </c>
      <c r="I5266">
        <f>-H4702/G4702</f>
        <v/>
      </c>
      <c r="J5266" s="16" t="n">
        <v>44616</v>
      </c>
      <c r="K5266">
        <f>+OPERAC[[#This Row],[cantidad]]</f>
        <v/>
      </c>
      <c r="L5266">
        <f>+OPERAC[[#This Row],[cantidad venta]]*224.117</f>
        <v/>
      </c>
    </row>
    <row r="5267">
      <c r="A5267" t="n">
        <v>19878</v>
      </c>
      <c r="B5267" s="16" t="n">
        <v>44608</v>
      </c>
      <c r="C5267" t="inlineStr">
        <is>
          <t>CPR</t>
        </is>
      </c>
      <c r="D5267" t="n">
        <v>32</v>
      </c>
      <c r="E5267">
        <f>IF(D5967&gt;0,VLOOKUP(OPERAC[[#This Row],[COD CART]],[1]!MatrizCortoLargoCyl[#All],3,0),"")</f>
        <v/>
      </c>
      <c r="F5267" t="inlineStr">
        <is>
          <t>SPWR/CYL/27,00/20-01-23</t>
        </is>
      </c>
      <c r="G5267" t="n">
        <v>200</v>
      </c>
      <c r="H5267">
        <f>-2883.624-493.74+466.37-916.26+655.23</f>
        <v/>
      </c>
      <c r="I5267">
        <f>-H5967/G5967</f>
        <v/>
      </c>
    </row>
    <row r="5268">
      <c r="A5268" t="n">
        <v>19878</v>
      </c>
      <c r="B5268" s="16" t="n">
        <v>44608</v>
      </c>
      <c r="C5268" t="inlineStr">
        <is>
          <t>CPR</t>
        </is>
      </c>
      <c r="D5268" t="n">
        <v>32</v>
      </c>
      <c r="E5268">
        <f>IF(D5977&gt;0,VLOOKUP(OPERAC[[#This Row],[COD CART]],[1]!MatrizCortoLargoCyl[#All],3,0),"")</f>
        <v/>
      </c>
      <c r="F5268" t="inlineStr">
        <is>
          <t>DDD</t>
        </is>
      </c>
      <c r="G5268" t="n">
        <v>200</v>
      </c>
      <c r="H5268">
        <f>-3258.8378-181.88+231.796</f>
        <v/>
      </c>
      <c r="I5268">
        <f>-H5977/G5977</f>
        <v/>
      </c>
    </row>
    <row r="5269">
      <c r="A5269" t="n">
        <v>19878</v>
      </c>
      <c r="B5269" s="16" t="n">
        <v>44608</v>
      </c>
      <c r="C5269" t="inlineStr">
        <is>
          <t>VTA</t>
        </is>
      </c>
      <c r="D5269" t="n">
        <v>39</v>
      </c>
      <c r="E5269">
        <f>IF(D574&gt;0,VLOOKUP(OPERAC[[#This Row],[COD CART]],[1]!MatrizCortoLargoCyl[#All],3,0),"")</f>
        <v/>
      </c>
      <c r="F5269" t="inlineStr">
        <is>
          <t>SOLO/V/3,00/18-03-22</t>
        </is>
      </c>
      <c r="G5269" t="n">
        <v>-800</v>
      </c>
      <c r="H5269" t="n">
        <v>684.032</v>
      </c>
      <c r="I5269">
        <f>-H574/G574</f>
        <v/>
      </c>
      <c r="J5269" s="16" t="n">
        <v>44614</v>
      </c>
      <c r="K5269">
        <f>+OPERAC[[#This Row],[cantidad]]</f>
        <v/>
      </c>
      <c r="L5269">
        <f>+OPERAC[[#This Row],[cantidad venta]]*1.113</f>
        <v/>
      </c>
    </row>
    <row r="5270">
      <c r="A5270" t="n">
        <v>19878</v>
      </c>
      <c r="B5270" s="16" t="n">
        <v>44609</v>
      </c>
      <c r="C5270" t="inlineStr">
        <is>
          <t>VTA</t>
        </is>
      </c>
      <c r="D5270" t="n">
        <v>39</v>
      </c>
      <c r="E5270">
        <f>IF(D52&gt;0,VLOOKUP(OPERAC[[#This Row],[COD CART]],[1]!MatrizCortoLargoCyl[#All],3,0),"")</f>
        <v/>
      </c>
      <c r="F5270" t="inlineStr">
        <is>
          <t>MELI/V/850,00/25-02-22</t>
        </is>
      </c>
      <c r="G5270" t="n">
        <v>-900</v>
      </c>
      <c r="H5270" t="n">
        <v>4999.68</v>
      </c>
      <c r="I5270">
        <f>-H52/G52</f>
        <v/>
      </c>
      <c r="J5270" s="16" t="n">
        <v>44610</v>
      </c>
      <c r="K5270" t="n">
        <v>-900</v>
      </c>
      <c r="L5270" t="n">
        <v>-21779.091</v>
      </c>
    </row>
    <row r="5271">
      <c r="A5271" t="n">
        <v>19878</v>
      </c>
      <c r="B5271" s="16" t="n">
        <v>44609</v>
      </c>
      <c r="C5271" t="inlineStr">
        <is>
          <t>VTA</t>
        </is>
      </c>
      <c r="D5271" t="n">
        <v>32</v>
      </c>
      <c r="E5271">
        <f>IF(D5282&gt;0,VLOOKUP(OPERAC[[#This Row],[COD CART]],[1]!MatrizCortoLargoCyl[#All],3,0),"")</f>
        <v/>
      </c>
      <c r="F5271" t="inlineStr">
        <is>
          <t>F</t>
        </is>
      </c>
      <c r="G5271" t="n">
        <v>100</v>
      </c>
      <c r="H5271" t="n">
        <v>-1715.2776</v>
      </c>
      <c r="I5271">
        <f>-H5282/G5282</f>
        <v/>
      </c>
      <c r="J5271" s="16" t="n">
        <v>44649</v>
      </c>
      <c r="K5271" t="n">
        <v>100</v>
      </c>
      <c r="L5271">
        <f>17.636*OPERAC[[#This Row],[cantidad venta]]</f>
        <v/>
      </c>
    </row>
    <row r="5272">
      <c r="A5272" t="n">
        <v>19878</v>
      </c>
      <c r="B5272" s="16" t="n">
        <v>44610</v>
      </c>
      <c r="C5272" t="inlineStr">
        <is>
          <t>VTA</t>
        </is>
      </c>
      <c r="D5272" t="n">
        <v>39</v>
      </c>
      <c r="E5272">
        <f>IF(D887&gt;0,VLOOKUP(OPERAC[[#This Row],[COD CART]],[1]!MatrizCortoLargoCyl[#All],3,0),"")</f>
        <v/>
      </c>
      <c r="F5272" t="inlineStr">
        <is>
          <t>TLRY/V/7,00/20-01-23</t>
        </is>
      </c>
      <c r="G5272" t="n">
        <v>-70</v>
      </c>
      <c r="H5272" t="n">
        <v>177.56</v>
      </c>
      <c r="I5272">
        <f>-H887/G887</f>
        <v/>
      </c>
    </row>
    <row r="5273">
      <c r="A5273" t="n">
        <v>19878</v>
      </c>
      <c r="B5273" s="16" t="n">
        <v>44610</v>
      </c>
      <c r="C5273" t="inlineStr">
        <is>
          <t>VTA</t>
        </is>
      </c>
      <c r="D5273" t="n">
        <v>39</v>
      </c>
      <c r="E5273">
        <f>IF(D1085&gt;0,VLOOKUP(OPERAC[[#This Row],[COD CART]],[1]!MatrizCortoLargoCyl[#All],3,0),"")</f>
        <v/>
      </c>
      <c r="F5273" t="inlineStr">
        <is>
          <t>MELI/V/540,00/16-09-22</t>
        </is>
      </c>
      <c r="G5273" t="n">
        <v>-1</v>
      </c>
      <c r="H5273" t="n">
        <v>27.77</v>
      </c>
      <c r="I5273">
        <f>-H1085/G1085</f>
        <v/>
      </c>
    </row>
    <row r="5274">
      <c r="A5274" t="n">
        <v>19878</v>
      </c>
      <c r="B5274" s="16" t="n">
        <v>44614</v>
      </c>
      <c r="C5274" t="inlineStr">
        <is>
          <t>VTA</t>
        </is>
      </c>
      <c r="D5274" t="n">
        <v>39</v>
      </c>
      <c r="E5274">
        <f>IF(D921&gt;0,VLOOKUP(OPERAC[[#This Row],[COD CART]],[1]!MatrizCortoLargoCyl[#All],3,0),"")</f>
        <v/>
      </c>
      <c r="F5274" t="inlineStr">
        <is>
          <t>MELI/V/500,00/19-01-24</t>
        </is>
      </c>
      <c r="G5274" t="n">
        <v>-2</v>
      </c>
      <c r="H5274" t="n">
        <v>128.96</v>
      </c>
      <c r="I5274">
        <f>-H921/G921</f>
        <v/>
      </c>
    </row>
    <row r="5275">
      <c r="A5275" t="n">
        <v>19878</v>
      </c>
      <c r="B5275" s="16" t="n">
        <v>44614</v>
      </c>
      <c r="C5275" t="inlineStr">
        <is>
          <t>VTA</t>
        </is>
      </c>
      <c r="D5275" t="n">
        <v>39</v>
      </c>
      <c r="E5275">
        <f>IF(D1017&gt;0,VLOOKUP(OPERAC[[#This Row],[COD CART]],[1]!MatrizCortoLargoCyl[#All],3,0),"")</f>
        <v/>
      </c>
      <c r="F5275" t="inlineStr">
        <is>
          <t>DDD/V/10,00/19-01-24</t>
        </is>
      </c>
      <c r="G5275" t="n">
        <v>-30</v>
      </c>
      <c r="H5275" t="n">
        <v>59.39</v>
      </c>
      <c r="I5275">
        <f>-H1017/G1017</f>
        <v/>
      </c>
    </row>
    <row r="5276">
      <c r="A5276" t="n">
        <v>19878</v>
      </c>
      <c r="B5276" s="16" t="n">
        <v>44614</v>
      </c>
      <c r="C5276" t="inlineStr">
        <is>
          <t>VTA</t>
        </is>
      </c>
      <c r="D5276" t="n">
        <v>39</v>
      </c>
      <c r="E5276">
        <f>IF(D1050&gt;0,VLOOKUP(OPERAC[[#This Row],[COD CART]],[1]!MatrizCortoLargoCyl[#All],3,0),"")</f>
        <v/>
      </c>
      <c r="F5276" t="inlineStr">
        <is>
          <t>TSLA/V/300,00/19-01-24</t>
        </is>
      </c>
      <c r="G5276" t="n">
        <v>-2</v>
      </c>
      <c r="H5276" t="n">
        <v>43.63</v>
      </c>
      <c r="I5276">
        <f>-H1050/G1050</f>
        <v/>
      </c>
    </row>
    <row r="5277">
      <c r="A5277" t="n">
        <v>19878</v>
      </c>
      <c r="B5277" s="16" t="n">
        <v>44616</v>
      </c>
      <c r="C5277" t="inlineStr">
        <is>
          <t>VTA</t>
        </is>
      </c>
      <c r="D5277" t="n">
        <v>32</v>
      </c>
      <c r="E5277">
        <f>IF(D5549&gt;0,VLOOKUP(OPERAC[[#This Row],[COD CART]],[1]!MatrizCortoLargoCyl[#All],3,0),"")</f>
        <v/>
      </c>
      <c r="F5277" t="inlineStr">
        <is>
          <t>UUUU/CYL/8,00/18-03-22</t>
        </is>
      </c>
      <c r="G5277" t="n">
        <v>300</v>
      </c>
      <c r="H5277" t="n">
        <v>-2051.478</v>
      </c>
      <c r="I5277">
        <f>-H5549/G5549</f>
        <v/>
      </c>
      <c r="J5277" s="16" t="n">
        <v>44636</v>
      </c>
      <c r="K5277">
        <f>+OPERAC[[#This Row],[cantidad]]</f>
        <v/>
      </c>
      <c r="L5277" t="n">
        <v>2302.39</v>
      </c>
    </row>
    <row r="5278">
      <c r="A5278" t="n">
        <v>19878</v>
      </c>
      <c r="B5278" s="16" t="n">
        <v>44616</v>
      </c>
      <c r="C5278" t="inlineStr">
        <is>
          <t>VTA</t>
        </is>
      </c>
      <c r="D5278" t="n">
        <v>32</v>
      </c>
      <c r="E5278">
        <f>IF(D5574&gt;0,VLOOKUP(OPERAC[[#This Row],[COD CART]],[1]!MatrizCortoLargoCyl[#All],3,0),"")</f>
        <v/>
      </c>
      <c r="F5278" t="inlineStr">
        <is>
          <t>PLTR/CYL/12,00/14-04-22</t>
        </is>
      </c>
      <c r="G5278" t="n">
        <v>200</v>
      </c>
      <c r="H5278" t="n">
        <v>-2105.453</v>
      </c>
      <c r="I5278">
        <f>-H5574/G5574</f>
        <v/>
      </c>
      <c r="J5278" s="16" t="n">
        <v>44643</v>
      </c>
      <c r="K5278" t="n">
        <v>200</v>
      </c>
      <c r="L5278" t="n">
        <v>2293.448</v>
      </c>
    </row>
    <row r="5279">
      <c r="A5279" t="n">
        <v>19878</v>
      </c>
      <c r="B5279" s="16" t="n">
        <v>44622</v>
      </c>
      <c r="C5279" t="inlineStr">
        <is>
          <t>CPR</t>
        </is>
      </c>
      <c r="D5279" t="n">
        <v>32</v>
      </c>
      <c r="E5279">
        <f>IF(D4869&gt;0,VLOOKUP(OPERAC[[#This Row],[COD CART]],[1]!MatrizCortoLargoCyl[#All],3,0),"")</f>
        <v/>
      </c>
      <c r="F5279" t="inlineStr">
        <is>
          <t>AMC/CYL/16,00/14-04-22</t>
        </is>
      </c>
      <c r="G5279" t="n">
        <v>100</v>
      </c>
      <c r="H5279" t="n">
        <v>-1456.4248</v>
      </c>
      <c r="I5279">
        <f>-H4869/G4869</f>
        <v/>
      </c>
      <c r="J5279" s="16" t="n">
        <v>44648</v>
      </c>
      <c r="K5279">
        <f>+OPERAC[[#This Row],[cantidad]]</f>
        <v/>
      </c>
      <c r="L5279" t="n">
        <v>1581.776</v>
      </c>
    </row>
    <row r="5280">
      <c r="A5280" t="n">
        <v>19878</v>
      </c>
      <c r="B5280" s="16" t="n">
        <v>44622</v>
      </c>
      <c r="C5280" t="inlineStr">
        <is>
          <t>CPR</t>
        </is>
      </c>
      <c r="D5280" t="n">
        <v>32</v>
      </c>
      <c r="E5280">
        <f>IF(D5638&gt;0,VLOOKUP(OPERAC[[#This Row],[COD CART]],[1]!MatrizCortoLargoCyl[#All],3,0),"")</f>
        <v/>
      </c>
      <c r="F5280" t="inlineStr">
        <is>
          <t>HMY/CYL/5,00/18-03-22</t>
        </is>
      </c>
      <c r="G5280" t="n">
        <v>500</v>
      </c>
      <c r="H5280" t="n">
        <v>-2337.62</v>
      </c>
      <c r="I5280">
        <f>-H5638/G5638</f>
        <v/>
      </c>
      <c r="J5280" s="16" t="n">
        <v>44637</v>
      </c>
      <c r="K5280">
        <f>+OPERAC[[#This Row],[cantidad]]</f>
        <v/>
      </c>
      <c r="L5280">
        <f>4.85553*OPERAC[[#This Row],[cantidad venta]]</f>
        <v/>
      </c>
    </row>
    <row r="5281">
      <c r="A5281" t="n">
        <v>19878</v>
      </c>
      <c r="B5281" s="16" t="n">
        <v>44622</v>
      </c>
      <c r="C5281" t="inlineStr">
        <is>
          <t>VTA</t>
        </is>
      </c>
      <c r="D5281" t="n">
        <v>39</v>
      </c>
      <c r="E5281">
        <f>IF(D1043&gt;0,VLOOKUP(OPERAC[[#This Row],[COD CART]],[1]!MatrizCortoLargoCyl[#All],3,0),"")</f>
        <v/>
      </c>
      <c r="F5281" t="inlineStr">
        <is>
          <t>SOLO/V/2,00/19-01-24</t>
        </is>
      </c>
      <c r="G5281" t="n">
        <v>-50</v>
      </c>
      <c r="H5281" t="n">
        <v>44.5291</v>
      </c>
      <c r="I5281">
        <f>-H1043/G1043</f>
        <v/>
      </c>
    </row>
    <row r="5282">
      <c r="A5282" t="n">
        <v>19878</v>
      </c>
      <c r="B5282" s="16" t="n">
        <v>44622</v>
      </c>
      <c r="C5282" t="inlineStr">
        <is>
          <t>VTA</t>
        </is>
      </c>
      <c r="D5282" t="n">
        <v>32</v>
      </c>
      <c r="E5282">
        <f>IF(D5423&gt;0,VLOOKUP(OPERAC[[#This Row],[COD CART]],[1]!MatrizCortoLargoCyl[#All],3,0),"")</f>
        <v/>
      </c>
      <c r="F5282" t="inlineStr">
        <is>
          <t>SABR/CYL/10,00/14-04-22</t>
        </is>
      </c>
      <c r="G5282" t="n">
        <v>200</v>
      </c>
      <c r="H5282" t="n">
        <v>-1853.4772</v>
      </c>
      <c r="I5282">
        <f>-H5423/G5423</f>
        <v/>
      </c>
      <c r="J5282" s="16" t="n">
        <v>44649</v>
      </c>
      <c r="K5282" t="n">
        <v>200</v>
      </c>
      <c r="L5282" t="n">
        <v>1964.236</v>
      </c>
    </row>
    <row r="5283">
      <c r="A5283" t="n">
        <v>19878</v>
      </c>
      <c r="B5283" s="16" t="n">
        <v>44641</v>
      </c>
      <c r="C5283" t="inlineStr">
        <is>
          <t>CPR</t>
        </is>
      </c>
      <c r="D5283" t="n">
        <v>42</v>
      </c>
      <c r="E5283">
        <f>IF(D3633&gt;0,VLOOKUP(OPERAC[[#This Row],[COD CART]],[1]!MatrizCortoLargoCyl[#All],3,0),"")</f>
        <v/>
      </c>
      <c r="F5283" t="inlineStr">
        <is>
          <t>SMH</t>
        </is>
      </c>
      <c r="G5283" t="n">
        <v>3</v>
      </c>
      <c r="H5283" t="n">
        <v>-805.2721500000001</v>
      </c>
      <c r="I5283">
        <f>-H3633/G3633</f>
        <v/>
      </c>
      <c r="J5283" s="16" t="n">
        <v>44663</v>
      </c>
      <c r="K5283">
        <f>+OPERAC[[#This Row],[cantidad]]</f>
        <v/>
      </c>
      <c r="L5283">
        <f>+OPERAC[[#This Row],[cantidad venta]]*238.066</f>
        <v/>
      </c>
    </row>
    <row r="5284">
      <c r="A5284" t="n">
        <v>19878</v>
      </c>
      <c r="B5284" s="16" t="n">
        <v>44641</v>
      </c>
      <c r="C5284" t="inlineStr">
        <is>
          <t>VTA</t>
        </is>
      </c>
      <c r="D5284" t="n">
        <v>42</v>
      </c>
      <c r="E5284">
        <f>IF(D3714&gt;0,VLOOKUP(OPERAC[[#This Row],[COD CART]],[1]!MatrizCortoLargoCyl[#All],3,0),"")</f>
        <v/>
      </c>
      <c r="F5284" t="inlineStr">
        <is>
          <t>JPM</t>
        </is>
      </c>
      <c r="G5284" t="n">
        <v>6</v>
      </c>
      <c r="H5284" t="n">
        <v>-841.0540800000001</v>
      </c>
      <c r="I5284">
        <f>-H3714/G3714</f>
        <v/>
      </c>
      <c r="J5284" s="16" t="n">
        <v>44664</v>
      </c>
      <c r="K5284">
        <f>+OPERAC[[#This Row],[cantidad]]</f>
        <v/>
      </c>
      <c r="L5284">
        <f>+OPERAC[[#This Row],[cantidad venta]]*125.943</f>
        <v/>
      </c>
    </row>
    <row r="5285">
      <c r="A5285" t="n">
        <v>19878</v>
      </c>
      <c r="B5285" s="16" t="n">
        <v>44641</v>
      </c>
      <c r="C5285" t="inlineStr">
        <is>
          <t>VTA</t>
        </is>
      </c>
      <c r="D5285" t="n">
        <v>42</v>
      </c>
      <c r="E5285">
        <f>IF(D3763&gt;0,VLOOKUP(OPERAC[[#This Row],[COD CART]],[1]!MatrizCortoLargoCyl[#All],3,0),"")</f>
        <v/>
      </c>
      <c r="F5285" t="inlineStr">
        <is>
          <t>FB</t>
        </is>
      </c>
      <c r="G5285" t="n">
        <v>4</v>
      </c>
      <c r="H5285" t="n">
        <v>-846.94184</v>
      </c>
      <c r="I5285">
        <f>-H3763/G3763</f>
        <v/>
      </c>
      <c r="J5285" s="16" t="n">
        <v>44671</v>
      </c>
      <c r="K5285">
        <f>+OPERAC[[#This Row],[cantidad]]</f>
        <v/>
      </c>
      <c r="L5285">
        <f>+OPERAC[[#This Row],[cantidad venta]]*213.173</f>
        <v/>
      </c>
    </row>
    <row r="5286">
      <c r="A5286" t="n">
        <v>19878</v>
      </c>
      <c r="B5286" s="16" t="n">
        <v>44642</v>
      </c>
      <c r="C5286" t="inlineStr">
        <is>
          <t>VTA</t>
        </is>
      </c>
      <c r="D5286" t="n">
        <v>42</v>
      </c>
      <c r="E5286">
        <f>IF(D5542&gt;0,VLOOKUP(OPERAC[[#This Row],[COD CART]],[1]!MatrizCortoLargoCyl[#All],3,0),"")</f>
        <v/>
      </c>
      <c r="F5286" t="inlineStr">
        <is>
          <t>HYDR</t>
        </is>
      </c>
      <c r="G5286" t="n">
        <v>105</v>
      </c>
      <c r="H5286">
        <f>-19.39*OPERAC[[#This Row],[cantidad]]</f>
        <v/>
      </c>
      <c r="I5286">
        <f>-H5542/G5542</f>
        <v/>
      </c>
      <c r="J5286" s="16" t="n">
        <v>44693</v>
      </c>
      <c r="K5286">
        <f>+OPERAC[[#This Row],[cantidad]]</f>
        <v/>
      </c>
      <c r="L5286">
        <f>+OPERAC[[#This Row],[cantidad venta]]*11.986</f>
        <v/>
      </c>
    </row>
    <row r="5287">
      <c r="A5287" t="n">
        <v>19878</v>
      </c>
      <c r="B5287" s="16" t="n">
        <v>44643</v>
      </c>
      <c r="C5287" t="inlineStr">
        <is>
          <t>VTA</t>
        </is>
      </c>
      <c r="D5287" t="n">
        <v>42</v>
      </c>
      <c r="E5287">
        <f>IF(D2399&gt;0,VLOOKUP(OPERAC[[#This Row],[COD CART]],[1]!MatrizCortoLargoCyl[#All],3,0),"")</f>
        <v/>
      </c>
      <c r="F5287" t="inlineStr">
        <is>
          <t>JPM</t>
        </is>
      </c>
      <c r="G5287" t="n">
        <v>3</v>
      </c>
      <c r="H5287" t="n">
        <v>-422.8992</v>
      </c>
      <c r="I5287">
        <f>-H2399/G2399</f>
        <v/>
      </c>
      <c r="J5287" s="16" t="n">
        <v>44664</v>
      </c>
      <c r="K5287">
        <f>+OPERAC[[#This Row],[cantidad]]</f>
        <v/>
      </c>
      <c r="L5287">
        <f>+OPERAC[[#This Row],[cantidad venta]]*125.943</f>
        <v/>
      </c>
    </row>
    <row r="5288">
      <c r="A5288" t="n">
        <v>19878</v>
      </c>
      <c r="B5288" s="16" t="n">
        <v>44643</v>
      </c>
      <c r="C5288" t="inlineStr">
        <is>
          <t>VTA</t>
        </is>
      </c>
      <c r="D5288" t="n">
        <v>42</v>
      </c>
      <c r="E5288">
        <f>IF(D2853&gt;0,VLOOKUP(OPERAC[[#This Row],[COD CART]],[1]!MatrizCortoLargoCyl[#All],3,0),"")</f>
        <v/>
      </c>
      <c r="F5288" t="inlineStr">
        <is>
          <t>SMH</t>
        </is>
      </c>
      <c r="G5288" t="n">
        <v>2</v>
      </c>
      <c r="H5288" t="n">
        <v>-533.2656759999999</v>
      </c>
      <c r="I5288">
        <f>-H2853/G2853</f>
        <v/>
      </c>
      <c r="J5288" s="16" t="n">
        <v>44663</v>
      </c>
      <c r="K5288">
        <f>+OPERAC[[#This Row],[cantidad]]</f>
        <v/>
      </c>
      <c r="L5288">
        <f>+OPERAC[[#This Row],[cantidad venta]]*238.066</f>
        <v/>
      </c>
    </row>
    <row r="5289">
      <c r="A5289" t="n">
        <v>19878</v>
      </c>
      <c r="B5289" s="16" t="n">
        <v>44643</v>
      </c>
      <c r="C5289" t="inlineStr">
        <is>
          <t>VTA</t>
        </is>
      </c>
      <c r="D5289" t="n">
        <v>42</v>
      </c>
      <c r="E5289">
        <f>IF(D3179&gt;0,VLOOKUP(OPERAC[[#This Row],[COD CART]],[1]!MatrizCortoLargoCyl[#All],3,0),"")</f>
        <v/>
      </c>
      <c r="F5289" t="inlineStr">
        <is>
          <t>FB</t>
        </is>
      </c>
      <c r="G5289" t="n">
        <v>3</v>
      </c>
      <c r="H5289" t="n">
        <v>-647.08338</v>
      </c>
      <c r="I5289">
        <f>-H3179/G3179</f>
        <v/>
      </c>
      <c r="J5289" s="16" t="n">
        <v>44671</v>
      </c>
      <c r="K5289">
        <f>+OPERAC[[#This Row],[cantidad]]</f>
        <v/>
      </c>
      <c r="L5289">
        <f>+OPERAC[[#This Row],[cantidad venta]]*213.173</f>
        <v/>
      </c>
    </row>
    <row r="5290">
      <c r="A5290" t="n">
        <v>19878</v>
      </c>
      <c r="B5290" s="16" t="n">
        <v>44643</v>
      </c>
      <c r="C5290" t="inlineStr">
        <is>
          <t>VTA</t>
        </is>
      </c>
      <c r="D5290" t="n">
        <v>42</v>
      </c>
      <c r="E5290">
        <f>IF(D3713&gt;0,VLOOKUP(OPERAC[[#This Row],[COD CART]],[1]!MatrizCortoLargoCyl[#All],3,0),"")</f>
        <v/>
      </c>
      <c r="F5290" t="inlineStr">
        <is>
          <t>ADBE</t>
        </is>
      </c>
      <c r="G5290" t="n">
        <v>2</v>
      </c>
      <c r="H5290" t="n">
        <v>-840.43879</v>
      </c>
      <c r="I5290">
        <f>-H3713/G3713</f>
        <v/>
      </c>
      <c r="J5290" s="16" t="n">
        <v>44687</v>
      </c>
      <c r="K5290">
        <f>+OPERAC[[#This Row],[cantidad]]</f>
        <v/>
      </c>
      <c r="L5290" t="n">
        <v>772.84</v>
      </c>
    </row>
    <row r="5291">
      <c r="A5291" t="n">
        <v>19878</v>
      </c>
      <c r="B5291" s="16" t="n">
        <v>44648</v>
      </c>
      <c r="C5291" t="inlineStr">
        <is>
          <t>VTA</t>
        </is>
      </c>
      <c r="D5291" t="n">
        <v>31</v>
      </c>
      <c r="E5291">
        <f>IF(D2923&gt;0,VLOOKUP(OPERAC[[#This Row],[COD CART]],[1]!MatrizCortoLargoCyl[#All],3,0),"")</f>
        <v/>
      </c>
      <c r="F5291" t="inlineStr">
        <is>
          <t>NVDA</t>
        </is>
      </c>
      <c r="G5291" t="n">
        <v>2</v>
      </c>
      <c r="H5291" t="n">
        <v>-555.98452</v>
      </c>
      <c r="I5291">
        <f>-H2923/G2923</f>
        <v/>
      </c>
      <c r="J5291" s="16" t="n">
        <v>44693</v>
      </c>
      <c r="K5291" t="n">
        <v>2</v>
      </c>
      <c r="L5291" t="n">
        <v>314.164</v>
      </c>
    </row>
    <row r="5292">
      <c r="A5292" t="n">
        <v>19878</v>
      </c>
      <c r="B5292" s="16" t="n">
        <v>44648</v>
      </c>
      <c r="C5292" t="inlineStr">
        <is>
          <t>VTA</t>
        </is>
      </c>
      <c r="D5292" t="n">
        <v>31</v>
      </c>
      <c r="E5292">
        <f>IF(D2945&gt;0,VLOOKUP(OPERAC[[#This Row],[COD CART]],[1]!MatrizCortoLargoCyl[#All],3,0),"")</f>
        <v/>
      </c>
      <c r="F5292" t="inlineStr">
        <is>
          <t>COST</t>
        </is>
      </c>
      <c r="G5292" t="n">
        <v>1</v>
      </c>
      <c r="H5292" t="n">
        <v>-559.7372000000001</v>
      </c>
      <c r="I5292">
        <f>-H2945/G2945</f>
        <v/>
      </c>
      <c r="J5292" s="16" t="n">
        <v>44693</v>
      </c>
      <c r="K5292" t="n">
        <v>1</v>
      </c>
      <c r="L5292" t="n">
        <v>483.82</v>
      </c>
    </row>
    <row r="5293">
      <c r="A5293" t="n">
        <v>19878</v>
      </c>
      <c r="B5293" s="16" t="n">
        <v>44648</v>
      </c>
      <c r="C5293" t="inlineStr">
        <is>
          <t>VTA</t>
        </is>
      </c>
      <c r="D5293" t="n">
        <v>31</v>
      </c>
      <c r="E5293">
        <f>IF(D2994&gt;0,VLOOKUP(OPERAC[[#This Row],[COD CART]],[1]!MatrizCortoLargoCyl[#All],3,0),"")</f>
        <v/>
      </c>
      <c r="F5293" t="inlineStr">
        <is>
          <t>BABA</t>
        </is>
      </c>
      <c r="G5293" t="n">
        <v>5</v>
      </c>
      <c r="H5293" t="n">
        <v>-572.9155</v>
      </c>
      <c r="I5293">
        <f>-H2994/G2994</f>
        <v/>
      </c>
      <c r="J5293" s="16" t="n">
        <v>44693</v>
      </c>
      <c r="K5293" t="n">
        <v>5</v>
      </c>
      <c r="L5293" t="n">
        <v>400.18</v>
      </c>
    </row>
    <row r="5294">
      <c r="A5294" t="n">
        <v>19878</v>
      </c>
      <c r="B5294" s="16" t="n">
        <v>44650</v>
      </c>
      <c r="C5294" t="inlineStr">
        <is>
          <t>CPR</t>
        </is>
      </c>
      <c r="D5294" t="n">
        <v>42</v>
      </c>
      <c r="E5294">
        <f>IF(D4114&gt;0,VLOOKUP(OPERAC[[#This Row],[COD CART]],[1]!MatrizCortoLargoCyl[#All],3,0),"")</f>
        <v/>
      </c>
      <c r="F5294" t="inlineStr">
        <is>
          <t>MSFT</t>
        </is>
      </c>
      <c r="G5294" t="n">
        <v>3</v>
      </c>
      <c r="H5294" t="n">
        <v>-952.3553999999999</v>
      </c>
      <c r="I5294">
        <f>-H4114/G4114</f>
        <v/>
      </c>
      <c r="J5294" s="16" t="n">
        <v>44662</v>
      </c>
      <c r="K5294">
        <f>+OPERAC[[#This Row],[cantidad]]</f>
        <v/>
      </c>
      <c r="L5294">
        <f>287.546*OPERAC[[#This Row],[cantidad venta]]</f>
        <v/>
      </c>
    </row>
    <row r="5295">
      <c r="A5295" t="n">
        <v>19878</v>
      </c>
      <c r="B5295" s="16" t="n">
        <v>44650</v>
      </c>
      <c r="C5295" t="inlineStr">
        <is>
          <t>VTA</t>
        </is>
      </c>
      <c r="D5295" t="n">
        <v>42</v>
      </c>
      <c r="E5295">
        <f>IF(D1663&gt;0,VLOOKUP(OPERAC[[#This Row],[COD CART]],[1]!MatrizCortoLargoCyl[#All],3,0),"")</f>
        <v/>
      </c>
      <c r="F5295" t="inlineStr">
        <is>
          <t>FB</t>
        </is>
      </c>
      <c r="G5295" t="n">
        <v>1</v>
      </c>
      <c r="H5295" t="n">
        <v>-232.00102</v>
      </c>
      <c r="I5295">
        <f>-H1663/G1663</f>
        <v/>
      </c>
      <c r="J5295" s="16" t="n">
        <v>44671</v>
      </c>
      <c r="K5295">
        <f>+OPERAC[[#This Row],[cantidad]]</f>
        <v/>
      </c>
      <c r="L5295">
        <f>+OPERAC[[#This Row],[cantidad venta]]*213.173</f>
        <v/>
      </c>
    </row>
    <row r="5296">
      <c r="A5296" t="n">
        <v>19878</v>
      </c>
      <c r="B5296" s="16" t="n">
        <v>44650</v>
      </c>
      <c r="C5296" t="inlineStr">
        <is>
          <t>VTA</t>
        </is>
      </c>
      <c r="D5296" t="n">
        <v>42</v>
      </c>
      <c r="E5296">
        <f>IF(D2162&gt;0,VLOOKUP(OPERAC[[#This Row],[COD CART]],[1]!MatrizCortoLargoCyl[#All],3,0),"")</f>
        <v/>
      </c>
      <c r="F5296" t="inlineStr">
        <is>
          <t>BRK B</t>
        </is>
      </c>
      <c r="G5296" t="n">
        <v>1</v>
      </c>
      <c r="H5296" t="n">
        <v>-357.16874</v>
      </c>
      <c r="I5296">
        <f>-H2162/G2162</f>
        <v/>
      </c>
      <c r="J5296" s="16" t="n">
        <v>44693</v>
      </c>
      <c r="K5296" t="n">
        <v>1</v>
      </c>
      <c r="L5296" t="n">
        <v>302.846</v>
      </c>
    </row>
    <row r="5297">
      <c r="A5297" t="n">
        <v>19878</v>
      </c>
      <c r="B5297" s="16" t="n">
        <v>44650</v>
      </c>
      <c r="C5297" t="inlineStr">
        <is>
          <t>VTA</t>
        </is>
      </c>
      <c r="D5297" t="n">
        <v>42</v>
      </c>
      <c r="E5297">
        <f>IF(D2518&gt;0,VLOOKUP(OPERAC[[#This Row],[COD CART]],[1]!MatrizCortoLargoCyl[#All],3,0),"")</f>
        <v/>
      </c>
      <c r="F5297" t="inlineStr">
        <is>
          <t>SPY</t>
        </is>
      </c>
      <c r="G5297" t="n">
        <v>1</v>
      </c>
      <c r="H5297" t="n">
        <v>-462.6449200000001</v>
      </c>
      <c r="I5297">
        <f>-H2518/G2518</f>
        <v/>
      </c>
      <c r="J5297" s="16" t="n">
        <v>44693</v>
      </c>
      <c r="K5297" t="n">
        <v>1</v>
      </c>
      <c r="L5297" t="n">
        <v>385.592</v>
      </c>
    </row>
    <row r="5298">
      <c r="A5298" t="n">
        <v>19878</v>
      </c>
      <c r="B5298" s="16" t="n">
        <v>44650</v>
      </c>
      <c r="C5298" t="inlineStr">
        <is>
          <t>VTA</t>
        </is>
      </c>
      <c r="D5298" t="n">
        <v>42</v>
      </c>
      <c r="E5298">
        <f>IF(D2559&gt;0,VLOOKUP(OPERAC[[#This Row],[COD CART]],[1]!MatrizCortoLargoCyl[#All],3,0),"")</f>
        <v/>
      </c>
      <c r="F5298" t="inlineStr">
        <is>
          <t>ADBE</t>
        </is>
      </c>
      <c r="G5298" t="n">
        <v>1</v>
      </c>
      <c r="H5298" t="n">
        <v>-465.3878</v>
      </c>
      <c r="I5298">
        <f>-H2559/G2559</f>
        <v/>
      </c>
      <c r="J5298" s="16" t="n">
        <v>44687</v>
      </c>
      <c r="K5298">
        <f>+OPERAC[[#This Row],[cantidad]]</f>
        <v/>
      </c>
      <c r="L5298" t="n">
        <v>386.42</v>
      </c>
    </row>
    <row r="5299">
      <c r="A5299" t="n">
        <v>19878</v>
      </c>
      <c r="B5299" s="16" t="n">
        <v>44650</v>
      </c>
      <c r="C5299" t="inlineStr">
        <is>
          <t>VTA</t>
        </is>
      </c>
      <c r="D5299" t="n">
        <v>42</v>
      </c>
      <c r="E5299">
        <f>IF(D2898&gt;0,VLOOKUP(OPERAC[[#This Row],[COD CART]],[1]!MatrizCortoLargoCyl[#All],3,0),"")</f>
        <v/>
      </c>
      <c r="F5299" t="inlineStr">
        <is>
          <t>BBAR</t>
        </is>
      </c>
      <c r="G5299" t="n">
        <v>150</v>
      </c>
      <c r="H5299" t="n">
        <v>-547.008</v>
      </c>
      <c r="I5299">
        <f>-H2898/G2898</f>
        <v/>
      </c>
      <c r="J5299" s="16" t="n">
        <v>44693</v>
      </c>
      <c r="K5299" t="n">
        <v>150</v>
      </c>
      <c r="L5299" t="n">
        <v>419.418</v>
      </c>
    </row>
    <row r="5300">
      <c r="A5300" t="n">
        <v>19878</v>
      </c>
      <c r="B5300" s="16" t="n">
        <v>44650</v>
      </c>
      <c r="C5300" t="inlineStr">
        <is>
          <t>VTA</t>
        </is>
      </c>
      <c r="D5300" t="n">
        <v>42</v>
      </c>
      <c r="E5300">
        <f>IF(D3008&gt;0,VLOOKUP(OPERAC[[#This Row],[COD CART]],[1]!MatrizCortoLargoCyl[#All],3,0),"")</f>
        <v/>
      </c>
      <c r="F5300" t="inlineStr">
        <is>
          <t>COST</t>
        </is>
      </c>
      <c r="G5300" t="n">
        <v>1</v>
      </c>
      <c r="H5300" t="n">
        <v>-581.7637999999999</v>
      </c>
      <c r="I5300">
        <f>-H3008/G3008</f>
        <v/>
      </c>
      <c r="J5300" s="16" t="n">
        <v>44693</v>
      </c>
      <c r="K5300" t="n">
        <v>1</v>
      </c>
      <c r="L5300" t="n">
        <v>483.82</v>
      </c>
    </row>
    <row r="5301">
      <c r="A5301" t="n">
        <v>19878</v>
      </c>
      <c r="B5301" s="16" t="n">
        <v>44662</v>
      </c>
      <c r="C5301" t="inlineStr">
        <is>
          <t>VTA</t>
        </is>
      </c>
      <c r="D5301" t="n">
        <v>42</v>
      </c>
      <c r="E5301">
        <f>IF(D5396&gt;0,VLOOKUP(OPERAC[[#This Row],[COD CART]],[1]!MatrizCortoLargoCyl[#All],3,0),"")</f>
        <v/>
      </c>
      <c r="F5301" t="inlineStr">
        <is>
          <t>UPST</t>
        </is>
      </c>
      <c r="G5301" t="n">
        <v>20</v>
      </c>
      <c r="H5301" t="n">
        <v>-1824.3804</v>
      </c>
      <c r="I5301">
        <f>-H5396/G5396</f>
        <v/>
      </c>
      <c r="J5301" s="16" t="n">
        <v>44669</v>
      </c>
      <c r="K5301">
        <f>10+10</f>
        <v/>
      </c>
      <c r="L5301">
        <f>785.56+317.583</f>
        <v/>
      </c>
    </row>
    <row r="5302">
      <c r="A5302" t="n">
        <v>19878</v>
      </c>
      <c r="B5302" s="16" t="n">
        <v>44664</v>
      </c>
      <c r="C5302" t="inlineStr">
        <is>
          <t>CPR</t>
        </is>
      </c>
      <c r="D5302" t="n">
        <v>42</v>
      </c>
      <c r="E5302">
        <f>IF(D4186&gt;0,VLOOKUP(OPERAC[[#This Row],[COD CART]],[1]!MatrizCortoLargoCyl[#All],3,0),"")</f>
        <v/>
      </c>
      <c r="F5302" t="inlineStr">
        <is>
          <t>AMD</t>
        </is>
      </c>
      <c r="G5302" t="n">
        <v>10</v>
      </c>
      <c r="H5302" t="n">
        <v>-985.7477817</v>
      </c>
      <c r="I5302">
        <f>-H4186/G4186</f>
        <v/>
      </c>
      <c r="J5302" s="16" t="n">
        <v>44693</v>
      </c>
      <c r="K5302">
        <f>+OPERAC[[#This Row],[cantidad]]</f>
        <v/>
      </c>
      <c r="L5302">
        <f>+OPERAC[[#This Row],[cantidad venta]]*85.26</f>
        <v/>
      </c>
    </row>
    <row r="5303">
      <c r="A5303" t="n">
        <v>19878</v>
      </c>
      <c r="B5303" s="16" t="n">
        <v>44664</v>
      </c>
      <c r="C5303" t="inlineStr">
        <is>
          <t>CPR</t>
        </is>
      </c>
      <c r="D5303" t="n">
        <v>42</v>
      </c>
      <c r="E5303">
        <f>IF(D4576&gt;0,VLOOKUP(OPERAC[[#This Row],[COD CART]],[1]!MatrizCortoLargoCyl[#All],3,0),"")</f>
        <v/>
      </c>
      <c r="F5303" t="inlineStr">
        <is>
          <t>PSQ</t>
        </is>
      </c>
      <c r="G5303" t="n">
        <v>100</v>
      </c>
      <c r="H5303" t="n">
        <v>-1240.7916609</v>
      </c>
      <c r="I5303">
        <f>-H4576/G4576</f>
        <v/>
      </c>
      <c r="J5303" s="16" t="n">
        <v>44680</v>
      </c>
      <c r="K5303">
        <f>+OPERAC[[#This Row],[cantidad]]</f>
        <v/>
      </c>
      <c r="L5303">
        <f>12.848*OPERAC[[#This Row],[cantidad venta]]</f>
        <v/>
      </c>
    </row>
    <row r="5304">
      <c r="A5304" t="n">
        <v>19878</v>
      </c>
      <c r="B5304" s="16" t="n">
        <v>44671</v>
      </c>
      <c r="C5304" t="inlineStr">
        <is>
          <t>VTA</t>
        </is>
      </c>
      <c r="D5304" t="n">
        <v>42</v>
      </c>
      <c r="E5304">
        <f>IF(D5357&gt;0,VLOOKUP(OPERAC[[#This Row],[COD CART]],[1]!MatrizCortoLargoCyl[#All],3,0),"")</f>
        <v/>
      </c>
      <c r="F5304" t="inlineStr">
        <is>
          <t>NFLX</t>
        </is>
      </c>
      <c r="G5304" t="n">
        <v>7</v>
      </c>
      <c r="H5304" t="n">
        <v>-1778.00238</v>
      </c>
      <c r="I5304">
        <f>-H5357/G5357</f>
        <v/>
      </c>
      <c r="J5304" s="16" t="n">
        <v>44693</v>
      </c>
      <c r="K5304">
        <f>+OPERAC[[#This Row],[cantidad]]</f>
        <v/>
      </c>
      <c r="L5304">
        <f>+OPERAC[[#This Row],[cantidad venta]]*169.089</f>
        <v/>
      </c>
    </row>
    <row r="5305">
      <c r="A5305" t="n">
        <v>19878</v>
      </c>
      <c r="B5305" s="16" t="n">
        <v>44680</v>
      </c>
      <c r="C5305" t="inlineStr">
        <is>
          <t>CPR</t>
        </is>
      </c>
      <c r="D5305" t="n">
        <v>42</v>
      </c>
      <c r="E5305">
        <f>IF(D4731&gt;0,VLOOKUP(OPERAC[[#This Row],[COD CART]],[1]!MatrizCortoLargoCyl[#All],3,0),"")</f>
        <v/>
      </c>
      <c r="F5305" t="inlineStr">
        <is>
          <t>XLP</t>
        </is>
      </c>
      <c r="G5305" t="n">
        <v>17</v>
      </c>
      <c r="H5305" t="n">
        <v>-1347.7085325</v>
      </c>
      <c r="I5305">
        <f>-H4731/G4731</f>
        <v/>
      </c>
      <c r="J5305" s="16" t="n">
        <v>44693</v>
      </c>
      <c r="K5305">
        <f>+OPERAC[[#This Row],[cantidad]]</f>
        <v/>
      </c>
      <c r="L5305">
        <f>+OPERAC[[#This Row],[cantidad venta]]*74.848</f>
        <v/>
      </c>
    </row>
    <row r="5306">
      <c r="A5306" t="n">
        <v>19878</v>
      </c>
      <c r="B5306" s="16" t="n">
        <v>44691</v>
      </c>
      <c r="C5306" t="inlineStr">
        <is>
          <t>CPR</t>
        </is>
      </c>
      <c r="D5306" t="n">
        <v>32</v>
      </c>
      <c r="E5306">
        <f>IF(D6004&gt;0,VLOOKUP(OPERAC[[#This Row],[COD CART]],[1]!MatrizCortoLargoCyl[#All],3,0),"")</f>
        <v/>
      </c>
      <c r="F5306" t="inlineStr">
        <is>
          <t>UPST</t>
        </is>
      </c>
      <c r="G5306" t="n">
        <v>100</v>
      </c>
      <c r="H5306" t="n">
        <v>-3321.11</v>
      </c>
      <c r="I5306">
        <f>-H6004/G6004</f>
        <v/>
      </c>
      <c r="J5306" s="16" t="n">
        <v>44701</v>
      </c>
      <c r="K5306" t="n">
        <v>100</v>
      </c>
      <c r="L5306" t="n">
        <v>4386.11</v>
      </c>
    </row>
    <row r="5307">
      <c r="A5307" t="n">
        <v>19878</v>
      </c>
      <c r="B5307" s="16" t="n">
        <v>44698</v>
      </c>
      <c r="C5307" t="inlineStr">
        <is>
          <t>CPR</t>
        </is>
      </c>
      <c r="D5307" t="n">
        <v>39</v>
      </c>
      <c r="E5307">
        <f>IF(D3458&gt;0,VLOOKUP(OPERAC[[#This Row],[COD CART]],[1]!MatrizCortoLargoCyl[#All],3,0),"")</f>
        <v/>
      </c>
      <c r="F5307" t="inlineStr">
        <is>
          <t>NTLA/C/65,00/15-07-22</t>
        </is>
      </c>
      <c r="G5307" t="n">
        <v>300</v>
      </c>
      <c r="H5307" t="n">
        <v>-754.875</v>
      </c>
      <c r="I5307">
        <f>-H3458/G3458</f>
        <v/>
      </c>
    </row>
    <row r="5308">
      <c r="A5308" t="n">
        <v>19878</v>
      </c>
      <c r="B5308" s="16" t="n">
        <v>44705</v>
      </c>
      <c r="C5308" t="inlineStr">
        <is>
          <t>CPR</t>
        </is>
      </c>
      <c r="D5308" t="n">
        <v>42</v>
      </c>
      <c r="E5308">
        <f>IF(D6254&gt;0,VLOOKUP(OPERAC[[#This Row],[COD CART]],[1]!MatrizCortoLargoCyl[#All],3,0),"")</f>
        <v/>
      </c>
      <c r="F5308" t="inlineStr">
        <is>
          <t>MELI</t>
        </is>
      </c>
      <c r="G5308" t="n">
        <v>10</v>
      </c>
      <c r="H5308" t="n">
        <v>-7048.08</v>
      </c>
      <c r="I5308">
        <f>-H6254/G6254</f>
        <v/>
      </c>
      <c r="J5308" s="16" t="n">
        <v>44706</v>
      </c>
      <c r="K5308">
        <f>+OPERAC[[#This Row],[cantidad]]</f>
        <v/>
      </c>
      <c r="L5308" t="n">
        <v>7258.734</v>
      </c>
    </row>
    <row r="5309">
      <c r="A5309" t="n">
        <v>19878</v>
      </c>
      <c r="B5309" s="16" t="n">
        <v>44707</v>
      </c>
      <c r="C5309" t="inlineStr">
        <is>
          <t>VTA</t>
        </is>
      </c>
      <c r="D5309" t="n">
        <v>43</v>
      </c>
      <c r="E5309">
        <f>IF(D5295&gt;0,VLOOKUP(OPERAC[[#This Row],[COD CART]],[1]!MatrizCortoLargoCyl[#All],3,0),"")</f>
        <v/>
      </c>
      <c r="F5309" t="inlineStr">
        <is>
          <t>SPWR/CYP/17,50-15,00/17-06-22</t>
        </is>
      </c>
      <c r="G5309" t="n">
        <v>100</v>
      </c>
      <c r="H5309" t="n">
        <v>-1717.027</v>
      </c>
      <c r="I5309">
        <f>-H5295/G5295</f>
        <v/>
      </c>
    </row>
    <row r="5310">
      <c r="A5310" t="n">
        <v>19878</v>
      </c>
      <c r="B5310" s="16" t="n">
        <v>44708</v>
      </c>
      <c r="C5310" t="inlineStr">
        <is>
          <t>CPR</t>
        </is>
      </c>
      <c r="D5310" t="n">
        <v>32</v>
      </c>
      <c r="E5310">
        <f>IF(D4354&gt;0,VLOOKUP(OPERAC[[#This Row],[COD CART]],[1]!MatrizCortoLargoCyl[#All],3,0),"")</f>
        <v/>
      </c>
      <c r="F5310" t="inlineStr">
        <is>
          <t>AMC/CYL/11,00/03-06-22</t>
        </is>
      </c>
      <c r="G5310" t="n">
        <v>100</v>
      </c>
      <c r="H5310" t="n">
        <v>-1071.908</v>
      </c>
      <c r="I5310">
        <f>-H4354/G4354</f>
        <v/>
      </c>
      <c r="J5310" s="16" t="n">
        <v>44715</v>
      </c>
      <c r="K5310">
        <f>+OPERAC[[#This Row],[cantidad]]</f>
        <v/>
      </c>
      <c r="L5310">
        <f>+OPERAC[[#This Row],[cantidad venta]]*10.951</f>
        <v/>
      </c>
    </row>
    <row r="5311">
      <c r="A5311" t="n">
        <v>19878</v>
      </c>
      <c r="B5311" s="16" t="n">
        <v>44712</v>
      </c>
      <c r="C5311" t="inlineStr">
        <is>
          <t>CPR</t>
        </is>
      </c>
      <c r="D5311" t="n">
        <v>32</v>
      </c>
      <c r="E5311">
        <f>IF(D4568&gt;0,VLOOKUP(OPERAC[[#This Row],[COD CART]],[1]!MatrizCortoLargoCyl[#All],3,0),"")</f>
        <v/>
      </c>
      <c r="F5311" t="inlineStr">
        <is>
          <t>AMC/CYL/13,00/10-06-22</t>
        </is>
      </c>
      <c r="G5311" t="n">
        <v>100</v>
      </c>
      <c r="H5311" t="n">
        <v>-1232.75</v>
      </c>
      <c r="I5311">
        <f>-H4568/G4568</f>
        <v/>
      </c>
      <c r="J5311" s="16" t="n">
        <v>44722</v>
      </c>
      <c r="K5311" t="n">
        <v>100</v>
      </c>
      <c r="L5311" t="n">
        <v>1234.29</v>
      </c>
    </row>
    <row r="5312">
      <c r="A5312" t="n">
        <v>19878</v>
      </c>
      <c r="B5312" s="16" t="n">
        <v>44712</v>
      </c>
      <c r="C5312" t="inlineStr">
        <is>
          <t>CPR</t>
        </is>
      </c>
      <c r="D5312" t="n">
        <v>32</v>
      </c>
      <c r="E5312">
        <f>IF(D6027&gt;0,VLOOKUP(OPERAC[[#This Row],[COD CART]],[1]!MatrizCortoLargoCyl[#All],3,0),"")</f>
        <v/>
      </c>
      <c r="F5312" t="inlineStr">
        <is>
          <t>CRESY/CYL/7,50/17-06-22</t>
        </is>
      </c>
      <c r="G5312" t="n">
        <v>500</v>
      </c>
      <c r="H5312" t="n">
        <v>-3465.37</v>
      </c>
      <c r="I5312">
        <f>-H6027/G6027</f>
        <v/>
      </c>
    </row>
    <row r="5313">
      <c r="A5313" t="n">
        <v>19878</v>
      </c>
      <c r="B5313" s="16" t="n">
        <v>44714</v>
      </c>
      <c r="C5313" t="inlineStr">
        <is>
          <t>VTA</t>
        </is>
      </c>
      <c r="D5313" t="n">
        <v>39</v>
      </c>
      <c r="E5313">
        <f>IF(D676&gt;0,VLOOKUP(OPERAC[[#This Row],[COD CART]],[1]!MatrizCortoLargoCyl[#All],3,0),"")</f>
        <v/>
      </c>
      <c r="F5313" t="inlineStr">
        <is>
          <t>TSLA/V/685,00/03-06-22</t>
        </is>
      </c>
      <c r="G5313" t="n">
        <v>-1000</v>
      </c>
      <c r="H5313" t="n">
        <v>437.14</v>
      </c>
      <c r="I5313">
        <f>-H676/G676</f>
        <v/>
      </c>
      <c r="J5313" s="16" t="n">
        <v>44715</v>
      </c>
      <c r="K5313" t="n">
        <v>-1000</v>
      </c>
      <c r="L5313" t="n">
        <v>-100.85</v>
      </c>
    </row>
    <row r="5314">
      <c r="A5314" t="n">
        <v>19878</v>
      </c>
      <c r="B5314" s="16" t="n">
        <v>44714</v>
      </c>
      <c r="C5314" t="inlineStr">
        <is>
          <t>VTA</t>
        </is>
      </c>
      <c r="D5314" t="n">
        <v>39</v>
      </c>
      <c r="E5314">
        <f>IF(D767&gt;0,VLOOKUP(OPERAC[[#This Row],[COD CART]],[1]!MatrizCortoLargoCyl[#All],3,0),"")</f>
        <v/>
      </c>
      <c r="F5314" t="inlineStr">
        <is>
          <t>TSLA/C/855,00/03-06-22</t>
        </is>
      </c>
      <c r="G5314" t="n">
        <v>-1000</v>
      </c>
      <c r="H5314" t="n">
        <v>317.92</v>
      </c>
      <c r="I5314">
        <f>-H767/G767</f>
        <v/>
      </c>
      <c r="J5314" s="16" t="n">
        <v>44715</v>
      </c>
      <c r="K5314">
        <f>+OPERAC[[#This Row],[cantidad]]</f>
        <v/>
      </c>
      <c r="L5314" t="n">
        <v>0</v>
      </c>
    </row>
    <row r="5315">
      <c r="A5315" t="n">
        <v>19878</v>
      </c>
      <c r="B5315" s="16" t="n">
        <v>44715</v>
      </c>
      <c r="C5315" t="inlineStr">
        <is>
          <t>VTA</t>
        </is>
      </c>
      <c r="D5315" t="n">
        <v>32</v>
      </c>
      <c r="E5315">
        <f>IF(D5065&gt;0,VLOOKUP(OPERAC[[#This Row],[COD CART]],[1]!MatrizCortoLargoCyl[#All],3,0),"")</f>
        <v/>
      </c>
      <c r="F5315" t="inlineStr">
        <is>
          <t>AAL/CYL/16,50/17-06-22</t>
        </is>
      </c>
      <c r="G5315" t="n">
        <v>100</v>
      </c>
      <c r="H5315" t="n">
        <v>-1580.215</v>
      </c>
      <c r="I5315">
        <f>-H5065/G5065</f>
        <v/>
      </c>
    </row>
    <row r="5316">
      <c r="A5316" t="n">
        <v>19878</v>
      </c>
      <c r="B5316" s="16" t="n">
        <v>44718</v>
      </c>
      <c r="C5316" t="inlineStr">
        <is>
          <t>CPR</t>
        </is>
      </c>
      <c r="D5316" t="n">
        <v>42</v>
      </c>
      <c r="E5316">
        <f>IF(D5948&gt;0,VLOOKUP(OPERAC[[#This Row],[COD CART]],[1]!MatrizCortoLargoCyl[#All],3,0),"")</f>
        <v/>
      </c>
      <c r="F5316" t="inlineStr">
        <is>
          <t>KWEB</t>
        </is>
      </c>
      <c r="G5316" t="n">
        <v>100</v>
      </c>
      <c r="H5316" t="n">
        <v>-3108.3388</v>
      </c>
      <c r="I5316">
        <f>-H5948/G5948</f>
        <v/>
      </c>
    </row>
    <row r="5317">
      <c r="A5317" t="n">
        <v>19878</v>
      </c>
      <c r="B5317" s="16" t="n">
        <v>44722</v>
      </c>
      <c r="C5317" t="inlineStr">
        <is>
          <t>VTA</t>
        </is>
      </c>
      <c r="D5317" t="n">
        <v>32</v>
      </c>
      <c r="E5317">
        <f>IF(D3755&gt;0,VLOOKUP(OPERAC[[#This Row],[COD CART]],[1]!MatrizCortoLargoCyl[#All],3,0),"")</f>
        <v/>
      </c>
      <c r="F5317" t="inlineStr">
        <is>
          <t>NNOX/CYL/9,00/17-06-22</t>
        </is>
      </c>
      <c r="G5317" t="n">
        <v>100</v>
      </c>
      <c r="H5317" t="n">
        <v>-844.8390000000001</v>
      </c>
      <c r="I5317">
        <f>-H3755/G3755</f>
        <v/>
      </c>
    </row>
    <row r="5318">
      <c r="A5318" t="n">
        <v>19881</v>
      </c>
      <c r="B5318" s="16" t="n">
        <v>44044</v>
      </c>
      <c r="C5318" t="inlineStr">
        <is>
          <t>CPR</t>
        </is>
      </c>
      <c r="D5318" t="n">
        <v>31</v>
      </c>
      <c r="E5318">
        <f>IF(D6173&gt;0,VLOOKUP(OPERAC[[#This Row],[COD CART]],[1]!MatrizCortoLargoCyl[#All],3,0),"")</f>
        <v/>
      </c>
      <c r="F5318" t="inlineStr">
        <is>
          <t>AL30</t>
        </is>
      </c>
      <c r="G5318" t="n">
        <v>9118</v>
      </c>
      <c r="H5318" t="n">
        <v>-5000</v>
      </c>
      <c r="I5318">
        <f>-H6173/G6173</f>
        <v/>
      </c>
      <c r="J5318" s="16" t="n">
        <v>44641</v>
      </c>
      <c r="K5318">
        <f>3891+5227</f>
        <v/>
      </c>
      <c r="L5318">
        <f>1100.06+1450</f>
        <v/>
      </c>
    </row>
    <row r="5319">
      <c r="A5319" t="n">
        <v>19881</v>
      </c>
      <c r="B5319" s="16" t="n">
        <v>44550</v>
      </c>
      <c r="C5319" t="inlineStr">
        <is>
          <t>VTA</t>
        </is>
      </c>
      <c r="D5319" t="n">
        <v>39</v>
      </c>
      <c r="E5319">
        <f>IF(D560&gt;0,VLOOKUP(OPERAC[[#This Row],[COD CART]],[1]!MatrizCortoLargoCyl[#All],3,0),"")</f>
        <v/>
      </c>
      <c r="F5319" t="inlineStr">
        <is>
          <t>ACB/V/5,50/21-01-22</t>
        </is>
      </c>
      <c r="G5319" t="n">
        <v>-1500</v>
      </c>
      <c r="H5319" t="n">
        <v>742.45</v>
      </c>
      <c r="I5319">
        <f>-H560/G560</f>
        <v/>
      </c>
      <c r="J5319" s="16" t="n">
        <v>44581</v>
      </c>
      <c r="K5319">
        <f>+OPERAC[[#This Row],[cantidad]]</f>
        <v/>
      </c>
      <c r="L5319">
        <f>-OPERAC[[#This Row],[importe]]</f>
        <v/>
      </c>
    </row>
    <row r="5320">
      <c r="A5320" t="n">
        <v>19881</v>
      </c>
      <c r="B5320" s="16" t="n">
        <v>44581</v>
      </c>
      <c r="C5320" t="inlineStr">
        <is>
          <t>VTA</t>
        </is>
      </c>
      <c r="D5320" t="n">
        <v>39</v>
      </c>
      <c r="E5320">
        <f>IF(D544&gt;0,VLOOKUP(OPERAC[[#This Row],[COD CART]],[1]!MatrizCortoLargoCyl[#All],3,0),"")</f>
        <v/>
      </c>
      <c r="F5320" t="inlineStr">
        <is>
          <t>ACB/V/5,50/25-02-22</t>
        </is>
      </c>
      <c r="G5320" t="n">
        <v>-1000</v>
      </c>
      <c r="H5320" t="n">
        <v>820.6205</v>
      </c>
      <c r="I5320">
        <f>-H544/G544</f>
        <v/>
      </c>
      <c r="J5320" s="16" t="n">
        <v>44614</v>
      </c>
      <c r="K5320" t="n">
        <v>-1000</v>
      </c>
      <c r="L5320" t="n">
        <v>-820</v>
      </c>
    </row>
    <row r="5321">
      <c r="A5321" t="n">
        <v>19881</v>
      </c>
      <c r="B5321" s="16" t="n">
        <v>44614</v>
      </c>
      <c r="C5321" t="inlineStr">
        <is>
          <t>VTA</t>
        </is>
      </c>
      <c r="D5321" t="n">
        <v>39</v>
      </c>
      <c r="E5321">
        <f>IF(D1170&gt;0,VLOOKUP(OPERAC[[#This Row],[COD CART]],[1]!MatrizCortoLargoCyl[#All],3,0),"")</f>
        <v/>
      </c>
      <c r="F5321" t="inlineStr">
        <is>
          <t>SOLO/V/2,00/20-01-23</t>
        </is>
      </c>
      <c r="G5321" t="n">
        <v>-20</v>
      </c>
      <c r="H5321" t="n">
        <v>13.8</v>
      </c>
      <c r="I5321">
        <f>-H1170/G1170</f>
        <v/>
      </c>
    </row>
    <row r="5322">
      <c r="A5322" t="n">
        <v>19888</v>
      </c>
      <c r="B5322" s="16" t="n">
        <v>44138</v>
      </c>
      <c r="C5322" t="inlineStr">
        <is>
          <t>VTA</t>
        </is>
      </c>
      <c r="D5322" t="n">
        <v>39</v>
      </c>
      <c r="E5322">
        <f>IF(D167&gt;0,VLOOKUP(OPERAC[[#This Row],[COD CART]],[1]!MatrizCortoLargoCyl[#All],3,0),"")</f>
        <v/>
      </c>
      <c r="F5322" t="inlineStr">
        <is>
          <t>YPF/V/5,00/20-01-23</t>
        </is>
      </c>
      <c r="G5322" t="n">
        <v>-1000</v>
      </c>
      <c r="H5322" t="n">
        <v>2425</v>
      </c>
      <c r="I5322">
        <f>-H167/G167</f>
        <v/>
      </c>
    </row>
    <row r="5323">
      <c r="A5323" t="n">
        <v>19888</v>
      </c>
      <c r="B5323" s="16" t="n">
        <v>44341</v>
      </c>
      <c r="C5323" t="inlineStr">
        <is>
          <t>VTA</t>
        </is>
      </c>
      <c r="D5323" t="n">
        <v>39</v>
      </c>
      <c r="E5323">
        <f>IF(D1215&gt;0,VLOOKUP(OPERAC[[#This Row],[COD CART]],[1]!MatrizCortoLargoCyl[#All],3,0),"")</f>
        <v/>
      </c>
      <c r="F5323" t="inlineStr">
        <is>
          <t>ACB/V/5,00/20-01-23</t>
        </is>
      </c>
      <c r="G5323" t="n">
        <v>-5</v>
      </c>
      <c r="H5323" t="n">
        <v>7.5</v>
      </c>
      <c r="I5323">
        <f>-H1215/G1215</f>
        <v/>
      </c>
    </row>
    <row r="5324">
      <c r="A5324" t="n">
        <v>19888</v>
      </c>
      <c r="B5324" s="16" t="n">
        <v>44424</v>
      </c>
      <c r="C5324" t="inlineStr">
        <is>
          <t>VTA</t>
        </is>
      </c>
      <c r="D5324" t="n">
        <v>39</v>
      </c>
      <c r="E5324">
        <f>IF(D1165&gt;0,VLOOKUP(OPERAC[[#This Row],[COD CART]],[1]!MatrizCortoLargoCyl[#All],3,0),"")</f>
        <v/>
      </c>
      <c r="F5324" t="inlineStr">
        <is>
          <t>ACB/V/5,00/20-01-23</t>
        </is>
      </c>
      <c r="G5324" t="n">
        <v>-10</v>
      </c>
      <c r="H5324" t="n">
        <v>14.37</v>
      </c>
      <c r="I5324">
        <f>-H1165/G1165</f>
        <v/>
      </c>
    </row>
    <row r="5325">
      <c r="A5325" t="n">
        <v>19888</v>
      </c>
      <c r="B5325" s="16" t="n">
        <v>44432</v>
      </c>
      <c r="C5325" t="inlineStr">
        <is>
          <t>VTA</t>
        </is>
      </c>
      <c r="D5325" t="n">
        <v>39</v>
      </c>
      <c r="E5325">
        <f>IF(D321&gt;0,VLOOKUP(OPERAC[[#This Row],[COD CART]],[1]!MatrizCortoLargoCyl[#All],3,0),"")</f>
        <v/>
      </c>
      <c r="F5325" t="inlineStr">
        <is>
          <t>YPF/V/5,00/20-01-23</t>
        </is>
      </c>
      <c r="G5325" t="n">
        <v>-1000</v>
      </c>
      <c r="H5325" t="n">
        <v>1400</v>
      </c>
      <c r="I5325">
        <f>-H321/G321</f>
        <v/>
      </c>
    </row>
    <row r="5326">
      <c r="A5326" t="n">
        <v>19888</v>
      </c>
      <c r="B5326" s="16" t="n">
        <v>44453</v>
      </c>
      <c r="C5326" t="inlineStr">
        <is>
          <t>VTA</t>
        </is>
      </c>
      <c r="D5326" t="n">
        <v>39</v>
      </c>
      <c r="E5326">
        <f>IF(D1134&gt;0,VLOOKUP(OPERAC[[#This Row],[COD CART]],[1]!MatrizCortoLargoCyl[#All],3,0),"")</f>
        <v/>
      </c>
      <c r="F5326" t="inlineStr">
        <is>
          <t>EDIT/V/20,00/20-01-23</t>
        </is>
      </c>
      <c r="G5326" t="n">
        <v>-10</v>
      </c>
      <c r="H5326" t="n">
        <v>19.915</v>
      </c>
      <c r="I5326">
        <f>-H1134/G1134</f>
        <v/>
      </c>
    </row>
    <row r="5327">
      <c r="A5327" t="n">
        <v>19888</v>
      </c>
      <c r="B5327" s="16" t="n">
        <v>44489</v>
      </c>
      <c r="C5327" t="inlineStr">
        <is>
          <t>CPR</t>
        </is>
      </c>
      <c r="D5327" t="n">
        <v>43</v>
      </c>
      <c r="E5327">
        <f>IF(D4097&gt;0,VLOOKUP(OPERAC[[#This Row],[COD CART]],[1]!MatrizCortoLargoCyl[#All],3,0),"")</f>
        <v/>
      </c>
      <c r="F5327" t="inlineStr">
        <is>
          <t>SESN/CYL-PUT/1,00/19-01-24</t>
        </is>
      </c>
      <c r="G5327" t="n">
        <v>5000</v>
      </c>
      <c r="H5327">
        <f>-0.1885*OPERAC[[#This Row],[cantidad]]</f>
        <v/>
      </c>
      <c r="I5327">
        <f>-H4097/G4097</f>
        <v/>
      </c>
      <c r="J5327" s="16" t="n">
        <v>44614</v>
      </c>
      <c r="K5327" t="n">
        <v>5000</v>
      </c>
      <c r="L5327">
        <f>0.266068*OPERAC[[#This Row],[cantidad venta]]</f>
        <v/>
      </c>
    </row>
    <row r="5328">
      <c r="A5328" t="n">
        <v>19888</v>
      </c>
      <c r="B5328" s="16" t="n">
        <v>44490</v>
      </c>
      <c r="C5328" t="inlineStr">
        <is>
          <t>CPR</t>
        </is>
      </c>
      <c r="D5328" t="n">
        <v>43</v>
      </c>
      <c r="E5328">
        <f>IF(D1875&gt;0,VLOOKUP(OPERAC[[#This Row],[COD CART]],[1]!MatrizCortoLargoCyl[#All],3,0),"")</f>
        <v/>
      </c>
      <c r="F5328" t="inlineStr">
        <is>
          <t>SESN/CYL-PUT/1,00/19-01-24</t>
        </is>
      </c>
      <c r="G5328" t="n">
        <v>1000</v>
      </c>
      <c r="H5328">
        <f>-0.28*OPERAC[[#This Row],[cantidad]]</f>
        <v/>
      </c>
      <c r="I5328">
        <f>-H1875/G1875</f>
        <v/>
      </c>
      <c r="J5328" s="16" t="n">
        <v>44614</v>
      </c>
      <c r="K5328" t="n">
        <v>1000</v>
      </c>
      <c r="L5328">
        <f>0.266068*OPERAC[[#This Row],[cantidad venta]]</f>
        <v/>
      </c>
    </row>
    <row r="5329">
      <c r="A5329" t="n">
        <v>19888</v>
      </c>
      <c r="B5329" s="16" t="n">
        <v>44490</v>
      </c>
      <c r="C5329" t="inlineStr">
        <is>
          <t>VTA</t>
        </is>
      </c>
      <c r="D5329" t="n">
        <v>40</v>
      </c>
      <c r="E5329">
        <f>IF(D5094&gt;0,VLOOKUP(OPERAC[[#This Row],[COD CART]],[1]!MatrizCortoLargoCyl[#All],3,0),"")</f>
        <v/>
      </c>
      <c r="F5329" t="inlineStr">
        <is>
          <t>MELI</t>
        </is>
      </c>
      <c r="G5329" t="n">
        <v>1</v>
      </c>
      <c r="H5329" t="n">
        <v>-1587.905</v>
      </c>
      <c r="I5329">
        <f>-H5094/G5094</f>
        <v/>
      </c>
      <c r="J5329" s="16" t="n">
        <v>44606</v>
      </c>
      <c r="K5329" t="n">
        <v>1</v>
      </c>
      <c r="L5329" t="n">
        <v>1073.609</v>
      </c>
    </row>
    <row r="5330">
      <c r="A5330" t="n">
        <v>19888</v>
      </c>
      <c r="B5330" s="16" t="n">
        <v>44511</v>
      </c>
      <c r="C5330" t="inlineStr">
        <is>
          <t>CPR</t>
        </is>
      </c>
      <c r="D5330" t="n">
        <v>31</v>
      </c>
      <c r="E5330">
        <f>IF(D4391&gt;0,VLOOKUP(OPERAC[[#This Row],[COD CART]],[1]!MatrizCortoLargoCyl[#All],3,0),"")</f>
        <v/>
      </c>
      <c r="F5330" t="inlineStr">
        <is>
          <t>IPIX</t>
        </is>
      </c>
      <c r="G5330" t="n">
        <v>10000</v>
      </c>
      <c r="H5330" t="n">
        <v>-1099.9</v>
      </c>
      <c r="I5330">
        <f>-H4391/G4391</f>
        <v/>
      </c>
    </row>
    <row r="5331">
      <c r="A5331" t="n">
        <v>19888</v>
      </c>
      <c r="B5331" s="16" t="n">
        <v>44531</v>
      </c>
      <c r="C5331" t="inlineStr">
        <is>
          <t>VTA</t>
        </is>
      </c>
      <c r="D5331" t="n">
        <v>39</v>
      </c>
      <c r="E5331">
        <f>IF(D854&gt;0,VLOOKUP(OPERAC[[#This Row],[COD CART]],[1]!MatrizCortoLargoCyl[#All],3,0),"")</f>
        <v/>
      </c>
      <c r="F5331" t="inlineStr">
        <is>
          <t>MELI/V/740,00/16-09-22</t>
        </is>
      </c>
      <c r="G5331" t="n">
        <v>-100</v>
      </c>
      <c r="H5331">
        <f>-2*OPERAC[[#This Row],[cantidad]]</f>
        <v/>
      </c>
      <c r="I5331">
        <f>-H854/G854</f>
        <v/>
      </c>
      <c r="J5331" s="16" t="n">
        <v>44614</v>
      </c>
      <c r="K5331">
        <f>+OPERAC[[#This Row],[cantidad]]</f>
        <v/>
      </c>
      <c r="L5331" t="n">
        <v>-200</v>
      </c>
    </row>
    <row r="5332">
      <c r="A5332" t="n">
        <v>19888</v>
      </c>
      <c r="B5332" s="16" t="n">
        <v>44536</v>
      </c>
      <c r="C5332" t="inlineStr">
        <is>
          <t>CPR</t>
        </is>
      </c>
      <c r="D5332" t="n">
        <v>40</v>
      </c>
      <c r="E5332">
        <f>IF(D5715&gt;0,VLOOKUP(OPERAC[[#This Row],[COD CART]],[1]!MatrizCortoLargoCyl[#All],3,0),"")</f>
        <v/>
      </c>
      <c r="F5332" t="inlineStr">
        <is>
          <t>UVXY</t>
        </is>
      </c>
      <c r="G5332" t="n">
        <v>110</v>
      </c>
      <c r="H5332" t="n">
        <v>-2549.6812</v>
      </c>
      <c r="I5332">
        <f>-H5715/G5715</f>
        <v/>
      </c>
      <c r="J5332" s="16" t="n">
        <v>44571</v>
      </c>
      <c r="K5332">
        <f>+OPERAC[[#This Row],[cantidad]]</f>
        <v/>
      </c>
      <c r="L5332">
        <f>+OPERAC[[#This Row],[cantidad venta]]*14.135</f>
        <v/>
      </c>
    </row>
    <row r="5333">
      <c r="A5333" t="n">
        <v>19888</v>
      </c>
      <c r="B5333" s="16" t="n">
        <v>44538</v>
      </c>
      <c r="C5333" t="inlineStr">
        <is>
          <t>CPR</t>
        </is>
      </c>
      <c r="D5333" t="n">
        <v>43</v>
      </c>
      <c r="E5333">
        <f>IF(D4101&gt;0,VLOOKUP(OPERAC[[#This Row],[COD CART]],[1]!MatrizCortoLargoCyl[#All],3,0),"")</f>
        <v/>
      </c>
      <c r="F5333" t="inlineStr">
        <is>
          <t>HEXO/CYL-PUT/1,00/20-01-23</t>
        </is>
      </c>
      <c r="G5333" t="n">
        <v>5000</v>
      </c>
      <c r="H5333">
        <f>-0.1886*OPERAC[[#This Row],[cantidad]]</f>
        <v/>
      </c>
      <c r="I5333">
        <f>-H4101/G4101</f>
        <v/>
      </c>
      <c r="J5333" s="16" t="n">
        <v>44614</v>
      </c>
      <c r="K5333" t="n">
        <v>5000</v>
      </c>
      <c r="L5333" t="n">
        <v>1653.364</v>
      </c>
    </row>
    <row r="5334">
      <c r="A5334" t="n">
        <v>19888</v>
      </c>
      <c r="B5334" s="16" t="n">
        <v>44538</v>
      </c>
      <c r="C5334" t="inlineStr">
        <is>
          <t>CPR</t>
        </is>
      </c>
      <c r="D5334" t="n">
        <v>43</v>
      </c>
      <c r="E5334">
        <f>IF(D4529&gt;0,VLOOKUP(OPERAC[[#This Row],[COD CART]],[1]!MatrizCortoLargoCyl[#All],3,0),"")</f>
        <v/>
      </c>
      <c r="F5334" t="inlineStr">
        <is>
          <t>XSPA/CYL-PUT/1,50/20-01-23</t>
        </is>
      </c>
      <c r="G5334" t="n">
        <v>2000</v>
      </c>
      <c r="H5334">
        <f>-0.59863*OPERAC[[#This Row],[cantidad]]</f>
        <v/>
      </c>
      <c r="I5334">
        <f>-H4529/G4529</f>
        <v/>
      </c>
    </row>
    <row r="5335">
      <c r="A5335" t="n">
        <v>19888</v>
      </c>
      <c r="B5335" s="16" t="n">
        <v>44538</v>
      </c>
      <c r="C5335" t="inlineStr">
        <is>
          <t>CPR</t>
        </is>
      </c>
      <c r="D5335" t="n">
        <v>43</v>
      </c>
      <c r="E5335">
        <f>IF(D4681&gt;0,VLOOKUP(OPERAC[[#This Row],[COD CART]],[1]!MatrizCortoLargoCyl[#All],3,0),"")</f>
        <v/>
      </c>
      <c r="F5335" t="inlineStr">
        <is>
          <t>NNDM/CYL-PUT/2,50/19-01-24</t>
        </is>
      </c>
      <c r="G5335" t="n">
        <v>1000</v>
      </c>
      <c r="H5335">
        <f>-1.306*OPERAC[[#This Row],[cantidad]]</f>
        <v/>
      </c>
      <c r="I5335">
        <f>-H4681/G4681</f>
        <v/>
      </c>
    </row>
    <row r="5336">
      <c r="A5336" t="n">
        <v>19888</v>
      </c>
      <c r="B5336" s="16" t="n">
        <v>44539</v>
      </c>
      <c r="C5336" t="inlineStr">
        <is>
          <t>CPR</t>
        </is>
      </c>
      <c r="D5336" t="n">
        <v>40</v>
      </c>
      <c r="E5336">
        <f>IF(D5724&gt;0,VLOOKUP(OPERAC[[#This Row],[COD CART]],[1]!MatrizCortoLargoCyl[#All],3,0),"")</f>
        <v/>
      </c>
      <c r="F5336" t="inlineStr">
        <is>
          <t>ROKU</t>
        </is>
      </c>
      <c r="G5336" t="n">
        <v>10</v>
      </c>
      <c r="H5336" t="n">
        <v>-2577.2036</v>
      </c>
      <c r="I5336">
        <f>-H5724/G5724</f>
        <v/>
      </c>
      <c r="J5336" s="16" t="n">
        <v>44606</v>
      </c>
      <c r="K5336">
        <f>+OPERAC[[#This Row],[cantidad]]</f>
        <v/>
      </c>
      <c r="L5336">
        <f>+OPERAC[[#This Row],[cantidad venta]]*160.574</f>
        <v/>
      </c>
    </row>
    <row r="5337">
      <c r="A5337" t="n">
        <v>19888</v>
      </c>
      <c r="B5337" s="16" t="n">
        <v>44547</v>
      </c>
      <c r="C5337" t="inlineStr">
        <is>
          <t>CPR</t>
        </is>
      </c>
      <c r="D5337" t="n">
        <v>32</v>
      </c>
      <c r="E5337">
        <f>IF(D4416&gt;0,VLOOKUP(OPERAC[[#This Row],[COD CART]],[1]!MatrizCortoLargoCyl[#All],3,0),"")</f>
        <v/>
      </c>
      <c r="F5337" t="inlineStr">
        <is>
          <t>HIMX/CYL/12,00/21-01-22</t>
        </is>
      </c>
      <c r="G5337" t="n">
        <v>100</v>
      </c>
      <c r="H5337" t="n">
        <v>-1109.5304</v>
      </c>
      <c r="I5337">
        <f>-H4416/G4416</f>
        <v/>
      </c>
      <c r="J5337" s="16" t="n">
        <v>44575</v>
      </c>
      <c r="K5337" t="n">
        <v>100</v>
      </c>
      <c r="L5337" t="n">
        <v>1170.618</v>
      </c>
    </row>
    <row r="5338">
      <c r="A5338" t="n">
        <v>19888</v>
      </c>
      <c r="B5338" s="16" t="n">
        <v>44547</v>
      </c>
      <c r="C5338" t="inlineStr">
        <is>
          <t>VTA</t>
        </is>
      </c>
      <c r="D5338" t="n">
        <v>32</v>
      </c>
      <c r="E5338">
        <f>IF(D3800&gt;0,VLOOKUP(OPERAC[[#This Row],[COD CART]],[1]!MatrizCortoLargoCyl[#All],3,0),"")</f>
        <v/>
      </c>
      <c r="F5338" t="inlineStr">
        <is>
          <t>ARLO/CYL/9,00/18-02-22</t>
        </is>
      </c>
      <c r="G5338" t="n">
        <v>100</v>
      </c>
      <c r="H5338">
        <f>-866.74+14.88</f>
        <v/>
      </c>
      <c r="I5338">
        <f>-H3800/G3800</f>
        <v/>
      </c>
      <c r="J5338" s="16" t="n">
        <v>44607</v>
      </c>
      <c r="K5338" t="n">
        <v>100</v>
      </c>
      <c r="L5338" t="n">
        <v>875.33</v>
      </c>
    </row>
    <row r="5339">
      <c r="A5339" t="n">
        <v>19888</v>
      </c>
      <c r="B5339" s="16" t="n">
        <v>44557</v>
      </c>
      <c r="C5339" t="inlineStr">
        <is>
          <t>CPR</t>
        </is>
      </c>
      <c r="D5339" t="n">
        <v>40</v>
      </c>
      <c r="E5339">
        <f>IF(D3555&gt;0,VLOOKUP(OPERAC[[#This Row],[COD CART]],[1]!MatrizCortoLargoCyl[#All],3,0),"")</f>
        <v/>
      </c>
      <c r="F5339" t="inlineStr">
        <is>
          <t>TLRY</t>
        </is>
      </c>
      <c r="G5339" t="n">
        <v>100</v>
      </c>
      <c r="H5339" t="n">
        <v>-771.62</v>
      </c>
      <c r="I5339">
        <f>-H3555/G3555</f>
        <v/>
      </c>
      <c r="J5339" s="16" t="n">
        <v>44585</v>
      </c>
      <c r="K5339">
        <f>+OPERAC[[#This Row],[cantidad]]</f>
        <v/>
      </c>
      <c r="L5339">
        <f>+OPERAC[[#This Row],[cantidad venta]]*5.263</f>
        <v/>
      </c>
    </row>
    <row r="5340">
      <c r="A5340" t="n">
        <v>19888</v>
      </c>
      <c r="B5340" s="16" t="n">
        <v>44574</v>
      </c>
      <c r="C5340" t="inlineStr">
        <is>
          <t>CPR</t>
        </is>
      </c>
      <c r="D5340" t="n">
        <v>39</v>
      </c>
      <c r="E5340">
        <f>IF(D4140&gt;0,VLOOKUP(OPERAC[[#This Row],[COD CART]],[1]!MatrizCortoLargoCyl[#All],3,0),"")</f>
        <v/>
      </c>
      <c r="F5340" t="inlineStr">
        <is>
          <t>BABA/BULL/120,0-135,0/20-05-22</t>
        </is>
      </c>
      <c r="G5340" t="n">
        <v>100</v>
      </c>
      <c r="H5340" t="n">
        <v>-965.8</v>
      </c>
      <c r="I5340">
        <f>-H4140/G4140</f>
        <v/>
      </c>
      <c r="J5340" s="16" t="n">
        <v>44701</v>
      </c>
      <c r="K5340">
        <f>+OPERAC[[#This Row],[cantidad]]</f>
        <v/>
      </c>
      <c r="L5340" t="n">
        <v>0</v>
      </c>
    </row>
    <row r="5341">
      <c r="A5341" t="n">
        <v>19888</v>
      </c>
      <c r="B5341" s="16" t="n">
        <v>44575</v>
      </c>
      <c r="C5341" t="inlineStr">
        <is>
          <t>CPR</t>
        </is>
      </c>
      <c r="D5341" t="n">
        <v>40</v>
      </c>
      <c r="E5341">
        <f>IF(D4017&gt;0,VLOOKUP(OPERAC[[#This Row],[COD CART]],[1]!MatrizCortoLargoCyl[#All],3,0),"")</f>
        <v/>
      </c>
      <c r="F5341" t="inlineStr">
        <is>
          <t>GBTC</t>
        </is>
      </c>
      <c r="G5341" t="n">
        <v>30</v>
      </c>
      <c r="H5341" t="n">
        <v>-924.2843999999999</v>
      </c>
      <c r="I5341">
        <f>-H4017/G4017</f>
        <v/>
      </c>
      <c r="J5341" s="16" t="n">
        <v>44651</v>
      </c>
      <c r="K5341">
        <f>+OPERAC[[#This Row],[cantidad]]</f>
        <v/>
      </c>
      <c r="L5341">
        <f>+OPERAC[[#This Row],[cantidad venta]]*31.332</f>
        <v/>
      </c>
    </row>
    <row r="5342">
      <c r="A5342" t="n">
        <v>19888</v>
      </c>
      <c r="B5342" s="16" t="n">
        <v>44581</v>
      </c>
      <c r="C5342" t="inlineStr">
        <is>
          <t>CPR</t>
        </is>
      </c>
      <c r="D5342" t="n">
        <v>32</v>
      </c>
      <c r="E5342">
        <f>IF(D4464&gt;0,VLOOKUP(OPERAC[[#This Row],[COD CART]],[1]!MatrizCortoLargoCyl[#All],3,0),"")</f>
        <v/>
      </c>
      <c r="F5342" t="inlineStr">
        <is>
          <t>HMY/CYL/4,00/18-02-22</t>
        </is>
      </c>
      <c r="G5342" t="n">
        <v>300</v>
      </c>
      <c r="H5342" t="n">
        <v>-1162.403988</v>
      </c>
      <c r="I5342">
        <f>-H4464/G4464</f>
        <v/>
      </c>
      <c r="J5342" s="16" t="n">
        <v>44610</v>
      </c>
      <c r="K5342">
        <f>+OPERAC[[#This Row],[cantidad]]</f>
        <v/>
      </c>
      <c r="L5342">
        <f>+OPERAC[[#This Row],[cantidad venta]]*3.8323</f>
        <v/>
      </c>
    </row>
    <row r="5343">
      <c r="A5343" t="n">
        <v>19888</v>
      </c>
      <c r="B5343" s="16" t="n">
        <v>44582</v>
      </c>
      <c r="C5343" t="inlineStr">
        <is>
          <t>CPR</t>
        </is>
      </c>
      <c r="D5343" t="n">
        <v>40</v>
      </c>
      <c r="E5343">
        <f>IF(D6283&gt;0,VLOOKUP(OPERAC[[#This Row],[COD CART]],[1]!MatrizCortoLargoCyl[#All],3,0),"")</f>
        <v/>
      </c>
      <c r="F5343" t="inlineStr">
        <is>
          <t>ACB</t>
        </is>
      </c>
      <c r="G5343" t="n">
        <v>320</v>
      </c>
      <c r="H5343">
        <f>-25*OPERAC[[#This Row],[cantidad]]</f>
        <v/>
      </c>
      <c r="I5343">
        <f>-H6283/G6283</f>
        <v/>
      </c>
      <c r="J5343" s="16" t="n">
        <v>44606</v>
      </c>
      <c r="K5343" t="n">
        <v>320</v>
      </c>
      <c r="L5343" t="n">
        <v>1398.579</v>
      </c>
    </row>
    <row r="5344">
      <c r="A5344" t="n">
        <v>19888</v>
      </c>
      <c r="B5344" s="16" t="n">
        <v>44585</v>
      </c>
      <c r="C5344" t="inlineStr">
        <is>
          <t>VTA</t>
        </is>
      </c>
      <c r="D5344" t="n">
        <v>39</v>
      </c>
      <c r="E5344">
        <f>IF(D829&gt;0,VLOOKUP(OPERAC[[#This Row],[COD CART]],[1]!MatrizCortoLargoCyl[#All],3,0),"")</f>
        <v/>
      </c>
      <c r="F5344" t="inlineStr">
        <is>
          <t>TSLA/V/510,00/28-01-22</t>
        </is>
      </c>
      <c r="G5344" t="n">
        <v>-200</v>
      </c>
      <c r="H5344" t="n">
        <v>217.712</v>
      </c>
      <c r="I5344">
        <f>-H829/G829</f>
        <v/>
      </c>
      <c r="J5344" s="16" t="n">
        <v>44587</v>
      </c>
      <c r="K5344" t="n">
        <v>-200</v>
      </c>
      <c r="L5344" t="n">
        <v>-21.776</v>
      </c>
    </row>
    <row r="5345">
      <c r="A5345" t="n">
        <v>19888</v>
      </c>
      <c r="B5345" s="16" t="n">
        <v>44586</v>
      </c>
      <c r="C5345" t="inlineStr">
        <is>
          <t>VTA</t>
        </is>
      </c>
      <c r="D5345" t="n">
        <v>39</v>
      </c>
      <c r="E5345">
        <f>IF(D26&gt;0,VLOOKUP(OPERAC[[#This Row],[COD CART]],[1]!MatrizCortoLargoCyl[#All],3,0),"")</f>
        <v/>
      </c>
      <c r="F5345" t="inlineStr">
        <is>
          <t>MELI/V/750,00/04-02-22</t>
        </is>
      </c>
      <c r="G5345" t="n">
        <v>-1600</v>
      </c>
      <c r="H5345" t="n">
        <v>7396.352</v>
      </c>
      <c r="I5345">
        <f>-H26/G26</f>
        <v/>
      </c>
      <c r="J5345" s="16" t="n">
        <v>44592</v>
      </c>
      <c r="K5345">
        <f>-700-900</f>
        <v/>
      </c>
      <c r="L5345">
        <f>-70.56-45.73</f>
        <v/>
      </c>
    </row>
    <row r="5346">
      <c r="A5346" t="n">
        <v>19888</v>
      </c>
      <c r="B5346" s="16" t="n">
        <v>44608</v>
      </c>
      <c r="C5346" t="inlineStr">
        <is>
          <t>CPR</t>
        </is>
      </c>
      <c r="D5346" t="n">
        <v>32</v>
      </c>
      <c r="E5346">
        <f>IF(D4855&gt;0,VLOOKUP(OPERAC[[#This Row],[COD CART]],[1]!MatrizCortoLargoCyl[#All],3,0),"")</f>
        <v/>
      </c>
      <c r="F5346" t="inlineStr">
        <is>
          <t>SPWR/CYL/15,00/18-03-22</t>
        </is>
      </c>
      <c r="G5346" t="n">
        <v>100</v>
      </c>
      <c r="H5346" t="n">
        <v>-1441.812</v>
      </c>
      <c r="I5346">
        <f>-H4855/G4855</f>
        <v/>
      </c>
      <c r="J5346" s="16" t="n">
        <v>44628</v>
      </c>
      <c r="K5346">
        <f>+OPERAC[[#This Row],[cantidad]]</f>
        <v/>
      </c>
      <c r="L5346" t="n">
        <v>1504.278</v>
      </c>
    </row>
    <row r="5347">
      <c r="A5347" t="n">
        <v>19888</v>
      </c>
      <c r="B5347" s="16" t="n">
        <v>44608</v>
      </c>
      <c r="C5347" t="inlineStr">
        <is>
          <t>CPR</t>
        </is>
      </c>
      <c r="D5347" t="n">
        <v>40</v>
      </c>
      <c r="E5347">
        <f>IF(D5755&gt;0,VLOOKUP(OPERAC[[#This Row],[COD CART]],[1]!MatrizCortoLargoCyl[#All],3,0),"")</f>
        <v/>
      </c>
      <c r="F5347" t="inlineStr">
        <is>
          <t>NVDA</t>
        </is>
      </c>
      <c r="G5347" t="n">
        <v>10</v>
      </c>
      <c r="H5347" t="n">
        <v>-2635.14</v>
      </c>
      <c r="I5347">
        <f>-H5755/G5755</f>
        <v/>
      </c>
      <c r="J5347" s="16" t="n">
        <v>44616</v>
      </c>
      <c r="K5347">
        <f>+OPERAC[[#This Row],[cantidad]]</f>
        <v/>
      </c>
      <c r="L5347">
        <f>+OPERAC[[#This Row],[cantidad venta]]*224.117</f>
        <v/>
      </c>
    </row>
    <row r="5348">
      <c r="A5348" t="n">
        <v>19888</v>
      </c>
      <c r="B5348" s="16" t="n">
        <v>44614</v>
      </c>
      <c r="C5348" t="inlineStr">
        <is>
          <t>VTA</t>
        </is>
      </c>
      <c r="D5348" t="n">
        <v>39</v>
      </c>
      <c r="E5348">
        <f>IF(D1001&gt;0,VLOOKUP(OPERAC[[#This Row],[COD CART]],[1]!MatrizCortoLargoCyl[#All],3,0),"")</f>
        <v/>
      </c>
      <c r="F5348" t="inlineStr">
        <is>
          <t>TSLA/V/300,00/19-01-24</t>
        </is>
      </c>
      <c r="G5348" t="n">
        <v>-3</v>
      </c>
      <c r="H5348" t="n">
        <v>65.45</v>
      </c>
      <c r="I5348">
        <f>-H1001/G1001</f>
        <v/>
      </c>
    </row>
    <row r="5349">
      <c r="A5349" t="n">
        <v>19888</v>
      </c>
      <c r="B5349" s="16" t="n">
        <v>44614</v>
      </c>
      <c r="C5349" t="inlineStr">
        <is>
          <t>VTA</t>
        </is>
      </c>
      <c r="D5349" t="n">
        <v>39</v>
      </c>
      <c r="E5349">
        <f>IF(D1126&gt;0,VLOOKUP(OPERAC[[#This Row],[COD CART]],[1]!MatrizCortoLargoCyl[#All],3,0),"")</f>
        <v/>
      </c>
      <c r="F5349" t="inlineStr">
        <is>
          <t>DDD/V/10,00/20-01-23</t>
        </is>
      </c>
      <c r="G5349" t="n">
        <v>-20</v>
      </c>
      <c r="H5349" t="n">
        <v>20.75</v>
      </c>
      <c r="I5349">
        <f>-H1126/G1126</f>
        <v/>
      </c>
    </row>
    <row r="5350">
      <c r="A5350" t="n">
        <v>19888</v>
      </c>
      <c r="B5350" s="16" t="n">
        <v>44616</v>
      </c>
      <c r="C5350" t="inlineStr">
        <is>
          <t>CPR</t>
        </is>
      </c>
      <c r="D5350" t="n">
        <v>32</v>
      </c>
      <c r="E5350">
        <f>IF(D6109&gt;0,VLOOKUP(OPERAC[[#This Row],[COD CART]],[1]!MatrizCortoLargoCyl[#All],3,0),"")</f>
        <v/>
      </c>
      <c r="F5350" t="inlineStr">
        <is>
          <t>PLTR/CYL/12,00/14-04-22</t>
        </is>
      </c>
      <c r="G5350" t="n">
        <v>400</v>
      </c>
      <c r="H5350" t="n">
        <v>-4210.906</v>
      </c>
      <c r="I5350">
        <f>-H6109/G6109</f>
        <v/>
      </c>
      <c r="J5350" s="16" t="n">
        <v>44643</v>
      </c>
      <c r="K5350" t="n">
        <v>400</v>
      </c>
      <c r="L5350" t="n">
        <v>4586.895</v>
      </c>
    </row>
    <row r="5351">
      <c r="A5351" t="n">
        <v>19888</v>
      </c>
      <c r="B5351" s="16" t="n">
        <v>44616</v>
      </c>
      <c r="C5351" t="inlineStr">
        <is>
          <t>VTA</t>
        </is>
      </c>
      <c r="D5351" t="n">
        <v>32</v>
      </c>
      <c r="E5351">
        <f>IF(D5057&gt;0,VLOOKUP(OPERAC[[#This Row],[COD CART]],[1]!MatrizCortoLargoCyl[#All],3,0),"")</f>
        <v/>
      </c>
      <c r="F5351" t="inlineStr">
        <is>
          <t>SPWR/CYL/20,00/18-03-22</t>
        </is>
      </c>
      <c r="G5351" t="n">
        <v>100</v>
      </c>
      <c r="H5351" t="n">
        <v>-1573.0928</v>
      </c>
      <c r="I5351">
        <f>-H5057/G5057</f>
        <v/>
      </c>
      <c r="J5351" s="16" t="n">
        <v>44636</v>
      </c>
      <c r="K5351" t="n">
        <v>100</v>
      </c>
      <c r="L5351" t="n">
        <v>1911.85</v>
      </c>
    </row>
    <row r="5352">
      <c r="A5352" t="n">
        <v>19888</v>
      </c>
      <c r="B5352" s="16" t="n">
        <v>44616</v>
      </c>
      <c r="C5352" t="inlineStr">
        <is>
          <t>VTA</t>
        </is>
      </c>
      <c r="D5352" t="n">
        <v>32</v>
      </c>
      <c r="E5352">
        <f>IF(D5550&gt;0,VLOOKUP(OPERAC[[#This Row],[COD CART]],[1]!MatrizCortoLargoCyl[#All],3,0),"")</f>
        <v/>
      </c>
      <c r="F5352" t="inlineStr">
        <is>
          <t>UUUU/CYL/8,00/18-03-22</t>
        </is>
      </c>
      <c r="G5352" t="n">
        <v>300</v>
      </c>
      <c r="H5352" t="n">
        <v>-2051.478</v>
      </c>
      <c r="I5352">
        <f>-H5550/G5550</f>
        <v/>
      </c>
      <c r="J5352" s="16" t="n">
        <v>44636</v>
      </c>
      <c r="K5352">
        <f>+OPERAC[[#This Row],[cantidad]]</f>
        <v/>
      </c>
      <c r="L5352" t="n">
        <v>2302.39</v>
      </c>
    </row>
    <row r="5353">
      <c r="A5353" t="n">
        <v>19888</v>
      </c>
      <c r="B5353" s="16" t="n">
        <v>44628</v>
      </c>
      <c r="C5353" t="inlineStr">
        <is>
          <t>CPR</t>
        </is>
      </c>
      <c r="D5353" t="n">
        <v>32</v>
      </c>
      <c r="E5353">
        <f>IF(D3402&gt;0,VLOOKUP(OPERAC[[#This Row],[COD CART]],[1]!MatrizCortoLargoCyl[#All],3,0),"")</f>
        <v/>
      </c>
      <c r="F5353" t="inlineStr">
        <is>
          <t>COTY/CYL/8,00/14-04-22</t>
        </is>
      </c>
      <c r="G5353" t="n">
        <v>100</v>
      </c>
      <c r="H5353" t="n">
        <v>-718.0550999999999</v>
      </c>
      <c r="I5353">
        <f>-H3402/G3402</f>
        <v/>
      </c>
      <c r="J5353" s="16" t="n">
        <v>44643</v>
      </c>
      <c r="K5353" t="n">
        <v>100</v>
      </c>
      <c r="L5353" t="n">
        <v>779.3200000000001</v>
      </c>
    </row>
    <row r="5354">
      <c r="A5354" t="n">
        <v>19888</v>
      </c>
      <c r="B5354" s="16" t="n">
        <v>44628</v>
      </c>
      <c r="C5354" t="inlineStr">
        <is>
          <t>VTA</t>
        </is>
      </c>
      <c r="D5354" t="n">
        <v>40</v>
      </c>
      <c r="E5354">
        <f>IF(D2396&gt;0,VLOOKUP(OPERAC[[#This Row],[COD CART]],[1]!MatrizCortoLargoCyl[#All],3,0),"")</f>
        <v/>
      </c>
      <c r="F5354" t="inlineStr">
        <is>
          <t>CVV</t>
        </is>
      </c>
      <c r="G5354" t="n">
        <v>100</v>
      </c>
      <c r="H5354" t="n">
        <v>-422.4488</v>
      </c>
      <c r="I5354">
        <f>-H2396/G2396</f>
        <v/>
      </c>
      <c r="J5354" s="16" t="n">
        <v>44649</v>
      </c>
      <c r="K5354">
        <f>+OPERAC[[#This Row],[cantidad]]</f>
        <v/>
      </c>
      <c r="L5354">
        <f>+OPERAC[[#This Row],[cantidad venta]]*4.459</f>
        <v/>
      </c>
    </row>
    <row r="5355">
      <c r="A5355" t="n">
        <v>19888</v>
      </c>
      <c r="B5355" s="16" t="n">
        <v>44641</v>
      </c>
      <c r="C5355" t="inlineStr">
        <is>
          <t>CPR</t>
        </is>
      </c>
      <c r="D5355" t="n">
        <v>42</v>
      </c>
      <c r="E5355">
        <f>IF(D3647&gt;0,VLOOKUP(OPERAC[[#This Row],[COD CART]],[1]!MatrizCortoLargoCyl[#All],3,0),"")</f>
        <v/>
      </c>
      <c r="F5355" t="inlineStr">
        <is>
          <t>SMH</t>
        </is>
      </c>
      <c r="G5355" t="n">
        <v>3</v>
      </c>
      <c r="H5355" t="n">
        <v>-806.8729500000001</v>
      </c>
      <c r="I5355">
        <f>-H3647/G3647</f>
        <v/>
      </c>
      <c r="J5355" s="16" t="n">
        <v>44663</v>
      </c>
      <c r="K5355">
        <f>+OPERAC[[#This Row],[cantidad]]</f>
        <v/>
      </c>
      <c r="L5355">
        <f>+OPERAC[[#This Row],[cantidad venta]]*238.066</f>
        <v/>
      </c>
    </row>
    <row r="5356">
      <c r="A5356" t="n">
        <v>19888</v>
      </c>
      <c r="B5356" s="16" t="n">
        <v>44641</v>
      </c>
      <c r="C5356" t="inlineStr">
        <is>
          <t>CPR</t>
        </is>
      </c>
      <c r="D5356" t="n">
        <v>31</v>
      </c>
      <c r="E5356">
        <f>IF(D4282&gt;0,VLOOKUP(OPERAC[[#This Row],[COD CART]],[1]!MatrizCortoLargoCyl[#All],3,0),"")</f>
        <v/>
      </c>
      <c r="F5356" t="inlineStr">
        <is>
          <t>BABA</t>
        </is>
      </c>
      <c r="G5356" t="n">
        <v>10</v>
      </c>
      <c r="H5356" t="n">
        <v>-1030.374</v>
      </c>
      <c r="I5356">
        <f>-H4282/G4282</f>
        <v/>
      </c>
      <c r="J5356" s="16" t="n">
        <v>44693</v>
      </c>
      <c r="K5356" t="n">
        <v>10</v>
      </c>
      <c r="L5356" t="n">
        <v>800.359</v>
      </c>
    </row>
    <row r="5357">
      <c r="A5357" t="n">
        <v>19888</v>
      </c>
      <c r="B5357" s="16" t="n">
        <v>44641</v>
      </c>
      <c r="C5357" t="inlineStr">
        <is>
          <t>CPR</t>
        </is>
      </c>
      <c r="D5357" t="n">
        <v>31</v>
      </c>
      <c r="E5357">
        <f>IF(D4549&gt;0,VLOOKUP(OPERAC[[#This Row],[COD CART]],[1]!MatrizCortoLargoCyl[#All],3,0),"")</f>
        <v/>
      </c>
      <c r="F5357" t="inlineStr">
        <is>
          <t>TGS</t>
        </is>
      </c>
      <c r="G5357" t="n">
        <v>200</v>
      </c>
      <c r="H5357" t="n">
        <v>-1221.0832</v>
      </c>
      <c r="I5357">
        <f>-H4549/G4549</f>
        <v/>
      </c>
      <c r="J5357" s="16" t="n">
        <v>44693</v>
      </c>
      <c r="K5357" t="n">
        <v>200</v>
      </c>
      <c r="L5357" t="n">
        <v>1197.646</v>
      </c>
    </row>
    <row r="5358">
      <c r="A5358" t="n">
        <v>19888</v>
      </c>
      <c r="B5358" s="16" t="n">
        <v>44641</v>
      </c>
      <c r="C5358" t="inlineStr">
        <is>
          <t>VTA</t>
        </is>
      </c>
      <c r="D5358" t="n">
        <v>42</v>
      </c>
      <c r="E5358">
        <f>IF(D3163&gt;0,VLOOKUP(OPERAC[[#This Row],[COD CART]],[1]!MatrizCortoLargoCyl[#All],3,0),"")</f>
        <v/>
      </c>
      <c r="F5358" t="inlineStr">
        <is>
          <t>FB</t>
        </is>
      </c>
      <c r="G5358" t="n">
        <v>3</v>
      </c>
      <c r="H5358" t="n">
        <v>-636.4691399999999</v>
      </c>
      <c r="I5358">
        <f>-H3163/G3163</f>
        <v/>
      </c>
      <c r="J5358" s="16" t="n">
        <v>44671</v>
      </c>
      <c r="K5358">
        <f>+OPERAC[[#This Row],[cantidad]]</f>
        <v/>
      </c>
      <c r="L5358">
        <f>+OPERAC[[#This Row],[cantidad venta]]*213.173</f>
        <v/>
      </c>
    </row>
    <row r="5359">
      <c r="A5359" t="n">
        <v>19888</v>
      </c>
      <c r="B5359" s="16" t="n">
        <v>44641</v>
      </c>
      <c r="C5359" t="inlineStr">
        <is>
          <t>VTA</t>
        </is>
      </c>
      <c r="D5359" t="n">
        <v>42</v>
      </c>
      <c r="E5359">
        <f>IF(D3728&gt;0,VLOOKUP(OPERAC[[#This Row],[COD CART]],[1]!MatrizCortoLargoCyl[#All],3,0),"")</f>
        <v/>
      </c>
      <c r="F5359" t="inlineStr">
        <is>
          <t>JPM</t>
        </is>
      </c>
      <c r="G5359" t="n">
        <v>6</v>
      </c>
      <c r="H5359" t="n">
        <v>-842.7260400000001</v>
      </c>
      <c r="I5359">
        <f>-H3728/G3728</f>
        <v/>
      </c>
      <c r="J5359" s="16" t="n">
        <v>44664</v>
      </c>
      <c r="K5359">
        <f>+OPERAC[[#This Row],[cantidad]]</f>
        <v/>
      </c>
      <c r="L5359">
        <f>+OPERAC[[#This Row],[cantidad venta]]*125.943</f>
        <v/>
      </c>
    </row>
    <row r="5360">
      <c r="A5360" t="n">
        <v>19888</v>
      </c>
      <c r="B5360" s="16" t="n">
        <v>44643</v>
      </c>
      <c r="C5360" t="inlineStr">
        <is>
          <t>CPR</t>
        </is>
      </c>
      <c r="D5360" t="n">
        <v>42</v>
      </c>
      <c r="E5360">
        <f>IF(D3355&gt;0,VLOOKUP(OPERAC[[#This Row],[COD CART]],[1]!MatrizCortoLargoCyl[#All],3,0),"")</f>
        <v/>
      </c>
      <c r="F5360" t="inlineStr">
        <is>
          <t>DIS</t>
        </is>
      </c>
      <c r="G5360" t="n">
        <v>5</v>
      </c>
      <c r="H5360" t="n">
        <v>-698.51075</v>
      </c>
      <c r="I5360">
        <f>-H3355/G3355</f>
        <v/>
      </c>
      <c r="J5360" s="16" t="n">
        <v>44671</v>
      </c>
      <c r="K5360">
        <f>+OPERAC[[#This Row],[cantidad]]</f>
        <v/>
      </c>
      <c r="L5360">
        <f>+OPERAC[[#This Row],[cantidad venta]]*123.621</f>
        <v/>
      </c>
    </row>
    <row r="5361">
      <c r="A5361" t="n">
        <v>19888</v>
      </c>
      <c r="B5361" s="16" t="n">
        <v>44643</v>
      </c>
      <c r="C5361" t="inlineStr">
        <is>
          <t>VTA</t>
        </is>
      </c>
      <c r="D5361" t="n">
        <v>42</v>
      </c>
      <c r="E5361">
        <f>IF(D2458&gt;0,VLOOKUP(OPERAC[[#This Row],[COD CART]],[1]!MatrizCortoLargoCyl[#All],3,0),"")</f>
        <v/>
      </c>
      <c r="F5361" t="inlineStr">
        <is>
          <t>FB</t>
        </is>
      </c>
      <c r="G5361" t="n">
        <v>2</v>
      </c>
      <c r="H5361" t="n">
        <v>-432.24652</v>
      </c>
      <c r="I5361">
        <f>-H2458/G2458</f>
        <v/>
      </c>
      <c r="J5361" s="16" t="n">
        <v>44671</v>
      </c>
      <c r="K5361">
        <f>+OPERAC[[#This Row],[cantidad]]</f>
        <v/>
      </c>
      <c r="L5361">
        <f>+OPERAC[[#This Row],[cantidad venta]]*213.173</f>
        <v/>
      </c>
    </row>
    <row r="5362">
      <c r="A5362" t="n">
        <v>19888</v>
      </c>
      <c r="B5362" s="16" t="n">
        <v>44643</v>
      </c>
      <c r="C5362" t="inlineStr">
        <is>
          <t>VTA</t>
        </is>
      </c>
      <c r="D5362" t="n">
        <v>42</v>
      </c>
      <c r="E5362">
        <f>IF(D3722&gt;0,VLOOKUP(OPERAC[[#This Row],[COD CART]],[1]!MatrizCortoLargoCyl[#All],3,0),"")</f>
        <v/>
      </c>
      <c r="F5362" t="inlineStr">
        <is>
          <t>ADBE</t>
        </is>
      </c>
      <c r="G5362" t="n">
        <v>2</v>
      </c>
      <c r="H5362" t="n">
        <v>-842.10955</v>
      </c>
      <c r="I5362">
        <f>-H3722/G3722</f>
        <v/>
      </c>
      <c r="J5362" s="16" t="n">
        <v>44687</v>
      </c>
      <c r="K5362">
        <f>+OPERAC[[#This Row],[cantidad]]</f>
        <v/>
      </c>
      <c r="L5362" t="n">
        <v>772.84</v>
      </c>
    </row>
    <row r="5363">
      <c r="A5363" t="n">
        <v>19888</v>
      </c>
      <c r="B5363" s="16" t="n">
        <v>44643</v>
      </c>
      <c r="C5363" t="inlineStr">
        <is>
          <t>VTA</t>
        </is>
      </c>
      <c r="D5363" t="n">
        <v>32</v>
      </c>
      <c r="E5363">
        <f>IF(D5203&gt;0,VLOOKUP(OPERAC[[#This Row],[COD CART]],[1]!MatrizCortoLargoCyl[#All],3,0),"")</f>
        <v/>
      </c>
      <c r="F5363" t="inlineStr">
        <is>
          <t>EDIT/CYL/17,00/14-04-22</t>
        </is>
      </c>
      <c r="G5363" t="n">
        <v>100</v>
      </c>
      <c r="H5363" t="n">
        <v>-1650.54</v>
      </c>
      <c r="I5363">
        <f>-H5203/G5203</f>
        <v/>
      </c>
      <c r="J5363" s="16" t="n">
        <v>44648</v>
      </c>
      <c r="K5363" t="n">
        <v>100</v>
      </c>
      <c r="L5363">
        <f>-202.298+1898.018</f>
        <v/>
      </c>
    </row>
    <row r="5364">
      <c r="A5364" t="n">
        <v>19888</v>
      </c>
      <c r="B5364" s="16" t="n">
        <v>44645</v>
      </c>
      <c r="C5364" t="inlineStr">
        <is>
          <t>CPR</t>
        </is>
      </c>
      <c r="D5364" t="n">
        <v>42</v>
      </c>
      <c r="E5364">
        <f>IF(D4801&gt;0,VLOOKUP(OPERAC[[#This Row],[COD CART]],[1]!MatrizCortoLargoCyl[#All],3,0),"")</f>
        <v/>
      </c>
      <c r="F5364" t="inlineStr">
        <is>
          <t>PLUG</t>
        </is>
      </c>
      <c r="G5364" t="n">
        <v>50</v>
      </c>
      <c r="H5364" t="n">
        <v>-1396.582</v>
      </c>
      <c r="I5364">
        <f>-H4801/G4801</f>
        <v/>
      </c>
      <c r="J5364" s="16" t="n">
        <v>44652</v>
      </c>
      <c r="K5364">
        <f>+OPERAC[[#This Row],[cantidad]]</f>
        <v/>
      </c>
      <c r="L5364">
        <f>+OPERAC[[#This Row],[cantidad venta]]*27.754</f>
        <v/>
      </c>
    </row>
    <row r="5365">
      <c r="A5365" t="n">
        <v>19888</v>
      </c>
      <c r="B5365" s="16" t="n">
        <v>44649</v>
      </c>
      <c r="C5365" t="inlineStr">
        <is>
          <t>CPR</t>
        </is>
      </c>
      <c r="D5365" t="n">
        <v>42</v>
      </c>
      <c r="E5365">
        <f>IF(D2652&gt;0,VLOOKUP(OPERAC[[#This Row],[COD CART]],[1]!MatrizCortoLargoCyl[#All],3,0),"")</f>
        <v/>
      </c>
      <c r="F5365" t="inlineStr">
        <is>
          <t>CRESY</t>
        </is>
      </c>
      <c r="G5365" t="n">
        <v>60</v>
      </c>
      <c r="H5365" t="n">
        <v>-485.53104</v>
      </c>
      <c r="I5365">
        <f>-H2652/G2652</f>
        <v/>
      </c>
      <c r="J5365" s="16" t="n">
        <v>44657</v>
      </c>
      <c r="K5365">
        <f>+OPERAC[[#This Row],[cantidad]]</f>
        <v/>
      </c>
      <c r="L5365">
        <f>+OPERAC[[#This Row],[cantidad venta]]*7.664</f>
        <v/>
      </c>
    </row>
    <row r="5366">
      <c r="A5366" t="n">
        <v>19888</v>
      </c>
      <c r="B5366" s="16" t="n">
        <v>44649</v>
      </c>
      <c r="C5366" t="inlineStr">
        <is>
          <t>VTA</t>
        </is>
      </c>
      <c r="D5366" t="n">
        <v>32</v>
      </c>
      <c r="E5366">
        <f>IF(D5433&gt;0,VLOOKUP(OPERAC[[#This Row],[COD CART]],[1]!MatrizCortoLargoCyl[#All],3,0),"")</f>
        <v/>
      </c>
      <c r="F5366" t="inlineStr">
        <is>
          <t>EDIT</t>
        </is>
      </c>
      <c r="G5366" t="n">
        <v>100</v>
      </c>
      <c r="H5366">
        <f>-1876.234+11.898</f>
        <v/>
      </c>
      <c r="I5366">
        <f>-H5433/G5433</f>
        <v/>
      </c>
    </row>
    <row r="5367">
      <c r="A5367" t="n">
        <v>19888</v>
      </c>
      <c r="B5367" s="16" t="n">
        <v>44651</v>
      </c>
      <c r="C5367" t="inlineStr">
        <is>
          <t>CPR</t>
        </is>
      </c>
      <c r="D5367" t="n">
        <v>42</v>
      </c>
      <c r="E5367">
        <f>IF(D3979&gt;0,VLOOKUP(OPERAC[[#This Row],[COD CART]],[1]!MatrizCortoLargoCyl[#All],3,0),"")</f>
        <v/>
      </c>
      <c r="F5367" t="inlineStr">
        <is>
          <t>AMD</t>
        </is>
      </c>
      <c r="G5367" t="n">
        <v>8</v>
      </c>
      <c r="H5367" t="n">
        <v>-911.1913599999999</v>
      </c>
      <c r="I5367">
        <f>-H3979/G3979</f>
        <v/>
      </c>
      <c r="J5367" s="16" t="n">
        <v>44693</v>
      </c>
      <c r="K5367">
        <f>+OPERAC[[#This Row],[cantidad]]</f>
        <v/>
      </c>
      <c r="L5367">
        <f>+OPERAC[[#This Row],[cantidad venta]]*85.26</f>
        <v/>
      </c>
    </row>
    <row r="5368">
      <c r="A5368" t="n">
        <v>19888</v>
      </c>
      <c r="B5368" s="16" t="n">
        <v>44651</v>
      </c>
      <c r="C5368" t="inlineStr">
        <is>
          <t>VTA</t>
        </is>
      </c>
      <c r="D5368" t="n">
        <v>39</v>
      </c>
      <c r="E5368">
        <f>IF(D162&gt;0,VLOOKUP(OPERAC[[#This Row],[COD CART]],[1]!MatrizCortoLargoCyl[#All],3,0),"")</f>
        <v/>
      </c>
      <c r="F5368" t="inlineStr">
        <is>
          <t>TSLA/C/1400,00/08-04-22</t>
        </is>
      </c>
      <c r="G5368" t="n">
        <v>-2000</v>
      </c>
      <c r="H5368" t="n">
        <v>2494.4</v>
      </c>
      <c r="I5368">
        <f>-H162/G162</f>
        <v/>
      </c>
      <c r="J5368" s="16" t="n">
        <v>44659</v>
      </c>
      <c r="K5368">
        <f>+OPERAC[[#This Row],[cantidad]]</f>
        <v/>
      </c>
      <c r="L5368" t="n">
        <v>0</v>
      </c>
    </row>
    <row r="5369">
      <c r="A5369" t="n">
        <v>19888</v>
      </c>
      <c r="B5369" s="16" t="n">
        <v>44651</v>
      </c>
      <c r="C5369" t="inlineStr">
        <is>
          <t>VTA</t>
        </is>
      </c>
      <c r="D5369" t="n">
        <v>39</v>
      </c>
      <c r="E5369">
        <f>IF(D173&gt;0,VLOOKUP(OPERAC[[#This Row],[COD CART]],[1]!MatrizCortoLargoCyl[#All],3,0),"")</f>
        <v/>
      </c>
      <c r="F5369" t="inlineStr">
        <is>
          <t>TSLA/V/875,00/08-04-22</t>
        </is>
      </c>
      <c r="G5369" t="n">
        <v>-2000</v>
      </c>
      <c r="H5369" t="n">
        <v>2375.36</v>
      </c>
      <c r="I5369">
        <f>-H173/G173</f>
        <v/>
      </c>
      <c r="J5369" s="16" t="n">
        <v>44655</v>
      </c>
      <c r="K5369" t="n">
        <v>-2000</v>
      </c>
      <c r="L5369" t="n">
        <v>-448.9</v>
      </c>
    </row>
    <row r="5370">
      <c r="A5370" t="n">
        <v>19888</v>
      </c>
      <c r="B5370" s="16" t="n">
        <v>44652</v>
      </c>
      <c r="C5370" t="inlineStr">
        <is>
          <t>VTA</t>
        </is>
      </c>
      <c r="D5370" t="n">
        <v>42</v>
      </c>
      <c r="E5370">
        <f>IF(D5150&gt;0,VLOOKUP(OPERAC[[#This Row],[COD CART]],[1]!MatrizCortoLargoCyl[#All],3,0),"")</f>
        <v/>
      </c>
      <c r="F5370" t="inlineStr">
        <is>
          <t>GBTC</t>
        </is>
      </c>
      <c r="G5370" t="n">
        <v>50</v>
      </c>
      <c r="H5370" t="n">
        <v>-1605.49</v>
      </c>
      <c r="I5370">
        <f>-H5150/G5150</f>
        <v/>
      </c>
      <c r="J5370" s="16" t="n">
        <v>44662</v>
      </c>
      <c r="K5370">
        <f>+OPERAC[[#This Row],[cantidad]]</f>
        <v/>
      </c>
      <c r="L5370">
        <f>27.99*OPERAC[[#This Row],[cantidad venta]]</f>
        <v/>
      </c>
    </row>
    <row r="5371">
      <c r="A5371" t="n">
        <v>19888</v>
      </c>
      <c r="B5371" s="16" t="n">
        <v>44655</v>
      </c>
      <c r="C5371" t="inlineStr">
        <is>
          <t>CPR</t>
        </is>
      </c>
      <c r="D5371" t="n">
        <v>31</v>
      </c>
      <c r="E5371">
        <f>IF(D3632&gt;0,VLOOKUP(OPERAC[[#This Row],[COD CART]],[1]!MatrizCortoLargoCyl[#All],3,0),"")</f>
        <v/>
      </c>
      <c r="F5371" t="inlineStr">
        <is>
          <t>YPF</t>
        </is>
      </c>
      <c r="G5371" t="n">
        <v>150</v>
      </c>
      <c r="H5371" t="n">
        <v>-805.0816</v>
      </c>
      <c r="I5371">
        <f>-H3632/G3632</f>
        <v/>
      </c>
    </row>
    <row r="5372">
      <c r="A5372" t="n">
        <v>19888</v>
      </c>
      <c r="B5372" s="16" t="n">
        <v>44655</v>
      </c>
      <c r="C5372" t="inlineStr">
        <is>
          <t>CPR</t>
        </is>
      </c>
      <c r="D5372" t="n">
        <v>31</v>
      </c>
      <c r="E5372">
        <f>IF(D3970&gt;0,VLOOKUP(OPERAC[[#This Row],[COD CART]],[1]!MatrizCortoLargoCyl[#All],3,0),"")</f>
        <v/>
      </c>
      <c r="F5372" t="inlineStr">
        <is>
          <t>CRESY</t>
        </is>
      </c>
      <c r="G5372" t="n">
        <v>110</v>
      </c>
      <c r="H5372" t="n">
        <v>-907.9983999999999</v>
      </c>
      <c r="I5372">
        <f>-H3970/G3970</f>
        <v/>
      </c>
    </row>
    <row r="5373">
      <c r="A5373" t="n">
        <v>19888</v>
      </c>
      <c r="B5373" s="16" t="n">
        <v>44655</v>
      </c>
      <c r="C5373" t="inlineStr">
        <is>
          <t>CPR</t>
        </is>
      </c>
      <c r="D5373" t="n">
        <v>31</v>
      </c>
      <c r="E5373">
        <f>IF(D4013&gt;0,VLOOKUP(OPERAC[[#This Row],[COD CART]],[1]!MatrizCortoLargoCyl[#All],3,0),"")</f>
        <v/>
      </c>
      <c r="F5373" t="inlineStr">
        <is>
          <t>BBAR</t>
        </is>
      </c>
      <c r="G5373" t="n">
        <v>250</v>
      </c>
      <c r="H5373" t="n">
        <v>-922.562</v>
      </c>
      <c r="I5373">
        <f>-H4013/G4013</f>
        <v/>
      </c>
    </row>
    <row r="5374">
      <c r="A5374" t="n">
        <v>19888</v>
      </c>
      <c r="B5374" s="16" t="n">
        <v>44655</v>
      </c>
      <c r="C5374" t="inlineStr">
        <is>
          <t>CPR</t>
        </is>
      </c>
      <c r="D5374" t="n">
        <v>31</v>
      </c>
      <c r="E5374">
        <f>IF(D4147&gt;0,VLOOKUP(OPERAC[[#This Row],[COD CART]],[1]!MatrizCortoLargoCyl[#All],3,0),"")</f>
        <v/>
      </c>
      <c r="F5374" t="inlineStr">
        <is>
          <t>TEO</t>
        </is>
      </c>
      <c r="G5374" t="n">
        <v>150</v>
      </c>
      <c r="H5374" t="n">
        <v>-966.1645500000001</v>
      </c>
      <c r="I5374">
        <f>-H4147/G4147</f>
        <v/>
      </c>
    </row>
    <row r="5375">
      <c r="A5375" t="n">
        <v>19888</v>
      </c>
      <c r="B5375" s="16" t="n">
        <v>44655</v>
      </c>
      <c r="C5375" t="inlineStr">
        <is>
          <t>CPR</t>
        </is>
      </c>
      <c r="D5375" t="n">
        <v>31</v>
      </c>
      <c r="E5375">
        <f>IF(D4149&gt;0,VLOOKUP(OPERAC[[#This Row],[COD CART]],[1]!MatrizCortoLargoCyl[#All],3,0),"")</f>
        <v/>
      </c>
      <c r="F5375" t="inlineStr">
        <is>
          <t>PAM</t>
        </is>
      </c>
      <c r="G5375" t="n">
        <v>40</v>
      </c>
      <c r="H5375" t="n">
        <v>-967.38976</v>
      </c>
      <c r="I5375">
        <f>-H4149/G4149</f>
        <v/>
      </c>
    </row>
    <row r="5376">
      <c r="A5376" t="n">
        <v>19888</v>
      </c>
      <c r="B5376" s="16" t="n">
        <v>44655</v>
      </c>
      <c r="C5376" t="inlineStr">
        <is>
          <t>VTA</t>
        </is>
      </c>
      <c r="D5376" t="n">
        <v>39</v>
      </c>
      <c r="E5376">
        <f>IF(D646&gt;0,VLOOKUP(OPERAC[[#This Row],[COD CART]],[1]!MatrizCortoLargoCyl[#All],3,0),"")</f>
        <v/>
      </c>
      <c r="F5376" t="inlineStr">
        <is>
          <t>TSLA/V/950,00/08-04-22</t>
        </is>
      </c>
      <c r="G5376" t="n">
        <v>-1000</v>
      </c>
      <c r="H5376" t="n">
        <v>527.8150000000001</v>
      </c>
      <c r="I5376">
        <f>-H646/G646</f>
        <v/>
      </c>
      <c r="J5376" s="16" t="n">
        <v>44659</v>
      </c>
      <c r="K5376">
        <f>+OPERAC[[#This Row],[cantidad]]</f>
        <v/>
      </c>
      <c r="L5376" t="n">
        <v>0</v>
      </c>
    </row>
    <row r="5377">
      <c r="A5377" t="n">
        <v>19888</v>
      </c>
      <c r="B5377" s="16" t="n">
        <v>44656</v>
      </c>
      <c r="C5377" t="inlineStr">
        <is>
          <t>VTA</t>
        </is>
      </c>
      <c r="D5377" t="n">
        <v>39</v>
      </c>
      <c r="E5377">
        <f>IF(D1162&gt;0,VLOOKUP(OPERAC[[#This Row],[COD CART]],[1]!MatrizCortoLargoCyl[#All],3,0),"")</f>
        <v/>
      </c>
      <c r="F5377" t="inlineStr">
        <is>
          <t>EDIT/V/17,50/20-01-23</t>
        </is>
      </c>
      <c r="G5377" t="n">
        <v>-5</v>
      </c>
      <c r="H5377" t="n">
        <v>14.88</v>
      </c>
      <c r="I5377">
        <f>-H1162/G1162</f>
        <v/>
      </c>
    </row>
    <row r="5378">
      <c r="A5378" t="n">
        <v>19888</v>
      </c>
      <c r="B5378" s="16" t="n">
        <v>44657</v>
      </c>
      <c r="C5378" t="inlineStr">
        <is>
          <t>VTA</t>
        </is>
      </c>
      <c r="D5378" t="n">
        <v>39</v>
      </c>
      <c r="E5378">
        <f>IF(D742&gt;0,VLOOKUP(OPERAC[[#This Row],[COD CART]],[1]!MatrizCortoLargoCyl[#All],3,0),"")</f>
        <v/>
      </c>
      <c r="F5378" t="inlineStr">
        <is>
          <t>TSLA/V/850,00/14-04-22</t>
        </is>
      </c>
      <c r="G5378" t="n">
        <v>-300</v>
      </c>
      <c r="H5378" t="n">
        <v>378.208</v>
      </c>
      <c r="I5378">
        <f>-H742/G742</f>
        <v/>
      </c>
      <c r="J5378" s="16" t="n">
        <v>44665</v>
      </c>
      <c r="K5378" t="n">
        <v>-300</v>
      </c>
      <c r="L5378" t="n">
        <v>0</v>
      </c>
    </row>
    <row r="5379">
      <c r="A5379" t="n">
        <v>19888</v>
      </c>
      <c r="B5379" s="16" t="n">
        <v>44658</v>
      </c>
      <c r="C5379" t="inlineStr">
        <is>
          <t>CPR</t>
        </is>
      </c>
      <c r="D5379" t="n">
        <v>32</v>
      </c>
      <c r="E5379">
        <f>IF(D5702&gt;0,VLOOKUP(OPERAC[[#This Row],[COD CART]],[1]!MatrizCortoLargoCyl[#All],3,0),"")</f>
        <v/>
      </c>
      <c r="F5379" t="inlineStr">
        <is>
          <t>KWEB/CYL/26,00/20-05-22</t>
        </is>
      </c>
      <c r="G5379" t="n">
        <v>100</v>
      </c>
      <c r="H5379" t="n">
        <v>-2497.698</v>
      </c>
      <c r="I5379">
        <f>-H5702/G5702</f>
        <v/>
      </c>
      <c r="J5379" s="16" t="n">
        <v>44698</v>
      </c>
      <c r="K5379" t="n">
        <v>100</v>
      </c>
      <c r="L5379" t="n">
        <v>2548.013</v>
      </c>
    </row>
    <row r="5380">
      <c r="A5380" t="n">
        <v>19888</v>
      </c>
      <c r="B5380" s="16" t="n">
        <v>44662</v>
      </c>
      <c r="C5380" t="inlineStr">
        <is>
          <t>CPR</t>
        </is>
      </c>
      <c r="D5380" t="n">
        <v>42</v>
      </c>
      <c r="E5380">
        <f>IF(D4669&gt;0,VLOOKUP(OPERAC[[#This Row],[COD CART]],[1]!MatrizCortoLargoCyl[#All],3,0),"")</f>
        <v/>
      </c>
      <c r="F5380" t="inlineStr">
        <is>
          <t>HYDR</t>
        </is>
      </c>
      <c r="G5380" t="n">
        <v>70</v>
      </c>
      <c r="H5380" t="n">
        <v>-1299.92408</v>
      </c>
      <c r="I5380">
        <f>-H4669/G4669</f>
        <v/>
      </c>
      <c r="J5380" s="16" t="n">
        <v>44693</v>
      </c>
      <c r="K5380">
        <f>+OPERAC[[#This Row],[cantidad]]</f>
        <v/>
      </c>
      <c r="L5380">
        <f>+OPERAC[[#This Row],[cantidad venta]]*11.986</f>
        <v/>
      </c>
    </row>
    <row r="5381">
      <c r="A5381" t="n">
        <v>19888</v>
      </c>
      <c r="B5381" s="16" t="n">
        <v>44664</v>
      </c>
      <c r="C5381" t="inlineStr">
        <is>
          <t>CPR</t>
        </is>
      </c>
      <c r="D5381" t="n">
        <v>42</v>
      </c>
      <c r="E5381">
        <f>IF(D4198&gt;0,VLOOKUP(OPERAC[[#This Row],[COD CART]],[1]!MatrizCortoLargoCyl[#All],3,0),"")</f>
        <v/>
      </c>
      <c r="F5381" t="inlineStr">
        <is>
          <t>AMD</t>
        </is>
      </c>
      <c r="G5381" t="n">
        <v>10</v>
      </c>
      <c r="H5381" t="n">
        <v>-987.7065453</v>
      </c>
      <c r="I5381">
        <f>-H4198/G4198</f>
        <v/>
      </c>
      <c r="J5381" s="16" t="n">
        <v>44693</v>
      </c>
      <c r="K5381">
        <f>+OPERAC[[#This Row],[cantidad]]</f>
        <v/>
      </c>
      <c r="L5381">
        <f>+OPERAC[[#This Row],[cantidad venta]]*85.26</f>
        <v/>
      </c>
    </row>
    <row r="5382">
      <c r="A5382" t="n">
        <v>19888</v>
      </c>
      <c r="B5382" s="16" t="n">
        <v>44664</v>
      </c>
      <c r="C5382" t="inlineStr">
        <is>
          <t>CPR</t>
        </is>
      </c>
      <c r="D5382" t="n">
        <v>42</v>
      </c>
      <c r="E5382">
        <f>IF(D5696&gt;0,VLOOKUP(OPERAC[[#This Row],[COD CART]],[1]!MatrizCortoLargoCyl[#All],3,0),"")</f>
        <v/>
      </c>
      <c r="F5382" t="inlineStr">
        <is>
          <t>PSQ</t>
        </is>
      </c>
      <c r="G5382" t="n">
        <v>200</v>
      </c>
      <c r="H5382" t="n">
        <v>-2486.5144362</v>
      </c>
      <c r="I5382">
        <f>-H5696/G5696</f>
        <v/>
      </c>
      <c r="J5382" s="16" t="n">
        <v>44677</v>
      </c>
      <c r="K5382" t="n">
        <v>200</v>
      </c>
      <c r="L5382" t="n">
        <v>2555.096</v>
      </c>
    </row>
    <row r="5383">
      <c r="A5383" t="n">
        <v>19888</v>
      </c>
      <c r="B5383" s="16" t="n">
        <v>44671</v>
      </c>
      <c r="C5383" t="inlineStr">
        <is>
          <t>CPR</t>
        </is>
      </c>
      <c r="D5383" t="n">
        <v>42</v>
      </c>
      <c r="E5383">
        <f>IF(D4618&gt;0,VLOOKUP(OPERAC[[#This Row],[COD CART]],[1]!MatrizCortoLargoCyl[#All],3,0),"")</f>
        <v/>
      </c>
      <c r="F5383" t="inlineStr">
        <is>
          <t>NFLX</t>
        </is>
      </c>
      <c r="G5383" t="n">
        <v>5</v>
      </c>
      <c r="H5383" t="n">
        <v>-1272.5253</v>
      </c>
      <c r="I5383">
        <f>-H4618/G4618</f>
        <v/>
      </c>
      <c r="J5383" s="16" t="n">
        <v>44693</v>
      </c>
      <c r="K5383">
        <f>+OPERAC[[#This Row],[cantidad]]</f>
        <v/>
      </c>
      <c r="L5383">
        <f>+OPERAC[[#This Row],[cantidad venta]]*169.089</f>
        <v/>
      </c>
    </row>
    <row r="5384">
      <c r="A5384" t="n">
        <v>19888</v>
      </c>
      <c r="B5384" s="16" t="n">
        <v>44671</v>
      </c>
      <c r="C5384" t="inlineStr">
        <is>
          <t>VTA</t>
        </is>
      </c>
      <c r="D5384" t="n">
        <v>42</v>
      </c>
      <c r="E5384">
        <f>IF(D3066&gt;0,VLOOKUP(OPERAC[[#This Row],[COD CART]],[1]!MatrizCortoLargoCyl[#All],3,0),"")</f>
        <v/>
      </c>
      <c r="F5384" t="inlineStr">
        <is>
          <t>TLT</t>
        </is>
      </c>
      <c r="G5384" t="n">
        <v>5</v>
      </c>
      <c r="H5384" t="n">
        <v>-612.815025</v>
      </c>
      <c r="I5384">
        <f>-H3066/G3066</f>
        <v/>
      </c>
    </row>
    <row r="5385">
      <c r="A5385" t="n">
        <v>19888</v>
      </c>
      <c r="B5385" s="16" t="n">
        <v>44687</v>
      </c>
      <c r="C5385" t="inlineStr">
        <is>
          <t>VTA</t>
        </is>
      </c>
      <c r="D5385" t="n">
        <v>43</v>
      </c>
      <c r="E5385">
        <f>IF(D5159&gt;0,VLOOKUP(OPERAC[[#This Row],[COD CART]],[1]!MatrizCortoLargoCyl[#All],3,0),"")</f>
        <v/>
      </c>
      <c r="F5385" t="inlineStr">
        <is>
          <t>SPWR/CYP/16,50-15,50/20-05-22</t>
        </is>
      </c>
      <c r="G5385" t="n">
        <v>100</v>
      </c>
      <c r="H5385" t="n">
        <v>-1607.83</v>
      </c>
      <c r="I5385">
        <f>-H5159/G5159</f>
        <v/>
      </c>
      <c r="J5385" s="16" t="n">
        <v>44701</v>
      </c>
      <c r="K5385" t="n">
        <v>100</v>
      </c>
      <c r="L5385" t="n">
        <v>1637.55</v>
      </c>
    </row>
    <row r="5386">
      <c r="A5386" t="n">
        <v>19888</v>
      </c>
      <c r="B5386" s="16" t="n">
        <v>44698</v>
      </c>
      <c r="C5386" t="inlineStr">
        <is>
          <t>CPR</t>
        </is>
      </c>
      <c r="D5386" t="n">
        <v>39</v>
      </c>
      <c r="E5386">
        <f>IF(D2721&gt;0,VLOOKUP(OPERAC[[#This Row],[COD CART]],[1]!MatrizCortoLargoCyl[#All],3,0),"")</f>
        <v/>
      </c>
      <c r="F5386" t="inlineStr">
        <is>
          <t>NTLA/C/65,00/15-07-22</t>
        </is>
      </c>
      <c r="G5386" t="n">
        <v>200</v>
      </c>
      <c r="H5386" t="n">
        <v>-504.25</v>
      </c>
      <c r="I5386">
        <f>-H2721/G2721</f>
        <v/>
      </c>
    </row>
    <row r="5387">
      <c r="A5387" t="n">
        <v>19888</v>
      </c>
      <c r="B5387" s="16" t="n">
        <v>44705</v>
      </c>
      <c r="C5387" t="inlineStr">
        <is>
          <t>CPR</t>
        </is>
      </c>
      <c r="D5387" t="n">
        <v>42</v>
      </c>
      <c r="E5387">
        <f>IF(D4816&gt;0,VLOOKUP(OPERAC[[#This Row],[COD CART]],[1]!MatrizCortoLargoCyl[#All],3,0),"")</f>
        <v/>
      </c>
      <c r="F5387" t="inlineStr">
        <is>
          <t>MELI</t>
        </is>
      </c>
      <c r="G5387" t="n">
        <v>2</v>
      </c>
      <c r="H5387" t="n">
        <v>-1409.616</v>
      </c>
      <c r="I5387">
        <f>-H4816/G4816</f>
        <v/>
      </c>
      <c r="J5387" s="16" t="n">
        <v>44706</v>
      </c>
      <c r="K5387">
        <f>+OPERAC[[#This Row],[cantidad]]</f>
        <v/>
      </c>
      <c r="L5387" t="n">
        <v>1451.7468</v>
      </c>
    </row>
    <row r="5388">
      <c r="A5388" t="n">
        <v>19888</v>
      </c>
      <c r="B5388" s="16" t="n">
        <v>44707</v>
      </c>
      <c r="C5388" t="inlineStr">
        <is>
          <t>VTA</t>
        </is>
      </c>
      <c r="D5388" t="n">
        <v>43</v>
      </c>
      <c r="E5388">
        <f>IF(D5294&gt;0,VLOOKUP(OPERAC[[#This Row],[COD CART]],[1]!MatrizCortoLargoCyl[#All],3,0),"")</f>
        <v/>
      </c>
      <c r="F5388" t="inlineStr">
        <is>
          <t>SPWR/CYP/17,50-15,00/17-06-22</t>
        </is>
      </c>
      <c r="G5388" t="n">
        <v>100</v>
      </c>
      <c r="H5388" t="n">
        <v>-1717.027</v>
      </c>
      <c r="I5388">
        <f>-H5294/G5294</f>
        <v/>
      </c>
    </row>
    <row r="5389">
      <c r="A5389" t="n">
        <v>19888</v>
      </c>
      <c r="B5389" s="16" t="n">
        <v>44708</v>
      </c>
      <c r="C5389" t="inlineStr">
        <is>
          <t>CPR</t>
        </is>
      </c>
      <c r="D5389" t="n">
        <v>32</v>
      </c>
      <c r="E5389">
        <f>IF(D4353&gt;0,VLOOKUP(OPERAC[[#This Row],[COD CART]],[1]!MatrizCortoLargoCyl[#All],3,0),"")</f>
        <v/>
      </c>
      <c r="F5389" t="inlineStr">
        <is>
          <t>AMC/CYL/11,00/03-06-22</t>
        </is>
      </c>
      <c r="G5389" t="n">
        <v>100</v>
      </c>
      <c r="H5389" t="n">
        <v>-1071.908</v>
      </c>
      <c r="I5389">
        <f>-H4353/G4353</f>
        <v/>
      </c>
      <c r="J5389" s="16" t="n">
        <v>44715</v>
      </c>
      <c r="K5389">
        <f>+OPERAC[[#This Row],[cantidad]]</f>
        <v/>
      </c>
      <c r="L5389">
        <f>+OPERAC[[#This Row],[cantidad venta]]*10.951</f>
        <v/>
      </c>
    </row>
    <row r="5390">
      <c r="A5390" t="n">
        <v>19888</v>
      </c>
      <c r="B5390" s="16" t="n">
        <v>44712</v>
      </c>
      <c r="C5390" t="inlineStr">
        <is>
          <t>CPR</t>
        </is>
      </c>
      <c r="D5390" t="n">
        <v>32</v>
      </c>
      <c r="E5390">
        <f>IF(D4569&gt;0,VLOOKUP(OPERAC[[#This Row],[COD CART]],[1]!MatrizCortoLargoCyl[#All],3,0),"")</f>
        <v/>
      </c>
      <c r="F5390" t="inlineStr">
        <is>
          <t>AMC/CYL/13,00/10-06-22</t>
        </is>
      </c>
      <c r="G5390" t="n">
        <v>100</v>
      </c>
      <c r="H5390" t="n">
        <v>-1232.75</v>
      </c>
      <c r="I5390">
        <f>-H4569/G4569</f>
        <v/>
      </c>
      <c r="J5390" s="16" t="n">
        <v>44722</v>
      </c>
      <c r="K5390" t="n">
        <v>100</v>
      </c>
      <c r="L5390" t="n">
        <v>1234.29</v>
      </c>
    </row>
    <row r="5391">
      <c r="A5391" t="n">
        <v>19888</v>
      </c>
      <c r="B5391" s="16" t="n">
        <v>44712</v>
      </c>
      <c r="C5391" t="inlineStr">
        <is>
          <t>CPR</t>
        </is>
      </c>
      <c r="D5391" t="n">
        <v>32</v>
      </c>
      <c r="E5391">
        <f>IF(D6026&gt;0,VLOOKUP(OPERAC[[#This Row],[COD CART]],[1]!MatrizCortoLargoCyl[#All],3,0),"")</f>
        <v/>
      </c>
      <c r="F5391" t="inlineStr">
        <is>
          <t>CRESY/CYL/7,50/17-06-22</t>
        </is>
      </c>
      <c r="G5391" t="n">
        <v>500</v>
      </c>
      <c r="H5391" t="n">
        <v>-3465.37</v>
      </c>
      <c r="I5391">
        <f>-H6026/G6026</f>
        <v/>
      </c>
    </row>
    <row r="5392">
      <c r="A5392" t="n">
        <v>19888</v>
      </c>
      <c r="B5392" s="16" t="n">
        <v>44720</v>
      </c>
      <c r="C5392" t="inlineStr">
        <is>
          <t>CPR</t>
        </is>
      </c>
      <c r="D5392" t="n">
        <v>42</v>
      </c>
      <c r="E5392">
        <f>IF(D5915&gt;0,VLOOKUP(OPERAC[[#This Row],[COD CART]],[1]!MatrizCortoLargoCyl[#All],3,0),"")</f>
        <v/>
      </c>
      <c r="F5392" t="inlineStr">
        <is>
          <t>HYDR</t>
        </is>
      </c>
      <c r="G5392" t="n">
        <v>200</v>
      </c>
      <c r="H5392" t="n">
        <v>-3025.5</v>
      </c>
      <c r="I5392">
        <f>-H5915/G5915</f>
        <v/>
      </c>
    </row>
    <row r="5393">
      <c r="A5393" t="n">
        <v>19888</v>
      </c>
      <c r="B5393" s="16" t="n">
        <v>44721</v>
      </c>
      <c r="C5393" t="inlineStr">
        <is>
          <t>VTA</t>
        </is>
      </c>
      <c r="D5393" t="n">
        <v>32</v>
      </c>
      <c r="E5393">
        <f>IF(D1786&gt;0,VLOOKUP(OPERAC[[#This Row],[COD CART]],[1]!MatrizCortoLargoCyl[#All],3,0),"")</f>
        <v/>
      </c>
      <c r="F5393" t="inlineStr">
        <is>
          <t>SESN/CYP/1,00/20-01-23</t>
        </is>
      </c>
      <c r="G5393" t="n">
        <v>1500</v>
      </c>
      <c r="H5393">
        <f>-0.176*OPERAC[[#This Row],[cantidad]]</f>
        <v/>
      </c>
      <c r="I5393">
        <f>-H1786/G1786</f>
        <v/>
      </c>
    </row>
    <row r="5394">
      <c r="A5394" t="n">
        <v>19888</v>
      </c>
      <c r="B5394" s="16" t="n">
        <v>44722</v>
      </c>
      <c r="C5394" t="inlineStr">
        <is>
          <t>VTA</t>
        </is>
      </c>
      <c r="D5394" t="n">
        <v>32</v>
      </c>
      <c r="E5394">
        <f>IF(D3757&gt;0,VLOOKUP(OPERAC[[#This Row],[COD CART]],[1]!MatrizCortoLargoCyl[#All],3,0),"")</f>
        <v/>
      </c>
      <c r="F5394" t="inlineStr">
        <is>
          <t>NNOX/CYL/9,00/17-06-22</t>
        </is>
      </c>
      <c r="G5394" t="n">
        <v>100</v>
      </c>
      <c r="H5394" t="n">
        <v>-844.8390000000001</v>
      </c>
      <c r="I5394">
        <f>-H3757/G3757</f>
        <v/>
      </c>
    </row>
    <row r="5395">
      <c r="A5395" t="n">
        <v>19888</v>
      </c>
      <c r="B5395" s="16" t="n">
        <v>44725</v>
      </c>
      <c r="C5395" t="inlineStr">
        <is>
          <t>VTA</t>
        </is>
      </c>
      <c r="D5395" t="n">
        <v>40</v>
      </c>
      <c r="E5395">
        <f>IF(D3913&gt;0,VLOOKUP(OPERAC[[#This Row],[COD CART]],[1]!MatrizCortoLargoCyl[#All],3,0),"")</f>
        <v/>
      </c>
      <c r="F5395" t="inlineStr">
        <is>
          <t>AMD</t>
        </is>
      </c>
      <c r="G5395" t="n">
        <v>10</v>
      </c>
      <c r="H5395" t="n">
        <v>-876.9411749999999</v>
      </c>
      <c r="I5395">
        <f>-H3913/G3913</f>
        <v/>
      </c>
    </row>
    <row r="5396">
      <c r="A5396" t="n">
        <v>19897</v>
      </c>
      <c r="B5396" s="16" t="n">
        <v>44461</v>
      </c>
      <c r="C5396" t="inlineStr">
        <is>
          <t>VTA</t>
        </is>
      </c>
      <c r="D5396" t="n">
        <v>40</v>
      </c>
      <c r="E5396">
        <f>IF(D2823&gt;0,VLOOKUP(OPERAC[[#This Row],[COD CART]],[1]!MatrizCortoLargoCyl[#All],3,0),"")</f>
        <v/>
      </c>
      <c r="F5396" t="inlineStr">
        <is>
          <t>EDU</t>
        </is>
      </c>
      <c r="G5396" t="n">
        <v>500</v>
      </c>
      <c r="H5396">
        <f>-1.0864*OPERAC[[#This Row],[cantidad]]+0.04*OPERAC[[#This Row],[cantidad]]</f>
        <v/>
      </c>
      <c r="I5396">
        <f>-H2823/G2823</f>
        <v/>
      </c>
      <c r="J5396" s="16" t="n">
        <v>44614</v>
      </c>
      <c r="K5396">
        <f>+OPERAC[[#This Row],[cantidad]]</f>
        <v/>
      </c>
      <c r="L5396">
        <f>1.483*OPERAC[[#This Row],[cantidad venta]]</f>
        <v/>
      </c>
    </row>
    <row r="5397">
      <c r="A5397" t="n">
        <v>19897</v>
      </c>
      <c r="B5397" s="16" t="n">
        <v>44466</v>
      </c>
      <c r="C5397" t="inlineStr">
        <is>
          <t>VTA</t>
        </is>
      </c>
      <c r="D5397" t="n">
        <v>43</v>
      </c>
      <c r="E5397">
        <f>IF(D1652&gt;0,VLOOKUP(OPERAC[[#This Row],[COD CART]],[1]!MatrizCortoLargoCyl[#All],3,0),"")</f>
        <v/>
      </c>
      <c r="F5397" t="inlineStr">
        <is>
          <t>SOLO/CYL-PUT/4,00/18-03-22</t>
        </is>
      </c>
      <c r="G5397" t="n">
        <v>100</v>
      </c>
      <c r="H5397">
        <f>-297.41727+0.32*OPERAC[[#This Row],[cantidad]]+0.387*OPERAC[[#This Row],[cantidad]]</f>
        <v/>
      </c>
      <c r="I5397">
        <f>-H1652/G1652</f>
        <v/>
      </c>
      <c r="J5397" s="16" t="n">
        <v>44614</v>
      </c>
      <c r="K5397" t="n">
        <v>100</v>
      </c>
      <c r="L5397" t="n">
        <v>-22.97</v>
      </c>
    </row>
    <row r="5398">
      <c r="A5398" t="n">
        <v>19897</v>
      </c>
      <c r="B5398" s="16" t="n">
        <v>44558</v>
      </c>
      <c r="C5398" t="inlineStr">
        <is>
          <t>VTA</t>
        </is>
      </c>
      <c r="D5398" t="n">
        <v>40</v>
      </c>
      <c r="E5398">
        <f>IF(D1951&gt;0,VLOOKUP(OPERAC[[#This Row],[COD CART]],[1]!MatrizCortoLargoCyl[#All],3,0),"")</f>
        <v/>
      </c>
      <c r="F5398" t="inlineStr">
        <is>
          <t>UPST</t>
        </is>
      </c>
      <c r="G5398" t="n">
        <v>2</v>
      </c>
      <c r="H5398" t="n">
        <v>-301.2004</v>
      </c>
      <c r="I5398">
        <f>-H1951/G1951</f>
        <v/>
      </c>
      <c r="J5398" s="16" t="n">
        <v>44606</v>
      </c>
      <c r="K5398">
        <f>+OPERAC[[#This Row],[cantidad]]</f>
        <v/>
      </c>
      <c r="L5398">
        <f>+OPERAC[[#This Row],[cantidad venta]]*98.994</f>
        <v/>
      </c>
    </row>
    <row r="5399">
      <c r="A5399" t="n">
        <v>19897</v>
      </c>
      <c r="B5399" s="16" t="n">
        <v>44571</v>
      </c>
      <c r="C5399" t="inlineStr">
        <is>
          <t>VTA</t>
        </is>
      </c>
      <c r="D5399" t="n">
        <v>39</v>
      </c>
      <c r="E5399">
        <f>IF(D596&gt;0,VLOOKUP(OPERAC[[#This Row],[COD CART]],[1]!MatrizCortoLargoCyl[#All],3,0),"")</f>
        <v/>
      </c>
      <c r="F5399" t="inlineStr">
        <is>
          <t>ROKU/V/165,00/14-01-22</t>
        </is>
      </c>
      <c r="G5399" t="n">
        <v>-200</v>
      </c>
      <c r="H5399" t="n">
        <v>624.1706800000001</v>
      </c>
      <c r="I5399">
        <f>-H596/G596</f>
        <v/>
      </c>
      <c r="J5399" s="16" t="n">
        <v>44573</v>
      </c>
      <c r="K5399" t="n">
        <v>-200</v>
      </c>
      <c r="L5399" t="n">
        <v>-118.328</v>
      </c>
    </row>
    <row r="5400">
      <c r="A5400" t="n">
        <v>19897</v>
      </c>
      <c r="B5400" s="16" t="n">
        <v>44594</v>
      </c>
      <c r="C5400" t="inlineStr">
        <is>
          <t>CPR</t>
        </is>
      </c>
      <c r="D5400" t="n">
        <v>40</v>
      </c>
      <c r="E5400">
        <f>IF(D4234&gt;0,VLOOKUP(OPERAC[[#This Row],[COD CART]],[1]!MatrizCortoLargoCyl[#All],3,0),"")</f>
        <v/>
      </c>
      <c r="F5400" t="inlineStr">
        <is>
          <t>EDU</t>
        </is>
      </c>
      <c r="G5400" t="n">
        <v>500</v>
      </c>
      <c r="H5400" t="n">
        <v>-1008</v>
      </c>
      <c r="I5400">
        <f>-H4234/G4234</f>
        <v/>
      </c>
      <c r="J5400" s="16" t="n">
        <v>44599</v>
      </c>
      <c r="K5400" t="n">
        <v>500</v>
      </c>
      <c r="L5400" t="n">
        <v>770</v>
      </c>
    </row>
    <row r="5401">
      <c r="A5401" t="n">
        <v>19897</v>
      </c>
      <c r="B5401" s="16" t="n">
        <v>44602</v>
      </c>
      <c r="C5401" t="inlineStr">
        <is>
          <t>VTA</t>
        </is>
      </c>
      <c r="D5401" t="n">
        <v>39</v>
      </c>
      <c r="E5401">
        <f>IF(D933&gt;0,VLOOKUP(OPERAC[[#This Row],[COD CART]],[1]!MatrizCortoLargoCyl[#All],3,0),"")</f>
        <v/>
      </c>
      <c r="F5401" t="inlineStr">
        <is>
          <t>TSLA/C/1005,00/11-02-22</t>
        </is>
      </c>
      <c r="G5401" t="n">
        <v>-200</v>
      </c>
      <c r="H5401">
        <f>-0.5*OPERAC[[#This Row],[cantidad]]</f>
        <v/>
      </c>
      <c r="I5401">
        <f>-H933/G933</f>
        <v/>
      </c>
      <c r="J5401" s="16" t="n">
        <v>44603</v>
      </c>
      <c r="K5401" t="n">
        <v>-200</v>
      </c>
      <c r="L5401" t="n">
        <v>0</v>
      </c>
    </row>
    <row r="5402">
      <c r="A5402" t="n">
        <v>19897</v>
      </c>
      <c r="B5402" s="16" t="n">
        <v>44602</v>
      </c>
      <c r="C5402" t="inlineStr">
        <is>
          <t>VTA</t>
        </is>
      </c>
      <c r="D5402" t="n">
        <v>39</v>
      </c>
      <c r="E5402">
        <f>IF(D934&gt;0,VLOOKUP(OPERAC[[#This Row],[COD CART]],[1]!MatrizCortoLargoCyl[#All],3,0),"")</f>
        <v/>
      </c>
      <c r="F5402" t="inlineStr">
        <is>
          <t>TSLA/V/840,00/11-02-22</t>
        </is>
      </c>
      <c r="G5402" t="n">
        <v>-200</v>
      </c>
      <c r="H5402">
        <f>-0.5*OPERAC[[#This Row],[cantidad]]</f>
        <v/>
      </c>
      <c r="I5402">
        <f>-H934/G934</f>
        <v/>
      </c>
      <c r="J5402" s="16" t="n">
        <v>44603</v>
      </c>
      <c r="K5402" t="n">
        <v>-200</v>
      </c>
      <c r="L5402" t="n">
        <v>0</v>
      </c>
    </row>
    <row r="5403">
      <c r="A5403" t="n">
        <v>19897</v>
      </c>
      <c r="B5403" s="16" t="n">
        <v>44616</v>
      </c>
      <c r="C5403" t="inlineStr">
        <is>
          <t>CPR</t>
        </is>
      </c>
      <c r="D5403" t="n">
        <v>32</v>
      </c>
      <c r="E5403">
        <f>IF(D3299&gt;0,VLOOKUP(OPERAC[[#This Row],[COD CART]],[1]!MatrizCortoLargoCyl[#All],3,0),"")</f>
        <v/>
      </c>
      <c r="F5403" t="inlineStr">
        <is>
          <t>UUUU/CYL/8,00/18-03-22</t>
        </is>
      </c>
      <c r="G5403" t="n">
        <v>100</v>
      </c>
      <c r="H5403" t="n">
        <v>-683.826</v>
      </c>
      <c r="I5403">
        <f>-H3299/G3299</f>
        <v/>
      </c>
      <c r="J5403" s="16" t="n">
        <v>44636</v>
      </c>
      <c r="K5403">
        <f>+OPERAC[[#This Row],[cantidad]]</f>
        <v/>
      </c>
      <c r="L5403" t="n">
        <v>767.46</v>
      </c>
    </row>
    <row r="5404">
      <c r="A5404" t="n">
        <v>19897</v>
      </c>
      <c r="B5404" s="16" t="n">
        <v>44641</v>
      </c>
      <c r="C5404" t="inlineStr">
        <is>
          <t>VTA</t>
        </is>
      </c>
      <c r="D5404" t="n">
        <v>42</v>
      </c>
      <c r="E5404">
        <f>IF(D1824&gt;0,VLOOKUP(OPERAC[[#This Row],[COD CART]],[1]!MatrizCortoLargoCyl[#All],3,0),"")</f>
        <v/>
      </c>
      <c r="F5404" t="inlineStr">
        <is>
          <t>SMH</t>
        </is>
      </c>
      <c r="G5404" t="n">
        <v>1</v>
      </c>
      <c r="H5404" t="n">
        <v>-268.9576500000001</v>
      </c>
      <c r="I5404">
        <f>-H1824/G1824</f>
        <v/>
      </c>
      <c r="J5404" s="16" t="n">
        <v>44663</v>
      </c>
      <c r="K5404">
        <f>+OPERAC[[#This Row],[cantidad]]</f>
        <v/>
      </c>
      <c r="L5404">
        <f>+OPERAC[[#This Row],[cantidad venta]]*238.066</f>
        <v/>
      </c>
    </row>
    <row r="5405">
      <c r="A5405" t="n">
        <v>19897</v>
      </c>
      <c r="B5405" s="16" t="n">
        <v>44641</v>
      </c>
      <c r="C5405" t="inlineStr">
        <is>
          <t>VTA</t>
        </is>
      </c>
      <c r="D5405" t="n">
        <v>42</v>
      </c>
      <c r="E5405">
        <f>IF(D2380&gt;0,VLOOKUP(OPERAC[[#This Row],[COD CART]],[1]!MatrizCortoLargoCyl[#All],3,0),"")</f>
        <v/>
      </c>
      <c r="F5405" t="inlineStr">
        <is>
          <t>JPM</t>
        </is>
      </c>
      <c r="G5405" t="n">
        <v>3</v>
      </c>
      <c r="H5405" t="n">
        <v>-421.3630200000001</v>
      </c>
      <c r="I5405">
        <f>-H2380/G2380</f>
        <v/>
      </c>
      <c r="J5405" s="16" t="n">
        <v>44664</v>
      </c>
      <c r="K5405">
        <f>+OPERAC[[#This Row],[cantidad]]</f>
        <v/>
      </c>
      <c r="L5405">
        <f>+OPERAC[[#This Row],[cantidad venta]]*125.943</f>
        <v/>
      </c>
    </row>
    <row r="5406">
      <c r="A5406" t="n">
        <v>19897</v>
      </c>
      <c r="B5406" s="16" t="n">
        <v>44641</v>
      </c>
      <c r="C5406" t="inlineStr">
        <is>
          <t>VTA</t>
        </is>
      </c>
      <c r="D5406" t="n">
        <v>42</v>
      </c>
      <c r="E5406">
        <f>IF(D2425&gt;0,VLOOKUP(OPERAC[[#This Row],[COD CART]],[1]!MatrizCortoLargoCyl[#All],3,0),"")</f>
        <v/>
      </c>
      <c r="F5406" t="inlineStr">
        <is>
          <t>FB</t>
        </is>
      </c>
      <c r="G5406" t="n">
        <v>2</v>
      </c>
      <c r="H5406" t="n">
        <v>-424.31276</v>
      </c>
      <c r="I5406">
        <f>-H2425/G2425</f>
        <v/>
      </c>
      <c r="J5406" s="16" t="n">
        <v>44671</v>
      </c>
      <c r="K5406">
        <f>+OPERAC[[#This Row],[cantidad]]</f>
        <v/>
      </c>
      <c r="L5406">
        <f>+OPERAC[[#This Row],[cantidad venta]]*213.173</f>
        <v/>
      </c>
    </row>
    <row r="5407">
      <c r="A5407" t="n">
        <v>19897</v>
      </c>
      <c r="B5407" s="16" t="n">
        <v>44662</v>
      </c>
      <c r="C5407" t="inlineStr">
        <is>
          <t>VTA</t>
        </is>
      </c>
      <c r="D5407" t="n">
        <v>42</v>
      </c>
      <c r="E5407">
        <f>IF(D1308&gt;0,VLOOKUP(OPERAC[[#This Row],[COD CART]],[1]!MatrizCortoLargoCyl[#All],3,0),"")</f>
        <v/>
      </c>
      <c r="F5407" t="inlineStr">
        <is>
          <t>HYDR</t>
        </is>
      </c>
      <c r="G5407" t="n">
        <v>5</v>
      </c>
      <c r="H5407" t="n">
        <v>-92.85172000000001</v>
      </c>
      <c r="I5407">
        <f>-H1308/G1308</f>
        <v/>
      </c>
      <c r="J5407" s="16" t="n">
        <v>44693</v>
      </c>
      <c r="K5407">
        <f>+OPERAC[[#This Row],[cantidad]]</f>
        <v/>
      </c>
      <c r="L5407">
        <f>+OPERAC[[#This Row],[cantidad venta]]*11.986</f>
        <v/>
      </c>
    </row>
    <row r="5408">
      <c r="A5408" t="n">
        <v>19897</v>
      </c>
      <c r="B5408" s="16" t="n">
        <v>44669</v>
      </c>
      <c r="C5408" t="inlineStr">
        <is>
          <t>VTA</t>
        </is>
      </c>
      <c r="D5408" t="n">
        <v>32</v>
      </c>
      <c r="E5408">
        <f>IF(D2539&gt;0,VLOOKUP(OPERAC[[#This Row],[COD CART]],[1]!MatrizCortoLargoCyl[#All],3,0),"")</f>
        <v/>
      </c>
      <c r="F5408" t="inlineStr">
        <is>
          <t>HMY</t>
        </is>
      </c>
      <c r="G5408" t="n">
        <v>100</v>
      </c>
      <c r="H5408">
        <f>-4.64*OPERAC[[#This Row],[cantidad]]</f>
        <v/>
      </c>
      <c r="I5408">
        <f>-H2539/G2539</f>
        <v/>
      </c>
      <c r="J5408" s="16" t="n">
        <v>44722</v>
      </c>
      <c r="K5408" t="n">
        <v>100</v>
      </c>
      <c r="L5408" t="n">
        <v>333.64</v>
      </c>
    </row>
    <row r="5409">
      <c r="A5409" t="n">
        <v>19897</v>
      </c>
      <c r="B5409" s="16" t="n">
        <v>44671</v>
      </c>
      <c r="C5409" t="inlineStr">
        <is>
          <t>CPR</t>
        </is>
      </c>
      <c r="D5409" t="n">
        <v>42</v>
      </c>
      <c r="E5409">
        <f>IF(D2774&gt;0,VLOOKUP(OPERAC[[#This Row],[COD CART]],[1]!MatrizCortoLargoCyl[#All],3,0),"")</f>
        <v/>
      </c>
      <c r="F5409" t="inlineStr">
        <is>
          <t>NFLX</t>
        </is>
      </c>
      <c r="G5409" t="n">
        <v>2</v>
      </c>
      <c r="H5409" t="n">
        <v>-509.01012</v>
      </c>
      <c r="I5409">
        <f>-H2774/G2774</f>
        <v/>
      </c>
      <c r="J5409" s="16" t="n">
        <v>44693</v>
      </c>
      <c r="K5409">
        <f>+OPERAC[[#This Row],[cantidad]]</f>
        <v/>
      </c>
      <c r="L5409">
        <f>+OPERAC[[#This Row],[cantidad venta]]*169.089</f>
        <v/>
      </c>
    </row>
    <row r="5410">
      <c r="A5410" t="n">
        <v>19897</v>
      </c>
      <c r="B5410" s="16" t="n">
        <v>44693</v>
      </c>
      <c r="C5410" t="inlineStr">
        <is>
          <t>CPR</t>
        </is>
      </c>
      <c r="D5410" t="n">
        <v>40</v>
      </c>
      <c r="E5410">
        <f>IF(D3414&gt;0,VLOOKUP(OPERAC[[#This Row],[COD CART]],[1]!MatrizCortoLargoCyl[#All],3,0),"")</f>
        <v/>
      </c>
      <c r="F5410" t="inlineStr">
        <is>
          <t>MELI</t>
        </is>
      </c>
      <c r="G5410" t="n">
        <v>1</v>
      </c>
      <c r="H5410" t="n">
        <v>-726.8566</v>
      </c>
      <c r="I5410">
        <f>-H3414/G3414</f>
        <v/>
      </c>
    </row>
    <row r="5411">
      <c r="A5411" t="n">
        <v>19920</v>
      </c>
      <c r="B5411" s="16" t="n">
        <v>43888</v>
      </c>
      <c r="C5411" t="inlineStr">
        <is>
          <t>CPR</t>
        </is>
      </c>
      <c r="D5411" t="n">
        <v>31</v>
      </c>
      <c r="E5411">
        <f>IF(D3631&gt;0,VLOOKUP(OPERAC[[#This Row],[COD CART]],[1]!MatrizCortoLargoCyl[#All],3,0),"")</f>
        <v/>
      </c>
      <c r="F5411" t="inlineStr">
        <is>
          <t>YPF</t>
        </is>
      </c>
      <c r="G5411" t="n">
        <v>100</v>
      </c>
      <c r="H5411" t="n">
        <v>-803.9999999999999</v>
      </c>
      <c r="I5411" t="n">
        <v>8.039999999999999</v>
      </c>
    </row>
    <row r="5412">
      <c r="A5412" t="n">
        <v>19920</v>
      </c>
      <c r="B5412" s="16" t="n">
        <v>44340</v>
      </c>
      <c r="C5412" t="inlineStr">
        <is>
          <t>VTA</t>
        </is>
      </c>
      <c r="D5412" t="n">
        <v>39</v>
      </c>
      <c r="E5412">
        <f>IF(D256&gt;0,VLOOKUP(OPERAC[[#This Row],[COD CART]],[1]!MatrizCortoLargoCyl[#All],3,0),"")</f>
        <v/>
      </c>
      <c r="F5412" t="inlineStr">
        <is>
          <t>SOLO/V/3,50/21-01-22</t>
        </is>
      </c>
      <c r="G5412" t="n">
        <v>-1600</v>
      </c>
      <c r="H5412" t="n">
        <v>1743.368</v>
      </c>
      <c r="I5412">
        <f>-H256/G256</f>
        <v/>
      </c>
      <c r="J5412" s="16" t="n">
        <v>44579</v>
      </c>
      <c r="K5412">
        <f>+OPERAC[[#This Row],[cantidad]]</f>
        <v/>
      </c>
      <c r="L5412">
        <f>-OPERAC[[#This Row],[importe]]</f>
        <v/>
      </c>
    </row>
    <row r="5413">
      <c r="A5413" t="n">
        <v>19920</v>
      </c>
      <c r="B5413" s="16" t="n">
        <v>44439</v>
      </c>
      <c r="C5413" t="inlineStr">
        <is>
          <t>VTA</t>
        </is>
      </c>
      <c r="D5413" t="n">
        <v>39</v>
      </c>
      <c r="E5413">
        <f>IF(D223&gt;0,VLOOKUP(OPERAC[[#This Row],[COD CART]],[1]!MatrizCortoLargoCyl[#All],3,0),"")</f>
        <v/>
      </c>
      <c r="F5413" t="inlineStr">
        <is>
          <t>SKLZ/P/7,50/20-01-23</t>
        </is>
      </c>
      <c r="G5413" t="n">
        <v>-1000</v>
      </c>
      <c r="H5413" t="n">
        <v>1984</v>
      </c>
      <c r="I5413">
        <f>-H223/G223</f>
        <v/>
      </c>
      <c r="J5413" s="16" t="n">
        <v>44614</v>
      </c>
      <c r="K5413">
        <f>+OPERAC[[#This Row],[cantidad]]</f>
        <v/>
      </c>
      <c r="L5413">
        <f>+OPERAC[[#This Row],[cantidad venta]]*4.488</f>
        <v/>
      </c>
    </row>
    <row r="5414">
      <c r="A5414" t="n">
        <v>19920</v>
      </c>
      <c r="B5414" s="16" t="n">
        <v>44459</v>
      </c>
      <c r="C5414" t="inlineStr">
        <is>
          <t>CPR</t>
        </is>
      </c>
      <c r="D5414" t="n">
        <v>40</v>
      </c>
      <c r="E5414">
        <f>IF(D4002&gt;0,VLOOKUP(OPERAC[[#This Row],[COD CART]],[1]!MatrizCortoLargoCyl[#All],3,0),"")</f>
        <v/>
      </c>
      <c r="F5414" t="inlineStr">
        <is>
          <t>EDU</t>
        </is>
      </c>
      <c r="G5414" t="n">
        <v>1000</v>
      </c>
      <c r="H5414">
        <f>-955.96+0.04*OPERAC[[#This Row],[cantidad]]</f>
        <v/>
      </c>
      <c r="I5414">
        <f>-H4002/G4002</f>
        <v/>
      </c>
      <c r="J5414" s="16" t="n">
        <v>44630</v>
      </c>
      <c r="K5414" t="n">
        <v>1000</v>
      </c>
      <c r="L5414" t="n">
        <v>1136.656</v>
      </c>
    </row>
    <row r="5415">
      <c r="A5415" t="n">
        <v>19920</v>
      </c>
      <c r="B5415" s="16" t="n">
        <v>44489</v>
      </c>
      <c r="C5415" t="inlineStr">
        <is>
          <t>CPR</t>
        </is>
      </c>
      <c r="D5415" t="n">
        <v>43</v>
      </c>
      <c r="E5415">
        <f>IF(D5833&gt;0,VLOOKUP(OPERAC[[#This Row],[COD CART]],[1]!MatrizCortoLargoCyl[#All],3,0),"")</f>
        <v/>
      </c>
      <c r="F5415" t="inlineStr">
        <is>
          <t>SESN/CYL-PUT/1,00/19-01-24</t>
        </is>
      </c>
      <c r="G5415" t="n">
        <v>15000</v>
      </c>
      <c r="H5415">
        <f>-0.1885*OPERAC[[#This Row],[cantidad]]</f>
        <v/>
      </c>
      <c r="I5415">
        <f>-H5833/G5833</f>
        <v/>
      </c>
      <c r="J5415" s="16" t="n">
        <v>44609</v>
      </c>
      <c r="K5415">
        <f>3300+11700</f>
        <v/>
      </c>
      <c r="L5415">
        <f>951.549+3112.996</f>
        <v/>
      </c>
    </row>
    <row r="5416">
      <c r="A5416" t="n">
        <v>19920</v>
      </c>
      <c r="B5416" s="16" t="n">
        <v>44490</v>
      </c>
      <c r="C5416" t="inlineStr">
        <is>
          <t>VTA</t>
        </is>
      </c>
      <c r="D5416" t="n">
        <v>40</v>
      </c>
      <c r="E5416">
        <f>IF(D5095&gt;0,VLOOKUP(OPERAC[[#This Row],[COD CART]],[1]!MatrizCortoLargoCyl[#All],3,0),"")</f>
        <v/>
      </c>
      <c r="F5416" t="inlineStr">
        <is>
          <t>MELI</t>
        </is>
      </c>
      <c r="G5416" t="n">
        <v>1</v>
      </c>
      <c r="H5416" t="n">
        <v>-1587.905</v>
      </c>
      <c r="I5416">
        <f>-H5095/G5095</f>
        <v/>
      </c>
      <c r="J5416" s="16" t="n">
        <v>44606</v>
      </c>
      <c r="K5416" t="n">
        <v>1</v>
      </c>
      <c r="L5416" t="n">
        <v>1073.609</v>
      </c>
    </row>
    <row r="5417">
      <c r="A5417" t="n">
        <v>19920</v>
      </c>
      <c r="B5417" s="16" t="n">
        <v>44494</v>
      </c>
      <c r="C5417" t="inlineStr">
        <is>
          <t>VTA</t>
        </is>
      </c>
      <c r="D5417" t="n">
        <v>40</v>
      </c>
      <c r="E5417">
        <f>IF(D2360&gt;0,VLOOKUP(OPERAC[[#This Row],[COD CART]],[1]!MatrizCortoLargoCyl[#All],3,0),"")</f>
        <v/>
      </c>
      <c r="F5417" t="inlineStr">
        <is>
          <t>YPF</t>
        </is>
      </c>
      <c r="G5417" t="n">
        <v>90</v>
      </c>
      <c r="H5417" t="n">
        <v>-418.7448</v>
      </c>
      <c r="I5417">
        <f>-H2360/G2360</f>
        <v/>
      </c>
      <c r="J5417" s="16" t="n">
        <v>44606</v>
      </c>
      <c r="K5417">
        <f>+OPERAC[[#This Row],[cantidad]]</f>
        <v/>
      </c>
      <c r="L5417">
        <f>+OPERAC[[#This Row],[cantidad venta]]*4.161</f>
        <v/>
      </c>
    </row>
    <row r="5418">
      <c r="A5418" t="n">
        <v>19920</v>
      </c>
      <c r="B5418" s="16" t="n">
        <v>44511</v>
      </c>
      <c r="C5418" t="inlineStr">
        <is>
          <t>CPR</t>
        </is>
      </c>
      <c r="D5418" t="n">
        <v>31</v>
      </c>
      <c r="E5418">
        <f>IF(D4392&gt;0,VLOOKUP(OPERAC[[#This Row],[COD CART]],[1]!MatrizCortoLargoCyl[#All],3,0),"")</f>
        <v/>
      </c>
      <c r="F5418" t="inlineStr">
        <is>
          <t>IPIX</t>
        </is>
      </c>
      <c r="G5418" t="n">
        <v>10000</v>
      </c>
      <c r="H5418" t="n">
        <v>-1099.9</v>
      </c>
      <c r="I5418">
        <f>-H4392/G4392</f>
        <v/>
      </c>
    </row>
    <row r="5419">
      <c r="A5419" t="n">
        <v>19920</v>
      </c>
      <c r="B5419" s="16" t="n">
        <v>44532</v>
      </c>
      <c r="C5419" t="inlineStr">
        <is>
          <t>VTA</t>
        </is>
      </c>
      <c r="D5419" t="n">
        <v>32</v>
      </c>
      <c r="E5419">
        <f>IF(D3941&gt;0,VLOOKUP(OPERAC[[#This Row],[COD CART]],[1]!MatrizCortoLargoCyl[#All],3,0),"")</f>
        <v/>
      </c>
      <c r="F5419" t="inlineStr">
        <is>
          <t>COTY/CYL/10,00/18-02-22</t>
        </is>
      </c>
      <c r="G5419" t="n">
        <v>100</v>
      </c>
      <c r="H5419">
        <f>-901.599+20.838</f>
        <v/>
      </c>
      <c r="I5419">
        <f>-H3941/G3941</f>
        <v/>
      </c>
      <c r="J5419" s="16" t="n">
        <v>44608</v>
      </c>
      <c r="K5419">
        <f>+OPERAC[[#This Row],[cantidad]]</f>
        <v/>
      </c>
      <c r="L5419" t="n">
        <v>941.701</v>
      </c>
    </row>
    <row r="5420">
      <c r="A5420" t="n">
        <v>19920</v>
      </c>
      <c r="B5420" s="16" t="n">
        <v>44538</v>
      </c>
      <c r="C5420" t="inlineStr">
        <is>
          <t>VTA</t>
        </is>
      </c>
      <c r="D5420" t="n">
        <v>43</v>
      </c>
      <c r="E5420">
        <f>IF(D2988&gt;0,VLOOKUP(OPERAC[[#This Row],[COD CART]],[1]!MatrizCortoLargoCyl[#All],3,0),"")</f>
        <v/>
      </c>
      <c r="F5420" t="inlineStr">
        <is>
          <t>HEXO/CYL-PUT/1,00/20-01-23</t>
        </is>
      </c>
      <c r="G5420" t="n">
        <v>3000</v>
      </c>
      <c r="H5420">
        <f>-0.1886*OPERAC[[#This Row],[cantidad]]</f>
        <v/>
      </c>
      <c r="I5420">
        <f>-H2988/G2988</f>
        <v/>
      </c>
    </row>
    <row r="5421">
      <c r="A5421" t="n">
        <v>19920</v>
      </c>
      <c r="B5421" s="16" t="n">
        <v>44539</v>
      </c>
      <c r="C5421" t="inlineStr">
        <is>
          <t>CPR</t>
        </is>
      </c>
      <c r="D5421" t="n">
        <v>40</v>
      </c>
      <c r="E5421">
        <f>IF(D5725&gt;0,VLOOKUP(OPERAC[[#This Row],[COD CART]],[1]!MatrizCortoLargoCyl[#All],3,0),"")</f>
        <v/>
      </c>
      <c r="F5421" t="inlineStr">
        <is>
          <t>ROKU</t>
        </is>
      </c>
      <c r="G5421" t="n">
        <v>10</v>
      </c>
      <c r="H5421" t="n">
        <v>-2577.2036</v>
      </c>
      <c r="I5421">
        <f>-H5725/G5725</f>
        <v/>
      </c>
      <c r="J5421" s="16" t="n">
        <v>44606</v>
      </c>
      <c r="K5421">
        <f>+OPERAC[[#This Row],[cantidad]]</f>
        <v/>
      </c>
      <c r="L5421">
        <f>+OPERAC[[#This Row],[cantidad venta]]*160.574</f>
        <v/>
      </c>
    </row>
    <row r="5422">
      <c r="A5422" t="n">
        <v>19920</v>
      </c>
      <c r="B5422" s="16" t="n">
        <v>44543</v>
      </c>
      <c r="C5422" t="inlineStr">
        <is>
          <t>CPR</t>
        </is>
      </c>
      <c r="D5422" t="n">
        <v>31</v>
      </c>
      <c r="E5422">
        <f>IF(D5918&gt;0,VLOOKUP(OPERAC[[#This Row],[COD CART]],[1]!MatrizCortoLargoCyl[#All],3,0),"")</f>
        <v/>
      </c>
      <c r="F5422" t="inlineStr">
        <is>
          <t>BBAR</t>
        </is>
      </c>
      <c r="G5422" t="n">
        <v>1000</v>
      </c>
      <c r="H5422" t="n">
        <v>-3029</v>
      </c>
      <c r="I5422">
        <f>-H5918/G5918</f>
        <v/>
      </c>
      <c r="J5422" s="16" t="n">
        <v>44579</v>
      </c>
      <c r="K5422">
        <f>200+200</f>
        <v/>
      </c>
      <c r="L5422">
        <f>634.207+673.53</f>
        <v/>
      </c>
    </row>
    <row r="5423">
      <c r="A5423" t="n">
        <v>19920</v>
      </c>
      <c r="B5423" s="16" t="n">
        <v>44543</v>
      </c>
      <c r="C5423" t="inlineStr">
        <is>
          <t>VTA</t>
        </is>
      </c>
      <c r="D5423" t="n">
        <v>40</v>
      </c>
      <c r="E5423">
        <f>IF(D2954&gt;0,VLOOKUP(OPERAC[[#This Row],[COD CART]],[1]!MatrizCortoLargoCyl[#All],3,0),"")</f>
        <v/>
      </c>
      <c r="F5423" t="inlineStr">
        <is>
          <t>VIST</t>
        </is>
      </c>
      <c r="G5423" t="n">
        <v>100</v>
      </c>
      <c r="H5423" t="n">
        <v>-559.9400000000001</v>
      </c>
      <c r="I5423">
        <f>-H2954/G2954</f>
        <v/>
      </c>
      <c r="J5423" s="16" t="n">
        <v>44574</v>
      </c>
      <c r="K5423">
        <f>+OPERAC[[#This Row],[cantidad]]</f>
        <v/>
      </c>
      <c r="L5423">
        <f>+OPERAC[[#This Row],[cantidad venta]]*6.125</f>
        <v/>
      </c>
    </row>
    <row r="5424">
      <c r="A5424" t="n">
        <v>19920</v>
      </c>
      <c r="B5424" s="16" t="n">
        <v>44547</v>
      </c>
      <c r="C5424" t="inlineStr">
        <is>
          <t>VTA</t>
        </is>
      </c>
      <c r="D5424" t="n">
        <v>32</v>
      </c>
      <c r="E5424">
        <f>IF(D3801&gt;0,VLOOKUP(OPERAC[[#This Row],[COD CART]],[1]!MatrizCortoLargoCyl[#All],3,0),"")</f>
        <v/>
      </c>
      <c r="F5424" t="inlineStr">
        <is>
          <t>ARLO/CYL/9,00/18-02-22</t>
        </is>
      </c>
      <c r="G5424" t="n">
        <v>100</v>
      </c>
      <c r="H5424">
        <f>-866.74+14.88</f>
        <v/>
      </c>
      <c r="I5424">
        <f>-H3801/G3801</f>
        <v/>
      </c>
      <c r="J5424" s="16" t="n">
        <v>44607</v>
      </c>
      <c r="K5424" t="n">
        <v>100</v>
      </c>
      <c r="L5424" t="n">
        <v>875.33</v>
      </c>
    </row>
    <row r="5425">
      <c r="A5425" t="n">
        <v>19920</v>
      </c>
      <c r="B5425" s="16" t="n">
        <v>44552</v>
      </c>
      <c r="C5425" t="inlineStr">
        <is>
          <t>VTA</t>
        </is>
      </c>
      <c r="D5425" t="n">
        <v>32</v>
      </c>
      <c r="E5425">
        <f>IF(D2245&gt;0,VLOOKUP(OPERAC[[#This Row],[COD CART]],[1]!MatrizCortoLargoCyl[#All],3,0),"")</f>
        <v/>
      </c>
      <c r="F5425" t="inlineStr">
        <is>
          <t>HMY/CYL/4,00/21-01-22</t>
        </is>
      </c>
      <c r="G5425" t="n">
        <v>100</v>
      </c>
      <c r="H5425">
        <f>-3.8*OPERAC[[#This Row],[cantidad]]</f>
        <v/>
      </c>
      <c r="I5425">
        <f>-H2245/G2245</f>
        <v/>
      </c>
      <c r="J5425" s="16" t="n">
        <v>44580</v>
      </c>
      <c r="K5425" t="n">
        <v>100</v>
      </c>
      <c r="L5425" t="n">
        <v>393.93</v>
      </c>
    </row>
    <row r="5426">
      <c r="A5426" t="n">
        <v>19920</v>
      </c>
      <c r="B5426" s="16" t="n">
        <v>44552</v>
      </c>
      <c r="C5426" t="inlineStr">
        <is>
          <t>VTA</t>
        </is>
      </c>
      <c r="D5426" t="n">
        <v>32</v>
      </c>
      <c r="E5426">
        <f>IF(D5385&gt;0,VLOOKUP(OPERAC[[#This Row],[COD CART]],[1]!MatrizCortoLargoCyl[#All],3,0),"")</f>
        <v/>
      </c>
      <c r="F5426" t="inlineStr">
        <is>
          <t>GOLD/CYL/19,00/21-01-22</t>
        </is>
      </c>
      <c r="G5426" t="n">
        <v>100</v>
      </c>
      <c r="H5426">
        <f>-18.08*OPERAC[[#This Row],[cantidad]]</f>
        <v/>
      </c>
      <c r="I5426">
        <f>-H5385/G5385</f>
        <v/>
      </c>
      <c r="J5426" s="16" t="n">
        <v>44580</v>
      </c>
      <c r="K5426" t="n">
        <v>100</v>
      </c>
      <c r="L5426" t="n">
        <v>1876.846</v>
      </c>
    </row>
    <row r="5427">
      <c r="A5427" t="n">
        <v>19920</v>
      </c>
      <c r="B5427" s="16" t="n">
        <v>44553</v>
      </c>
      <c r="C5427" t="inlineStr">
        <is>
          <t>CPR</t>
        </is>
      </c>
      <c r="D5427" t="n">
        <v>40</v>
      </c>
      <c r="E5427">
        <f>IF(D2594&gt;0,VLOOKUP(OPERAC[[#This Row],[COD CART]],[1]!MatrizCortoLargoCyl[#All],3,0),"")</f>
        <v/>
      </c>
      <c r="F5427" t="inlineStr">
        <is>
          <t>ON</t>
        </is>
      </c>
      <c r="G5427" t="n">
        <v>7</v>
      </c>
      <c r="H5427" t="n">
        <v>-469.7952559999999</v>
      </c>
      <c r="I5427">
        <f>-H2594/G2594</f>
        <v/>
      </c>
      <c r="J5427" s="16" t="n">
        <v>44606</v>
      </c>
      <c r="K5427">
        <f>+OPERAC[[#This Row],[cantidad]]</f>
        <v/>
      </c>
      <c r="L5427">
        <f>+OPERAC[[#This Row],[cantidad venta]]*58.449</f>
        <v/>
      </c>
    </row>
    <row r="5428">
      <c r="A5428" t="n">
        <v>19920</v>
      </c>
      <c r="B5428" s="16" t="n">
        <v>44579</v>
      </c>
      <c r="C5428" t="inlineStr">
        <is>
          <t>VTA</t>
        </is>
      </c>
      <c r="D5428" t="n">
        <v>39</v>
      </c>
      <c r="E5428">
        <f>IF(D190&gt;0,VLOOKUP(OPERAC[[#This Row],[COD CART]],[1]!MatrizCortoLargoCyl[#All],3,0),"")</f>
        <v/>
      </c>
      <c r="F5428" t="inlineStr">
        <is>
          <t>SOLO/V/3,50/25-02-22</t>
        </is>
      </c>
      <c r="G5428" t="n">
        <v>-1600</v>
      </c>
      <c r="H5428" t="n">
        <v>2210.97184</v>
      </c>
      <c r="I5428">
        <f>-H190/G190</f>
        <v/>
      </c>
      <c r="J5428" s="16" t="n">
        <v>44608</v>
      </c>
      <c r="K5428">
        <f>+OPERAC[[#This Row],[cantidad]]</f>
        <v/>
      </c>
      <c r="L5428" t="n">
        <v>-2232.064</v>
      </c>
    </row>
    <row r="5429">
      <c r="A5429" t="n">
        <v>19920</v>
      </c>
      <c r="B5429" s="16" t="n">
        <v>44582</v>
      </c>
      <c r="C5429" t="inlineStr">
        <is>
          <t>VTA</t>
        </is>
      </c>
      <c r="D5429" t="n">
        <v>40</v>
      </c>
      <c r="E5429">
        <f>IF(D5492&gt;0,VLOOKUP(OPERAC[[#This Row],[COD CART]],[1]!MatrizCortoLargoCyl[#All],3,0),"")</f>
        <v/>
      </c>
      <c r="F5429" t="inlineStr">
        <is>
          <t>NFLX</t>
        </is>
      </c>
      <c r="G5429" t="n">
        <v>5</v>
      </c>
      <c r="H5429" t="n">
        <v>-1953.1855</v>
      </c>
      <c r="I5429">
        <f>-H5492/G5492</f>
        <v/>
      </c>
      <c r="J5429" s="16" t="n">
        <v>44593</v>
      </c>
      <c r="K5429">
        <f>+OPERAC[[#This Row],[cantidad]]</f>
        <v/>
      </c>
      <c r="L5429">
        <f>+OPERAC[[#This Row],[cantidad venta]]*448.602</f>
        <v/>
      </c>
    </row>
    <row r="5430">
      <c r="A5430" t="n">
        <v>19920</v>
      </c>
      <c r="B5430" s="16" t="n">
        <v>44594</v>
      </c>
      <c r="C5430" t="inlineStr">
        <is>
          <t>VTA</t>
        </is>
      </c>
      <c r="D5430" t="n">
        <v>40</v>
      </c>
      <c r="E5430">
        <f>IF(D5524&gt;0,VLOOKUP(OPERAC[[#This Row],[COD CART]],[1]!MatrizCortoLargoCyl[#All],3,0),"")</f>
        <v/>
      </c>
      <c r="F5430" t="inlineStr">
        <is>
          <t>EDU</t>
        </is>
      </c>
      <c r="G5430" t="n">
        <v>1000</v>
      </c>
      <c r="H5430" t="n">
        <v>-2016</v>
      </c>
      <c r="I5430">
        <f>-H5524/G5524</f>
        <v/>
      </c>
      <c r="J5430" s="16" t="n">
        <v>44601</v>
      </c>
      <c r="K5430" t="n">
        <v>1000</v>
      </c>
      <c r="L5430" t="n">
        <v>1640</v>
      </c>
    </row>
    <row r="5431">
      <c r="A5431" t="n">
        <v>19920</v>
      </c>
      <c r="B5431" s="16" t="n">
        <v>44601</v>
      </c>
      <c r="C5431" t="inlineStr">
        <is>
          <t>CPR</t>
        </is>
      </c>
      <c r="D5431" t="n">
        <v>43</v>
      </c>
      <c r="E5431">
        <f>IF(D4828&gt;0,VLOOKUP(OPERAC[[#This Row],[COD CART]],[1]!MatrizCortoLargoCyl[#All],3,0),"")</f>
        <v/>
      </c>
      <c r="F5431" t="inlineStr">
        <is>
          <t>GMBL/CYL-PUT/2,50/20-01-23</t>
        </is>
      </c>
      <c r="G5431" t="n">
        <v>1100</v>
      </c>
      <c r="H5431">
        <f>-1.3*OPERAC[[#This Row],[cantidad]]</f>
        <v/>
      </c>
      <c r="I5431">
        <f>-H4828/G4828</f>
        <v/>
      </c>
    </row>
    <row r="5432">
      <c r="A5432" t="n">
        <v>19920</v>
      </c>
      <c r="B5432" s="16" t="n">
        <v>44607</v>
      </c>
      <c r="C5432" t="inlineStr">
        <is>
          <t>CPR</t>
        </is>
      </c>
      <c r="D5432" t="n">
        <v>32</v>
      </c>
      <c r="E5432">
        <f>IF(D5966&gt;0,VLOOKUP(OPERAC[[#This Row],[COD CART]],[1]!MatrizCortoLargoCyl[#All],3,0),"")</f>
        <v/>
      </c>
      <c r="F5432" t="inlineStr">
        <is>
          <t>DDD/CYL/17,00/01-04-22</t>
        </is>
      </c>
      <c r="G5432" t="n">
        <v>200</v>
      </c>
      <c r="H5432">
        <f>-3240.46+39.45+32.908</f>
        <v/>
      </c>
      <c r="I5432">
        <f>-H5966/G5966</f>
        <v/>
      </c>
      <c r="J5432" s="16" t="n">
        <v>44649</v>
      </c>
      <c r="K5432" t="n">
        <v>200</v>
      </c>
      <c r="L5432" t="n">
        <v>3323.96</v>
      </c>
    </row>
    <row r="5433">
      <c r="A5433" t="n">
        <v>19920</v>
      </c>
      <c r="B5433" s="16" t="n">
        <v>44608</v>
      </c>
      <c r="C5433" t="inlineStr">
        <is>
          <t>CPR</t>
        </is>
      </c>
      <c r="D5433" t="n">
        <v>32</v>
      </c>
      <c r="E5433">
        <f>IF(D4856&gt;0,VLOOKUP(OPERAC[[#This Row],[COD CART]],[1]!MatrizCortoLargoCyl[#All],3,0),"")</f>
        <v/>
      </c>
      <c r="F5433" t="inlineStr">
        <is>
          <t>SPWR/CYL/15,00/18-03-22</t>
        </is>
      </c>
      <c r="G5433" t="n">
        <v>100</v>
      </c>
      <c r="H5433" t="n">
        <v>-1441.812</v>
      </c>
      <c r="I5433">
        <f>-H4856/G4856</f>
        <v/>
      </c>
      <c r="J5433" s="16" t="n">
        <v>44628</v>
      </c>
      <c r="K5433">
        <f>+OPERAC[[#This Row],[cantidad]]</f>
        <v/>
      </c>
      <c r="L5433" t="n">
        <v>1504.278</v>
      </c>
    </row>
    <row r="5434">
      <c r="A5434" t="n">
        <v>19920</v>
      </c>
      <c r="B5434" s="16" t="n">
        <v>44608</v>
      </c>
      <c r="C5434" t="inlineStr">
        <is>
          <t>VTA</t>
        </is>
      </c>
      <c r="D5434" t="n">
        <v>39</v>
      </c>
      <c r="E5434">
        <f>IF(D332&gt;0,VLOOKUP(OPERAC[[#This Row],[COD CART]],[1]!MatrizCortoLargoCyl[#All],3,0),"")</f>
        <v/>
      </c>
      <c r="F5434" t="inlineStr">
        <is>
          <t>SOLO/V/3,00/18-03-22</t>
        </is>
      </c>
      <c r="G5434" t="n">
        <v>-1600</v>
      </c>
      <c r="H5434" t="n">
        <v>1368.064</v>
      </c>
      <c r="I5434">
        <f>-H332/G332</f>
        <v/>
      </c>
      <c r="J5434" s="16" t="n">
        <v>44614</v>
      </c>
      <c r="K5434">
        <f>+OPERAC[[#This Row],[cantidad]]</f>
        <v/>
      </c>
      <c r="L5434">
        <f>+OPERAC[[#This Row],[cantidad venta]]*1.113</f>
        <v/>
      </c>
    </row>
    <row r="5435">
      <c r="A5435" t="n">
        <v>19920</v>
      </c>
      <c r="B5435" s="16" t="n">
        <v>44614</v>
      </c>
      <c r="C5435" t="inlineStr">
        <is>
          <t>VTA</t>
        </is>
      </c>
      <c r="D5435" t="n">
        <v>39</v>
      </c>
      <c r="E5435">
        <f>IF(D941&gt;0,VLOOKUP(OPERAC[[#This Row],[COD CART]],[1]!MatrizCortoLargoCyl[#All],3,0),"")</f>
        <v/>
      </c>
      <c r="F5435" t="inlineStr">
        <is>
          <t>TSLA/V/300,00/20-01-23</t>
        </is>
      </c>
      <c r="G5435" t="n">
        <v>-10</v>
      </c>
      <c r="H5435" t="n">
        <v>99.17</v>
      </c>
      <c r="I5435">
        <f>-H941/G941</f>
        <v/>
      </c>
    </row>
    <row r="5436">
      <c r="A5436" t="n">
        <v>19920</v>
      </c>
      <c r="B5436" s="16" t="n">
        <v>44614</v>
      </c>
      <c r="C5436" t="inlineStr">
        <is>
          <t>VTA</t>
        </is>
      </c>
      <c r="D5436" t="n">
        <v>39</v>
      </c>
      <c r="E5436">
        <f>IF(D1009&gt;0,VLOOKUP(OPERAC[[#This Row],[COD CART]],[1]!MatrizCortoLargoCyl[#All],3,0),"")</f>
        <v/>
      </c>
      <c r="F5436" t="inlineStr">
        <is>
          <t>MELI/V/500,00/19-01-24</t>
        </is>
      </c>
      <c r="G5436" t="n">
        <v>-1</v>
      </c>
      <c r="H5436" t="n">
        <v>64.48</v>
      </c>
      <c r="I5436">
        <f>-H1009/G1009</f>
        <v/>
      </c>
    </row>
    <row r="5437">
      <c r="A5437" t="n">
        <v>19920</v>
      </c>
      <c r="B5437" s="16" t="n">
        <v>44614</v>
      </c>
      <c r="C5437" t="inlineStr">
        <is>
          <t>VTA</t>
        </is>
      </c>
      <c r="D5437" t="n">
        <v>39</v>
      </c>
      <c r="E5437">
        <f>IF(D1042&gt;0,VLOOKUP(OPERAC[[#This Row],[COD CART]],[1]!MatrizCortoLargoCyl[#All],3,0),"")</f>
        <v/>
      </c>
      <c r="F5437" t="inlineStr">
        <is>
          <t>TSLA/V/200,00/19-01-24</t>
        </is>
      </c>
      <c r="G5437" t="n">
        <v>-5</v>
      </c>
      <c r="H5437" t="n">
        <v>44.62</v>
      </c>
      <c r="I5437">
        <f>-H1042/G1042</f>
        <v/>
      </c>
    </row>
    <row r="5438">
      <c r="A5438" t="n">
        <v>19920</v>
      </c>
      <c r="B5438" s="16" t="n">
        <v>44614</v>
      </c>
      <c r="C5438" t="inlineStr">
        <is>
          <t>VTA</t>
        </is>
      </c>
      <c r="D5438" t="n">
        <v>39</v>
      </c>
      <c r="E5438">
        <f>IF(D1048&gt;0,VLOOKUP(OPERAC[[#This Row],[COD CART]],[1]!MatrizCortoLargoCyl[#All],3,0),"")</f>
        <v/>
      </c>
      <c r="F5438" t="inlineStr">
        <is>
          <t>MELI/V/540,00/20-01-23</t>
        </is>
      </c>
      <c r="G5438" t="n">
        <v>-1</v>
      </c>
      <c r="H5438" t="n">
        <v>43.64</v>
      </c>
      <c r="I5438">
        <f>-H1048/G1048</f>
        <v/>
      </c>
    </row>
    <row r="5439">
      <c r="A5439" t="n">
        <v>19920</v>
      </c>
      <c r="B5439" s="16" t="n">
        <v>44614</v>
      </c>
      <c r="C5439" t="inlineStr">
        <is>
          <t>VTA</t>
        </is>
      </c>
      <c r="D5439" t="n">
        <v>39</v>
      </c>
      <c r="E5439">
        <f>IF(D1066&gt;0,VLOOKUP(OPERAC[[#This Row],[COD CART]],[1]!MatrizCortoLargoCyl[#All],3,0),"")</f>
        <v/>
      </c>
      <c r="F5439" t="inlineStr">
        <is>
          <t>NFLX/V/200,00/19-01-24</t>
        </is>
      </c>
      <c r="G5439" t="n">
        <v>-3</v>
      </c>
      <c r="H5439" t="n">
        <v>37.48</v>
      </c>
      <c r="I5439">
        <f>-H1066/G1066</f>
        <v/>
      </c>
    </row>
    <row r="5440">
      <c r="A5440" t="n">
        <v>19920</v>
      </c>
      <c r="B5440" s="16" t="n">
        <v>44614</v>
      </c>
      <c r="C5440" t="inlineStr">
        <is>
          <t>VTA</t>
        </is>
      </c>
      <c r="D5440" t="n">
        <v>39</v>
      </c>
      <c r="E5440">
        <f>IF(D1223&gt;0,VLOOKUP(OPERAC[[#This Row],[COD CART]],[1]!MatrizCortoLargoCyl[#All],3,0),"")</f>
        <v/>
      </c>
      <c r="F5440" t="inlineStr">
        <is>
          <t>DDD/V/15,00/20-01-23</t>
        </is>
      </c>
      <c r="G5440" t="n">
        <v>-2</v>
      </c>
      <c r="H5440" t="n">
        <v>6.14</v>
      </c>
      <c r="I5440">
        <f>-H1223/G1223</f>
        <v/>
      </c>
      <c r="J5440" s="16" t="n">
        <v>44678</v>
      </c>
      <c r="K5440" t="n">
        <v>-2</v>
      </c>
      <c r="L5440" t="n">
        <v>-9.470000000000001</v>
      </c>
    </row>
    <row r="5441">
      <c r="A5441" t="n">
        <v>19920</v>
      </c>
      <c r="B5441" s="16" t="n">
        <v>44615</v>
      </c>
      <c r="C5441" t="inlineStr">
        <is>
          <t>CPR</t>
        </is>
      </c>
      <c r="D5441" t="n">
        <v>32</v>
      </c>
      <c r="E5441">
        <f>IF(D4911&gt;0,VLOOKUP(OPERAC[[#This Row],[COD CART]],[1]!MatrizCortoLargoCyl[#All],3,0),"")</f>
        <v/>
      </c>
      <c r="F5441" t="inlineStr">
        <is>
          <t>SPWR/CYL/20,00/14-04-22</t>
        </is>
      </c>
      <c r="G5441" t="n">
        <v>100</v>
      </c>
      <c r="H5441" t="n">
        <v>-1488.526</v>
      </c>
      <c r="I5441">
        <f>-H4911/G4911</f>
        <v/>
      </c>
      <c r="J5441" s="16" t="n">
        <v>44663</v>
      </c>
      <c r="K5441" t="n">
        <v>100</v>
      </c>
      <c r="L5441" t="n">
        <v>1970.87</v>
      </c>
    </row>
    <row r="5442">
      <c r="A5442" t="n">
        <v>19920</v>
      </c>
      <c r="B5442" s="16" t="n">
        <v>44615</v>
      </c>
      <c r="C5442" t="inlineStr">
        <is>
          <t>CPR</t>
        </is>
      </c>
      <c r="D5442" t="n">
        <v>32</v>
      </c>
      <c r="E5442">
        <f>IF(D6021&gt;0,VLOOKUP(OPERAC[[#This Row],[COD CART]],[1]!MatrizCortoLargoCyl[#All],3,0),"")</f>
        <v/>
      </c>
      <c r="F5442" t="inlineStr">
        <is>
          <t>DDD</t>
        </is>
      </c>
      <c r="G5442" t="n">
        <v>200</v>
      </c>
      <c r="H5442" t="n">
        <v>-3430.93</v>
      </c>
      <c r="I5442">
        <f>-H6021/G6021</f>
        <v/>
      </c>
      <c r="J5442" s="16" t="n">
        <v>44649</v>
      </c>
      <c r="K5442" t="n">
        <v>200</v>
      </c>
      <c r="L5442" t="n">
        <v>3449.136</v>
      </c>
    </row>
    <row r="5443">
      <c r="A5443" t="n">
        <v>19920</v>
      </c>
      <c r="B5443" s="16" t="n">
        <v>44615</v>
      </c>
      <c r="C5443" t="inlineStr">
        <is>
          <t>CPR</t>
        </is>
      </c>
      <c r="D5443" t="n">
        <v>32</v>
      </c>
      <c r="E5443">
        <f>IF(D6237&gt;0,VLOOKUP(OPERAC[[#This Row],[COD CART]],[1]!MatrizCortoLargoCyl[#All],3,0),"")</f>
        <v/>
      </c>
      <c r="F5443" t="inlineStr">
        <is>
          <t>ARKK/CYL/85,00/15-07-22</t>
        </is>
      </c>
      <c r="G5443" t="n">
        <v>100</v>
      </c>
      <c r="H5443">
        <f>-6229.518+3.966</f>
        <v/>
      </c>
      <c r="I5443">
        <f>-H6237/G6237</f>
        <v/>
      </c>
    </row>
    <row r="5444">
      <c r="A5444" t="n">
        <v>19920</v>
      </c>
      <c r="B5444" s="16" t="n">
        <v>44628</v>
      </c>
      <c r="C5444" t="inlineStr">
        <is>
          <t>CPR</t>
        </is>
      </c>
      <c r="D5444" t="n">
        <v>32</v>
      </c>
      <c r="E5444">
        <f>IF(D4835&gt;0,VLOOKUP(OPERAC[[#This Row],[COD CART]],[1]!MatrizCortoLargoCyl[#All],3,0),"")</f>
        <v/>
      </c>
      <c r="F5444" t="inlineStr">
        <is>
          <t>COTY/CYL/8,00/14-04-22</t>
        </is>
      </c>
      <c r="G5444" t="n">
        <v>200</v>
      </c>
      <c r="H5444" t="n">
        <v>-1436.1102</v>
      </c>
      <c r="I5444">
        <f>-H4835/G4835</f>
        <v/>
      </c>
      <c r="J5444" s="16" t="n">
        <v>44643</v>
      </c>
      <c r="K5444" t="n">
        <v>200</v>
      </c>
      <c r="L5444" t="n">
        <v>1558.647</v>
      </c>
    </row>
    <row r="5445">
      <c r="A5445" t="n">
        <v>19920</v>
      </c>
      <c r="B5445" s="16" t="n">
        <v>44634</v>
      </c>
      <c r="C5445" t="inlineStr">
        <is>
          <t>VTA</t>
        </is>
      </c>
      <c r="D5445" t="n">
        <v>42</v>
      </c>
      <c r="E5445">
        <f>IF(D2090&gt;0,VLOOKUP(OPERAC[[#This Row],[COD CART]],[1]!MatrizCortoLargoCyl[#All],3,0),"")</f>
        <v/>
      </c>
      <c r="F5445" t="inlineStr">
        <is>
          <t>INO</t>
        </is>
      </c>
      <c r="G5445" t="n">
        <v>100</v>
      </c>
      <c r="H5445" t="n">
        <v>-332.0816</v>
      </c>
      <c r="I5445">
        <f>-H2090/G2090</f>
        <v/>
      </c>
      <c r="J5445" s="16" t="n">
        <v>44634</v>
      </c>
      <c r="K5445" t="n">
        <v>100</v>
      </c>
      <c r="L5445" t="n">
        <v>298.8855</v>
      </c>
    </row>
    <row r="5446">
      <c r="A5446" t="n">
        <v>19920</v>
      </c>
      <c r="B5446" s="16" t="n">
        <v>44637</v>
      </c>
      <c r="C5446" t="inlineStr">
        <is>
          <t>CPR</t>
        </is>
      </c>
      <c r="D5446" t="n">
        <v>31</v>
      </c>
      <c r="E5446">
        <f>IF(D2619&gt;0,VLOOKUP(OPERAC[[#This Row],[COD CART]],[1]!MatrizCortoLargoCyl[#All],3,0),"")</f>
        <v/>
      </c>
      <c r="F5446" t="inlineStr">
        <is>
          <t>BIOX</t>
        </is>
      </c>
      <c r="G5446" t="n">
        <v>35</v>
      </c>
      <c r="H5446" t="n">
        <v>-474.1048</v>
      </c>
      <c r="I5446">
        <f>-H2619/G2619</f>
        <v/>
      </c>
    </row>
    <row r="5447">
      <c r="A5447" t="n">
        <v>19920</v>
      </c>
      <c r="B5447" s="16" t="n">
        <v>44637</v>
      </c>
      <c r="C5447" t="inlineStr">
        <is>
          <t>CPR</t>
        </is>
      </c>
      <c r="D5447" t="n">
        <v>31</v>
      </c>
      <c r="E5447">
        <f>IF(D2701&gt;0,VLOOKUP(OPERAC[[#This Row],[COD CART]],[1]!MatrizCortoLargoCyl[#All],3,0),"")</f>
        <v/>
      </c>
      <c r="F5447" t="inlineStr">
        <is>
          <t>IRS</t>
        </is>
      </c>
      <c r="G5447" t="n">
        <v>100</v>
      </c>
      <c r="H5447" t="n">
        <v>-496.936</v>
      </c>
      <c r="I5447">
        <f>-H2701/G2701</f>
        <v/>
      </c>
      <c r="J5447" s="16" t="n">
        <v>44693</v>
      </c>
      <c r="K5447" t="n">
        <v>100</v>
      </c>
      <c r="L5447" t="n">
        <v>428.414</v>
      </c>
    </row>
    <row r="5448">
      <c r="A5448" t="n">
        <v>19920</v>
      </c>
      <c r="B5448" s="16" t="n">
        <v>44637</v>
      </c>
      <c r="C5448" t="inlineStr">
        <is>
          <t>CPR</t>
        </is>
      </c>
      <c r="D5448" t="n">
        <v>31</v>
      </c>
      <c r="E5448">
        <f>IF(D3351&gt;0,VLOOKUP(OPERAC[[#This Row],[COD CART]],[1]!MatrizCortoLargoCyl[#All],3,0),"")</f>
        <v/>
      </c>
      <c r="F5448" t="inlineStr">
        <is>
          <t>DIS</t>
        </is>
      </c>
      <c r="G5448" t="n">
        <v>5</v>
      </c>
      <c r="H5448" t="n">
        <v>-698.0359999999999</v>
      </c>
      <c r="I5448">
        <f>-H3351/G3351</f>
        <v/>
      </c>
    </row>
    <row r="5449">
      <c r="A5449" t="n">
        <v>19920</v>
      </c>
      <c r="B5449" s="16" t="n">
        <v>44637</v>
      </c>
      <c r="C5449" t="inlineStr">
        <is>
          <t>CPR</t>
        </is>
      </c>
      <c r="D5449" t="n">
        <v>31</v>
      </c>
      <c r="E5449">
        <f>IF(D3479&gt;0,VLOOKUP(OPERAC[[#This Row],[COD CART]],[1]!MatrizCortoLargoCyl[#All],3,0),"")</f>
        <v/>
      </c>
      <c r="F5449" t="inlineStr">
        <is>
          <t>CRESY</t>
        </is>
      </c>
      <c r="G5449" t="n">
        <v>100</v>
      </c>
      <c r="H5449" t="n">
        <v>-760.4312</v>
      </c>
      <c r="I5449">
        <f>-H3479/G3479</f>
        <v/>
      </c>
      <c r="J5449" s="16" t="n">
        <v>44693</v>
      </c>
      <c r="K5449" t="n">
        <v>100</v>
      </c>
      <c r="L5449" t="n">
        <v>599.3819999999999</v>
      </c>
    </row>
    <row r="5450">
      <c r="A5450" t="n">
        <v>19920</v>
      </c>
      <c r="B5450" s="16" t="n">
        <v>44637</v>
      </c>
      <c r="C5450" t="inlineStr">
        <is>
          <t>CPR</t>
        </is>
      </c>
      <c r="D5450" t="n">
        <v>31</v>
      </c>
      <c r="E5450">
        <f>IF(D3636&gt;0,VLOOKUP(OPERAC[[#This Row],[COD CART]],[1]!MatrizCortoLargoCyl[#All],3,0),"")</f>
        <v/>
      </c>
      <c r="F5450" t="inlineStr">
        <is>
          <t>AAPL</t>
        </is>
      </c>
      <c r="G5450" t="n">
        <v>5</v>
      </c>
      <c r="H5450" t="n">
        <v>-806.2196</v>
      </c>
      <c r="I5450">
        <f>-H3636/G3636</f>
        <v/>
      </c>
    </row>
    <row r="5451">
      <c r="A5451" t="n">
        <v>19920</v>
      </c>
      <c r="B5451" s="16" t="n">
        <v>44637</v>
      </c>
      <c r="C5451" t="inlineStr">
        <is>
          <t>CPR</t>
        </is>
      </c>
      <c r="D5451" t="n">
        <v>31</v>
      </c>
      <c r="E5451">
        <f>IF(D4200&gt;0,VLOOKUP(OPERAC[[#This Row],[COD CART]],[1]!MatrizCortoLargoCyl[#All],3,0),"")</f>
        <v/>
      </c>
      <c r="F5451" t="inlineStr">
        <is>
          <t>NVDA</t>
        </is>
      </c>
      <c r="G5451" t="n">
        <v>4</v>
      </c>
      <c r="H5451" t="n">
        <v>-987.7352</v>
      </c>
      <c r="I5451">
        <f>-H4200/G4200</f>
        <v/>
      </c>
    </row>
    <row r="5452">
      <c r="A5452" t="n">
        <v>19920</v>
      </c>
      <c r="B5452" s="16" t="n">
        <v>44637</v>
      </c>
      <c r="C5452" t="inlineStr">
        <is>
          <t>CPR</t>
        </is>
      </c>
      <c r="D5452" t="n">
        <v>31</v>
      </c>
      <c r="E5452">
        <f>IF(D4376&gt;0,VLOOKUP(OPERAC[[#This Row],[COD CART]],[1]!MatrizCortoLargoCyl[#All],3,0),"")</f>
        <v/>
      </c>
      <c r="F5452" t="inlineStr">
        <is>
          <t>GLD</t>
        </is>
      </c>
      <c r="G5452" t="n">
        <v>6</v>
      </c>
      <c r="H5452" t="n">
        <v>-1096.687904</v>
      </c>
      <c r="I5452">
        <f>-H4376/G4376</f>
        <v/>
      </c>
    </row>
    <row r="5453">
      <c r="A5453" t="n">
        <v>19920</v>
      </c>
      <c r="B5453" s="16" t="n">
        <v>44637</v>
      </c>
      <c r="C5453" t="inlineStr">
        <is>
          <t>VTA</t>
        </is>
      </c>
      <c r="D5453" t="n">
        <v>31</v>
      </c>
      <c r="E5453">
        <f>IF(D2057&gt;0,VLOOKUP(OPERAC[[#This Row],[COD CART]],[1]!MatrizCortoLargoCyl[#All],3,0),"")</f>
        <v/>
      </c>
      <c r="F5453" t="inlineStr">
        <is>
          <t>PAM</t>
        </is>
      </c>
      <c r="G5453" t="n">
        <v>15</v>
      </c>
      <c r="H5453" t="n">
        <v>-323.5096</v>
      </c>
      <c r="I5453">
        <f>-H2057/G2057</f>
        <v/>
      </c>
    </row>
    <row r="5454">
      <c r="A5454" t="n">
        <v>19920</v>
      </c>
      <c r="B5454" s="16" t="n">
        <v>44637</v>
      </c>
      <c r="C5454" t="inlineStr">
        <is>
          <t>VTA</t>
        </is>
      </c>
      <c r="D5454" t="n">
        <v>31</v>
      </c>
      <c r="E5454">
        <f>IF(D2278&gt;0,VLOOKUP(OPERAC[[#This Row],[COD CART]],[1]!MatrizCortoLargoCyl[#All],3,0),"")</f>
        <v/>
      </c>
      <c r="F5454" t="inlineStr">
        <is>
          <t>CEPU</t>
        </is>
      </c>
      <c r="G5454" t="n">
        <v>100</v>
      </c>
      <c r="H5454" t="n">
        <v>-389.8864</v>
      </c>
      <c r="I5454">
        <f>-H2278/G2278</f>
        <v/>
      </c>
    </row>
    <row r="5455">
      <c r="A5455" t="n">
        <v>19920</v>
      </c>
      <c r="B5455" s="16" t="n">
        <v>44637</v>
      </c>
      <c r="C5455" t="inlineStr">
        <is>
          <t>VTA</t>
        </is>
      </c>
      <c r="D5455" t="n">
        <v>31</v>
      </c>
      <c r="E5455">
        <f>IF(D3101&gt;0,VLOOKUP(OPERAC[[#This Row],[COD CART]],[1]!MatrizCortoLargoCyl[#All],3,0),"")</f>
        <v/>
      </c>
      <c r="F5455" t="inlineStr">
        <is>
          <t>FB</t>
        </is>
      </c>
      <c r="G5455" t="n">
        <v>3</v>
      </c>
      <c r="H5455" t="n">
        <v>-623.47424</v>
      </c>
      <c r="I5455">
        <f>-H3101/G3101</f>
        <v/>
      </c>
      <c r="J5455" s="16" t="n">
        <v>44672</v>
      </c>
      <c r="K5455" t="n">
        <v>3</v>
      </c>
      <c r="L5455" t="n">
        <v>583.15</v>
      </c>
    </row>
    <row r="5456">
      <c r="A5456" t="n">
        <v>19920</v>
      </c>
      <c r="B5456" s="16" t="n">
        <v>44643</v>
      </c>
      <c r="C5456" t="inlineStr">
        <is>
          <t>VTA</t>
        </is>
      </c>
      <c r="D5456" t="n">
        <v>42</v>
      </c>
      <c r="E5456">
        <f>IF(D2978&gt;0,VLOOKUP(OPERAC[[#This Row],[COD CART]],[1]!MatrizCortoLargoCyl[#All],3,0),"")</f>
        <v/>
      </c>
      <c r="F5456" t="inlineStr">
        <is>
          <t>JPM</t>
        </is>
      </c>
      <c r="G5456" t="n">
        <v>4</v>
      </c>
      <c r="H5456" t="n">
        <v>-564.9865600000001</v>
      </c>
      <c r="I5456">
        <f>-H2978/G2978</f>
        <v/>
      </c>
      <c r="J5456" s="16" t="n">
        <v>44664</v>
      </c>
      <c r="K5456">
        <f>+OPERAC[[#This Row],[cantidad]]</f>
        <v/>
      </c>
      <c r="L5456">
        <f>+OPERAC[[#This Row],[cantidad venta]]*125.943</f>
        <v/>
      </c>
    </row>
    <row r="5457">
      <c r="A5457" t="n">
        <v>19920</v>
      </c>
      <c r="B5457" s="16" t="n">
        <v>44643</v>
      </c>
      <c r="C5457" t="inlineStr">
        <is>
          <t>VTA</t>
        </is>
      </c>
      <c r="D5457" t="n">
        <v>42</v>
      </c>
      <c r="E5457">
        <f>IF(D3853&gt;0,VLOOKUP(OPERAC[[#This Row],[COD CART]],[1]!MatrizCortoLargoCyl[#All],3,0),"")</f>
        <v/>
      </c>
      <c r="F5457" t="inlineStr">
        <is>
          <t>FB</t>
        </is>
      </c>
      <c r="G5457" t="n">
        <v>4</v>
      </c>
      <c r="H5457" t="n">
        <v>-864.4930400000001</v>
      </c>
      <c r="I5457">
        <f>-H3853/G3853</f>
        <v/>
      </c>
      <c r="J5457" s="16" t="n">
        <v>44671</v>
      </c>
      <c r="K5457">
        <f>+OPERAC[[#This Row],[cantidad]]</f>
        <v/>
      </c>
      <c r="L5457">
        <f>+OPERAC[[#This Row],[cantidad venta]]*213.173</f>
        <v/>
      </c>
    </row>
    <row r="5458">
      <c r="A5458" t="n">
        <v>19920</v>
      </c>
      <c r="B5458" s="16" t="n">
        <v>44649</v>
      </c>
      <c r="C5458" t="inlineStr">
        <is>
          <t>CPR</t>
        </is>
      </c>
      <c r="D5458" t="n">
        <v>32</v>
      </c>
      <c r="E5458">
        <f>IF(D4926&gt;0,VLOOKUP(OPERAC[[#This Row],[COD CART]],[1]!MatrizCortoLargoCyl[#All],3,0),"")</f>
        <v/>
      </c>
      <c r="F5458" t="inlineStr">
        <is>
          <t>DDD</t>
        </is>
      </c>
      <c r="G5458" t="n">
        <v>100</v>
      </c>
      <c r="H5458" t="n">
        <v>-1498.949</v>
      </c>
      <c r="I5458">
        <f>-H4926/G4926</f>
        <v/>
      </c>
    </row>
    <row r="5459">
      <c r="A5459" t="n">
        <v>19920</v>
      </c>
      <c r="B5459" s="16" t="n">
        <v>44649</v>
      </c>
      <c r="C5459" t="inlineStr">
        <is>
          <t>CPR</t>
        </is>
      </c>
      <c r="D5459" t="n">
        <v>32</v>
      </c>
      <c r="E5459">
        <f>IF(D6006&gt;0,VLOOKUP(OPERAC[[#This Row],[COD CART]],[1]!MatrizCortoLargoCyl[#All],3,0),"")</f>
        <v/>
      </c>
      <c r="F5459" t="inlineStr">
        <is>
          <t>EDIT/CYL/17,50/20-05-22</t>
        </is>
      </c>
      <c r="G5459" t="n">
        <v>200</v>
      </c>
      <c r="H5459" t="n">
        <v>-3323.804</v>
      </c>
      <c r="I5459">
        <f>-H6006/G6006</f>
        <v/>
      </c>
      <c r="J5459" s="16" t="n">
        <v>44692</v>
      </c>
      <c r="K5459" t="n">
        <v>200</v>
      </c>
      <c r="L5459" t="n">
        <v>2149.572</v>
      </c>
    </row>
    <row r="5460">
      <c r="A5460" t="n">
        <v>19920</v>
      </c>
      <c r="B5460" s="16" t="n">
        <v>44649</v>
      </c>
      <c r="C5460" t="inlineStr">
        <is>
          <t>VTA</t>
        </is>
      </c>
      <c r="D5460" t="n">
        <v>32</v>
      </c>
      <c r="E5460">
        <f>IF(D5441&gt;0,VLOOKUP(OPERAC[[#This Row],[COD CART]],[1]!MatrizCortoLargoCyl[#All],3,0),"")</f>
        <v/>
      </c>
      <c r="F5460" t="inlineStr">
        <is>
          <t>EDIT/CYL/20,00/29-04-22</t>
        </is>
      </c>
      <c r="G5460" t="n">
        <v>100</v>
      </c>
      <c r="H5460" t="n">
        <v>-1876.234</v>
      </c>
      <c r="I5460">
        <f>-H5441/G5441</f>
        <v/>
      </c>
      <c r="J5460" s="16" t="n">
        <v>44678</v>
      </c>
      <c r="K5460" t="n">
        <v>100</v>
      </c>
      <c r="L5460" t="n">
        <v>1357.562</v>
      </c>
    </row>
    <row r="5461">
      <c r="A5461" t="n">
        <v>19920</v>
      </c>
      <c r="B5461" s="16" t="n">
        <v>44662</v>
      </c>
      <c r="C5461" t="inlineStr">
        <is>
          <t>VTA</t>
        </is>
      </c>
      <c r="D5461" t="n">
        <v>42</v>
      </c>
      <c r="E5461">
        <f>IF(D5351&gt;0,VLOOKUP(OPERAC[[#This Row],[COD CART]],[1]!MatrizCortoLargoCyl[#All],3,0),"")</f>
        <v/>
      </c>
      <c r="F5461" t="inlineStr">
        <is>
          <t>HYDR</t>
        </is>
      </c>
      <c r="G5461" t="n">
        <v>95</v>
      </c>
      <c r="H5461" t="n">
        <v>-1764.18268</v>
      </c>
      <c r="I5461">
        <f>-H5351/G5351</f>
        <v/>
      </c>
      <c r="J5461" s="16" t="n">
        <v>44693</v>
      </c>
      <c r="K5461">
        <f>+OPERAC[[#This Row],[cantidad]]</f>
        <v/>
      </c>
      <c r="L5461">
        <f>+OPERAC[[#This Row],[cantidad venta]]*11.986</f>
        <v/>
      </c>
    </row>
    <row r="5462">
      <c r="A5462" t="n">
        <v>19920</v>
      </c>
      <c r="B5462" s="16" t="n">
        <v>44664</v>
      </c>
      <c r="C5462" t="inlineStr">
        <is>
          <t>CPR</t>
        </is>
      </c>
      <c r="D5462" t="n">
        <v>42</v>
      </c>
      <c r="E5462">
        <f>IF(D4906&gt;0,VLOOKUP(OPERAC[[#This Row],[COD CART]],[1]!MatrizCortoLargoCyl[#All],3,0),"")</f>
        <v/>
      </c>
      <c r="F5462" t="inlineStr">
        <is>
          <t>AMD</t>
        </is>
      </c>
      <c r="G5462" t="n">
        <v>15</v>
      </c>
      <c r="H5462" t="n">
        <v>-1481.55981795</v>
      </c>
      <c r="I5462">
        <f>-H4906/G4906</f>
        <v/>
      </c>
      <c r="J5462" s="16" t="n">
        <v>44693</v>
      </c>
      <c r="K5462">
        <f>+OPERAC[[#This Row],[cantidad]]</f>
        <v/>
      </c>
      <c r="L5462">
        <f>+OPERAC[[#This Row],[cantidad venta]]*85.26</f>
        <v/>
      </c>
    </row>
    <row r="5463">
      <c r="A5463" t="n">
        <v>19920</v>
      </c>
      <c r="B5463" s="16" t="n">
        <v>44664</v>
      </c>
      <c r="C5463" t="inlineStr">
        <is>
          <t>CPR</t>
        </is>
      </c>
      <c r="D5463" t="n">
        <v>42</v>
      </c>
      <c r="E5463">
        <f>IF(D5697&gt;0,VLOOKUP(OPERAC[[#This Row],[COD CART]],[1]!MatrizCortoLargoCyl[#All],3,0),"")</f>
        <v/>
      </c>
      <c r="F5463" t="inlineStr">
        <is>
          <t>PSQ</t>
        </is>
      </c>
      <c r="G5463" t="n">
        <v>200</v>
      </c>
      <c r="H5463" t="n">
        <v>-2486.5144362</v>
      </c>
      <c r="I5463">
        <f>-H5697/G5697</f>
        <v/>
      </c>
      <c r="J5463" s="16" t="n">
        <v>44680</v>
      </c>
      <c r="K5463">
        <f>+OPERAC[[#This Row],[cantidad]]</f>
        <v/>
      </c>
      <c r="L5463">
        <f>12.848*OPERAC[[#This Row],[cantidad venta]]</f>
        <v/>
      </c>
    </row>
    <row r="5464">
      <c r="A5464" t="n">
        <v>19920</v>
      </c>
      <c r="B5464" s="16" t="n">
        <v>44669</v>
      </c>
      <c r="C5464" t="inlineStr">
        <is>
          <t>VTA</t>
        </is>
      </c>
      <c r="D5464" t="n">
        <v>39</v>
      </c>
      <c r="E5464">
        <f>IF(D102&gt;0,VLOOKUP(OPERAC[[#This Row],[COD CART]],[1]!MatrizCortoLargoCyl[#All],3,0),"")</f>
        <v/>
      </c>
      <c r="F5464" t="inlineStr">
        <is>
          <t>UPST/V/80,00/22-04-22</t>
        </is>
      </c>
      <c r="G5464" t="n">
        <v>-800</v>
      </c>
      <c r="H5464" t="n">
        <v>3410.76</v>
      </c>
      <c r="I5464">
        <f>-H102/G102</f>
        <v/>
      </c>
      <c r="J5464" s="16" t="n">
        <v>44673</v>
      </c>
      <c r="K5464" t="n">
        <v>-800</v>
      </c>
      <c r="L5464" t="n">
        <v>-3146.52</v>
      </c>
    </row>
    <row r="5465">
      <c r="A5465" t="n">
        <v>19920</v>
      </c>
      <c r="B5465" s="16" t="n">
        <v>44671</v>
      </c>
      <c r="C5465" t="inlineStr">
        <is>
          <t>CPR</t>
        </is>
      </c>
      <c r="D5465" t="n">
        <v>42</v>
      </c>
      <c r="E5465">
        <f>IF(D3511&gt;0,VLOOKUP(OPERAC[[#This Row],[COD CART]],[1]!MatrizCortoLargoCyl[#All],3,0),"")</f>
        <v/>
      </c>
      <c r="F5465" t="inlineStr">
        <is>
          <t>NFLX</t>
        </is>
      </c>
      <c r="G5465" t="n">
        <v>3</v>
      </c>
      <c r="H5465" t="n">
        <v>-763.51518</v>
      </c>
      <c r="I5465">
        <f>-H3511/G3511</f>
        <v/>
      </c>
      <c r="J5465" s="16" t="n">
        <v>44693</v>
      </c>
      <c r="K5465">
        <f>+OPERAC[[#This Row],[cantidad]]</f>
        <v/>
      </c>
      <c r="L5465">
        <f>+OPERAC[[#This Row],[cantidad venta]]*169.089</f>
        <v/>
      </c>
    </row>
    <row r="5466">
      <c r="A5466" t="n">
        <v>19920</v>
      </c>
      <c r="B5466" s="16" t="n">
        <v>44672</v>
      </c>
      <c r="C5466" t="inlineStr">
        <is>
          <t>VTA</t>
        </is>
      </c>
      <c r="D5466" t="n">
        <v>39</v>
      </c>
      <c r="E5466">
        <f>IF(D271&gt;0,VLOOKUP(OPERAC[[#This Row],[COD CART]],[1]!MatrizCortoLargoCyl[#All],3,0),"")</f>
        <v/>
      </c>
      <c r="F5466" t="inlineStr">
        <is>
          <t>UPST/V/75,00/22-04-22</t>
        </is>
      </c>
      <c r="G5466" t="n">
        <v>-800</v>
      </c>
      <c r="H5466" t="n">
        <v>1665.72</v>
      </c>
      <c r="I5466">
        <f>-H271/G271</f>
        <v/>
      </c>
      <c r="J5466" s="16" t="n">
        <v>44673</v>
      </c>
      <c r="K5466" t="n">
        <v>-800</v>
      </c>
      <c r="L5466" t="n">
        <v>-1694.28</v>
      </c>
    </row>
    <row r="5467">
      <c r="A5467" t="n">
        <v>19920</v>
      </c>
      <c r="B5467" s="16" t="n">
        <v>44673</v>
      </c>
      <c r="C5467" t="inlineStr">
        <is>
          <t>VTA</t>
        </is>
      </c>
      <c r="D5467" t="n">
        <v>39</v>
      </c>
      <c r="E5467">
        <f>IF(D272&gt;0,VLOOKUP(OPERAC[[#This Row],[COD CART]],[1]!MatrizCortoLargoCyl[#All],3,0),"")</f>
        <v/>
      </c>
      <c r="F5467" t="inlineStr">
        <is>
          <t>UPST/V/70,00/29-04-22</t>
        </is>
      </c>
      <c r="G5467" t="n">
        <v>-800</v>
      </c>
      <c r="H5467" t="n">
        <v>1665.72</v>
      </c>
      <c r="I5467">
        <f>-H272/G272</f>
        <v/>
      </c>
      <c r="J5467" s="16" t="n">
        <v>44676</v>
      </c>
      <c r="K5467" t="n">
        <v>-800</v>
      </c>
      <c r="L5467" t="n">
        <v>-1064.976</v>
      </c>
    </row>
    <row r="5468">
      <c r="A5468" t="n">
        <v>19920</v>
      </c>
      <c r="B5468" s="16" t="n">
        <v>44673</v>
      </c>
      <c r="C5468" t="inlineStr">
        <is>
          <t>VTA</t>
        </is>
      </c>
      <c r="D5468" t="n">
        <v>39</v>
      </c>
      <c r="E5468">
        <f>IF(D294&gt;0,VLOOKUP(OPERAC[[#This Row],[COD CART]],[1]!MatrizCortoLargoCyl[#All],3,0),"")</f>
        <v/>
      </c>
      <c r="F5468" t="inlineStr">
        <is>
          <t>UPST/V/68,00/29-04-22</t>
        </is>
      </c>
      <c r="G5468" t="n">
        <v>-800</v>
      </c>
      <c r="H5468" t="n">
        <v>1586.4</v>
      </c>
      <c r="I5468">
        <f>-H294/G294</f>
        <v/>
      </c>
      <c r="J5468" s="16" t="n">
        <v>44679</v>
      </c>
      <c r="K5468">
        <f>+OPERAC[[#This Row],[cantidad]]</f>
        <v/>
      </c>
      <c r="L5468" t="n">
        <v>-403.4</v>
      </c>
    </row>
    <row r="5469">
      <c r="A5469" t="n">
        <v>19920</v>
      </c>
      <c r="B5469" s="16" t="n">
        <v>44676</v>
      </c>
      <c r="C5469" t="inlineStr">
        <is>
          <t>VTA</t>
        </is>
      </c>
      <c r="D5469" t="n">
        <v>39</v>
      </c>
      <c r="E5469">
        <f>IF(D413&gt;0,VLOOKUP(OPERAC[[#This Row],[COD CART]],[1]!MatrizCortoLargoCyl[#All],3,0),"")</f>
        <v/>
      </c>
      <c r="F5469" t="inlineStr">
        <is>
          <t>UPST/V/67,00/06-05-22</t>
        </is>
      </c>
      <c r="G5469" t="n">
        <v>-500</v>
      </c>
      <c r="H5469" t="n">
        <v>1115.4375</v>
      </c>
      <c r="I5469">
        <f>-H413/G413</f>
        <v/>
      </c>
      <c r="J5469" s="16" t="n">
        <v>44687</v>
      </c>
      <c r="K5469">
        <f>OPERAC[[#This Row],[cantidad]]</f>
        <v/>
      </c>
      <c r="L5469" t="n">
        <v>0</v>
      </c>
    </row>
    <row r="5470">
      <c r="A5470" t="n">
        <v>19920</v>
      </c>
      <c r="B5470" s="16" t="n">
        <v>44677</v>
      </c>
      <c r="C5470" t="inlineStr">
        <is>
          <t>CPR</t>
        </is>
      </c>
      <c r="D5470" t="n">
        <v>32</v>
      </c>
      <c r="E5470">
        <f>IF(D3541&gt;0,VLOOKUP(OPERAC[[#This Row],[COD CART]],[1]!MatrizCortoLargoCyl[#All],3,0),"")</f>
        <v/>
      </c>
      <c r="F5470" t="inlineStr">
        <is>
          <t>HMY</t>
        </is>
      </c>
      <c r="G5470" t="n">
        <v>200</v>
      </c>
      <c r="H5470">
        <f>-3.849*OPERAC[[#This Row],[cantidad]]</f>
        <v/>
      </c>
      <c r="I5470">
        <f>-H3541/G3541</f>
        <v/>
      </c>
    </row>
    <row r="5471">
      <c r="A5471" t="n">
        <v>19920</v>
      </c>
      <c r="B5471" s="16" t="n">
        <v>44680</v>
      </c>
      <c r="C5471" t="inlineStr">
        <is>
          <t>CPR</t>
        </is>
      </c>
      <c r="D5471" t="n">
        <v>42</v>
      </c>
      <c r="E5471">
        <f>IF(D5747&gt;0,VLOOKUP(OPERAC[[#This Row],[COD CART]],[1]!MatrizCortoLargoCyl[#All],3,0),"")</f>
        <v/>
      </c>
      <c r="F5471" t="inlineStr">
        <is>
          <t>XLP</t>
        </is>
      </c>
      <c r="G5471" t="n">
        <v>33</v>
      </c>
      <c r="H5471" t="n">
        <v>-2621.3385825</v>
      </c>
      <c r="I5471">
        <f>-H5747/G5747</f>
        <v/>
      </c>
      <c r="J5471" s="16" t="n">
        <v>44693</v>
      </c>
      <c r="K5471">
        <f>+OPERAC[[#This Row],[cantidad]]</f>
        <v/>
      </c>
      <c r="L5471">
        <f>+OPERAC[[#This Row],[cantidad venta]]*74.848</f>
        <v/>
      </c>
    </row>
    <row r="5472">
      <c r="A5472" t="n">
        <v>19920</v>
      </c>
      <c r="B5472" s="16" t="n">
        <v>44691</v>
      </c>
      <c r="C5472" t="inlineStr">
        <is>
          <t>CPR</t>
        </is>
      </c>
      <c r="D5472" t="n">
        <v>32</v>
      </c>
      <c r="E5472">
        <f>IF(D5996&gt;0,VLOOKUP(OPERAC[[#This Row],[COD CART]],[1]!MatrizCortoLargoCyl[#All],3,0),"")</f>
        <v/>
      </c>
      <c r="F5472" t="inlineStr">
        <is>
          <t>UPST</t>
        </is>
      </c>
      <c r="G5472" t="n">
        <v>100</v>
      </c>
      <c r="H5472" t="n">
        <v>-3321.11</v>
      </c>
      <c r="I5472">
        <f>-H5996/G5996</f>
        <v/>
      </c>
      <c r="J5472" s="16" t="n">
        <v>44701</v>
      </c>
      <c r="K5472" t="n">
        <v>100</v>
      </c>
      <c r="L5472" t="n">
        <v>4386.11</v>
      </c>
    </row>
    <row r="5473">
      <c r="A5473" t="n">
        <v>19920</v>
      </c>
      <c r="B5473" s="16" t="n">
        <v>44698</v>
      </c>
      <c r="C5473" t="inlineStr">
        <is>
          <t>CPR</t>
        </is>
      </c>
      <c r="D5473" t="n">
        <v>39</v>
      </c>
      <c r="E5473">
        <f>IF(D4604&gt;0,VLOOKUP(OPERAC[[#This Row],[COD CART]],[1]!MatrizCortoLargoCyl[#All],3,0),"")</f>
        <v/>
      </c>
      <c r="F5473" t="inlineStr">
        <is>
          <t>NTLA/C/65,00/15-07-22</t>
        </is>
      </c>
      <c r="G5473" t="n">
        <v>500</v>
      </c>
      <c r="H5473" t="n">
        <v>-1260.625</v>
      </c>
      <c r="I5473">
        <f>-H4604/G4604</f>
        <v/>
      </c>
    </row>
    <row r="5474">
      <c r="A5474" t="n">
        <v>19920</v>
      </c>
      <c r="B5474" s="16" t="n">
        <v>44707</v>
      </c>
      <c r="C5474" t="inlineStr">
        <is>
          <t>VTA</t>
        </is>
      </c>
      <c r="D5474" t="n">
        <v>43</v>
      </c>
      <c r="E5474">
        <f>IF(D5293&gt;0,VLOOKUP(OPERAC[[#This Row],[COD CART]],[1]!MatrizCortoLargoCyl[#All],3,0),"")</f>
        <v/>
      </c>
      <c r="F5474" t="inlineStr">
        <is>
          <t>SPWR/CYP/17,50-15,00/17-06-22</t>
        </is>
      </c>
      <c r="G5474" t="n">
        <v>100</v>
      </c>
      <c r="H5474" t="n">
        <v>-1717.027</v>
      </c>
      <c r="I5474">
        <f>-H5293/G5293</f>
        <v/>
      </c>
    </row>
    <row r="5475">
      <c r="A5475" t="n">
        <v>19920</v>
      </c>
      <c r="B5475" s="16" t="n">
        <v>44708</v>
      </c>
      <c r="C5475" t="inlineStr">
        <is>
          <t>CPR</t>
        </is>
      </c>
      <c r="D5475" t="n">
        <v>32</v>
      </c>
      <c r="E5475">
        <f>IF(D4352&gt;0,VLOOKUP(OPERAC[[#This Row],[COD CART]],[1]!MatrizCortoLargoCyl[#All],3,0),"")</f>
        <v/>
      </c>
      <c r="F5475" t="inlineStr">
        <is>
          <t>AMC/CYL/11,00/03-06-22</t>
        </is>
      </c>
      <c r="G5475" t="n">
        <v>100</v>
      </c>
      <c r="H5475" t="n">
        <v>-1071.908</v>
      </c>
      <c r="I5475">
        <f>-H4352/G4352</f>
        <v/>
      </c>
      <c r="J5475" s="16" t="n">
        <v>44715</v>
      </c>
      <c r="K5475">
        <f>+OPERAC[[#This Row],[cantidad]]</f>
        <v/>
      </c>
      <c r="L5475">
        <f>+OPERAC[[#This Row],[cantidad venta]]*10.951</f>
        <v/>
      </c>
    </row>
    <row r="5476">
      <c r="A5476" t="n">
        <v>19920</v>
      </c>
      <c r="B5476" s="16" t="n">
        <v>44712</v>
      </c>
      <c r="C5476" t="inlineStr">
        <is>
          <t>CPR</t>
        </is>
      </c>
      <c r="D5476" t="n">
        <v>32</v>
      </c>
      <c r="E5476">
        <f>IF(D6025&gt;0,VLOOKUP(OPERAC[[#This Row],[COD CART]],[1]!MatrizCortoLargoCyl[#All],3,0),"")</f>
        <v/>
      </c>
      <c r="F5476" t="inlineStr">
        <is>
          <t>CRESY/CYL/7,50/17-06-22</t>
        </is>
      </c>
      <c r="G5476" t="n">
        <v>500</v>
      </c>
      <c r="H5476" t="n">
        <v>-3465.37</v>
      </c>
      <c r="I5476">
        <f>-H6025/G6025</f>
        <v/>
      </c>
    </row>
    <row r="5477">
      <c r="A5477" t="n">
        <v>19920</v>
      </c>
      <c r="B5477" s="16" t="n">
        <v>44718</v>
      </c>
      <c r="C5477" t="inlineStr">
        <is>
          <t>CPR</t>
        </is>
      </c>
      <c r="D5477" t="n">
        <v>42</v>
      </c>
      <c r="E5477">
        <f>IF(D5949&gt;0,VLOOKUP(OPERAC[[#This Row],[COD CART]],[1]!MatrizCortoLargoCyl[#All],3,0),"")</f>
        <v/>
      </c>
      <c r="F5477" t="inlineStr">
        <is>
          <t>KWEB</t>
        </is>
      </c>
      <c r="G5477" t="n">
        <v>100</v>
      </c>
      <c r="H5477" t="n">
        <v>-3108.3388</v>
      </c>
      <c r="I5477">
        <f>-H5949/G5949</f>
        <v/>
      </c>
    </row>
    <row r="5478">
      <c r="A5478" t="n">
        <v>19931</v>
      </c>
      <c r="B5478" s="16" t="n">
        <v>44511</v>
      </c>
      <c r="C5478" t="inlineStr">
        <is>
          <t>VTA</t>
        </is>
      </c>
      <c r="D5478" t="n">
        <v>31</v>
      </c>
      <c r="E5478">
        <f>IF(D1357&gt;0,VLOOKUP(OPERAC[[#This Row],[COD CART]],[1]!MatrizCortoLargoCyl[#All],3,0),"")</f>
        <v/>
      </c>
      <c r="F5478" t="inlineStr">
        <is>
          <t>IPIX</t>
        </is>
      </c>
      <c r="G5478" t="n">
        <v>1000</v>
      </c>
      <c r="H5478" t="n">
        <v>-109.99</v>
      </c>
      <c r="I5478">
        <f>-H1357/G1357</f>
        <v/>
      </c>
    </row>
    <row r="5479">
      <c r="A5479" t="n">
        <v>19931</v>
      </c>
      <c r="B5479" s="16" t="n">
        <v>44547</v>
      </c>
      <c r="C5479" t="inlineStr">
        <is>
          <t>VTA</t>
        </is>
      </c>
      <c r="D5479" t="n">
        <v>39</v>
      </c>
      <c r="E5479">
        <f>IF(D637&gt;0,VLOOKUP(OPERAC[[#This Row],[COD CART]],[1]!MatrizCortoLargoCyl[#All],3,0),"")</f>
        <v/>
      </c>
      <c r="F5479" t="inlineStr">
        <is>
          <t>TLRY/V/8,00/18-02-22</t>
        </is>
      </c>
      <c r="G5479" t="n">
        <v>-400</v>
      </c>
      <c r="H5479" t="n">
        <v>553.5164</v>
      </c>
      <c r="I5479">
        <f>-H637/G637</f>
        <v/>
      </c>
      <c r="J5479" s="16" t="n">
        <v>44601</v>
      </c>
      <c r="K5479" t="n">
        <v>-400</v>
      </c>
      <c r="L5479">
        <f>1.38*OPERAC[[#This Row],[cantidad venta]]</f>
        <v/>
      </c>
    </row>
    <row r="5480">
      <c r="A5480" t="n">
        <v>19931</v>
      </c>
      <c r="B5480" s="16" t="n">
        <v>44552</v>
      </c>
      <c r="C5480" t="inlineStr">
        <is>
          <t>CPR</t>
        </is>
      </c>
      <c r="D5480" t="n">
        <v>40</v>
      </c>
      <c r="E5480">
        <f>IF(D4102&gt;0,VLOOKUP(OPERAC[[#This Row],[COD CART]],[1]!MatrizCortoLargoCyl[#All],3,0),"")</f>
        <v/>
      </c>
      <c r="F5480" t="inlineStr">
        <is>
          <t>DESP</t>
        </is>
      </c>
      <c r="G5480" t="n">
        <v>100</v>
      </c>
      <c r="H5480" t="n">
        <v>-943.272</v>
      </c>
      <c r="I5480">
        <f>-H4102/G4102</f>
        <v/>
      </c>
      <c r="J5480" s="16" t="n">
        <v>44585</v>
      </c>
      <c r="K5480" t="n">
        <v>100</v>
      </c>
      <c r="L5480" t="n">
        <v>979.58</v>
      </c>
    </row>
    <row r="5481">
      <c r="A5481" t="n">
        <v>19931</v>
      </c>
      <c r="B5481" s="16" t="n">
        <v>44552</v>
      </c>
      <c r="C5481" t="inlineStr">
        <is>
          <t>VTA</t>
        </is>
      </c>
      <c r="D5481" t="n">
        <v>32</v>
      </c>
      <c r="E5481">
        <f>IF(D2246&gt;0,VLOOKUP(OPERAC[[#This Row],[COD CART]],[1]!MatrizCortoLargoCyl[#All],3,0),"")</f>
        <v/>
      </c>
      <c r="F5481" t="inlineStr">
        <is>
          <t>HMY/CYL/4,00/21-01-22</t>
        </is>
      </c>
      <c r="G5481" t="n">
        <v>100</v>
      </c>
      <c r="H5481">
        <f>-3.8*OPERAC[[#This Row],[cantidad]]</f>
        <v/>
      </c>
      <c r="I5481">
        <f>-H2246/G2246</f>
        <v/>
      </c>
      <c r="J5481" s="16" t="n">
        <v>44580</v>
      </c>
      <c r="K5481" t="n">
        <v>100</v>
      </c>
      <c r="L5481" t="n">
        <v>393.93</v>
      </c>
    </row>
    <row r="5482">
      <c r="A5482" t="n">
        <v>19931</v>
      </c>
      <c r="B5482" s="16" t="n">
        <v>44586</v>
      </c>
      <c r="C5482" t="inlineStr">
        <is>
          <t>VTA</t>
        </is>
      </c>
      <c r="D5482" t="n">
        <v>43</v>
      </c>
      <c r="E5482">
        <f>IF(D5350&gt;0,VLOOKUP(OPERAC[[#This Row],[COD CART]],[1]!MatrizCortoLargoCyl[#All],3,0),"")</f>
        <v/>
      </c>
      <c r="F5482" t="inlineStr">
        <is>
          <t>GMBL</t>
        </is>
      </c>
      <c r="G5482">
        <f>500+500</f>
        <v/>
      </c>
      <c r="H5482">
        <f>-508.0223-1255</f>
        <v/>
      </c>
      <c r="I5482">
        <f>-H5350/G5350</f>
        <v/>
      </c>
      <c r="J5482" s="16" t="n">
        <v>44722</v>
      </c>
      <c r="K5482" t="n">
        <v>1000</v>
      </c>
      <c r="L5482" t="n">
        <v>462.931</v>
      </c>
    </row>
    <row r="5483">
      <c r="A5483" t="n">
        <v>19931</v>
      </c>
      <c r="B5483" s="16" t="n">
        <v>44601</v>
      </c>
      <c r="C5483" t="inlineStr">
        <is>
          <t>VTA</t>
        </is>
      </c>
      <c r="D5483" t="n">
        <v>39</v>
      </c>
      <c r="E5483">
        <f>IF(D597&gt;0,VLOOKUP(OPERAC[[#This Row],[COD CART]],[1]!MatrizCortoLargoCyl[#All],3,0),"")</f>
        <v/>
      </c>
      <c r="F5483" t="inlineStr">
        <is>
          <t>ACB/V/5,00/16-09-22</t>
        </is>
      </c>
      <c r="G5483" t="n">
        <v>-400</v>
      </c>
      <c r="H5483">
        <f>-1.56*OPERAC[[#This Row],[cantidad]]</f>
        <v/>
      </c>
      <c r="I5483">
        <f>-H597/G597</f>
        <v/>
      </c>
      <c r="J5483" s="16" t="n">
        <v>44615</v>
      </c>
      <c r="K5483" t="n">
        <v>-400</v>
      </c>
      <c r="L5483" t="n">
        <v>-708.4</v>
      </c>
    </row>
    <row r="5484">
      <c r="A5484" t="n">
        <v>19931</v>
      </c>
      <c r="B5484" s="16" t="n">
        <v>44609</v>
      </c>
      <c r="C5484" t="inlineStr">
        <is>
          <t>VTA</t>
        </is>
      </c>
      <c r="D5484" t="n">
        <v>32</v>
      </c>
      <c r="E5484">
        <f>IF(D3883&gt;0,VLOOKUP(OPERAC[[#This Row],[COD CART]],[1]!MatrizCortoLargoCyl[#All],3,0),"")</f>
        <v/>
      </c>
      <c r="F5484" t="inlineStr">
        <is>
          <t>HIMX/CYL/9,00/18-03-22</t>
        </is>
      </c>
      <c r="G5484" t="n">
        <v>100</v>
      </c>
      <c r="H5484" t="n">
        <v>-869.5839999999999</v>
      </c>
      <c r="I5484">
        <f>-H3883/G3883</f>
        <v/>
      </c>
      <c r="J5484" s="16" t="n">
        <v>44622</v>
      </c>
      <c r="K5484">
        <f>+OPERAC[[#This Row],[cantidad]]</f>
        <v/>
      </c>
      <c r="L5484" t="n">
        <v>883.576</v>
      </c>
    </row>
    <row r="5485">
      <c r="A5485" t="n">
        <v>19931</v>
      </c>
      <c r="B5485" s="16" t="n">
        <v>44629</v>
      </c>
      <c r="C5485" t="inlineStr">
        <is>
          <t>VTA</t>
        </is>
      </c>
      <c r="D5485" t="n">
        <v>31</v>
      </c>
      <c r="E5485">
        <f>IF(D1735&gt;0,VLOOKUP(OPERAC[[#This Row],[COD CART]],[1]!MatrizCortoLargoCyl[#All],3,0),"")</f>
        <v/>
      </c>
      <c r="F5485" t="inlineStr">
        <is>
          <t>GGAL</t>
        </is>
      </c>
      <c r="G5485" t="n">
        <v>25</v>
      </c>
      <c r="H5485" t="n">
        <v>-250.984</v>
      </c>
      <c r="I5485">
        <f>-H1735/G1735</f>
        <v/>
      </c>
      <c r="J5485" s="16" t="n">
        <v>44691</v>
      </c>
      <c r="K5485" t="n">
        <v>25</v>
      </c>
      <c r="L5485" t="n">
        <v>218.378</v>
      </c>
    </row>
    <row r="5486">
      <c r="A5486" t="n">
        <v>19931</v>
      </c>
      <c r="B5486" s="16" t="n">
        <v>44662</v>
      </c>
      <c r="C5486" t="inlineStr">
        <is>
          <t>VTA</t>
        </is>
      </c>
      <c r="D5486" t="n">
        <v>42</v>
      </c>
      <c r="E5486">
        <f>IF(D1309&gt;0,VLOOKUP(OPERAC[[#This Row],[COD CART]],[1]!MatrizCortoLargoCyl[#All],3,0),"")</f>
        <v/>
      </c>
      <c r="F5486" t="inlineStr">
        <is>
          <t>HYDR</t>
        </is>
      </c>
      <c r="G5486" t="n">
        <v>5</v>
      </c>
      <c r="H5486" t="n">
        <v>-92.85172000000001</v>
      </c>
      <c r="I5486">
        <f>-H1309/G1309</f>
        <v/>
      </c>
      <c r="J5486" s="16" t="n">
        <v>44691</v>
      </c>
      <c r="K5486" t="n">
        <v>5</v>
      </c>
      <c r="L5486" t="n">
        <v>63.803</v>
      </c>
    </row>
    <row r="5487">
      <c r="A5487" t="n">
        <v>19931</v>
      </c>
      <c r="B5487" s="16" t="n">
        <v>44691</v>
      </c>
      <c r="C5487" t="inlineStr">
        <is>
          <t>VTA</t>
        </is>
      </c>
      <c r="D5487" t="n">
        <v>41</v>
      </c>
      <c r="E5487">
        <f>IF(D1964&gt;0,VLOOKUP(OPERAC[[#This Row],[COD CART]],[1]!MatrizCortoLargoCyl[#All],3,0),"")</f>
        <v/>
      </c>
      <c r="F5487" t="inlineStr">
        <is>
          <t>QQQ</t>
        </is>
      </c>
      <c r="G5487" t="n">
        <v>1</v>
      </c>
      <c r="H5487" t="n">
        <v>-303.105</v>
      </c>
      <c r="I5487">
        <f>-H1964/G1964</f>
        <v/>
      </c>
      <c r="J5487" s="16" t="n">
        <v>44713</v>
      </c>
      <c r="K5487" t="n">
        <v>1</v>
      </c>
      <c r="L5487" t="n">
        <v>305.461</v>
      </c>
    </row>
    <row r="5488">
      <c r="A5488" t="n">
        <v>19931</v>
      </c>
      <c r="B5488" s="16" t="n">
        <v>44714</v>
      </c>
      <c r="C5488" t="inlineStr">
        <is>
          <t>VTA</t>
        </is>
      </c>
      <c r="D5488" t="n">
        <v>39</v>
      </c>
      <c r="E5488">
        <f>IF(D343&gt;0,VLOOKUP(OPERAC[[#This Row],[COD CART]],[1]!MatrizCortoLargoCyl[#All],3,0),"")</f>
        <v/>
      </c>
      <c r="F5488" t="inlineStr">
        <is>
          <t>TSLA/C/850,00/03-06-22</t>
        </is>
      </c>
      <c r="G5488" t="n">
        <v>-1000</v>
      </c>
      <c r="H5488" t="n">
        <v>1318.695</v>
      </c>
      <c r="I5488">
        <f>-H343/G343</f>
        <v/>
      </c>
      <c r="J5488" s="16" t="n">
        <v>44715</v>
      </c>
      <c r="K5488">
        <f>+OPERAC[[#This Row],[cantidad]]</f>
        <v/>
      </c>
      <c r="L5488" t="n">
        <v>0</v>
      </c>
    </row>
    <row r="5489">
      <c r="A5489" t="n">
        <v>19931</v>
      </c>
      <c r="B5489" s="16" t="n">
        <v>44714</v>
      </c>
      <c r="C5489" t="inlineStr">
        <is>
          <t>VTA</t>
        </is>
      </c>
      <c r="D5489" t="n">
        <v>39</v>
      </c>
      <c r="E5489">
        <f>IF(D818&gt;0,VLOOKUP(OPERAC[[#This Row],[COD CART]],[1]!MatrizCortoLargoCyl[#All],3,0),"")</f>
        <v/>
      </c>
      <c r="F5489" t="inlineStr">
        <is>
          <t>TSLA/C/870,00/03-06-22</t>
        </is>
      </c>
      <c r="G5489" t="n">
        <v>-1000</v>
      </c>
      <c r="H5489" t="n">
        <v>228.045</v>
      </c>
      <c r="I5489">
        <f>-H818/G818</f>
        <v/>
      </c>
      <c r="J5489" s="16" t="n">
        <v>44715</v>
      </c>
      <c r="K5489">
        <f>+OPERAC[[#This Row],[cantidad]]</f>
        <v/>
      </c>
      <c r="L5489" t="n">
        <v>0</v>
      </c>
    </row>
    <row r="5490">
      <c r="A5490" t="n">
        <v>19931</v>
      </c>
      <c r="B5490" s="16" t="n">
        <v>44714</v>
      </c>
      <c r="C5490" t="inlineStr">
        <is>
          <t>VTA</t>
        </is>
      </c>
      <c r="D5490" t="n">
        <v>39</v>
      </c>
      <c r="E5490">
        <f>IF(D881&gt;0,VLOOKUP(OPERAC[[#This Row],[COD CART]],[1]!MatrizCortoLargoCyl[#All],3,0),"")</f>
        <v/>
      </c>
      <c r="F5490" t="inlineStr">
        <is>
          <t>TSLA/V/660,00/03-06-22</t>
        </is>
      </c>
      <c r="G5490" t="n">
        <v>-1000</v>
      </c>
      <c r="H5490" t="n">
        <v>190.368</v>
      </c>
      <c r="I5490">
        <f>-H881/G881</f>
        <v/>
      </c>
      <c r="J5490" s="16" t="n">
        <v>44715</v>
      </c>
      <c r="K5490">
        <f>+OPERAC[[#This Row],[cantidad]]</f>
        <v/>
      </c>
      <c r="L5490" t="n">
        <v>-93.79000000000001</v>
      </c>
    </row>
    <row r="5491">
      <c r="A5491" t="n">
        <v>19931</v>
      </c>
      <c r="B5491" s="16" t="n">
        <v>44722</v>
      </c>
      <c r="C5491" t="inlineStr">
        <is>
          <t>CPR</t>
        </is>
      </c>
      <c r="D5491" t="n">
        <v>40</v>
      </c>
      <c r="E5491">
        <f>IF(D3311&gt;0,VLOOKUP(OPERAC[[#This Row],[COD CART]],[1]!MatrizCortoLargoCyl[#All],3,0),"")</f>
        <v/>
      </c>
      <c r="F5491" t="inlineStr">
        <is>
          <t>BIOX</t>
        </is>
      </c>
      <c r="G5491" t="n">
        <v>50</v>
      </c>
      <c r="H5491" t="n">
        <v>-688.30125</v>
      </c>
      <c r="I5491">
        <f>-H3311/G3311</f>
        <v/>
      </c>
    </row>
    <row r="5492">
      <c r="A5492" t="n">
        <v>19931</v>
      </c>
      <c r="B5492" s="16" t="n">
        <v>44722</v>
      </c>
      <c r="C5492" t="inlineStr">
        <is>
          <t>CPR</t>
        </is>
      </c>
      <c r="D5492" t="n">
        <v>40</v>
      </c>
      <c r="E5492">
        <f>IF(D3357&gt;0,VLOOKUP(OPERAC[[#This Row],[COD CART]],[1]!MatrizCortoLargoCyl[#All],3,0),"")</f>
        <v/>
      </c>
      <c r="F5492" t="inlineStr">
        <is>
          <t>MELI</t>
        </is>
      </c>
      <c r="G5492" t="n">
        <v>1</v>
      </c>
      <c r="H5492" t="n">
        <v>-698.981265</v>
      </c>
      <c r="I5492">
        <f>-H3357/G3357</f>
        <v/>
      </c>
    </row>
    <row r="5493">
      <c r="A5493" t="n">
        <v>19932</v>
      </c>
      <c r="B5493" s="16" t="n">
        <v>44053</v>
      </c>
      <c r="C5493" t="inlineStr">
        <is>
          <t>CPR</t>
        </is>
      </c>
      <c r="D5493" t="n">
        <v>31</v>
      </c>
      <c r="E5493">
        <f>IF(D6070&gt;0,VLOOKUP(OPERAC[[#This Row],[COD CART]],[1]!MatrizCortoLargoCyl[#All],3,0),"")</f>
        <v/>
      </c>
      <c r="F5493" t="inlineStr">
        <is>
          <t>GLD</t>
        </is>
      </c>
      <c r="G5493" t="n">
        <v>20</v>
      </c>
      <c r="H5493" t="n">
        <v>-3847.4344</v>
      </c>
      <c r="I5493" t="n">
        <v>192.37172</v>
      </c>
    </row>
    <row r="5494">
      <c r="A5494" t="n">
        <v>19932</v>
      </c>
      <c r="B5494" s="16" t="n">
        <v>44256</v>
      </c>
      <c r="C5494" t="inlineStr">
        <is>
          <t>VTA</t>
        </is>
      </c>
      <c r="D5494" t="n">
        <v>39</v>
      </c>
      <c r="E5494">
        <f>IF(D1188&gt;0,VLOOKUP(OPERAC[[#This Row],[COD CART]],[1]!MatrizCortoLargoCyl[#All],3,0),"")</f>
        <v/>
      </c>
      <c r="F5494" t="inlineStr">
        <is>
          <t>TLRY1/V/10,00/20-01-23</t>
        </is>
      </c>
      <c r="G5494" t="n">
        <v>-10</v>
      </c>
      <c r="H5494" t="n">
        <v>10</v>
      </c>
      <c r="I5494">
        <f>-H1188/G1188</f>
        <v/>
      </c>
      <c r="J5494" s="16" t="n">
        <v>44629</v>
      </c>
      <c r="K5494" t="n">
        <v>-10</v>
      </c>
      <c r="L5494" t="n">
        <v>-62.5659</v>
      </c>
    </row>
    <row r="5495">
      <c r="A5495" t="n">
        <v>19932</v>
      </c>
      <c r="B5495" s="16" t="n">
        <v>44340</v>
      </c>
      <c r="C5495" t="inlineStr">
        <is>
          <t>VTA</t>
        </is>
      </c>
      <c r="D5495" t="n">
        <v>39</v>
      </c>
      <c r="E5495">
        <f>IF(D598&gt;0,VLOOKUP(OPERAC[[#This Row],[COD CART]],[1]!MatrizCortoLargoCyl[#All],3,0),"")</f>
        <v/>
      </c>
      <c r="F5495" t="inlineStr">
        <is>
          <t>SOLO/V/3,50/21-01-22</t>
        </is>
      </c>
      <c r="G5495" t="n">
        <v>-600</v>
      </c>
      <c r="H5495" t="n">
        <v>622.5129999999999</v>
      </c>
      <c r="I5495">
        <f>-H598/G598</f>
        <v/>
      </c>
      <c r="J5495" s="16" t="n">
        <v>44579</v>
      </c>
      <c r="K5495">
        <f>+OPERAC[[#This Row],[cantidad]]</f>
        <v/>
      </c>
      <c r="L5495">
        <f>-OPERAC[[#This Row],[importe]]</f>
        <v/>
      </c>
    </row>
    <row r="5496">
      <c r="A5496" t="n">
        <v>19932</v>
      </c>
      <c r="B5496" s="16" t="n">
        <v>44432</v>
      </c>
      <c r="C5496" t="inlineStr">
        <is>
          <t>VTA</t>
        </is>
      </c>
      <c r="D5496" t="n">
        <v>39</v>
      </c>
      <c r="E5496">
        <f>IF(D1089&gt;0,VLOOKUP(OPERAC[[#This Row],[COD CART]],[1]!MatrizCortoLargoCyl[#All],3,0),"")</f>
        <v/>
      </c>
      <c r="F5496" t="inlineStr">
        <is>
          <t>INO/V/8,00/20-01-23</t>
        </is>
      </c>
      <c r="G5496" t="n">
        <v>-10</v>
      </c>
      <c r="H5496" t="n">
        <v>27.47</v>
      </c>
      <c r="I5496">
        <f>-H1089/G1089</f>
        <v/>
      </c>
    </row>
    <row r="5497">
      <c r="A5497" t="n">
        <v>19932</v>
      </c>
      <c r="B5497" s="16" t="n">
        <v>44461</v>
      </c>
      <c r="C5497" t="inlineStr">
        <is>
          <t>CPR</t>
        </is>
      </c>
      <c r="D5497" t="n">
        <v>40</v>
      </c>
      <c r="E5497">
        <f>IF(D4298&gt;0,VLOOKUP(OPERAC[[#This Row],[COD CART]],[1]!MatrizCortoLargoCyl[#All],3,0),"")</f>
        <v/>
      </c>
      <c r="F5497" t="inlineStr">
        <is>
          <t>EDU</t>
        </is>
      </c>
      <c r="G5497" t="n">
        <v>1000</v>
      </c>
      <c r="H5497">
        <f>-1.0864*OPERAC[[#This Row],[cantidad]]+0.04*OPERAC[[#This Row],[cantidad]]</f>
        <v/>
      </c>
      <c r="I5497">
        <f>-H4298/G4298</f>
        <v/>
      </c>
      <c r="J5497" s="16" t="n">
        <v>44629</v>
      </c>
      <c r="K5497" t="n">
        <v>1000</v>
      </c>
      <c r="L5497">
        <f>+OPERAC[[#This Row],[cantidad venta]]*1.259</f>
        <v/>
      </c>
    </row>
    <row r="5498">
      <c r="A5498" t="n">
        <v>19932</v>
      </c>
      <c r="B5498" s="16" t="n">
        <v>44466</v>
      </c>
      <c r="C5498" t="inlineStr">
        <is>
          <t>VTA</t>
        </is>
      </c>
      <c r="D5498" t="n">
        <v>43</v>
      </c>
      <c r="E5498">
        <f>IF(D2343&gt;0,VLOOKUP(OPERAC[[#This Row],[COD CART]],[1]!MatrizCortoLargoCyl[#All],3,0),"")</f>
        <v/>
      </c>
      <c r="F5498" t="inlineStr">
        <is>
          <t>SOLO/CYL-PUT/4,00/16-09-22</t>
        </is>
      </c>
      <c r="G5498" t="n">
        <v>200</v>
      </c>
      <c r="H5498">
        <f>-594.83454+0.32*OPERAC[[#This Row],[cantidad]]+0.387*OPERAC[[#This Row],[cantidad]]+0.22*OPERAC[[#This Row],[cantidad]]</f>
        <v/>
      </c>
      <c r="I5498">
        <f>-H2343/G2343</f>
        <v/>
      </c>
    </row>
    <row r="5499">
      <c r="A5499" t="n">
        <v>19932</v>
      </c>
      <c r="B5499" s="16" t="n">
        <v>44469</v>
      </c>
      <c r="C5499" t="inlineStr">
        <is>
          <t>VTA</t>
        </is>
      </c>
      <c r="D5499" t="n">
        <v>39</v>
      </c>
      <c r="E5499">
        <f>IF(D808&gt;0,VLOOKUP(OPERAC[[#This Row],[COD CART]],[1]!MatrizCortoLargoCyl[#All],3,0),"")</f>
        <v/>
      </c>
      <c r="F5499" t="inlineStr">
        <is>
          <t>ACB/V/6,00/21-01-22</t>
        </is>
      </c>
      <c r="G5499" t="n">
        <v>-300</v>
      </c>
      <c r="H5499">
        <f>255.207-0.5*OPERAC[[#This Row],[cantidad]]+0.51*OPERAC[[#This Row],[cantidad]]</f>
        <v/>
      </c>
      <c r="I5499">
        <f>-H808/G808</f>
        <v/>
      </c>
      <c r="J5499" s="16" t="n">
        <v>44581</v>
      </c>
      <c r="K5499">
        <f>+OPERAC[[#This Row],[cantidad]]</f>
        <v/>
      </c>
      <c r="L5499">
        <f>-OPERAC[[#This Row],[importe]]</f>
        <v/>
      </c>
    </row>
    <row r="5500">
      <c r="A5500" t="n">
        <v>19932</v>
      </c>
      <c r="B5500" s="16" t="n">
        <v>44474</v>
      </c>
      <c r="C5500" t="inlineStr">
        <is>
          <t>VTA</t>
        </is>
      </c>
      <c r="D5500" t="n">
        <v>39</v>
      </c>
      <c r="E5500">
        <f>IF(D861&gt;0,VLOOKUP(OPERAC[[#This Row],[COD CART]],[1]!MatrizCortoLargoCyl[#All],3,0),"")</f>
        <v/>
      </c>
      <c r="F5500" t="inlineStr">
        <is>
          <t>NKE/V/115,00/21-01-22</t>
        </is>
      </c>
      <c r="G5500" t="n">
        <v>-200</v>
      </c>
      <c r="H5500" t="n">
        <v>199.914</v>
      </c>
      <c r="I5500">
        <f>-H861/G861</f>
        <v/>
      </c>
      <c r="J5500" s="16" t="n">
        <v>44582</v>
      </c>
      <c r="K5500">
        <f>+OPERAC[[#This Row],[cantidad]]</f>
        <v/>
      </c>
      <c r="L5500" t="n">
        <v>0</v>
      </c>
    </row>
    <row r="5501">
      <c r="A5501" t="n">
        <v>19932</v>
      </c>
      <c r="B5501" s="16" t="n">
        <v>44489</v>
      </c>
      <c r="C5501" t="inlineStr">
        <is>
          <t>CPR</t>
        </is>
      </c>
      <c r="D5501" t="n">
        <v>43</v>
      </c>
      <c r="E5501">
        <f>IF(D5672&gt;0,VLOOKUP(OPERAC[[#This Row],[COD CART]],[1]!MatrizCortoLargoCyl[#All],3,0),"")</f>
        <v/>
      </c>
      <c r="F5501" t="inlineStr">
        <is>
          <t>SESN/CYL-PUT/1,00/19-01-24</t>
        </is>
      </c>
      <c r="G5501" t="n">
        <v>13000</v>
      </c>
      <c r="H5501">
        <f>-0.1885*OPERAC[[#This Row],[cantidad]]</f>
        <v/>
      </c>
      <c r="I5501">
        <f>-H5672/G5672</f>
        <v/>
      </c>
      <c r="J5501" s="16" t="n">
        <v>44629</v>
      </c>
      <c r="K5501" t="n">
        <v>10000</v>
      </c>
      <c r="L5501">
        <f>6482.28-2031.71</f>
        <v/>
      </c>
    </row>
    <row r="5502">
      <c r="A5502" t="n">
        <v>19932</v>
      </c>
      <c r="B5502" s="16" t="n">
        <v>44523</v>
      </c>
      <c r="C5502" t="inlineStr">
        <is>
          <t>VTA</t>
        </is>
      </c>
      <c r="D5502" t="n">
        <v>32</v>
      </c>
      <c r="E5502">
        <f>IF(D2303&gt;0,VLOOKUP(OPERAC[[#This Row],[COD CART]],[1]!MatrizCortoLargoCyl[#All],3,0),"")</f>
        <v/>
      </c>
      <c r="F5502" t="inlineStr">
        <is>
          <t>GMBL</t>
        </is>
      </c>
      <c r="G5502" t="n">
        <v>100</v>
      </c>
      <c r="H5502">
        <f>-411.931+9.67</f>
        <v/>
      </c>
      <c r="I5502">
        <f>-H2303/G2303</f>
        <v/>
      </c>
      <c r="J5502" s="16" t="n">
        <v>44705</v>
      </c>
      <c r="K5502" t="n">
        <v>100</v>
      </c>
      <c r="L5502" t="n">
        <v>38.222</v>
      </c>
    </row>
    <row r="5503">
      <c r="A5503" t="n">
        <v>19932</v>
      </c>
      <c r="B5503" s="16" t="n">
        <v>44523</v>
      </c>
      <c r="C5503" t="inlineStr">
        <is>
          <t>VTA</t>
        </is>
      </c>
      <c r="D5503" t="n">
        <v>40</v>
      </c>
      <c r="E5503">
        <f>IF(D3908&gt;0,VLOOKUP(OPERAC[[#This Row],[COD CART]],[1]!MatrizCortoLargoCyl[#All],3,0),"")</f>
        <v/>
      </c>
      <c r="F5503" t="inlineStr">
        <is>
          <t>EDU</t>
        </is>
      </c>
      <c r="G5503" t="n">
        <v>500</v>
      </c>
      <c r="H5503">
        <f>-889.745+0.026*OPERAC[[#This Row],[cantidad]]</f>
        <v/>
      </c>
      <c r="I5503">
        <f>-H3908/G3908</f>
        <v/>
      </c>
      <c r="J5503" s="16" t="n">
        <v>44629</v>
      </c>
      <c r="K5503" t="n">
        <v>500</v>
      </c>
      <c r="L5503">
        <f>+OPERAC[[#This Row],[cantidad venta]]*1.259</f>
        <v/>
      </c>
    </row>
    <row r="5504">
      <c r="A5504" t="n">
        <v>19932</v>
      </c>
      <c r="B5504" s="16" t="n">
        <v>44532</v>
      </c>
      <c r="C5504" t="inlineStr">
        <is>
          <t>VTA</t>
        </is>
      </c>
      <c r="D5504" t="n">
        <v>32</v>
      </c>
      <c r="E5504">
        <f>IF(D3942&gt;0,VLOOKUP(OPERAC[[#This Row],[COD CART]],[1]!MatrizCortoLargoCyl[#All],3,0),"")</f>
        <v/>
      </c>
      <c r="F5504" t="inlineStr">
        <is>
          <t>COTY/CYL/10,00/18-02-22</t>
        </is>
      </c>
      <c r="G5504" t="n">
        <v>100</v>
      </c>
      <c r="H5504">
        <f>-901.599+20.838</f>
        <v/>
      </c>
      <c r="I5504">
        <f>-H3942/G3942</f>
        <v/>
      </c>
      <c r="J5504" s="16" t="n">
        <v>44608</v>
      </c>
      <c r="K5504">
        <f>+OPERAC[[#This Row],[cantidad]]</f>
        <v/>
      </c>
      <c r="L5504" t="n">
        <v>941.701</v>
      </c>
    </row>
    <row r="5505">
      <c r="A5505" t="n">
        <v>19932</v>
      </c>
      <c r="B5505" s="16" t="n">
        <v>44533</v>
      </c>
      <c r="C5505" t="inlineStr">
        <is>
          <t>CPR</t>
        </is>
      </c>
      <c r="D5505" t="n">
        <v>32</v>
      </c>
      <c r="E5505">
        <f>IF(D5795&gt;0,VLOOKUP(OPERAC[[#This Row],[COD CART]],[1]!MatrizCortoLargoCyl[#All],3,0),"")</f>
        <v/>
      </c>
      <c r="F5505" t="inlineStr">
        <is>
          <t>GMBL/CYL/5,00/21-01-22</t>
        </is>
      </c>
      <c r="G5505" t="n">
        <v>700</v>
      </c>
      <c r="H5505">
        <f>-3.83*OPERAC[[#This Row],[cantidad]]</f>
        <v/>
      </c>
      <c r="I5505">
        <f>-H5795/G5795</f>
        <v/>
      </c>
      <c r="J5505" s="16" t="n">
        <v>44581</v>
      </c>
      <c r="K5505" t="n">
        <v>700</v>
      </c>
      <c r="L5505" t="n">
        <v>2053.211</v>
      </c>
    </row>
    <row r="5506">
      <c r="A5506" t="n">
        <v>19932</v>
      </c>
      <c r="B5506" s="16" t="n">
        <v>44533</v>
      </c>
      <c r="C5506" t="inlineStr">
        <is>
          <t>CPR</t>
        </is>
      </c>
      <c r="D5506" t="n">
        <v>32</v>
      </c>
      <c r="E5506">
        <f>IF(D6185&gt;0,VLOOKUP(OPERAC[[#This Row],[COD CART]],[1]!MatrizCortoLargoCyl[#All],3,0),"")</f>
        <v/>
      </c>
      <c r="F5506" t="inlineStr">
        <is>
          <t>EDIT/CYL/30,00/17-06-22</t>
        </is>
      </c>
      <c r="G5506" t="n">
        <v>200</v>
      </c>
      <c r="H5506">
        <f>-26.42*OPERAC[[#This Row],[cantidad]]+9.904+39.68+19.83</f>
        <v/>
      </c>
      <c r="I5506">
        <f>-H6185/G6185</f>
        <v/>
      </c>
      <c r="J5506" s="16" t="n">
        <v>44692</v>
      </c>
      <c r="K5506" t="n">
        <v>200</v>
      </c>
      <c r="L5506" t="n">
        <v>2147.589</v>
      </c>
    </row>
    <row r="5507">
      <c r="A5507" t="n">
        <v>19932</v>
      </c>
      <c r="B5507" s="16" t="n">
        <v>44536</v>
      </c>
      <c r="C5507" t="inlineStr">
        <is>
          <t>CPR</t>
        </is>
      </c>
      <c r="D5507" t="n">
        <v>43</v>
      </c>
      <c r="E5507">
        <f>IF(D3243&gt;0,VLOOKUP(OPERAC[[#This Row],[COD CART]],[1]!MatrizCortoLargoCyl[#All],3,0),"")</f>
        <v/>
      </c>
      <c r="F5507" t="inlineStr">
        <is>
          <t>HEXO/CYL-PUT/1,00/20-01-23</t>
        </is>
      </c>
      <c r="G5507" t="n">
        <v>4000</v>
      </c>
      <c r="H5507">
        <f>-0.1671*OPERAC[[#This Row],[cantidad]]</f>
        <v/>
      </c>
      <c r="I5507">
        <f>-H3243/G3243</f>
        <v/>
      </c>
    </row>
    <row r="5508">
      <c r="A5508" t="n">
        <v>19932</v>
      </c>
      <c r="B5508" s="16" t="n">
        <v>44539</v>
      </c>
      <c r="C5508" t="inlineStr">
        <is>
          <t>CPR</t>
        </is>
      </c>
      <c r="D5508" t="n">
        <v>40</v>
      </c>
      <c r="E5508">
        <f>IF(D6073&gt;0,VLOOKUP(OPERAC[[#This Row],[COD CART]],[1]!MatrizCortoLargoCyl[#All],3,0),"")</f>
        <v/>
      </c>
      <c r="F5508" t="inlineStr">
        <is>
          <t>ROKU</t>
        </is>
      </c>
      <c r="G5508" t="n">
        <v>15</v>
      </c>
      <c r="H5508" t="n">
        <v>-3865.8054</v>
      </c>
      <c r="I5508">
        <f>-H6073/G6073</f>
        <v/>
      </c>
      <c r="J5508" s="16" t="n">
        <v>44606</v>
      </c>
      <c r="K5508">
        <f>+OPERAC[[#This Row],[cantidad]]</f>
        <v/>
      </c>
      <c r="L5508">
        <f>+OPERAC[[#This Row],[cantidad venta]]*160.574</f>
        <v/>
      </c>
    </row>
    <row r="5509">
      <c r="A5509" t="n">
        <v>19932</v>
      </c>
      <c r="B5509" s="16" t="n">
        <v>44544</v>
      </c>
      <c r="C5509" t="inlineStr">
        <is>
          <t>CPR</t>
        </is>
      </c>
      <c r="D5509" t="n">
        <v>32</v>
      </c>
      <c r="E5509">
        <f>IF(D4341&gt;0,VLOOKUP(OPERAC[[#This Row],[COD CART]],[1]!MatrizCortoLargoCyl[#All],3,0),"")</f>
        <v/>
      </c>
      <c r="F5509" t="inlineStr">
        <is>
          <t>HIMX/CYL/12,00/21-01-22</t>
        </is>
      </c>
      <c r="G5509" t="n">
        <v>100</v>
      </c>
      <c r="H5509" t="n">
        <v>-1064.662</v>
      </c>
      <c r="I5509">
        <f>-H4341/G4341</f>
        <v/>
      </c>
      <c r="J5509" s="16" t="n">
        <v>44575</v>
      </c>
      <c r="K5509" t="n">
        <v>100</v>
      </c>
      <c r="L5509" t="n">
        <v>1170.618</v>
      </c>
    </row>
    <row r="5510">
      <c r="A5510" t="n">
        <v>19932</v>
      </c>
      <c r="B5510" s="16" t="n">
        <v>44553</v>
      </c>
      <c r="C5510" t="inlineStr">
        <is>
          <t>CPR</t>
        </is>
      </c>
      <c r="D5510" t="n">
        <v>40</v>
      </c>
      <c r="E5510">
        <f>IF(D2595&gt;0,VLOOKUP(OPERAC[[#This Row],[COD CART]],[1]!MatrizCortoLargoCyl[#All],3,0),"")</f>
        <v/>
      </c>
      <c r="F5510" t="inlineStr">
        <is>
          <t>ON</t>
        </is>
      </c>
      <c r="G5510" t="n">
        <v>7</v>
      </c>
      <c r="H5510" t="n">
        <v>-469.7952559999999</v>
      </c>
      <c r="I5510">
        <f>-H2595/G2595</f>
        <v/>
      </c>
      <c r="J5510" s="16" t="n">
        <v>44606</v>
      </c>
      <c r="K5510">
        <f>+OPERAC[[#This Row],[cantidad]]</f>
        <v/>
      </c>
      <c r="L5510">
        <f>+OPERAC[[#This Row],[cantidad venta]]*58.449</f>
        <v/>
      </c>
    </row>
    <row r="5511">
      <c r="A5511" t="n">
        <v>19932</v>
      </c>
      <c r="B5511" s="16" t="n">
        <v>44558</v>
      </c>
      <c r="C5511" t="inlineStr">
        <is>
          <t>VTA</t>
        </is>
      </c>
      <c r="D5511" t="n">
        <v>40</v>
      </c>
      <c r="E5511">
        <f>IF(D2491&gt;0,VLOOKUP(OPERAC[[#This Row],[COD CART]],[1]!MatrizCortoLargoCyl[#All],3,0),"")</f>
        <v/>
      </c>
      <c r="F5511" t="inlineStr">
        <is>
          <t>UPST</t>
        </is>
      </c>
      <c r="G5511" t="n">
        <v>3</v>
      </c>
      <c r="H5511" t="n">
        <v>-451.8006</v>
      </c>
      <c r="I5511">
        <f>-H2491/G2491</f>
        <v/>
      </c>
      <c r="J5511" s="16" t="n">
        <v>44606</v>
      </c>
      <c r="K5511">
        <f>+OPERAC[[#This Row],[cantidad]]</f>
        <v/>
      </c>
      <c r="L5511">
        <f>+OPERAC[[#This Row],[cantidad venta]]*98.994</f>
        <v/>
      </c>
    </row>
    <row r="5512">
      <c r="A5512" t="n">
        <v>19932</v>
      </c>
      <c r="B5512" s="16" t="n">
        <v>44575</v>
      </c>
      <c r="C5512" t="inlineStr">
        <is>
          <t>CPR</t>
        </is>
      </c>
      <c r="D5512" t="n">
        <v>40</v>
      </c>
      <c r="E5512">
        <f>IF(D4018&gt;0,VLOOKUP(OPERAC[[#This Row],[COD CART]],[1]!MatrizCortoLargoCyl[#All],3,0),"")</f>
        <v/>
      </c>
      <c r="F5512" t="inlineStr">
        <is>
          <t>GBTC</t>
        </is>
      </c>
      <c r="G5512" t="n">
        <v>30</v>
      </c>
      <c r="H5512" t="n">
        <v>-924.2843999999999</v>
      </c>
      <c r="I5512">
        <f>-H4018/G4018</f>
        <v/>
      </c>
      <c r="J5512" s="16" t="n">
        <v>44651</v>
      </c>
      <c r="K5512">
        <f>+OPERAC[[#This Row],[cantidad]]</f>
        <v/>
      </c>
      <c r="L5512">
        <f>+OPERAC[[#This Row],[cantidad venta]]*31.332</f>
        <v/>
      </c>
    </row>
    <row r="5513">
      <c r="A5513" t="n">
        <v>19932</v>
      </c>
      <c r="B5513" s="16" t="n">
        <v>44579</v>
      </c>
      <c r="C5513" t="inlineStr">
        <is>
          <t>VTA</t>
        </is>
      </c>
      <c r="D5513" t="n">
        <v>39</v>
      </c>
      <c r="E5513">
        <f>IF(D542&gt;0,VLOOKUP(OPERAC[[#This Row],[COD CART]],[1]!MatrizCortoLargoCyl[#All],3,0),"")</f>
        <v/>
      </c>
      <c r="F5513" t="inlineStr">
        <is>
          <t>SOLO/V/3,50/25-02-22</t>
        </is>
      </c>
      <c r="G5513" t="n">
        <v>-600</v>
      </c>
      <c r="H5513" t="n">
        <v>829.1144399999999</v>
      </c>
      <c r="I5513">
        <f>-H542/G542</f>
        <v/>
      </c>
      <c r="J5513" s="16" t="n">
        <v>44608</v>
      </c>
      <c r="K5513">
        <f>+OPERAC[[#This Row],[cantidad]]</f>
        <v/>
      </c>
      <c r="L5513" t="n">
        <v>-837.0239999999999</v>
      </c>
    </row>
    <row r="5514">
      <c r="A5514" t="n">
        <v>19932</v>
      </c>
      <c r="B5514" s="16" t="n">
        <v>44581</v>
      </c>
      <c r="C5514" t="inlineStr">
        <is>
          <t>VTA</t>
        </is>
      </c>
      <c r="D5514" t="n">
        <v>39</v>
      </c>
      <c r="E5514">
        <f>IF(D342&gt;0,VLOOKUP(OPERAC[[#This Row],[COD CART]],[1]!MatrizCortoLargoCyl[#All],3,0),"")</f>
        <v/>
      </c>
      <c r="F5514" t="inlineStr">
        <is>
          <t>ACB/V/6,00/18-02-22</t>
        </is>
      </c>
      <c r="G5514" t="n">
        <v>-1100</v>
      </c>
      <c r="H5514" t="n">
        <v>1330.4665</v>
      </c>
      <c r="I5514">
        <f>-H342/G342</f>
        <v/>
      </c>
      <c r="J5514" s="16" t="n">
        <v>44601</v>
      </c>
      <c r="K5514" t="n">
        <v>-1100</v>
      </c>
      <c r="L5514">
        <f>1.21*OPERAC[[#This Row],[cantidad venta]]</f>
        <v/>
      </c>
    </row>
    <row r="5515">
      <c r="A5515" t="n">
        <v>19932</v>
      </c>
      <c r="B5515" s="16" t="n">
        <v>44581</v>
      </c>
      <c r="C5515" t="inlineStr">
        <is>
          <t>VTA</t>
        </is>
      </c>
      <c r="D5515" t="n">
        <v>39</v>
      </c>
      <c r="E5515">
        <f>IF(D754&gt;0,VLOOKUP(OPERAC[[#This Row],[COD CART]],[1]!MatrizCortoLargoCyl[#All],3,0),"")</f>
        <v/>
      </c>
      <c r="F5515" t="inlineStr">
        <is>
          <t>ACB/V/6,00/18-02-22</t>
        </is>
      </c>
      <c r="G5515" t="n">
        <v>-300</v>
      </c>
      <c r="H5515" t="n">
        <v>362.8545</v>
      </c>
      <c r="I5515">
        <f>-H754/G754</f>
        <v/>
      </c>
      <c r="J5515" s="16" t="n">
        <v>44601</v>
      </c>
      <c r="K5515" t="n">
        <v>-300</v>
      </c>
      <c r="L5515">
        <f>1.21*OPERAC[[#This Row],[cantidad venta]]</f>
        <v/>
      </c>
    </row>
    <row r="5516">
      <c r="A5516" t="n">
        <v>19932</v>
      </c>
      <c r="B5516" s="16" t="n">
        <v>44582</v>
      </c>
      <c r="C5516" t="inlineStr">
        <is>
          <t>CPR</t>
        </is>
      </c>
      <c r="D5516" t="n">
        <v>40</v>
      </c>
      <c r="E5516">
        <f>IF(D6082&gt;0,VLOOKUP(OPERAC[[#This Row],[COD CART]],[1]!MatrizCortoLargoCyl[#All],3,0),"")</f>
        <v/>
      </c>
      <c r="F5516" t="inlineStr">
        <is>
          <t>NFLX</t>
        </is>
      </c>
      <c r="G5516" t="n">
        <v>10</v>
      </c>
      <c r="H5516" t="n">
        <v>-3906.371000000001</v>
      </c>
      <c r="I5516">
        <f>-H6082/G6082</f>
        <v/>
      </c>
      <c r="J5516" s="16" t="n">
        <v>44593</v>
      </c>
      <c r="K5516">
        <f>+OPERAC[[#This Row],[cantidad]]</f>
        <v/>
      </c>
      <c r="L5516">
        <f>+OPERAC[[#This Row],[cantidad venta]]*448.602</f>
        <v/>
      </c>
    </row>
    <row r="5517">
      <c r="A5517" t="n">
        <v>19932</v>
      </c>
      <c r="B5517" s="16" t="n">
        <v>44594</v>
      </c>
      <c r="C5517" t="inlineStr">
        <is>
          <t>VTA</t>
        </is>
      </c>
      <c r="D5517" t="n">
        <v>40</v>
      </c>
      <c r="E5517">
        <f>IF(D5525&gt;0,VLOOKUP(OPERAC[[#This Row],[COD CART]],[1]!MatrizCortoLargoCyl[#All],3,0),"")</f>
        <v/>
      </c>
      <c r="F5517" t="inlineStr">
        <is>
          <t>EDU</t>
        </is>
      </c>
      <c r="G5517" t="n">
        <v>1000</v>
      </c>
      <c r="H5517" t="n">
        <v>-2016</v>
      </c>
      <c r="I5517">
        <f>-H5525/G5525</f>
        <v/>
      </c>
      <c r="J5517" s="16" t="n">
        <v>44601</v>
      </c>
      <c r="K5517" t="n">
        <v>1000</v>
      </c>
      <c r="L5517" t="n">
        <v>1640</v>
      </c>
    </row>
    <row r="5518">
      <c r="A5518" t="n">
        <v>19932</v>
      </c>
      <c r="B5518" s="16" t="n">
        <v>44599</v>
      </c>
      <c r="C5518" t="inlineStr">
        <is>
          <t>CPR</t>
        </is>
      </c>
      <c r="D5518" t="n">
        <v>40</v>
      </c>
      <c r="E5518">
        <f>IF(D4518&gt;0,VLOOKUP(OPERAC[[#This Row],[COD CART]],[1]!MatrizCortoLargoCyl[#All],3,0),"")</f>
        <v/>
      </c>
      <c r="F5518" t="inlineStr">
        <is>
          <t>FB</t>
        </is>
      </c>
      <c r="G5518" t="n">
        <v>5</v>
      </c>
      <c r="H5518" t="n">
        <v>-1192.3</v>
      </c>
      <c r="I5518">
        <f>-H4518/G4518</f>
        <v/>
      </c>
      <c r="J5518" s="16" t="n">
        <v>44616</v>
      </c>
      <c r="K5518">
        <f>+OPERAC[[#This Row],[cantidad]]</f>
        <v/>
      </c>
      <c r="L5518">
        <f>200.299*OPERAC[[#This Row],[cantidad venta]]</f>
        <v/>
      </c>
    </row>
    <row r="5519">
      <c r="A5519" t="n">
        <v>19932</v>
      </c>
      <c r="B5519" s="16" t="n">
        <v>44601</v>
      </c>
      <c r="C5519" t="inlineStr">
        <is>
          <t>CPR</t>
        </is>
      </c>
      <c r="D5519" t="n">
        <v>43</v>
      </c>
      <c r="E5519">
        <f>IF(D4829&gt;0,VLOOKUP(OPERAC[[#This Row],[COD CART]],[1]!MatrizCortoLargoCyl[#All],3,0),"")</f>
        <v/>
      </c>
      <c r="F5519" t="inlineStr">
        <is>
          <t>GMBL/CYL-PUT/2,50/20-01-23</t>
        </is>
      </c>
      <c r="G5519" t="n">
        <v>1100</v>
      </c>
      <c r="H5519">
        <f>-1.3*OPERAC[[#This Row],[cantidad]]</f>
        <v/>
      </c>
      <c r="I5519">
        <f>-H4829/G4829</f>
        <v/>
      </c>
      <c r="J5519" s="16" t="n">
        <v>44637</v>
      </c>
      <c r="K5519" t="n">
        <v>1100</v>
      </c>
      <c r="L5519" t="n">
        <v>-1364.71</v>
      </c>
    </row>
    <row r="5520">
      <c r="A5520" t="n">
        <v>19932</v>
      </c>
      <c r="B5520" s="16" t="n">
        <v>44601</v>
      </c>
      <c r="C5520" t="inlineStr">
        <is>
          <t>VTA</t>
        </is>
      </c>
      <c r="D5520" t="n">
        <v>39</v>
      </c>
      <c r="E5520">
        <f>IF(D1108&gt;0,VLOOKUP(OPERAC[[#This Row],[COD CART]],[1]!MatrizCortoLargoCyl[#All],3,0),"")</f>
        <v/>
      </c>
      <c r="F5520" t="inlineStr">
        <is>
          <t>ACB/V/5,00/16-09-22</t>
        </is>
      </c>
      <c r="G5520" t="n">
        <v>-15</v>
      </c>
      <c r="H5520">
        <f>-1.56*OPERAC[[#This Row],[cantidad]]</f>
        <v/>
      </c>
      <c r="I5520">
        <f>-H1108/G1108</f>
        <v/>
      </c>
      <c r="J5520" s="16" t="n">
        <v>44629</v>
      </c>
      <c r="K5520" t="n">
        <v>-15</v>
      </c>
      <c r="L5520" t="n">
        <v>-31.49</v>
      </c>
    </row>
    <row r="5521">
      <c r="A5521" t="n">
        <v>19932</v>
      </c>
      <c r="B5521" s="16" t="n">
        <v>44602</v>
      </c>
      <c r="C5521" t="inlineStr">
        <is>
          <t>VTA</t>
        </is>
      </c>
      <c r="D5521" t="n">
        <v>32</v>
      </c>
      <c r="E5521">
        <f>IF(D3838&gt;0,VLOOKUP(OPERAC[[#This Row],[COD CART]],[1]!MatrizCortoLargoCyl[#All],3,0),"")</f>
        <v/>
      </c>
      <c r="F5521" t="inlineStr">
        <is>
          <t>TEVA</t>
        </is>
      </c>
      <c r="G5521" t="n">
        <v>100</v>
      </c>
      <c r="H5521">
        <f>-8.59*OPERAC[[#This Row],[cantidad]]</f>
        <v/>
      </c>
      <c r="I5521">
        <f>-H3838/G3838</f>
        <v/>
      </c>
      <c r="J5521" s="16" t="n">
        <v>44643</v>
      </c>
      <c r="K5521">
        <f>+OPERAC[[#This Row],[cantidad]]</f>
        <v/>
      </c>
      <c r="L5521">
        <f>+OPERAC[[#This Row],[cantidad venta]]*8.051</f>
        <v/>
      </c>
    </row>
    <row r="5522">
      <c r="A5522" t="n">
        <v>19932</v>
      </c>
      <c r="B5522" s="16" t="n">
        <v>44608</v>
      </c>
      <c r="C5522" t="inlineStr">
        <is>
          <t>CPR</t>
        </is>
      </c>
      <c r="D5522" t="n">
        <v>32</v>
      </c>
      <c r="E5522">
        <f>IF(D4857&gt;0,VLOOKUP(OPERAC[[#This Row],[COD CART]],[1]!MatrizCortoLargoCyl[#All],3,0),"")</f>
        <v/>
      </c>
      <c r="F5522" t="inlineStr">
        <is>
          <t>SPWR/CYL/15,00/18-03-22</t>
        </is>
      </c>
      <c r="G5522" t="n">
        <v>100</v>
      </c>
      <c r="H5522" t="n">
        <v>-1441.812</v>
      </c>
      <c r="I5522">
        <f>-H4857/G4857</f>
        <v/>
      </c>
      <c r="J5522" s="16" t="n">
        <v>44628</v>
      </c>
      <c r="K5522">
        <f>+OPERAC[[#This Row],[cantidad]]</f>
        <v/>
      </c>
      <c r="L5522" t="n">
        <v>1504.278</v>
      </c>
    </row>
    <row r="5523">
      <c r="A5523" t="n">
        <v>19932</v>
      </c>
      <c r="B5523" s="16" t="n">
        <v>44608</v>
      </c>
      <c r="C5523" t="inlineStr">
        <is>
          <t>VTA</t>
        </is>
      </c>
      <c r="D5523" t="n">
        <v>39</v>
      </c>
      <c r="E5523">
        <f>IF(D651&gt;0,VLOOKUP(OPERAC[[#This Row],[COD CART]],[1]!MatrizCortoLargoCyl[#All],3,0),"")</f>
        <v/>
      </c>
      <c r="F5523" t="inlineStr">
        <is>
          <t>SOLO/V/3,00/18-03-22</t>
        </is>
      </c>
      <c r="G5523" t="n">
        <v>-600</v>
      </c>
      <c r="H5523" t="n">
        <v>513.024</v>
      </c>
      <c r="I5523">
        <f>-H651/G651</f>
        <v/>
      </c>
      <c r="J5523" s="16" t="n">
        <v>44629</v>
      </c>
      <c r="K5523" t="n">
        <v>-600</v>
      </c>
      <c r="L5523" t="n">
        <v>-625.3339999999999</v>
      </c>
    </row>
    <row r="5524">
      <c r="A5524" t="n">
        <v>19932</v>
      </c>
      <c r="B5524" s="16" t="n">
        <v>44608</v>
      </c>
      <c r="C5524" t="inlineStr">
        <is>
          <t>VTA</t>
        </is>
      </c>
      <c r="D5524" t="n">
        <v>32</v>
      </c>
      <c r="E5524">
        <f>IF(D5118&gt;0,VLOOKUP(OPERAC[[#This Row],[COD CART]],[1]!MatrizCortoLargoCyl[#All],3,0),"")</f>
        <v/>
      </c>
      <c r="F5524" t="inlineStr">
        <is>
          <t>DDD/CYL/17,00/01-04-22</t>
        </is>
      </c>
      <c r="G5524" t="n">
        <v>100</v>
      </c>
      <c r="H5524">
        <f>-1629.4234+19.7+16.45</f>
        <v/>
      </c>
      <c r="I5524">
        <f>-H5118/G5118</f>
        <v/>
      </c>
      <c r="J5524" s="16" t="n">
        <v>44649</v>
      </c>
      <c r="K5524" t="n">
        <v>100</v>
      </c>
      <c r="L5524" t="n">
        <v>1661.98</v>
      </c>
    </row>
    <row r="5525">
      <c r="A5525" t="n">
        <v>19932</v>
      </c>
      <c r="B5525" s="16" t="n">
        <v>44610</v>
      </c>
      <c r="C5525" t="inlineStr">
        <is>
          <t>VTA</t>
        </is>
      </c>
      <c r="D5525" t="n">
        <v>39</v>
      </c>
      <c r="E5525">
        <f>IF(D1087&gt;0,VLOOKUP(OPERAC[[#This Row],[COD CART]],[1]!MatrizCortoLargoCyl[#All],3,0),"")</f>
        <v/>
      </c>
      <c r="F5525" t="inlineStr">
        <is>
          <t>MELI/V/540,00/16-09-22</t>
        </is>
      </c>
      <c r="G5525" t="n">
        <v>-1</v>
      </c>
      <c r="H5525" t="n">
        <v>27.77</v>
      </c>
      <c r="I5525">
        <f>-H1087/G1087</f>
        <v/>
      </c>
    </row>
    <row r="5526">
      <c r="A5526" t="n">
        <v>19932</v>
      </c>
      <c r="B5526" s="16" t="n">
        <v>44616</v>
      </c>
      <c r="C5526" t="inlineStr">
        <is>
          <t>CPR</t>
        </is>
      </c>
      <c r="D5526" t="n">
        <v>32</v>
      </c>
      <c r="E5526">
        <f>IF(D4329&gt;0,VLOOKUP(OPERAC[[#This Row],[COD CART]],[1]!MatrizCortoLargoCyl[#All],3,0),"")</f>
        <v/>
      </c>
      <c r="F5526" t="inlineStr">
        <is>
          <t>PLTR/CYL/12,00/14-04-22</t>
        </is>
      </c>
      <c r="G5526" t="n">
        <v>100</v>
      </c>
      <c r="H5526" t="n">
        <v>-1052.7265</v>
      </c>
      <c r="I5526">
        <f>-H4329/G4329</f>
        <v/>
      </c>
      <c r="J5526" s="16" t="n">
        <v>44643</v>
      </c>
      <c r="K5526" t="n">
        <v>100</v>
      </c>
      <c r="L5526" t="n">
        <v>1146.72</v>
      </c>
    </row>
    <row r="5527">
      <c r="A5527" t="n">
        <v>19932</v>
      </c>
      <c r="B5527" s="16" t="n">
        <v>44616</v>
      </c>
      <c r="C5527" t="inlineStr">
        <is>
          <t>CPR</t>
        </is>
      </c>
      <c r="D5527" t="n">
        <v>32</v>
      </c>
      <c r="E5527">
        <f>IF(D6067&gt;0,VLOOKUP(OPERAC[[#This Row],[COD CART]],[1]!MatrizCortoLargoCyl[#All],3,0),"")</f>
        <v/>
      </c>
      <c r="F5527" t="inlineStr">
        <is>
          <t>HMY/CYL/4,00/18-03-22</t>
        </is>
      </c>
      <c r="G5527" t="n">
        <v>1000</v>
      </c>
      <c r="H5527" t="n">
        <v>-3837.05</v>
      </c>
      <c r="I5527">
        <f>-H6067/G6067</f>
        <v/>
      </c>
      <c r="J5527" s="16" t="n">
        <v>44622</v>
      </c>
      <c r="K5527" t="n">
        <v>1000</v>
      </c>
      <c r="L5527" t="n">
        <v>3939.35</v>
      </c>
    </row>
    <row r="5528">
      <c r="A5528" t="n">
        <v>19932</v>
      </c>
      <c r="B5528" s="16" t="n">
        <v>44622</v>
      </c>
      <c r="C5528" t="inlineStr">
        <is>
          <t>CPR</t>
        </is>
      </c>
      <c r="D5528" t="n">
        <v>32</v>
      </c>
      <c r="E5528">
        <f>IF(D6058&gt;0,VLOOKUP(OPERAC[[#This Row],[COD CART]],[1]!MatrizCortoLargoCyl[#All],3,0),"")</f>
        <v/>
      </c>
      <c r="F5528" t="inlineStr">
        <is>
          <t>HMY/CYL/5,00/18-03-22</t>
        </is>
      </c>
      <c r="G5528" t="n">
        <v>800</v>
      </c>
      <c r="H5528" t="n">
        <v>-3748.256</v>
      </c>
      <c r="I5528">
        <f>-H6058/G6058</f>
        <v/>
      </c>
      <c r="J5528" s="16" t="n">
        <v>44637</v>
      </c>
      <c r="K5528">
        <f>+OPERAC[[#This Row],[cantidad]]</f>
        <v/>
      </c>
      <c r="L5528">
        <f>4.85553*OPERAC[[#This Row],[cantidad venta]]</f>
        <v/>
      </c>
    </row>
    <row r="5529">
      <c r="A5529" t="n">
        <v>19932</v>
      </c>
      <c r="B5529" s="16" t="n">
        <v>44628</v>
      </c>
      <c r="C5529" t="inlineStr">
        <is>
          <t>CPR</t>
        </is>
      </c>
      <c r="D5529" t="n">
        <v>32</v>
      </c>
      <c r="E5529">
        <f>IF(D4836&gt;0,VLOOKUP(OPERAC[[#This Row],[COD CART]],[1]!MatrizCortoLargoCyl[#All],3,0),"")</f>
        <v/>
      </c>
      <c r="F5529" t="inlineStr">
        <is>
          <t>COTY/CYL/8,00/14-04-22</t>
        </is>
      </c>
      <c r="G5529" t="n">
        <v>200</v>
      </c>
      <c r="H5529" t="n">
        <v>-1436.1102</v>
      </c>
      <c r="I5529">
        <f>-H4836/G4836</f>
        <v/>
      </c>
      <c r="J5529" s="16" t="n">
        <v>44643</v>
      </c>
      <c r="K5529" t="n">
        <v>200</v>
      </c>
      <c r="L5529" t="n">
        <v>1558.647</v>
      </c>
    </row>
    <row r="5530">
      <c r="A5530" t="n">
        <v>19932</v>
      </c>
      <c r="B5530" s="16" t="n">
        <v>44629</v>
      </c>
      <c r="C5530" t="inlineStr">
        <is>
          <t>CPR</t>
        </is>
      </c>
      <c r="D5530" t="n">
        <v>42</v>
      </c>
      <c r="E5530">
        <f>IF(D4070&gt;0,VLOOKUP(OPERAC[[#This Row],[COD CART]],[1]!MatrizCortoLargoCyl[#All],3,0),"")</f>
        <v/>
      </c>
      <c r="F5530" t="inlineStr">
        <is>
          <t>NVDA</t>
        </is>
      </c>
      <c r="G5530" t="n">
        <v>4</v>
      </c>
      <c r="H5530" t="n">
        <v>-931.26304</v>
      </c>
      <c r="I5530">
        <f>-H4070/G4070</f>
        <v/>
      </c>
      <c r="J5530" s="16" t="n">
        <v>44641</v>
      </c>
      <c r="K5530" t="n">
        <v>4</v>
      </c>
      <c r="L5530" t="n">
        <v>1068.19</v>
      </c>
    </row>
    <row r="5531">
      <c r="A5531" t="n">
        <v>19932</v>
      </c>
      <c r="B5531" s="16" t="n">
        <v>44629</v>
      </c>
      <c r="C5531" t="inlineStr">
        <is>
          <t>CPR</t>
        </is>
      </c>
      <c r="D5531" t="n">
        <v>42</v>
      </c>
      <c r="E5531">
        <f>IF(D4115&gt;0,VLOOKUP(OPERAC[[#This Row],[COD CART]],[1]!MatrizCortoLargoCyl[#All],3,0),"")</f>
        <v/>
      </c>
      <c r="F5531" t="inlineStr">
        <is>
          <t>QCOM</t>
        </is>
      </c>
      <c r="G5531" t="n">
        <v>6</v>
      </c>
      <c r="H5531" t="n">
        <v>-953.8624000000001</v>
      </c>
      <c r="I5531">
        <f>-H4115/G4115</f>
        <v/>
      </c>
      <c r="J5531" s="16" t="n">
        <v>44693</v>
      </c>
      <c r="K5531" t="n">
        <v>6</v>
      </c>
      <c r="L5531" t="n">
        <v>774.962</v>
      </c>
    </row>
    <row r="5532">
      <c r="A5532" t="n">
        <v>19932</v>
      </c>
      <c r="B5532" s="16" t="n">
        <v>44629</v>
      </c>
      <c r="C5532" t="inlineStr">
        <is>
          <t>CPR</t>
        </is>
      </c>
      <c r="D5532" t="n">
        <v>31</v>
      </c>
      <c r="E5532">
        <f>IF(D4154&gt;0,VLOOKUP(OPERAC[[#This Row],[COD CART]],[1]!MatrizCortoLargoCyl[#All],3,0),"")</f>
        <v/>
      </c>
      <c r="F5532" t="inlineStr">
        <is>
          <t>MELI</t>
        </is>
      </c>
      <c r="G5532" t="n">
        <v>1</v>
      </c>
      <c r="H5532" t="n">
        <v>-972.9640000000001</v>
      </c>
      <c r="I5532">
        <f>-H4154/G4154</f>
        <v/>
      </c>
      <c r="J5532" s="16" t="n">
        <v>44658</v>
      </c>
      <c r="K5532" t="n">
        <v>1</v>
      </c>
      <c r="L5532" t="n">
        <v>1151.694</v>
      </c>
    </row>
    <row r="5533">
      <c r="A5533" t="n">
        <v>19932</v>
      </c>
      <c r="B5533" s="16" t="n">
        <v>44629</v>
      </c>
      <c r="C5533" t="inlineStr">
        <is>
          <t>CPR</t>
        </is>
      </c>
      <c r="D5533" t="n">
        <v>42</v>
      </c>
      <c r="E5533">
        <f>IF(D4280&gt;0,VLOOKUP(OPERAC[[#This Row],[COD CART]],[1]!MatrizCortoLargoCyl[#All],3,0),"")</f>
        <v/>
      </c>
      <c r="F5533" t="inlineStr">
        <is>
          <t>AAL</t>
        </is>
      </c>
      <c r="G5533" t="n">
        <v>70</v>
      </c>
      <c r="H5533" t="n">
        <v>-1025.1784</v>
      </c>
      <c r="I5533">
        <f>-H4280/G4280</f>
        <v/>
      </c>
      <c r="J5533" s="16" t="n">
        <v>44636</v>
      </c>
      <c r="K5533" t="n">
        <v>70</v>
      </c>
      <c r="L5533" t="n">
        <v>1117.321</v>
      </c>
    </row>
    <row r="5534">
      <c r="A5534" t="n">
        <v>19932</v>
      </c>
      <c r="B5534" s="16" t="n">
        <v>44629</v>
      </c>
      <c r="C5534" t="inlineStr">
        <is>
          <t>CPR</t>
        </is>
      </c>
      <c r="D5534" t="n">
        <v>31</v>
      </c>
      <c r="E5534">
        <f>IF(D4288&gt;0,VLOOKUP(OPERAC[[#This Row],[COD CART]],[1]!MatrizCortoLargoCyl[#All],3,0),"")</f>
        <v/>
      </c>
      <c r="F5534" t="inlineStr">
        <is>
          <t>DRIV</t>
        </is>
      </c>
      <c r="G5534" t="n">
        <v>40</v>
      </c>
      <c r="H5534" t="n">
        <v>-1035.905536</v>
      </c>
      <c r="I5534">
        <f>-H4288/G4288</f>
        <v/>
      </c>
    </row>
    <row r="5535">
      <c r="A5535" t="n">
        <v>19932</v>
      </c>
      <c r="B5535" s="16" t="n">
        <v>44629</v>
      </c>
      <c r="C5535" t="inlineStr">
        <is>
          <t>CPR</t>
        </is>
      </c>
      <c r="D5535" t="n">
        <v>31</v>
      </c>
      <c r="E5535">
        <f>IF(D4289&gt;0,VLOOKUP(OPERAC[[#This Row],[COD CART]],[1]!MatrizCortoLargoCyl[#All],3,0),"")</f>
        <v/>
      </c>
      <c r="F5535" t="inlineStr">
        <is>
          <t>SMH</t>
        </is>
      </c>
      <c r="G5535" t="n">
        <v>4</v>
      </c>
      <c r="H5535" t="n">
        <v>-1039.4307136</v>
      </c>
      <c r="I5535">
        <f>-H4289/G4289</f>
        <v/>
      </c>
    </row>
    <row r="5536">
      <c r="A5536" t="n">
        <v>19932</v>
      </c>
      <c r="B5536" s="16" t="n">
        <v>44629</v>
      </c>
      <c r="C5536" t="inlineStr">
        <is>
          <t>CPR</t>
        </is>
      </c>
      <c r="D5536" t="n">
        <v>42</v>
      </c>
      <c r="E5536">
        <f>IF(D4504&gt;0,VLOOKUP(OPERAC[[#This Row],[COD CART]],[1]!MatrizCortoLargoCyl[#All],3,0),"")</f>
        <v/>
      </c>
      <c r="F5536" t="inlineStr">
        <is>
          <t>ROKU</t>
        </is>
      </c>
      <c r="G5536" t="n">
        <v>10</v>
      </c>
      <c r="H5536" t="n">
        <v>-1178.6464</v>
      </c>
      <c r="I5536">
        <f>-H4504/G4504</f>
        <v/>
      </c>
      <c r="J5536" s="16" t="n">
        <v>44649</v>
      </c>
      <c r="K5536" t="n">
        <v>10</v>
      </c>
      <c r="L5536" t="n">
        <v>1372.979</v>
      </c>
    </row>
    <row r="5537">
      <c r="A5537" t="n">
        <v>19932</v>
      </c>
      <c r="B5537" s="16" t="n">
        <v>44629</v>
      </c>
      <c r="C5537" t="inlineStr">
        <is>
          <t>VTA</t>
        </is>
      </c>
      <c r="D5537" t="n">
        <v>39</v>
      </c>
      <c r="E5537">
        <f>IF(D964&gt;0,VLOOKUP(OPERAC[[#This Row],[COD CART]],[1]!MatrizCortoLargoCyl[#All],3,0),"")</f>
        <v/>
      </c>
      <c r="F5537" t="inlineStr">
        <is>
          <t>TSLA/V/360,00/16-09-22</t>
        </is>
      </c>
      <c r="G5537" t="n">
        <v>-10</v>
      </c>
      <c r="H5537" t="n">
        <v>86.2764</v>
      </c>
      <c r="I5537">
        <f>-H964/G964</f>
        <v/>
      </c>
    </row>
    <row r="5538">
      <c r="A5538" t="n">
        <v>19932</v>
      </c>
      <c r="B5538" s="16" t="n">
        <v>44629</v>
      </c>
      <c r="C5538" t="inlineStr">
        <is>
          <t>VTA</t>
        </is>
      </c>
      <c r="D5538" t="n">
        <v>39</v>
      </c>
      <c r="E5538">
        <f>IF(D974&gt;0,VLOOKUP(OPERAC[[#This Row],[COD CART]],[1]!MatrizCortoLargoCyl[#All],3,0),"")</f>
        <v/>
      </c>
      <c r="F5538" t="inlineStr">
        <is>
          <t>MELI/V/540,00/16-09-22</t>
        </is>
      </c>
      <c r="G5538" t="n">
        <v>-3</v>
      </c>
      <c r="H5538" t="n">
        <v>77.376</v>
      </c>
      <c r="I5538">
        <f>-H974/G974</f>
        <v/>
      </c>
    </row>
    <row r="5539">
      <c r="A5539" t="n">
        <v>19932</v>
      </c>
      <c r="B5539" s="16" t="n">
        <v>44629</v>
      </c>
      <c r="C5539" t="inlineStr">
        <is>
          <t>VTA</t>
        </is>
      </c>
      <c r="D5539" t="n">
        <v>31</v>
      </c>
      <c r="E5539">
        <f>IF(D3847&gt;0,VLOOKUP(OPERAC[[#This Row],[COD CART]],[1]!MatrizCortoLargoCyl[#All],3,0),"")</f>
        <v/>
      </c>
      <c r="F5539" t="inlineStr">
        <is>
          <t>SPY</t>
        </is>
      </c>
      <c r="G5539" t="n">
        <v>2</v>
      </c>
      <c r="H5539" t="n">
        <v>-862.19488</v>
      </c>
      <c r="I5539">
        <f>-H3847/G3847</f>
        <v/>
      </c>
    </row>
    <row r="5540">
      <c r="A5540" t="n">
        <v>19932</v>
      </c>
      <c r="B5540" s="16" t="n">
        <v>44631</v>
      </c>
      <c r="C5540" t="inlineStr">
        <is>
          <t>CPR</t>
        </is>
      </c>
      <c r="D5540" t="n">
        <v>42</v>
      </c>
      <c r="E5540">
        <f>IF(D5895&gt;0,VLOOKUP(OPERAC[[#This Row],[COD CART]],[1]!MatrizCortoLargoCyl[#All],3,0),"")</f>
        <v/>
      </c>
      <c r="F5540" t="inlineStr">
        <is>
          <t>AMZN</t>
        </is>
      </c>
      <c r="G5540" t="n">
        <v>1</v>
      </c>
      <c r="H5540" t="n">
        <v>-2978.80936</v>
      </c>
      <c r="I5540">
        <f>-H5895/G5895</f>
        <v/>
      </c>
      <c r="J5540" s="16" t="n">
        <v>44642</v>
      </c>
      <c r="K5540" t="n">
        <v>1</v>
      </c>
      <c r="L5540" t="n">
        <v>3273.35</v>
      </c>
    </row>
    <row r="5541">
      <c r="A5541" t="n">
        <v>19932</v>
      </c>
      <c r="B5541" s="16" t="n">
        <v>44634</v>
      </c>
      <c r="C5541" t="inlineStr">
        <is>
          <t>VTA</t>
        </is>
      </c>
      <c r="D5541" t="n">
        <v>42</v>
      </c>
      <c r="E5541">
        <f>IF(D5228&gt;0,VLOOKUP(OPERAC[[#This Row],[COD CART]],[1]!MatrizCortoLargoCyl[#All],3,0),"")</f>
        <v/>
      </c>
      <c r="F5541" t="inlineStr">
        <is>
          <t>INO</t>
        </is>
      </c>
      <c r="G5541" t="n">
        <v>500</v>
      </c>
      <c r="H5541" t="n">
        <v>-1660.408</v>
      </c>
      <c r="I5541">
        <f>-H5228/G5228</f>
        <v/>
      </c>
      <c r="J5541" s="16" t="n">
        <v>44634</v>
      </c>
      <c r="K5541" t="n">
        <v>500</v>
      </c>
      <c r="L5541" t="n">
        <v>1494.4275</v>
      </c>
    </row>
    <row r="5542">
      <c r="A5542" t="n">
        <v>19932</v>
      </c>
      <c r="B5542" s="16" t="n">
        <v>44637</v>
      </c>
      <c r="C5542" t="inlineStr">
        <is>
          <t>CPR</t>
        </is>
      </c>
      <c r="D5542" t="n">
        <v>43</v>
      </c>
      <c r="E5542">
        <f>IF(D4078&gt;0,VLOOKUP(OPERAC[[#This Row],[COD CART]],[1]!MatrizCortoLargoCyl[#All],3,0),"")</f>
        <v/>
      </c>
      <c r="F5542" t="inlineStr">
        <is>
          <t>GMBL/CYL-PUT/1,00/20-01-23</t>
        </is>
      </c>
      <c r="G5542" t="n">
        <v>4500</v>
      </c>
      <c r="H5542" t="n">
        <v>-935.2429200000001</v>
      </c>
      <c r="I5542">
        <f>-H4078/G4078</f>
        <v/>
      </c>
    </row>
    <row r="5543">
      <c r="A5543" t="n">
        <v>19932</v>
      </c>
      <c r="B5543" s="16" t="n">
        <v>44641</v>
      </c>
      <c r="C5543" t="inlineStr">
        <is>
          <t>CPR</t>
        </is>
      </c>
      <c r="D5543" t="n">
        <v>42</v>
      </c>
      <c r="E5543">
        <f>IF(D3648&gt;0,VLOOKUP(OPERAC[[#This Row],[COD CART]],[1]!MatrizCortoLargoCyl[#All],3,0),"")</f>
        <v/>
      </c>
      <c r="F5543" t="inlineStr">
        <is>
          <t>SMH</t>
        </is>
      </c>
      <c r="G5543" t="n">
        <v>3</v>
      </c>
      <c r="H5543" t="n">
        <v>-806.8729500000001</v>
      </c>
      <c r="I5543">
        <f>-H3648/G3648</f>
        <v/>
      </c>
      <c r="J5543" s="16" t="n">
        <v>44663</v>
      </c>
      <c r="K5543">
        <f>+OPERAC[[#This Row],[cantidad]]</f>
        <v/>
      </c>
      <c r="L5543">
        <f>+OPERAC[[#This Row],[cantidad venta]]*238.066</f>
        <v/>
      </c>
    </row>
    <row r="5544">
      <c r="A5544" t="n">
        <v>19932</v>
      </c>
      <c r="B5544" s="16" t="n">
        <v>44641</v>
      </c>
      <c r="C5544" t="inlineStr">
        <is>
          <t>CPR</t>
        </is>
      </c>
      <c r="D5544" t="n">
        <v>42</v>
      </c>
      <c r="E5544">
        <f>IF(D4164&gt;0,VLOOKUP(OPERAC[[#This Row],[COD CART]],[1]!MatrizCortoLargoCyl[#All],3,0),"")</f>
        <v/>
      </c>
      <c r="F5544" t="inlineStr">
        <is>
          <t>DIS</t>
        </is>
      </c>
      <c r="G5544" t="n">
        <v>7</v>
      </c>
      <c r="H5544" t="n">
        <v>-974.8984</v>
      </c>
      <c r="I5544">
        <f>-H4164/G4164</f>
        <v/>
      </c>
      <c r="J5544" s="16" t="n">
        <v>44671</v>
      </c>
      <c r="K5544">
        <f>+OPERAC[[#This Row],[cantidad]]</f>
        <v/>
      </c>
      <c r="L5544">
        <f>+OPERAC[[#This Row],[cantidad venta]]*123.621</f>
        <v/>
      </c>
    </row>
    <row r="5545">
      <c r="A5545" t="n">
        <v>19932</v>
      </c>
      <c r="B5545" s="16" t="n">
        <v>44641</v>
      </c>
      <c r="C5545" t="inlineStr">
        <is>
          <t>CPR</t>
        </is>
      </c>
      <c r="D5545" t="n">
        <v>31</v>
      </c>
      <c r="E5545">
        <f>IF(D4283&gt;0,VLOOKUP(OPERAC[[#This Row],[COD CART]],[1]!MatrizCortoLargoCyl[#All],3,0),"")</f>
        <v/>
      </c>
      <c r="F5545" t="inlineStr">
        <is>
          <t>BABA</t>
        </is>
      </c>
      <c r="G5545" t="n">
        <v>10</v>
      </c>
      <c r="H5545" t="n">
        <v>-1030.374</v>
      </c>
      <c r="I5545">
        <f>-H4283/G4283</f>
        <v/>
      </c>
    </row>
    <row r="5546">
      <c r="A5546" t="n">
        <v>19932</v>
      </c>
      <c r="B5546" s="16" t="n">
        <v>44641</v>
      </c>
      <c r="C5546" t="inlineStr">
        <is>
          <t>CPR</t>
        </is>
      </c>
      <c r="D5546" t="n">
        <v>31</v>
      </c>
      <c r="E5546">
        <f>IF(D4550&gt;0,VLOOKUP(OPERAC[[#This Row],[COD CART]],[1]!MatrizCortoLargoCyl[#All],3,0),"")</f>
        <v/>
      </c>
      <c r="F5546" t="inlineStr">
        <is>
          <t>TGS</t>
        </is>
      </c>
      <c r="G5546" t="n">
        <v>200</v>
      </c>
      <c r="H5546" t="n">
        <v>-1221.0832</v>
      </c>
      <c r="I5546">
        <f>-H4550/G4550</f>
        <v/>
      </c>
      <c r="J5546" s="16" t="n">
        <v>44693</v>
      </c>
      <c r="K5546" t="n">
        <v>200</v>
      </c>
      <c r="L5546" t="n">
        <v>1197.646</v>
      </c>
    </row>
    <row r="5547">
      <c r="A5547" t="n">
        <v>19932</v>
      </c>
      <c r="B5547" s="16" t="n">
        <v>44641</v>
      </c>
      <c r="C5547" t="inlineStr">
        <is>
          <t>VTA</t>
        </is>
      </c>
      <c r="D5547" t="n">
        <v>42</v>
      </c>
      <c r="E5547">
        <f>IF(D3729&gt;0,VLOOKUP(OPERAC[[#This Row],[COD CART]],[1]!MatrizCortoLargoCyl[#All],3,0),"")</f>
        <v/>
      </c>
      <c r="F5547" t="inlineStr">
        <is>
          <t>JPM</t>
        </is>
      </c>
      <c r="G5547" t="n">
        <v>6</v>
      </c>
      <c r="H5547" t="n">
        <v>-842.7260400000001</v>
      </c>
      <c r="I5547">
        <f>-H3729/G3729</f>
        <v/>
      </c>
      <c r="J5547" s="16" t="n">
        <v>44664</v>
      </c>
      <c r="K5547">
        <f>+OPERAC[[#This Row],[cantidad]]</f>
        <v/>
      </c>
      <c r="L5547">
        <f>+OPERAC[[#This Row],[cantidad venta]]*125.943</f>
        <v/>
      </c>
    </row>
    <row r="5548">
      <c r="A5548" t="n">
        <v>19932</v>
      </c>
      <c r="B5548" s="16" t="n">
        <v>44641</v>
      </c>
      <c r="C5548" t="inlineStr">
        <is>
          <t>VTA</t>
        </is>
      </c>
      <c r="D5548" t="n">
        <v>42</v>
      </c>
      <c r="E5548">
        <f>IF(D3779&gt;0,VLOOKUP(OPERAC[[#This Row],[COD CART]],[1]!MatrizCortoLargoCyl[#All],3,0),"")</f>
        <v/>
      </c>
      <c r="F5548" t="inlineStr">
        <is>
          <t>FB</t>
        </is>
      </c>
      <c r="G5548" t="n">
        <v>4</v>
      </c>
      <c r="H5548" t="n">
        <v>-848.6255200000001</v>
      </c>
      <c r="I5548">
        <f>-H3779/G3779</f>
        <v/>
      </c>
      <c r="J5548" s="16" t="n">
        <v>44671</v>
      </c>
      <c r="K5548">
        <f>+OPERAC[[#This Row],[cantidad]]</f>
        <v/>
      </c>
      <c r="L5548">
        <f>+OPERAC[[#This Row],[cantidad venta]]*213.173</f>
        <v/>
      </c>
    </row>
    <row r="5549">
      <c r="A5549" t="n">
        <v>19932</v>
      </c>
      <c r="B5549" s="16" t="n">
        <v>44643</v>
      </c>
      <c r="C5549" t="inlineStr">
        <is>
          <t>CPR</t>
        </is>
      </c>
      <c r="D5549" t="n">
        <v>32</v>
      </c>
      <c r="E5549">
        <f>IF(D3274&gt;0,VLOOKUP(OPERAC[[#This Row],[COD CART]],[1]!MatrizCortoLargoCyl[#All],3,0),"")</f>
        <v/>
      </c>
      <c r="F5549" t="inlineStr">
        <is>
          <t>CRESY</t>
        </is>
      </c>
      <c r="G5549" t="n">
        <v>100</v>
      </c>
      <c r="H5549" t="n">
        <v>-680.303</v>
      </c>
      <c r="I5549">
        <f>-H3274/G3274</f>
        <v/>
      </c>
      <c r="J5549" s="16" t="n">
        <v>44708</v>
      </c>
      <c r="K5549" t="n">
        <v>100</v>
      </c>
      <c r="L5549" t="n">
        <v>733.71</v>
      </c>
    </row>
    <row r="5550">
      <c r="A5550" t="n">
        <v>19932</v>
      </c>
      <c r="B5550" s="16" t="n">
        <v>44643</v>
      </c>
      <c r="C5550" t="inlineStr">
        <is>
          <t>CPR</t>
        </is>
      </c>
      <c r="D5550" t="n">
        <v>42</v>
      </c>
      <c r="E5550">
        <f>IF(D4168&gt;0,VLOOKUP(OPERAC[[#This Row],[COD CART]],[1]!MatrizCortoLargoCyl[#All],3,0),"")</f>
        <v/>
      </c>
      <c r="F5550" t="inlineStr">
        <is>
          <t>DIS</t>
        </is>
      </c>
      <c r="G5550" t="n">
        <v>7</v>
      </c>
      <c r="H5550" t="n">
        <v>-977.9150500000001</v>
      </c>
      <c r="I5550">
        <f>-H4168/G4168</f>
        <v/>
      </c>
      <c r="J5550" s="16" t="n">
        <v>44671</v>
      </c>
      <c r="K5550">
        <f>+OPERAC[[#This Row],[cantidad]]</f>
        <v/>
      </c>
      <c r="L5550">
        <f>+OPERAC[[#This Row],[cantidad venta]]*123.621</f>
        <v/>
      </c>
    </row>
    <row r="5551">
      <c r="A5551" t="n">
        <v>19932</v>
      </c>
      <c r="B5551" s="16" t="n">
        <v>44643</v>
      </c>
      <c r="C5551" t="inlineStr">
        <is>
          <t>CPR</t>
        </is>
      </c>
      <c r="D5551" t="n">
        <v>42</v>
      </c>
      <c r="E5551">
        <f>IF(D4820&gt;0,VLOOKUP(OPERAC[[#This Row],[COD CART]],[1]!MatrizCortoLargoCyl[#All],3,0),"")</f>
        <v/>
      </c>
      <c r="F5551" t="inlineStr">
        <is>
          <t>JPM</t>
        </is>
      </c>
      <c r="G5551" t="n">
        <v>10</v>
      </c>
      <c r="H5551" t="n">
        <v>-1412.4664</v>
      </c>
      <c r="I5551">
        <f>-H4820/G4820</f>
        <v/>
      </c>
      <c r="J5551" s="16" t="n">
        <v>44664</v>
      </c>
      <c r="K5551">
        <f>+OPERAC[[#This Row],[cantidad]]</f>
        <v/>
      </c>
      <c r="L5551">
        <f>+OPERAC[[#This Row],[cantidad venta]]*125.943</f>
        <v/>
      </c>
    </row>
    <row r="5552">
      <c r="A5552" t="n">
        <v>19932</v>
      </c>
      <c r="B5552" s="16" t="n">
        <v>44643</v>
      </c>
      <c r="C5552" t="inlineStr">
        <is>
          <t>CPR</t>
        </is>
      </c>
      <c r="D5552" t="n">
        <v>42</v>
      </c>
      <c r="E5552">
        <f>IF(D4973&gt;0,VLOOKUP(OPERAC[[#This Row],[COD CART]],[1]!MatrizCortoLargoCyl[#All],3,0),"")</f>
        <v/>
      </c>
      <c r="F5552" t="inlineStr">
        <is>
          <t>FB</t>
        </is>
      </c>
      <c r="G5552" t="n">
        <v>7</v>
      </c>
      <c r="H5552" t="n">
        <v>-1512.86282</v>
      </c>
      <c r="I5552">
        <f>-H4973/G4973</f>
        <v/>
      </c>
      <c r="J5552" s="16" t="n">
        <v>44671</v>
      </c>
      <c r="K5552">
        <f>+OPERAC[[#This Row],[cantidad]]</f>
        <v/>
      </c>
      <c r="L5552">
        <f>+OPERAC[[#This Row],[cantidad venta]]*213.173</f>
        <v/>
      </c>
    </row>
    <row r="5553">
      <c r="A5553" t="n">
        <v>19932</v>
      </c>
      <c r="B5553" s="16" t="n">
        <v>44643</v>
      </c>
      <c r="C5553" t="inlineStr">
        <is>
          <t>VTA</t>
        </is>
      </c>
      <c r="D5553" t="n">
        <v>42</v>
      </c>
      <c r="E5553">
        <f>IF(D1795&gt;0,VLOOKUP(OPERAC[[#This Row],[COD CART]],[1]!MatrizCortoLargoCyl[#All],3,0),"")</f>
        <v/>
      </c>
      <c r="F5553" t="inlineStr">
        <is>
          <t>SMH</t>
        </is>
      </c>
      <c r="G5553" t="n">
        <v>1</v>
      </c>
      <c r="H5553" t="n">
        <v>-267.162898</v>
      </c>
      <c r="I5553">
        <f>-H1795/G1795</f>
        <v/>
      </c>
      <c r="J5553" s="16" t="n">
        <v>44663</v>
      </c>
      <c r="K5553">
        <f>+OPERAC[[#This Row],[cantidad]]</f>
        <v/>
      </c>
      <c r="L5553">
        <f>+OPERAC[[#This Row],[cantidad venta]]*238.066</f>
        <v/>
      </c>
    </row>
    <row r="5554">
      <c r="A5554" t="n">
        <v>19932</v>
      </c>
      <c r="B5554" s="16" t="n">
        <v>44643</v>
      </c>
      <c r="C5554" t="inlineStr">
        <is>
          <t>VTA</t>
        </is>
      </c>
      <c r="D5554" t="n">
        <v>42</v>
      </c>
      <c r="E5554">
        <f>IF(D5251&gt;0,VLOOKUP(OPERAC[[#This Row],[COD CART]],[1]!MatrizCortoLargoCyl[#All],3,0),"")</f>
        <v/>
      </c>
      <c r="F5554" t="inlineStr">
        <is>
          <t>ADBE</t>
        </is>
      </c>
      <c r="G5554" t="n">
        <v>4</v>
      </c>
      <c r="H5554" t="n">
        <v>-1684.2191</v>
      </c>
      <c r="I5554">
        <f>-H5251/G5251</f>
        <v/>
      </c>
      <c r="J5554" s="16" t="n">
        <v>44662</v>
      </c>
      <c r="K5554" t="n">
        <v>4</v>
      </c>
      <c r="L5554" t="n">
        <v>1725.08</v>
      </c>
    </row>
    <row r="5555">
      <c r="A5555" t="n">
        <v>19932</v>
      </c>
      <c r="B5555" s="16" t="n">
        <v>44649</v>
      </c>
      <c r="C5555" t="inlineStr">
        <is>
          <t>CPR</t>
        </is>
      </c>
      <c r="D5555" t="n">
        <v>32</v>
      </c>
      <c r="E5555">
        <f>IF(D4844&gt;0,VLOOKUP(OPERAC[[#This Row],[COD CART]],[1]!MatrizCortoLargoCyl[#All],3,0),"")</f>
        <v/>
      </c>
      <c r="F5555" t="inlineStr">
        <is>
          <t>DDD</t>
        </is>
      </c>
      <c r="G5555" t="n">
        <v>100</v>
      </c>
      <c r="H5555" t="n">
        <v>-1439.859</v>
      </c>
      <c r="I5555">
        <f>-H4844/G4844</f>
        <v/>
      </c>
      <c r="J5555" s="16" t="n">
        <v>44705</v>
      </c>
      <c r="K5555" t="n">
        <v>100</v>
      </c>
      <c r="L5555" t="n">
        <v>995.48</v>
      </c>
    </row>
    <row r="5556">
      <c r="A5556" t="n">
        <v>19932</v>
      </c>
      <c r="B5556" s="16" t="n">
        <v>44649</v>
      </c>
      <c r="C5556" t="inlineStr">
        <is>
          <t>VTA</t>
        </is>
      </c>
      <c r="D5556" t="n">
        <v>32</v>
      </c>
      <c r="E5556">
        <f>IF(D5236&gt;0,VLOOKUP(OPERAC[[#This Row],[COD CART]],[1]!MatrizCortoLargoCyl[#All],3,0),"")</f>
        <v/>
      </c>
      <c r="F5556" t="inlineStr">
        <is>
          <t>EDIT</t>
        </is>
      </c>
      <c r="G5556" t="n">
        <v>100</v>
      </c>
      <c r="H5556" t="n">
        <v>-1661.88</v>
      </c>
      <c r="I5556">
        <f>-H5236/G5236</f>
        <v/>
      </c>
    </row>
    <row r="5557">
      <c r="A5557" t="n">
        <v>19932</v>
      </c>
      <c r="B5557" s="16" t="n">
        <v>44651</v>
      </c>
      <c r="C5557" t="inlineStr">
        <is>
          <t>CPR</t>
        </is>
      </c>
      <c r="D5557" t="n">
        <v>42</v>
      </c>
      <c r="E5557">
        <f>IF(D3980&gt;0,VLOOKUP(OPERAC[[#This Row],[COD CART]],[1]!MatrizCortoLargoCyl[#All],3,0),"")</f>
        <v/>
      </c>
      <c r="F5557" t="inlineStr">
        <is>
          <t>AMD</t>
        </is>
      </c>
      <c r="G5557" t="n">
        <v>8</v>
      </c>
      <c r="H5557" t="n">
        <v>-911.1913599999999</v>
      </c>
      <c r="I5557">
        <f>-H3980/G3980</f>
        <v/>
      </c>
      <c r="J5557" s="16" t="n">
        <v>44693</v>
      </c>
      <c r="K5557">
        <f>+OPERAC[[#This Row],[cantidad]]</f>
        <v/>
      </c>
      <c r="L5557">
        <f>+OPERAC[[#This Row],[cantidad venta]]*85.26</f>
        <v/>
      </c>
    </row>
    <row r="5558">
      <c r="A5558" t="n">
        <v>19932</v>
      </c>
      <c r="B5558" s="16" t="n">
        <v>44658</v>
      </c>
      <c r="C5558" t="inlineStr">
        <is>
          <t>VTA</t>
        </is>
      </c>
      <c r="D5558" t="n">
        <v>31</v>
      </c>
      <c r="E5558">
        <f>IF(D2135&gt;0,VLOOKUP(OPERAC[[#This Row],[COD CART]],[1]!MatrizCortoLargoCyl[#All],3,0),"")</f>
        <v/>
      </c>
      <c r="F5558" t="inlineStr">
        <is>
          <t>BRK B</t>
        </is>
      </c>
      <c r="G5558" t="n">
        <v>1</v>
      </c>
      <c r="H5558" t="n">
        <v>-347.409</v>
      </c>
      <c r="I5558">
        <f>-H2135/G2135</f>
        <v/>
      </c>
    </row>
    <row r="5559">
      <c r="A5559" t="n">
        <v>19932</v>
      </c>
      <c r="B5559" s="16" t="n">
        <v>44658</v>
      </c>
      <c r="C5559" t="inlineStr">
        <is>
          <t>VTA</t>
        </is>
      </c>
      <c r="D5559" t="n">
        <v>31</v>
      </c>
      <c r="E5559">
        <f>IF(D3036&gt;0,VLOOKUP(OPERAC[[#This Row],[COD CART]],[1]!MatrizCortoLargoCyl[#All],3,0),"")</f>
        <v/>
      </c>
      <c r="F5559" t="inlineStr">
        <is>
          <t>COST</t>
        </is>
      </c>
      <c r="G5559" t="n">
        <v>1</v>
      </c>
      <c r="H5559" t="n">
        <v>-604.258</v>
      </c>
      <c r="I5559">
        <f>-H3036/G3036</f>
        <v/>
      </c>
      <c r="J5559" s="16" t="n">
        <v>44693</v>
      </c>
      <c r="K5559" t="n">
        <v>1</v>
      </c>
      <c r="L5559" t="n">
        <v>483.82</v>
      </c>
    </row>
    <row r="5560">
      <c r="A5560" t="n">
        <v>19932</v>
      </c>
      <c r="B5560" s="16" t="n">
        <v>44662</v>
      </c>
      <c r="C5560" t="inlineStr">
        <is>
          <t>VTA</t>
        </is>
      </c>
      <c r="D5560" t="n">
        <v>42</v>
      </c>
      <c r="E5560">
        <f>IF(D5591&gt;0,VLOOKUP(OPERAC[[#This Row],[COD CART]],[1]!MatrizCortoLargoCyl[#All],3,0),"")</f>
        <v/>
      </c>
      <c r="F5560" t="inlineStr">
        <is>
          <t>HYDR</t>
        </is>
      </c>
      <c r="G5560" t="n">
        <v>115</v>
      </c>
      <c r="H5560" t="n">
        <v>-2135.589559999999</v>
      </c>
      <c r="I5560">
        <f>-H5591/G5591</f>
        <v/>
      </c>
      <c r="J5560" s="16" t="n">
        <v>44693</v>
      </c>
      <c r="K5560">
        <f>+OPERAC[[#This Row],[cantidad]]</f>
        <v/>
      </c>
      <c r="L5560">
        <f>+OPERAC[[#This Row],[cantidad venta]]*11.986</f>
        <v/>
      </c>
    </row>
    <row r="5561">
      <c r="A5561" t="n">
        <v>19932</v>
      </c>
      <c r="B5561" s="16" t="n">
        <v>44664</v>
      </c>
      <c r="C5561" t="inlineStr">
        <is>
          <t>CPR</t>
        </is>
      </c>
      <c r="D5561" t="n">
        <v>42</v>
      </c>
      <c r="E5561">
        <f>IF(D4199&gt;0,VLOOKUP(OPERAC[[#This Row],[COD CART]],[1]!MatrizCortoLargoCyl[#All],3,0),"")</f>
        <v/>
      </c>
      <c r="F5561" t="inlineStr">
        <is>
          <t>AMD</t>
        </is>
      </c>
      <c r="G5561" t="n">
        <v>10</v>
      </c>
      <c r="H5561" t="n">
        <v>-987.7065453</v>
      </c>
      <c r="I5561">
        <f>-H4199/G4199</f>
        <v/>
      </c>
      <c r="J5561" s="16" t="n">
        <v>44693</v>
      </c>
      <c r="K5561">
        <f>+OPERAC[[#This Row],[cantidad]]</f>
        <v/>
      </c>
      <c r="L5561">
        <f>+OPERAC[[#This Row],[cantidad venta]]*85.26</f>
        <v/>
      </c>
    </row>
    <row r="5562">
      <c r="A5562" t="n">
        <v>19932</v>
      </c>
      <c r="B5562" s="16" t="n">
        <v>44664</v>
      </c>
      <c r="C5562" t="inlineStr">
        <is>
          <t>CPR</t>
        </is>
      </c>
      <c r="D5562" t="n">
        <v>42</v>
      </c>
      <c r="E5562">
        <f>IF(D5698&gt;0,VLOOKUP(OPERAC[[#This Row],[COD CART]],[1]!MatrizCortoLargoCyl[#All],3,0),"")</f>
        <v/>
      </c>
      <c r="F5562" t="inlineStr">
        <is>
          <t>PSQ</t>
        </is>
      </c>
      <c r="G5562" t="n">
        <v>200</v>
      </c>
      <c r="H5562" t="n">
        <v>-2486.5144362</v>
      </c>
      <c r="I5562">
        <f>-H5698/G5698</f>
        <v/>
      </c>
      <c r="J5562" s="16" t="n">
        <v>44680</v>
      </c>
      <c r="K5562">
        <f>+OPERAC[[#This Row],[cantidad]]</f>
        <v/>
      </c>
      <c r="L5562">
        <f>12.848*OPERAC[[#This Row],[cantidad venta]]</f>
        <v/>
      </c>
    </row>
    <row r="5563">
      <c r="A5563" t="n">
        <v>19932</v>
      </c>
      <c r="B5563" s="16" t="n">
        <v>44669</v>
      </c>
      <c r="C5563" t="inlineStr">
        <is>
          <t>CPR</t>
        </is>
      </c>
      <c r="D5563" t="n">
        <v>32</v>
      </c>
      <c r="E5563">
        <f>IF(D4040&gt;0,VLOOKUP(OPERAC[[#This Row],[COD CART]],[1]!MatrizCortoLargoCyl[#All],3,0),"")</f>
        <v/>
      </c>
      <c r="F5563" t="inlineStr">
        <is>
          <t>HMY</t>
        </is>
      </c>
      <c r="G5563" t="n">
        <v>200</v>
      </c>
      <c r="H5563">
        <f>-4.64*OPERAC[[#This Row],[cantidad]]</f>
        <v/>
      </c>
      <c r="I5563">
        <f>-H4040/G4040</f>
        <v/>
      </c>
      <c r="J5563" s="16" t="n">
        <v>44705</v>
      </c>
      <c r="K5563" t="n">
        <v>100</v>
      </c>
      <c r="L5563" t="n">
        <v>365.864</v>
      </c>
    </row>
    <row r="5564">
      <c r="A5564" t="n">
        <v>19932</v>
      </c>
      <c r="B5564" s="16" t="n">
        <v>44671</v>
      </c>
      <c r="C5564" t="inlineStr">
        <is>
          <t>VTA</t>
        </is>
      </c>
      <c r="D5564" t="n">
        <v>42</v>
      </c>
      <c r="E5564">
        <f>IF(D3820&gt;0,VLOOKUP(OPERAC[[#This Row],[COD CART]],[1]!MatrizCortoLargoCyl[#All],3,0),"")</f>
        <v/>
      </c>
      <c r="F5564" t="inlineStr">
        <is>
          <t>TLT</t>
        </is>
      </c>
      <c r="G5564" t="n">
        <v>7</v>
      </c>
      <c r="H5564" t="n">
        <v>-857.9410350000001</v>
      </c>
      <c r="I5564">
        <f>-H3820/G3820</f>
        <v/>
      </c>
    </row>
    <row r="5565">
      <c r="A5565" t="n">
        <v>19932</v>
      </c>
      <c r="B5565" s="16" t="n">
        <v>44671</v>
      </c>
      <c r="C5565" t="inlineStr">
        <is>
          <t>VTA</t>
        </is>
      </c>
      <c r="D5565" t="n">
        <v>42</v>
      </c>
      <c r="E5565">
        <f>IF(D3822&gt;0,VLOOKUP(OPERAC[[#This Row],[COD CART]],[1]!MatrizCortoLargoCyl[#All],3,0),"")</f>
        <v/>
      </c>
      <c r="F5565" t="inlineStr">
        <is>
          <t>TLT</t>
        </is>
      </c>
      <c r="G5565" t="n">
        <v>7</v>
      </c>
      <c r="H5565" t="n">
        <v>-857.9410350000001</v>
      </c>
      <c r="I5565">
        <f>-H3822/G3822</f>
        <v/>
      </c>
    </row>
    <row r="5566">
      <c r="A5566" t="n">
        <v>19932</v>
      </c>
      <c r="B5566" s="16" t="n">
        <v>44671</v>
      </c>
      <c r="C5566" t="inlineStr">
        <is>
          <t>VTA</t>
        </is>
      </c>
      <c r="D5566" t="n">
        <v>42</v>
      </c>
      <c r="E5566">
        <f>IF(D5619&gt;0,VLOOKUP(OPERAC[[#This Row],[COD CART]],[1]!MatrizCortoLargoCyl[#All],3,0),"")</f>
        <v/>
      </c>
      <c r="F5566" t="inlineStr">
        <is>
          <t>NFLX</t>
        </is>
      </c>
      <c r="G5566" t="n">
        <v>9</v>
      </c>
      <c r="H5566" t="n">
        <v>-2290.54554</v>
      </c>
      <c r="I5566">
        <f>-H5619/G5619</f>
        <v/>
      </c>
      <c r="J5566" s="16" t="n">
        <v>44693</v>
      </c>
      <c r="K5566">
        <f>+OPERAC[[#This Row],[cantidad]]</f>
        <v/>
      </c>
      <c r="L5566">
        <f>+OPERAC[[#This Row],[cantidad venta]]*169.089</f>
        <v/>
      </c>
    </row>
    <row r="5567">
      <c r="A5567" t="n">
        <v>19932</v>
      </c>
      <c r="B5567" s="16" t="n">
        <v>44680</v>
      </c>
      <c r="C5567" t="inlineStr">
        <is>
          <t>CPR</t>
        </is>
      </c>
      <c r="D5567" t="n">
        <v>42</v>
      </c>
      <c r="E5567">
        <f>IF(D5748&gt;0,VLOOKUP(OPERAC[[#This Row],[COD CART]],[1]!MatrizCortoLargoCyl[#All],3,0),"")</f>
        <v/>
      </c>
      <c r="F5567" t="inlineStr">
        <is>
          <t>XLP</t>
        </is>
      </c>
      <c r="G5567" t="n">
        <v>33</v>
      </c>
      <c r="H5567" t="n">
        <v>-2621.3385825</v>
      </c>
      <c r="I5567">
        <f>-H5748/G5748</f>
        <v/>
      </c>
      <c r="J5567" s="16" t="n">
        <v>44693</v>
      </c>
      <c r="K5567">
        <f>+OPERAC[[#This Row],[cantidad]]</f>
        <v/>
      </c>
      <c r="L5567">
        <f>+OPERAC[[#This Row],[cantidad venta]]*74.848</f>
        <v/>
      </c>
    </row>
    <row r="5568">
      <c r="A5568" t="n">
        <v>19932</v>
      </c>
      <c r="B5568" s="16" t="n">
        <v>44691</v>
      </c>
      <c r="C5568" t="inlineStr">
        <is>
          <t>CPR</t>
        </is>
      </c>
      <c r="D5568" t="n">
        <v>32</v>
      </c>
      <c r="E5568">
        <f>IF(D5998&gt;0,VLOOKUP(OPERAC[[#This Row],[COD CART]],[1]!MatrizCortoLargoCyl[#All],3,0),"")</f>
        <v/>
      </c>
      <c r="F5568" t="inlineStr">
        <is>
          <t>UPST</t>
        </is>
      </c>
      <c r="G5568" t="n">
        <v>100</v>
      </c>
      <c r="H5568" t="n">
        <v>-3321.11</v>
      </c>
      <c r="I5568">
        <f>-H5998/G5998</f>
        <v/>
      </c>
      <c r="J5568" s="16" t="n">
        <v>44701</v>
      </c>
      <c r="K5568" t="n">
        <v>100</v>
      </c>
      <c r="L5568" t="n">
        <v>4386.11</v>
      </c>
    </row>
    <row r="5569">
      <c r="A5569" t="n">
        <v>19932</v>
      </c>
      <c r="B5569" s="16" t="n">
        <v>44694</v>
      </c>
      <c r="C5569" t="inlineStr">
        <is>
          <t>VTA</t>
        </is>
      </c>
      <c r="D5569" t="n">
        <v>43</v>
      </c>
      <c r="E5569">
        <f>IF(D5163&gt;0,VLOOKUP(OPERAC[[#This Row],[COD CART]],[1]!MatrizCortoLargoCyl[#All],3,0),"")</f>
        <v/>
      </c>
      <c r="F5569" t="inlineStr">
        <is>
          <t>PCT/CYL-PUT/7,50/20-01-23</t>
        </is>
      </c>
      <c r="G5569" t="n">
        <v>500</v>
      </c>
      <c r="H5569" t="n">
        <v>-1609.819</v>
      </c>
      <c r="I5569">
        <f>-H5163/G5163</f>
        <v/>
      </c>
    </row>
    <row r="5570">
      <c r="A5570" t="n">
        <v>19932</v>
      </c>
      <c r="B5570" s="16" t="n">
        <v>44697</v>
      </c>
      <c r="C5570" t="inlineStr">
        <is>
          <t>CPR</t>
        </is>
      </c>
      <c r="D5570" t="n">
        <v>32</v>
      </c>
      <c r="E5570">
        <f>IF(D4713&gt;0,VLOOKUP(OPERAC[[#This Row],[COD CART]],[1]!MatrizCortoLargoCyl[#All],3,0),"")</f>
        <v/>
      </c>
      <c r="F5570" t="inlineStr">
        <is>
          <t>TLRY/CYL/6,00/24-06-22</t>
        </is>
      </c>
      <c r="G5570" t="n">
        <v>300</v>
      </c>
      <c r="H5570" t="n">
        <v>-1324.676</v>
      </c>
      <c r="I5570">
        <f>-H4713/G4713</f>
        <v/>
      </c>
    </row>
    <row r="5571">
      <c r="A5571" t="n">
        <v>19932</v>
      </c>
      <c r="B5571" s="16" t="n">
        <v>44697</v>
      </c>
      <c r="C5571" t="inlineStr">
        <is>
          <t>CPR</t>
        </is>
      </c>
      <c r="D5571" t="n">
        <v>32</v>
      </c>
      <c r="E5571">
        <f>IF(D5989&gt;0,VLOOKUP(OPERAC[[#This Row],[COD CART]],[1]!MatrizCortoLargoCyl[#All],3,0),"")</f>
        <v/>
      </c>
      <c r="F5571" t="inlineStr">
        <is>
          <t>COTY/CYL/8,50/01-07-22</t>
        </is>
      </c>
      <c r="G5571" t="n">
        <v>500</v>
      </c>
      <c r="H5571" t="n">
        <v>-3265.31</v>
      </c>
      <c r="I5571">
        <f>-H5989/G5989</f>
        <v/>
      </c>
    </row>
    <row r="5572">
      <c r="A5572" t="n">
        <v>19932</v>
      </c>
      <c r="B5572" s="16" t="n">
        <v>44697</v>
      </c>
      <c r="C5572" t="inlineStr">
        <is>
          <t>VTA</t>
        </is>
      </c>
      <c r="D5572" t="n">
        <v>32</v>
      </c>
      <c r="E5572">
        <f>IF(D5615&gt;0,VLOOKUP(OPERAC[[#This Row],[COD CART]],[1]!MatrizCortoLargoCyl[#All],3,0),"")</f>
        <v/>
      </c>
      <c r="F5572" t="inlineStr">
        <is>
          <t>LAC/CYL/30,00/17-06-22</t>
        </is>
      </c>
      <c r="G5572" t="n">
        <v>100</v>
      </c>
      <c r="H5572" t="n">
        <v>-2276.25</v>
      </c>
      <c r="I5572">
        <f>-H5615/G5615</f>
        <v/>
      </c>
    </row>
    <row r="5573">
      <c r="A5573" t="n">
        <v>19932</v>
      </c>
      <c r="B5573" s="16" t="n">
        <v>44698</v>
      </c>
      <c r="C5573" t="inlineStr">
        <is>
          <t>CPR</t>
        </is>
      </c>
      <c r="D5573" t="n">
        <v>39</v>
      </c>
      <c r="E5573">
        <f>IF(D4603&gt;0,VLOOKUP(OPERAC[[#This Row],[COD CART]],[1]!MatrizCortoLargoCyl[#All],3,0),"")</f>
        <v/>
      </c>
      <c r="F5573" t="inlineStr">
        <is>
          <t>NTLA/C/65,00/15-07-22</t>
        </is>
      </c>
      <c r="G5573" t="n">
        <v>500</v>
      </c>
      <c r="H5573" t="n">
        <v>-1260.625</v>
      </c>
      <c r="I5573">
        <f>-H4603/G4603</f>
        <v/>
      </c>
    </row>
    <row r="5574">
      <c r="A5574" t="n">
        <v>19932</v>
      </c>
      <c r="B5574" s="16" t="n">
        <v>44707</v>
      </c>
      <c r="C5574" t="inlineStr">
        <is>
          <t>VTA</t>
        </is>
      </c>
      <c r="D5574" t="n">
        <v>43</v>
      </c>
      <c r="E5574">
        <f>IF(D5292&gt;0,VLOOKUP(OPERAC[[#This Row],[COD CART]],[1]!MatrizCortoLargoCyl[#All],3,0),"")</f>
        <v/>
      </c>
      <c r="F5574" t="inlineStr">
        <is>
          <t>SPWR/CYP/17,50-15,00/17-06-22</t>
        </is>
      </c>
      <c r="G5574" t="n">
        <v>100</v>
      </c>
      <c r="H5574" t="n">
        <v>-1717.027</v>
      </c>
      <c r="I5574">
        <f>-H5292/G5292</f>
        <v/>
      </c>
    </row>
    <row r="5575">
      <c r="A5575" t="n">
        <v>19932</v>
      </c>
      <c r="B5575" s="16" t="n">
        <v>44708</v>
      </c>
      <c r="C5575" t="inlineStr">
        <is>
          <t>CPR</t>
        </is>
      </c>
      <c r="D5575" t="n">
        <v>32</v>
      </c>
      <c r="E5575">
        <f>IF(D4351&gt;0,VLOOKUP(OPERAC[[#This Row],[COD CART]],[1]!MatrizCortoLargoCyl[#All],3,0),"")</f>
        <v/>
      </c>
      <c r="F5575" t="inlineStr">
        <is>
          <t>AMC/CYL/11,00/03-06-22</t>
        </is>
      </c>
      <c r="G5575" t="n">
        <v>100</v>
      </c>
      <c r="H5575" t="n">
        <v>-1071.908</v>
      </c>
      <c r="I5575">
        <f>-H4351/G4351</f>
        <v/>
      </c>
      <c r="J5575" s="16" t="n">
        <v>44715</v>
      </c>
      <c r="K5575">
        <f>+OPERAC[[#This Row],[cantidad]]</f>
        <v/>
      </c>
      <c r="L5575">
        <f>+OPERAC[[#This Row],[cantidad venta]]*10.951</f>
        <v/>
      </c>
    </row>
    <row r="5576">
      <c r="A5576" t="n">
        <v>19932</v>
      </c>
      <c r="B5576" s="16" t="n">
        <v>44712</v>
      </c>
      <c r="C5576" t="inlineStr">
        <is>
          <t>CPR</t>
        </is>
      </c>
      <c r="D5576" t="n">
        <v>32</v>
      </c>
      <c r="E5576">
        <f>IF(D3253&gt;0,VLOOKUP(OPERAC[[#This Row],[COD CART]],[1]!MatrizCortoLargoCyl[#All],3,0),"")</f>
        <v/>
      </c>
      <c r="F5576" t="inlineStr">
        <is>
          <t>COTY/CYL/7,00/17-06-22</t>
        </is>
      </c>
      <c r="G5576" t="n">
        <v>100</v>
      </c>
      <c r="H5576" t="n">
        <v>-677.42</v>
      </c>
      <c r="I5576">
        <f>-H3253/G3253</f>
        <v/>
      </c>
    </row>
    <row r="5577">
      <c r="A5577" t="n">
        <v>19932</v>
      </c>
      <c r="B5577" s="16" t="n">
        <v>44712</v>
      </c>
      <c r="C5577" t="inlineStr">
        <is>
          <t>CPR</t>
        </is>
      </c>
      <c r="D5577" t="n">
        <v>32</v>
      </c>
      <c r="E5577">
        <f>IF(D4778&gt;0,VLOOKUP(OPERAC[[#This Row],[COD CART]],[1]!MatrizCortoLargoCyl[#All],3,0),"")</f>
        <v/>
      </c>
      <c r="F5577" t="inlineStr">
        <is>
          <t>CRESY/CYL/7,50/17-06-22</t>
        </is>
      </c>
      <c r="G5577" t="n">
        <v>200</v>
      </c>
      <c r="H5577" t="n">
        <v>-1386.15</v>
      </c>
      <c r="I5577">
        <f>-H4778/G4778</f>
        <v/>
      </c>
    </row>
    <row r="5578">
      <c r="A5578" t="n">
        <v>19932</v>
      </c>
      <c r="B5578" s="16" t="n">
        <v>44718</v>
      </c>
      <c r="C5578" t="inlineStr">
        <is>
          <t>CPR</t>
        </is>
      </c>
      <c r="D5578" t="n">
        <v>42</v>
      </c>
      <c r="E5578">
        <f>IF(D5950&gt;0,VLOOKUP(OPERAC[[#This Row],[COD CART]],[1]!MatrizCortoLargoCyl[#All],3,0),"")</f>
        <v/>
      </c>
      <c r="F5578" t="inlineStr">
        <is>
          <t>KWEB</t>
        </is>
      </c>
      <c r="G5578" t="n">
        <v>100</v>
      </c>
      <c r="H5578" t="n">
        <v>-3108.3388</v>
      </c>
      <c r="I5578">
        <f>-H5950/G5950</f>
        <v/>
      </c>
    </row>
    <row r="5579">
      <c r="A5579" t="n">
        <v>19934</v>
      </c>
      <c r="B5579" s="16" t="n">
        <v>44340</v>
      </c>
      <c r="C5579" t="inlineStr">
        <is>
          <t>VTA</t>
        </is>
      </c>
      <c r="D5579" t="n">
        <v>39</v>
      </c>
      <c r="E5579">
        <f>IF(D836&gt;0,VLOOKUP(OPERAC[[#This Row],[COD CART]],[1]!MatrizCortoLargoCyl[#All],3,0),"")</f>
        <v/>
      </c>
      <c r="F5579" t="inlineStr">
        <is>
          <t>SOLO/V/3,50/21-01-22</t>
        </is>
      </c>
      <c r="G5579" t="n">
        <v>-200</v>
      </c>
      <c r="H5579" t="n">
        <v>209.171</v>
      </c>
      <c r="I5579">
        <f>-H836/G836</f>
        <v/>
      </c>
      <c r="J5579" s="16" t="n">
        <v>44579</v>
      </c>
      <c r="K5579">
        <f>+OPERAC[[#This Row],[cantidad]]</f>
        <v/>
      </c>
      <c r="L5579">
        <f>-OPERAC[[#This Row],[importe]]</f>
        <v/>
      </c>
    </row>
    <row r="5580">
      <c r="A5580" t="n">
        <v>19934</v>
      </c>
      <c r="B5580" s="16" t="n">
        <v>44461</v>
      </c>
      <c r="C5580" t="inlineStr">
        <is>
          <t>VTA</t>
        </is>
      </c>
      <c r="D5580" t="n">
        <v>40</v>
      </c>
      <c r="E5580">
        <f>IF(D2824&gt;0,VLOOKUP(OPERAC[[#This Row],[COD CART]],[1]!MatrizCortoLargoCyl[#All],3,0),"")</f>
        <v/>
      </c>
      <c r="F5580" t="inlineStr">
        <is>
          <t>EDU</t>
        </is>
      </c>
      <c r="G5580" t="n">
        <v>500</v>
      </c>
      <c r="H5580">
        <f>-1.0864*OPERAC[[#This Row],[cantidad]]+0.04*OPERAC[[#This Row],[cantidad]]</f>
        <v/>
      </c>
      <c r="I5580">
        <f>-H2824/G2824</f>
        <v/>
      </c>
      <c r="J5580" s="16" t="n">
        <v>44615</v>
      </c>
      <c r="K5580" t="n">
        <v>500</v>
      </c>
      <c r="L5580">
        <f>+OPERAC[[#This Row],[cantidad venta]]*1.495</f>
        <v/>
      </c>
    </row>
    <row r="5581">
      <c r="A5581" t="n">
        <v>19934</v>
      </c>
      <c r="B5581" s="16" t="n">
        <v>44466</v>
      </c>
      <c r="C5581" t="inlineStr">
        <is>
          <t>VTA</t>
        </is>
      </c>
      <c r="D5581" t="n">
        <v>43</v>
      </c>
      <c r="E5581">
        <f>IF(D2344&gt;0,VLOOKUP(OPERAC[[#This Row],[COD CART]],[1]!MatrizCortoLargoCyl[#All],3,0),"")</f>
        <v/>
      </c>
      <c r="F5581" t="inlineStr">
        <is>
          <t>SOLO/CYL-PUT/4,00/16-09-22</t>
        </is>
      </c>
      <c r="G5581" t="n">
        <v>200</v>
      </c>
      <c r="H5581">
        <f>-594.83454+0.32*OPERAC[[#This Row],[cantidad]]+0.387*OPERAC[[#This Row],[cantidad]]+0.22*OPERAC[[#This Row],[cantidad]]</f>
        <v/>
      </c>
      <c r="I5581">
        <f>-H2344/G2344</f>
        <v/>
      </c>
    </row>
    <row r="5582">
      <c r="A5582" t="n">
        <v>19934</v>
      </c>
      <c r="B5582" s="16" t="n">
        <v>44489</v>
      </c>
      <c r="C5582" t="inlineStr">
        <is>
          <t>VTA</t>
        </is>
      </c>
      <c r="D5582" t="n">
        <v>43</v>
      </c>
      <c r="E5582">
        <f>IF(D2986&gt;0,VLOOKUP(OPERAC[[#This Row],[COD CART]],[1]!MatrizCortoLargoCyl[#All],3,0),"")</f>
        <v/>
      </c>
      <c r="F5582" t="inlineStr">
        <is>
          <t>SESN/CYL-PUT/1,00/19-01-24</t>
        </is>
      </c>
      <c r="G5582" t="n">
        <v>3000</v>
      </c>
      <c r="H5582">
        <f>-0.1885*OPERAC[[#This Row],[cantidad]]</f>
        <v/>
      </c>
      <c r="I5582">
        <f>-H2986/G2986</f>
        <v/>
      </c>
    </row>
    <row r="5583">
      <c r="A5583" t="n">
        <v>19934</v>
      </c>
      <c r="B5583" s="16" t="n">
        <v>44494</v>
      </c>
      <c r="C5583" t="inlineStr">
        <is>
          <t>CPR</t>
        </is>
      </c>
      <c r="D5583" t="n">
        <v>40</v>
      </c>
      <c r="E5583">
        <f>IF(D4279&gt;0,VLOOKUP(OPERAC[[#This Row],[COD CART]],[1]!MatrizCortoLargoCyl[#All],3,0),"")</f>
        <v/>
      </c>
      <c r="F5583" t="inlineStr">
        <is>
          <t>YPF</t>
        </is>
      </c>
      <c r="G5583" t="n">
        <v>220</v>
      </c>
      <c r="H5583" t="n">
        <v>-1023.5984</v>
      </c>
      <c r="I5583">
        <f>-H4279/G4279</f>
        <v/>
      </c>
      <c r="J5583" s="16" t="n">
        <v>44606</v>
      </c>
      <c r="K5583">
        <f>+OPERAC[[#This Row],[cantidad]]</f>
        <v/>
      </c>
      <c r="L5583">
        <f>+OPERAC[[#This Row],[cantidad venta]]*4.161</f>
        <v/>
      </c>
    </row>
    <row r="5584">
      <c r="A5584" t="n">
        <v>19934</v>
      </c>
      <c r="B5584" s="16" t="n">
        <v>44523</v>
      </c>
      <c r="C5584" t="inlineStr">
        <is>
          <t>VTA</t>
        </is>
      </c>
      <c r="D5584" t="n">
        <v>40</v>
      </c>
      <c r="E5584">
        <f>IF(D1478&gt;0,VLOOKUP(OPERAC[[#This Row],[COD CART]],[1]!MatrizCortoLargoCyl[#All],3,0),"")</f>
        <v/>
      </c>
      <c r="F5584" t="inlineStr">
        <is>
          <t>EDU</t>
        </is>
      </c>
      <c r="G5584" t="n">
        <v>100</v>
      </c>
      <c r="H5584">
        <f>-177.949+0.026*OPERAC[[#This Row],[cantidad]]</f>
        <v/>
      </c>
      <c r="I5584">
        <f>-H1478/G1478</f>
        <v/>
      </c>
      <c r="J5584" s="16" t="n">
        <v>44615</v>
      </c>
      <c r="K5584" t="n">
        <v>100</v>
      </c>
      <c r="L5584">
        <f>+OPERAC[[#This Row],[cantidad venta]]*1.495</f>
        <v/>
      </c>
    </row>
    <row r="5585">
      <c r="A5585" t="n">
        <v>19934</v>
      </c>
      <c r="B5585" s="16" t="n">
        <v>44532</v>
      </c>
      <c r="C5585" t="inlineStr">
        <is>
          <t>VTA</t>
        </is>
      </c>
      <c r="D5585" t="n">
        <v>32</v>
      </c>
      <c r="E5585">
        <f>IF(D3943&gt;0,VLOOKUP(OPERAC[[#This Row],[COD CART]],[1]!MatrizCortoLargoCyl[#All],3,0),"")</f>
        <v/>
      </c>
      <c r="F5585" t="inlineStr">
        <is>
          <t>COTY/CYL/10,00/18-02-22</t>
        </is>
      </c>
      <c r="G5585" t="n">
        <v>100</v>
      </c>
      <c r="H5585">
        <f>-901.599+20.838</f>
        <v/>
      </c>
      <c r="I5585">
        <f>-H3943/G3943</f>
        <v/>
      </c>
      <c r="J5585" s="16" t="n">
        <v>44608</v>
      </c>
      <c r="K5585">
        <f>+OPERAC[[#This Row],[cantidad]]</f>
        <v/>
      </c>
      <c r="L5585" t="n">
        <v>941.701</v>
      </c>
    </row>
    <row r="5586">
      <c r="A5586" t="n">
        <v>19934</v>
      </c>
      <c r="B5586" s="16" t="n">
        <v>44539</v>
      </c>
      <c r="C5586" t="inlineStr">
        <is>
          <t>CPR</t>
        </is>
      </c>
      <c r="D5586" t="n">
        <v>40</v>
      </c>
      <c r="E5586">
        <f>IF(D4659&gt;0,VLOOKUP(OPERAC[[#This Row],[COD CART]],[1]!MatrizCortoLargoCyl[#All],3,0),"")</f>
        <v/>
      </c>
      <c r="F5586" t="inlineStr">
        <is>
          <t>ROKU</t>
        </is>
      </c>
      <c r="G5586" t="n">
        <v>5</v>
      </c>
      <c r="H5586" t="n">
        <v>-1288.6018</v>
      </c>
      <c r="I5586">
        <f>-H4659/G4659</f>
        <v/>
      </c>
      <c r="J5586" s="16" t="n">
        <v>44606</v>
      </c>
      <c r="K5586">
        <f>+OPERAC[[#This Row],[cantidad]]</f>
        <v/>
      </c>
      <c r="L5586">
        <f>+OPERAC[[#This Row],[cantidad venta]]*160.574</f>
        <v/>
      </c>
    </row>
    <row r="5587">
      <c r="A5587" t="n">
        <v>19934</v>
      </c>
      <c r="B5587" s="16" t="n">
        <v>44553</v>
      </c>
      <c r="C5587" t="inlineStr">
        <is>
          <t>VTA</t>
        </is>
      </c>
      <c r="D5587" t="n">
        <v>40</v>
      </c>
      <c r="E5587">
        <f>IF(D2106&gt;0,VLOOKUP(OPERAC[[#This Row],[COD CART]],[1]!MatrizCortoLargoCyl[#All],3,0),"")</f>
        <v/>
      </c>
      <c r="F5587" t="inlineStr">
        <is>
          <t>ON</t>
        </is>
      </c>
      <c r="G5587" t="n">
        <v>5</v>
      </c>
      <c r="H5587" t="n">
        <v>-335.56804</v>
      </c>
      <c r="I5587">
        <f>-H2106/G2106</f>
        <v/>
      </c>
      <c r="J5587" s="16" t="n">
        <v>44606</v>
      </c>
      <c r="K5587">
        <f>+OPERAC[[#This Row],[cantidad]]</f>
        <v/>
      </c>
      <c r="L5587">
        <f>+OPERAC[[#This Row],[cantidad venta]]*58.449</f>
        <v/>
      </c>
    </row>
    <row r="5588">
      <c r="A5588" t="n">
        <v>19934</v>
      </c>
      <c r="B5588" s="16" t="n">
        <v>44579</v>
      </c>
      <c r="C5588" t="inlineStr">
        <is>
          <t>VTA</t>
        </is>
      </c>
      <c r="D5588" t="n">
        <v>39</v>
      </c>
      <c r="E5588">
        <f>IF(D789&gt;0,VLOOKUP(OPERAC[[#This Row],[COD CART]],[1]!MatrizCortoLargoCyl[#All],3,0),"")</f>
        <v/>
      </c>
      <c r="F5588" t="inlineStr">
        <is>
          <t>SOLO/V/3,50/25-02-22</t>
        </is>
      </c>
      <c r="G5588" t="n">
        <v>-200</v>
      </c>
      <c r="H5588" t="n">
        <v>276.37148</v>
      </c>
      <c r="I5588">
        <f>-H789/G789</f>
        <v/>
      </c>
      <c r="J5588" s="16" t="n">
        <v>44608</v>
      </c>
      <c r="K5588">
        <f>+OPERAC[[#This Row],[cantidad]]</f>
        <v/>
      </c>
      <c r="L5588" t="n">
        <v>-279.008</v>
      </c>
    </row>
    <row r="5589">
      <c r="A5589" t="n">
        <v>19934</v>
      </c>
      <c r="B5589" s="16" t="n">
        <v>44594</v>
      </c>
      <c r="C5589" t="inlineStr">
        <is>
          <t>CPR</t>
        </is>
      </c>
      <c r="D5589" t="n">
        <v>40</v>
      </c>
      <c r="E5589">
        <f>IF(D4235&gt;0,VLOOKUP(OPERAC[[#This Row],[COD CART]],[1]!MatrizCortoLargoCyl[#All],3,0),"")</f>
        <v/>
      </c>
      <c r="F5589" t="inlineStr">
        <is>
          <t>EDU</t>
        </is>
      </c>
      <c r="G5589" t="n">
        <v>500</v>
      </c>
      <c r="H5589" t="n">
        <v>-1008</v>
      </c>
      <c r="I5589">
        <f>-H4235/G4235</f>
        <v/>
      </c>
      <c r="J5589" s="16" t="n">
        <v>44599</v>
      </c>
      <c r="K5589" t="n">
        <v>500</v>
      </c>
      <c r="L5589" t="n">
        <v>770</v>
      </c>
    </row>
    <row r="5590">
      <c r="A5590" t="n">
        <v>19934</v>
      </c>
      <c r="B5590" s="16" t="n">
        <v>44602</v>
      </c>
      <c r="C5590" t="inlineStr">
        <is>
          <t>VTA</t>
        </is>
      </c>
      <c r="D5590" t="n">
        <v>39</v>
      </c>
      <c r="E5590">
        <f>IF(D903&gt;0,VLOOKUP(OPERAC[[#This Row],[COD CART]],[1]!MatrizCortoLargoCyl[#All],3,0),"")</f>
        <v/>
      </c>
      <c r="F5590" t="inlineStr">
        <is>
          <t>TSLA/C/1005,00/11-02-22</t>
        </is>
      </c>
      <c r="G5590" t="n">
        <v>-300</v>
      </c>
      <c r="H5590">
        <f>-0.5*OPERAC[[#This Row],[cantidad]]</f>
        <v/>
      </c>
      <c r="I5590">
        <f>-H903/G903</f>
        <v/>
      </c>
      <c r="J5590" s="16" t="n">
        <v>44603</v>
      </c>
      <c r="K5590" t="n">
        <v>-300</v>
      </c>
      <c r="L5590" t="n">
        <v>0</v>
      </c>
    </row>
    <row r="5591">
      <c r="A5591" t="n">
        <v>19934</v>
      </c>
      <c r="B5591" s="16" t="n">
        <v>44602</v>
      </c>
      <c r="C5591" t="inlineStr">
        <is>
          <t>VTA</t>
        </is>
      </c>
      <c r="D5591" t="n">
        <v>39</v>
      </c>
      <c r="E5591">
        <f>IF(D904&gt;0,VLOOKUP(OPERAC[[#This Row],[COD CART]],[1]!MatrizCortoLargoCyl[#All],3,0),"")</f>
        <v/>
      </c>
      <c r="F5591" t="inlineStr">
        <is>
          <t>TSLA/V/840,00/11-02-22</t>
        </is>
      </c>
      <c r="G5591" t="n">
        <v>-300</v>
      </c>
      <c r="H5591">
        <f>-0.5*OPERAC[[#This Row],[cantidad]]</f>
        <v/>
      </c>
      <c r="I5591">
        <f>-H904/G904</f>
        <v/>
      </c>
      <c r="J5591" s="16" t="n">
        <v>44603</v>
      </c>
      <c r="K5591" t="n">
        <v>-300</v>
      </c>
      <c r="L5591" t="n">
        <v>0</v>
      </c>
    </row>
    <row r="5592">
      <c r="A5592" t="n">
        <v>19934</v>
      </c>
      <c r="B5592" s="16" t="n">
        <v>44608</v>
      </c>
      <c r="C5592" t="inlineStr">
        <is>
          <t>VTA</t>
        </is>
      </c>
      <c r="D5592" t="n">
        <v>39</v>
      </c>
      <c r="E5592">
        <f>IF(D893&gt;0,VLOOKUP(OPERAC[[#This Row],[COD CART]],[1]!MatrizCortoLargoCyl[#All],3,0),"")</f>
        <v/>
      </c>
      <c r="F5592" t="inlineStr">
        <is>
          <t>SOLO/V/3,00/18-03-22</t>
        </is>
      </c>
      <c r="G5592" t="n">
        <v>-200</v>
      </c>
      <c r="H5592" t="n">
        <v>171.008</v>
      </c>
      <c r="I5592">
        <f>-H893/G893</f>
        <v/>
      </c>
      <c r="J5592" s="16" t="n">
        <v>44634</v>
      </c>
      <c r="K5592" t="n">
        <v>-200</v>
      </c>
      <c r="L5592" t="n">
        <v>-240.702</v>
      </c>
    </row>
    <row r="5593">
      <c r="A5593" t="n">
        <v>19934</v>
      </c>
      <c r="B5593" s="16" t="n">
        <v>44608</v>
      </c>
      <c r="C5593" t="inlineStr">
        <is>
          <t>VTA</t>
        </is>
      </c>
      <c r="D5593" t="n">
        <v>32</v>
      </c>
      <c r="E5593">
        <f>IF(D5119&gt;0,VLOOKUP(OPERAC[[#This Row],[COD CART]],[1]!MatrizCortoLargoCyl[#All],3,0),"")</f>
        <v/>
      </c>
      <c r="F5593" t="inlineStr">
        <is>
          <t>DDD/CYL/17,00/01-04-22</t>
        </is>
      </c>
      <c r="G5593" t="n">
        <v>100</v>
      </c>
      <c r="H5593">
        <f>-1629.4234+19.7+16.45</f>
        <v/>
      </c>
      <c r="I5593">
        <f>-H5119/G5119</f>
        <v/>
      </c>
      <c r="J5593" s="16" t="n">
        <v>44649</v>
      </c>
      <c r="K5593" t="n">
        <v>100</v>
      </c>
      <c r="L5593" t="n">
        <v>1661.98</v>
      </c>
    </row>
    <row r="5594">
      <c r="A5594" t="n">
        <v>19934</v>
      </c>
      <c r="B5594" s="16" t="n">
        <v>44616</v>
      </c>
      <c r="C5594" t="inlineStr">
        <is>
          <t>CPR</t>
        </is>
      </c>
      <c r="D5594" t="n">
        <v>32</v>
      </c>
      <c r="E5594">
        <f>IF(D3300&gt;0,VLOOKUP(OPERAC[[#This Row],[COD CART]],[1]!MatrizCortoLargoCyl[#All],3,0),"")</f>
        <v/>
      </c>
      <c r="F5594" t="inlineStr">
        <is>
          <t>UUUU/CYL/8,00/18-03-22</t>
        </is>
      </c>
      <c r="G5594" t="n">
        <v>100</v>
      </c>
      <c r="H5594" t="n">
        <v>-683.826</v>
      </c>
      <c r="I5594">
        <f>-H3300/G3300</f>
        <v/>
      </c>
      <c r="J5594" s="16" t="n">
        <v>44636</v>
      </c>
      <c r="K5594">
        <f>+OPERAC[[#This Row],[cantidad]]</f>
        <v/>
      </c>
      <c r="L5594" t="n">
        <v>767.46</v>
      </c>
    </row>
    <row r="5595">
      <c r="A5595" t="n">
        <v>19934</v>
      </c>
      <c r="B5595" s="16" t="n">
        <v>44616</v>
      </c>
      <c r="C5595" t="inlineStr">
        <is>
          <t>VTA</t>
        </is>
      </c>
      <c r="D5595" t="n">
        <v>32</v>
      </c>
      <c r="E5595">
        <f>IF(D5055&gt;0,VLOOKUP(OPERAC[[#This Row],[COD CART]],[1]!MatrizCortoLargoCyl[#All],3,0),"")</f>
        <v/>
      </c>
      <c r="F5595" t="inlineStr">
        <is>
          <t>SPWR/CYL/20,00/18-03-22</t>
        </is>
      </c>
      <c r="G5595" t="n">
        <v>100</v>
      </c>
      <c r="H5595" t="n">
        <v>-1573.0928</v>
      </c>
      <c r="I5595">
        <f>-H5055/G5055</f>
        <v/>
      </c>
      <c r="J5595" s="16" t="n">
        <v>44636</v>
      </c>
      <c r="K5595" t="n">
        <v>100</v>
      </c>
      <c r="L5595" t="n">
        <v>1911.85</v>
      </c>
    </row>
    <row r="5596">
      <c r="A5596" t="n">
        <v>19934</v>
      </c>
      <c r="B5596" s="16" t="n">
        <v>44637</v>
      </c>
      <c r="C5596" t="inlineStr">
        <is>
          <t>VTA</t>
        </is>
      </c>
      <c r="D5596" t="n">
        <v>39</v>
      </c>
      <c r="E5596">
        <f>IF(D743&gt;0,VLOOKUP(OPERAC[[#This Row],[COD CART]],[1]!MatrizCortoLargoCyl[#All],3,0),"")</f>
        <v/>
      </c>
      <c r="F5596" t="inlineStr">
        <is>
          <t>TSLA/V/765,00/18-03-22</t>
        </is>
      </c>
      <c r="G5596" t="n">
        <v>-400</v>
      </c>
      <c r="H5596" t="n">
        <v>375.872</v>
      </c>
      <c r="I5596">
        <f>-H743/G743</f>
        <v/>
      </c>
      <c r="J5596" s="16" t="n">
        <v>44638</v>
      </c>
      <c r="K5596" t="n">
        <v>-400</v>
      </c>
      <c r="L5596" t="n">
        <v>-79.408</v>
      </c>
    </row>
    <row r="5597">
      <c r="A5597" t="n">
        <v>19934</v>
      </c>
      <c r="B5597" s="16" t="n">
        <v>44641</v>
      </c>
      <c r="C5597" t="inlineStr">
        <is>
          <t>CPR</t>
        </is>
      </c>
      <c r="D5597" t="n">
        <v>42</v>
      </c>
      <c r="E5597">
        <f>IF(D3649&gt;0,VLOOKUP(OPERAC[[#This Row],[COD CART]],[1]!MatrizCortoLargoCyl[#All],3,0),"")</f>
        <v/>
      </c>
      <c r="F5597" t="inlineStr">
        <is>
          <t>SMH</t>
        </is>
      </c>
      <c r="G5597" t="n">
        <v>3</v>
      </c>
      <c r="H5597" t="n">
        <v>-806.8729500000001</v>
      </c>
      <c r="I5597">
        <f>-H3649/G3649</f>
        <v/>
      </c>
      <c r="J5597" s="16" t="n">
        <v>44663</v>
      </c>
      <c r="K5597">
        <f>+OPERAC[[#This Row],[cantidad]]</f>
        <v/>
      </c>
      <c r="L5597">
        <f>+OPERAC[[#This Row],[cantidad venta]]*238.066</f>
        <v/>
      </c>
    </row>
    <row r="5598">
      <c r="A5598" t="n">
        <v>19934</v>
      </c>
      <c r="B5598" s="16" t="n">
        <v>44641</v>
      </c>
      <c r="C5598" t="inlineStr">
        <is>
          <t>VTA</t>
        </is>
      </c>
      <c r="D5598" t="n">
        <v>42</v>
      </c>
      <c r="E5598">
        <f>IF(D2931&gt;0,VLOOKUP(OPERAC[[#This Row],[COD CART]],[1]!MatrizCortoLargoCyl[#All],3,0),"")</f>
        <v/>
      </c>
      <c r="F5598" t="inlineStr">
        <is>
          <t>DIS</t>
        </is>
      </c>
      <c r="G5598" t="n">
        <v>4</v>
      </c>
      <c r="H5598" t="n">
        <v>-557.0848</v>
      </c>
      <c r="I5598">
        <f>-H2931/G2931</f>
        <v/>
      </c>
      <c r="J5598" s="16" t="n">
        <v>44671</v>
      </c>
      <c r="K5598">
        <f>+OPERAC[[#This Row],[cantidad]]</f>
        <v/>
      </c>
      <c r="L5598">
        <f>+OPERAC[[#This Row],[cantidad venta]]*123.621</f>
        <v/>
      </c>
    </row>
    <row r="5599">
      <c r="A5599" t="n">
        <v>19934</v>
      </c>
      <c r="B5599" s="16" t="n">
        <v>44641</v>
      </c>
      <c r="C5599" t="inlineStr">
        <is>
          <t>VTA</t>
        </is>
      </c>
      <c r="D5599" t="n">
        <v>42</v>
      </c>
      <c r="E5599">
        <f>IF(D2965&gt;0,VLOOKUP(OPERAC[[#This Row],[COD CART]],[1]!MatrizCortoLargoCyl[#All],3,0),"")</f>
        <v/>
      </c>
      <c r="F5599" t="inlineStr">
        <is>
          <t>JPM</t>
        </is>
      </c>
      <c r="G5599" t="n">
        <v>4</v>
      </c>
      <c r="H5599" t="n">
        <v>-561.8173600000001</v>
      </c>
      <c r="I5599">
        <f>-H2965/G2965</f>
        <v/>
      </c>
      <c r="J5599" s="16" t="n">
        <v>44664</v>
      </c>
      <c r="K5599">
        <f>+OPERAC[[#This Row],[cantidad]]</f>
        <v/>
      </c>
      <c r="L5599">
        <f>+OPERAC[[#This Row],[cantidad venta]]*125.943</f>
        <v/>
      </c>
    </row>
    <row r="5600">
      <c r="A5600" t="n">
        <v>19934</v>
      </c>
      <c r="B5600" s="16" t="n">
        <v>44641</v>
      </c>
      <c r="C5600" t="inlineStr">
        <is>
          <t>VTA</t>
        </is>
      </c>
      <c r="D5600" t="n">
        <v>42</v>
      </c>
      <c r="E5600">
        <f>IF(D3780&gt;0,VLOOKUP(OPERAC[[#This Row],[COD CART]],[1]!MatrizCortoLargoCyl[#All],3,0),"")</f>
        <v/>
      </c>
      <c r="F5600" t="inlineStr">
        <is>
          <t>FB</t>
        </is>
      </c>
      <c r="G5600" t="n">
        <v>4</v>
      </c>
      <c r="H5600" t="n">
        <v>-848.6255200000001</v>
      </c>
      <c r="I5600">
        <f>-H3780/G3780</f>
        <v/>
      </c>
      <c r="J5600" s="16" t="n">
        <v>44671</v>
      </c>
      <c r="K5600">
        <f>+OPERAC[[#This Row],[cantidad]]</f>
        <v/>
      </c>
      <c r="L5600">
        <f>+OPERAC[[#This Row],[cantidad venta]]*213.173</f>
        <v/>
      </c>
    </row>
    <row r="5601">
      <c r="A5601" t="n">
        <v>19934</v>
      </c>
      <c r="B5601" s="16" t="n">
        <v>44649</v>
      </c>
      <c r="C5601" t="inlineStr">
        <is>
          <t>CPR</t>
        </is>
      </c>
      <c r="D5601" t="n">
        <v>32</v>
      </c>
      <c r="E5601">
        <f>IF(D3665&gt;0,VLOOKUP(OPERAC[[#This Row],[COD CART]],[1]!MatrizCortoLargoCyl[#All],3,0),"")</f>
        <v/>
      </c>
      <c r="F5601" t="inlineStr">
        <is>
          <t>ARLO/CYL/9,00/15-07-22</t>
        </is>
      </c>
      <c r="G5601" t="n">
        <v>100</v>
      </c>
      <c r="H5601">
        <f>-827.412+9.92</f>
        <v/>
      </c>
      <c r="I5601">
        <f>-H3665/G3665</f>
        <v/>
      </c>
    </row>
    <row r="5602">
      <c r="A5602" t="n">
        <v>19934</v>
      </c>
      <c r="B5602" s="16" t="n">
        <v>44662</v>
      </c>
      <c r="C5602" t="inlineStr">
        <is>
          <t>VTA</t>
        </is>
      </c>
      <c r="D5602" t="n">
        <v>42</v>
      </c>
      <c r="E5602">
        <f>IF(D2209&gt;0,VLOOKUP(OPERAC[[#This Row],[COD CART]],[1]!MatrizCortoLargoCyl[#All],3,0),"")</f>
        <v/>
      </c>
      <c r="F5602" t="inlineStr">
        <is>
          <t>HYDR</t>
        </is>
      </c>
      <c r="G5602" t="n">
        <v>20</v>
      </c>
      <c r="H5602" t="n">
        <v>-371.4068800000001</v>
      </c>
      <c r="I5602">
        <f>-H2209/G2209</f>
        <v/>
      </c>
      <c r="J5602" s="16" t="n">
        <v>44693</v>
      </c>
      <c r="K5602">
        <f>+OPERAC[[#This Row],[cantidad]]</f>
        <v/>
      </c>
      <c r="L5602">
        <f>+OPERAC[[#This Row],[cantidad venta]]*11.986</f>
        <v/>
      </c>
    </row>
    <row r="5603">
      <c r="A5603" t="n">
        <v>19934</v>
      </c>
      <c r="B5603" s="16" t="n">
        <v>44664</v>
      </c>
      <c r="C5603" t="inlineStr">
        <is>
          <t>VTA</t>
        </is>
      </c>
      <c r="D5603" t="n">
        <v>42</v>
      </c>
      <c r="E5603">
        <f>IF(D1544&gt;0,VLOOKUP(OPERAC[[#This Row],[COD CART]],[1]!MatrizCortoLargoCyl[#All],3,0),"")</f>
        <v/>
      </c>
      <c r="F5603" t="inlineStr">
        <is>
          <t>AMD</t>
        </is>
      </c>
      <c r="G5603" t="n">
        <v>2</v>
      </c>
      <c r="H5603" t="n">
        <v>-197.54130906</v>
      </c>
      <c r="I5603">
        <f>-H1544/G1544</f>
        <v/>
      </c>
      <c r="J5603" s="16" t="n">
        <v>44693</v>
      </c>
      <c r="K5603">
        <f>+OPERAC[[#This Row],[cantidad]]</f>
        <v/>
      </c>
      <c r="L5603">
        <f>+OPERAC[[#This Row],[cantidad venta]]*85.26</f>
        <v/>
      </c>
    </row>
    <row r="5604">
      <c r="A5604" t="n">
        <v>19934</v>
      </c>
      <c r="B5604" s="16" t="n">
        <v>44669</v>
      </c>
      <c r="C5604" t="inlineStr">
        <is>
          <t>CPR</t>
        </is>
      </c>
      <c r="D5604" t="n">
        <v>32</v>
      </c>
      <c r="E5604">
        <f>IF(D4765&gt;0,VLOOKUP(OPERAC[[#This Row],[COD CART]],[1]!MatrizCortoLargoCyl[#All],3,0),"")</f>
        <v/>
      </c>
      <c r="F5604" t="inlineStr">
        <is>
          <t>HMY/CYL/5,00/19-08-22</t>
        </is>
      </c>
      <c r="G5604" t="n">
        <v>300</v>
      </c>
      <c r="H5604">
        <f>-4.64*OPERAC[[#This Row],[cantidad]]+14.87</f>
        <v/>
      </c>
      <c r="I5604">
        <f>-H4765/G4765</f>
        <v/>
      </c>
    </row>
    <row r="5605">
      <c r="A5605" t="n">
        <v>19934</v>
      </c>
      <c r="B5605" s="16" t="n">
        <v>44671</v>
      </c>
      <c r="C5605" t="inlineStr">
        <is>
          <t>CPR</t>
        </is>
      </c>
      <c r="D5605" t="n">
        <v>42</v>
      </c>
      <c r="E5605">
        <f>IF(D2674&gt;0,VLOOKUP(OPERAC[[#This Row],[COD CART]],[1]!MatrizCortoLargoCyl[#All],3,0),"")</f>
        <v/>
      </c>
      <c r="F5605" t="inlineStr">
        <is>
          <t>TLT</t>
        </is>
      </c>
      <c r="G5605" t="n">
        <v>4</v>
      </c>
      <c r="H5605" t="n">
        <v>-490.25202</v>
      </c>
      <c r="I5605">
        <f>-H2674/G2674</f>
        <v/>
      </c>
    </row>
    <row r="5606">
      <c r="A5606" t="n">
        <v>19934</v>
      </c>
      <c r="B5606" s="16" t="n">
        <v>44671</v>
      </c>
      <c r="C5606" t="inlineStr">
        <is>
          <t>CPR</t>
        </is>
      </c>
      <c r="D5606" t="n">
        <v>42</v>
      </c>
      <c r="E5606">
        <f>IF(D3512&gt;0,VLOOKUP(OPERAC[[#This Row],[COD CART]],[1]!MatrizCortoLargoCyl[#All],3,0),"")</f>
        <v/>
      </c>
      <c r="F5606" t="inlineStr">
        <is>
          <t>NFLX</t>
        </is>
      </c>
      <c r="G5606" t="n">
        <v>3</v>
      </c>
      <c r="H5606" t="n">
        <v>-763.51518</v>
      </c>
      <c r="I5606">
        <f>-H3512/G3512</f>
        <v/>
      </c>
      <c r="J5606" s="16" t="n">
        <v>44693</v>
      </c>
      <c r="K5606">
        <f>+OPERAC[[#This Row],[cantidad]]</f>
        <v/>
      </c>
      <c r="L5606">
        <f>+OPERAC[[#This Row],[cantidad venta]]*169.089</f>
        <v/>
      </c>
    </row>
    <row r="5607">
      <c r="A5607" t="n">
        <v>19934</v>
      </c>
      <c r="B5607" s="16" t="n">
        <v>44708</v>
      </c>
      <c r="C5607" t="inlineStr">
        <is>
          <t>CPR</t>
        </is>
      </c>
      <c r="D5607" t="n">
        <v>32</v>
      </c>
      <c r="E5607">
        <f>IF(D4350&gt;0,VLOOKUP(OPERAC[[#This Row],[COD CART]],[1]!MatrizCortoLargoCyl[#All],3,0),"")</f>
        <v/>
      </c>
      <c r="F5607" t="inlineStr">
        <is>
          <t>AMC/CYL/11,00/03-06-22</t>
        </is>
      </c>
      <c r="G5607" t="n">
        <v>100</v>
      </c>
      <c r="H5607" t="n">
        <v>-1071.908</v>
      </c>
      <c r="I5607">
        <f>-H4350/G4350</f>
        <v/>
      </c>
      <c r="J5607" s="16" t="n">
        <v>44715</v>
      </c>
      <c r="K5607">
        <f>+OPERAC[[#This Row],[cantidad]]</f>
        <v/>
      </c>
      <c r="L5607">
        <f>+OPERAC[[#This Row],[cantidad venta]]*10.951</f>
        <v/>
      </c>
    </row>
    <row r="5608">
      <c r="A5608" t="n">
        <v>19934</v>
      </c>
      <c r="B5608" s="16" t="n">
        <v>44722</v>
      </c>
      <c r="C5608" t="inlineStr">
        <is>
          <t>CPR</t>
        </is>
      </c>
      <c r="D5608" t="n">
        <v>40</v>
      </c>
      <c r="E5608">
        <f>IF(D3353&gt;0,VLOOKUP(OPERAC[[#This Row],[COD CART]],[1]!MatrizCortoLargoCyl[#All],3,0),"")</f>
        <v/>
      </c>
      <c r="F5608" t="inlineStr">
        <is>
          <t>MELI</t>
        </is>
      </c>
      <c r="G5608" t="n">
        <v>1</v>
      </c>
      <c r="H5608" t="n">
        <v>-698.3257400000001</v>
      </c>
      <c r="I5608">
        <f>-H3353/G3353</f>
        <v/>
      </c>
    </row>
    <row r="5609">
      <c r="A5609" t="n">
        <v>19934</v>
      </c>
      <c r="B5609" s="16" t="n">
        <v>44722</v>
      </c>
      <c r="C5609" t="inlineStr">
        <is>
          <t>VTA</t>
        </is>
      </c>
      <c r="D5609" t="n">
        <v>40</v>
      </c>
      <c r="E5609">
        <f>IF(D2351&gt;0,VLOOKUP(OPERAC[[#This Row],[COD CART]],[1]!MatrizCortoLargoCyl[#All],3,0),"")</f>
        <v/>
      </c>
      <c r="F5609" t="inlineStr">
        <is>
          <t>BIOX</t>
        </is>
      </c>
      <c r="G5609" t="n">
        <v>30</v>
      </c>
      <c r="H5609" t="n">
        <v>-412.956546</v>
      </c>
      <c r="I5609">
        <f>-H2351/G2351</f>
        <v/>
      </c>
    </row>
    <row r="5610">
      <c r="A5610" t="n">
        <v>19972</v>
      </c>
      <c r="B5610" s="16" t="n">
        <v>44419</v>
      </c>
      <c r="C5610" t="inlineStr">
        <is>
          <t>CPR</t>
        </is>
      </c>
      <c r="D5610" t="n">
        <v>31</v>
      </c>
      <c r="E5610">
        <f>IF(D2633&gt;0,VLOOKUP(OPERAC[[#This Row],[COD CART]],[1]!MatrizCortoLargoCyl[#All],3,0),"")</f>
        <v/>
      </c>
      <c r="F5610" t="inlineStr">
        <is>
          <t>NTTHF</t>
        </is>
      </c>
      <c r="G5610" t="n">
        <v>150</v>
      </c>
      <c r="H5610" t="n">
        <v>-480.8925</v>
      </c>
      <c r="I5610">
        <f>-H2633/G2633</f>
        <v/>
      </c>
      <c r="J5610" s="16" t="n">
        <v>44603</v>
      </c>
      <c r="K5610" t="n">
        <v>150</v>
      </c>
      <c r="L5610" t="n">
        <v>762.8</v>
      </c>
    </row>
    <row r="5611">
      <c r="A5611" t="n">
        <v>19972</v>
      </c>
      <c r="B5611" s="16" t="n">
        <v>44419</v>
      </c>
      <c r="C5611" t="inlineStr">
        <is>
          <t>CPR</t>
        </is>
      </c>
      <c r="D5611" t="n">
        <v>41</v>
      </c>
      <c r="E5611">
        <f>IF(D2637&gt;0,VLOOKUP(OPERAC[[#This Row],[COD CART]],[1]!MatrizCortoLargoCyl[#All],3,0),"")</f>
        <v/>
      </c>
      <c r="F5611" t="inlineStr">
        <is>
          <t>TCNNF</t>
        </is>
      </c>
      <c r="G5611" t="n">
        <v>15</v>
      </c>
      <c r="H5611" t="n">
        <v>-483.4</v>
      </c>
      <c r="I5611">
        <f>-H2637/G2637</f>
        <v/>
      </c>
    </row>
    <row r="5612">
      <c r="A5612" t="n">
        <v>19972</v>
      </c>
      <c r="B5612" s="16" t="n">
        <v>44419</v>
      </c>
      <c r="C5612" t="inlineStr">
        <is>
          <t>CPR</t>
        </is>
      </c>
      <c r="D5612" t="n">
        <v>40</v>
      </c>
      <c r="E5612">
        <f>IF(D2715&gt;0,VLOOKUP(OPERAC[[#This Row],[COD CART]],[1]!MatrizCortoLargoCyl[#All],3,0),"")</f>
        <v/>
      </c>
      <c r="F5612" t="inlineStr">
        <is>
          <t>AGEN</t>
        </is>
      </c>
      <c r="G5612" t="n">
        <v>100</v>
      </c>
      <c r="H5612" t="n">
        <v>-502.29</v>
      </c>
      <c r="I5612">
        <f>-H2715/G2715</f>
        <v/>
      </c>
      <c r="J5612" s="16" t="n">
        <v>44606</v>
      </c>
      <c r="K5612" t="n">
        <v>100</v>
      </c>
      <c r="L5612" t="n">
        <v>236.078</v>
      </c>
    </row>
    <row r="5613">
      <c r="A5613" t="n">
        <v>19972</v>
      </c>
      <c r="B5613" s="16" t="n">
        <v>44419</v>
      </c>
      <c r="C5613" t="inlineStr">
        <is>
          <t>CPR</t>
        </is>
      </c>
      <c r="D5613" t="n">
        <v>31</v>
      </c>
      <c r="E5613">
        <f>IF(D2717&gt;0,VLOOKUP(OPERAC[[#This Row],[COD CART]],[1]!MatrizCortoLargoCyl[#All],3,0),"")</f>
        <v/>
      </c>
      <c r="F5613" t="inlineStr">
        <is>
          <t>HEOFF</t>
        </is>
      </c>
      <c r="G5613" t="n">
        <v>250</v>
      </c>
      <c r="H5613" t="n">
        <v>-503.75</v>
      </c>
      <c r="I5613">
        <f>-H2717/G2717</f>
        <v/>
      </c>
    </row>
    <row r="5614">
      <c r="A5614" t="n">
        <v>19972</v>
      </c>
      <c r="B5614" s="16" t="n">
        <v>44419</v>
      </c>
      <c r="C5614" t="inlineStr">
        <is>
          <t>CPR</t>
        </is>
      </c>
      <c r="D5614" t="n">
        <v>40</v>
      </c>
      <c r="E5614">
        <f>IF(D2727&gt;0,VLOOKUP(OPERAC[[#This Row],[COD CART]],[1]!MatrizCortoLargoCyl[#All],3,0),"")</f>
        <v/>
      </c>
      <c r="F5614" t="inlineStr">
        <is>
          <t>SESN</t>
        </is>
      </c>
      <c r="G5614" t="n">
        <v>200</v>
      </c>
      <c r="H5614" t="n">
        <v>-506.099</v>
      </c>
      <c r="I5614">
        <f>-H2727/G2727</f>
        <v/>
      </c>
    </row>
    <row r="5615">
      <c r="A5615" t="n">
        <v>19972</v>
      </c>
      <c r="B5615" s="16" t="n">
        <v>44419</v>
      </c>
      <c r="C5615" t="inlineStr">
        <is>
          <t>VTA</t>
        </is>
      </c>
      <c r="D5615" t="n">
        <v>40</v>
      </c>
      <c r="E5615">
        <f>IF(D2493&gt;0,VLOOKUP(OPERAC[[#This Row],[COD CART]],[1]!MatrizCortoLargoCyl[#All],3,0),"")</f>
        <v/>
      </c>
      <c r="F5615" t="inlineStr">
        <is>
          <t>EDU</t>
        </is>
      </c>
      <c r="G5615" t="n">
        <v>400</v>
      </c>
      <c r="H5615">
        <f>-868.31+178+221+0.04*OPERAC[[#This Row],[cantidad]]</f>
        <v/>
      </c>
      <c r="I5615">
        <f>-H2493/G2493</f>
        <v/>
      </c>
      <c r="J5615" s="16" t="n">
        <v>44630</v>
      </c>
      <c r="K5615" t="n">
        <v>400</v>
      </c>
      <c r="L5615">
        <f>+OPERAC[[#This Row],[cantidad venta]]*1.138</f>
        <v/>
      </c>
    </row>
    <row r="5616">
      <c r="A5616" t="n">
        <v>19972</v>
      </c>
      <c r="B5616" s="16" t="n">
        <v>44419</v>
      </c>
      <c r="C5616" t="inlineStr">
        <is>
          <t>VTA</t>
        </is>
      </c>
      <c r="D5616" t="n">
        <v>31</v>
      </c>
      <c r="E5616">
        <f>IF(D2862&gt;0,VLOOKUP(OPERAC[[#This Row],[COD CART]],[1]!MatrizCortoLargoCyl[#All],3,0),"")</f>
        <v/>
      </c>
      <c r="F5616" t="inlineStr">
        <is>
          <t>DIS</t>
        </is>
      </c>
      <c r="G5616" t="n">
        <v>3</v>
      </c>
      <c r="H5616" t="n">
        <v>-536.6147500000001</v>
      </c>
      <c r="I5616">
        <f>-H2862/G2862</f>
        <v/>
      </c>
      <c r="J5616" s="16" t="n">
        <v>44686</v>
      </c>
      <c r="K5616" t="n">
        <v>3</v>
      </c>
      <c r="L5616" t="n">
        <v>337.214</v>
      </c>
    </row>
    <row r="5617">
      <c r="A5617" t="n">
        <v>19972</v>
      </c>
      <c r="B5617" s="16" t="n">
        <v>44438</v>
      </c>
      <c r="C5617" t="inlineStr">
        <is>
          <t>CPR</t>
        </is>
      </c>
      <c r="D5617" t="n">
        <v>40</v>
      </c>
      <c r="E5617">
        <f>IF(D3666&gt;0,VLOOKUP(OPERAC[[#This Row],[COD CART]],[1]!MatrizCortoLargoCyl[#All],3,0),"")</f>
        <v/>
      </c>
      <c r="F5617" t="inlineStr">
        <is>
          <t>INO</t>
        </is>
      </c>
      <c r="G5617" t="n">
        <v>100</v>
      </c>
      <c r="H5617" t="n">
        <v>-819.686</v>
      </c>
      <c r="I5617">
        <f>-H3666/G3666</f>
        <v/>
      </c>
      <c r="J5617" s="16" t="n">
        <v>44606</v>
      </c>
      <c r="K5617" t="n">
        <v>100</v>
      </c>
      <c r="L5617" t="n">
        <v>324.366</v>
      </c>
    </row>
    <row r="5618">
      <c r="A5618" t="n">
        <v>19972</v>
      </c>
      <c r="B5618" s="16" t="n">
        <v>44453</v>
      </c>
      <c r="C5618" t="inlineStr">
        <is>
          <t>CPR</t>
        </is>
      </c>
      <c r="D5618" t="n">
        <v>40</v>
      </c>
      <c r="E5618">
        <f>IF(D3371&gt;0,VLOOKUP(OPERAC[[#This Row],[COD CART]],[1]!MatrizCortoLargoCyl[#All],3,0),"")</f>
        <v/>
      </c>
      <c r="F5618" t="inlineStr">
        <is>
          <t>GMBL</t>
        </is>
      </c>
      <c r="G5618" t="n">
        <v>100</v>
      </c>
      <c r="H5618" t="n">
        <v>-702.8300000000002</v>
      </c>
      <c r="I5618">
        <f>-H3371/G3371</f>
        <v/>
      </c>
      <c r="J5618" s="16" t="n">
        <v>44686</v>
      </c>
      <c r="K5618" t="n">
        <v>100</v>
      </c>
      <c r="L5618" t="n">
        <v>54.672</v>
      </c>
    </row>
    <row r="5619">
      <c r="A5619" t="n">
        <v>19972</v>
      </c>
      <c r="B5619" s="16" t="n">
        <v>44470</v>
      </c>
      <c r="C5619" t="inlineStr">
        <is>
          <t>VTA</t>
        </is>
      </c>
      <c r="D5619" t="n">
        <v>41</v>
      </c>
      <c r="E5619">
        <f>IF(D1366&gt;0,VLOOKUP(OPERAC[[#This Row],[COD CART]],[1]!MatrizCortoLargoCyl[#All],3,0),"")</f>
        <v/>
      </c>
      <c r="F5619" t="inlineStr">
        <is>
          <t>TLRY</t>
        </is>
      </c>
      <c r="G5619" t="n">
        <v>10</v>
      </c>
      <c r="H5619" t="n">
        <v>-111.628</v>
      </c>
      <c r="I5619">
        <f>-H1366/G1366</f>
        <v/>
      </c>
      <c r="J5619" s="16" t="n">
        <v>44606</v>
      </c>
      <c r="K5619" t="n">
        <v>10</v>
      </c>
      <c r="L5619" t="n">
        <v>68.343</v>
      </c>
    </row>
    <row r="5620">
      <c r="A5620" t="n">
        <v>19972</v>
      </c>
      <c r="B5620" s="16" t="n">
        <v>44523</v>
      </c>
      <c r="C5620" t="inlineStr">
        <is>
          <t>VTA</t>
        </is>
      </c>
      <c r="D5620" t="n">
        <v>32</v>
      </c>
      <c r="E5620">
        <f>IF(D3747&gt;0,VLOOKUP(OPERAC[[#This Row],[COD CART]],[1]!MatrizCortoLargoCyl[#All],3,0),"")</f>
        <v/>
      </c>
      <c r="F5620" t="inlineStr">
        <is>
          <t>TEVA/CYL/9,00/21-01-22</t>
        </is>
      </c>
      <c r="G5620" t="n">
        <v>100</v>
      </c>
      <c r="H5620">
        <f>-861.6332+18.874</f>
        <v/>
      </c>
      <c r="I5620">
        <f>-H3747/G3747</f>
        <v/>
      </c>
      <c r="J5620" s="16" t="n">
        <v>44575</v>
      </c>
      <c r="K5620" t="n">
        <v>100</v>
      </c>
      <c r="L5620" t="n">
        <v>878.913</v>
      </c>
    </row>
    <row r="5621">
      <c r="A5621" t="n">
        <v>19972</v>
      </c>
      <c r="B5621" s="16" t="n">
        <v>44543</v>
      </c>
      <c r="C5621" t="inlineStr">
        <is>
          <t>CPR</t>
        </is>
      </c>
      <c r="D5621" t="n">
        <v>41</v>
      </c>
      <c r="E5621">
        <f>IF(D3441&gt;0,VLOOKUP(OPERAC[[#This Row],[COD CART]],[1]!MatrizCortoLargoCyl[#All],3,0),"")</f>
        <v/>
      </c>
      <c r="F5621" t="inlineStr">
        <is>
          <t>PYPL</t>
        </is>
      </c>
      <c r="G5621" t="n">
        <v>4</v>
      </c>
      <c r="H5621" t="n">
        <v>-750.7503999999999</v>
      </c>
      <c r="I5621">
        <f>-H3441/G3441</f>
        <v/>
      </c>
      <c r="J5621" s="16" t="n">
        <v>44686</v>
      </c>
      <c r="K5621" t="n">
        <v>4</v>
      </c>
      <c r="L5621" t="n">
        <v>344.864</v>
      </c>
    </row>
    <row r="5622">
      <c r="A5622" t="n">
        <v>19972</v>
      </c>
      <c r="B5622" s="16" t="n">
        <v>44543</v>
      </c>
      <c r="C5622" t="inlineStr">
        <is>
          <t>VTA</t>
        </is>
      </c>
      <c r="D5622" t="n">
        <v>41</v>
      </c>
      <c r="E5622">
        <f>IF(D3207&gt;0,VLOOKUP(OPERAC[[#This Row],[COD CART]],[1]!MatrizCortoLargoCyl[#All],3,0),"")</f>
        <v/>
      </c>
      <c r="F5622" t="inlineStr">
        <is>
          <t>ROKU</t>
        </is>
      </c>
      <c r="G5622" t="n">
        <v>3</v>
      </c>
      <c r="H5622" t="n">
        <v>-655.0307200000001</v>
      </c>
      <c r="I5622">
        <f>-H3207/G3207</f>
        <v/>
      </c>
      <c r="J5622" s="16" t="n">
        <v>44686</v>
      </c>
      <c r="K5622" t="n">
        <v>3</v>
      </c>
      <c r="L5622" t="n">
        <v>309.376</v>
      </c>
    </row>
    <row r="5623">
      <c r="A5623" t="n">
        <v>19972</v>
      </c>
      <c r="B5623" s="16" t="n">
        <v>44581</v>
      </c>
      <c r="C5623" t="inlineStr">
        <is>
          <t>CPR</t>
        </is>
      </c>
      <c r="D5623" t="n">
        <v>32</v>
      </c>
      <c r="E5623">
        <f>IF(D3598&gt;0,VLOOKUP(OPERAC[[#This Row],[COD CART]],[1]!MatrizCortoLargoCyl[#All],3,0),"")</f>
        <v/>
      </c>
      <c r="F5623" t="inlineStr">
        <is>
          <t>HMY/CYL/4,00/18-02-22</t>
        </is>
      </c>
      <c r="G5623" t="n">
        <v>200</v>
      </c>
      <c r="H5623" t="n">
        <v>-774.9400000000001</v>
      </c>
      <c r="I5623">
        <f>-H3598/G3598</f>
        <v/>
      </c>
      <c r="J5623" s="16" t="n">
        <v>44610</v>
      </c>
      <c r="K5623">
        <f>+OPERAC[[#This Row],[cantidad]]</f>
        <v/>
      </c>
      <c r="L5623">
        <f>+OPERAC[[#This Row],[cantidad venta]]*3.8323</f>
        <v/>
      </c>
    </row>
    <row r="5624">
      <c r="A5624" t="n">
        <v>19972</v>
      </c>
      <c r="B5624" s="16" t="n">
        <v>44594</v>
      </c>
      <c r="C5624" t="inlineStr">
        <is>
          <t>CPR</t>
        </is>
      </c>
      <c r="D5624" t="n">
        <v>40</v>
      </c>
      <c r="E5624">
        <f>IF(D3638&gt;0,VLOOKUP(OPERAC[[#This Row],[COD CART]],[1]!MatrizCortoLargoCyl[#All],3,0),"")</f>
        <v/>
      </c>
      <c r="F5624" t="inlineStr">
        <is>
          <t>EDU</t>
        </is>
      </c>
      <c r="G5624" t="n">
        <v>400</v>
      </c>
      <c r="H5624" t="n">
        <v>-806.4</v>
      </c>
      <c r="I5624">
        <f>-H3638/G3638</f>
        <v/>
      </c>
      <c r="J5624" s="16" t="n">
        <v>44630</v>
      </c>
      <c r="K5624" t="n">
        <v>400</v>
      </c>
      <c r="L5624">
        <f>+OPERAC[[#This Row],[cantidad venta]]*1.138</f>
        <v/>
      </c>
    </row>
    <row r="5625">
      <c r="A5625" t="n">
        <v>19972</v>
      </c>
      <c r="B5625" s="16" t="n">
        <v>44606</v>
      </c>
      <c r="C5625" t="inlineStr">
        <is>
          <t>VTA</t>
        </is>
      </c>
      <c r="D5625" t="n">
        <v>41</v>
      </c>
      <c r="E5625">
        <f>IF(D1789&gt;0,VLOOKUP(OPERAC[[#This Row],[COD CART]],[1]!MatrizCortoLargoCyl[#All],3,0),"")</f>
        <v/>
      </c>
      <c r="F5625" t="inlineStr">
        <is>
          <t>SSYS</t>
        </is>
      </c>
      <c r="G5625" t="n">
        <v>10</v>
      </c>
      <c r="H5625" t="n">
        <v>-266.81</v>
      </c>
      <c r="I5625">
        <f>-H1789/G1789</f>
        <v/>
      </c>
      <c r="J5625" s="16" t="n">
        <v>44686</v>
      </c>
      <c r="K5625" t="n">
        <v>10</v>
      </c>
      <c r="L5625" t="n">
        <v>199.395</v>
      </c>
    </row>
    <row r="5626">
      <c r="A5626" t="n">
        <v>19972</v>
      </c>
      <c r="B5626" s="16" t="n">
        <v>44628</v>
      </c>
      <c r="C5626" t="inlineStr">
        <is>
          <t>VTA</t>
        </is>
      </c>
      <c r="D5626" t="n">
        <v>41</v>
      </c>
      <c r="E5626">
        <f>IF(D2946&gt;0,VLOOKUP(OPERAC[[#This Row],[COD CART]],[1]!MatrizCortoLargoCyl[#All],3,0),"")</f>
        <v/>
      </c>
      <c r="F5626" t="inlineStr">
        <is>
          <t>XLE</t>
        </is>
      </c>
      <c r="G5626" t="n">
        <v>7</v>
      </c>
      <c r="H5626" t="n">
        <v>-559.853</v>
      </c>
      <c r="I5626">
        <f>-H2946/G2946</f>
        <v/>
      </c>
    </row>
    <row r="5627">
      <c r="A5627" t="n">
        <v>19972</v>
      </c>
      <c r="B5627" s="16" t="n">
        <v>44628</v>
      </c>
      <c r="C5627" t="inlineStr">
        <is>
          <t>VTA</t>
        </is>
      </c>
      <c r="D5627" t="n">
        <v>32</v>
      </c>
      <c r="E5627">
        <f>IF(D5369&gt;0,VLOOKUP(OPERAC[[#This Row],[COD CART]],[1]!MatrizCortoLargoCyl[#All],3,0),"")</f>
        <v/>
      </c>
      <c r="F5627" t="inlineStr">
        <is>
          <t>SPWR/CYL/20,00/14-04-22</t>
        </is>
      </c>
      <c r="G5627" t="n">
        <v>100</v>
      </c>
      <c r="H5627" t="n">
        <v>-1794.95</v>
      </c>
      <c r="I5627">
        <f>-H5369/G5369</f>
        <v/>
      </c>
      <c r="J5627" s="16" t="n">
        <v>44663</v>
      </c>
      <c r="K5627" t="n">
        <v>100</v>
      </c>
      <c r="L5627" t="n">
        <v>1975.46</v>
      </c>
    </row>
    <row r="5628">
      <c r="A5628" t="n">
        <v>19972</v>
      </c>
      <c r="B5628" s="16" t="n">
        <v>44642</v>
      </c>
      <c r="C5628" t="inlineStr">
        <is>
          <t>VTA</t>
        </is>
      </c>
      <c r="D5628" t="n">
        <v>41</v>
      </c>
      <c r="E5628">
        <f>IF(D2028&gt;0,VLOOKUP(OPERAC[[#This Row],[COD CART]],[1]!MatrizCortoLargoCyl[#All],3,0),"")</f>
        <v/>
      </c>
      <c r="F5628" t="inlineStr">
        <is>
          <t>KWEB</t>
        </is>
      </c>
      <c r="G5628" t="n">
        <v>10</v>
      </c>
      <c r="H5628" t="n">
        <v>-315.476</v>
      </c>
      <c r="I5628">
        <f>-H2028/G2028</f>
        <v/>
      </c>
      <c r="J5628" s="16" t="n">
        <v>44686</v>
      </c>
      <c r="K5628" t="n">
        <v>10</v>
      </c>
      <c r="L5628" t="n">
        <v>269.735</v>
      </c>
    </row>
    <row r="5629">
      <c r="A5629" t="n">
        <v>19972</v>
      </c>
      <c r="B5629" s="16" t="n">
        <v>44662</v>
      </c>
      <c r="C5629" t="inlineStr">
        <is>
          <t>VTA</t>
        </is>
      </c>
      <c r="D5629" t="n">
        <v>42</v>
      </c>
      <c r="E5629">
        <f>IF(D1843&gt;0,VLOOKUP(OPERAC[[#This Row],[COD CART]],[1]!MatrizCortoLargoCyl[#All],3,0),"")</f>
        <v/>
      </c>
      <c r="F5629" t="inlineStr">
        <is>
          <t>HYDR</t>
        </is>
      </c>
      <c r="G5629" t="n">
        <v>15</v>
      </c>
      <c r="H5629" t="n">
        <v>-278.00262</v>
      </c>
      <c r="I5629">
        <f>-H1843/G1843</f>
        <v/>
      </c>
    </row>
    <row r="5630">
      <c r="A5630" t="n">
        <v>19972</v>
      </c>
      <c r="B5630" s="16" t="n">
        <v>44664</v>
      </c>
      <c r="C5630" t="inlineStr">
        <is>
          <t>VTA</t>
        </is>
      </c>
      <c r="D5630" t="n">
        <v>41</v>
      </c>
      <c r="E5630">
        <f>IF(D1539&gt;0,VLOOKUP(OPERAC[[#This Row],[COD CART]],[1]!MatrizCortoLargoCyl[#All],3,0),"")</f>
        <v/>
      </c>
      <c r="F5630" t="inlineStr">
        <is>
          <t>AMD</t>
        </is>
      </c>
      <c r="G5630" t="n">
        <v>2</v>
      </c>
      <c r="H5630" t="n">
        <v>-197.14955634</v>
      </c>
      <c r="I5630">
        <f>-H1539/G1539</f>
        <v/>
      </c>
    </row>
    <row r="5631">
      <c r="A5631" t="n">
        <v>19972</v>
      </c>
      <c r="B5631" s="16" t="n">
        <v>44685</v>
      </c>
      <c r="C5631" t="inlineStr">
        <is>
          <t>CPR</t>
        </is>
      </c>
      <c r="D5631" t="n">
        <v>32</v>
      </c>
      <c r="E5631">
        <f>IF(D4709&gt;0,VLOOKUP(OPERAC[[#This Row],[COD CART]],[1]!MatrizCortoLargoCyl[#All],3,0),"")</f>
        <v/>
      </c>
      <c r="F5631" t="inlineStr">
        <is>
          <t>COTY/CYL/7,00/17-06-22</t>
        </is>
      </c>
      <c r="G5631" t="n">
        <v>200</v>
      </c>
      <c r="H5631" t="n">
        <v>-1322.47</v>
      </c>
      <c r="I5631">
        <f>-H4709/G4709</f>
        <v/>
      </c>
    </row>
    <row r="5632">
      <c r="A5632" t="n">
        <v>19972</v>
      </c>
      <c r="B5632" s="16" t="n">
        <v>44686</v>
      </c>
      <c r="C5632" t="inlineStr">
        <is>
          <t>CPR</t>
        </is>
      </c>
      <c r="D5632" t="n">
        <v>41</v>
      </c>
      <c r="E5632">
        <f>IF(D2719&gt;0,VLOOKUP(OPERAC[[#This Row],[COD CART]],[1]!MatrizCortoLargoCyl[#All],3,0),"")</f>
        <v/>
      </c>
      <c r="F5632" t="inlineStr">
        <is>
          <t>SQM</t>
        </is>
      </c>
      <c r="G5632" t="n">
        <v>6</v>
      </c>
      <c r="H5632" t="n">
        <v>-504.1961099999999</v>
      </c>
      <c r="I5632">
        <f>-H2719/G2719</f>
        <v/>
      </c>
    </row>
    <row r="5633">
      <c r="A5633" t="n">
        <v>19972</v>
      </c>
      <c r="B5633" s="16" t="n">
        <v>44686</v>
      </c>
      <c r="C5633" t="inlineStr">
        <is>
          <t>VTA</t>
        </is>
      </c>
      <c r="D5633" t="n">
        <v>41</v>
      </c>
      <c r="E5633">
        <f>IF(D1898&gt;0,VLOOKUP(OPERAC[[#This Row],[COD CART]],[1]!MatrizCortoLargoCyl[#All],3,0),"")</f>
        <v/>
      </c>
      <c r="F5633" t="inlineStr">
        <is>
          <t>AMD</t>
        </is>
      </c>
      <c r="G5633" t="n">
        <v>3</v>
      </c>
      <c r="H5633" t="n">
        <v>-285.252165</v>
      </c>
      <c r="I5633">
        <f>-H1898/G1898</f>
        <v/>
      </c>
      <c r="J5633" s="16" t="n">
        <v>44691</v>
      </c>
      <c r="K5633" t="n">
        <v>1</v>
      </c>
      <c r="L5633" t="n">
        <v>87.895</v>
      </c>
    </row>
    <row r="5634">
      <c r="A5634" t="n">
        <v>19972</v>
      </c>
      <c r="B5634" s="16" t="n">
        <v>44686</v>
      </c>
      <c r="C5634" t="inlineStr">
        <is>
          <t>VTA</t>
        </is>
      </c>
      <c r="D5634" t="n">
        <v>41</v>
      </c>
      <c r="E5634">
        <f>IF(D2434&gt;0,VLOOKUP(OPERAC[[#This Row],[COD CART]],[1]!MatrizCortoLargoCyl[#All],3,0),"")</f>
        <v/>
      </c>
      <c r="F5634" t="inlineStr">
        <is>
          <t>FB</t>
        </is>
      </c>
      <c r="G5634" t="n">
        <v>2</v>
      </c>
      <c r="H5634" t="n">
        <v>-424.76313</v>
      </c>
      <c r="I5634">
        <f>-H2434/G2434</f>
        <v/>
      </c>
    </row>
    <row r="5635">
      <c r="A5635" t="n">
        <v>19972</v>
      </c>
      <c r="B5635" s="16" t="n">
        <v>44686</v>
      </c>
      <c r="C5635" t="inlineStr">
        <is>
          <t>VTA</t>
        </is>
      </c>
      <c r="D5635" t="n">
        <v>41</v>
      </c>
      <c r="E5635">
        <f>IF(D2957&gt;0,VLOOKUP(OPERAC[[#This Row],[COD CART]],[1]!MatrizCortoLargoCyl[#All],3,0),"")</f>
        <v/>
      </c>
      <c r="F5635" t="inlineStr">
        <is>
          <t>MSFT</t>
        </is>
      </c>
      <c r="G5635" t="n">
        <v>2</v>
      </c>
      <c r="H5635" t="n">
        <v>-561.04323</v>
      </c>
      <c r="I5635">
        <f>-H2957/G2957</f>
        <v/>
      </c>
    </row>
    <row r="5636">
      <c r="A5636" t="n">
        <v>20234</v>
      </c>
      <c r="B5636" s="16" t="n">
        <v>44403</v>
      </c>
      <c r="C5636" t="inlineStr">
        <is>
          <t>VTA</t>
        </is>
      </c>
      <c r="D5636" t="n">
        <v>40</v>
      </c>
      <c r="E5636">
        <f>IF(D3003&gt;0,VLOOKUP(OPERAC[[#This Row],[COD CART]],[1]!MatrizCortoLargoCyl[#All],3,0),"")</f>
        <v/>
      </c>
      <c r="F5636" t="inlineStr">
        <is>
          <t>ACB</t>
        </is>
      </c>
      <c r="G5636" t="n">
        <v>100</v>
      </c>
      <c r="H5636" t="n">
        <v>-575.48</v>
      </c>
      <c r="I5636">
        <f>-H3003/G3003</f>
        <v/>
      </c>
      <c r="J5636" s="16" t="n">
        <v>44606</v>
      </c>
      <c r="K5636" t="n">
        <v>100</v>
      </c>
      <c r="L5636" t="n">
        <v>437.056</v>
      </c>
    </row>
    <row r="5637">
      <c r="A5637" t="n">
        <v>20234</v>
      </c>
      <c r="B5637" s="16" t="n">
        <v>44461</v>
      </c>
      <c r="C5637" t="inlineStr">
        <is>
          <t>VTA</t>
        </is>
      </c>
      <c r="D5637" t="n">
        <v>40</v>
      </c>
      <c r="E5637">
        <f>IF(D2825&gt;0,VLOOKUP(OPERAC[[#This Row],[COD CART]],[1]!MatrizCortoLargoCyl[#All],3,0),"")</f>
        <v/>
      </c>
      <c r="F5637" t="inlineStr">
        <is>
          <t>EDU</t>
        </is>
      </c>
      <c r="G5637" t="n">
        <v>500</v>
      </c>
      <c r="H5637">
        <f>-1.0864*OPERAC[[#This Row],[cantidad]]+0.04*OPERAC[[#This Row],[cantidad]]</f>
        <v/>
      </c>
      <c r="I5637">
        <f>-H2825/G2825</f>
        <v/>
      </c>
      <c r="J5637" s="16" t="n">
        <v>44614</v>
      </c>
      <c r="K5637">
        <f>+OPERAC[[#This Row],[cantidad]]</f>
        <v/>
      </c>
      <c r="L5637">
        <f>1.483*OPERAC[[#This Row],[cantidad venta]]</f>
        <v/>
      </c>
    </row>
    <row r="5638">
      <c r="A5638" t="n">
        <v>20234</v>
      </c>
      <c r="B5638" s="16" t="n">
        <v>44466</v>
      </c>
      <c r="C5638" t="inlineStr">
        <is>
          <t>VTA</t>
        </is>
      </c>
      <c r="D5638" t="n">
        <v>43</v>
      </c>
      <c r="E5638">
        <f>IF(D2496&gt;0,VLOOKUP(OPERAC[[#This Row],[COD CART]],[1]!MatrizCortoLargoCyl[#All],3,0),"")</f>
        <v/>
      </c>
      <c r="F5638" t="inlineStr">
        <is>
          <t>SOLO/CYL-PUT/4,00/18-03-22</t>
        </is>
      </c>
      <c r="G5638" t="n">
        <v>200</v>
      </c>
      <c r="H5638">
        <f>-594.83454+0.32*OPERAC[[#This Row],[cantidad]]+0.387*OPERAC[[#This Row],[cantidad]]</f>
        <v/>
      </c>
      <c r="I5638">
        <f>-H2496/G2496</f>
        <v/>
      </c>
      <c r="J5638" s="16" t="n">
        <v>44614</v>
      </c>
      <c r="K5638" t="n">
        <v>200</v>
      </c>
      <c r="L5638" t="n">
        <v>-45.94</v>
      </c>
    </row>
    <row r="5639">
      <c r="A5639" t="n">
        <v>20234</v>
      </c>
      <c r="B5639" s="16" t="n">
        <v>44494</v>
      </c>
      <c r="C5639" t="inlineStr">
        <is>
          <t>VTA</t>
        </is>
      </c>
      <c r="D5639" t="n">
        <v>40</v>
      </c>
      <c r="E5639">
        <f>IF(D2361&gt;0,VLOOKUP(OPERAC[[#This Row],[COD CART]],[1]!MatrizCortoLargoCyl[#All],3,0),"")</f>
        <v/>
      </c>
      <c r="F5639" t="inlineStr">
        <is>
          <t>YPF</t>
        </is>
      </c>
      <c r="G5639" t="n">
        <v>90</v>
      </c>
      <c r="H5639" t="n">
        <v>-418.7448</v>
      </c>
      <c r="I5639">
        <f>-H2361/G2361</f>
        <v/>
      </c>
      <c r="J5639" s="16" t="n">
        <v>44606</v>
      </c>
      <c r="K5639">
        <f>+OPERAC[[#This Row],[cantidad]]</f>
        <v/>
      </c>
      <c r="L5639">
        <f>+OPERAC[[#This Row],[cantidad venta]]*4.161</f>
        <v/>
      </c>
    </row>
    <row r="5640">
      <c r="A5640" t="n">
        <v>20234</v>
      </c>
      <c r="B5640" s="16" t="n">
        <v>44539</v>
      </c>
      <c r="C5640" t="inlineStr">
        <is>
          <t>CPR</t>
        </is>
      </c>
      <c r="D5640" t="n">
        <v>43</v>
      </c>
      <c r="E5640">
        <f>IF(D4439&gt;0,VLOOKUP(OPERAC[[#This Row],[COD CART]],[1]!MatrizCortoLargoCyl[#All],3,0),"")</f>
        <v/>
      </c>
      <c r="F5640" t="inlineStr">
        <is>
          <t>NNDM/CYL-PUT/2,50/19-01-24</t>
        </is>
      </c>
      <c r="G5640" t="n">
        <v>1000</v>
      </c>
      <c r="H5640" t="n">
        <v>-1131.146</v>
      </c>
      <c r="I5640">
        <f>-H4439/G4439</f>
        <v/>
      </c>
    </row>
    <row r="5641">
      <c r="A5641" t="n">
        <v>20234</v>
      </c>
      <c r="B5641" s="16" t="n">
        <v>44539</v>
      </c>
      <c r="C5641" t="inlineStr">
        <is>
          <t>CPR</t>
        </is>
      </c>
      <c r="D5641" t="n">
        <v>40</v>
      </c>
      <c r="E5641">
        <f>IF(D4660&gt;0,VLOOKUP(OPERAC[[#This Row],[COD CART]],[1]!MatrizCortoLargoCyl[#All],3,0),"")</f>
        <v/>
      </c>
      <c r="F5641" t="inlineStr">
        <is>
          <t>ROKU</t>
        </is>
      </c>
      <c r="G5641" t="n">
        <v>5</v>
      </c>
      <c r="H5641" t="n">
        <v>-1288.6018</v>
      </c>
      <c r="I5641">
        <f>-H4660/G4660</f>
        <v/>
      </c>
      <c r="J5641" s="16" t="n">
        <v>44544</v>
      </c>
      <c r="K5641">
        <f>2+3</f>
        <v/>
      </c>
      <c r="L5641">
        <f>433.417+482.695</f>
        <v/>
      </c>
    </row>
    <row r="5642">
      <c r="A5642" t="n">
        <v>20234</v>
      </c>
      <c r="B5642" s="16" t="n">
        <v>44539</v>
      </c>
      <c r="C5642" t="inlineStr">
        <is>
          <t>VTA</t>
        </is>
      </c>
      <c r="D5642" t="n">
        <v>43</v>
      </c>
      <c r="E5642">
        <f>IF(D1631&gt;0,VLOOKUP(OPERAC[[#This Row],[COD CART]],[1]!MatrizCortoLargoCyl[#All],3,0),"")</f>
        <v/>
      </c>
      <c r="F5642" t="inlineStr">
        <is>
          <t>HEXO/CYL-PUT/1,00/20-01-23</t>
        </is>
      </c>
      <c r="G5642" t="n">
        <v>1500</v>
      </c>
      <c r="H5642" t="n">
        <v>-218.624</v>
      </c>
      <c r="I5642">
        <f>-H1631/G1631</f>
        <v/>
      </c>
      <c r="J5642" s="16" t="n">
        <v>44614</v>
      </c>
      <c r="K5642" t="n">
        <v>1500</v>
      </c>
      <c r="L5642" t="n">
        <v>496.009</v>
      </c>
    </row>
    <row r="5643">
      <c r="A5643" t="n">
        <v>20234</v>
      </c>
      <c r="B5643" s="16" t="n">
        <v>44553</v>
      </c>
      <c r="C5643" t="inlineStr">
        <is>
          <t>VTA</t>
        </is>
      </c>
      <c r="D5643" t="n">
        <v>40</v>
      </c>
      <c r="E5643">
        <f>IF(D1816&gt;0,VLOOKUP(OPERAC[[#This Row],[COD CART]],[1]!MatrizCortoLargoCyl[#All],3,0),"")</f>
        <v/>
      </c>
      <c r="F5643" t="inlineStr">
        <is>
          <t>ON</t>
        </is>
      </c>
      <c r="G5643" t="n">
        <v>4</v>
      </c>
      <c r="H5643" t="n">
        <v>-268.4544319999999</v>
      </c>
      <c r="I5643">
        <f>-H1816/G1816</f>
        <v/>
      </c>
      <c r="J5643" s="16" t="n">
        <v>44606</v>
      </c>
      <c r="K5643">
        <f>+OPERAC[[#This Row],[cantidad]]</f>
        <v/>
      </c>
      <c r="L5643">
        <f>+OPERAC[[#This Row],[cantidad venta]]*58.449</f>
        <v/>
      </c>
    </row>
    <row r="5644">
      <c r="A5644" t="n">
        <v>20234</v>
      </c>
      <c r="B5644" s="16" t="n">
        <v>44594</v>
      </c>
      <c r="C5644" t="inlineStr">
        <is>
          <t>CPR</t>
        </is>
      </c>
      <c r="D5644" t="n">
        <v>40</v>
      </c>
      <c r="E5644">
        <f>IF(D4236&gt;0,VLOOKUP(OPERAC[[#This Row],[COD CART]],[1]!MatrizCortoLargoCyl[#All],3,0),"")</f>
        <v/>
      </c>
      <c r="F5644" t="inlineStr">
        <is>
          <t>EDU</t>
        </is>
      </c>
      <c r="G5644" t="n">
        <v>500</v>
      </c>
      <c r="H5644" t="n">
        <v>-1008</v>
      </c>
      <c r="I5644">
        <f>-H4236/G4236</f>
        <v/>
      </c>
      <c r="J5644" s="16" t="n">
        <v>44599</v>
      </c>
      <c r="K5644" t="n">
        <v>500</v>
      </c>
      <c r="L5644" t="n">
        <v>770</v>
      </c>
    </row>
    <row r="5645">
      <c r="A5645" t="n">
        <v>20234</v>
      </c>
      <c r="B5645" s="16" t="n">
        <v>44602</v>
      </c>
      <c r="C5645" t="inlineStr">
        <is>
          <t>VTA</t>
        </is>
      </c>
      <c r="D5645" t="n">
        <v>39</v>
      </c>
      <c r="E5645">
        <f>IF(D901&gt;0,VLOOKUP(OPERAC[[#This Row],[COD CART]],[1]!MatrizCortoLargoCyl[#All],3,0),"")</f>
        <v/>
      </c>
      <c r="F5645" t="inlineStr">
        <is>
          <t>TSLA/C/1005,00/11-02-22</t>
        </is>
      </c>
      <c r="G5645" t="n">
        <v>-300</v>
      </c>
      <c r="H5645">
        <f>-0.5*OPERAC[[#This Row],[cantidad]]</f>
        <v/>
      </c>
      <c r="I5645">
        <f>-H901/G901</f>
        <v/>
      </c>
      <c r="J5645" s="16" t="n">
        <v>44603</v>
      </c>
      <c r="K5645" t="n">
        <v>-300</v>
      </c>
      <c r="L5645" t="n">
        <v>0</v>
      </c>
    </row>
    <row r="5646">
      <c r="A5646" t="n">
        <v>20234</v>
      </c>
      <c r="B5646" s="16" t="n">
        <v>44602</v>
      </c>
      <c r="C5646" t="inlineStr">
        <is>
          <t>VTA</t>
        </is>
      </c>
      <c r="D5646" t="n">
        <v>39</v>
      </c>
      <c r="E5646">
        <f>IF(D902&gt;0,VLOOKUP(OPERAC[[#This Row],[COD CART]],[1]!MatrizCortoLargoCyl[#All],3,0),"")</f>
        <v/>
      </c>
      <c r="F5646" t="inlineStr">
        <is>
          <t>TSLA/V/840,00/11-02-22</t>
        </is>
      </c>
      <c r="G5646" t="n">
        <v>-300</v>
      </c>
      <c r="H5646">
        <f>-0.5*OPERAC[[#This Row],[cantidad]]</f>
        <v/>
      </c>
      <c r="I5646">
        <f>-H902/G902</f>
        <v/>
      </c>
      <c r="J5646" s="16" t="n">
        <v>44603</v>
      </c>
      <c r="K5646" t="n">
        <v>-300</v>
      </c>
      <c r="L5646" t="n">
        <v>0</v>
      </c>
    </row>
    <row r="5647">
      <c r="A5647" t="n">
        <v>20234</v>
      </c>
      <c r="B5647" s="16" t="n">
        <v>44608</v>
      </c>
      <c r="C5647" t="inlineStr">
        <is>
          <t>VTA</t>
        </is>
      </c>
      <c r="D5647" t="n">
        <v>32</v>
      </c>
      <c r="E5647">
        <f>IF(D5120&gt;0,VLOOKUP(OPERAC[[#This Row],[COD CART]],[1]!MatrizCortoLargoCyl[#All],3,0),"")</f>
        <v/>
      </c>
      <c r="F5647" t="inlineStr">
        <is>
          <t>DDD/CYL/17,00/01-04-22</t>
        </is>
      </c>
      <c r="G5647" t="n">
        <v>100</v>
      </c>
      <c r="H5647">
        <f>-1629.4234+19.7+16.45</f>
        <v/>
      </c>
      <c r="I5647">
        <f>-H5120/G5120</f>
        <v/>
      </c>
      <c r="J5647" s="16" t="n">
        <v>44649</v>
      </c>
      <c r="K5647" t="n">
        <v>100</v>
      </c>
      <c r="L5647" t="n">
        <v>1661.98</v>
      </c>
    </row>
    <row r="5648">
      <c r="A5648" t="n">
        <v>20234</v>
      </c>
      <c r="B5648" s="16" t="n">
        <v>44614</v>
      </c>
      <c r="C5648" t="inlineStr">
        <is>
          <t>VTA</t>
        </is>
      </c>
      <c r="D5648" t="n">
        <v>39</v>
      </c>
      <c r="E5648">
        <f>IF(D1193&gt;0,VLOOKUP(OPERAC[[#This Row],[COD CART]],[1]!MatrizCortoLargoCyl[#All],3,0),"")</f>
        <v/>
      </c>
      <c r="F5648" t="inlineStr">
        <is>
          <t>SOLO/V/2,00/19-01-24</t>
        </is>
      </c>
      <c r="G5648" t="n">
        <v>-10</v>
      </c>
      <c r="H5648" t="n">
        <v>9.869999999999999</v>
      </c>
      <c r="I5648">
        <f>-H1193/G1193</f>
        <v/>
      </c>
    </row>
    <row r="5649">
      <c r="A5649" t="n">
        <v>20234</v>
      </c>
      <c r="B5649" s="16" t="n">
        <v>44614</v>
      </c>
      <c r="C5649" t="inlineStr">
        <is>
          <t>VTA</t>
        </is>
      </c>
      <c r="D5649" t="n">
        <v>39</v>
      </c>
      <c r="E5649">
        <f>IF(D1203&gt;0,VLOOKUP(OPERAC[[#This Row],[COD CART]],[1]!MatrizCortoLargoCyl[#All],3,0),"")</f>
        <v/>
      </c>
      <c r="F5649" t="inlineStr">
        <is>
          <t>TSLA/V/200,00/19-01-24</t>
        </is>
      </c>
      <c r="G5649" t="n">
        <v>-1</v>
      </c>
      <c r="H5649" t="n">
        <v>8.92</v>
      </c>
      <c r="I5649">
        <f>-H1203/G1203</f>
        <v/>
      </c>
    </row>
    <row r="5650">
      <c r="A5650" t="n">
        <v>20234</v>
      </c>
      <c r="B5650" s="16" t="n">
        <v>44616</v>
      </c>
      <c r="C5650" t="inlineStr">
        <is>
          <t>VTA</t>
        </is>
      </c>
      <c r="D5650" t="n">
        <v>32</v>
      </c>
      <c r="E5650">
        <f>IF(D5575&gt;0,VLOOKUP(OPERAC[[#This Row],[COD CART]],[1]!MatrizCortoLargoCyl[#All],3,0),"")</f>
        <v/>
      </c>
      <c r="F5650" t="inlineStr">
        <is>
          <t>PLTR/CYL/12,00/14-04-22</t>
        </is>
      </c>
      <c r="G5650" t="n">
        <v>200</v>
      </c>
      <c r="H5650" t="n">
        <v>-2105.453</v>
      </c>
      <c r="I5650">
        <f>-H5575/G5575</f>
        <v/>
      </c>
      <c r="J5650" s="16" t="n">
        <v>44643</v>
      </c>
      <c r="K5650" t="n">
        <v>200</v>
      </c>
      <c r="L5650" t="n">
        <v>2293.448</v>
      </c>
    </row>
    <row r="5651">
      <c r="A5651" t="n">
        <v>20234</v>
      </c>
      <c r="B5651" s="16" t="n">
        <v>44622</v>
      </c>
      <c r="C5651" t="inlineStr">
        <is>
          <t>CPR</t>
        </is>
      </c>
      <c r="D5651" t="n">
        <v>32</v>
      </c>
      <c r="E5651">
        <f>IF(D4060&gt;0,VLOOKUP(OPERAC[[#This Row],[COD CART]],[1]!MatrizCortoLargoCyl[#All],3,0),"")</f>
        <v/>
      </c>
      <c r="F5651" t="inlineStr">
        <is>
          <t>SABR/CYL/10,00/14-04-22</t>
        </is>
      </c>
      <c r="G5651" t="n">
        <v>100</v>
      </c>
      <c r="H5651" t="n">
        <v>-928.9848000000001</v>
      </c>
      <c r="I5651">
        <f>-H4060/G4060</f>
        <v/>
      </c>
      <c r="J5651" s="16" t="n">
        <v>44649</v>
      </c>
      <c r="K5651" t="n">
        <v>100</v>
      </c>
      <c r="L5651" t="n">
        <v>982.1799999999999</v>
      </c>
    </row>
    <row r="5652">
      <c r="A5652" t="n">
        <v>20234</v>
      </c>
      <c r="B5652" s="16" t="n">
        <v>44643</v>
      </c>
      <c r="C5652" t="inlineStr">
        <is>
          <t>VTA</t>
        </is>
      </c>
      <c r="D5652" t="n">
        <v>42</v>
      </c>
      <c r="E5652">
        <f>IF(D2459&gt;0,VLOOKUP(OPERAC[[#This Row],[COD CART]],[1]!MatrizCortoLargoCyl[#All],3,0),"")</f>
        <v/>
      </c>
      <c r="F5652" t="inlineStr">
        <is>
          <t>FB</t>
        </is>
      </c>
      <c r="G5652" t="n">
        <v>2</v>
      </c>
      <c r="H5652" t="n">
        <v>-432.24652</v>
      </c>
      <c r="I5652">
        <f>-H2459/G2459</f>
        <v/>
      </c>
      <c r="J5652" s="16" t="n">
        <v>44671</v>
      </c>
      <c r="K5652">
        <f>+OPERAC[[#This Row],[cantidad]]</f>
        <v/>
      </c>
      <c r="L5652">
        <f>+OPERAC[[#This Row],[cantidad venta]]*213.173</f>
        <v/>
      </c>
    </row>
    <row r="5653">
      <c r="A5653" t="n">
        <v>20234</v>
      </c>
      <c r="B5653" s="16" t="n">
        <v>44643</v>
      </c>
      <c r="C5653" t="inlineStr">
        <is>
          <t>VTA</t>
        </is>
      </c>
      <c r="D5653" t="n">
        <v>32</v>
      </c>
      <c r="E5653">
        <f>IF(D5204&gt;0,VLOOKUP(OPERAC[[#This Row],[COD CART]],[1]!MatrizCortoLargoCyl[#All],3,0),"")</f>
        <v/>
      </c>
      <c r="F5653" t="inlineStr">
        <is>
          <t>EDIT/CYL/17,00/14-04-22</t>
        </is>
      </c>
      <c r="G5653" t="n">
        <v>100</v>
      </c>
      <c r="H5653" t="n">
        <v>-1650.54</v>
      </c>
      <c r="I5653">
        <f>-H5204/G5204</f>
        <v/>
      </c>
      <c r="J5653" s="16" t="n">
        <v>44648</v>
      </c>
      <c r="K5653" t="n">
        <v>100</v>
      </c>
      <c r="L5653">
        <f>-202.298+1898.018</f>
        <v/>
      </c>
    </row>
    <row r="5654">
      <c r="A5654" t="n">
        <v>20234</v>
      </c>
      <c r="B5654" s="16" t="n">
        <v>44649</v>
      </c>
      <c r="C5654" t="inlineStr">
        <is>
          <t>VTA</t>
        </is>
      </c>
      <c r="D5654" t="n">
        <v>42</v>
      </c>
      <c r="E5654">
        <f>IF(D1660&gt;0,VLOOKUP(OPERAC[[#This Row],[COD CART]],[1]!MatrizCortoLargoCyl[#All],3,0),"")</f>
        <v/>
      </c>
      <c r="F5654" t="inlineStr">
        <is>
          <t>FB</t>
        </is>
      </c>
      <c r="G5654" t="n">
        <v>1</v>
      </c>
      <c r="H5654" t="n">
        <v>-229.9994</v>
      </c>
      <c r="I5654">
        <f>-H1660/G1660</f>
        <v/>
      </c>
      <c r="J5654" s="16" t="n">
        <v>44671</v>
      </c>
      <c r="K5654">
        <f>+OPERAC[[#This Row],[cantidad]]</f>
        <v/>
      </c>
      <c r="L5654">
        <f>+OPERAC[[#This Row],[cantidad venta]]*213.173</f>
        <v/>
      </c>
    </row>
    <row r="5655">
      <c r="A5655" t="n">
        <v>20234</v>
      </c>
      <c r="B5655" s="16" t="n">
        <v>44649</v>
      </c>
      <c r="C5655" t="inlineStr">
        <is>
          <t>VTA</t>
        </is>
      </c>
      <c r="D5655" t="n">
        <v>42</v>
      </c>
      <c r="E5655">
        <f>IF(D2441&gt;0,VLOOKUP(OPERAC[[#This Row],[COD CART]],[1]!MatrizCortoLargoCyl[#All],3,0),"")</f>
        <v/>
      </c>
      <c r="F5655" t="inlineStr">
        <is>
          <t>JPM</t>
        </is>
      </c>
      <c r="G5655" t="n">
        <v>3</v>
      </c>
      <c r="H5655" t="n">
        <v>-427.14519</v>
      </c>
      <c r="I5655">
        <f>-H2441/G2441</f>
        <v/>
      </c>
      <c r="J5655" s="16" t="n">
        <v>44664</v>
      </c>
      <c r="K5655">
        <f>+OPERAC[[#This Row],[cantidad]]</f>
        <v/>
      </c>
      <c r="L5655">
        <f>+OPERAC[[#This Row],[cantidad venta]]*125.943</f>
        <v/>
      </c>
    </row>
    <row r="5656">
      <c r="A5656" t="n">
        <v>20234</v>
      </c>
      <c r="B5656" s="16" t="n">
        <v>44649</v>
      </c>
      <c r="C5656" t="inlineStr">
        <is>
          <t>VTA</t>
        </is>
      </c>
      <c r="D5656" t="n">
        <v>42</v>
      </c>
      <c r="E5656">
        <f>IF(D2449&gt;0,VLOOKUP(OPERAC[[#This Row],[COD CART]],[1]!MatrizCortoLargoCyl[#All],3,0),"")</f>
        <v/>
      </c>
      <c r="F5656" t="inlineStr">
        <is>
          <t>DIS</t>
        </is>
      </c>
      <c r="G5656" t="n">
        <v>3</v>
      </c>
      <c r="H5656" t="n">
        <v>-429.7866799999999</v>
      </c>
      <c r="I5656">
        <f>-H2449/G2449</f>
        <v/>
      </c>
      <c r="J5656" s="16" t="n">
        <v>44671</v>
      </c>
      <c r="K5656">
        <f>+OPERAC[[#This Row],[cantidad]]</f>
        <v/>
      </c>
      <c r="L5656">
        <f>+OPERAC[[#This Row],[cantidad venta]]*123.621</f>
        <v/>
      </c>
    </row>
    <row r="5657">
      <c r="A5657" t="n">
        <v>20234</v>
      </c>
      <c r="B5657" s="16" t="n">
        <v>44649</v>
      </c>
      <c r="C5657" t="inlineStr">
        <is>
          <t>VTA</t>
        </is>
      </c>
      <c r="D5657" t="n">
        <v>42</v>
      </c>
      <c r="E5657">
        <f>IF(D2544&gt;0,VLOOKUP(OPERAC[[#This Row],[COD CART]],[1]!MatrizCortoLargoCyl[#All],3,0),"")</f>
        <v/>
      </c>
      <c r="F5657" t="inlineStr">
        <is>
          <t>ADBE</t>
        </is>
      </c>
      <c r="G5657" t="n">
        <v>1</v>
      </c>
      <c r="H5657" t="n">
        <v>-464.10176</v>
      </c>
      <c r="I5657">
        <f>-H2544/G2544</f>
        <v/>
      </c>
      <c r="J5657" s="16" t="n">
        <v>44687</v>
      </c>
      <c r="K5657">
        <f>+OPERAC[[#This Row],[cantidad]]</f>
        <v/>
      </c>
      <c r="L5657" t="n">
        <v>386.42</v>
      </c>
    </row>
    <row r="5658">
      <c r="A5658" t="n">
        <v>20234</v>
      </c>
      <c r="B5658" s="16" t="n">
        <v>44649</v>
      </c>
      <c r="C5658" t="inlineStr">
        <is>
          <t>VTA</t>
        </is>
      </c>
      <c r="D5658" t="n">
        <v>42</v>
      </c>
      <c r="E5658">
        <f>IF(D2974&gt;0,VLOOKUP(OPERAC[[#This Row],[COD CART]],[1]!MatrizCortoLargoCyl[#All],3,0),"")</f>
        <v/>
      </c>
      <c r="F5658" t="inlineStr">
        <is>
          <t>SMH</t>
        </is>
      </c>
      <c r="G5658" t="n">
        <v>2</v>
      </c>
      <c r="H5658" t="n">
        <v>-563.8843999999999</v>
      </c>
      <c r="I5658">
        <f>-H2974/G2974</f>
        <v/>
      </c>
      <c r="J5658" s="16" t="n">
        <v>44663</v>
      </c>
      <c r="K5658">
        <f>+OPERAC[[#This Row],[cantidad]]</f>
        <v/>
      </c>
      <c r="L5658">
        <f>+OPERAC[[#This Row],[cantidad venta]]*238.066</f>
        <v/>
      </c>
    </row>
    <row r="5659">
      <c r="A5659" t="n">
        <v>20234</v>
      </c>
      <c r="B5659" s="16" t="n">
        <v>44649</v>
      </c>
      <c r="C5659" t="inlineStr">
        <is>
          <t>VTA</t>
        </is>
      </c>
      <c r="D5659" t="n">
        <v>42</v>
      </c>
      <c r="E5659">
        <f>IF(D3147&gt;0,VLOOKUP(OPERAC[[#This Row],[COD CART]],[1]!MatrizCortoLargoCyl[#All],3,0),"")</f>
        <v/>
      </c>
      <c r="F5659" t="inlineStr">
        <is>
          <t>MSFT</t>
        </is>
      </c>
      <c r="G5659" t="n">
        <v>2</v>
      </c>
      <c r="H5659" t="n">
        <v>-636.1408</v>
      </c>
      <c r="I5659">
        <f>-H3147/G3147</f>
        <v/>
      </c>
      <c r="J5659" s="16" t="n">
        <v>44662</v>
      </c>
      <c r="K5659">
        <f>+OPERAC[[#This Row],[cantidad]]</f>
        <v/>
      </c>
      <c r="L5659">
        <f>287.546*OPERAC[[#This Row],[cantidad venta]]</f>
        <v/>
      </c>
    </row>
    <row r="5660">
      <c r="A5660" t="n">
        <v>20234</v>
      </c>
      <c r="B5660" s="16" t="n">
        <v>44650</v>
      </c>
      <c r="C5660" t="inlineStr">
        <is>
          <t>CPR</t>
        </is>
      </c>
      <c r="D5660" t="n">
        <v>32</v>
      </c>
      <c r="E5660">
        <f>IF(D3434&gt;0,VLOOKUP(OPERAC[[#This Row],[COD CART]],[1]!MatrizCortoLargoCyl[#All],3,0),"")</f>
        <v/>
      </c>
      <c r="F5660" t="inlineStr">
        <is>
          <t>UUUU/CYL/8,00/20-05-22</t>
        </is>
      </c>
      <c r="G5660" t="n">
        <v>100</v>
      </c>
      <c r="H5660" t="n">
        <v>-748.0204</v>
      </c>
      <c r="I5660">
        <f>-H3434/G3434</f>
        <v/>
      </c>
      <c r="J5660" s="16" t="n">
        <v>44665</v>
      </c>
      <c r="K5660" t="n">
        <v>100</v>
      </c>
      <c r="L5660" t="n">
        <v>776</v>
      </c>
    </row>
    <row r="5661">
      <c r="A5661" t="n">
        <v>20234</v>
      </c>
      <c r="B5661" s="16" t="n">
        <v>44655</v>
      </c>
      <c r="C5661" t="inlineStr">
        <is>
          <t>CPR</t>
        </is>
      </c>
      <c r="D5661" t="n">
        <v>32</v>
      </c>
      <c r="E5661">
        <f>IF(D3693&gt;0,VLOOKUP(OPERAC[[#This Row],[COD CART]],[1]!MatrizCortoLargoCyl[#All],3,0),"")</f>
        <v/>
      </c>
      <c r="F5661" t="inlineStr">
        <is>
          <t>COTY/CYL/9,00/15-07-22</t>
        </is>
      </c>
      <c r="G5661" t="n">
        <v>100</v>
      </c>
      <c r="H5661">
        <f>-835.518+6.941</f>
        <v/>
      </c>
      <c r="I5661">
        <f>-H3693/G3693</f>
        <v/>
      </c>
    </row>
    <row r="5662">
      <c r="A5662" t="n">
        <v>20234</v>
      </c>
      <c r="B5662" s="16" t="n">
        <v>44662</v>
      </c>
      <c r="C5662" t="inlineStr">
        <is>
          <t>VTA</t>
        </is>
      </c>
      <c r="D5662" t="n">
        <v>42</v>
      </c>
      <c r="E5662">
        <f>IF(D2210&gt;0,VLOOKUP(OPERAC[[#This Row],[COD CART]],[1]!MatrizCortoLargoCyl[#All],3,0),"")</f>
        <v/>
      </c>
      <c r="F5662" t="inlineStr">
        <is>
          <t>HYDR</t>
        </is>
      </c>
      <c r="G5662" t="n">
        <v>20</v>
      </c>
      <c r="H5662" t="n">
        <v>-371.4068800000001</v>
      </c>
      <c r="I5662">
        <f>-H2210/G2210</f>
        <v/>
      </c>
      <c r="J5662" s="16" t="n">
        <v>44693</v>
      </c>
      <c r="K5662">
        <f>+OPERAC[[#This Row],[cantidad]]</f>
        <v/>
      </c>
      <c r="L5662">
        <f>+OPERAC[[#This Row],[cantidad venta]]*11.986</f>
        <v/>
      </c>
    </row>
    <row r="5663">
      <c r="A5663" t="n">
        <v>20234</v>
      </c>
      <c r="B5663" s="16" t="n">
        <v>44662</v>
      </c>
      <c r="C5663" t="inlineStr">
        <is>
          <t>VTA</t>
        </is>
      </c>
      <c r="D5663" t="n">
        <v>42</v>
      </c>
      <c r="E5663">
        <f>IF(D2505&gt;0,VLOOKUP(OPERAC[[#This Row],[COD CART]],[1]!MatrizCortoLargoCyl[#All],3,0),"")</f>
        <v/>
      </c>
      <c r="F5663" t="inlineStr">
        <is>
          <t>UPST</t>
        </is>
      </c>
      <c r="G5663" t="n">
        <v>5</v>
      </c>
      <c r="H5663" t="n">
        <v>-457.0018</v>
      </c>
      <c r="I5663">
        <f>-H2505/G2505</f>
        <v/>
      </c>
      <c r="J5663" s="16" t="n">
        <v>44693</v>
      </c>
      <c r="K5663" t="n">
        <v>5</v>
      </c>
      <c r="L5663" t="n">
        <v>158.792</v>
      </c>
    </row>
    <row r="5664">
      <c r="A5664" t="n">
        <v>20234</v>
      </c>
      <c r="B5664" s="16" t="n">
        <v>44664</v>
      </c>
      <c r="C5664" t="inlineStr">
        <is>
          <t>VTA</t>
        </is>
      </c>
      <c r="D5664" t="n">
        <v>42</v>
      </c>
      <c r="E5664">
        <f>IF(D1725&gt;0,VLOOKUP(OPERAC[[#This Row],[COD CART]],[1]!MatrizCortoLargoCyl[#All],3,0),"")</f>
        <v/>
      </c>
      <c r="F5664" t="inlineStr">
        <is>
          <t>PSQ</t>
        </is>
      </c>
      <c r="G5664" t="n">
        <v>20</v>
      </c>
      <c r="H5664" t="n">
        <v>-248.65144362</v>
      </c>
      <c r="I5664">
        <f>-H1725/G1725</f>
        <v/>
      </c>
      <c r="J5664" s="16" t="n">
        <v>44680</v>
      </c>
      <c r="K5664">
        <f>+OPERAC[[#This Row],[cantidad]]</f>
        <v/>
      </c>
      <c r="L5664">
        <f>12.848*OPERAC[[#This Row],[cantidad venta]]</f>
        <v/>
      </c>
    </row>
    <row r="5665">
      <c r="A5665" t="n">
        <v>20234</v>
      </c>
      <c r="B5665" s="16" t="n">
        <v>44669</v>
      </c>
      <c r="C5665" t="inlineStr">
        <is>
          <t>CPR</t>
        </is>
      </c>
      <c r="D5665" t="n">
        <v>32</v>
      </c>
      <c r="E5665">
        <f>IF(D3981&gt;0,VLOOKUP(OPERAC[[#This Row],[COD CART]],[1]!MatrizCortoLargoCyl[#All],3,0),"")</f>
        <v/>
      </c>
      <c r="F5665" t="inlineStr">
        <is>
          <t>HMY/CYL/5,00/19-08-22</t>
        </is>
      </c>
      <c r="G5665" t="n">
        <v>200</v>
      </c>
      <c r="H5665">
        <f>-4.64*OPERAC[[#This Row],[cantidad]]+15.864</f>
        <v/>
      </c>
      <c r="I5665">
        <f>-H3981/G3981</f>
        <v/>
      </c>
    </row>
    <row r="5666">
      <c r="A5666" t="n">
        <v>20234</v>
      </c>
      <c r="B5666" s="16" t="n">
        <v>44671</v>
      </c>
      <c r="C5666" t="inlineStr">
        <is>
          <t>CPR</t>
        </is>
      </c>
      <c r="D5666" t="n">
        <v>42</v>
      </c>
      <c r="E5666">
        <f>IF(D3513&gt;0,VLOOKUP(OPERAC[[#This Row],[COD CART]],[1]!MatrizCortoLargoCyl[#All],3,0),"")</f>
        <v/>
      </c>
      <c r="F5666" t="inlineStr">
        <is>
          <t>NFLX</t>
        </is>
      </c>
      <c r="G5666" t="n">
        <v>3</v>
      </c>
      <c r="H5666" t="n">
        <v>-763.51518</v>
      </c>
      <c r="I5666">
        <f>-H3513/G3513</f>
        <v/>
      </c>
      <c r="J5666" s="16" t="n">
        <v>44693</v>
      </c>
      <c r="K5666">
        <f>+OPERAC[[#This Row],[cantidad]]</f>
        <v/>
      </c>
      <c r="L5666">
        <f>+OPERAC[[#This Row],[cantidad venta]]*169.089</f>
        <v/>
      </c>
    </row>
    <row r="5667">
      <c r="A5667" t="n">
        <v>20234</v>
      </c>
      <c r="B5667" s="16" t="n">
        <v>44671</v>
      </c>
      <c r="C5667" t="inlineStr">
        <is>
          <t>VTA</t>
        </is>
      </c>
      <c r="D5667" t="n">
        <v>42</v>
      </c>
      <c r="E5667">
        <f>IF(D2196&gt;0,VLOOKUP(OPERAC[[#This Row],[COD CART]],[1]!MatrizCortoLargoCyl[#All],3,0),"")</f>
        <v/>
      </c>
      <c r="F5667" t="inlineStr">
        <is>
          <t>TLT</t>
        </is>
      </c>
      <c r="G5667" t="n">
        <v>3</v>
      </c>
      <c r="H5667" t="n">
        <v>-367.689015</v>
      </c>
      <c r="I5667">
        <f>-H2196/G2196</f>
        <v/>
      </c>
    </row>
    <row r="5668">
      <c r="A5668" t="n">
        <v>20234</v>
      </c>
      <c r="B5668" s="16" t="n">
        <v>44680</v>
      </c>
      <c r="C5668" t="inlineStr">
        <is>
          <t>VTA</t>
        </is>
      </c>
      <c r="D5668" t="n">
        <v>42</v>
      </c>
      <c r="E5668">
        <f>IF(D1687&gt;0,VLOOKUP(OPERAC[[#This Row],[COD CART]],[1]!MatrizCortoLargoCyl[#All],3,0),"")</f>
        <v/>
      </c>
      <c r="F5668" t="inlineStr">
        <is>
          <t>XLP</t>
        </is>
      </c>
      <c r="G5668" t="n">
        <v>3</v>
      </c>
      <c r="H5668" t="n">
        <v>-238.3035075</v>
      </c>
      <c r="I5668">
        <f>-H1687/G1687</f>
        <v/>
      </c>
      <c r="J5668" s="16" t="n">
        <v>44693</v>
      </c>
      <c r="K5668">
        <f>+OPERAC[[#This Row],[cantidad]]</f>
        <v/>
      </c>
      <c r="L5668">
        <f>+OPERAC[[#This Row],[cantidad venta]]*74.848</f>
        <v/>
      </c>
    </row>
    <row r="5669">
      <c r="A5669" t="n">
        <v>20234</v>
      </c>
      <c r="B5669" s="16" t="n">
        <v>44707</v>
      </c>
      <c r="C5669" t="inlineStr">
        <is>
          <t>VTA</t>
        </is>
      </c>
      <c r="D5669" t="n">
        <v>43</v>
      </c>
      <c r="E5669">
        <f>IF(D5291&gt;0,VLOOKUP(OPERAC[[#This Row],[COD CART]],[1]!MatrizCortoLargoCyl[#All],3,0),"")</f>
        <v/>
      </c>
      <c r="F5669" t="inlineStr">
        <is>
          <t>SPWR/CYP/17,50-15,00/17-06-22</t>
        </is>
      </c>
      <c r="G5669" t="n">
        <v>100</v>
      </c>
      <c r="H5669" t="n">
        <v>-1717.027</v>
      </c>
      <c r="I5669">
        <f>-H5291/G5291</f>
        <v/>
      </c>
    </row>
    <row r="5670">
      <c r="A5670" t="n">
        <v>20312</v>
      </c>
      <c r="B5670" s="16" t="n">
        <v>44461</v>
      </c>
      <c r="C5670" t="inlineStr">
        <is>
          <t>VTA</t>
        </is>
      </c>
      <c r="D5670" t="n">
        <v>40</v>
      </c>
      <c r="E5670">
        <f>IF(D2023&gt;0,VLOOKUP(OPERAC[[#This Row],[COD CART]],[1]!MatrizCortoLargoCyl[#All],3,0),"")</f>
        <v/>
      </c>
      <c r="F5670" t="inlineStr">
        <is>
          <t>EDU</t>
        </is>
      </c>
      <c r="G5670" t="n">
        <v>300</v>
      </c>
      <c r="H5670">
        <f>-1.0864*OPERAC[[#This Row],[cantidad]]+0.04*OPERAC[[#This Row],[cantidad]]</f>
        <v/>
      </c>
      <c r="I5670">
        <f>-H2023/G2023</f>
        <v/>
      </c>
      <c r="J5670" s="16" t="n">
        <v>44614</v>
      </c>
      <c r="K5670">
        <f>+OPERAC[[#This Row],[cantidad]]</f>
        <v/>
      </c>
      <c r="L5670">
        <f>1.483*OPERAC[[#This Row],[cantidad venta]]</f>
        <v/>
      </c>
    </row>
    <row r="5671">
      <c r="A5671" t="n">
        <v>20312</v>
      </c>
      <c r="B5671" s="16" t="n">
        <v>44533</v>
      </c>
      <c r="C5671" t="inlineStr">
        <is>
          <t>CPR</t>
        </is>
      </c>
      <c r="D5671" t="n">
        <v>32</v>
      </c>
      <c r="E5671">
        <f>IF(D3686&gt;0,VLOOKUP(OPERAC[[#This Row],[COD CART]],[1]!MatrizCortoLargoCyl[#All],3,0),"")</f>
        <v/>
      </c>
      <c r="F5671" t="inlineStr">
        <is>
          <t>TLRY/CYL/11,00/21-01-22</t>
        </is>
      </c>
      <c r="G5671" t="n">
        <v>100</v>
      </c>
      <c r="H5671" t="n">
        <v>-826.975</v>
      </c>
      <c r="I5671">
        <f>-H3686/G3686</f>
        <v/>
      </c>
      <c r="J5671" s="16" t="n">
        <v>44573</v>
      </c>
      <c r="K5671" t="n">
        <v>100</v>
      </c>
      <c r="L5671" t="n">
        <v>717.188</v>
      </c>
    </row>
    <row r="5672">
      <c r="A5672" t="n">
        <v>20312</v>
      </c>
      <c r="B5672" s="16" t="n">
        <v>44533</v>
      </c>
      <c r="C5672" t="inlineStr">
        <is>
          <t>VTA</t>
        </is>
      </c>
      <c r="D5672" t="n">
        <v>32</v>
      </c>
      <c r="E5672">
        <f>IF(D2254&gt;0,VLOOKUP(OPERAC[[#This Row],[COD CART]],[1]!MatrizCortoLargoCyl[#All],3,0),"")</f>
        <v/>
      </c>
      <c r="F5672" t="inlineStr">
        <is>
          <t>GMBL/CYL/5,00/21-01-22</t>
        </is>
      </c>
      <c r="G5672" t="n">
        <v>100</v>
      </c>
      <c r="H5672">
        <f>-3.83*OPERAC[[#This Row],[cantidad]]</f>
        <v/>
      </c>
      <c r="I5672">
        <f>-H2254/G2254</f>
        <v/>
      </c>
      <c r="J5672" s="16" t="n">
        <v>44581</v>
      </c>
      <c r="K5672" t="n">
        <v>100</v>
      </c>
      <c r="L5672" t="n">
        <v>293.316</v>
      </c>
    </row>
    <row r="5673">
      <c r="A5673" t="n">
        <v>20312</v>
      </c>
      <c r="B5673" s="16" t="n">
        <v>44533</v>
      </c>
      <c r="C5673" t="inlineStr">
        <is>
          <t>VTA</t>
        </is>
      </c>
      <c r="D5673" t="n">
        <v>32</v>
      </c>
      <c r="E5673">
        <f>IF(D2992&gt;0,VLOOKUP(OPERAC[[#This Row],[COD CART]],[1]!MatrizCortoLargoCyl[#All],3,0),"")</f>
        <v/>
      </c>
      <c r="F5673" t="inlineStr">
        <is>
          <t>INO/CYL/7,00/21-01-22</t>
        </is>
      </c>
      <c r="G5673" t="n">
        <v>100</v>
      </c>
      <c r="H5673">
        <f>-5.7*OPERAC[[#This Row],[cantidad]]</f>
        <v/>
      </c>
      <c r="I5673">
        <f>-H2992/G2992</f>
        <v/>
      </c>
      <c r="J5673" s="16" t="n">
        <v>44579</v>
      </c>
      <c r="K5673" t="n">
        <v>100</v>
      </c>
      <c r="L5673" t="n">
        <v>427.052</v>
      </c>
    </row>
    <row r="5674">
      <c r="A5674" t="n">
        <v>20312</v>
      </c>
      <c r="B5674" s="16" t="n">
        <v>44553</v>
      </c>
      <c r="C5674" t="inlineStr">
        <is>
          <t>VTA</t>
        </is>
      </c>
      <c r="D5674" t="n">
        <v>40</v>
      </c>
      <c r="E5674">
        <f>IF(D1817&gt;0,VLOOKUP(OPERAC[[#This Row],[COD CART]],[1]!MatrizCortoLargoCyl[#All],3,0),"")</f>
        <v/>
      </c>
      <c r="F5674" t="inlineStr">
        <is>
          <t>ON</t>
        </is>
      </c>
      <c r="G5674" t="n">
        <v>4</v>
      </c>
      <c r="H5674" t="n">
        <v>-268.4544319999999</v>
      </c>
      <c r="I5674">
        <f>-H1817/G1817</f>
        <v/>
      </c>
      <c r="J5674" s="16" t="n">
        <v>44606</v>
      </c>
      <c r="K5674">
        <f>+OPERAC[[#This Row],[cantidad]]</f>
        <v/>
      </c>
      <c r="L5674">
        <f>+OPERAC[[#This Row],[cantidad venta]]*58.449</f>
        <v/>
      </c>
    </row>
    <row r="5675">
      <c r="A5675" t="n">
        <v>20312</v>
      </c>
      <c r="B5675" s="16" t="n">
        <v>44568</v>
      </c>
      <c r="C5675" t="inlineStr">
        <is>
          <t>VTA</t>
        </is>
      </c>
      <c r="D5675" t="n">
        <v>41</v>
      </c>
      <c r="E5675">
        <f>IF(D1510&gt;0,VLOOKUP(OPERAC[[#This Row],[COD CART]],[1]!MatrizCortoLargoCyl[#All],3,0),"")</f>
        <v/>
      </c>
      <c r="F5675" t="inlineStr">
        <is>
          <t>AES</t>
        </is>
      </c>
      <c r="G5675" t="n">
        <v>8</v>
      </c>
      <c r="H5675" t="n">
        <v>-187.68</v>
      </c>
      <c r="I5675">
        <f>-H1510/G1510</f>
        <v/>
      </c>
    </row>
    <row r="5676">
      <c r="A5676" t="n">
        <v>20312</v>
      </c>
      <c r="B5676" s="16" t="n">
        <v>44573</v>
      </c>
      <c r="C5676" t="inlineStr">
        <is>
          <t>VTA</t>
        </is>
      </c>
      <c r="D5676" t="n">
        <v>39</v>
      </c>
      <c r="E5676">
        <f>IF(D765&gt;0,VLOOKUP(OPERAC[[#This Row],[COD CART]],[1]!MatrizCortoLargoCyl[#All],3,0),"")</f>
        <v/>
      </c>
      <c r="F5676" t="inlineStr">
        <is>
          <t>ROKU/V/170,00/21-01-22</t>
        </is>
      </c>
      <c r="G5676" t="n">
        <v>-100</v>
      </c>
      <c r="H5676" t="n">
        <v>326.96</v>
      </c>
      <c r="I5676">
        <f>-H765/G765</f>
        <v/>
      </c>
      <c r="J5676" s="16" t="n">
        <v>44582</v>
      </c>
      <c r="K5676" t="n">
        <v>-100</v>
      </c>
      <c r="L5676">
        <f>-OPERAC[[#This Row],[importe]]</f>
        <v/>
      </c>
    </row>
    <row r="5677">
      <c r="A5677" t="n">
        <v>20312</v>
      </c>
      <c r="B5677" s="16" t="n">
        <v>44579</v>
      </c>
      <c r="C5677" t="inlineStr">
        <is>
          <t>VTA</t>
        </is>
      </c>
      <c r="D5677" t="n">
        <v>39</v>
      </c>
      <c r="E5677">
        <f>IF(D802&gt;0,VLOOKUP(OPERAC[[#This Row],[COD CART]],[1]!MatrizCortoLargoCyl[#All],3,0),"")</f>
        <v/>
      </c>
      <c r="F5677" t="inlineStr">
        <is>
          <t>ACB/V/5,50/21-01-22</t>
        </is>
      </c>
      <c r="G5677" t="n">
        <v>-800</v>
      </c>
      <c r="H5677" t="n">
        <v>255.488</v>
      </c>
      <c r="I5677">
        <f>-H802/G802</f>
        <v/>
      </c>
      <c r="J5677" s="16" t="n">
        <v>44581</v>
      </c>
      <c r="K5677">
        <f>+OPERAC[[#This Row],[cantidad]]</f>
        <v/>
      </c>
      <c r="L5677">
        <f>-OPERAC[[#This Row],[importe]]</f>
        <v/>
      </c>
    </row>
    <row r="5678">
      <c r="A5678" t="n">
        <v>20312</v>
      </c>
      <c r="B5678" s="16" t="n">
        <v>44581</v>
      </c>
      <c r="C5678" t="inlineStr">
        <is>
          <t>CPR</t>
        </is>
      </c>
      <c r="D5678" t="n">
        <v>32</v>
      </c>
      <c r="E5678">
        <f>IF(D3588&gt;0,VLOOKUP(OPERAC[[#This Row],[COD CART]],[1]!MatrizCortoLargoCyl[#All],3,0),"")</f>
        <v/>
      </c>
      <c r="F5678" t="inlineStr">
        <is>
          <t>HMY/CYL/4,00/18-02-22</t>
        </is>
      </c>
      <c r="G5678" t="n">
        <v>200</v>
      </c>
      <c r="H5678" t="n">
        <v>-774.9359920000001</v>
      </c>
      <c r="I5678">
        <f>-H3588/G3588</f>
        <v/>
      </c>
      <c r="J5678" s="16" t="n">
        <v>44610</v>
      </c>
      <c r="K5678">
        <f>+OPERAC[[#This Row],[cantidad]]</f>
        <v/>
      </c>
      <c r="L5678">
        <f>+OPERAC[[#This Row],[cantidad venta]]*3.8323</f>
        <v/>
      </c>
    </row>
    <row r="5679">
      <c r="A5679" t="n">
        <v>20312</v>
      </c>
      <c r="B5679" s="16" t="n">
        <v>44581</v>
      </c>
      <c r="C5679" t="inlineStr">
        <is>
          <t>VTA</t>
        </is>
      </c>
      <c r="D5679" t="n">
        <v>39</v>
      </c>
      <c r="E5679">
        <f>IF(D711&gt;0,VLOOKUP(OPERAC[[#This Row],[COD CART]],[1]!MatrizCortoLargoCyl[#All],3,0),"")</f>
        <v/>
      </c>
      <c r="F5679" t="inlineStr">
        <is>
          <t>ACB/V/5,50/25-02-22</t>
        </is>
      </c>
      <c r="G5679" t="n">
        <v>-500</v>
      </c>
      <c r="H5679" t="n">
        <v>410.31025</v>
      </c>
      <c r="I5679">
        <f>-H711/G711</f>
        <v/>
      </c>
      <c r="J5679" s="16" t="n">
        <v>44614</v>
      </c>
      <c r="K5679" t="n">
        <v>-500</v>
      </c>
      <c r="L5679" t="n">
        <v>-410</v>
      </c>
    </row>
    <row r="5680">
      <c r="A5680" t="n">
        <v>20312</v>
      </c>
      <c r="B5680" s="16" t="n">
        <v>44581</v>
      </c>
      <c r="C5680" t="inlineStr">
        <is>
          <t>VTA</t>
        </is>
      </c>
      <c r="D5680" t="n">
        <v>39</v>
      </c>
      <c r="E5680">
        <f>IF(D924&gt;0,VLOOKUP(OPERAC[[#This Row],[COD CART]],[1]!MatrizCortoLargoCyl[#All],3,0),"")</f>
        <v/>
      </c>
      <c r="F5680" t="inlineStr">
        <is>
          <t>ACB/V/6,00/18-02-22</t>
        </is>
      </c>
      <c r="G5680" t="n">
        <v>-100</v>
      </c>
      <c r="H5680" t="n">
        <v>120.9515</v>
      </c>
      <c r="I5680">
        <f>-H924/G924</f>
        <v/>
      </c>
      <c r="J5680" s="16" t="n">
        <v>44595</v>
      </c>
      <c r="K5680" t="n">
        <v>-100</v>
      </c>
      <c r="L5680">
        <f>1.21*OPERAC[[#This Row],[cantidad venta]]</f>
        <v/>
      </c>
    </row>
    <row r="5681">
      <c r="A5681" t="n">
        <v>20312</v>
      </c>
      <c r="B5681" s="16" t="n">
        <v>44582</v>
      </c>
      <c r="C5681" t="inlineStr">
        <is>
          <t>VTA</t>
        </is>
      </c>
      <c r="D5681" t="n">
        <v>39</v>
      </c>
      <c r="E5681">
        <f>IF(D207&gt;0,VLOOKUP(OPERAC[[#This Row],[COD CART]],[1]!MatrizCortoLargoCyl[#All],3,0),"")</f>
        <v/>
      </c>
      <c r="F5681" t="inlineStr">
        <is>
          <t>ROKU/V/160,00/28-01-22</t>
        </is>
      </c>
      <c r="G5681" t="n">
        <v>-200</v>
      </c>
      <c r="H5681" t="n">
        <v>2112.7576</v>
      </c>
      <c r="I5681">
        <f>-H207/G207</f>
        <v/>
      </c>
      <c r="J5681" s="16" t="n">
        <v>44587</v>
      </c>
      <c r="K5681">
        <f>+OPERAC[[#This Row],[cantidad]]</f>
        <v/>
      </c>
      <c r="L5681">
        <f>-OPERAC[[#This Row],[importe]]</f>
        <v/>
      </c>
    </row>
    <row r="5682">
      <c r="A5682" t="n">
        <v>20312</v>
      </c>
      <c r="B5682" s="16" t="n">
        <v>44587</v>
      </c>
      <c r="C5682" t="inlineStr">
        <is>
          <t>CPR</t>
        </is>
      </c>
      <c r="D5682" t="n">
        <v>40</v>
      </c>
      <c r="E5682">
        <f>IF(D3675&gt;0,VLOOKUP(OPERAC[[#This Row],[COD CART]],[1]!MatrizCortoLargoCyl[#All],3,0),"")</f>
        <v/>
      </c>
      <c r="F5682" t="inlineStr">
        <is>
          <t>AAPL</t>
        </is>
      </c>
      <c r="G5682" t="n">
        <v>5</v>
      </c>
      <c r="H5682" t="n">
        <v>-820.2721</v>
      </c>
      <c r="I5682">
        <f>-H3675/G3675</f>
        <v/>
      </c>
      <c r="J5682" s="16" t="n">
        <v>44601</v>
      </c>
      <c r="K5682" t="n">
        <v>5</v>
      </c>
      <c r="L5682">
        <f>175.66*OPERAC[[#This Row],[cantidad venta]]</f>
        <v/>
      </c>
    </row>
    <row r="5683">
      <c r="A5683" t="n">
        <v>20312</v>
      </c>
      <c r="B5683" s="16" t="n">
        <v>44587</v>
      </c>
      <c r="C5683" t="inlineStr">
        <is>
          <t>CPR</t>
        </is>
      </c>
      <c r="D5683" t="n">
        <v>40</v>
      </c>
      <c r="E5683">
        <f>IF(D3974&gt;0,VLOOKUP(OPERAC[[#This Row],[COD CART]],[1]!MatrizCortoLargoCyl[#All],3,0),"")</f>
        <v/>
      </c>
      <c r="F5683" t="inlineStr">
        <is>
          <t>MSFT</t>
        </is>
      </c>
      <c r="G5683" t="n">
        <v>3</v>
      </c>
      <c r="H5683" t="n">
        <v>-910.23378</v>
      </c>
      <c r="I5683">
        <f>-H3974/G3974</f>
        <v/>
      </c>
      <c r="J5683" s="16" t="n">
        <v>44606</v>
      </c>
      <c r="K5683">
        <f>+OPERAC[[#This Row],[cantidad]]</f>
        <v/>
      </c>
      <c r="L5683">
        <f>+OPERAC[[#This Row],[cantidad venta]]*290.091</f>
        <v/>
      </c>
    </row>
    <row r="5684">
      <c r="A5684" t="n">
        <v>20312</v>
      </c>
      <c r="B5684" s="16" t="n">
        <v>44587</v>
      </c>
      <c r="C5684" t="inlineStr">
        <is>
          <t>VTA</t>
        </is>
      </c>
      <c r="D5684" t="n">
        <v>39</v>
      </c>
      <c r="E5684">
        <f>IF(D293&gt;0,VLOOKUP(OPERAC[[#This Row],[COD CART]],[1]!MatrizCortoLargoCyl[#All],3,0),"")</f>
        <v/>
      </c>
      <c r="F5684" t="inlineStr">
        <is>
          <t>ROKU/V/155,00/04-02-22</t>
        </is>
      </c>
      <c r="G5684" t="n">
        <v>-200</v>
      </c>
      <c r="H5684" t="n">
        <v>1587.992</v>
      </c>
      <c r="I5684">
        <f>-H293/G293</f>
        <v/>
      </c>
      <c r="J5684" s="16" t="n">
        <v>44592</v>
      </c>
      <c r="K5684">
        <f>+OPERAC[[#This Row],[cantidad]]</f>
        <v/>
      </c>
      <c r="L5684" t="n">
        <v>-716.4627999999999</v>
      </c>
    </row>
    <row r="5685">
      <c r="A5685" t="n">
        <v>20312</v>
      </c>
      <c r="B5685" s="16" t="n">
        <v>44592</v>
      </c>
      <c r="C5685" t="inlineStr">
        <is>
          <t>VTA</t>
        </is>
      </c>
      <c r="D5685" t="n">
        <v>39</v>
      </c>
      <c r="E5685">
        <f>IF(D491&gt;0,VLOOKUP(OPERAC[[#This Row],[COD CART]],[1]!MatrizCortoLargoCyl[#All],3,0),"")</f>
        <v/>
      </c>
      <c r="F5685" t="inlineStr">
        <is>
          <t>ROKU/V/150,00/11-02-22</t>
        </is>
      </c>
      <c r="G5685" t="n">
        <v>-200</v>
      </c>
      <c r="H5685" t="n">
        <v>951.528</v>
      </c>
      <c r="I5685">
        <f>-H491/G491</f>
        <v/>
      </c>
      <c r="J5685" s="16" t="n">
        <v>44601</v>
      </c>
      <c r="K5685">
        <f>+OPERAC[[#This Row],[cantidad]]</f>
        <v/>
      </c>
      <c r="L5685">
        <f>0.67*OPERAC[[#This Row],[cantidad venta]]</f>
        <v/>
      </c>
    </row>
    <row r="5686">
      <c r="A5686" t="n">
        <v>20312</v>
      </c>
      <c r="B5686" s="16" t="n">
        <v>44594</v>
      </c>
      <c r="C5686" t="inlineStr">
        <is>
          <t>VTA</t>
        </is>
      </c>
      <c r="D5686" t="n">
        <v>40</v>
      </c>
      <c r="E5686">
        <f>IF(D3041&gt;0,VLOOKUP(OPERAC[[#This Row],[COD CART]],[1]!MatrizCortoLargoCyl[#All],3,0),"")</f>
        <v/>
      </c>
      <c r="F5686" t="inlineStr">
        <is>
          <t>EDU</t>
        </is>
      </c>
      <c r="G5686" t="n">
        <v>300</v>
      </c>
      <c r="H5686" t="n">
        <v>-604.8</v>
      </c>
      <c r="I5686">
        <f>-H3041/G3041</f>
        <v/>
      </c>
      <c r="J5686" s="16" t="n">
        <v>44595</v>
      </c>
      <c r="K5686">
        <f>200+100</f>
        <v/>
      </c>
      <c r="L5686">
        <f>277.722+146.996</f>
        <v/>
      </c>
    </row>
    <row r="5687">
      <c r="A5687" t="n">
        <v>20312</v>
      </c>
      <c r="B5687" s="16" t="n">
        <v>44607</v>
      </c>
      <c r="C5687" t="inlineStr">
        <is>
          <t>VTA</t>
        </is>
      </c>
      <c r="D5687" t="n">
        <v>32</v>
      </c>
      <c r="E5687">
        <f>IF(D5222&gt;0,VLOOKUP(OPERAC[[#This Row],[COD CART]],[1]!MatrizCortoLargoCyl[#All],3,0),"")</f>
        <v/>
      </c>
      <c r="F5687" t="inlineStr">
        <is>
          <t>F/CYL/17,00/18-03-22</t>
        </is>
      </c>
      <c r="G5687" t="n">
        <v>100</v>
      </c>
      <c r="H5687" t="n">
        <v>-1658.76</v>
      </c>
      <c r="I5687">
        <f>-H5222/G5222</f>
        <v/>
      </c>
      <c r="J5687" s="16" t="n">
        <v>44638</v>
      </c>
      <c r="K5687">
        <f>+OPERAC[[#This Row],[cantidad]]</f>
        <v/>
      </c>
      <c r="L5687">
        <f>+OPERAC[[#This Row],[cantidad venta]]*16.75</f>
        <v/>
      </c>
    </row>
    <row r="5688">
      <c r="A5688" t="n">
        <v>20312</v>
      </c>
      <c r="B5688" s="16" t="n">
        <v>44614</v>
      </c>
      <c r="C5688" t="inlineStr">
        <is>
          <t>VTA</t>
        </is>
      </c>
      <c r="D5688" t="n">
        <v>39</v>
      </c>
      <c r="E5688">
        <f>IF(D1226&gt;0,VLOOKUP(OPERAC[[#This Row],[COD CART]],[1]!MatrizCortoLargoCyl[#All],3,0),"")</f>
        <v/>
      </c>
      <c r="F5688" t="inlineStr">
        <is>
          <t>SOLO/V/2,00/19-01-24</t>
        </is>
      </c>
      <c r="G5688" t="n">
        <v>-6</v>
      </c>
      <c r="H5688" t="n">
        <v>5.92</v>
      </c>
      <c r="I5688">
        <f>-H1226/G1226</f>
        <v/>
      </c>
    </row>
    <row r="5689">
      <c r="A5689" t="n">
        <v>20312</v>
      </c>
      <c r="B5689" s="16" t="n">
        <v>44616</v>
      </c>
      <c r="C5689" t="inlineStr">
        <is>
          <t>CPR</t>
        </is>
      </c>
      <c r="D5689" t="n">
        <v>32</v>
      </c>
      <c r="E5689">
        <f>IF(D3530&gt;0,VLOOKUP(OPERAC[[#This Row],[COD CART]],[1]!MatrizCortoLargoCyl[#All],3,0),"")</f>
        <v/>
      </c>
      <c r="F5689" t="inlineStr">
        <is>
          <t>HMY/CYL/4,00/18-03-22</t>
        </is>
      </c>
      <c r="G5689" t="n">
        <v>200</v>
      </c>
      <c r="H5689" t="n">
        <v>-767.4100000000001</v>
      </c>
      <c r="I5689">
        <f>-H3530/G3530</f>
        <v/>
      </c>
      <c r="J5689" s="16" t="n">
        <v>44622</v>
      </c>
      <c r="K5689">
        <f>+OPERAC[[#This Row],[cantidad]]</f>
        <v/>
      </c>
      <c r="L5689" t="n">
        <v>787.9</v>
      </c>
    </row>
    <row r="5690">
      <c r="A5690" t="n">
        <v>20312</v>
      </c>
      <c r="B5690" s="16" t="n">
        <v>44622</v>
      </c>
      <c r="C5690" t="inlineStr">
        <is>
          <t>CPR</t>
        </is>
      </c>
      <c r="D5690" t="n">
        <v>32</v>
      </c>
      <c r="E5690">
        <f>IF(D4083&gt;0,VLOOKUP(OPERAC[[#This Row],[COD CART]],[1]!MatrizCortoLargoCyl[#All],3,0),"")</f>
        <v/>
      </c>
      <c r="F5690" t="inlineStr">
        <is>
          <t>HMY/CYL/5,00/18-03-22</t>
        </is>
      </c>
      <c r="G5690" t="n">
        <v>200</v>
      </c>
      <c r="H5690" t="n">
        <v>-937.0640000000001</v>
      </c>
      <c r="I5690">
        <f>-H4083/G4083</f>
        <v/>
      </c>
      <c r="J5690" s="16" t="n">
        <v>44637</v>
      </c>
      <c r="K5690">
        <f>+OPERAC[[#This Row],[cantidad]]</f>
        <v/>
      </c>
      <c r="L5690">
        <f>4.85553*OPERAC[[#This Row],[cantidad venta]]</f>
        <v/>
      </c>
    </row>
    <row r="5691">
      <c r="A5691" t="n">
        <v>20312</v>
      </c>
      <c r="B5691" s="16" t="n">
        <v>44641</v>
      </c>
      <c r="C5691" t="inlineStr">
        <is>
          <t>CPR</t>
        </is>
      </c>
      <c r="D5691" t="n">
        <v>42</v>
      </c>
      <c r="E5691">
        <f>IF(D3342&gt;0,VLOOKUP(OPERAC[[#This Row],[COD CART]],[1]!MatrizCortoLargoCyl[#All],3,0),"")</f>
        <v/>
      </c>
      <c r="F5691" t="inlineStr">
        <is>
          <t>DIS</t>
        </is>
      </c>
      <c r="G5691" t="n">
        <v>5</v>
      </c>
      <c r="H5691" t="n">
        <v>-696.356</v>
      </c>
      <c r="I5691">
        <f>-H3342/G3342</f>
        <v/>
      </c>
      <c r="J5691" s="16" t="n">
        <v>44671</v>
      </c>
      <c r="K5691">
        <f>+OPERAC[[#This Row],[cantidad]]</f>
        <v/>
      </c>
      <c r="L5691">
        <f>+OPERAC[[#This Row],[cantidad venta]]*123.621</f>
        <v/>
      </c>
    </row>
    <row r="5692">
      <c r="A5692" t="n">
        <v>20312</v>
      </c>
      <c r="B5692" s="16" t="n">
        <v>44641</v>
      </c>
      <c r="C5692" t="inlineStr">
        <is>
          <t>VTA</t>
        </is>
      </c>
      <c r="D5692" t="n">
        <v>42</v>
      </c>
      <c r="E5692">
        <f>IF(D2884&gt;0,VLOOKUP(OPERAC[[#This Row],[COD CART]],[1]!MatrizCortoLargoCyl[#All],3,0),"")</f>
        <v/>
      </c>
      <c r="F5692" t="inlineStr">
        <is>
          <t>SMH</t>
        </is>
      </c>
      <c r="G5692" t="n">
        <v>2</v>
      </c>
      <c r="H5692" t="n">
        <v>-537.9153000000001</v>
      </c>
      <c r="I5692">
        <f>-H2884/G2884</f>
        <v/>
      </c>
      <c r="J5692" s="16" t="n">
        <v>44663</v>
      </c>
      <c r="K5692">
        <f>+OPERAC[[#This Row],[cantidad]]</f>
        <v/>
      </c>
      <c r="L5692">
        <f>+OPERAC[[#This Row],[cantidad venta]]*238.066</f>
        <v/>
      </c>
    </row>
    <row r="5693">
      <c r="A5693" t="n">
        <v>20312</v>
      </c>
      <c r="B5693" s="16" t="n">
        <v>44641</v>
      </c>
      <c r="C5693" t="inlineStr">
        <is>
          <t>VTA</t>
        </is>
      </c>
      <c r="D5693" t="n">
        <v>42</v>
      </c>
      <c r="E5693">
        <f>IF(D2966&gt;0,VLOOKUP(OPERAC[[#This Row],[COD CART]],[1]!MatrizCortoLargoCyl[#All],3,0),"")</f>
        <v/>
      </c>
      <c r="F5693" t="inlineStr">
        <is>
          <t>JPM</t>
        </is>
      </c>
      <c r="G5693" t="n">
        <v>4</v>
      </c>
      <c r="H5693" t="n">
        <v>-561.8173600000001</v>
      </c>
      <c r="I5693">
        <f>-H2966/G2966</f>
        <v/>
      </c>
      <c r="J5693" s="16" t="n">
        <v>44664</v>
      </c>
      <c r="K5693">
        <f>+OPERAC[[#This Row],[cantidad]]</f>
        <v/>
      </c>
      <c r="L5693">
        <f>+OPERAC[[#This Row],[cantidad venta]]*125.943</f>
        <v/>
      </c>
    </row>
    <row r="5694">
      <c r="A5694" t="n">
        <v>20312</v>
      </c>
      <c r="B5694" s="16" t="n">
        <v>44641</v>
      </c>
      <c r="C5694" t="inlineStr">
        <is>
          <t>VTA</t>
        </is>
      </c>
      <c r="D5694" t="n">
        <v>42</v>
      </c>
      <c r="E5694">
        <f>IF(D3164&gt;0,VLOOKUP(OPERAC[[#This Row],[COD CART]],[1]!MatrizCortoLargoCyl[#All],3,0),"")</f>
        <v/>
      </c>
      <c r="F5694" t="inlineStr">
        <is>
          <t>FB</t>
        </is>
      </c>
      <c r="G5694" t="n">
        <v>3</v>
      </c>
      <c r="H5694" t="n">
        <v>-636.4691399999999</v>
      </c>
      <c r="I5694">
        <f>-H3164/G3164</f>
        <v/>
      </c>
      <c r="J5694" s="16" t="n">
        <v>44671</v>
      </c>
      <c r="K5694">
        <f>+OPERAC[[#This Row],[cantidad]]</f>
        <v/>
      </c>
      <c r="L5694">
        <f>+OPERAC[[#This Row],[cantidad venta]]*213.173</f>
        <v/>
      </c>
    </row>
    <row r="5695">
      <c r="A5695" t="n">
        <v>20312</v>
      </c>
      <c r="B5695" s="16" t="n">
        <v>44645</v>
      </c>
      <c r="C5695" t="inlineStr">
        <is>
          <t>CPR</t>
        </is>
      </c>
      <c r="D5695" t="n">
        <v>42</v>
      </c>
      <c r="E5695">
        <f>IF(D1866&gt;0,VLOOKUP(OPERAC[[#This Row],[COD CART]],[1]!MatrizCortoLargoCyl[#All],3,0),"")</f>
        <v/>
      </c>
      <c r="F5695" t="inlineStr">
        <is>
          <t>PLUG</t>
        </is>
      </c>
      <c r="G5695" t="n">
        <v>10</v>
      </c>
      <c r="H5695" t="n">
        <v>-279.3164</v>
      </c>
      <c r="I5695">
        <f>-H1866/G1866</f>
        <v/>
      </c>
      <c r="J5695" s="16" t="n">
        <v>44652</v>
      </c>
      <c r="K5695">
        <f>+OPERAC[[#This Row],[cantidad]]</f>
        <v/>
      </c>
      <c r="L5695">
        <f>+OPERAC[[#This Row],[cantidad venta]]*27.754</f>
        <v/>
      </c>
    </row>
    <row r="5696">
      <c r="A5696" t="n">
        <v>20312</v>
      </c>
      <c r="B5696" s="16" t="n">
        <v>44652</v>
      </c>
      <c r="C5696" t="inlineStr">
        <is>
          <t>VTA</t>
        </is>
      </c>
      <c r="D5696" t="n">
        <v>42</v>
      </c>
      <c r="E5696">
        <f>IF(D2047&gt;0,VLOOKUP(OPERAC[[#This Row],[COD CART]],[1]!MatrizCortoLargoCyl[#All],3,0),"")</f>
        <v/>
      </c>
      <c r="F5696" t="inlineStr">
        <is>
          <t>GBTC</t>
        </is>
      </c>
      <c r="G5696" t="n">
        <v>10</v>
      </c>
      <c r="H5696" t="n">
        <v>-321.098</v>
      </c>
      <c r="I5696">
        <f>-H2047/G2047</f>
        <v/>
      </c>
      <c r="J5696" s="16" t="n">
        <v>44662</v>
      </c>
      <c r="K5696">
        <f>+OPERAC[[#This Row],[cantidad]]</f>
        <v/>
      </c>
      <c r="L5696">
        <f>27.99*OPERAC[[#This Row],[cantidad venta]]</f>
        <v/>
      </c>
    </row>
    <row r="5697">
      <c r="A5697" t="n">
        <v>20312</v>
      </c>
      <c r="B5697" s="16" t="n">
        <v>44662</v>
      </c>
      <c r="C5697" t="inlineStr">
        <is>
          <t>VTA</t>
        </is>
      </c>
      <c r="D5697" t="n">
        <v>42</v>
      </c>
      <c r="E5697">
        <f>IF(D1505&gt;0,VLOOKUP(OPERAC[[#This Row],[COD CART]],[1]!MatrizCortoLargoCyl[#All],3,0),"")</f>
        <v/>
      </c>
      <c r="F5697" t="inlineStr">
        <is>
          <t>HYDR</t>
        </is>
      </c>
      <c r="G5697" t="n">
        <v>10</v>
      </c>
      <c r="H5697" t="n">
        <v>-185.70344</v>
      </c>
      <c r="I5697">
        <f>-H1505/G1505</f>
        <v/>
      </c>
      <c r="J5697" s="16" t="n">
        <v>44693</v>
      </c>
      <c r="K5697">
        <f>+OPERAC[[#This Row],[cantidad]]</f>
        <v/>
      </c>
      <c r="L5697">
        <f>+OPERAC[[#This Row],[cantidad venta]]*11.986</f>
        <v/>
      </c>
    </row>
    <row r="5698">
      <c r="A5698" t="n">
        <v>20312</v>
      </c>
      <c r="B5698" s="16" t="n">
        <v>44664</v>
      </c>
      <c r="C5698" t="inlineStr">
        <is>
          <t>VTA</t>
        </is>
      </c>
      <c r="D5698" t="n">
        <v>42</v>
      </c>
      <c r="E5698">
        <f>IF(D1726&gt;0,VLOOKUP(OPERAC[[#This Row],[COD CART]],[1]!MatrizCortoLargoCyl[#All],3,0),"")</f>
        <v/>
      </c>
      <c r="F5698" t="inlineStr">
        <is>
          <t>PSQ</t>
        </is>
      </c>
      <c r="G5698" t="n">
        <v>20</v>
      </c>
      <c r="H5698" t="n">
        <v>-248.65144362</v>
      </c>
      <c r="I5698">
        <f>-H1726/G1726</f>
        <v/>
      </c>
      <c r="J5698" s="16" t="n">
        <v>44680</v>
      </c>
      <c r="K5698">
        <f>+OPERAC[[#This Row],[cantidad]]</f>
        <v/>
      </c>
      <c r="L5698">
        <f>12.848*OPERAC[[#This Row],[cantidad venta]]</f>
        <v/>
      </c>
    </row>
    <row r="5699">
      <c r="A5699" t="n">
        <v>20312</v>
      </c>
      <c r="B5699" s="16" t="n">
        <v>44669</v>
      </c>
      <c r="C5699" t="inlineStr">
        <is>
          <t>CPR</t>
        </is>
      </c>
      <c r="D5699" t="n">
        <v>32</v>
      </c>
      <c r="E5699">
        <f>IF(D3996&gt;0,VLOOKUP(OPERAC[[#This Row],[COD CART]],[1]!MatrizCortoLargoCyl[#All],3,0),"")</f>
        <v/>
      </c>
      <c r="F5699" t="inlineStr">
        <is>
          <t>HMY/CYL/5,00/19-08-22</t>
        </is>
      </c>
      <c r="G5699" t="n">
        <v>200</v>
      </c>
      <c r="H5699">
        <f>-4.64*OPERAC[[#This Row],[cantidad]]+13.881</f>
        <v/>
      </c>
      <c r="I5699">
        <f>-H3996/G3996</f>
        <v/>
      </c>
    </row>
    <row r="5700">
      <c r="A5700" t="n">
        <v>20312</v>
      </c>
      <c r="B5700" s="16" t="n">
        <v>44671</v>
      </c>
      <c r="C5700" t="inlineStr">
        <is>
          <t>CPR</t>
        </is>
      </c>
      <c r="D5700" t="n">
        <v>42</v>
      </c>
      <c r="E5700">
        <f>IF(D3514&gt;0,VLOOKUP(OPERAC[[#This Row],[COD CART]],[1]!MatrizCortoLargoCyl[#All],3,0),"")</f>
        <v/>
      </c>
      <c r="F5700" t="inlineStr">
        <is>
          <t>NFLX</t>
        </is>
      </c>
      <c r="G5700" t="n">
        <v>3</v>
      </c>
      <c r="H5700" t="n">
        <v>-763.51518</v>
      </c>
      <c r="I5700">
        <f>-H3514/G3514</f>
        <v/>
      </c>
      <c r="J5700" s="16" t="n">
        <v>44693</v>
      </c>
      <c r="K5700">
        <f>+OPERAC[[#This Row],[cantidad]]</f>
        <v/>
      </c>
      <c r="L5700">
        <f>+OPERAC[[#This Row],[cantidad venta]]*169.089</f>
        <v/>
      </c>
    </row>
    <row r="5701">
      <c r="A5701" t="n">
        <v>20312</v>
      </c>
      <c r="B5701" s="16" t="n">
        <v>44671</v>
      </c>
      <c r="C5701" t="inlineStr">
        <is>
          <t>VTA</t>
        </is>
      </c>
      <c r="D5701" t="n">
        <v>42</v>
      </c>
      <c r="E5701">
        <f>IF(D3064&gt;0,VLOOKUP(OPERAC[[#This Row],[COD CART]],[1]!MatrizCortoLargoCyl[#All],3,0),"")</f>
        <v/>
      </c>
      <c r="F5701" t="inlineStr">
        <is>
          <t>TLT</t>
        </is>
      </c>
      <c r="G5701" t="n">
        <v>5</v>
      </c>
      <c r="H5701" t="n">
        <v>-612.815025</v>
      </c>
      <c r="I5701">
        <f>-H3064/G3064</f>
        <v/>
      </c>
      <c r="J5701" s="16" t="n">
        <v>44722</v>
      </c>
      <c r="K5701" t="n">
        <v>5</v>
      </c>
      <c r="L5701" t="n">
        <v>561.496</v>
      </c>
    </row>
    <row r="5702">
      <c r="A5702" t="n">
        <v>20312</v>
      </c>
      <c r="B5702" s="16" t="n">
        <v>44680</v>
      </c>
      <c r="C5702" t="inlineStr">
        <is>
          <t>VTA</t>
        </is>
      </c>
      <c r="D5702" t="n">
        <v>42</v>
      </c>
      <c r="E5702">
        <f>IF(D1688&gt;0,VLOOKUP(OPERAC[[#This Row],[COD CART]],[1]!MatrizCortoLargoCyl[#All],3,0),"")</f>
        <v/>
      </c>
      <c r="F5702" t="inlineStr">
        <is>
          <t>XLP</t>
        </is>
      </c>
      <c r="G5702" t="n">
        <v>3</v>
      </c>
      <c r="H5702" t="n">
        <v>-238.3035075</v>
      </c>
      <c r="I5702">
        <f>-H1688/G1688</f>
        <v/>
      </c>
      <c r="J5702" s="16" t="n">
        <v>44693</v>
      </c>
      <c r="K5702">
        <f>+OPERAC[[#This Row],[cantidad]]</f>
        <v/>
      </c>
      <c r="L5702">
        <f>+OPERAC[[#This Row],[cantidad venta]]*74.848</f>
        <v/>
      </c>
    </row>
    <row r="5703">
      <c r="A5703" t="n">
        <v>20312</v>
      </c>
      <c r="B5703" s="16" t="n">
        <v>44712</v>
      </c>
      <c r="C5703" t="inlineStr">
        <is>
          <t>CPR</t>
        </is>
      </c>
      <c r="D5703" t="n">
        <v>32</v>
      </c>
      <c r="E5703">
        <f>IF(D3332&gt;0,VLOOKUP(OPERAC[[#This Row],[COD CART]],[1]!MatrizCortoLargoCyl[#All],3,0),"")</f>
        <v/>
      </c>
      <c r="F5703" t="inlineStr">
        <is>
          <t>CRESY/CYL/7,50/17-06-22</t>
        </is>
      </c>
      <c r="G5703" t="n">
        <v>100</v>
      </c>
      <c r="H5703" t="n">
        <v>-693.075</v>
      </c>
      <c r="I5703">
        <f>-H3332/G3332</f>
        <v/>
      </c>
    </row>
    <row r="5704">
      <c r="A5704" t="n">
        <v>20312</v>
      </c>
      <c r="B5704" s="16" t="n">
        <v>44714</v>
      </c>
      <c r="C5704" t="inlineStr">
        <is>
          <t>VTA</t>
        </is>
      </c>
      <c r="D5704" t="n">
        <v>39</v>
      </c>
      <c r="E5704">
        <f>IF(D795&gt;0,VLOOKUP(OPERAC[[#This Row],[COD CART]],[1]!MatrizCortoLargoCyl[#All],3,0),"")</f>
        <v/>
      </c>
      <c r="F5704" t="inlineStr">
        <is>
          <t>TSLA/C/850,00/03-06-22</t>
        </is>
      </c>
      <c r="G5704" t="n">
        <v>-200</v>
      </c>
      <c r="H5704" t="n">
        <v>263.739</v>
      </c>
      <c r="I5704">
        <f>-H795/G795</f>
        <v/>
      </c>
      <c r="J5704" s="16" t="n">
        <v>44715</v>
      </c>
      <c r="K5704">
        <f>+OPERAC[[#This Row],[cantidad]]</f>
        <v/>
      </c>
      <c r="L5704" t="n">
        <v>0</v>
      </c>
    </row>
    <row r="5705">
      <c r="A5705" t="n">
        <v>20312</v>
      </c>
      <c r="B5705" s="16" t="n">
        <v>44714</v>
      </c>
      <c r="C5705" t="inlineStr">
        <is>
          <t>VTA</t>
        </is>
      </c>
      <c r="D5705" t="n">
        <v>39</v>
      </c>
      <c r="E5705">
        <f>IF(D1040&gt;0,VLOOKUP(OPERAC[[#This Row],[COD CART]],[1]!MatrizCortoLargoCyl[#All],3,0),"")</f>
        <v/>
      </c>
      <c r="F5705" t="inlineStr">
        <is>
          <t>TSLA/C/870,00/03-06-22</t>
        </is>
      </c>
      <c r="G5705" t="n">
        <v>-200</v>
      </c>
      <c r="H5705" t="n">
        <v>45.609</v>
      </c>
      <c r="I5705">
        <f>-H1040/G1040</f>
        <v/>
      </c>
      <c r="J5705" s="16" t="n">
        <v>44715</v>
      </c>
      <c r="K5705">
        <f>+OPERAC[[#This Row],[cantidad]]</f>
        <v/>
      </c>
      <c r="L5705" t="n">
        <v>0</v>
      </c>
    </row>
    <row r="5706">
      <c r="A5706" t="n">
        <v>20312</v>
      </c>
      <c r="B5706" s="16" t="n">
        <v>44714</v>
      </c>
      <c r="C5706" t="inlineStr">
        <is>
          <t>VTA</t>
        </is>
      </c>
      <c r="D5706" t="n">
        <v>39</v>
      </c>
      <c r="E5706">
        <f>IF(D1061&gt;0,VLOOKUP(OPERAC[[#This Row],[COD CART]],[1]!MatrizCortoLargoCyl[#All],3,0),"")</f>
        <v/>
      </c>
      <c r="F5706" t="inlineStr">
        <is>
          <t>TSLA/V/660,00/03-06-22</t>
        </is>
      </c>
      <c r="G5706" t="n">
        <v>-200</v>
      </c>
      <c r="H5706" t="n">
        <v>38.074</v>
      </c>
      <c r="I5706">
        <f>-H1061/G1061</f>
        <v/>
      </c>
      <c r="J5706" s="16" t="n">
        <v>44715</v>
      </c>
      <c r="K5706">
        <f>+OPERAC[[#This Row],[cantidad]]</f>
        <v/>
      </c>
      <c r="L5706" t="n">
        <v>-18.75</v>
      </c>
    </row>
    <row r="5707">
      <c r="A5707" t="n">
        <v>20312</v>
      </c>
      <c r="B5707" s="16" t="n">
        <v>44722</v>
      </c>
      <c r="C5707" t="inlineStr">
        <is>
          <t>CPR</t>
        </is>
      </c>
      <c r="D5707" t="n">
        <v>40</v>
      </c>
      <c r="E5707">
        <f>IF(D2783&gt;0,VLOOKUP(OPERAC[[#This Row],[COD CART]],[1]!MatrizCortoLargoCyl[#All],3,0),"")</f>
        <v/>
      </c>
      <c r="F5707" t="inlineStr">
        <is>
          <t>MSFT</t>
        </is>
      </c>
      <c r="G5707" t="n">
        <v>2</v>
      </c>
      <c r="H5707" t="n">
        <v>-514.0929599999999</v>
      </c>
      <c r="I5707">
        <f>-H2783/G2783</f>
        <v/>
      </c>
    </row>
    <row r="5708">
      <c r="A5708" t="n">
        <v>20312</v>
      </c>
      <c r="B5708" s="16" t="n">
        <v>44722</v>
      </c>
      <c r="C5708" t="inlineStr">
        <is>
          <t>VTA</t>
        </is>
      </c>
      <c r="D5708" t="n">
        <v>40</v>
      </c>
      <c r="E5708">
        <f>IF(D1747&gt;0,VLOOKUP(OPERAC[[#This Row],[COD CART]],[1]!MatrizCortoLargoCyl[#All],3,0),"")</f>
        <v/>
      </c>
      <c r="F5708" t="inlineStr">
        <is>
          <t>SFM</t>
        </is>
      </c>
      <c r="G5708" t="n">
        <v>10</v>
      </c>
      <c r="H5708" t="n">
        <v>-254.3437</v>
      </c>
      <c r="I5708">
        <f>-H1747/G1747</f>
        <v/>
      </c>
    </row>
    <row r="5709">
      <c r="A5709" t="n">
        <v>20312</v>
      </c>
      <c r="B5709" s="16" t="n">
        <v>44722</v>
      </c>
      <c r="C5709" t="inlineStr">
        <is>
          <t>VTA</t>
        </is>
      </c>
      <c r="D5709" t="n">
        <v>40</v>
      </c>
      <c r="E5709">
        <f>IF(D2019&gt;0,VLOOKUP(OPERAC[[#This Row],[COD CART]],[1]!MatrizCortoLargoCyl[#All],3,0),"")</f>
        <v/>
      </c>
      <c r="F5709" t="inlineStr">
        <is>
          <t>TS</t>
        </is>
      </c>
      <c r="G5709" t="n">
        <v>10</v>
      </c>
      <c r="H5709" t="n">
        <v>-313.895625</v>
      </c>
      <c r="I5709">
        <f>-H2019/G2019</f>
        <v/>
      </c>
    </row>
    <row r="5710">
      <c r="A5710" t="n">
        <v>20317</v>
      </c>
      <c r="B5710" s="16" t="n">
        <v>44104</v>
      </c>
      <c r="C5710" t="inlineStr">
        <is>
          <t>VTA</t>
        </is>
      </c>
      <c r="D5710" t="n">
        <v>41</v>
      </c>
      <c r="E5710">
        <f>IF(D2830&gt;0,VLOOKUP(OPERAC[[#This Row],[COD CART]],[1]!MatrizCortoLargoCyl[#All],3,0),"")</f>
        <v/>
      </c>
      <c r="F5710" t="inlineStr">
        <is>
          <t>DHT</t>
        </is>
      </c>
      <c r="G5710" t="n">
        <v>100</v>
      </c>
      <c r="H5710" t="n">
        <v>-525.664</v>
      </c>
      <c r="I5710">
        <f>-H2830/G2830</f>
        <v/>
      </c>
    </row>
    <row r="5711">
      <c r="A5711" t="n">
        <v>20317</v>
      </c>
      <c r="B5711" s="16" t="n">
        <v>44441</v>
      </c>
      <c r="C5711" t="inlineStr">
        <is>
          <t>VTA</t>
        </is>
      </c>
      <c r="D5711" t="n">
        <v>39</v>
      </c>
      <c r="E5711">
        <f>IF(D1146&gt;0,VLOOKUP(OPERAC[[#This Row],[COD CART]],[1]!MatrizCortoLargoCyl[#All],3,0),"")</f>
        <v/>
      </c>
      <c r="F5711" t="inlineStr">
        <is>
          <t>DDD/V/15,00/20-01-23</t>
        </is>
      </c>
      <c r="G5711" t="n">
        <v>-10</v>
      </c>
      <c r="H5711" t="n">
        <v>18.39</v>
      </c>
      <c r="I5711">
        <f>-H1146/G1146</f>
        <v/>
      </c>
    </row>
    <row r="5712">
      <c r="A5712" t="n">
        <v>20317</v>
      </c>
      <c r="B5712" s="16" t="n">
        <v>44453</v>
      </c>
      <c r="C5712" t="inlineStr">
        <is>
          <t>VTA</t>
        </is>
      </c>
      <c r="D5712" t="n">
        <v>39</v>
      </c>
      <c r="E5712">
        <f>IF(D1235&gt;0,VLOOKUP(OPERAC[[#This Row],[COD CART]],[1]!MatrizCortoLargoCyl[#All],3,0),"")</f>
        <v/>
      </c>
      <c r="F5712" t="inlineStr">
        <is>
          <t>EDIT/V/20,00/20-01-23</t>
        </is>
      </c>
      <c r="G5712" t="n">
        <v>-2</v>
      </c>
      <c r="H5712" t="n">
        <v>4.14</v>
      </c>
      <c r="I5712">
        <f>-H1235/G1235</f>
        <v/>
      </c>
    </row>
    <row r="5713">
      <c r="A5713" t="n">
        <v>20317</v>
      </c>
      <c r="B5713" s="16" t="n">
        <v>44461</v>
      </c>
      <c r="C5713" t="inlineStr">
        <is>
          <t>CPR</t>
        </is>
      </c>
      <c r="D5713" t="n">
        <v>40</v>
      </c>
      <c r="E5713">
        <f>IF(D4299&gt;0,VLOOKUP(OPERAC[[#This Row],[COD CART]],[1]!MatrizCortoLargoCyl[#All],3,0),"")</f>
        <v/>
      </c>
      <c r="F5713" t="inlineStr">
        <is>
          <t>EDU</t>
        </is>
      </c>
      <c r="G5713" t="n">
        <v>1000</v>
      </c>
      <c r="H5713">
        <f>-1.0864*OPERAC[[#This Row],[cantidad]]+0.04*OPERAC[[#This Row],[cantidad]]</f>
        <v/>
      </c>
      <c r="I5713">
        <f>-H4299/G4299</f>
        <v/>
      </c>
      <c r="J5713" s="16" t="n">
        <v>44614</v>
      </c>
      <c r="K5713">
        <f>+OPERAC[[#This Row],[cantidad]]</f>
        <v/>
      </c>
      <c r="L5713">
        <f>1.483*OPERAC[[#This Row],[cantidad venta]]</f>
        <v/>
      </c>
    </row>
    <row r="5714">
      <c r="A5714" t="n">
        <v>20317</v>
      </c>
      <c r="B5714" s="16" t="n">
        <v>44466</v>
      </c>
      <c r="C5714" t="inlineStr">
        <is>
          <t>CPR</t>
        </is>
      </c>
      <c r="D5714" t="n">
        <v>43</v>
      </c>
      <c r="E5714">
        <f>IF(D4277&gt;0,VLOOKUP(OPERAC[[#This Row],[COD CART]],[1]!MatrizCortoLargoCyl[#All],3,0),"")</f>
        <v/>
      </c>
      <c r="F5714" t="inlineStr">
        <is>
          <t>SOLO/CYL-PUT/4,00/16-09-22</t>
        </is>
      </c>
      <c r="G5714" t="n">
        <v>500</v>
      </c>
      <c r="H5714">
        <f>-1487.08635+0.32*OPERAC[[#This Row],[cantidad]]+0.387*OPERAC[[#This Row],[cantidad]]+0.22*OPERAC[[#This Row],[cantidad]]</f>
        <v/>
      </c>
      <c r="I5714">
        <f>-H4277/G4277</f>
        <v/>
      </c>
    </row>
    <row r="5715">
      <c r="A5715" t="n">
        <v>20317</v>
      </c>
      <c r="B5715" s="16" t="n">
        <v>44489</v>
      </c>
      <c r="C5715" t="inlineStr">
        <is>
          <t>VTA</t>
        </is>
      </c>
      <c r="D5715" t="n">
        <v>43</v>
      </c>
      <c r="E5715">
        <f>IF(D2236&gt;0,VLOOKUP(OPERAC[[#This Row],[COD CART]],[1]!MatrizCortoLargoCyl[#All],3,0),"")</f>
        <v/>
      </c>
      <c r="F5715" t="inlineStr">
        <is>
          <t>SESN/CYL-PUT/1,00/19-01-24</t>
        </is>
      </c>
      <c r="G5715" t="n">
        <v>2000</v>
      </c>
      <c r="H5715">
        <f>-0.1885*OPERAC[[#This Row],[cantidad]]</f>
        <v/>
      </c>
      <c r="I5715">
        <f>-H2236/G2236</f>
        <v/>
      </c>
    </row>
    <row r="5716">
      <c r="A5716" t="n">
        <v>20317</v>
      </c>
      <c r="B5716" s="16" t="n">
        <v>44511</v>
      </c>
      <c r="C5716" t="inlineStr">
        <is>
          <t>VTA</t>
        </is>
      </c>
      <c r="D5716" t="n">
        <v>31</v>
      </c>
      <c r="E5716">
        <f>IF(D1358&gt;0,VLOOKUP(OPERAC[[#This Row],[COD CART]],[1]!MatrizCortoLargoCyl[#All],3,0),"")</f>
        <v/>
      </c>
      <c r="F5716" t="inlineStr">
        <is>
          <t>IPIX</t>
        </is>
      </c>
      <c r="G5716" t="n">
        <v>1000</v>
      </c>
      <c r="H5716" t="n">
        <v>-109.99</v>
      </c>
      <c r="I5716">
        <f>-H1358/G1358</f>
        <v/>
      </c>
    </row>
    <row r="5717">
      <c r="A5717" t="n">
        <v>20317</v>
      </c>
      <c r="B5717" s="16" t="n">
        <v>44538</v>
      </c>
      <c r="C5717" t="inlineStr">
        <is>
          <t>VTA</t>
        </is>
      </c>
      <c r="D5717" t="n">
        <v>43</v>
      </c>
      <c r="E5717">
        <f>IF(D1527&gt;0,VLOOKUP(OPERAC[[#This Row],[COD CART]],[1]!MatrizCortoLargoCyl[#All],3,0),"")</f>
        <v/>
      </c>
      <c r="F5717" t="inlineStr">
        <is>
          <t>HEXO/CYL-PUT/1,00/20-01-23</t>
        </is>
      </c>
      <c r="G5717" t="n">
        <v>1000</v>
      </c>
      <c r="H5717">
        <f>-0.1886*OPERAC[[#This Row],[cantidad]]</f>
        <v/>
      </c>
      <c r="I5717">
        <f>-H1527/G1527</f>
        <v/>
      </c>
    </row>
    <row r="5718">
      <c r="A5718" t="n">
        <v>20317</v>
      </c>
      <c r="B5718" s="16" t="n">
        <v>44539</v>
      </c>
      <c r="C5718" t="inlineStr">
        <is>
          <t>CPR</t>
        </is>
      </c>
      <c r="D5718" t="n">
        <v>40</v>
      </c>
      <c r="E5718">
        <f>IF(D4661&gt;0,VLOOKUP(OPERAC[[#This Row],[COD CART]],[1]!MatrizCortoLargoCyl[#All],3,0),"")</f>
        <v/>
      </c>
      <c r="F5718" t="inlineStr">
        <is>
          <t>ROKU</t>
        </is>
      </c>
      <c r="G5718" t="n">
        <v>5</v>
      </c>
      <c r="H5718" t="n">
        <v>-1288.6018</v>
      </c>
      <c r="I5718">
        <f>-H4661/G4661</f>
        <v/>
      </c>
      <c r="J5718" s="16" t="n">
        <v>44606</v>
      </c>
      <c r="K5718">
        <f>+OPERAC[[#This Row],[cantidad]]</f>
        <v/>
      </c>
      <c r="L5718">
        <f>+OPERAC[[#This Row],[cantidad venta]]*160.574</f>
        <v/>
      </c>
    </row>
    <row r="5719">
      <c r="A5719" t="n">
        <v>20317</v>
      </c>
      <c r="B5719" s="16" t="n">
        <v>44547</v>
      </c>
      <c r="C5719" t="inlineStr">
        <is>
          <t>VTA</t>
        </is>
      </c>
      <c r="D5719" t="n">
        <v>32</v>
      </c>
      <c r="E5719">
        <f>IF(D3802&gt;0,VLOOKUP(OPERAC[[#This Row],[COD CART]],[1]!MatrizCortoLargoCyl[#All],3,0),"")</f>
        <v/>
      </c>
      <c r="F5719" t="inlineStr">
        <is>
          <t>ARLO/CYL/9,00/18-02-22</t>
        </is>
      </c>
      <c r="G5719" t="n">
        <v>100</v>
      </c>
      <c r="H5719">
        <f>-866.74+14.88</f>
        <v/>
      </c>
      <c r="I5719">
        <f>-H3802/G3802</f>
        <v/>
      </c>
      <c r="J5719" s="16" t="n">
        <v>44607</v>
      </c>
      <c r="K5719" t="n">
        <v>100</v>
      </c>
      <c r="L5719" t="n">
        <v>875.33</v>
      </c>
    </row>
    <row r="5720">
      <c r="A5720" t="n">
        <v>20317</v>
      </c>
      <c r="B5720" s="16" t="n">
        <v>44553</v>
      </c>
      <c r="C5720" t="inlineStr">
        <is>
          <t>VTA</t>
        </is>
      </c>
      <c r="D5720" t="n">
        <v>40</v>
      </c>
      <c r="E5720">
        <f>IF(D1818&gt;0,VLOOKUP(OPERAC[[#This Row],[COD CART]],[1]!MatrizCortoLargoCyl[#All],3,0),"")</f>
        <v/>
      </c>
      <c r="F5720" t="inlineStr">
        <is>
          <t>ON</t>
        </is>
      </c>
      <c r="G5720" t="n">
        <v>4</v>
      </c>
      <c r="H5720" t="n">
        <v>-268.4544319999999</v>
      </c>
      <c r="I5720">
        <f>-H1818/G1818</f>
        <v/>
      </c>
      <c r="J5720" s="16" t="n">
        <v>44606</v>
      </c>
      <c r="K5720">
        <f>+OPERAC[[#This Row],[cantidad]]</f>
        <v/>
      </c>
      <c r="L5720">
        <f>+OPERAC[[#This Row],[cantidad venta]]*58.449</f>
        <v/>
      </c>
    </row>
    <row r="5721">
      <c r="A5721" t="n">
        <v>20317</v>
      </c>
      <c r="B5721" s="16" t="n">
        <v>44558</v>
      </c>
      <c r="C5721" t="inlineStr">
        <is>
          <t>VTA</t>
        </is>
      </c>
      <c r="D5721" t="n">
        <v>40</v>
      </c>
      <c r="E5721">
        <f>IF(D1952&gt;0,VLOOKUP(OPERAC[[#This Row],[COD CART]],[1]!MatrizCortoLargoCyl[#All],3,0),"")</f>
        <v/>
      </c>
      <c r="F5721" t="inlineStr">
        <is>
          <t>UPST</t>
        </is>
      </c>
      <c r="G5721" t="n">
        <v>2</v>
      </c>
      <c r="H5721" t="n">
        <v>-301.2004</v>
      </c>
      <c r="I5721">
        <f>-H1952/G1952</f>
        <v/>
      </c>
      <c r="J5721" s="16" t="n">
        <v>44606</v>
      </c>
      <c r="K5721">
        <f>+OPERAC[[#This Row],[cantidad]]</f>
        <v/>
      </c>
      <c r="L5721">
        <f>+OPERAC[[#This Row],[cantidad venta]]*98.994</f>
        <v/>
      </c>
    </row>
    <row r="5722">
      <c r="A5722" t="n">
        <v>20317</v>
      </c>
      <c r="B5722" s="16" t="n">
        <v>44581</v>
      </c>
      <c r="C5722" t="inlineStr">
        <is>
          <t>CPR</t>
        </is>
      </c>
      <c r="D5722" t="n">
        <v>32</v>
      </c>
      <c r="E5722">
        <f>IF(D3589&gt;0,VLOOKUP(OPERAC[[#This Row],[COD CART]],[1]!MatrizCortoLargoCyl[#All],3,0),"")</f>
        <v/>
      </c>
      <c r="F5722" t="inlineStr">
        <is>
          <t>HMY/CYL/4,00/18-02-22</t>
        </is>
      </c>
      <c r="G5722" t="n">
        <v>200</v>
      </c>
      <c r="H5722" t="n">
        <v>-774.9359920000001</v>
      </c>
      <c r="I5722">
        <f>-H3589/G3589</f>
        <v/>
      </c>
      <c r="J5722" s="16" t="n">
        <v>44610</v>
      </c>
      <c r="K5722">
        <f>+OPERAC[[#This Row],[cantidad]]</f>
        <v/>
      </c>
      <c r="L5722">
        <f>+OPERAC[[#This Row],[cantidad venta]]*3.8323</f>
        <v/>
      </c>
    </row>
    <row r="5723">
      <c r="A5723" t="n">
        <v>20317</v>
      </c>
      <c r="B5723" s="16" t="n">
        <v>44582</v>
      </c>
      <c r="C5723" t="inlineStr">
        <is>
          <t>CPR</t>
        </is>
      </c>
      <c r="D5723" t="n">
        <v>40</v>
      </c>
      <c r="E5723">
        <f>IF(D4474&gt;0,VLOOKUP(OPERAC[[#This Row],[COD CART]],[1]!MatrizCortoLargoCyl[#All],3,0),"")</f>
        <v/>
      </c>
      <c r="F5723" t="inlineStr">
        <is>
          <t>NFLX</t>
        </is>
      </c>
      <c r="G5723" t="n">
        <v>3</v>
      </c>
      <c r="H5723" t="n">
        <v>-1171.9113</v>
      </c>
      <c r="I5723">
        <f>-H4474/G4474</f>
        <v/>
      </c>
      <c r="J5723" s="16" t="n">
        <v>44593</v>
      </c>
      <c r="K5723">
        <f>+OPERAC[[#This Row],[cantidad]]</f>
        <v/>
      </c>
      <c r="L5723">
        <f>+OPERAC[[#This Row],[cantidad venta]]*448.602</f>
        <v/>
      </c>
    </row>
    <row r="5724">
      <c r="A5724" t="n">
        <v>20317</v>
      </c>
      <c r="B5724" s="16" t="n">
        <v>44594</v>
      </c>
      <c r="C5724" t="inlineStr">
        <is>
          <t>VTA</t>
        </is>
      </c>
      <c r="D5724" t="n">
        <v>40</v>
      </c>
      <c r="E5724">
        <f>IF(D5526&gt;0,VLOOKUP(OPERAC[[#This Row],[COD CART]],[1]!MatrizCortoLargoCyl[#All],3,0),"")</f>
        <v/>
      </c>
      <c r="F5724" t="inlineStr">
        <is>
          <t>EDU</t>
        </is>
      </c>
      <c r="G5724" t="n">
        <v>1000</v>
      </c>
      <c r="H5724" t="n">
        <v>-2016</v>
      </c>
      <c r="I5724">
        <f>-H5526/G5526</f>
        <v/>
      </c>
      <c r="J5724" s="16" t="n">
        <v>44601</v>
      </c>
      <c r="K5724" t="n">
        <v>1000</v>
      </c>
      <c r="L5724" t="n">
        <v>1640</v>
      </c>
    </row>
    <row r="5725">
      <c r="A5725" t="n">
        <v>20317</v>
      </c>
      <c r="B5725" s="16" t="n">
        <v>44601</v>
      </c>
      <c r="C5725" t="inlineStr">
        <is>
          <t>CPR</t>
        </is>
      </c>
      <c r="D5725" t="n">
        <v>43</v>
      </c>
      <c r="E5725">
        <f>IF(D3600&gt;0,VLOOKUP(OPERAC[[#This Row],[COD CART]],[1]!MatrizCortoLargoCyl[#All],3,0),"")</f>
        <v/>
      </c>
      <c r="F5725" t="inlineStr">
        <is>
          <t>GMBL/CYL-PUT/2,50/20-01-23</t>
        </is>
      </c>
      <c r="G5725" t="n">
        <v>600</v>
      </c>
      <c r="H5725">
        <f>-1.3*OPERAC[[#This Row],[cantidad]]</f>
        <v/>
      </c>
      <c r="I5725">
        <f>-H3600/G3600</f>
        <v/>
      </c>
      <c r="J5725" s="16" t="n">
        <v>44636</v>
      </c>
      <c r="K5725" t="n">
        <v>600</v>
      </c>
      <c r="L5725">
        <f>-1.36*OPERAC[[#This Row],[cantidad venta]]</f>
        <v/>
      </c>
    </row>
    <row r="5726">
      <c r="A5726" t="n">
        <v>20317</v>
      </c>
      <c r="B5726" s="16" t="n">
        <v>44608</v>
      </c>
      <c r="C5726" t="inlineStr">
        <is>
          <t>VTA</t>
        </is>
      </c>
      <c r="D5726" t="n">
        <v>32</v>
      </c>
      <c r="E5726">
        <f>IF(D5121&gt;0,VLOOKUP(OPERAC[[#This Row],[COD CART]],[1]!MatrizCortoLargoCyl[#All],3,0),"")</f>
        <v/>
      </c>
      <c r="F5726" t="inlineStr">
        <is>
          <t>DDD/CYL/17,00/01-04-22</t>
        </is>
      </c>
      <c r="G5726" t="n">
        <v>100</v>
      </c>
      <c r="H5726">
        <f>-1629.4234+19.7+16.45</f>
        <v/>
      </c>
      <c r="I5726">
        <f>-H5121/G5121</f>
        <v/>
      </c>
      <c r="J5726" s="16" t="n">
        <v>44649</v>
      </c>
      <c r="K5726" t="n">
        <v>100</v>
      </c>
      <c r="L5726" t="n">
        <v>1661.98</v>
      </c>
    </row>
    <row r="5727">
      <c r="A5727" t="n">
        <v>20317</v>
      </c>
      <c r="B5727" s="16" t="n">
        <v>44616</v>
      </c>
      <c r="C5727" t="inlineStr">
        <is>
          <t>CPR</t>
        </is>
      </c>
      <c r="D5727" t="n">
        <v>32</v>
      </c>
      <c r="E5727">
        <f>IF(D3301&gt;0,VLOOKUP(OPERAC[[#This Row],[COD CART]],[1]!MatrizCortoLargoCyl[#All],3,0),"")</f>
        <v/>
      </c>
      <c r="F5727" t="inlineStr">
        <is>
          <t>UUUU/CYL/8,00/18-03-22</t>
        </is>
      </c>
      <c r="G5727" t="n">
        <v>100</v>
      </c>
      <c r="H5727" t="n">
        <v>-683.826</v>
      </c>
      <c r="I5727">
        <f>-H3301/G3301</f>
        <v/>
      </c>
      <c r="J5727" s="16" t="n">
        <v>44636</v>
      </c>
      <c r="K5727">
        <f>+OPERAC[[#This Row],[cantidad]]</f>
        <v/>
      </c>
      <c r="L5727" t="n">
        <v>767.46</v>
      </c>
    </row>
    <row r="5728">
      <c r="A5728" t="n">
        <v>20317</v>
      </c>
      <c r="B5728" s="16" t="n">
        <v>44616</v>
      </c>
      <c r="C5728" t="inlineStr">
        <is>
          <t>VTA</t>
        </is>
      </c>
      <c r="D5728" t="n">
        <v>32</v>
      </c>
      <c r="E5728">
        <f>IF(D5056&gt;0,VLOOKUP(OPERAC[[#This Row],[COD CART]],[1]!MatrizCortoLargoCyl[#All],3,0),"")</f>
        <v/>
      </c>
      <c r="F5728" t="inlineStr">
        <is>
          <t>SPWR/CYL/20,00/18-03-22</t>
        </is>
      </c>
      <c r="G5728" t="n">
        <v>100</v>
      </c>
      <c r="H5728" t="n">
        <v>-1573.0928</v>
      </c>
      <c r="I5728">
        <f>-H5056/G5056</f>
        <v/>
      </c>
      <c r="J5728" s="16" t="n">
        <v>44636</v>
      </c>
      <c r="K5728" t="n">
        <v>100</v>
      </c>
      <c r="L5728" t="n">
        <v>1911.85</v>
      </c>
    </row>
    <row r="5729">
      <c r="A5729" t="n">
        <v>20317</v>
      </c>
      <c r="B5729" s="16" t="n">
        <v>44622</v>
      </c>
      <c r="C5729" t="inlineStr">
        <is>
          <t>CPR</t>
        </is>
      </c>
      <c r="D5729" t="n">
        <v>32</v>
      </c>
      <c r="E5729">
        <f>IF(D2587&gt;0,VLOOKUP(OPERAC[[#This Row],[COD CART]],[1]!MatrizCortoLargoCyl[#All],3,0),"")</f>
        <v/>
      </c>
      <c r="F5729" t="inlineStr">
        <is>
          <t>HMY/CYL/5,00/18-03-22</t>
        </is>
      </c>
      <c r="G5729" t="n">
        <v>100</v>
      </c>
      <c r="H5729" t="n">
        <v>-468.532</v>
      </c>
      <c r="I5729">
        <f>-H2587/G2587</f>
        <v/>
      </c>
      <c r="J5729" s="16" t="n">
        <v>44637</v>
      </c>
      <c r="K5729">
        <f>+OPERAC[[#This Row],[cantidad]]</f>
        <v/>
      </c>
      <c r="L5729">
        <f>4.85553*OPERAC[[#This Row],[cantidad venta]]</f>
        <v/>
      </c>
    </row>
    <row r="5730">
      <c r="A5730" t="n">
        <v>20317</v>
      </c>
      <c r="B5730" s="16" t="n">
        <v>44634</v>
      </c>
      <c r="C5730" t="inlineStr">
        <is>
          <t>VTA</t>
        </is>
      </c>
      <c r="D5730" t="n">
        <v>42</v>
      </c>
      <c r="E5730">
        <f>IF(D5229&gt;0,VLOOKUP(OPERAC[[#This Row],[COD CART]],[1]!MatrizCortoLargoCyl[#All],3,0),"")</f>
        <v/>
      </c>
      <c r="F5730" t="inlineStr">
        <is>
          <t>INO</t>
        </is>
      </c>
      <c r="G5730" t="n">
        <v>500</v>
      </c>
      <c r="H5730" t="n">
        <v>-1660.408</v>
      </c>
      <c r="I5730">
        <f>-H5229/G5229</f>
        <v/>
      </c>
      <c r="J5730" s="16" t="n">
        <v>44634</v>
      </c>
      <c r="K5730" t="n">
        <v>500</v>
      </c>
      <c r="L5730" t="n">
        <v>1494.4275</v>
      </c>
    </row>
    <row r="5731">
      <c r="A5731" t="n">
        <v>20317</v>
      </c>
      <c r="B5731" s="16" t="n">
        <v>44636</v>
      </c>
      <c r="C5731" t="inlineStr">
        <is>
          <t>CPR</t>
        </is>
      </c>
      <c r="D5731" t="n">
        <v>43</v>
      </c>
      <c r="E5731">
        <f>IF(D4763&gt;0,VLOOKUP(OPERAC[[#This Row],[COD CART]],[1]!MatrizCortoLargoCyl[#All],3,0),"")</f>
        <v/>
      </c>
      <c r="F5731" t="inlineStr">
        <is>
          <t>GMBL/CYL-PUT/0,50/19-01-24</t>
        </is>
      </c>
      <c r="G5731" t="n">
        <v>5000</v>
      </c>
      <c r="H5731">
        <f>-4062.7402+2196.925+496</f>
        <v/>
      </c>
      <c r="I5731">
        <f>-H4763/G4763</f>
        <v/>
      </c>
    </row>
    <row r="5732">
      <c r="A5732" t="n">
        <v>20317</v>
      </c>
      <c r="B5732" s="16" t="n">
        <v>44643</v>
      </c>
      <c r="C5732" t="inlineStr">
        <is>
          <t>CPR</t>
        </is>
      </c>
      <c r="D5732" t="n">
        <v>42</v>
      </c>
      <c r="E5732">
        <f>IF(D3381&gt;0,VLOOKUP(OPERAC[[#This Row],[COD CART]],[1]!MatrizCortoLargoCyl[#All],3,0),"")</f>
        <v/>
      </c>
      <c r="F5732" t="inlineStr">
        <is>
          <t>JPM</t>
        </is>
      </c>
      <c r="G5732" t="n">
        <v>5</v>
      </c>
      <c r="H5732" t="n">
        <v>-706.2332</v>
      </c>
      <c r="I5732">
        <f>-H3381/G3381</f>
        <v/>
      </c>
      <c r="J5732" s="16" t="n">
        <v>44664</v>
      </c>
      <c r="K5732">
        <f>+OPERAC[[#This Row],[cantidad]]</f>
        <v/>
      </c>
      <c r="L5732">
        <f>+OPERAC[[#This Row],[cantidad venta]]*125.943</f>
        <v/>
      </c>
    </row>
    <row r="5733">
      <c r="A5733" t="n">
        <v>20317</v>
      </c>
      <c r="B5733" s="16" t="n">
        <v>44643</v>
      </c>
      <c r="C5733" t="inlineStr">
        <is>
          <t>VTA</t>
        </is>
      </c>
      <c r="D5733" t="n">
        <v>42</v>
      </c>
      <c r="E5733">
        <f>IF(D2857&gt;0,VLOOKUP(OPERAC[[#This Row],[COD CART]],[1]!MatrizCortoLargoCyl[#All],3,0),"")</f>
        <v/>
      </c>
      <c r="F5733" t="inlineStr">
        <is>
          <t>SMH</t>
        </is>
      </c>
      <c r="G5733" t="n">
        <v>2</v>
      </c>
      <c r="H5733" t="n">
        <v>-534.325796</v>
      </c>
      <c r="I5733">
        <f>-H2857/G2857</f>
        <v/>
      </c>
      <c r="J5733" s="16" t="n">
        <v>44663</v>
      </c>
      <c r="K5733">
        <f>+OPERAC[[#This Row],[cantidad]]</f>
        <v/>
      </c>
      <c r="L5733">
        <f>+OPERAC[[#This Row],[cantidad venta]]*238.066</f>
        <v/>
      </c>
    </row>
    <row r="5734">
      <c r="A5734" t="n">
        <v>20317</v>
      </c>
      <c r="B5734" s="16" t="n">
        <v>44643</v>
      </c>
      <c r="C5734" t="inlineStr">
        <is>
          <t>VTA</t>
        </is>
      </c>
      <c r="D5734" t="n">
        <v>42</v>
      </c>
      <c r="E5734">
        <f>IF(D3182&gt;0,VLOOKUP(OPERAC[[#This Row],[COD CART]],[1]!MatrizCortoLargoCyl[#All],3,0),"")</f>
        <v/>
      </c>
      <c r="F5734" t="inlineStr">
        <is>
          <t>FB</t>
        </is>
      </c>
      <c r="G5734" t="n">
        <v>3</v>
      </c>
      <c r="H5734" t="n">
        <v>-648.36978</v>
      </c>
      <c r="I5734">
        <f>-H3182/G3182</f>
        <v/>
      </c>
      <c r="J5734" s="16" t="n">
        <v>44671</v>
      </c>
      <c r="K5734">
        <f>+OPERAC[[#This Row],[cantidad]]</f>
        <v/>
      </c>
      <c r="L5734">
        <f>+OPERAC[[#This Row],[cantidad venta]]*213.173</f>
        <v/>
      </c>
    </row>
    <row r="5735">
      <c r="A5735" t="n">
        <v>20317</v>
      </c>
      <c r="B5735" s="16" t="n">
        <v>44649</v>
      </c>
      <c r="C5735" t="inlineStr">
        <is>
          <t>CPR</t>
        </is>
      </c>
      <c r="D5735" t="n">
        <v>32</v>
      </c>
      <c r="E5735">
        <f>IF(D4845&gt;0,VLOOKUP(OPERAC[[#This Row],[COD CART]],[1]!MatrizCortoLargoCyl[#All],3,0),"")</f>
        <v/>
      </c>
      <c r="F5735" t="inlineStr">
        <is>
          <t>DDD</t>
        </is>
      </c>
      <c r="G5735" t="n">
        <v>100</v>
      </c>
      <c r="H5735" t="n">
        <v>-1439.859</v>
      </c>
      <c r="I5735">
        <f>-H4845/G4845</f>
        <v/>
      </c>
      <c r="J5735" s="16" t="n">
        <v>44722</v>
      </c>
      <c r="K5735" t="n">
        <v>100</v>
      </c>
      <c r="L5735" t="n">
        <v>994.67</v>
      </c>
    </row>
    <row r="5736">
      <c r="A5736" t="n">
        <v>20317</v>
      </c>
      <c r="B5736" s="16" t="n">
        <v>44656</v>
      </c>
      <c r="C5736" t="inlineStr">
        <is>
          <t>CPR</t>
        </is>
      </c>
      <c r="D5736" t="n">
        <v>32</v>
      </c>
      <c r="E5736">
        <f>IF(D4537&gt;0,VLOOKUP(OPERAC[[#This Row],[COD CART]],[1]!MatrizCortoLargoCyl[#All],3,0),"")</f>
        <v/>
      </c>
      <c r="F5736" t="inlineStr">
        <is>
          <t>DOLE</t>
        </is>
      </c>
      <c r="G5736" t="n">
        <v>100</v>
      </c>
      <c r="H5736">
        <f>-1290.74+88.589</f>
        <v/>
      </c>
      <c r="I5736">
        <f>-H4537/G4537</f>
        <v/>
      </c>
      <c r="J5736" s="16" t="n">
        <v>44722</v>
      </c>
      <c r="K5736" t="n">
        <v>100</v>
      </c>
      <c r="L5736" t="n">
        <v>909.701</v>
      </c>
    </row>
    <row r="5737">
      <c r="A5737" t="n">
        <v>20317</v>
      </c>
      <c r="B5737" s="16" t="n">
        <v>44662</v>
      </c>
      <c r="C5737" t="inlineStr">
        <is>
          <t>VTA</t>
        </is>
      </c>
      <c r="D5737" t="n">
        <v>42</v>
      </c>
      <c r="E5737">
        <f>IF(D3191&gt;0,VLOOKUP(OPERAC[[#This Row],[COD CART]],[1]!MatrizCortoLargoCyl[#All],3,0),"")</f>
        <v/>
      </c>
      <c r="F5737" t="inlineStr">
        <is>
          <t>HYDR</t>
        </is>
      </c>
      <c r="G5737" t="n">
        <v>35</v>
      </c>
      <c r="H5737" t="n">
        <v>-649.96204</v>
      </c>
      <c r="I5737">
        <f>-H3191/G3191</f>
        <v/>
      </c>
      <c r="J5737" s="16" t="n">
        <v>44722</v>
      </c>
      <c r="K5737" t="n">
        <v>35</v>
      </c>
      <c r="L5737" t="n">
        <v>444.539</v>
      </c>
    </row>
    <row r="5738">
      <c r="A5738" t="n">
        <v>20317</v>
      </c>
      <c r="B5738" s="16" t="n">
        <v>44669</v>
      </c>
      <c r="C5738" t="inlineStr">
        <is>
          <t>VTA</t>
        </is>
      </c>
      <c r="D5738" t="n">
        <v>32</v>
      </c>
      <c r="E5738">
        <f>IF(D2540&gt;0,VLOOKUP(OPERAC[[#This Row],[COD CART]],[1]!MatrizCortoLargoCyl[#All],3,0),"")</f>
        <v/>
      </c>
      <c r="F5738" t="inlineStr">
        <is>
          <t>HMY</t>
        </is>
      </c>
      <c r="G5738" t="n">
        <v>100</v>
      </c>
      <c r="H5738">
        <f>-4.64*OPERAC[[#This Row],[cantidad]]</f>
        <v/>
      </c>
      <c r="I5738">
        <f>-H2540/G2540</f>
        <v/>
      </c>
      <c r="J5738" s="16" t="n">
        <v>44722</v>
      </c>
      <c r="K5738" t="n">
        <v>100</v>
      </c>
      <c r="L5738" t="n">
        <v>331.657</v>
      </c>
    </row>
    <row r="5739">
      <c r="A5739" t="n">
        <v>20317</v>
      </c>
      <c r="B5739" s="16" t="n">
        <v>44671</v>
      </c>
      <c r="C5739" t="inlineStr">
        <is>
          <t>CPR</t>
        </is>
      </c>
      <c r="D5739" t="n">
        <v>42</v>
      </c>
      <c r="E5739">
        <f>IF(D3515&gt;0,VLOOKUP(OPERAC[[#This Row],[COD CART]],[1]!MatrizCortoLargoCyl[#All],3,0),"")</f>
        <v/>
      </c>
      <c r="F5739" t="inlineStr">
        <is>
          <t>NFLX</t>
        </is>
      </c>
      <c r="G5739" t="n">
        <v>3</v>
      </c>
      <c r="H5739" t="n">
        <v>-763.51518</v>
      </c>
      <c r="I5739">
        <f>-H3515/G3515</f>
        <v/>
      </c>
    </row>
    <row r="5740">
      <c r="A5740" t="n">
        <v>20317</v>
      </c>
      <c r="B5740" s="16" t="n">
        <v>44698</v>
      </c>
      <c r="C5740" t="inlineStr">
        <is>
          <t>VTA</t>
        </is>
      </c>
      <c r="D5740" t="n">
        <v>39</v>
      </c>
      <c r="E5740">
        <f>IF(D1740&gt;0,VLOOKUP(OPERAC[[#This Row],[COD CART]],[1]!MatrizCortoLargoCyl[#All],3,0),"")</f>
        <v/>
      </c>
      <c r="F5740" t="inlineStr">
        <is>
          <t>NTLA/C/65,00/15-07-22</t>
        </is>
      </c>
      <c r="G5740" t="n">
        <v>100</v>
      </c>
      <c r="H5740" t="n">
        <v>-252.125</v>
      </c>
      <c r="I5740">
        <f>-H1740/G1740</f>
        <v/>
      </c>
    </row>
    <row r="5741">
      <c r="A5741" t="n">
        <v>20317</v>
      </c>
      <c r="B5741" s="16" t="n">
        <v>44712</v>
      </c>
      <c r="C5741" t="inlineStr">
        <is>
          <t>CPR</t>
        </is>
      </c>
      <c r="D5741" t="n">
        <v>32</v>
      </c>
      <c r="E5741">
        <f>IF(D3331&gt;0,VLOOKUP(OPERAC[[#This Row],[COD CART]],[1]!MatrizCortoLargoCyl[#All],3,0),"")</f>
        <v/>
      </c>
      <c r="F5741" t="inlineStr">
        <is>
          <t>CRESY/CYL/7,50/17-06-22</t>
        </is>
      </c>
      <c r="G5741" t="n">
        <v>100</v>
      </c>
      <c r="H5741" t="n">
        <v>-693.075</v>
      </c>
      <c r="I5741">
        <f>-H3331/G3331</f>
        <v/>
      </c>
    </row>
    <row r="5742">
      <c r="A5742" t="n">
        <v>20317</v>
      </c>
      <c r="B5742" s="16" t="n">
        <v>44722</v>
      </c>
      <c r="C5742" t="inlineStr">
        <is>
          <t>CPR</t>
        </is>
      </c>
      <c r="D5742" t="n">
        <v>40</v>
      </c>
      <c r="E5742">
        <f>IF(D3349&gt;0,VLOOKUP(OPERAC[[#This Row],[COD CART]],[1]!MatrizCortoLargoCyl[#All],3,0),"")</f>
        <v/>
      </c>
      <c r="F5742" t="inlineStr">
        <is>
          <t>COTY</t>
        </is>
      </c>
      <c r="G5742" t="n">
        <v>100</v>
      </c>
      <c r="H5742" t="n">
        <v>-697.8819999999999</v>
      </c>
      <c r="I5742">
        <f>-H3349/G3349</f>
        <v/>
      </c>
    </row>
    <row r="5743">
      <c r="A5743" t="n">
        <v>20317</v>
      </c>
      <c r="B5743" s="16" t="n">
        <v>44722</v>
      </c>
      <c r="C5743" t="inlineStr">
        <is>
          <t>CPR</t>
        </is>
      </c>
      <c r="D5743" t="n">
        <v>40</v>
      </c>
      <c r="E5743">
        <f>IF(D4794&gt;0,VLOOKUP(OPERAC[[#This Row],[COD CART]],[1]!MatrizCortoLargoCyl[#All],3,0),"")</f>
        <v/>
      </c>
      <c r="F5743" t="inlineStr">
        <is>
          <t>MELI</t>
        </is>
      </c>
      <c r="G5743" t="n">
        <v>2</v>
      </c>
      <c r="H5743" t="n">
        <v>-1393.12173</v>
      </c>
      <c r="I5743">
        <f>-H4794/G4794</f>
        <v/>
      </c>
    </row>
    <row r="5744">
      <c r="A5744" t="n">
        <v>20317</v>
      </c>
      <c r="B5744" s="16" t="n">
        <v>44722</v>
      </c>
      <c r="C5744" t="inlineStr">
        <is>
          <t>VTA</t>
        </is>
      </c>
      <c r="D5744" t="n">
        <v>40</v>
      </c>
      <c r="E5744">
        <f>IF(D2903&gt;0,VLOOKUP(OPERAC[[#This Row],[COD CART]],[1]!MatrizCortoLargoCyl[#All],3,0),"")</f>
        <v/>
      </c>
      <c r="F5744" t="inlineStr">
        <is>
          <t>BABA</t>
        </is>
      </c>
      <c r="G5744" t="n">
        <v>5</v>
      </c>
      <c r="H5744" t="n">
        <v>-549.72982025</v>
      </c>
      <c r="I5744">
        <f>-H2903/G2903</f>
        <v/>
      </c>
    </row>
    <row r="5745">
      <c r="A5745" t="n">
        <v>20339</v>
      </c>
      <c r="B5745" s="16" t="n">
        <v>44690</v>
      </c>
      <c r="C5745" t="inlineStr">
        <is>
          <t>CPR</t>
        </is>
      </c>
      <c r="D5745" t="n">
        <v>32</v>
      </c>
      <c r="E5745">
        <f>IF(D4672&gt;0,VLOOKUP(OPERAC[[#This Row],[COD CART]],[1]!MatrizCortoLargoCyl[#All],3,0),"")</f>
        <v/>
      </c>
      <c r="F5745" t="inlineStr">
        <is>
          <t>F</t>
        </is>
      </c>
      <c r="G5745" t="n">
        <v>100</v>
      </c>
      <c r="H5745">
        <f>-1332.55+16.856+10.907</f>
        <v/>
      </c>
      <c r="I5745">
        <f>-H4672/G4672</f>
        <v/>
      </c>
    </row>
    <row r="5746">
      <c r="A5746" t="n">
        <v>20339</v>
      </c>
      <c r="B5746" s="16" t="n">
        <v>44690</v>
      </c>
      <c r="C5746" t="inlineStr">
        <is>
          <t>CPR</t>
        </is>
      </c>
      <c r="D5746" t="n">
        <v>32</v>
      </c>
      <c r="E5746">
        <f>IF(D5670&gt;0,VLOOKUP(OPERAC[[#This Row],[COD CART]],[1]!MatrizCortoLargoCyl[#All],3,0),"")</f>
        <v/>
      </c>
      <c r="F5746" t="inlineStr">
        <is>
          <t>SFM</t>
        </is>
      </c>
      <c r="G5746" t="n">
        <v>100</v>
      </c>
      <c r="H5746" t="n">
        <v>-2449.535</v>
      </c>
      <c r="I5746">
        <f>-H5670/G5670</f>
        <v/>
      </c>
      <c r="J5746" s="16" t="n">
        <v>44707</v>
      </c>
      <c r="K5746" t="n">
        <v>100</v>
      </c>
      <c r="L5746" t="n">
        <v>2577.642</v>
      </c>
    </row>
    <row r="5747">
      <c r="A5747" t="n">
        <v>20339</v>
      </c>
      <c r="B5747" s="16" t="n">
        <v>44690</v>
      </c>
      <c r="C5747" t="inlineStr">
        <is>
          <t>VTA</t>
        </is>
      </c>
      <c r="D5747" t="n">
        <v>32</v>
      </c>
      <c r="E5747">
        <f>IF(D3107&gt;0,VLOOKUP(OPERAC[[#This Row],[COD CART]],[1]!MatrizCortoLargoCyl[#All],3,0),"")</f>
        <v/>
      </c>
      <c r="F5747" t="inlineStr">
        <is>
          <t>COTY/CYL/7,00/17-06-22</t>
        </is>
      </c>
      <c r="G5747" t="n">
        <v>100</v>
      </c>
      <c r="H5747">
        <f>-662.093+36.686</f>
        <v/>
      </c>
      <c r="I5747">
        <f>-H3107/G3107</f>
        <v/>
      </c>
    </row>
    <row r="5748">
      <c r="A5748" t="n">
        <v>20339</v>
      </c>
      <c r="B5748" s="16" t="n">
        <v>44690</v>
      </c>
      <c r="C5748" t="inlineStr">
        <is>
          <t>VTA</t>
        </is>
      </c>
      <c r="D5748" t="n">
        <v>32</v>
      </c>
      <c r="E5748">
        <f>IF(D5272&gt;0,VLOOKUP(OPERAC[[#This Row],[COD CART]],[1]!MatrizCortoLargoCyl[#All],3,0),"")</f>
        <v/>
      </c>
      <c r="F5748" t="inlineStr">
        <is>
          <t>SSYS/CYL/18,00/20-05-22</t>
        </is>
      </c>
      <c r="G5748" t="n">
        <v>100</v>
      </c>
      <c r="H5748" t="n">
        <v>-1708.28</v>
      </c>
      <c r="I5748">
        <f>-H5272/G5272</f>
        <v/>
      </c>
      <c r="J5748" s="16" t="n">
        <v>44698</v>
      </c>
      <c r="K5748" t="n">
        <v>100</v>
      </c>
      <c r="L5748" t="n">
        <v>1769.44</v>
      </c>
    </row>
    <row r="5749">
      <c r="A5749" t="n">
        <v>20339</v>
      </c>
      <c r="B5749" s="16" t="n">
        <v>44690</v>
      </c>
      <c r="C5749" t="inlineStr">
        <is>
          <t>VTA</t>
        </is>
      </c>
      <c r="D5749" t="n">
        <v>40</v>
      </c>
      <c r="E5749">
        <f>IF(D5336&gt;0,VLOOKUP(OPERAC[[#This Row],[COD CART]],[1]!MatrizCortoLargoCyl[#All],3,0),"")</f>
        <v/>
      </c>
      <c r="F5749" t="inlineStr">
        <is>
          <t>GLD</t>
        </is>
      </c>
      <c r="G5749" t="n">
        <v>10</v>
      </c>
      <c r="H5749" t="n">
        <v>-1756.794</v>
      </c>
      <c r="I5749">
        <f>-H5336/G5336</f>
        <v/>
      </c>
    </row>
    <row r="5750">
      <c r="A5750" t="n">
        <v>20339</v>
      </c>
      <c r="B5750" s="16" t="n">
        <v>44690</v>
      </c>
      <c r="C5750" t="inlineStr">
        <is>
          <t>VTA</t>
        </is>
      </c>
      <c r="D5750" t="n">
        <v>40</v>
      </c>
      <c r="E5750">
        <f>IF(D5361&gt;0,VLOOKUP(OPERAC[[#This Row],[COD CART]],[1]!MatrizCortoLargoCyl[#All],3,0),"")</f>
        <v/>
      </c>
      <c r="F5750" t="inlineStr">
        <is>
          <t>JNJ</t>
        </is>
      </c>
      <c r="G5750" t="n">
        <v>10</v>
      </c>
      <c r="H5750" t="n">
        <v>-1786.589</v>
      </c>
      <c r="I5750">
        <f>-H5361/G5361</f>
        <v/>
      </c>
    </row>
    <row r="5751">
      <c r="A5751" t="n">
        <v>20339</v>
      </c>
      <c r="B5751" s="16" t="n">
        <v>44707</v>
      </c>
      <c r="C5751" t="inlineStr">
        <is>
          <t>VTA</t>
        </is>
      </c>
      <c r="D5751" t="n">
        <v>43</v>
      </c>
      <c r="E5751">
        <f>IF(D5290&gt;0,VLOOKUP(OPERAC[[#This Row],[COD CART]],[1]!MatrizCortoLargoCyl[#All],3,0),"")</f>
        <v/>
      </c>
      <c r="F5751" t="inlineStr">
        <is>
          <t>SPWR/CYP/17,50-15,00/17-06-22</t>
        </is>
      </c>
      <c r="G5751" t="n">
        <v>100</v>
      </c>
      <c r="H5751" t="n">
        <v>-1717.027</v>
      </c>
      <c r="I5751">
        <f>-H5290/G5290</f>
        <v/>
      </c>
    </row>
    <row r="5752">
      <c r="A5752" t="n">
        <v>20339</v>
      </c>
      <c r="B5752" s="16" t="n">
        <v>44712</v>
      </c>
      <c r="C5752" t="inlineStr">
        <is>
          <t>CPR</t>
        </is>
      </c>
      <c r="D5752" t="n">
        <v>32</v>
      </c>
      <c r="E5752">
        <f>IF(D3252&gt;0,VLOOKUP(OPERAC[[#This Row],[COD CART]],[1]!MatrizCortoLargoCyl[#All],3,0),"")</f>
        <v/>
      </c>
      <c r="F5752" t="inlineStr">
        <is>
          <t>COTY/CYL/7,00/17-06-22</t>
        </is>
      </c>
      <c r="G5752" t="n">
        <v>100</v>
      </c>
      <c r="H5752" t="n">
        <v>-677.42</v>
      </c>
      <c r="I5752">
        <f>-H3252/G3252</f>
        <v/>
      </c>
    </row>
    <row r="5753">
      <c r="A5753" t="n">
        <v>20339</v>
      </c>
      <c r="B5753" s="16" t="n">
        <v>44712</v>
      </c>
      <c r="C5753" t="inlineStr">
        <is>
          <t>CPR</t>
        </is>
      </c>
      <c r="D5753" t="n">
        <v>32</v>
      </c>
      <c r="E5753">
        <f>IF(D3330&gt;0,VLOOKUP(OPERAC[[#This Row],[COD CART]],[1]!MatrizCortoLargoCyl[#All],3,0),"")</f>
        <v/>
      </c>
      <c r="F5753" t="inlineStr">
        <is>
          <t>CRESY/CYL/7,50/17-06-22</t>
        </is>
      </c>
      <c r="G5753" t="n">
        <v>100</v>
      </c>
      <c r="H5753" t="n">
        <v>-693.075</v>
      </c>
      <c r="I5753">
        <f>-H3330/G3330</f>
        <v/>
      </c>
    </row>
    <row r="5754">
      <c r="A5754" t="n">
        <v>20339</v>
      </c>
      <c r="B5754" s="16" t="n">
        <v>44715</v>
      </c>
      <c r="C5754" t="inlineStr">
        <is>
          <t>VTA</t>
        </is>
      </c>
      <c r="D5754" t="n">
        <v>32</v>
      </c>
      <c r="E5754">
        <f>IF(D5064&gt;0,VLOOKUP(OPERAC[[#This Row],[COD CART]],[1]!MatrizCortoLargoCyl[#All],3,0),"")</f>
        <v/>
      </c>
      <c r="F5754" t="inlineStr">
        <is>
          <t>AAL/CYL/16,50/17-06-22</t>
        </is>
      </c>
      <c r="G5754" t="n">
        <v>100</v>
      </c>
      <c r="H5754" t="n">
        <v>-1580.215</v>
      </c>
      <c r="I5754">
        <f>-H5064/G5064</f>
        <v/>
      </c>
    </row>
    <row r="5755">
      <c r="A5755" t="n">
        <v>20339</v>
      </c>
      <c r="B5755" s="16" t="n">
        <v>44720</v>
      </c>
      <c r="C5755" t="inlineStr">
        <is>
          <t>CPR</t>
        </is>
      </c>
      <c r="D5755" t="n">
        <v>42</v>
      </c>
      <c r="E5755">
        <f>IF(D4693&gt;0,VLOOKUP(OPERAC[[#This Row],[COD CART]],[1]!MatrizCortoLargoCyl[#All],3,0),"")</f>
        <v/>
      </c>
      <c r="F5755" t="inlineStr">
        <is>
          <t>EDIT</t>
        </is>
      </c>
      <c r="G5755" t="n">
        <v>100</v>
      </c>
      <c r="H5755" t="n">
        <v>-1316.0925</v>
      </c>
      <c r="I5755">
        <f>-H4693/G4693</f>
        <v/>
      </c>
    </row>
    <row r="5756">
      <c r="A5756" t="n">
        <v>21070</v>
      </c>
      <c r="B5756" s="16" t="n">
        <v>44439</v>
      </c>
      <c r="C5756" t="inlineStr">
        <is>
          <t>VTA</t>
        </is>
      </c>
      <c r="D5756" t="n">
        <v>39</v>
      </c>
      <c r="E5756">
        <f>IF(D869&gt;0,VLOOKUP(OPERAC[[#This Row],[COD CART]],[1]!MatrizCortoLargoCyl[#All],3,0),"")</f>
        <v/>
      </c>
      <c r="F5756" t="inlineStr">
        <is>
          <t>SKLZ/P/7,50/20-01-23</t>
        </is>
      </c>
      <c r="G5756" t="n">
        <v>-100</v>
      </c>
      <c r="H5756" t="n">
        <v>198.4</v>
      </c>
      <c r="I5756">
        <f>-H869/G869</f>
        <v/>
      </c>
      <c r="J5756" s="16" t="n">
        <v>44614</v>
      </c>
      <c r="K5756">
        <f>+OPERAC[[#This Row],[cantidad]]</f>
        <v/>
      </c>
      <c r="L5756">
        <f>+OPERAC[[#This Row],[cantidad venta]]*4.488</f>
        <v/>
      </c>
    </row>
    <row r="5757">
      <c r="A5757" t="n">
        <v>21070</v>
      </c>
      <c r="B5757" s="16" t="n">
        <v>44533</v>
      </c>
      <c r="C5757" t="inlineStr">
        <is>
          <t>VTA</t>
        </is>
      </c>
      <c r="D5757" t="n">
        <v>32</v>
      </c>
      <c r="E5757">
        <f>IF(D2253&gt;0,VLOOKUP(OPERAC[[#This Row],[COD CART]],[1]!MatrizCortoLargoCyl[#All],3,0),"")</f>
        <v/>
      </c>
      <c r="F5757" t="inlineStr">
        <is>
          <t>GMBL/CYL/5,00/21-01-22</t>
        </is>
      </c>
      <c r="G5757" t="n">
        <v>100</v>
      </c>
      <c r="H5757" t="n">
        <v>-382.815</v>
      </c>
      <c r="I5757">
        <f>-H2253/G2253</f>
        <v/>
      </c>
      <c r="J5757" s="16" t="n">
        <v>44581</v>
      </c>
      <c r="K5757" t="n">
        <v>100</v>
      </c>
      <c r="L5757" t="n">
        <v>293.316</v>
      </c>
    </row>
    <row r="5758">
      <c r="A5758" t="n">
        <v>21070</v>
      </c>
      <c r="B5758" s="16" t="n">
        <v>44533</v>
      </c>
      <c r="C5758" t="inlineStr">
        <is>
          <t>VTA</t>
        </is>
      </c>
      <c r="D5758" t="n">
        <v>32</v>
      </c>
      <c r="E5758">
        <f>IF(D2993&gt;0,VLOOKUP(OPERAC[[#This Row],[COD CART]],[1]!MatrizCortoLargoCyl[#All],3,0),"")</f>
        <v/>
      </c>
      <c r="F5758" t="inlineStr">
        <is>
          <t>INO/CYL/7,00/21-01-22</t>
        </is>
      </c>
      <c r="G5758" t="n">
        <v>100</v>
      </c>
      <c r="H5758">
        <f>-5.7*OPERAC[[#This Row],[cantidad]]</f>
        <v/>
      </c>
      <c r="I5758">
        <f>-H2993/G2993</f>
        <v/>
      </c>
      <c r="J5758" s="16" t="n">
        <v>44579</v>
      </c>
      <c r="K5758" t="n">
        <v>100</v>
      </c>
      <c r="L5758" t="n">
        <v>427.052</v>
      </c>
    </row>
    <row r="5759">
      <c r="A5759" t="n">
        <v>21070</v>
      </c>
      <c r="B5759" s="16" t="n">
        <v>44553</v>
      </c>
      <c r="C5759" t="inlineStr">
        <is>
          <t>VTA</t>
        </is>
      </c>
      <c r="D5759" t="n">
        <v>40</v>
      </c>
      <c r="E5759">
        <f>IF(D1819&gt;0,VLOOKUP(OPERAC[[#This Row],[COD CART]],[1]!MatrizCortoLargoCyl[#All],3,0),"")</f>
        <v/>
      </c>
      <c r="F5759" t="inlineStr">
        <is>
          <t>ON</t>
        </is>
      </c>
      <c r="G5759" t="n">
        <v>4</v>
      </c>
      <c r="H5759" t="n">
        <v>-268.4544319999999</v>
      </c>
      <c r="I5759">
        <f>-H1819/G1819</f>
        <v/>
      </c>
      <c r="J5759" s="16" t="n">
        <v>44606</v>
      </c>
      <c r="K5759">
        <f>+OPERAC[[#This Row],[cantidad]]</f>
        <v/>
      </c>
      <c r="L5759">
        <f>+OPERAC[[#This Row],[cantidad venta]]*58.449</f>
        <v/>
      </c>
    </row>
    <row r="5760">
      <c r="A5760" t="n">
        <v>21070</v>
      </c>
      <c r="B5760" s="16" t="n">
        <v>44579</v>
      </c>
      <c r="C5760" t="inlineStr">
        <is>
          <t>VTA</t>
        </is>
      </c>
      <c r="D5760" t="n">
        <v>39</v>
      </c>
      <c r="E5760">
        <f>IF(D801&gt;0,VLOOKUP(OPERAC[[#This Row],[COD CART]],[1]!MatrizCortoLargoCyl[#All],3,0),"")</f>
        <v/>
      </c>
      <c r="F5760" t="inlineStr">
        <is>
          <t>ACB/V/5,50/21-01-22</t>
        </is>
      </c>
      <c r="G5760" t="n">
        <v>-800</v>
      </c>
      <c r="H5760" t="n">
        <v>255.488</v>
      </c>
      <c r="I5760">
        <f>-H801/G801</f>
        <v/>
      </c>
      <c r="J5760" s="16" t="n">
        <v>44581</v>
      </c>
      <c r="K5760">
        <f>+OPERAC[[#This Row],[cantidad]]</f>
        <v/>
      </c>
      <c r="L5760">
        <f>-OPERAC[[#This Row],[importe]]</f>
        <v/>
      </c>
    </row>
    <row r="5761">
      <c r="A5761" t="n">
        <v>21070</v>
      </c>
      <c r="B5761" s="16" t="n">
        <v>44581</v>
      </c>
      <c r="C5761" t="inlineStr">
        <is>
          <t>CPR</t>
        </is>
      </c>
      <c r="D5761" t="n">
        <v>32</v>
      </c>
      <c r="E5761">
        <f>IF(D3590&gt;0,VLOOKUP(OPERAC[[#This Row],[COD CART]],[1]!MatrizCortoLargoCyl[#All],3,0),"")</f>
        <v/>
      </c>
      <c r="F5761" t="inlineStr">
        <is>
          <t>HMY/CYL/4,00/18-02-22</t>
        </is>
      </c>
      <c r="G5761" t="n">
        <v>200</v>
      </c>
      <c r="H5761" t="n">
        <v>-774.9359920000001</v>
      </c>
      <c r="I5761">
        <f>-H3590/G3590</f>
        <v/>
      </c>
      <c r="J5761" s="16" t="n">
        <v>44610</v>
      </c>
      <c r="K5761">
        <f>+OPERAC[[#This Row],[cantidad]]</f>
        <v/>
      </c>
      <c r="L5761">
        <f>+OPERAC[[#This Row],[cantidad venta]]*3.8323</f>
        <v/>
      </c>
    </row>
    <row r="5762">
      <c r="A5762" t="n">
        <v>21070</v>
      </c>
      <c r="B5762" s="16" t="n">
        <v>44581</v>
      </c>
      <c r="C5762" t="inlineStr">
        <is>
          <t>VTA</t>
        </is>
      </c>
      <c r="D5762" t="n">
        <v>39</v>
      </c>
      <c r="E5762">
        <f>IF(D710&gt;0,VLOOKUP(OPERAC[[#This Row],[COD CART]],[1]!MatrizCortoLargoCyl[#All],3,0),"")</f>
        <v/>
      </c>
      <c r="F5762" t="inlineStr">
        <is>
          <t>ACB/V/5,50/25-02-22</t>
        </is>
      </c>
      <c r="G5762" t="n">
        <v>-500</v>
      </c>
      <c r="H5762" t="n">
        <v>410.31025</v>
      </c>
      <c r="I5762">
        <f>-H710/G710</f>
        <v/>
      </c>
      <c r="J5762" s="16" t="n">
        <v>44614</v>
      </c>
      <c r="K5762" t="n">
        <v>-500</v>
      </c>
      <c r="L5762" t="n">
        <v>-410</v>
      </c>
    </row>
    <row r="5763">
      <c r="A5763" t="n">
        <v>21070</v>
      </c>
      <c r="B5763" s="16" t="n">
        <v>44581</v>
      </c>
      <c r="C5763" t="inlineStr">
        <is>
          <t>VTA</t>
        </is>
      </c>
      <c r="D5763" t="n">
        <v>39</v>
      </c>
      <c r="E5763">
        <f>IF(D810&gt;0,VLOOKUP(OPERAC[[#This Row],[COD CART]],[1]!MatrizCortoLargoCyl[#All],3,0),"")</f>
        <v/>
      </c>
      <c r="F5763" t="inlineStr">
        <is>
          <t>ACB/V/6,00/18-02-22</t>
        </is>
      </c>
      <c r="G5763" t="n">
        <v>-200</v>
      </c>
      <c r="H5763" t="n">
        <v>241.903</v>
      </c>
      <c r="I5763">
        <f>-H810/G810</f>
        <v/>
      </c>
      <c r="J5763" s="16" t="n">
        <v>44601</v>
      </c>
      <c r="K5763" t="n">
        <v>-200</v>
      </c>
      <c r="L5763">
        <f>1.21*OPERAC[[#This Row],[cantidad venta]]</f>
        <v/>
      </c>
    </row>
    <row r="5764">
      <c r="A5764" t="n">
        <v>21070</v>
      </c>
      <c r="B5764" s="16" t="n">
        <v>44586</v>
      </c>
      <c r="C5764" t="inlineStr">
        <is>
          <t>VTA</t>
        </is>
      </c>
      <c r="D5764" t="n">
        <v>43</v>
      </c>
      <c r="E5764">
        <f>IF(D1979&gt;0,VLOOKUP(OPERAC[[#This Row],[COD CART]],[1]!MatrizCortoLargoCyl[#All],3,0),"")</f>
        <v/>
      </c>
      <c r="F5764" t="inlineStr">
        <is>
          <t>GMBL/CYL-PUT/2,50/20-01-23</t>
        </is>
      </c>
      <c r="G5764" t="n">
        <v>300</v>
      </c>
      <c r="H5764" t="n">
        <v>-304.8143000000001</v>
      </c>
      <c r="I5764">
        <f>-H1979/G1979</f>
        <v/>
      </c>
      <c r="J5764" s="16" t="n">
        <v>44645</v>
      </c>
      <c r="K5764" t="n">
        <v>300</v>
      </c>
      <c r="L5764" t="n">
        <v>-365.41</v>
      </c>
    </row>
    <row r="5765">
      <c r="A5765" t="n">
        <v>21070</v>
      </c>
      <c r="B5765" s="16" t="n">
        <v>44601</v>
      </c>
      <c r="C5765" t="inlineStr">
        <is>
          <t>VTA</t>
        </is>
      </c>
      <c r="D5765" t="n">
        <v>39</v>
      </c>
      <c r="E5765">
        <f>IF(D1233&gt;0,VLOOKUP(OPERAC[[#This Row],[COD CART]],[1]!MatrizCortoLargoCyl[#All],3,0),"")</f>
        <v/>
      </c>
      <c r="F5765" t="inlineStr">
        <is>
          <t>TLRY/V/8,00/14-04-22</t>
        </is>
      </c>
      <c r="G5765" t="n">
        <v>-2</v>
      </c>
      <c r="H5765" t="n">
        <v>4.2</v>
      </c>
      <c r="I5765">
        <f>-H1233/G1233</f>
        <v/>
      </c>
      <c r="J5765" s="16" t="n">
        <v>44617</v>
      </c>
      <c r="K5765">
        <f>-1-1</f>
        <v/>
      </c>
      <c r="L5765">
        <f>-2.32-1.19643</f>
        <v/>
      </c>
    </row>
    <row r="5766">
      <c r="A5766" t="n">
        <v>21070</v>
      </c>
      <c r="B5766" s="16" t="n">
        <v>44609</v>
      </c>
      <c r="C5766" t="inlineStr">
        <is>
          <t>VTA</t>
        </is>
      </c>
      <c r="D5766" t="n">
        <v>32</v>
      </c>
      <c r="E5766">
        <f>IF(D3884&gt;0,VLOOKUP(OPERAC[[#This Row],[COD CART]],[1]!MatrizCortoLargoCyl[#All],3,0),"")</f>
        <v/>
      </c>
      <c r="F5766" t="inlineStr">
        <is>
          <t>HIMX/CYL/9,00/18-03-22</t>
        </is>
      </c>
      <c r="G5766" t="n">
        <v>100</v>
      </c>
      <c r="H5766" t="n">
        <v>-869.5839999999999</v>
      </c>
      <c r="I5766">
        <f>-H3884/G3884</f>
        <v/>
      </c>
      <c r="J5766" s="16" t="n">
        <v>44622</v>
      </c>
      <c r="K5766">
        <f>+OPERAC[[#This Row],[cantidad]]</f>
        <v/>
      </c>
      <c r="L5766" t="n">
        <v>883.576</v>
      </c>
    </row>
    <row r="5767">
      <c r="A5767" t="n">
        <v>21070</v>
      </c>
      <c r="B5767" s="16" t="n">
        <v>44614</v>
      </c>
      <c r="C5767" t="inlineStr">
        <is>
          <t>VTA</t>
        </is>
      </c>
      <c r="D5767" t="n">
        <v>39</v>
      </c>
      <c r="E5767">
        <f>IF(D1204&gt;0,VLOOKUP(OPERAC[[#This Row],[COD CART]],[1]!MatrizCortoLargoCyl[#All],3,0),"")</f>
        <v/>
      </c>
      <c r="F5767" t="inlineStr">
        <is>
          <t>TSLA/V/200,00/19-01-24</t>
        </is>
      </c>
      <c r="G5767" t="n">
        <v>-1</v>
      </c>
      <c r="H5767" t="n">
        <v>8.92</v>
      </c>
      <c r="I5767">
        <f>-H1204/G1204</f>
        <v/>
      </c>
    </row>
    <row r="5768">
      <c r="A5768" t="n">
        <v>21070</v>
      </c>
      <c r="B5768" s="16" t="n">
        <v>44634</v>
      </c>
      <c r="C5768" t="inlineStr">
        <is>
          <t>VTA</t>
        </is>
      </c>
      <c r="D5768" t="n">
        <v>42</v>
      </c>
      <c r="E5768">
        <f>IF(D5230&gt;0,VLOOKUP(OPERAC[[#This Row],[COD CART]],[1]!MatrizCortoLargoCyl[#All],3,0),"")</f>
        <v/>
      </c>
      <c r="F5768" t="inlineStr">
        <is>
          <t>INO</t>
        </is>
      </c>
      <c r="G5768" t="n">
        <v>500</v>
      </c>
      <c r="H5768" t="n">
        <v>-1660.408</v>
      </c>
      <c r="I5768">
        <f>-H5230/G5230</f>
        <v/>
      </c>
      <c r="J5768" s="16" t="n">
        <v>44634</v>
      </c>
      <c r="K5768" t="n">
        <v>500</v>
      </c>
      <c r="L5768" t="n">
        <v>1494.4275</v>
      </c>
    </row>
    <row r="5769">
      <c r="A5769" t="n">
        <v>21070</v>
      </c>
      <c r="B5769" s="16" t="n">
        <v>44641</v>
      </c>
      <c r="C5769" t="inlineStr">
        <is>
          <t>VTA</t>
        </is>
      </c>
      <c r="D5769" t="n">
        <v>42</v>
      </c>
      <c r="E5769">
        <f>IF(D2357&gt;0,VLOOKUP(OPERAC[[#This Row],[COD CART]],[1]!MatrizCortoLargoCyl[#All],3,0),"")</f>
        <v/>
      </c>
      <c r="F5769" t="inlineStr">
        <is>
          <t>DIS</t>
        </is>
      </c>
      <c r="G5769" t="n">
        <v>3</v>
      </c>
      <c r="H5769" t="n">
        <v>-417.8136000000001</v>
      </c>
      <c r="I5769">
        <f>-H2357/G2357</f>
        <v/>
      </c>
      <c r="J5769" s="16" t="n">
        <v>44645</v>
      </c>
      <c r="K5769" t="n">
        <v>3</v>
      </c>
      <c r="L5769" t="n">
        <v>411.384</v>
      </c>
    </row>
    <row r="5770">
      <c r="A5770" t="n">
        <v>21070</v>
      </c>
      <c r="B5770" s="16" t="n">
        <v>44641</v>
      </c>
      <c r="C5770" t="inlineStr">
        <is>
          <t>VTA</t>
        </is>
      </c>
      <c r="D5770" t="n">
        <v>42</v>
      </c>
      <c r="E5770">
        <f>IF(D2381&gt;0,VLOOKUP(OPERAC[[#This Row],[COD CART]],[1]!MatrizCortoLargoCyl[#All],3,0),"")</f>
        <v/>
      </c>
      <c r="F5770" t="inlineStr">
        <is>
          <t>JPM</t>
        </is>
      </c>
      <c r="G5770" t="n">
        <v>3</v>
      </c>
      <c r="H5770" t="n">
        <v>-421.3630200000001</v>
      </c>
      <c r="I5770">
        <f>-H2381/G2381</f>
        <v/>
      </c>
      <c r="J5770" s="16" t="n">
        <v>44664</v>
      </c>
      <c r="K5770">
        <f>+OPERAC[[#This Row],[cantidad]]</f>
        <v/>
      </c>
      <c r="L5770">
        <f>+OPERAC[[#This Row],[cantidad venta]]*125.943</f>
        <v/>
      </c>
    </row>
    <row r="5771">
      <c r="A5771" t="n">
        <v>21070</v>
      </c>
      <c r="B5771" s="16" t="n">
        <v>44641</v>
      </c>
      <c r="C5771" t="inlineStr">
        <is>
          <t>VTA</t>
        </is>
      </c>
      <c r="D5771" t="n">
        <v>42</v>
      </c>
      <c r="E5771">
        <f>IF(D2885&gt;0,VLOOKUP(OPERAC[[#This Row],[COD CART]],[1]!MatrizCortoLargoCyl[#All],3,0),"")</f>
        <v/>
      </c>
      <c r="F5771" t="inlineStr">
        <is>
          <t>SMH</t>
        </is>
      </c>
      <c r="G5771" t="n">
        <v>2</v>
      </c>
      <c r="H5771" t="n">
        <v>-537.9153000000001</v>
      </c>
      <c r="I5771">
        <f>-H2885/G2885</f>
        <v/>
      </c>
      <c r="J5771" s="16" t="n">
        <v>44663</v>
      </c>
      <c r="K5771">
        <f>+OPERAC[[#This Row],[cantidad]]</f>
        <v/>
      </c>
      <c r="L5771">
        <f>+OPERAC[[#This Row],[cantidad venta]]*238.066</f>
        <v/>
      </c>
    </row>
    <row r="5772">
      <c r="A5772" t="n">
        <v>21070</v>
      </c>
      <c r="B5772" s="16" t="n">
        <v>44641</v>
      </c>
      <c r="C5772" t="inlineStr">
        <is>
          <t>VTA</t>
        </is>
      </c>
      <c r="D5772" t="n">
        <v>42</v>
      </c>
      <c r="E5772">
        <f>IF(D3165&gt;0,VLOOKUP(OPERAC[[#This Row],[COD CART]],[1]!MatrizCortoLargoCyl[#All],3,0),"")</f>
        <v/>
      </c>
      <c r="F5772" t="inlineStr">
        <is>
          <t>FB</t>
        </is>
      </c>
      <c r="G5772" t="n">
        <v>3</v>
      </c>
      <c r="H5772" t="n">
        <v>-636.4691399999999</v>
      </c>
      <c r="I5772">
        <f>-H3165/G3165</f>
        <v/>
      </c>
      <c r="J5772" s="16" t="n">
        <v>44671</v>
      </c>
      <c r="K5772">
        <f>+OPERAC[[#This Row],[cantidad]]</f>
        <v/>
      </c>
      <c r="L5772">
        <f>+OPERAC[[#This Row],[cantidad venta]]*213.173</f>
        <v/>
      </c>
    </row>
    <row r="5773">
      <c r="A5773" t="n">
        <v>21070</v>
      </c>
      <c r="B5773" s="16" t="n">
        <v>44643</v>
      </c>
      <c r="C5773" t="inlineStr">
        <is>
          <t>VTA</t>
        </is>
      </c>
      <c r="D5773" t="n">
        <v>42</v>
      </c>
      <c r="E5773">
        <f>IF(D1409&gt;0,VLOOKUP(OPERAC[[#This Row],[COD CART]],[1]!MatrizCortoLargoCyl[#All],3,0),"")</f>
        <v/>
      </c>
      <c r="F5773" t="inlineStr">
        <is>
          <t>JPM</t>
        </is>
      </c>
      <c r="G5773" t="n">
        <v>1</v>
      </c>
      <c r="H5773" t="n">
        <v>-141.24664</v>
      </c>
      <c r="I5773">
        <f>-H1409/G1409</f>
        <v/>
      </c>
      <c r="J5773" s="16" t="n">
        <v>44664</v>
      </c>
      <c r="K5773">
        <f>+OPERAC[[#This Row],[cantidad]]</f>
        <v/>
      </c>
      <c r="L5773">
        <f>+OPERAC[[#This Row],[cantidad venta]]*125.943</f>
        <v/>
      </c>
    </row>
    <row r="5774">
      <c r="A5774" t="n">
        <v>21070</v>
      </c>
      <c r="B5774" s="16" t="n">
        <v>44643</v>
      </c>
      <c r="C5774" t="inlineStr">
        <is>
          <t>VTA</t>
        </is>
      </c>
      <c r="D5774" t="n">
        <v>42</v>
      </c>
      <c r="E5774">
        <f>IF(D1623&gt;0,VLOOKUP(OPERAC[[#This Row],[COD CART]],[1]!MatrizCortoLargoCyl[#All],3,0),"")</f>
        <v/>
      </c>
      <c r="F5774" t="inlineStr">
        <is>
          <t>FB</t>
        </is>
      </c>
      <c r="G5774" t="n">
        <v>1</v>
      </c>
      <c r="H5774" t="n">
        <v>-216.12326</v>
      </c>
      <c r="I5774">
        <f>-H1623/G1623</f>
        <v/>
      </c>
      <c r="J5774" s="16" t="n">
        <v>44671</v>
      </c>
      <c r="K5774">
        <f>+OPERAC[[#This Row],[cantidad]]</f>
        <v/>
      </c>
      <c r="L5774">
        <f>+OPERAC[[#This Row],[cantidad venta]]*213.173</f>
        <v/>
      </c>
    </row>
    <row r="5775">
      <c r="A5775" t="n">
        <v>21070</v>
      </c>
      <c r="B5775" s="16" t="n">
        <v>44643</v>
      </c>
      <c r="C5775" t="inlineStr">
        <is>
          <t>VTA</t>
        </is>
      </c>
      <c r="D5775" t="n">
        <v>42</v>
      </c>
      <c r="E5775">
        <f>IF(D1796&gt;0,VLOOKUP(OPERAC[[#This Row],[COD CART]],[1]!MatrizCortoLargoCyl[#All],3,0),"")</f>
        <v/>
      </c>
      <c r="F5775" t="inlineStr">
        <is>
          <t>SMH</t>
        </is>
      </c>
      <c r="G5775" t="n">
        <v>1</v>
      </c>
      <c r="H5775" t="n">
        <v>-267.162898</v>
      </c>
      <c r="I5775">
        <f>-H1796/G1796</f>
        <v/>
      </c>
      <c r="J5775" s="16" t="n">
        <v>44663</v>
      </c>
      <c r="K5775">
        <f>+OPERAC[[#This Row],[cantidad]]</f>
        <v/>
      </c>
      <c r="L5775">
        <f>+OPERAC[[#This Row],[cantidad venta]]*238.066</f>
        <v/>
      </c>
    </row>
    <row r="5776">
      <c r="A5776" t="n">
        <v>21070</v>
      </c>
      <c r="B5776" s="16" t="n">
        <v>44645</v>
      </c>
      <c r="C5776" t="inlineStr">
        <is>
          <t>VTA</t>
        </is>
      </c>
      <c r="D5776" t="n">
        <v>39</v>
      </c>
      <c r="E5776">
        <f>IF(D1255&gt;0,VLOOKUP(OPERAC[[#This Row],[COD CART]],[1]!MatrizCortoLargoCyl[#All],3,0),"")</f>
        <v/>
      </c>
      <c r="F5776" t="inlineStr">
        <is>
          <t>TLRY/V/6,00/16-09-22</t>
        </is>
      </c>
      <c r="G5776" t="n">
        <v>-1</v>
      </c>
      <c r="H5776" t="n">
        <v>1.0346</v>
      </c>
      <c r="I5776">
        <f>-H1255/G1255</f>
        <v/>
      </c>
      <c r="J5776" s="16" t="n">
        <v>44721</v>
      </c>
      <c r="K5776" t="n">
        <v>-1</v>
      </c>
      <c r="L5776" t="n">
        <v>-2.63219</v>
      </c>
    </row>
    <row r="5777">
      <c r="A5777" t="n">
        <v>21070</v>
      </c>
      <c r="B5777" s="16" t="n">
        <v>44662</v>
      </c>
      <c r="C5777" t="inlineStr">
        <is>
          <t>VTA</t>
        </is>
      </c>
      <c r="D5777" t="n">
        <v>42</v>
      </c>
      <c r="E5777">
        <f>IF(D1506&gt;0,VLOOKUP(OPERAC[[#This Row],[COD CART]],[1]!MatrizCortoLargoCyl[#All],3,0),"")</f>
        <v/>
      </c>
      <c r="F5777" t="inlineStr">
        <is>
          <t>HYDR</t>
        </is>
      </c>
      <c r="G5777" t="n">
        <v>10</v>
      </c>
      <c r="H5777" t="n">
        <v>-185.70344</v>
      </c>
      <c r="I5777">
        <f>-H1506/G1506</f>
        <v/>
      </c>
      <c r="J5777" s="16" t="n">
        <v>44693</v>
      </c>
      <c r="K5777">
        <f>+OPERAC[[#This Row],[cantidad]]</f>
        <v/>
      </c>
      <c r="L5777">
        <f>+OPERAC[[#This Row],[cantidad venta]]*11.986</f>
        <v/>
      </c>
    </row>
    <row r="5778">
      <c r="A5778" t="n">
        <v>21070</v>
      </c>
      <c r="B5778" s="16" t="n">
        <v>44664</v>
      </c>
      <c r="C5778" t="inlineStr">
        <is>
          <t>VTA</t>
        </is>
      </c>
      <c r="D5778" t="n">
        <v>42</v>
      </c>
      <c r="E5778">
        <f>IF(D3092&gt;0,VLOOKUP(OPERAC[[#This Row],[COD CART]],[1]!MatrizCortoLargoCyl[#All],3,0),"")</f>
        <v/>
      </c>
      <c r="F5778" t="inlineStr">
        <is>
          <t>PSQ</t>
        </is>
      </c>
      <c r="G5778" t="n">
        <v>50</v>
      </c>
      <c r="H5778" t="n">
        <v>-621.6286090499999</v>
      </c>
      <c r="I5778">
        <f>-H3092/G3092</f>
        <v/>
      </c>
      <c r="J5778" s="16" t="n">
        <v>44680</v>
      </c>
      <c r="K5778">
        <f>+OPERAC[[#This Row],[cantidad]]</f>
        <v/>
      </c>
      <c r="L5778">
        <f>12.848*OPERAC[[#This Row],[cantidad venta]]</f>
        <v/>
      </c>
    </row>
    <row r="5779">
      <c r="A5779" t="n">
        <v>21070</v>
      </c>
      <c r="B5779" s="16" t="n">
        <v>44669</v>
      </c>
      <c r="C5779" t="inlineStr">
        <is>
          <t>VTA</t>
        </is>
      </c>
      <c r="D5779" t="n">
        <v>32</v>
      </c>
      <c r="E5779">
        <f>IF(D2541&gt;0,VLOOKUP(OPERAC[[#This Row],[COD CART]],[1]!MatrizCortoLargoCyl[#All],3,0),"")</f>
        <v/>
      </c>
      <c r="F5779" t="inlineStr">
        <is>
          <t>HMY</t>
        </is>
      </c>
      <c r="G5779" t="n">
        <v>100</v>
      </c>
      <c r="H5779">
        <f>-4.64*OPERAC[[#This Row],[cantidad]]</f>
        <v/>
      </c>
      <c r="I5779">
        <f>-H2541/G2541</f>
        <v/>
      </c>
      <c r="J5779" s="16" t="n">
        <v>44708</v>
      </c>
      <c r="K5779" t="n">
        <v>100</v>
      </c>
      <c r="L5779" t="n">
        <v>360.113</v>
      </c>
    </row>
    <row r="5780">
      <c r="A5780" t="n">
        <v>21070</v>
      </c>
      <c r="B5780" s="16" t="n">
        <v>44671</v>
      </c>
      <c r="C5780" t="inlineStr">
        <is>
          <t>CPR</t>
        </is>
      </c>
      <c r="D5780" t="n">
        <v>42</v>
      </c>
      <c r="E5780">
        <f>IF(D4266&gt;0,VLOOKUP(OPERAC[[#This Row],[COD CART]],[1]!MatrizCortoLargoCyl[#All],3,0),"")</f>
        <v/>
      </c>
      <c r="F5780" t="inlineStr">
        <is>
          <t>NFLX</t>
        </is>
      </c>
      <c r="G5780" t="n">
        <v>4</v>
      </c>
      <c r="H5780" t="n">
        <v>-1018.02024</v>
      </c>
      <c r="I5780">
        <f>-H4266/G4266</f>
        <v/>
      </c>
      <c r="J5780" s="16" t="n">
        <v>44693</v>
      </c>
      <c r="K5780">
        <f>+OPERAC[[#This Row],[cantidad]]</f>
        <v/>
      </c>
      <c r="L5780">
        <f>+OPERAC[[#This Row],[cantidad venta]]*169.089</f>
        <v/>
      </c>
    </row>
    <row r="5781">
      <c r="A5781" t="n">
        <v>21070</v>
      </c>
      <c r="B5781" s="16" t="n">
        <v>44680</v>
      </c>
      <c r="C5781" t="inlineStr">
        <is>
          <t>VTA</t>
        </is>
      </c>
      <c r="D5781" t="n">
        <v>42</v>
      </c>
      <c r="E5781">
        <f>IF(D3145&gt;0,VLOOKUP(OPERAC[[#This Row],[COD CART]],[1]!MatrizCortoLargoCyl[#All],3,0),"")</f>
        <v/>
      </c>
      <c r="F5781" t="inlineStr">
        <is>
          <t>XLP</t>
        </is>
      </c>
      <c r="G5781" t="n">
        <v>8</v>
      </c>
      <c r="H5781" t="n">
        <v>-635.4760199999999</v>
      </c>
      <c r="I5781">
        <f>-H3145/G3145</f>
        <v/>
      </c>
      <c r="J5781" s="16" t="n">
        <v>44693</v>
      </c>
      <c r="K5781">
        <f>+OPERAC[[#This Row],[cantidad]]</f>
        <v/>
      </c>
      <c r="L5781">
        <f>+OPERAC[[#This Row],[cantidad venta]]*74.848</f>
        <v/>
      </c>
    </row>
    <row r="5782">
      <c r="A5782" t="n">
        <v>21070</v>
      </c>
      <c r="B5782" s="16" t="n">
        <v>44708</v>
      </c>
      <c r="C5782" t="inlineStr">
        <is>
          <t>CPR</t>
        </is>
      </c>
      <c r="D5782" t="n">
        <v>32</v>
      </c>
      <c r="E5782">
        <f>IF(D4349&gt;0,VLOOKUP(OPERAC[[#This Row],[COD CART]],[1]!MatrizCortoLargoCyl[#All],3,0),"")</f>
        <v/>
      </c>
      <c r="F5782" t="inlineStr">
        <is>
          <t>AMC/CYL/11,00/03-06-22</t>
        </is>
      </c>
      <c r="G5782" t="n">
        <v>100</v>
      </c>
      <c r="H5782" t="n">
        <v>-1071.908</v>
      </c>
      <c r="I5782">
        <f>-H4349/G4349</f>
        <v/>
      </c>
      <c r="J5782" s="16" t="n">
        <v>44715</v>
      </c>
      <c r="K5782">
        <f>+OPERAC[[#This Row],[cantidad]]</f>
        <v/>
      </c>
      <c r="L5782">
        <f>+OPERAC[[#This Row],[cantidad venta]]*10.951</f>
        <v/>
      </c>
    </row>
    <row r="5783">
      <c r="A5783" t="n">
        <v>21070</v>
      </c>
      <c r="B5783" s="16" t="n">
        <v>44712</v>
      </c>
      <c r="C5783" t="inlineStr">
        <is>
          <t>CPR</t>
        </is>
      </c>
      <c r="D5783" t="n">
        <v>32</v>
      </c>
      <c r="E5783">
        <f>IF(D3329&gt;0,VLOOKUP(OPERAC[[#This Row],[COD CART]],[1]!MatrizCortoLargoCyl[#All],3,0),"")</f>
        <v/>
      </c>
      <c r="F5783" t="inlineStr">
        <is>
          <t>CRESY/CYL/7,50/17-06-22</t>
        </is>
      </c>
      <c r="G5783" t="n">
        <v>100</v>
      </c>
      <c r="H5783" t="n">
        <v>-693.075</v>
      </c>
      <c r="I5783">
        <f>-H3329/G3329</f>
        <v/>
      </c>
    </row>
    <row r="5784">
      <c r="A5784" t="n">
        <v>21070</v>
      </c>
      <c r="B5784" s="16" t="n">
        <v>44720</v>
      </c>
      <c r="C5784" t="inlineStr">
        <is>
          <t>CPR</t>
        </is>
      </c>
      <c r="D5784" t="n">
        <v>42</v>
      </c>
      <c r="E5784">
        <f>IF(D4334&gt;0,VLOOKUP(OPERAC[[#This Row],[COD CART]],[1]!MatrizCortoLargoCyl[#All],3,0),"")</f>
        <v/>
      </c>
      <c r="F5784" t="inlineStr">
        <is>
          <t>HYDR</t>
        </is>
      </c>
      <c r="G5784" t="n">
        <v>70</v>
      </c>
      <c r="H5784" t="n">
        <v>-1058.925</v>
      </c>
      <c r="I5784">
        <f>-H4334/G4334</f>
        <v/>
      </c>
    </row>
    <row r="5785">
      <c r="A5785" t="n">
        <v>21070</v>
      </c>
      <c r="B5785" s="16" t="n">
        <v>44721</v>
      </c>
      <c r="C5785" t="inlineStr">
        <is>
          <t>VTA</t>
        </is>
      </c>
      <c r="D5785" t="n">
        <v>32</v>
      </c>
      <c r="E5785">
        <f>IF(D2026&gt;0,VLOOKUP(OPERAC[[#This Row],[COD CART]],[1]!MatrizCortoLargoCyl[#All],3,0),"")</f>
        <v/>
      </c>
      <c r="F5785" t="inlineStr">
        <is>
          <t>SESN/CYL/1,00/18-11-22</t>
        </is>
      </c>
      <c r="G5785" t="n">
        <v>500</v>
      </c>
      <c r="H5785" t="n">
        <v>-315</v>
      </c>
      <c r="I5785">
        <f>-H2026/G2026</f>
        <v/>
      </c>
    </row>
    <row r="5786">
      <c r="A5786" t="n">
        <v>22393</v>
      </c>
      <c r="B5786" s="16" t="n">
        <v>43831</v>
      </c>
      <c r="C5786" t="inlineStr">
        <is>
          <t>VTA</t>
        </is>
      </c>
      <c r="D5786" t="n">
        <v>31</v>
      </c>
      <c r="E5786">
        <f>IF(D1395&gt;0,VLOOKUP(OPERAC[[#This Row],[COD CART]],[1]!MatrizCortoLargoCyl[#All],3,0),"")</f>
        <v/>
      </c>
      <c r="F5786" t="inlineStr">
        <is>
          <t>PNTV</t>
        </is>
      </c>
      <c r="G5786" t="n">
        <v>2000</v>
      </c>
      <c r="H5786" t="n">
        <v>-140</v>
      </c>
      <c r="I5786" t="n">
        <v>0.07000000000000001</v>
      </c>
      <c r="J5786" s="16" t="n">
        <v>44645</v>
      </c>
      <c r="K5786" t="n">
        <v>2000</v>
      </c>
      <c r="L5786" t="n">
        <v>140</v>
      </c>
    </row>
    <row r="5787">
      <c r="A5787" t="n">
        <v>22393</v>
      </c>
      <c r="B5787" s="16" t="n">
        <v>44237</v>
      </c>
      <c r="C5787" t="inlineStr">
        <is>
          <t>CPR</t>
        </is>
      </c>
      <c r="D5787" t="n">
        <v>40</v>
      </c>
      <c r="E5787">
        <f>IF(D6010&gt;0,VLOOKUP(OPERAC[[#This Row],[COD CART]],[1]!MatrizCortoLargoCyl[#All],3,0),"")</f>
        <v/>
      </c>
      <c r="F5787" t="inlineStr">
        <is>
          <t>DDD</t>
        </is>
      </c>
      <c r="G5787" t="n">
        <v>100</v>
      </c>
      <c r="H5787">
        <f>-4028.52+269.54+406.72</f>
        <v/>
      </c>
      <c r="I5787">
        <f>-H6010/G6010</f>
        <v/>
      </c>
      <c r="J5787" s="16" t="n">
        <v>44634</v>
      </c>
      <c r="K5787" t="n">
        <v>100</v>
      </c>
      <c r="L5787" t="n">
        <v>1422.996</v>
      </c>
    </row>
    <row r="5788">
      <c r="A5788" t="n">
        <v>22393</v>
      </c>
      <c r="B5788" s="16" t="n">
        <v>44299</v>
      </c>
      <c r="C5788" t="inlineStr">
        <is>
          <t>VTA</t>
        </is>
      </c>
      <c r="D5788" t="n">
        <v>39</v>
      </c>
      <c r="E5788">
        <f>IF(D1217&gt;0,VLOOKUP(OPERAC[[#This Row],[COD CART]],[1]!MatrizCortoLargoCyl[#All],3,0),"")</f>
        <v/>
      </c>
      <c r="F5788" t="inlineStr">
        <is>
          <t>TLRY/V/10,00/19-01-24</t>
        </is>
      </c>
      <c r="G5788" t="n">
        <v>-2</v>
      </c>
      <c r="H5788" t="n">
        <v>7.4926</v>
      </c>
      <c r="I5788">
        <f>-H1217/G1217</f>
        <v/>
      </c>
    </row>
    <row r="5789">
      <c r="A5789" t="n">
        <v>22393</v>
      </c>
      <c r="B5789" s="16" t="n">
        <v>44336</v>
      </c>
      <c r="C5789" t="inlineStr">
        <is>
          <t>CPR</t>
        </is>
      </c>
      <c r="D5789" t="n">
        <v>31</v>
      </c>
      <c r="E5789">
        <f>IF(D4954&gt;0,VLOOKUP(OPERAC[[#This Row],[COD CART]],[1]!MatrizCortoLargoCyl[#All],3,0),"")</f>
        <v/>
      </c>
      <c r="F5789" t="inlineStr">
        <is>
          <t>JEPI</t>
        </is>
      </c>
      <c r="G5789" t="n">
        <v>25</v>
      </c>
      <c r="H5789" t="n">
        <v>-1510.95</v>
      </c>
      <c r="I5789">
        <f>-H4954/G4954</f>
        <v/>
      </c>
    </row>
    <row r="5790">
      <c r="A5790" t="n">
        <v>22393</v>
      </c>
      <c r="B5790" s="16" t="n">
        <v>44336</v>
      </c>
      <c r="C5790" t="inlineStr">
        <is>
          <t>VTA</t>
        </is>
      </c>
      <c r="D5790" t="n">
        <v>39</v>
      </c>
      <c r="E5790">
        <f>IF(D323&gt;0,VLOOKUP(OPERAC[[#This Row],[COD CART]],[1]!MatrizCortoLargoCyl[#All],3,0),"")</f>
        <v/>
      </c>
      <c r="F5790" t="inlineStr">
        <is>
          <t>SOLO/V/3,00/20-01-23</t>
        </is>
      </c>
      <c r="G5790" t="n">
        <v>-1000</v>
      </c>
      <c r="H5790" t="n">
        <v>1392.62</v>
      </c>
      <c r="I5790">
        <f>-H323/G323</f>
        <v/>
      </c>
    </row>
    <row r="5791">
      <c r="A5791" t="n">
        <v>22393</v>
      </c>
      <c r="B5791" s="16" t="n">
        <v>44342</v>
      </c>
      <c r="C5791" t="inlineStr">
        <is>
          <t>VTA</t>
        </is>
      </c>
      <c r="D5791" t="n">
        <v>39</v>
      </c>
      <c r="E5791">
        <f>IF(D986&gt;0,VLOOKUP(OPERAC[[#This Row],[COD CART]],[1]!MatrizCortoLargoCyl[#All],3,0),"")</f>
        <v/>
      </c>
      <c r="F5791" t="inlineStr">
        <is>
          <t>GLD/V/140,00/21-01-22</t>
        </is>
      </c>
      <c r="G5791" t="n">
        <v>-100</v>
      </c>
      <c r="H5791" t="n">
        <v>73.73</v>
      </c>
      <c r="I5791">
        <f>-H986/G986</f>
        <v/>
      </c>
      <c r="J5791" s="16" t="n">
        <v>44582</v>
      </c>
      <c r="K5791" t="n">
        <v>-100</v>
      </c>
      <c r="L5791" t="n">
        <v>0</v>
      </c>
    </row>
    <row r="5792">
      <c r="A5792" t="n">
        <v>22393</v>
      </c>
      <c r="B5792" s="16" t="n">
        <v>44342</v>
      </c>
      <c r="C5792" t="inlineStr">
        <is>
          <t>VTA</t>
        </is>
      </c>
      <c r="D5792" t="n">
        <v>31</v>
      </c>
      <c r="E5792">
        <f>IF(D5205&gt;0,VLOOKUP(OPERAC[[#This Row],[COD CART]],[1]!MatrizCortoLargoCyl[#All],3,0),"")</f>
        <v/>
      </c>
      <c r="F5792" t="inlineStr">
        <is>
          <t>KGC</t>
        </is>
      </c>
      <c r="G5792" t="n">
        <v>200</v>
      </c>
      <c r="H5792" t="n">
        <v>-1652.104</v>
      </c>
      <c r="I5792">
        <f>-H5205/G5205</f>
        <v/>
      </c>
      <c r="J5792" s="16" t="n">
        <v>44628</v>
      </c>
      <c r="K5792" t="n">
        <v>200</v>
      </c>
      <c r="L5792">
        <f>+OPERAC[[#This Row],[cantidad venta]]*5.5</f>
        <v/>
      </c>
    </row>
    <row r="5793">
      <c r="A5793" t="n">
        <v>22393</v>
      </c>
      <c r="B5793" s="16" t="n">
        <v>44343</v>
      </c>
      <c r="C5793" t="inlineStr">
        <is>
          <t>VTA</t>
        </is>
      </c>
      <c r="D5793" t="n">
        <v>31</v>
      </c>
      <c r="E5793">
        <f>IF(D1279&gt;0,VLOOKUP(OPERAC[[#This Row],[COD CART]],[1]!MatrizCortoLargoCyl[#All],3,0),"")</f>
        <v/>
      </c>
      <c r="F5793" t="inlineStr">
        <is>
          <t>JEPI</t>
        </is>
      </c>
      <c r="G5793" t="n">
        <v>1</v>
      </c>
      <c r="H5793" t="n">
        <v>-60.91368</v>
      </c>
      <c r="I5793">
        <f>-H1279/G1279</f>
        <v/>
      </c>
    </row>
    <row r="5794">
      <c r="A5794" t="n">
        <v>22393</v>
      </c>
      <c r="B5794" s="16" t="n">
        <v>44357</v>
      </c>
      <c r="C5794" t="inlineStr">
        <is>
          <t>CPR</t>
        </is>
      </c>
      <c r="D5794" t="n">
        <v>32</v>
      </c>
      <c r="E5794">
        <f>IF(D5836&gt;0,VLOOKUP(OPERAC[[#This Row],[COD CART]],[1]!MatrizCortoLargoCyl[#All],3,0),"")</f>
        <v/>
      </c>
      <c r="F5794" t="inlineStr">
        <is>
          <t>SFM/CYL/29,00/18-02-2022</t>
        </is>
      </c>
      <c r="G5794" t="n">
        <v>100</v>
      </c>
      <c r="H5794">
        <f>-2928.364+80</f>
        <v/>
      </c>
      <c r="I5794">
        <f>-H5836/G5836</f>
        <v/>
      </c>
      <c r="J5794" s="16" t="n">
        <v>44610</v>
      </c>
      <c r="K5794" t="n">
        <v>100</v>
      </c>
      <c r="L5794" t="n">
        <v>2876.8</v>
      </c>
    </row>
    <row r="5795">
      <c r="A5795" t="n">
        <v>22393</v>
      </c>
      <c r="B5795" s="16" t="n">
        <v>44369</v>
      </c>
      <c r="C5795" t="inlineStr">
        <is>
          <t>VTA</t>
        </is>
      </c>
      <c r="D5795" t="n">
        <v>31</v>
      </c>
      <c r="E5795">
        <f>IF(D2436&gt;0,VLOOKUP(OPERAC[[#This Row],[COD CART]],[1]!MatrizCortoLargoCyl[#All],3,0),"")</f>
        <v/>
      </c>
      <c r="F5795" t="inlineStr">
        <is>
          <t>JEPI</t>
        </is>
      </c>
      <c r="G5795" t="n">
        <v>7</v>
      </c>
      <c r="H5795" t="n">
        <v>-425.2632</v>
      </c>
      <c r="I5795">
        <f>-H2436/G2436</f>
        <v/>
      </c>
    </row>
    <row r="5796">
      <c r="A5796" t="n">
        <v>22393</v>
      </c>
      <c r="B5796" s="16" t="n">
        <v>44377</v>
      </c>
      <c r="C5796" t="inlineStr">
        <is>
          <t>VTA</t>
        </is>
      </c>
      <c r="D5796" t="n">
        <v>31</v>
      </c>
      <c r="E5796">
        <f>IF(D1258&gt;0,VLOOKUP(OPERAC[[#This Row],[COD CART]],[1]!MatrizCortoLargoCyl[#All],3,0),"")</f>
        <v/>
      </c>
      <c r="F5796" t="inlineStr">
        <is>
          <t>NTTHF</t>
        </is>
      </c>
      <c r="G5796" t="n">
        <v>100</v>
      </c>
      <c r="H5796" t="n">
        <v>-1</v>
      </c>
      <c r="I5796">
        <f>-H1258/G1258</f>
        <v/>
      </c>
      <c r="J5796" s="16" t="n">
        <v>44603</v>
      </c>
      <c r="K5796" t="n">
        <v>100</v>
      </c>
      <c r="L5796" t="n">
        <v>508.53</v>
      </c>
    </row>
    <row r="5797">
      <c r="A5797" t="n">
        <v>22393</v>
      </c>
      <c r="B5797" s="16" t="n">
        <v>44393</v>
      </c>
      <c r="C5797" t="inlineStr">
        <is>
          <t>CPR</t>
        </is>
      </c>
      <c r="D5797" t="n">
        <v>31</v>
      </c>
      <c r="E5797">
        <f>IF(D5684&gt;0,VLOOKUP(OPERAC[[#This Row],[COD CART]],[1]!MatrizCortoLargoCyl[#All],3,0),"")</f>
        <v/>
      </c>
      <c r="F5797" t="inlineStr">
        <is>
          <t>MPW</t>
        </is>
      </c>
      <c r="G5797" t="n">
        <v>120</v>
      </c>
      <c r="H5797" t="n">
        <v>-2478.5544</v>
      </c>
      <c r="I5797">
        <f>-H5684/G5684</f>
        <v/>
      </c>
      <c r="J5797" s="16" t="n">
        <v>44498</v>
      </c>
      <c r="K5797">
        <f>20+100</f>
        <v/>
      </c>
      <c r="L5797">
        <f>427.463+2049.444</f>
        <v/>
      </c>
    </row>
    <row r="5798">
      <c r="A5798" t="n">
        <v>22393</v>
      </c>
      <c r="B5798" s="16" t="n">
        <v>44396</v>
      </c>
      <c r="C5798" t="inlineStr">
        <is>
          <t>VTA</t>
        </is>
      </c>
      <c r="D5798" t="n">
        <v>40</v>
      </c>
      <c r="E5798">
        <f>IF(D5257&gt;0,VLOOKUP(OPERAC[[#This Row],[COD CART]],[1]!MatrizCortoLargoCyl[#All],3,0),"")</f>
        <v/>
      </c>
      <c r="F5798" t="inlineStr">
        <is>
          <t>INO</t>
        </is>
      </c>
      <c r="G5798" t="n">
        <v>200</v>
      </c>
      <c r="H5798" t="n">
        <v>-1687.82</v>
      </c>
      <c r="I5798">
        <f>-H5257/G5257</f>
        <v/>
      </c>
    </row>
    <row r="5799">
      <c r="A5799" t="n">
        <v>22393</v>
      </c>
      <c r="B5799" s="16" t="n">
        <v>44435</v>
      </c>
      <c r="C5799" t="inlineStr">
        <is>
          <t>CPR</t>
        </is>
      </c>
      <c r="D5799" t="n">
        <v>31</v>
      </c>
      <c r="E5799">
        <f>IF(D4545&gt;0,VLOOKUP(OPERAC[[#This Row],[COD CART]],[1]!MatrizCortoLargoCyl[#All],3,0),"")</f>
        <v/>
      </c>
      <c r="F5799" t="inlineStr">
        <is>
          <t>KGC</t>
        </is>
      </c>
      <c r="G5799" t="n">
        <v>200</v>
      </c>
      <c r="H5799" t="n">
        <v>-1212.616</v>
      </c>
      <c r="I5799">
        <f>-H4545/G4545</f>
        <v/>
      </c>
      <c r="J5799" s="16" t="n">
        <v>44628</v>
      </c>
      <c r="K5799" t="n">
        <v>200</v>
      </c>
      <c r="L5799">
        <f>+OPERAC[[#This Row],[cantidad venta]]*5.5</f>
        <v/>
      </c>
    </row>
    <row r="5800">
      <c r="A5800" t="n">
        <v>22393</v>
      </c>
      <c r="B5800" s="16" t="n">
        <v>44446</v>
      </c>
      <c r="C5800" t="inlineStr">
        <is>
          <t>VTA</t>
        </is>
      </c>
      <c r="D5800" t="n">
        <v>41</v>
      </c>
      <c r="E5800">
        <f>IF(D5132&gt;0,VLOOKUP(OPERAC[[#This Row],[COD CART]],[1]!MatrizCortoLargoCyl[#All],3,0),"")</f>
        <v/>
      </c>
      <c r="F5800" t="inlineStr">
        <is>
          <t>DOLE</t>
        </is>
      </c>
      <c r="G5800" t="n">
        <v>100</v>
      </c>
      <c r="H5800" t="n">
        <v>-1595.656</v>
      </c>
      <c r="I5800">
        <f>-H5132/G5132</f>
        <v/>
      </c>
      <c r="J5800" s="16" t="n">
        <v>44634</v>
      </c>
      <c r="K5800" t="n">
        <v>100</v>
      </c>
      <c r="L5800">
        <f>+OPERAC[[#This Row],[cantidad venta]]*13.21</f>
        <v/>
      </c>
    </row>
    <row r="5801">
      <c r="A5801" t="n">
        <v>22393</v>
      </c>
      <c r="B5801" s="16" t="n">
        <v>44460</v>
      </c>
      <c r="C5801" t="inlineStr">
        <is>
          <t>CPR</t>
        </is>
      </c>
      <c r="D5801" t="n">
        <v>40</v>
      </c>
      <c r="E5801">
        <f>IF(D4291&gt;0,VLOOKUP(OPERAC[[#This Row],[COD CART]],[1]!MatrizCortoLargoCyl[#All],3,0),"")</f>
        <v/>
      </c>
      <c r="F5801" t="inlineStr">
        <is>
          <t>EDU</t>
        </is>
      </c>
      <c r="G5801" t="n">
        <v>100</v>
      </c>
      <c r="H5801" t="n">
        <v>-1044</v>
      </c>
      <c r="I5801">
        <f>-H4291/G4291</f>
        <v/>
      </c>
      <c r="J5801" s="16" t="n">
        <v>44683</v>
      </c>
      <c r="K5801" t="n">
        <v>100</v>
      </c>
      <c r="L5801">
        <f>+OPERAC[[#This Row],[cantidad venta]]*12.86</f>
        <v/>
      </c>
    </row>
    <row r="5802">
      <c r="A5802" t="n">
        <v>22393</v>
      </c>
      <c r="B5802" s="16" t="n">
        <v>44460</v>
      </c>
      <c r="C5802" t="inlineStr">
        <is>
          <t>VTA</t>
        </is>
      </c>
      <c r="D5802" t="n">
        <v>41</v>
      </c>
      <c r="E5802">
        <f>IF(D5131&gt;0,VLOOKUP(OPERAC[[#This Row],[COD CART]],[1]!MatrizCortoLargoCyl[#All],3,0),"")</f>
        <v/>
      </c>
      <c r="F5802" t="inlineStr">
        <is>
          <t>DOLE</t>
        </is>
      </c>
      <c r="G5802" t="n">
        <v>100</v>
      </c>
      <c r="H5802" t="n">
        <v>-1595.62</v>
      </c>
      <c r="I5802">
        <f>-H5131/G5131</f>
        <v/>
      </c>
      <c r="J5802" s="16" t="n">
        <v>44634</v>
      </c>
      <c r="K5802" t="n">
        <v>100</v>
      </c>
      <c r="L5802">
        <f>+OPERAC[[#This Row],[cantidad venta]]*13.21</f>
        <v/>
      </c>
    </row>
    <row r="5803">
      <c r="A5803" t="n">
        <v>22393</v>
      </c>
      <c r="B5803" s="16" t="n">
        <v>44469</v>
      </c>
      <c r="C5803" t="inlineStr">
        <is>
          <t>VTA</t>
        </is>
      </c>
      <c r="D5803" t="n">
        <v>41</v>
      </c>
      <c r="E5803">
        <f>IF(D5152&gt;0,VLOOKUP(OPERAC[[#This Row],[COD CART]],[1]!MatrizCortoLargoCyl[#All],3,0),"")</f>
        <v/>
      </c>
      <c r="F5803" t="inlineStr">
        <is>
          <t>DOLE</t>
        </is>
      </c>
      <c r="G5803" t="n">
        <v>100</v>
      </c>
      <c r="H5803" t="n">
        <v>-1607.3</v>
      </c>
      <c r="I5803">
        <f>-H5152/G5152</f>
        <v/>
      </c>
      <c r="J5803" s="16" t="n">
        <v>44634</v>
      </c>
      <c r="K5803" t="n">
        <v>100</v>
      </c>
      <c r="L5803">
        <f>+OPERAC[[#This Row],[cantidad venta]]*13.21</f>
        <v/>
      </c>
    </row>
    <row r="5804">
      <c r="A5804" t="n">
        <v>22393</v>
      </c>
      <c r="B5804" s="16" t="n">
        <v>44476</v>
      </c>
      <c r="C5804" t="inlineStr">
        <is>
          <t>VTA</t>
        </is>
      </c>
      <c r="D5804" t="n">
        <v>41</v>
      </c>
      <c r="E5804">
        <f>IF(D5006&gt;0,VLOOKUP(OPERAC[[#This Row],[COD CART]],[1]!MatrizCortoLargoCyl[#All],3,0),"")</f>
        <v/>
      </c>
      <c r="F5804" t="inlineStr">
        <is>
          <t>DOLE</t>
        </is>
      </c>
      <c r="G5804" t="n">
        <v>100</v>
      </c>
      <c r="H5804" t="n">
        <v>-1535.68</v>
      </c>
      <c r="I5804">
        <f>-H5006/G5006</f>
        <v/>
      </c>
    </row>
    <row r="5805">
      <c r="A5805" t="n">
        <v>22393</v>
      </c>
      <c r="B5805" s="16" t="n">
        <v>44482</v>
      </c>
      <c r="C5805" t="inlineStr">
        <is>
          <t>CPR</t>
        </is>
      </c>
      <c r="D5805" t="n">
        <v>41</v>
      </c>
      <c r="E5805">
        <f>IF(D4771&gt;0,VLOOKUP(OPERAC[[#This Row],[COD CART]],[1]!MatrizCortoLargoCyl[#All],3,0),"")</f>
        <v/>
      </c>
      <c r="F5805" t="inlineStr">
        <is>
          <t>UNG/CYL/16,00/04-03-22</t>
        </is>
      </c>
      <c r="G5805" t="n">
        <v>100</v>
      </c>
      <c r="H5805">
        <f>-1902.592+76.706+124.944+123.35+26.711+83.053+33.02+49.27</f>
        <v/>
      </c>
      <c r="I5805">
        <f>-H4771/G4771</f>
        <v/>
      </c>
      <c r="J5805" s="16" t="n">
        <v>44624</v>
      </c>
      <c r="K5805" t="n">
        <v>100</v>
      </c>
      <c r="L5805" t="n">
        <v>1587.2</v>
      </c>
    </row>
    <row r="5806">
      <c r="A5806" t="n">
        <v>22393</v>
      </c>
      <c r="B5806" s="16" t="n">
        <v>44488</v>
      </c>
      <c r="C5806" t="inlineStr">
        <is>
          <t>VTA</t>
        </is>
      </c>
      <c r="D5806" t="n">
        <v>40</v>
      </c>
      <c r="E5806">
        <f>IF(D5166&gt;0,VLOOKUP(OPERAC[[#This Row],[COD CART]],[1]!MatrizCortoLargoCyl[#All],3,0),"")</f>
        <v/>
      </c>
      <c r="F5806" t="inlineStr">
        <is>
          <t>MELI</t>
        </is>
      </c>
      <c r="G5806" t="n">
        <v>1</v>
      </c>
      <c r="H5806" t="n">
        <v>-1610.282</v>
      </c>
      <c r="I5806">
        <f>-H5166/G5166</f>
        <v/>
      </c>
    </row>
    <row r="5807">
      <c r="A5807" t="n">
        <v>22393</v>
      </c>
      <c r="B5807" s="16" t="n">
        <v>44489</v>
      </c>
      <c r="C5807" t="inlineStr">
        <is>
          <t>CPR</t>
        </is>
      </c>
      <c r="D5807" t="n">
        <v>43</v>
      </c>
      <c r="E5807">
        <f>IF(D4953&gt;0,VLOOKUP(OPERAC[[#This Row],[COD CART]],[1]!MatrizCortoLargoCyl[#All],3,0),"")</f>
        <v/>
      </c>
      <c r="F5807" t="inlineStr">
        <is>
          <t>SESN/CYL-PUT/1,00/19-01-24</t>
        </is>
      </c>
      <c r="G5807" t="n">
        <v>8000</v>
      </c>
      <c r="H5807">
        <f>-0.1885*OPERAC[[#This Row],[cantidad]]</f>
        <v/>
      </c>
      <c r="I5807">
        <f>-H4953/G4953</f>
        <v/>
      </c>
    </row>
    <row r="5808">
      <c r="A5808" t="n">
        <v>22393</v>
      </c>
      <c r="B5808" s="16" t="n">
        <v>44495</v>
      </c>
      <c r="C5808" t="inlineStr">
        <is>
          <t>VTA</t>
        </is>
      </c>
      <c r="D5808" t="n">
        <v>39</v>
      </c>
      <c r="E5808">
        <f>IF(D371&gt;0,VLOOKUP(OPERAC[[#This Row],[COD CART]],[1]!MatrizCortoLargoCyl[#All],3,0),"")</f>
        <v/>
      </c>
      <c r="F5808" t="inlineStr">
        <is>
          <t>YPF/CC10/LP7/CP3/19-01-24</t>
        </is>
      </c>
      <c r="G5808" t="n">
        <v>-500</v>
      </c>
      <c r="H5808" t="n">
        <v>1205</v>
      </c>
      <c r="I5808">
        <f>-H371/G371</f>
        <v/>
      </c>
    </row>
    <row r="5809">
      <c r="A5809" t="n">
        <v>22393</v>
      </c>
      <c r="B5809" s="16" t="n">
        <v>44509</v>
      </c>
      <c r="C5809" t="inlineStr">
        <is>
          <t>VTA</t>
        </is>
      </c>
      <c r="D5809" t="n">
        <v>39</v>
      </c>
      <c r="E5809">
        <f>IF(D1179&gt;0,VLOOKUP(OPERAC[[#This Row],[COD CART]],[1]!MatrizCortoLargoCyl[#All],3,0),"")</f>
        <v/>
      </c>
      <c r="F5809" t="inlineStr">
        <is>
          <t>TLRY/V/10,00/19-01-24</t>
        </is>
      </c>
      <c r="G5809" t="n">
        <v>-3</v>
      </c>
      <c r="H5809" t="n">
        <v>12.1941</v>
      </c>
      <c r="I5809">
        <f>-H1179/G1179</f>
        <v/>
      </c>
    </row>
    <row r="5810">
      <c r="A5810" t="n">
        <v>22393</v>
      </c>
      <c r="B5810" s="16" t="n">
        <v>44511</v>
      </c>
      <c r="C5810" t="inlineStr">
        <is>
          <t>CPR</t>
        </is>
      </c>
      <c r="D5810" t="n">
        <v>41</v>
      </c>
      <c r="E5810">
        <f>IF(D4902&gt;0,VLOOKUP(OPERAC[[#This Row],[COD CART]],[1]!MatrizCortoLargoCyl[#All],3,0),"")</f>
        <v/>
      </c>
      <c r="F5810" t="inlineStr">
        <is>
          <t>UNG/CYL/16,00/04-03-22</t>
        </is>
      </c>
      <c r="G5810" t="n">
        <v>100</v>
      </c>
      <c r="H5810">
        <f>-1664.64+26.711+83.053+33.03+49.27</f>
        <v/>
      </c>
      <c r="I5810">
        <f>-H4902/G4902</f>
        <v/>
      </c>
      <c r="J5810" s="16" t="n">
        <v>44624</v>
      </c>
      <c r="K5810" t="n">
        <v>100</v>
      </c>
      <c r="L5810" t="n">
        <v>1587.2</v>
      </c>
    </row>
    <row r="5811">
      <c r="A5811" t="n">
        <v>22393</v>
      </c>
      <c r="B5811" s="16" t="n">
        <v>44511</v>
      </c>
      <c r="C5811" t="inlineStr">
        <is>
          <t>VTA</t>
        </is>
      </c>
      <c r="D5811" t="n">
        <v>31</v>
      </c>
      <c r="E5811">
        <f>IF(D1362&gt;0,VLOOKUP(OPERAC[[#This Row],[COD CART]],[1]!MatrizCortoLargoCyl[#All],3,0),"")</f>
        <v/>
      </c>
      <c r="F5811" t="inlineStr">
        <is>
          <t>IPIX</t>
        </is>
      </c>
      <c r="G5811" t="n">
        <v>1000</v>
      </c>
      <c r="H5811" t="n">
        <v>-109.99</v>
      </c>
      <c r="I5811">
        <f>-H1362/G1362</f>
        <v/>
      </c>
    </row>
    <row r="5812">
      <c r="A5812" t="n">
        <v>22393</v>
      </c>
      <c r="B5812" s="16" t="n">
        <v>44512</v>
      </c>
      <c r="C5812" t="inlineStr">
        <is>
          <t>CPR</t>
        </is>
      </c>
      <c r="D5812" t="n">
        <v>31</v>
      </c>
      <c r="E5812">
        <f>IF(D4611&gt;0,VLOOKUP(OPERAC[[#This Row],[COD CART]],[1]!MatrizCortoLargoCyl[#All],3,0),"")</f>
        <v/>
      </c>
      <c r="F5812" t="inlineStr">
        <is>
          <t>IPIX</t>
        </is>
      </c>
      <c r="G5812" t="n">
        <v>11000</v>
      </c>
      <c r="H5812" t="n">
        <v>-1265.44</v>
      </c>
      <c r="I5812">
        <f>-H4611/G4611</f>
        <v/>
      </c>
    </row>
    <row r="5813">
      <c r="A5813" t="n">
        <v>22393</v>
      </c>
      <c r="B5813" s="16" t="n">
        <v>44536</v>
      </c>
      <c r="C5813" t="inlineStr">
        <is>
          <t>VTA</t>
        </is>
      </c>
      <c r="D5813" t="n">
        <v>43</v>
      </c>
      <c r="E5813">
        <f>IF(D1265&gt;0,VLOOKUP(OPERAC[[#This Row],[COD CART]],[1]!MatrizCortoLargoCyl[#All],3,0),"")</f>
        <v/>
      </c>
      <c r="F5813" t="inlineStr">
        <is>
          <t>HEXO/CYL-PUT/1,00/20-01-23</t>
        </is>
      </c>
      <c r="G5813" t="n">
        <v>200</v>
      </c>
      <c r="H5813">
        <f>-0.1671*OPERAC[[#This Row],[cantidad]]</f>
        <v/>
      </c>
      <c r="I5813">
        <f>-H1265/G1265</f>
        <v/>
      </c>
    </row>
    <row r="5814">
      <c r="A5814" t="n">
        <v>22393</v>
      </c>
      <c r="B5814" s="16" t="n">
        <v>44536</v>
      </c>
      <c r="C5814" t="inlineStr">
        <is>
          <t>VTA</t>
        </is>
      </c>
      <c r="D5814" t="n">
        <v>43</v>
      </c>
      <c r="E5814">
        <f>IF(D1292&gt;0,VLOOKUP(OPERAC[[#This Row],[COD CART]],[1]!MatrizCortoLargoCyl[#All],3,0),"")</f>
        <v/>
      </c>
      <c r="F5814" t="inlineStr">
        <is>
          <t>XSPA/CYL-PUT/1,50/20-01-23</t>
        </is>
      </c>
      <c r="G5814" t="n">
        <v>200</v>
      </c>
      <c r="H5814">
        <f>-0.4462*OPERAC[[#This Row],[cantidad]]</f>
        <v/>
      </c>
      <c r="I5814">
        <f>-H1292/G1292</f>
        <v/>
      </c>
    </row>
    <row r="5815">
      <c r="A5815" t="n">
        <v>22393</v>
      </c>
      <c r="B5815" s="16" t="n">
        <v>44536</v>
      </c>
      <c r="C5815" t="inlineStr">
        <is>
          <t>VTA</t>
        </is>
      </c>
      <c r="D5815" t="n">
        <v>43</v>
      </c>
      <c r="E5815">
        <f>IF(D1618&gt;0,VLOOKUP(OPERAC[[#This Row],[COD CART]],[1]!MatrizCortoLargoCyl[#All],3,0),"")</f>
        <v/>
      </c>
      <c r="F5815" t="inlineStr">
        <is>
          <t>NNDM/CYL-PUT/2,50/19-01-24</t>
        </is>
      </c>
      <c r="G5815" t="n">
        <v>200</v>
      </c>
      <c r="H5815">
        <f>-1.08*OPERAC[[#This Row],[cantidad]]</f>
        <v/>
      </c>
      <c r="I5815">
        <f>-H1618/G1618</f>
        <v/>
      </c>
    </row>
    <row r="5816">
      <c r="A5816" t="n">
        <v>22393</v>
      </c>
      <c r="B5816" s="16" t="n">
        <v>44550</v>
      </c>
      <c r="C5816" t="inlineStr">
        <is>
          <t>CPR</t>
        </is>
      </c>
      <c r="D5816" t="n">
        <v>40</v>
      </c>
      <c r="E5816">
        <f>IF(D4900&gt;0,VLOOKUP(OPERAC[[#This Row],[COD CART]],[1]!MatrizCortoLargoCyl[#All],3,0),"")</f>
        <v/>
      </c>
      <c r="F5816" t="inlineStr">
        <is>
          <t>SMH</t>
        </is>
      </c>
      <c r="G5816" t="n">
        <v>5</v>
      </c>
      <c r="H5816" t="n">
        <v>-1469.8652</v>
      </c>
      <c r="I5816">
        <f>-H4900/G4900</f>
        <v/>
      </c>
      <c r="J5816" s="16" t="n">
        <v>44574</v>
      </c>
      <c r="K5816">
        <f>+OPERAC[[#This Row],[cantidad]]</f>
        <v/>
      </c>
      <c r="L5816">
        <f>+OPERAC[[#This Row],[cantidad venta]]*306.843</f>
        <v/>
      </c>
    </row>
    <row r="5817">
      <c r="A5817" t="n">
        <v>22393</v>
      </c>
      <c r="B5817" s="16" t="n">
        <v>44552</v>
      </c>
      <c r="C5817" t="inlineStr">
        <is>
          <t>VTA</t>
        </is>
      </c>
      <c r="D5817" t="n">
        <v>32</v>
      </c>
      <c r="E5817">
        <f>IF(D5368&gt;0,VLOOKUP(OPERAC[[#This Row],[COD CART]],[1]!MatrizCortoLargoCyl[#All],3,0),"")</f>
        <v/>
      </c>
      <c r="F5817" t="inlineStr">
        <is>
          <t>MX</t>
        </is>
      </c>
      <c r="G5817" t="n">
        <v>100</v>
      </c>
      <c r="H5817">
        <f>-1879.692+38.986+49.6</f>
        <v/>
      </c>
      <c r="I5817">
        <f>-H5368/G5368</f>
        <v/>
      </c>
      <c r="J5817" s="16" t="n">
        <v>44643</v>
      </c>
      <c r="K5817" t="n">
        <v>100</v>
      </c>
      <c r="L5817" t="n">
        <v>1705.916</v>
      </c>
    </row>
    <row r="5818">
      <c r="A5818" t="n">
        <v>22393</v>
      </c>
      <c r="B5818" s="16" t="n">
        <v>44552</v>
      </c>
      <c r="C5818" t="inlineStr">
        <is>
          <t>VTA</t>
        </is>
      </c>
      <c r="D5818" t="n">
        <v>32</v>
      </c>
      <c r="E5818">
        <f>IF(D5388&gt;0,VLOOKUP(OPERAC[[#This Row],[COD CART]],[1]!MatrizCortoLargoCyl[#All],3,0),"")</f>
        <v/>
      </c>
      <c r="F5818" t="inlineStr">
        <is>
          <t>GOLD/CYL/19,00/21-01-22</t>
        </is>
      </c>
      <c r="G5818" t="n">
        <v>100</v>
      </c>
      <c r="H5818">
        <f>-18.08*OPERAC[[#This Row],[cantidad]]</f>
        <v/>
      </c>
      <c r="I5818">
        <f>-H5388/G5388</f>
        <v/>
      </c>
      <c r="J5818" s="16" t="n">
        <v>44580</v>
      </c>
      <c r="K5818" t="n">
        <v>100</v>
      </c>
      <c r="L5818" t="n">
        <v>1876.846</v>
      </c>
    </row>
    <row r="5819">
      <c r="A5819" t="n">
        <v>22393</v>
      </c>
      <c r="B5819" s="16" t="n">
        <v>44553</v>
      </c>
      <c r="C5819" t="inlineStr">
        <is>
          <t>VTA</t>
        </is>
      </c>
      <c r="D5819" t="n">
        <v>40</v>
      </c>
      <c r="E5819">
        <f>IF(D2107&gt;0,VLOOKUP(OPERAC[[#This Row],[COD CART]],[1]!MatrizCortoLargoCyl[#All],3,0),"")</f>
        <v/>
      </c>
      <c r="F5819" t="inlineStr">
        <is>
          <t>ON</t>
        </is>
      </c>
      <c r="G5819" t="n">
        <v>5</v>
      </c>
      <c r="H5819" t="n">
        <v>-335.56804</v>
      </c>
      <c r="I5819">
        <f>-H2107/G2107</f>
        <v/>
      </c>
    </row>
    <row r="5820">
      <c r="A5820" t="n">
        <v>22393</v>
      </c>
      <c r="B5820" s="16" t="n">
        <v>44558</v>
      </c>
      <c r="C5820" t="inlineStr">
        <is>
          <t>VTA</t>
        </is>
      </c>
      <c r="D5820" t="n">
        <v>40</v>
      </c>
      <c r="E5820">
        <f>IF(D1954&gt;0,VLOOKUP(OPERAC[[#This Row],[COD CART]],[1]!MatrizCortoLargoCyl[#All],3,0),"")</f>
        <v/>
      </c>
      <c r="F5820" t="inlineStr">
        <is>
          <t>UPST</t>
        </is>
      </c>
      <c r="G5820" t="n">
        <v>2</v>
      </c>
      <c r="H5820" t="n">
        <v>-301.2004</v>
      </c>
      <c r="I5820">
        <f>-H1954/G1954</f>
        <v/>
      </c>
      <c r="J5820" s="16" t="n">
        <v>44606</v>
      </c>
      <c r="K5820">
        <f>+OPERAC[[#This Row],[cantidad]]</f>
        <v/>
      </c>
      <c r="L5820">
        <f>+OPERAC[[#This Row],[cantidad venta]]*98.994</f>
        <v/>
      </c>
    </row>
    <row r="5821">
      <c r="A5821" t="n">
        <v>22393</v>
      </c>
      <c r="B5821" s="16" t="n">
        <v>44586</v>
      </c>
      <c r="C5821" t="inlineStr">
        <is>
          <t>VTA</t>
        </is>
      </c>
      <c r="D5821" t="n">
        <v>43</v>
      </c>
      <c r="E5821">
        <f>IF(D1326&gt;0,VLOOKUP(OPERAC[[#This Row],[COD CART]],[1]!MatrizCortoLargoCyl[#All],3,0),"")</f>
        <v/>
      </c>
      <c r="F5821" t="inlineStr">
        <is>
          <t>GMBL/CYL-PUT/2,50/20-01-23</t>
        </is>
      </c>
      <c r="G5821" t="n">
        <v>100</v>
      </c>
      <c r="H5821" t="n">
        <v>-101.6063</v>
      </c>
      <c r="I5821">
        <f>-H1326/G1326</f>
        <v/>
      </c>
      <c r="J5821" s="16" t="n">
        <v>44638</v>
      </c>
      <c r="K5821" t="n">
        <v>100</v>
      </c>
      <c r="L5821" t="n">
        <v>-127.44</v>
      </c>
    </row>
    <row r="5822">
      <c r="A5822" t="n">
        <v>22393</v>
      </c>
      <c r="B5822" s="16" t="n">
        <v>44594</v>
      </c>
      <c r="C5822" t="inlineStr">
        <is>
          <t>VTA</t>
        </is>
      </c>
      <c r="D5822" t="n">
        <v>40</v>
      </c>
      <c r="E5822">
        <f>IF(D5517&gt;0,VLOOKUP(OPERAC[[#This Row],[COD CART]],[1]!MatrizCortoLargoCyl[#All],3,0),"")</f>
        <v/>
      </c>
      <c r="F5822" t="inlineStr">
        <is>
          <t>EDU</t>
        </is>
      </c>
      <c r="G5822" t="n">
        <v>100</v>
      </c>
      <c r="H5822" t="n">
        <v>-2016</v>
      </c>
      <c r="I5822">
        <f>-H5517/G5517</f>
        <v/>
      </c>
      <c r="J5822" s="16" t="n">
        <v>44683</v>
      </c>
      <c r="K5822" t="n">
        <v>100</v>
      </c>
      <c r="L5822">
        <f>+OPERAC[[#This Row],[cantidad venta]]*12.86</f>
        <v/>
      </c>
    </row>
    <row r="5823">
      <c r="A5823" t="n">
        <v>22393</v>
      </c>
      <c r="B5823" s="16" t="n">
        <v>44608</v>
      </c>
      <c r="C5823" t="inlineStr">
        <is>
          <t>VTA</t>
        </is>
      </c>
      <c r="D5823" t="n">
        <v>32</v>
      </c>
      <c r="E5823">
        <f>IF(D5122&gt;0,VLOOKUP(OPERAC[[#This Row],[COD CART]],[1]!MatrizCortoLargoCyl[#All],3,0),"")</f>
        <v/>
      </c>
      <c r="F5823" t="inlineStr">
        <is>
          <t>DDD/CYL/17,00/01-04-22</t>
        </is>
      </c>
      <c r="G5823" t="n">
        <v>100</v>
      </c>
      <c r="H5823">
        <f>-1629.4234+19.7+16.45</f>
        <v/>
      </c>
      <c r="I5823">
        <f>-H5122/G5122</f>
        <v/>
      </c>
      <c r="J5823" s="16" t="n">
        <v>44649</v>
      </c>
      <c r="K5823" t="n">
        <v>100</v>
      </c>
      <c r="L5823" t="n">
        <v>1661.98</v>
      </c>
    </row>
    <row r="5824">
      <c r="A5824" t="n">
        <v>22393</v>
      </c>
      <c r="B5824" s="16" t="n">
        <v>44614</v>
      </c>
      <c r="C5824" t="inlineStr">
        <is>
          <t>VTA</t>
        </is>
      </c>
      <c r="D5824" t="n">
        <v>39</v>
      </c>
      <c r="E5824">
        <f>IF(D1192&gt;0,VLOOKUP(OPERAC[[#This Row],[COD CART]],[1]!MatrizCortoLargoCyl[#All],3,0),"")</f>
        <v/>
      </c>
      <c r="F5824" t="inlineStr">
        <is>
          <t>GGAL/V/7,50/20-01-23</t>
        </is>
      </c>
      <c r="G5824" t="n">
        <v>-10</v>
      </c>
      <c r="H5824" t="n">
        <v>9.92</v>
      </c>
      <c r="I5824">
        <f>-H1192/G1192</f>
        <v/>
      </c>
    </row>
    <row r="5825">
      <c r="A5825" t="n">
        <v>22393</v>
      </c>
      <c r="B5825" s="16" t="n">
        <v>44616</v>
      </c>
      <c r="C5825" t="inlineStr">
        <is>
          <t>CPR</t>
        </is>
      </c>
      <c r="D5825" t="n">
        <v>32</v>
      </c>
      <c r="E5825">
        <f>IF(D4330&gt;0,VLOOKUP(OPERAC[[#This Row],[COD CART]],[1]!MatrizCortoLargoCyl[#All],3,0),"")</f>
        <v/>
      </c>
      <c r="F5825" t="inlineStr">
        <is>
          <t>PLTR/CYL/12,00/14-04-22</t>
        </is>
      </c>
      <c r="G5825" t="n">
        <v>100</v>
      </c>
      <c r="H5825" t="n">
        <v>-1052.7265</v>
      </c>
      <c r="I5825">
        <f>-H4330/G4330</f>
        <v/>
      </c>
      <c r="J5825" s="16" t="n">
        <v>44643</v>
      </c>
      <c r="K5825" t="n">
        <v>100</v>
      </c>
      <c r="L5825" t="n">
        <v>1146.72</v>
      </c>
    </row>
    <row r="5826">
      <c r="A5826" t="n">
        <v>22393</v>
      </c>
      <c r="B5826" s="16" t="n">
        <v>44622</v>
      </c>
      <c r="C5826" t="inlineStr">
        <is>
          <t>CPR</t>
        </is>
      </c>
      <c r="D5826" t="n">
        <v>32</v>
      </c>
      <c r="E5826">
        <f>IF(D2588&gt;0,VLOOKUP(OPERAC[[#This Row],[COD CART]],[1]!MatrizCortoLargoCyl[#All],3,0),"")</f>
        <v/>
      </c>
      <c r="F5826" t="inlineStr">
        <is>
          <t>HMY/CYL/5,00/18-03-22</t>
        </is>
      </c>
      <c r="G5826" t="n">
        <v>100</v>
      </c>
      <c r="H5826" t="n">
        <v>-468.532</v>
      </c>
      <c r="I5826">
        <f>-H2588/G2588</f>
        <v/>
      </c>
      <c r="J5826" s="16" t="n">
        <v>44637</v>
      </c>
      <c r="K5826">
        <f>+OPERAC[[#This Row],[cantidad]]</f>
        <v/>
      </c>
      <c r="L5826">
        <f>4.85553*OPERAC[[#This Row],[cantidad venta]]</f>
        <v/>
      </c>
    </row>
    <row r="5827">
      <c r="A5827" t="n">
        <v>22393</v>
      </c>
      <c r="B5827" s="16" t="n">
        <v>44622</v>
      </c>
      <c r="C5827" t="inlineStr">
        <is>
          <t>CPR</t>
        </is>
      </c>
      <c r="D5827" t="n">
        <v>32</v>
      </c>
      <c r="E5827">
        <f>IF(D4886&gt;0,VLOOKUP(OPERAC[[#This Row],[COD CART]],[1]!MatrizCortoLargoCyl[#All],3,0),"")</f>
        <v/>
      </c>
      <c r="F5827" t="inlineStr">
        <is>
          <t>AMC/CYL/16,00/14-04-22</t>
        </is>
      </c>
      <c r="G5827" t="n">
        <v>100</v>
      </c>
      <c r="H5827" t="n">
        <v>-1460.8686</v>
      </c>
      <c r="I5827">
        <f>-H4886/G4886</f>
        <v/>
      </c>
      <c r="J5827" s="16" t="n">
        <v>44648</v>
      </c>
      <c r="K5827">
        <f>+OPERAC[[#This Row],[cantidad]]</f>
        <v/>
      </c>
      <c r="L5827" t="n">
        <v>1581.776</v>
      </c>
    </row>
    <row r="5828">
      <c r="A5828" t="n">
        <v>22393</v>
      </c>
      <c r="B5828" s="16" t="n">
        <v>44622</v>
      </c>
      <c r="C5828" t="inlineStr">
        <is>
          <t>VTA</t>
        </is>
      </c>
      <c r="D5828" t="n">
        <v>32</v>
      </c>
      <c r="E5828">
        <f>IF(D5430&gt;0,VLOOKUP(OPERAC[[#This Row],[COD CART]],[1]!MatrizCortoLargoCyl[#All],3,0),"")</f>
        <v/>
      </c>
      <c r="F5828" t="inlineStr">
        <is>
          <t>SABR/CYL/10,00/14-04-22</t>
        </is>
      </c>
      <c r="G5828" t="n">
        <v>200</v>
      </c>
      <c r="H5828" t="n">
        <v>-1857.9696</v>
      </c>
      <c r="I5828">
        <f>-H5430/G5430</f>
        <v/>
      </c>
      <c r="J5828" s="16" t="n">
        <v>44649</v>
      </c>
      <c r="K5828" t="n">
        <v>200</v>
      </c>
      <c r="L5828" t="n">
        <v>1964.236</v>
      </c>
    </row>
    <row r="5829">
      <c r="A5829" t="n">
        <v>22393</v>
      </c>
      <c r="B5829" s="16" t="n">
        <v>44628</v>
      </c>
      <c r="C5829" t="inlineStr">
        <is>
          <t>CPR</t>
        </is>
      </c>
      <c r="D5829" t="n">
        <v>32</v>
      </c>
      <c r="E5829">
        <f>IF(D3437&gt;0,VLOOKUP(OPERAC[[#This Row],[COD CART]],[1]!MatrizCortoLargoCyl[#All],3,0),"")</f>
        <v/>
      </c>
      <c r="F5829" t="inlineStr">
        <is>
          <t>COTY/CYL/8,00/18-03-22</t>
        </is>
      </c>
      <c r="G5829" t="n">
        <v>100</v>
      </c>
      <c r="H5829" t="n">
        <v>-748.322</v>
      </c>
      <c r="I5829">
        <f>-H3437/G3437</f>
        <v/>
      </c>
      <c r="J5829" s="16" t="n">
        <v>44638</v>
      </c>
      <c r="K5829" t="n">
        <v>100</v>
      </c>
      <c r="L5829" t="n">
        <v>793.6</v>
      </c>
    </row>
    <row r="5830">
      <c r="A5830" t="n">
        <v>22393</v>
      </c>
      <c r="B5830" s="16" t="n">
        <v>44628</v>
      </c>
      <c r="C5830" t="inlineStr">
        <is>
          <t>CPR</t>
        </is>
      </c>
      <c r="D5830" t="n">
        <v>32</v>
      </c>
      <c r="E5830">
        <f>IF(D4767&gt;0,VLOOKUP(OPERAC[[#This Row],[COD CART]],[1]!MatrizCortoLargoCyl[#All],3,0),"")</f>
        <v/>
      </c>
      <c r="F5830" t="inlineStr">
        <is>
          <t>BIOX</t>
        </is>
      </c>
      <c r="G5830" t="n">
        <v>100</v>
      </c>
      <c r="H5830" t="n">
        <v>-1381.518</v>
      </c>
      <c r="I5830">
        <f>-H4767/G4767</f>
        <v/>
      </c>
      <c r="J5830" s="16" t="n">
        <v>44707</v>
      </c>
      <c r="K5830" t="n">
        <v>100</v>
      </c>
      <c r="L5830" t="n">
        <v>1405.803</v>
      </c>
    </row>
    <row r="5831">
      <c r="A5831" t="n">
        <v>22393</v>
      </c>
      <c r="B5831" s="16" t="n">
        <v>44628</v>
      </c>
      <c r="C5831" t="inlineStr">
        <is>
          <t>VTA</t>
        </is>
      </c>
      <c r="D5831" t="n">
        <v>31</v>
      </c>
      <c r="E5831">
        <f>IF(D5273&gt;0,VLOOKUP(OPERAC[[#This Row],[COD CART]],[1]!MatrizCortoLargoCyl[#All],3,0),"")</f>
        <v/>
      </c>
      <c r="F5831" t="inlineStr">
        <is>
          <t>YPF</t>
        </is>
      </c>
      <c r="G5831" t="n">
        <v>400</v>
      </c>
      <c r="H5831" t="n">
        <v>-1709.552</v>
      </c>
      <c r="I5831">
        <f>-H5273/G5273</f>
        <v/>
      </c>
    </row>
    <row r="5832">
      <c r="A5832" t="n">
        <v>22393</v>
      </c>
      <c r="B5832" s="16" t="n">
        <v>44630</v>
      </c>
      <c r="C5832" t="inlineStr">
        <is>
          <t>CPR</t>
        </is>
      </c>
      <c r="D5832" t="n">
        <v>32</v>
      </c>
      <c r="E5832">
        <f>IF(D3390&gt;0,VLOOKUP(OPERAC[[#This Row],[COD CART]],[1]!MatrizCortoLargoCyl[#All],3,0),"")</f>
        <v/>
      </c>
      <c r="F5832" t="inlineStr">
        <is>
          <t>CRESY/CYL/7,50/18-03-22</t>
        </is>
      </c>
      <c r="G5832" t="n">
        <v>100</v>
      </c>
      <c r="H5832" t="n">
        <v>-715.1180000000001</v>
      </c>
      <c r="I5832">
        <f>-H3390/G3390</f>
        <v/>
      </c>
      <c r="J5832" s="16" t="n">
        <v>44638</v>
      </c>
      <c r="K5832" t="n">
        <v>100</v>
      </c>
      <c r="L5832" t="n">
        <v>744</v>
      </c>
    </row>
    <row r="5833">
      <c r="A5833" t="n">
        <v>22393</v>
      </c>
      <c r="B5833" s="16" t="n">
        <v>44634</v>
      </c>
      <c r="C5833" t="inlineStr">
        <is>
          <t>CPR</t>
        </is>
      </c>
      <c r="D5833" t="n">
        <v>31</v>
      </c>
      <c r="E5833">
        <f>IF(D3613&gt;0,VLOOKUP(OPERAC[[#This Row],[COD CART]],[1]!MatrizCortoLargoCyl[#All],3,0),"")</f>
        <v/>
      </c>
      <c r="F5833" t="inlineStr">
        <is>
          <t>CRESY</t>
        </is>
      </c>
      <c r="G5833" t="n">
        <v>100</v>
      </c>
      <c r="H5833" t="n">
        <v>-782.2</v>
      </c>
      <c r="I5833">
        <f>-H3613/G3613</f>
        <v/>
      </c>
      <c r="J5833" s="16" t="n">
        <v>44673</v>
      </c>
      <c r="K5833" t="n">
        <v>100</v>
      </c>
      <c r="L5833">
        <f>+OPERAC[[#This Row],[cantidad venta]]*8.588</f>
        <v/>
      </c>
    </row>
    <row r="5834">
      <c r="A5834" t="n">
        <v>22393</v>
      </c>
      <c r="B5834" s="16" t="n">
        <v>44634</v>
      </c>
      <c r="C5834" t="inlineStr">
        <is>
          <t>VTA</t>
        </is>
      </c>
      <c r="D5834" t="n">
        <v>31</v>
      </c>
      <c r="E5834">
        <f>IF(D2492&gt;0,VLOOKUP(OPERAC[[#This Row],[COD CART]],[1]!MatrizCortoLargoCyl[#All],3,0),"")</f>
        <v/>
      </c>
      <c r="F5834" t="inlineStr">
        <is>
          <t>YPF</t>
        </is>
      </c>
      <c r="G5834" t="n">
        <v>100</v>
      </c>
      <c r="H5834" t="n">
        <v>-453.088</v>
      </c>
      <c r="I5834">
        <f>-H2492/G2492</f>
        <v/>
      </c>
    </row>
    <row r="5835">
      <c r="A5835" t="n">
        <v>22393</v>
      </c>
      <c r="B5835" s="16" t="n">
        <v>44634</v>
      </c>
      <c r="C5835" t="inlineStr">
        <is>
          <t>VTA</t>
        </is>
      </c>
      <c r="D5835" t="n">
        <v>31</v>
      </c>
      <c r="E5835">
        <f>IF(D5547&gt;0,VLOOKUP(OPERAC[[#This Row],[COD CART]],[1]!MatrizCortoLargoCyl[#All],3,0),"")</f>
        <v/>
      </c>
      <c r="F5835" t="inlineStr">
        <is>
          <t>GGAL</t>
        </is>
      </c>
      <c r="G5835" t="n">
        <v>200</v>
      </c>
      <c r="H5835" t="n">
        <v>-2048.651</v>
      </c>
      <c r="I5835">
        <f>-H5547/G5547</f>
        <v/>
      </c>
    </row>
    <row r="5836">
      <c r="A5836" t="n">
        <v>22393</v>
      </c>
      <c r="B5836" s="16" t="n">
        <v>44638</v>
      </c>
      <c r="C5836" t="inlineStr">
        <is>
          <t>VTA</t>
        </is>
      </c>
      <c r="D5836" t="n">
        <v>31</v>
      </c>
      <c r="E5836">
        <f>IF(D5580&gt;0,VLOOKUP(OPERAC[[#This Row],[COD CART]],[1]!MatrizCortoLargoCyl[#All],3,0),"")</f>
        <v/>
      </c>
      <c r="F5836" t="inlineStr">
        <is>
          <t>QQQ</t>
        </is>
      </c>
      <c r="G5836" t="n">
        <v>6</v>
      </c>
      <c r="H5836" t="n">
        <v>-2109.635</v>
      </c>
      <c r="I5836">
        <f>-H5580/G5580</f>
        <v/>
      </c>
      <c r="J5836" s="16" t="n">
        <v>44657</v>
      </c>
      <c r="K5836" t="n">
        <v>6</v>
      </c>
      <c r="L5836" t="n">
        <v>2100.106</v>
      </c>
    </row>
    <row r="5837">
      <c r="A5837" t="n">
        <v>22393</v>
      </c>
      <c r="B5837" s="16" t="n">
        <v>44641</v>
      </c>
      <c r="C5837" t="inlineStr">
        <is>
          <t>CPR</t>
        </is>
      </c>
      <c r="D5837" t="n">
        <v>32</v>
      </c>
      <c r="E5837">
        <f>IF(D4830&gt;0,VLOOKUP(OPERAC[[#This Row],[COD CART]],[1]!MatrizCortoLargoCyl[#All],3,0),"")</f>
        <v/>
      </c>
      <c r="F5837" t="inlineStr">
        <is>
          <t>CRESY/CYL/7,50/14-04-22</t>
        </is>
      </c>
      <c r="G5837" t="n">
        <v>200</v>
      </c>
      <c r="H5837" t="n">
        <v>-1430.888</v>
      </c>
      <c r="I5837">
        <f>-H4830/G4830</f>
        <v/>
      </c>
      <c r="J5837" s="16" t="n">
        <v>44665</v>
      </c>
      <c r="K5837" t="n">
        <v>200</v>
      </c>
      <c r="L5837" t="n">
        <v>1488</v>
      </c>
    </row>
    <row r="5838">
      <c r="A5838" t="n">
        <v>22393</v>
      </c>
      <c r="B5838" s="16" t="n">
        <v>44641</v>
      </c>
      <c r="C5838" t="inlineStr">
        <is>
          <t>VTA</t>
        </is>
      </c>
      <c r="D5838" t="n">
        <v>43</v>
      </c>
      <c r="E5838">
        <f>IF(D1391&gt;0,VLOOKUP(OPERAC[[#This Row],[COD CART]],[1]!MatrizCortoLargoCyl[#All],3,0),"")</f>
        <v/>
      </c>
      <c r="F5838" t="inlineStr">
        <is>
          <t>GMBL/CYL-PUT/1,00/20-01-23</t>
        </is>
      </c>
      <c r="G5838" t="n">
        <v>500</v>
      </c>
      <c r="H5838" t="n">
        <v>-137.307</v>
      </c>
      <c r="I5838">
        <f>-H1391/G1391</f>
        <v/>
      </c>
    </row>
    <row r="5839">
      <c r="A5839" t="n">
        <v>22393</v>
      </c>
      <c r="B5839" s="16" t="n">
        <v>44641</v>
      </c>
      <c r="C5839" t="inlineStr">
        <is>
          <t>VTA</t>
        </is>
      </c>
      <c r="D5839" t="n">
        <v>32</v>
      </c>
      <c r="E5839">
        <f>IF(D5316&gt;0,VLOOKUP(OPERAC[[#This Row],[COD CART]],[1]!MatrizCortoLargoCyl[#All],3,0),"")</f>
        <v/>
      </c>
      <c r="F5839" t="inlineStr">
        <is>
          <t>COTY</t>
        </is>
      </c>
      <c r="G5839" t="n">
        <v>200</v>
      </c>
      <c r="H5839">
        <f>-1778.104+50.184</f>
        <v/>
      </c>
      <c r="I5839">
        <f>-H5316/G5316</f>
        <v/>
      </c>
    </row>
    <row r="5840">
      <c r="A5840" t="n">
        <v>22393</v>
      </c>
      <c r="B5840" s="16" t="n">
        <v>44643</v>
      </c>
      <c r="C5840" t="inlineStr">
        <is>
          <t>VTA</t>
        </is>
      </c>
      <c r="D5840" t="n">
        <v>32</v>
      </c>
      <c r="E5840">
        <f>IF(D5178&gt;0,VLOOKUP(OPERAC[[#This Row],[COD CART]],[1]!MatrizCortoLargoCyl[#All],3,0),"")</f>
        <v/>
      </c>
      <c r="F5840" t="inlineStr">
        <is>
          <t>AAL/CYL/18,00/14-04-22</t>
        </is>
      </c>
      <c r="G5840" t="n">
        <v>100</v>
      </c>
      <c r="H5840" t="n">
        <v>-1619.461</v>
      </c>
      <c r="I5840">
        <f>-H5178/G5178</f>
        <v/>
      </c>
      <c r="J5840" s="16" t="n">
        <v>44652</v>
      </c>
      <c r="K5840">
        <f>+OPERAC[[#This Row],[cantidad]]</f>
        <v/>
      </c>
      <c r="L5840" t="n">
        <v>1731.356</v>
      </c>
    </row>
    <row r="5841">
      <c r="A5841" t="n">
        <v>22393</v>
      </c>
      <c r="B5841" s="16" t="n">
        <v>44648</v>
      </c>
      <c r="C5841" t="inlineStr">
        <is>
          <t>VTA</t>
        </is>
      </c>
      <c r="D5841" t="n">
        <v>32</v>
      </c>
      <c r="E5841">
        <f>IF(D5173&gt;0,VLOOKUP(OPERAC[[#This Row],[COD CART]],[1]!MatrizCortoLargoCyl[#All],3,0),"")</f>
        <v/>
      </c>
      <c r="F5841" t="inlineStr">
        <is>
          <t>F</t>
        </is>
      </c>
      <c r="G5841" t="n">
        <v>100</v>
      </c>
      <c r="H5841" t="n">
        <v>-1616.534</v>
      </c>
      <c r="I5841">
        <f>-H5173/G5173</f>
        <v/>
      </c>
    </row>
    <row r="5842">
      <c r="A5842" t="n">
        <v>22393</v>
      </c>
      <c r="B5842" s="16" t="n">
        <v>44649</v>
      </c>
      <c r="C5842" t="inlineStr">
        <is>
          <t>CPR</t>
        </is>
      </c>
      <c r="D5842" t="n">
        <v>32</v>
      </c>
      <c r="E5842">
        <f>IF(D4846&gt;0,VLOOKUP(OPERAC[[#This Row],[COD CART]],[1]!MatrizCortoLargoCyl[#All],3,0),"")</f>
        <v/>
      </c>
      <c r="F5842" t="inlineStr">
        <is>
          <t>DDD</t>
        </is>
      </c>
      <c r="G5842" t="n">
        <v>100</v>
      </c>
      <c r="H5842" t="n">
        <v>-1439.859</v>
      </c>
      <c r="I5842">
        <f>-H4846/G4846</f>
        <v/>
      </c>
    </row>
    <row r="5843">
      <c r="A5843" t="n">
        <v>22393</v>
      </c>
      <c r="B5843" s="16" t="n">
        <v>44649</v>
      </c>
      <c r="C5843" t="inlineStr">
        <is>
          <t>VTA</t>
        </is>
      </c>
      <c r="D5843" t="n">
        <v>32</v>
      </c>
      <c r="E5843">
        <f>IF(D5018&gt;0,VLOOKUP(OPERAC[[#This Row],[COD CART]],[1]!MatrizCortoLargoCyl[#All],3,0),"")</f>
        <v/>
      </c>
      <c r="F5843" t="inlineStr">
        <is>
          <t>LIND</t>
        </is>
      </c>
      <c r="G5843" t="n">
        <v>100</v>
      </c>
      <c r="H5843" t="n">
        <v>-1545.764</v>
      </c>
      <c r="I5843">
        <f>-H5018/G5018</f>
        <v/>
      </c>
      <c r="J5843" s="16" t="n">
        <v>44656</v>
      </c>
      <c r="K5843" t="n">
        <v>100</v>
      </c>
      <c r="L5843">
        <f>+OPERAC[[#This Row],[cantidad venta]]*15.682</f>
        <v/>
      </c>
    </row>
    <row r="5844">
      <c r="A5844" t="n">
        <v>22393</v>
      </c>
      <c r="B5844" s="16" t="n">
        <v>44652</v>
      </c>
      <c r="C5844" t="inlineStr">
        <is>
          <t>VTA</t>
        </is>
      </c>
      <c r="D5844" t="n">
        <v>41</v>
      </c>
      <c r="E5844">
        <f>IF(D3956&gt;0,VLOOKUP(OPERAC[[#This Row],[COD CART]],[1]!MatrizCortoLargoCyl[#All],3,0),"")</f>
        <v/>
      </c>
      <c r="F5844" t="inlineStr">
        <is>
          <t>SATL</t>
        </is>
      </c>
      <c r="G5844" t="n">
        <v>100</v>
      </c>
      <c r="H5844" t="n">
        <v>-890.064</v>
      </c>
      <c r="I5844">
        <f>-H3956/G3956</f>
        <v/>
      </c>
      <c r="J5844" s="16" t="n">
        <v>44657</v>
      </c>
      <c r="K5844" t="n">
        <v>100</v>
      </c>
      <c r="L5844" t="n">
        <v>910.628</v>
      </c>
    </row>
    <row r="5845">
      <c r="A5845" t="n">
        <v>22393</v>
      </c>
      <c r="B5845" s="16" t="n">
        <v>44656</v>
      </c>
      <c r="C5845" t="inlineStr">
        <is>
          <t>CPR</t>
        </is>
      </c>
      <c r="D5845" t="n">
        <v>32</v>
      </c>
      <c r="E5845">
        <f>IF(D2664&gt;0,VLOOKUP(OPERAC[[#This Row],[COD CART]],[1]!MatrizCortoLargoCyl[#All],3,0),"")</f>
        <v/>
      </c>
      <c r="F5845" t="inlineStr">
        <is>
          <t>HMY</t>
        </is>
      </c>
      <c r="G5845" t="n">
        <v>100</v>
      </c>
      <c r="H5845" t="n">
        <v>-487.753</v>
      </c>
      <c r="I5845">
        <f>-H2664/G2664</f>
        <v/>
      </c>
      <c r="J5845" s="16" t="n">
        <v>44669</v>
      </c>
      <c r="K5845">
        <f>+OPERAC[[#This Row],[cantidad]]</f>
        <v/>
      </c>
      <c r="L5845">
        <f>4.925*OPERAC[[#This Row],[cantidad venta]]</f>
        <v/>
      </c>
    </row>
    <row r="5846">
      <c r="A5846" t="n">
        <v>22393</v>
      </c>
      <c r="B5846" s="16" t="n">
        <v>44656</v>
      </c>
      <c r="C5846" t="inlineStr">
        <is>
          <t>CPR</t>
        </is>
      </c>
      <c r="D5846" t="n">
        <v>42</v>
      </c>
      <c r="E5846">
        <f>IF(D2782&gt;0,VLOOKUP(OPERAC[[#This Row],[COD CART]],[1]!MatrizCortoLargoCyl[#All],3,0),"")</f>
        <v/>
      </c>
      <c r="F5846" t="inlineStr">
        <is>
          <t>HYDR</t>
        </is>
      </c>
      <c r="G5846" t="n">
        <v>25</v>
      </c>
      <c r="H5846" t="n">
        <v>-513.4884999999999</v>
      </c>
      <c r="I5846">
        <f>-H2782/G2782</f>
        <v/>
      </c>
    </row>
    <row r="5847">
      <c r="A5847" t="n">
        <v>22393</v>
      </c>
      <c r="B5847" s="16" t="n">
        <v>44656</v>
      </c>
      <c r="C5847" t="inlineStr">
        <is>
          <t>CPR</t>
        </is>
      </c>
      <c r="D5847" t="n">
        <v>32</v>
      </c>
      <c r="E5847">
        <f>IF(D4068&gt;0,VLOOKUP(OPERAC[[#This Row],[COD CART]],[1]!MatrizCortoLargoCyl[#All],3,0),"")</f>
        <v/>
      </c>
      <c r="F5847" t="inlineStr">
        <is>
          <t>HIMX/CYL/10,00/10-06-22</t>
        </is>
      </c>
      <c r="G5847" t="n">
        <v>100</v>
      </c>
      <c r="H5847">
        <f>-955.798+24.788</f>
        <v/>
      </c>
      <c r="I5847">
        <f>-H4068/G4068</f>
        <v/>
      </c>
      <c r="J5847" s="16" t="n">
        <v>44721</v>
      </c>
      <c r="K5847" t="n">
        <v>100</v>
      </c>
      <c r="L5847" t="n">
        <v>985</v>
      </c>
    </row>
    <row r="5848">
      <c r="A5848" t="n">
        <v>22393</v>
      </c>
      <c r="B5848" s="16" t="n">
        <v>44656</v>
      </c>
      <c r="C5848" t="inlineStr">
        <is>
          <t>CPR</t>
        </is>
      </c>
      <c r="D5848" t="n">
        <v>32</v>
      </c>
      <c r="E5848">
        <f>IF(D4536&gt;0,VLOOKUP(OPERAC[[#This Row],[COD CART]],[1]!MatrizCortoLargoCyl[#All],3,0),"")</f>
        <v/>
      </c>
      <c r="F5848" t="inlineStr">
        <is>
          <t>DOLE</t>
        </is>
      </c>
      <c r="G5848" t="n">
        <v>100</v>
      </c>
      <c r="H5848">
        <f>-1290.74+88.589</f>
        <v/>
      </c>
      <c r="I5848">
        <f>-H4536/G4536</f>
        <v/>
      </c>
    </row>
    <row r="5849">
      <c r="A5849" t="n">
        <v>22393</v>
      </c>
      <c r="B5849" s="16" t="n">
        <v>44656</v>
      </c>
      <c r="C5849" t="inlineStr">
        <is>
          <t>VTA</t>
        </is>
      </c>
      <c r="D5849" t="n">
        <v>32</v>
      </c>
      <c r="E5849">
        <f>IF(D5250&gt;0,VLOOKUP(OPERAC[[#This Row],[COD CART]],[1]!MatrizCortoLargoCyl[#All],3,0),"")</f>
        <v/>
      </c>
      <c r="F5849" t="inlineStr">
        <is>
          <t>FAZ/CYL/18,00/20-05-22</t>
        </is>
      </c>
      <c r="G5849" t="n">
        <v>100</v>
      </c>
      <c r="H5849" t="n">
        <v>-1682.66</v>
      </c>
      <c r="I5849">
        <f>-H5250/G5250</f>
        <v/>
      </c>
      <c r="J5849" s="16" t="n">
        <v>44673</v>
      </c>
      <c r="K5849" t="n">
        <v>100</v>
      </c>
      <c r="L5849" t="n">
        <v>1746.07</v>
      </c>
    </row>
    <row r="5850">
      <c r="A5850" t="n">
        <v>22393</v>
      </c>
      <c r="B5850" s="16" t="n">
        <v>44658</v>
      </c>
      <c r="C5850" t="inlineStr">
        <is>
          <t>CPR</t>
        </is>
      </c>
      <c r="D5850" t="n">
        <v>41</v>
      </c>
      <c r="E5850">
        <f>IF(D4399&gt;0,VLOOKUP(OPERAC[[#This Row],[COD CART]],[1]!MatrizCortoLargoCyl[#All],3,0),"")</f>
        <v/>
      </c>
      <c r="F5850" t="inlineStr">
        <is>
          <t>SQQQ</t>
        </is>
      </c>
      <c r="G5850" t="n">
        <v>30</v>
      </c>
      <c r="H5850" t="n">
        <v>-1102.038</v>
      </c>
      <c r="I5850">
        <f>-H4399/G4399</f>
        <v/>
      </c>
      <c r="J5850" s="16" t="n">
        <v>44663</v>
      </c>
      <c r="K5850" t="n">
        <v>30</v>
      </c>
      <c r="L5850" t="n">
        <v>1136.931</v>
      </c>
    </row>
    <row r="5851">
      <c r="A5851" t="n">
        <v>22393</v>
      </c>
      <c r="B5851" s="16" t="n">
        <v>44663</v>
      </c>
      <c r="C5851" t="inlineStr">
        <is>
          <t>CPR</t>
        </is>
      </c>
      <c r="D5851" t="n">
        <v>32</v>
      </c>
      <c r="E5851">
        <f>IF(D3318&gt;0,VLOOKUP(OPERAC[[#This Row],[COD CART]],[1]!MatrizCortoLargoCyl[#All],3,0),"")</f>
        <v/>
      </c>
      <c r="F5851" t="inlineStr">
        <is>
          <t>PCT/CYL/7,50/20-05-22</t>
        </is>
      </c>
      <c r="G5851" t="n">
        <v>100</v>
      </c>
      <c r="H5851" t="n">
        <v>-691.124</v>
      </c>
      <c r="I5851">
        <f>-H3318/G3318</f>
        <v/>
      </c>
      <c r="J5851" s="16" t="n">
        <v>44698</v>
      </c>
      <c r="K5851">
        <f>+OPERAC[[#This Row],[cantidad]]</f>
        <v/>
      </c>
      <c r="L5851">
        <f>7.3616*OPERAC[[#This Row],[cantidad venta]]</f>
        <v/>
      </c>
    </row>
    <row r="5852">
      <c r="A5852" t="n">
        <v>22393</v>
      </c>
      <c r="B5852" s="16" t="n">
        <v>44665</v>
      </c>
      <c r="C5852" t="inlineStr">
        <is>
          <t>CPR</t>
        </is>
      </c>
      <c r="D5852" t="n">
        <v>41</v>
      </c>
      <c r="E5852">
        <f>IF(D4361&gt;0,VLOOKUP(OPERAC[[#This Row],[COD CART]],[1]!MatrizCortoLargoCyl[#All],3,0),"")</f>
        <v/>
      </c>
      <c r="F5852" t="inlineStr">
        <is>
          <t>CRESY</t>
        </is>
      </c>
      <c r="G5852" t="n">
        <v>120</v>
      </c>
      <c r="H5852" t="n">
        <v>-1078</v>
      </c>
      <c r="I5852">
        <f>-H4361/G4361</f>
        <v/>
      </c>
      <c r="J5852" s="16" t="n">
        <v>44673</v>
      </c>
      <c r="K5852" t="n">
        <v>120</v>
      </c>
      <c r="L5852">
        <f>+OPERAC[[#This Row],[cantidad venta]]*8.588</f>
        <v/>
      </c>
    </row>
    <row r="5853">
      <c r="A5853" t="n">
        <v>22393</v>
      </c>
      <c r="B5853" s="16" t="n">
        <v>44669</v>
      </c>
      <c r="C5853" t="inlineStr">
        <is>
          <t>CPR</t>
        </is>
      </c>
      <c r="D5853" t="n">
        <v>32</v>
      </c>
      <c r="E5853">
        <f>IF(D4041&gt;0,VLOOKUP(OPERAC[[#This Row],[COD CART]],[1]!MatrizCortoLargoCyl[#All],3,0),"")</f>
        <v/>
      </c>
      <c r="F5853" t="inlineStr">
        <is>
          <t>HMY</t>
        </is>
      </c>
      <c r="G5853" t="n">
        <v>200</v>
      </c>
      <c r="H5853">
        <f>-4.64*OPERAC[[#This Row],[cantidad]]</f>
        <v/>
      </c>
      <c r="I5853">
        <f>-H4041/G4041</f>
        <v/>
      </c>
    </row>
    <row r="5854">
      <c r="A5854" t="n">
        <v>22393</v>
      </c>
      <c r="B5854" s="16" t="n">
        <v>44670</v>
      </c>
      <c r="C5854" t="inlineStr">
        <is>
          <t>VTA</t>
        </is>
      </c>
      <c r="D5854" t="n">
        <v>41</v>
      </c>
      <c r="E5854">
        <f>IF(D5127&gt;0,VLOOKUP(OPERAC[[#This Row],[COD CART]],[1]!MatrizCortoLargoCyl[#All],3,0),"")</f>
        <v/>
      </c>
      <c r="F5854" t="inlineStr">
        <is>
          <t>HPE/CYL/17,00/17-06-22</t>
        </is>
      </c>
      <c r="G5854" t="n">
        <v>100</v>
      </c>
      <c r="H5854">
        <f>-1613.923+19.87</f>
        <v/>
      </c>
      <c r="I5854">
        <f>-H5127/G5127</f>
        <v/>
      </c>
    </row>
    <row r="5855">
      <c r="A5855" t="n">
        <v>22393</v>
      </c>
      <c r="B5855" s="16" t="n">
        <v>44670</v>
      </c>
      <c r="C5855" t="inlineStr">
        <is>
          <t>VTA</t>
        </is>
      </c>
      <c r="D5855" t="n">
        <v>43</v>
      </c>
      <c r="E5855">
        <f>IF(D5356&gt;0,VLOOKUP(OPERAC[[#This Row],[COD CART]],[1]!MatrizCortoLargoCyl[#All],3,0),"")</f>
        <v/>
      </c>
      <c r="F5855" t="inlineStr">
        <is>
          <t>PCT/CYL-PUT/7,50/20-01-23</t>
        </is>
      </c>
      <c r="G5855" t="n">
        <v>500</v>
      </c>
      <c r="H5855" t="n">
        <v>-1775.657</v>
      </c>
      <c r="I5855">
        <f>-H5356/G5356</f>
        <v/>
      </c>
    </row>
    <row r="5856">
      <c r="A5856" t="n">
        <v>22393</v>
      </c>
      <c r="B5856" s="16" t="n">
        <v>44672</v>
      </c>
      <c r="C5856" t="inlineStr">
        <is>
          <t>CPR</t>
        </is>
      </c>
      <c r="D5856" t="n">
        <v>32</v>
      </c>
      <c r="E5856">
        <f>IF(D4671&gt;0,VLOOKUP(OPERAC[[#This Row],[COD CART]],[1]!MatrizCortoLargoCyl[#All],3,0),"")</f>
        <v/>
      </c>
      <c r="F5856" t="inlineStr">
        <is>
          <t>CLMT</t>
        </is>
      </c>
      <c r="G5856" t="n">
        <v>100</v>
      </c>
      <c r="H5856" t="n">
        <v>-1302.9</v>
      </c>
      <c r="I5856">
        <f>-H4671/G4671</f>
        <v/>
      </c>
    </row>
    <row r="5857">
      <c r="A5857" t="n">
        <v>22393</v>
      </c>
      <c r="B5857" s="16" t="n">
        <v>44683</v>
      </c>
      <c r="C5857" t="inlineStr">
        <is>
          <t>CPR</t>
        </is>
      </c>
      <c r="D5857" t="n">
        <v>39</v>
      </c>
      <c r="E5857">
        <f>IF(D5831&gt;0,VLOOKUP(OPERAC[[#This Row],[COD CART]],[1]!MatrizCortoLargoCyl[#All],3,0),"")</f>
        <v/>
      </c>
      <c r="F5857" t="inlineStr">
        <is>
          <t>BABA/C/75,00/15-07-22</t>
        </is>
      </c>
      <c r="G5857" t="n">
        <v>100</v>
      </c>
      <c r="H5857" t="n">
        <v>-2818.2</v>
      </c>
      <c r="I5857">
        <f>-H5831/G5831</f>
        <v/>
      </c>
      <c r="J5857" s="16" t="n">
        <v>44720</v>
      </c>
      <c r="K5857" t="n">
        <v>100</v>
      </c>
      <c r="L5857" t="n">
        <v>3974</v>
      </c>
    </row>
    <row r="5858">
      <c r="A5858" t="n">
        <v>22393</v>
      </c>
      <c r="B5858" s="16" t="n">
        <v>44684</v>
      </c>
      <c r="C5858" t="inlineStr">
        <is>
          <t>CPR</t>
        </is>
      </c>
      <c r="D5858" t="n">
        <v>40</v>
      </c>
      <c r="E5858">
        <f>IF(D3695&gt;0,VLOOKUP(OPERAC[[#This Row],[COD CART]],[1]!MatrizCortoLargoCyl[#All],3,0),"")</f>
        <v/>
      </c>
      <c r="F5858" t="inlineStr">
        <is>
          <t>INO</t>
        </is>
      </c>
      <c r="G5858" t="n">
        <v>100</v>
      </c>
      <c r="H5858" t="n">
        <v>-833.8</v>
      </c>
      <c r="I5858">
        <f>-H3695/G3695</f>
        <v/>
      </c>
    </row>
    <row r="5859">
      <c r="A5859" t="n">
        <v>22393</v>
      </c>
      <c r="B5859" s="16" t="n">
        <v>44687</v>
      </c>
      <c r="C5859" t="inlineStr">
        <is>
          <t>VTA</t>
        </is>
      </c>
      <c r="D5859" t="n">
        <v>43</v>
      </c>
      <c r="E5859">
        <f>IF(D5160&gt;0,VLOOKUP(OPERAC[[#This Row],[COD CART]],[1]!MatrizCortoLargoCyl[#All],3,0),"")</f>
        <v/>
      </c>
      <c r="F5859" t="inlineStr">
        <is>
          <t>SPWR/CYP/16,50-15,50/20-05-22</t>
        </is>
      </c>
      <c r="G5859" t="n">
        <v>100</v>
      </c>
      <c r="H5859" t="n">
        <v>-1607.83</v>
      </c>
      <c r="I5859">
        <f>-H5160/G5160</f>
        <v/>
      </c>
      <c r="J5859" s="16" t="n">
        <v>44701</v>
      </c>
      <c r="K5859" t="n">
        <v>100</v>
      </c>
      <c r="L5859" t="n">
        <v>1637.55</v>
      </c>
    </row>
    <row r="5860">
      <c r="A5860" t="n">
        <v>22393</v>
      </c>
      <c r="B5860" s="16" t="n">
        <v>44698</v>
      </c>
      <c r="C5860" t="inlineStr">
        <is>
          <t>VTA</t>
        </is>
      </c>
      <c r="D5860" t="n">
        <v>41</v>
      </c>
      <c r="E5860">
        <f>IF(D5625&gt;0,VLOOKUP(OPERAC[[#This Row],[COD CART]],[1]!MatrizCortoLargoCyl[#All],3,0),"")</f>
        <v/>
      </c>
      <c r="F5860" t="inlineStr">
        <is>
          <t>AMZN</t>
        </is>
      </c>
      <c r="G5860" t="n">
        <v>1</v>
      </c>
      <c r="H5860" t="n">
        <v>-2316.057</v>
      </c>
      <c r="I5860">
        <f>-H5625/G5625</f>
        <v/>
      </c>
      <c r="J5860" s="16" t="n">
        <v>44699</v>
      </c>
      <c r="K5860" t="n">
        <v>1</v>
      </c>
      <c r="L5860" t="n">
        <v>2183.66</v>
      </c>
    </row>
    <row r="5861">
      <c r="A5861" t="n">
        <v>22393</v>
      </c>
      <c r="B5861" s="16" t="n">
        <v>44704</v>
      </c>
      <c r="C5861" t="inlineStr">
        <is>
          <t>VTA</t>
        </is>
      </c>
      <c r="D5861" t="n">
        <v>41</v>
      </c>
      <c r="E5861">
        <f>IF(D1142&gt;0,VLOOKUP(OPERAC[[#This Row],[COD CART]],[1]!MatrizCortoLargoCyl[#All],3,0),"")</f>
        <v/>
      </c>
      <c r="F5861" t="inlineStr">
        <is>
          <t>KWEB/P/25,00/17-06-22</t>
        </is>
      </c>
      <c r="G5861" t="n">
        <v>-100</v>
      </c>
      <c r="H5861" t="n">
        <v>18.839</v>
      </c>
      <c r="I5861">
        <f>-H1142/G1142</f>
        <v/>
      </c>
    </row>
    <row r="5862">
      <c r="A5862" t="n">
        <v>22393</v>
      </c>
      <c r="B5862" s="16" t="n">
        <v>44705</v>
      </c>
      <c r="C5862" t="inlineStr">
        <is>
          <t>CPR</t>
        </is>
      </c>
      <c r="D5862" t="n">
        <v>41</v>
      </c>
      <c r="E5862">
        <f>IF(D4455&gt;0,VLOOKUP(OPERAC[[#This Row],[COD CART]],[1]!MatrizCortoLargoCyl[#All],3,0),"")</f>
        <v/>
      </c>
      <c r="F5862" t="inlineStr">
        <is>
          <t>LOMA</t>
        </is>
      </c>
      <c r="G5862" t="n">
        <v>200</v>
      </c>
      <c r="H5862" t="n">
        <v>-1157.475</v>
      </c>
      <c r="I5862">
        <f>-H4455/G4455</f>
        <v/>
      </c>
    </row>
    <row r="5863">
      <c r="A5863" t="n">
        <v>22393</v>
      </c>
      <c r="B5863" s="16" t="n">
        <v>44705</v>
      </c>
      <c r="C5863" t="inlineStr">
        <is>
          <t>VTA</t>
        </is>
      </c>
      <c r="D5863" t="n">
        <v>41</v>
      </c>
      <c r="E5863">
        <f>IF(D5470&gt;0,VLOOKUP(OPERAC[[#This Row],[COD CART]],[1]!MatrizCortoLargoCyl[#All],3,0),"")</f>
        <v/>
      </c>
      <c r="F5863" t="inlineStr">
        <is>
          <t>CRESY</t>
        </is>
      </c>
      <c r="G5863" t="n">
        <v>285</v>
      </c>
      <c r="H5863" t="n">
        <v>-1921.91175</v>
      </c>
      <c r="I5863">
        <f>-H5470/G5470</f>
        <v/>
      </c>
    </row>
    <row r="5864">
      <c r="A5864" t="n">
        <v>22393</v>
      </c>
      <c r="B5864" s="16" t="n">
        <v>44707</v>
      </c>
      <c r="C5864" t="inlineStr">
        <is>
          <t>CPR</t>
        </is>
      </c>
      <c r="D5864" t="n">
        <v>32</v>
      </c>
      <c r="E5864">
        <f>IF(D4436&gt;0,VLOOKUP(OPERAC[[#This Row],[COD CART]],[1]!MatrizCortoLargoCyl[#All],3,0),"")</f>
        <v/>
      </c>
      <c r="F5864" t="inlineStr">
        <is>
          <t>CLMT/CYL/13,00/17-06-22</t>
        </is>
      </c>
      <c r="G5864" t="n">
        <v>100</v>
      </c>
      <c r="H5864" t="n">
        <v>-1129.88</v>
      </c>
      <c r="I5864">
        <f>-H4436/G4436</f>
        <v/>
      </c>
    </row>
    <row r="5865">
      <c r="A5865" t="n">
        <v>22393</v>
      </c>
      <c r="B5865" s="16" t="n">
        <v>44707</v>
      </c>
      <c r="C5865" t="inlineStr">
        <is>
          <t>VTA</t>
        </is>
      </c>
      <c r="D5865" t="n">
        <v>32</v>
      </c>
      <c r="E5865">
        <f>IF(D5328&gt;0,VLOOKUP(OPERAC[[#This Row],[COD CART]],[1]!MatrizCortoLargoCyl[#All],3,0),"")</f>
        <v/>
      </c>
      <c r="F5865" t="inlineStr">
        <is>
          <t>PLBY/CYL/10,00/17-06-22</t>
        </is>
      </c>
      <c r="G5865" t="n">
        <v>200</v>
      </c>
      <c r="H5865" t="n">
        <v>-1746.6</v>
      </c>
      <c r="I5865">
        <f>-H5328/G5328</f>
        <v/>
      </c>
    </row>
    <row r="5866">
      <c r="A5866" t="n">
        <v>22393</v>
      </c>
      <c r="B5866" s="16" t="n">
        <v>44712</v>
      </c>
      <c r="C5866" t="inlineStr">
        <is>
          <t>CPR</t>
        </is>
      </c>
      <c r="D5866" t="n">
        <v>41</v>
      </c>
      <c r="E5866">
        <f>IF(D6124&gt;0,VLOOKUP(OPERAC[[#This Row],[COD CART]],[1]!MatrizCortoLargoCyl[#All],3,0),"")</f>
        <v/>
      </c>
      <c r="F5866" t="inlineStr">
        <is>
          <t>GOOGL</t>
        </is>
      </c>
      <c r="G5866" t="n">
        <v>2</v>
      </c>
      <c r="H5866" t="n">
        <v>-4577.099</v>
      </c>
      <c r="I5866">
        <f>-H6124/G6124</f>
        <v/>
      </c>
      <c r="J5866" s="16" t="n">
        <v>44714</v>
      </c>
      <c r="K5866" t="n">
        <v>2</v>
      </c>
      <c r="L5866" t="n">
        <v>4656.316</v>
      </c>
    </row>
    <row r="5867">
      <c r="A5867" t="n">
        <v>22393</v>
      </c>
      <c r="B5867" s="16" t="n">
        <v>44713</v>
      </c>
      <c r="C5867" t="inlineStr">
        <is>
          <t>CPR</t>
        </is>
      </c>
      <c r="D5867" t="n">
        <v>41</v>
      </c>
      <c r="E5867">
        <f>IF(D4214&gt;0,VLOOKUP(OPERAC[[#This Row],[COD CART]],[1]!MatrizCortoLargoCyl[#All],3,0),"")</f>
        <v/>
      </c>
      <c r="F5867" t="inlineStr">
        <is>
          <t>CRESY</t>
        </is>
      </c>
      <c r="G5867" t="n">
        <v>140</v>
      </c>
      <c r="H5867" t="n">
        <v>-1003.2792</v>
      </c>
      <c r="I5867">
        <f>-H4214/G4214</f>
        <v/>
      </c>
    </row>
    <row r="5868">
      <c r="A5868" t="n">
        <v>22393</v>
      </c>
      <c r="B5868" s="16" t="n">
        <v>44714</v>
      </c>
      <c r="C5868" t="inlineStr">
        <is>
          <t>VTA</t>
        </is>
      </c>
      <c r="D5868" t="n">
        <v>39</v>
      </c>
      <c r="E5868">
        <f>IF(D3206&gt;0,VLOOKUP(OPERAC[[#This Row],[COD CART]],[1]!MatrizCortoLargoCyl[#All],3,0),"")</f>
        <v/>
      </c>
      <c r="F5868" t="inlineStr">
        <is>
          <t>ET/C/9,00/21-10-22</t>
        </is>
      </c>
      <c r="G5868" t="n">
        <v>200</v>
      </c>
      <c r="H5868" t="n">
        <v>-654.225</v>
      </c>
      <c r="I5868">
        <f>-H3206/G3206</f>
        <v/>
      </c>
    </row>
    <row r="5869">
      <c r="A5869" t="n">
        <v>22393</v>
      </c>
      <c r="B5869" s="16" t="n">
        <v>44714</v>
      </c>
      <c r="C5869" t="inlineStr">
        <is>
          <t>VTA</t>
        </is>
      </c>
      <c r="D5869" t="n">
        <v>32</v>
      </c>
      <c r="E5869">
        <f>IF(D3844&gt;0,VLOOKUP(OPERAC[[#This Row],[COD CART]],[1]!MatrizCortoLargoCyl[#All],3,0),"")</f>
        <v/>
      </c>
      <c r="F5869" t="inlineStr">
        <is>
          <t>PLBY/CYL/10,00/17-06-22</t>
        </is>
      </c>
      <c r="G5869" t="n">
        <v>100</v>
      </c>
      <c r="H5869" t="n">
        <v>-860.896</v>
      </c>
      <c r="I5869">
        <f>-H3844/G3844</f>
        <v/>
      </c>
    </row>
    <row r="5870">
      <c r="A5870" t="n">
        <v>22393</v>
      </c>
      <c r="B5870" s="16" t="n">
        <v>44721</v>
      </c>
      <c r="C5870" t="inlineStr">
        <is>
          <t>VTA</t>
        </is>
      </c>
      <c r="D5870" t="n">
        <v>41</v>
      </c>
      <c r="E5870">
        <f>IF(D5019&gt;0,VLOOKUP(OPERAC[[#This Row],[COD CART]],[1]!MatrizCortoLargoCyl[#All],3,0),"")</f>
        <v/>
      </c>
      <c r="F5870" t="inlineStr">
        <is>
          <t>MELI</t>
        </is>
      </c>
      <c r="G5870" t="n">
        <v>2</v>
      </c>
      <c r="H5870" t="n">
        <v>-1545.984</v>
      </c>
      <c r="I5870">
        <f>-H5019/G5019</f>
        <v/>
      </c>
    </row>
    <row r="5871">
      <c r="A5871" t="n">
        <v>22399</v>
      </c>
      <c r="B5871" s="16" t="n">
        <v>43831</v>
      </c>
      <c r="C5871" t="inlineStr">
        <is>
          <t>VTA</t>
        </is>
      </c>
      <c r="D5871" t="n">
        <v>31</v>
      </c>
      <c r="E5871">
        <f>IF(D1701&gt;0,VLOOKUP(OPERAC[[#This Row],[COD CART]],[1]!MatrizCortoLargoCyl[#All],3,0),"")</f>
        <v/>
      </c>
      <c r="F5871" t="inlineStr">
        <is>
          <t>YPF</t>
        </is>
      </c>
      <c r="G5871" t="n">
        <v>30</v>
      </c>
      <c r="H5871" t="n">
        <v>-240.37656</v>
      </c>
      <c r="I5871" t="n">
        <v>8.012551999999999</v>
      </c>
      <c r="J5871" s="16" t="n">
        <v>44617</v>
      </c>
      <c r="K5871" t="n">
        <v>30</v>
      </c>
      <c r="L5871" t="n">
        <v>127.712</v>
      </c>
    </row>
    <row r="5872">
      <c r="A5872" t="n">
        <v>22399</v>
      </c>
      <c r="B5872" s="16" t="n">
        <v>44446</v>
      </c>
      <c r="C5872" t="inlineStr">
        <is>
          <t>CPR</t>
        </is>
      </c>
      <c r="D5872" t="n">
        <v>32</v>
      </c>
      <c r="E5872">
        <f>IF(D3261&gt;0,VLOOKUP(OPERAC[[#This Row],[COD CART]],[1]!MatrizCortoLargoCyl[#All],3,0),"")</f>
        <v/>
      </c>
      <c r="F5872" t="inlineStr">
        <is>
          <t>INO/CYL/6,00/18-03-22</t>
        </is>
      </c>
      <c r="G5872" t="n">
        <v>100</v>
      </c>
      <c r="H5872">
        <f>-758.932+27.502+30.172+14.579+4.707+2.674</f>
        <v/>
      </c>
      <c r="I5872">
        <f>-H3261/G3261</f>
        <v/>
      </c>
      <c r="J5872" s="16" t="n">
        <v>44617</v>
      </c>
      <c r="K5872" t="n">
        <v>100</v>
      </c>
      <c r="L5872" t="n">
        <v>315.636</v>
      </c>
    </row>
    <row r="5873">
      <c r="A5873" t="n">
        <v>22399</v>
      </c>
      <c r="B5873" s="16" t="n">
        <v>44460</v>
      </c>
      <c r="C5873" t="inlineStr">
        <is>
          <t>VTA</t>
        </is>
      </c>
      <c r="D5873" t="n">
        <v>40</v>
      </c>
      <c r="E5873">
        <f>IF(D1593&gt;0,VLOOKUP(OPERAC[[#This Row],[COD CART]],[1]!MatrizCortoLargoCyl[#All],3,0),"")</f>
        <v/>
      </c>
      <c r="F5873" t="inlineStr">
        <is>
          <t>EDU</t>
        </is>
      </c>
      <c r="G5873" t="n">
        <v>200</v>
      </c>
      <c r="H5873">
        <f>OPERAC[[#This Row],[cantidad]]*-1.084+0.04*OPERAC[[#This Row],[cantidad]]</f>
        <v/>
      </c>
      <c r="I5873">
        <f>-H1593/G1593</f>
        <v/>
      </c>
      <c r="J5873" s="16" t="n">
        <v>44617</v>
      </c>
      <c r="K5873" t="n">
        <v>200</v>
      </c>
      <c r="L5873" t="n">
        <v>272.8</v>
      </c>
    </row>
    <row r="5874">
      <c r="A5874" t="n">
        <v>22399</v>
      </c>
      <c r="B5874" s="16" t="n">
        <v>44489</v>
      </c>
      <c r="C5874" t="inlineStr">
        <is>
          <t>VTA</t>
        </is>
      </c>
      <c r="D5874" t="n">
        <v>43</v>
      </c>
      <c r="E5874">
        <f>IF(D1314&gt;0,VLOOKUP(OPERAC[[#This Row],[COD CART]],[1]!MatrizCortoLargoCyl[#All],3,0),"")</f>
        <v/>
      </c>
      <c r="F5874" t="inlineStr">
        <is>
          <t>SESN/CYL-PUT/1,00/19-01-24</t>
        </is>
      </c>
      <c r="G5874" t="n">
        <v>500</v>
      </c>
      <c r="H5874">
        <f>-0.19*OPERAC[[#This Row],[cantidad]]</f>
        <v/>
      </c>
      <c r="I5874">
        <f>-H1314/G1314</f>
        <v/>
      </c>
    </row>
    <row r="5875">
      <c r="A5875" t="n">
        <v>22399</v>
      </c>
      <c r="B5875" s="16" t="n">
        <v>44495</v>
      </c>
      <c r="C5875" t="inlineStr">
        <is>
          <t>VTA</t>
        </is>
      </c>
      <c r="D5875" t="n">
        <v>39</v>
      </c>
      <c r="E5875">
        <f>IF(D811&gt;0,VLOOKUP(OPERAC[[#This Row],[COD CART]],[1]!MatrizCortoLargoCyl[#All],3,0),"")</f>
        <v/>
      </c>
      <c r="F5875" t="inlineStr">
        <is>
          <t>YPF/CC10/LP7/CP3/19-01-24</t>
        </is>
      </c>
      <c r="G5875" t="n">
        <v>-100</v>
      </c>
      <c r="H5875">
        <f>-2.41*OPERAC[[#This Row],[cantidad]]</f>
        <v/>
      </c>
      <c r="I5875">
        <f>-H811/G811</f>
        <v/>
      </c>
    </row>
    <row r="5876">
      <c r="A5876" t="n">
        <v>22399</v>
      </c>
      <c r="B5876" s="16" t="n">
        <v>44594</v>
      </c>
      <c r="C5876" t="inlineStr">
        <is>
          <t>VTA</t>
        </is>
      </c>
      <c r="D5876" t="n">
        <v>40</v>
      </c>
      <c r="E5876">
        <f>IF(D2322&gt;0,VLOOKUP(OPERAC[[#This Row],[COD CART]],[1]!MatrizCortoLargoCyl[#All],3,0),"")</f>
        <v/>
      </c>
      <c r="F5876" t="inlineStr">
        <is>
          <t>EDU</t>
        </is>
      </c>
      <c r="G5876" t="n">
        <v>200</v>
      </c>
      <c r="H5876" t="n">
        <v>-403.2</v>
      </c>
      <c r="I5876">
        <f>-H2322/G2322</f>
        <v/>
      </c>
      <c r="J5876" s="16" t="n">
        <v>44606</v>
      </c>
      <c r="K5876" t="n">
        <v>200</v>
      </c>
      <c r="L5876" t="n">
        <v>294.589</v>
      </c>
    </row>
    <row r="5877">
      <c r="A5877" t="n">
        <v>22399</v>
      </c>
      <c r="B5877" s="16" t="n">
        <v>44617</v>
      </c>
      <c r="C5877" t="inlineStr">
        <is>
          <t>VTA</t>
        </is>
      </c>
      <c r="D5877" t="n">
        <v>39</v>
      </c>
      <c r="E5877">
        <f>IF(D870&gt;0,VLOOKUP(OPERAC[[#This Row],[COD CART]],[1]!MatrizCortoLargoCyl[#All],3,0),"")</f>
        <v/>
      </c>
      <c r="F5877" t="inlineStr">
        <is>
          <t>GGAL/V/7,50/20-01-23</t>
        </is>
      </c>
      <c r="G5877" t="n">
        <v>-200</v>
      </c>
      <c r="H5877" t="n">
        <v>198.4</v>
      </c>
      <c r="I5877">
        <f>-H870/G870</f>
        <v/>
      </c>
    </row>
    <row r="5878">
      <c r="A5878" t="n">
        <v>22399</v>
      </c>
      <c r="B5878" s="16" t="n">
        <v>44622</v>
      </c>
      <c r="C5878" t="inlineStr">
        <is>
          <t>CPR</t>
        </is>
      </c>
      <c r="D5878" t="n">
        <v>32</v>
      </c>
      <c r="E5878">
        <f>IF(D4061&gt;0,VLOOKUP(OPERAC[[#This Row],[COD CART]],[1]!MatrizCortoLargoCyl[#All],3,0),"")</f>
        <v/>
      </c>
      <c r="F5878" t="inlineStr">
        <is>
          <t>SABR/CYL/10,00/14-04-22</t>
        </is>
      </c>
      <c r="G5878" t="n">
        <v>100</v>
      </c>
      <c r="H5878" t="n">
        <v>-928.9848000000001</v>
      </c>
      <c r="I5878">
        <f>-H4061/G4061</f>
        <v/>
      </c>
      <c r="J5878" s="16" t="n">
        <v>44649</v>
      </c>
      <c r="K5878" t="n">
        <v>100</v>
      </c>
      <c r="L5878" t="n">
        <v>982.1799999999999</v>
      </c>
    </row>
    <row r="5879">
      <c r="A5879" t="n">
        <v>22399</v>
      </c>
      <c r="B5879" s="16" t="n">
        <v>44629</v>
      </c>
      <c r="C5879" t="inlineStr">
        <is>
          <t>VTA</t>
        </is>
      </c>
      <c r="D5879" t="n">
        <v>42</v>
      </c>
      <c r="E5879">
        <f>IF(D1679&gt;0,VLOOKUP(OPERAC[[#This Row],[COD CART]],[1]!MatrizCortoLargoCyl[#All],3,0),"")</f>
        <v/>
      </c>
      <c r="F5879" t="inlineStr">
        <is>
          <t>ROKU</t>
        </is>
      </c>
      <c r="G5879" t="n">
        <v>2</v>
      </c>
      <c r="H5879" t="n">
        <v>-237.88</v>
      </c>
      <c r="I5879">
        <f>-H1679/G1679</f>
        <v/>
      </c>
      <c r="J5879" s="16" t="n">
        <v>44649</v>
      </c>
      <c r="K5879" t="n">
        <v>2</v>
      </c>
      <c r="L5879" t="n">
        <v>274.596</v>
      </c>
    </row>
    <row r="5880">
      <c r="A5880" t="n">
        <v>22399</v>
      </c>
      <c r="B5880" s="16" t="n">
        <v>44629</v>
      </c>
      <c r="C5880" t="inlineStr">
        <is>
          <t>VTA</t>
        </is>
      </c>
      <c r="D5880" t="n">
        <v>42</v>
      </c>
      <c r="E5880">
        <f>IF(D2808&gt;0,VLOOKUP(OPERAC[[#This Row],[COD CART]],[1]!MatrizCortoLargoCyl[#All],3,0),"")</f>
        <v/>
      </c>
      <c r="F5880" t="inlineStr">
        <is>
          <t>SMH</t>
        </is>
      </c>
      <c r="G5880" t="n">
        <v>2</v>
      </c>
      <c r="H5880" t="n">
        <v>-516.163</v>
      </c>
      <c r="I5880">
        <f>-H2808/G2808</f>
        <v/>
      </c>
      <c r="J5880" s="16" t="n">
        <v>44663</v>
      </c>
      <c r="K5880">
        <f>+OPERAC[[#This Row],[cantidad]]</f>
        <v/>
      </c>
      <c r="L5880">
        <f>+OPERAC[[#This Row],[cantidad venta]]*238.066</f>
        <v/>
      </c>
    </row>
    <row r="5881">
      <c r="A5881" t="n">
        <v>22399</v>
      </c>
      <c r="B5881" s="16" t="n">
        <v>44649</v>
      </c>
      <c r="C5881" t="inlineStr">
        <is>
          <t>CPR</t>
        </is>
      </c>
      <c r="D5881" t="n">
        <v>42</v>
      </c>
      <c r="E5881">
        <f>IF(D3350&gt;0,VLOOKUP(OPERAC[[#This Row],[COD CART]],[1]!MatrizCortoLargoCyl[#All],3,0),"")</f>
        <v/>
      </c>
      <c r="F5881" t="inlineStr">
        <is>
          <t>FB</t>
        </is>
      </c>
      <c r="G5881" t="n">
        <v>3</v>
      </c>
      <c r="H5881" t="n">
        <v>-697.90932</v>
      </c>
      <c r="I5881">
        <f>-H3350/G3350</f>
        <v/>
      </c>
      <c r="J5881" s="16" t="n">
        <v>44671</v>
      </c>
      <c r="K5881">
        <f>+OPERAC[[#This Row],[cantidad]]</f>
        <v/>
      </c>
      <c r="L5881">
        <f>+OPERAC[[#This Row],[cantidad venta]]*213.173</f>
        <v/>
      </c>
    </row>
    <row r="5882">
      <c r="A5882" t="n">
        <v>22399</v>
      </c>
      <c r="B5882" s="16" t="n">
        <v>44649</v>
      </c>
      <c r="C5882" t="inlineStr">
        <is>
          <t>VTA</t>
        </is>
      </c>
      <c r="D5882" t="n">
        <v>42</v>
      </c>
      <c r="E5882">
        <f>IF(D3002&gt;0,VLOOKUP(OPERAC[[#This Row],[COD CART]],[1]!MatrizCortoLargoCyl[#All],3,0),"")</f>
        <v/>
      </c>
      <c r="F5882" t="inlineStr">
        <is>
          <t>DIS</t>
        </is>
      </c>
      <c r="G5882" t="n">
        <v>4</v>
      </c>
      <c r="H5882" t="n">
        <v>-575.400092</v>
      </c>
      <c r="I5882">
        <f>-H3002/G3002</f>
        <v/>
      </c>
      <c r="J5882" s="16" t="n">
        <v>44671</v>
      </c>
      <c r="K5882">
        <f>+OPERAC[[#This Row],[cantidad]]</f>
        <v/>
      </c>
      <c r="L5882">
        <f>+OPERAC[[#This Row],[cantidad venta]]*123.621</f>
        <v/>
      </c>
    </row>
    <row r="5883">
      <c r="A5883" t="n">
        <v>22399</v>
      </c>
      <c r="B5883" s="16" t="n">
        <v>44662</v>
      </c>
      <c r="C5883" t="inlineStr">
        <is>
          <t>VTA</t>
        </is>
      </c>
      <c r="D5883" t="n">
        <v>42</v>
      </c>
      <c r="E5883">
        <f>IF(D1507&gt;0,VLOOKUP(OPERAC[[#This Row],[COD CART]],[1]!MatrizCortoLargoCyl[#All],3,0),"")</f>
        <v/>
      </c>
      <c r="F5883" t="inlineStr">
        <is>
          <t>HYDR</t>
        </is>
      </c>
      <c r="G5883" t="n">
        <v>10</v>
      </c>
      <c r="H5883" t="n">
        <v>-185.70344</v>
      </c>
      <c r="I5883">
        <f>-H1507/G1507</f>
        <v/>
      </c>
    </row>
    <row r="5884">
      <c r="A5884" t="n">
        <v>22399</v>
      </c>
      <c r="B5884" s="16" t="n">
        <v>44671</v>
      </c>
      <c r="C5884" t="inlineStr">
        <is>
          <t>CPR</t>
        </is>
      </c>
      <c r="D5884" t="n">
        <v>42</v>
      </c>
      <c r="E5884">
        <f>IF(D2679&gt;0,VLOOKUP(OPERAC[[#This Row],[COD CART]],[1]!MatrizCortoLargoCyl[#All],3,0),"")</f>
        <v/>
      </c>
      <c r="F5884" t="inlineStr">
        <is>
          <t>TLT</t>
        </is>
      </c>
      <c r="G5884" t="n">
        <v>4</v>
      </c>
      <c r="H5884" t="n">
        <v>-490.25202</v>
      </c>
      <c r="I5884">
        <f>-H2679/G2679</f>
        <v/>
      </c>
    </row>
    <row r="5885">
      <c r="A5885" t="n">
        <v>22399</v>
      </c>
      <c r="B5885" s="16" t="n">
        <v>44671</v>
      </c>
      <c r="C5885" t="inlineStr">
        <is>
          <t>CPR</t>
        </is>
      </c>
      <c r="D5885" t="n">
        <v>42</v>
      </c>
      <c r="E5885">
        <f>IF(D3516&gt;0,VLOOKUP(OPERAC[[#This Row],[COD CART]],[1]!MatrizCortoLargoCyl[#All],3,0),"")</f>
        <v/>
      </c>
      <c r="F5885" t="inlineStr">
        <is>
          <t>NFLX</t>
        </is>
      </c>
      <c r="G5885" t="n">
        <v>3</v>
      </c>
      <c r="H5885" t="n">
        <v>-763.51518</v>
      </c>
      <c r="I5885">
        <f>-H3516/G3516</f>
        <v/>
      </c>
    </row>
    <row r="5886">
      <c r="A5886" t="n">
        <v>22407</v>
      </c>
      <c r="B5886" s="16" t="n">
        <v>43831</v>
      </c>
      <c r="C5886" t="inlineStr">
        <is>
          <t>CPR</t>
        </is>
      </c>
      <c r="D5886" t="n">
        <v>31</v>
      </c>
      <c r="E5886">
        <f>IF(D4210&gt;0,VLOOKUP(OPERAC[[#This Row],[COD CART]],[1]!MatrizCortoLargoCyl[#All],3,0),"")</f>
        <v/>
      </c>
      <c r="F5886" t="inlineStr">
        <is>
          <t>GGAL</t>
        </is>
      </c>
      <c r="G5886" t="n">
        <v>100</v>
      </c>
      <c r="H5886" t="n">
        <v>-1000</v>
      </c>
      <c r="I5886">
        <f>-H4210/G4210</f>
        <v/>
      </c>
    </row>
    <row r="5887">
      <c r="A5887" t="n">
        <v>22407</v>
      </c>
      <c r="B5887" s="16" t="n">
        <v>44098</v>
      </c>
      <c r="C5887" t="inlineStr">
        <is>
          <t>CPR</t>
        </is>
      </c>
      <c r="D5887" t="n">
        <v>41</v>
      </c>
      <c r="E5887">
        <f>IF(D4502&gt;0,VLOOKUP(OPERAC[[#This Row],[COD CART]],[1]!MatrizCortoLargoCyl[#All],3,0),"")</f>
        <v/>
      </c>
      <c r="F5887" t="inlineStr">
        <is>
          <t>YPF</t>
        </is>
      </c>
      <c r="G5887" t="n">
        <v>300</v>
      </c>
      <c r="H5887" t="n">
        <v>-1176.93</v>
      </c>
      <c r="I5887">
        <f>-H4502/G4502</f>
        <v/>
      </c>
    </row>
    <row r="5888">
      <c r="A5888" t="n">
        <v>22407</v>
      </c>
      <c r="B5888" s="16" t="n">
        <v>44120</v>
      </c>
      <c r="C5888" t="inlineStr">
        <is>
          <t>CPR</t>
        </is>
      </c>
      <c r="D5888" t="n">
        <v>31</v>
      </c>
      <c r="E5888">
        <f>IF(D3621&gt;0,VLOOKUP(OPERAC[[#This Row],[COD CART]],[1]!MatrizCortoLargoCyl[#All],3,0),"")</f>
        <v/>
      </c>
      <c r="F5888" t="inlineStr">
        <is>
          <t>GGAL</t>
        </is>
      </c>
      <c r="G5888" t="n">
        <v>100</v>
      </c>
      <c r="H5888" t="n">
        <v>-794.664</v>
      </c>
      <c r="I5888">
        <f>-H3621/G3621</f>
        <v/>
      </c>
    </row>
    <row r="5889">
      <c r="A5889" t="n">
        <v>22407</v>
      </c>
      <c r="B5889" s="16" t="n">
        <v>44256</v>
      </c>
      <c r="C5889" t="inlineStr">
        <is>
          <t>CPR</t>
        </is>
      </c>
      <c r="D5889" t="n">
        <v>40</v>
      </c>
      <c r="E5889">
        <f>IF(D6223&gt;0,VLOOKUP(OPERAC[[#This Row],[COD CART]],[1]!MatrizCortoLargoCyl[#All],3,0),"")</f>
        <v/>
      </c>
      <c r="F5889" t="inlineStr">
        <is>
          <t>ACB</t>
        </is>
      </c>
      <c r="G5889" t="n">
        <v>300</v>
      </c>
      <c r="H5889" t="n">
        <v>-6000.683</v>
      </c>
      <c r="I5889">
        <f>-H6223/G6223</f>
        <v/>
      </c>
      <c r="J5889" s="16" t="n">
        <v>44372</v>
      </c>
      <c r="K5889">
        <f>200+100</f>
        <v/>
      </c>
      <c r="L5889">
        <f>1806.7888+436.174</f>
        <v/>
      </c>
    </row>
    <row r="5890">
      <c r="A5890" t="n">
        <v>22407</v>
      </c>
      <c r="B5890" s="16" t="n">
        <v>44432</v>
      </c>
      <c r="C5890" t="inlineStr">
        <is>
          <t>VTA</t>
        </is>
      </c>
      <c r="D5890" t="n">
        <v>39</v>
      </c>
      <c r="E5890">
        <f>IF(D335&gt;0,VLOOKUP(OPERAC[[#This Row],[COD CART]],[1]!MatrizCortoLargoCyl[#All],3,0),"")</f>
        <v/>
      </c>
      <c r="F5890" t="inlineStr">
        <is>
          <t>TLRY/V/10,00/20-01-23</t>
        </is>
      </c>
      <c r="G5890" t="n">
        <v>-500</v>
      </c>
      <c r="H5890" t="n">
        <v>1362.57</v>
      </c>
      <c r="I5890">
        <f>-H335/G335</f>
        <v/>
      </c>
      <c r="J5890" s="16" t="n">
        <v>44617</v>
      </c>
      <c r="K5890" t="n">
        <v>-500</v>
      </c>
      <c r="L5890" t="n">
        <v>-2571.4</v>
      </c>
    </row>
    <row r="5891">
      <c r="A5891" t="n">
        <v>22407</v>
      </c>
      <c r="B5891" s="16" t="n">
        <v>44461</v>
      </c>
      <c r="C5891" t="inlineStr">
        <is>
          <t>CPR</t>
        </is>
      </c>
      <c r="D5891" t="n">
        <v>40</v>
      </c>
      <c r="E5891">
        <f>IF(D4300&gt;0,VLOOKUP(OPERAC[[#This Row],[COD CART]],[1]!MatrizCortoLargoCyl[#All],3,0),"")</f>
        <v/>
      </c>
      <c r="F5891" t="inlineStr">
        <is>
          <t>EDU</t>
        </is>
      </c>
      <c r="G5891" t="n">
        <v>1000</v>
      </c>
      <c r="H5891">
        <f>-1.0864*OPERAC[[#This Row],[cantidad]]+0.04*OPERAC[[#This Row],[cantidad]]</f>
        <v/>
      </c>
      <c r="I5891">
        <f>-H4300/G4300</f>
        <v/>
      </c>
      <c r="J5891" s="16" t="n">
        <v>44614</v>
      </c>
      <c r="K5891">
        <f>+OPERAC[[#This Row],[cantidad]]</f>
        <v/>
      </c>
      <c r="L5891">
        <f>1.483*OPERAC[[#This Row],[cantidad venta]]</f>
        <v/>
      </c>
    </row>
    <row r="5892">
      <c r="A5892" t="n">
        <v>22407</v>
      </c>
      <c r="B5892" s="16" t="n">
        <v>44466</v>
      </c>
      <c r="C5892" t="inlineStr">
        <is>
          <t>VTA</t>
        </is>
      </c>
      <c r="D5892" t="n">
        <v>43</v>
      </c>
      <c r="E5892">
        <f>IF(D2497&gt;0,VLOOKUP(OPERAC[[#This Row],[COD CART]],[1]!MatrizCortoLargoCyl[#All],3,0),"")</f>
        <v/>
      </c>
      <c r="F5892" t="inlineStr">
        <is>
          <t>SOLO/CYL-PUT/4,00/18-03-22</t>
        </is>
      </c>
      <c r="G5892" t="n">
        <v>200</v>
      </c>
      <c r="H5892">
        <f>-594.83454+0.32*OPERAC[[#This Row],[cantidad]]+0.387*OPERAC[[#This Row],[cantidad]]</f>
        <v/>
      </c>
      <c r="I5892">
        <f>-H2497/G2497</f>
        <v/>
      </c>
      <c r="J5892" s="16" t="n">
        <v>44614</v>
      </c>
      <c r="K5892" t="n">
        <v>200</v>
      </c>
      <c r="L5892" t="n">
        <v>-45.94</v>
      </c>
    </row>
    <row r="5893">
      <c r="A5893" t="n">
        <v>22407</v>
      </c>
      <c r="B5893" s="16" t="n">
        <v>44489</v>
      </c>
      <c r="C5893" t="inlineStr">
        <is>
          <t>VTA</t>
        </is>
      </c>
      <c r="D5893" t="n">
        <v>43</v>
      </c>
      <c r="E5893">
        <f>IF(D2987&gt;0,VLOOKUP(OPERAC[[#This Row],[COD CART]],[1]!MatrizCortoLargoCyl[#All],3,0),"")</f>
        <v/>
      </c>
      <c r="F5893" t="inlineStr">
        <is>
          <t>SESN/CYL-PUT/1,00/19-01-24</t>
        </is>
      </c>
      <c r="G5893" t="n">
        <v>3000</v>
      </c>
      <c r="H5893">
        <f>-0.1885*OPERAC[[#This Row],[cantidad]]</f>
        <v/>
      </c>
      <c r="I5893">
        <f>-H2987/G2987</f>
        <v/>
      </c>
      <c r="J5893" s="16" t="n">
        <v>44553</v>
      </c>
      <c r="K5893" t="n">
        <v>1500</v>
      </c>
      <c r="L5893">
        <f>1301.75-831.6</f>
        <v/>
      </c>
    </row>
    <row r="5894">
      <c r="A5894" t="n">
        <v>22407</v>
      </c>
      <c r="B5894" s="16" t="n">
        <v>44494</v>
      </c>
      <c r="C5894" t="inlineStr">
        <is>
          <t>VTA</t>
        </is>
      </c>
      <c r="D5894" t="n">
        <v>40</v>
      </c>
      <c r="E5894">
        <f>IF(D2556&gt;0,VLOOKUP(OPERAC[[#This Row],[COD CART]],[1]!MatrizCortoLargoCyl[#All],3,0),"")</f>
        <v/>
      </c>
      <c r="F5894" t="inlineStr">
        <is>
          <t>YPF</t>
        </is>
      </c>
      <c r="G5894" t="n">
        <v>100</v>
      </c>
      <c r="H5894" t="n">
        <v>-465.272</v>
      </c>
      <c r="I5894">
        <f>-H2556/G2556</f>
        <v/>
      </c>
      <c r="J5894" s="16" t="n">
        <v>44606</v>
      </c>
      <c r="K5894">
        <f>+OPERAC[[#This Row],[cantidad]]</f>
        <v/>
      </c>
      <c r="L5894">
        <f>+OPERAC[[#This Row],[cantidad venta]]*4.161</f>
        <v/>
      </c>
    </row>
    <row r="5895">
      <c r="A5895" t="n">
        <v>22407</v>
      </c>
      <c r="B5895" s="16" t="n">
        <v>44532</v>
      </c>
      <c r="C5895" t="inlineStr">
        <is>
          <t>VTA</t>
        </is>
      </c>
      <c r="D5895" t="n">
        <v>32</v>
      </c>
      <c r="E5895">
        <f>IF(D3944&gt;0,VLOOKUP(OPERAC[[#This Row],[COD CART]],[1]!MatrizCortoLargoCyl[#All],3,0),"")</f>
        <v/>
      </c>
      <c r="F5895" t="inlineStr">
        <is>
          <t>COTY/CYL/10,00/18-02-22</t>
        </is>
      </c>
      <c r="G5895" t="n">
        <v>100</v>
      </c>
      <c r="H5895">
        <f>-901.599+20.838</f>
        <v/>
      </c>
      <c r="I5895">
        <f>-H3944/G3944</f>
        <v/>
      </c>
      <c r="J5895" s="16" t="n">
        <v>44608</v>
      </c>
      <c r="K5895">
        <f>+OPERAC[[#This Row],[cantidad]]</f>
        <v/>
      </c>
      <c r="L5895" t="n">
        <v>941.701</v>
      </c>
    </row>
    <row r="5896">
      <c r="A5896" t="n">
        <v>22407</v>
      </c>
      <c r="B5896" s="16" t="n">
        <v>44538</v>
      </c>
      <c r="C5896" t="inlineStr">
        <is>
          <t>VTA</t>
        </is>
      </c>
      <c r="D5896" t="n">
        <v>43</v>
      </c>
      <c r="E5896">
        <f>IF(D1895&gt;0,VLOOKUP(OPERAC[[#This Row],[COD CART]],[1]!MatrizCortoLargoCyl[#All],3,0),"")</f>
        <v/>
      </c>
      <c r="F5896" t="inlineStr">
        <is>
          <t>HEXO/CYL-PUT/1,00/20-01-23</t>
        </is>
      </c>
      <c r="G5896" t="n">
        <v>1500</v>
      </c>
      <c r="H5896">
        <f>-0.1886*OPERAC[[#This Row],[cantidad]]</f>
        <v/>
      </c>
      <c r="I5896">
        <f>-H1895/G1895</f>
        <v/>
      </c>
    </row>
    <row r="5897">
      <c r="A5897" t="n">
        <v>22407</v>
      </c>
      <c r="B5897" s="16" t="n">
        <v>44538</v>
      </c>
      <c r="C5897" t="inlineStr">
        <is>
          <t>VTA</t>
        </is>
      </c>
      <c r="D5897" t="n">
        <v>43</v>
      </c>
      <c r="E5897">
        <f>IF(D1930&gt;0,VLOOKUP(OPERAC[[#This Row],[COD CART]],[1]!MatrizCortoLargoCyl[#All],3,0),"")</f>
        <v/>
      </c>
      <c r="F5897" t="inlineStr">
        <is>
          <t>XSPA/CYL-PUT/1,50/20-01-23</t>
        </is>
      </c>
      <c r="G5897" t="n">
        <v>500</v>
      </c>
      <c r="H5897">
        <f>-0.59863*OPERAC[[#This Row],[cantidad]]</f>
        <v/>
      </c>
      <c r="I5897">
        <f>-H1930/G1930</f>
        <v/>
      </c>
    </row>
    <row r="5898">
      <c r="A5898" t="n">
        <v>22407</v>
      </c>
      <c r="B5898" s="16" t="n">
        <v>44538</v>
      </c>
      <c r="C5898" t="inlineStr">
        <is>
          <t>VTA</t>
        </is>
      </c>
      <c r="D5898" t="n">
        <v>43</v>
      </c>
      <c r="E5898">
        <f>IF(D3203&gt;0,VLOOKUP(OPERAC[[#This Row],[COD CART]],[1]!MatrizCortoLargoCyl[#All],3,0),"")</f>
        <v/>
      </c>
      <c r="F5898" t="inlineStr">
        <is>
          <t>NNDM/CYL-PUT/2,50/19-01-24</t>
        </is>
      </c>
      <c r="G5898" t="n">
        <v>500</v>
      </c>
      <c r="H5898">
        <f>-1.306*OPERAC[[#This Row],[cantidad]]</f>
        <v/>
      </c>
      <c r="I5898">
        <f>-H3203/G3203</f>
        <v/>
      </c>
    </row>
    <row r="5899">
      <c r="A5899" t="n">
        <v>22407</v>
      </c>
      <c r="B5899" s="16" t="n">
        <v>44539</v>
      </c>
      <c r="C5899" t="inlineStr">
        <is>
          <t>CPR</t>
        </is>
      </c>
      <c r="D5899" t="n">
        <v>40</v>
      </c>
      <c r="E5899">
        <f>IF(D5726&gt;0,VLOOKUP(OPERAC[[#This Row],[COD CART]],[1]!MatrizCortoLargoCyl[#All],3,0),"")</f>
        <v/>
      </c>
      <c r="F5899" t="inlineStr">
        <is>
          <t>ROKU</t>
        </is>
      </c>
      <c r="G5899" t="n">
        <v>10</v>
      </c>
      <c r="H5899" t="n">
        <v>-2577.2036</v>
      </c>
      <c r="I5899">
        <f>-H5726/G5726</f>
        <v/>
      </c>
      <c r="J5899" s="16" t="n">
        <v>44606</v>
      </c>
      <c r="K5899">
        <f>+OPERAC[[#This Row],[cantidad]]</f>
        <v/>
      </c>
      <c r="L5899">
        <f>+OPERAC[[#This Row],[cantidad venta]]*160.574</f>
        <v/>
      </c>
    </row>
    <row r="5900">
      <c r="A5900" t="n">
        <v>22407</v>
      </c>
      <c r="B5900" s="16" t="n">
        <v>44543</v>
      </c>
      <c r="C5900" t="inlineStr">
        <is>
          <t>CPR</t>
        </is>
      </c>
      <c r="D5900" t="n">
        <v>40</v>
      </c>
      <c r="E5900">
        <f>IF(D3965&gt;0,VLOOKUP(OPERAC[[#This Row],[COD CART]],[1]!MatrizCortoLargoCyl[#All],3,0),"")</f>
        <v/>
      </c>
      <c r="F5900" t="inlineStr">
        <is>
          <t>VIST</t>
        </is>
      </c>
      <c r="G5900" t="n">
        <v>160</v>
      </c>
      <c r="H5900" t="n">
        <v>-895.904</v>
      </c>
      <c r="I5900">
        <f>-H3965/G3965</f>
        <v/>
      </c>
      <c r="J5900" s="16" t="n">
        <v>44574</v>
      </c>
      <c r="K5900">
        <f>+OPERAC[[#This Row],[cantidad]]</f>
        <v/>
      </c>
      <c r="L5900">
        <f>+OPERAC[[#This Row],[cantidad venta]]*6.125</f>
        <v/>
      </c>
    </row>
    <row r="5901">
      <c r="A5901" t="n">
        <v>22407</v>
      </c>
      <c r="B5901" s="16" t="n">
        <v>44543</v>
      </c>
      <c r="C5901" t="inlineStr">
        <is>
          <t>VTA</t>
        </is>
      </c>
      <c r="D5901" t="n">
        <v>39</v>
      </c>
      <c r="E5901">
        <f>IF(D943&gt;0,VLOOKUP(OPERAC[[#This Row],[COD CART]],[1]!MatrizCortoLargoCyl[#All],3,0),"")</f>
        <v/>
      </c>
      <c r="F5901" t="inlineStr">
        <is>
          <t>NKE/V/145,00/07-01-22</t>
        </is>
      </c>
      <c r="G5901" t="n">
        <v>-100</v>
      </c>
      <c r="H5901" t="n">
        <v>98.82600000000001</v>
      </c>
      <c r="I5901">
        <f>-H943/G943</f>
        <v/>
      </c>
      <c r="J5901" s="16" t="n">
        <v>44566</v>
      </c>
      <c r="K5901" t="n">
        <v>-100</v>
      </c>
      <c r="L5901" t="n">
        <v>-2.016</v>
      </c>
    </row>
    <row r="5902">
      <c r="A5902" t="n">
        <v>22407</v>
      </c>
      <c r="B5902" s="16" t="n">
        <v>44547</v>
      </c>
      <c r="C5902" t="inlineStr">
        <is>
          <t>VTA</t>
        </is>
      </c>
      <c r="D5902" t="n">
        <v>39</v>
      </c>
      <c r="E5902">
        <f>IF(D329&gt;0,VLOOKUP(OPERAC[[#This Row],[COD CART]],[1]!MatrizCortoLargoCyl[#All],3,0),"")</f>
        <v/>
      </c>
      <c r="F5902" t="inlineStr">
        <is>
          <t>TLRY/V/8,00/18-02-22</t>
        </is>
      </c>
      <c r="G5902" t="n">
        <v>-1000</v>
      </c>
      <c r="H5902" t="n">
        <v>1383.791</v>
      </c>
      <c r="I5902">
        <f>-H329/G329</f>
        <v/>
      </c>
      <c r="J5902" s="16" t="n">
        <v>44601</v>
      </c>
      <c r="K5902" t="n">
        <v>-1000</v>
      </c>
      <c r="L5902">
        <f>1.38*OPERAC[[#This Row],[cantidad venta]]</f>
        <v/>
      </c>
    </row>
    <row r="5903">
      <c r="A5903" t="n">
        <v>22407</v>
      </c>
      <c r="B5903" s="16" t="n">
        <v>44547</v>
      </c>
      <c r="C5903" t="inlineStr">
        <is>
          <t>VTA</t>
        </is>
      </c>
      <c r="D5903" t="n">
        <v>39</v>
      </c>
      <c r="E5903">
        <f>IF(D476&gt;0,VLOOKUP(OPERAC[[#This Row],[COD CART]],[1]!MatrizCortoLargoCyl[#All],3,0),"")</f>
        <v/>
      </c>
      <c r="F5903" t="inlineStr">
        <is>
          <t>TLRY/V/8,00/18-02-22</t>
        </is>
      </c>
      <c r="G5903" t="n">
        <v>-700</v>
      </c>
      <c r="H5903" t="n">
        <v>968.6537</v>
      </c>
      <c r="I5903">
        <f>-H476/G476</f>
        <v/>
      </c>
      <c r="J5903" s="16" t="n">
        <v>44601</v>
      </c>
      <c r="K5903" t="n">
        <v>-700</v>
      </c>
      <c r="L5903">
        <f>1.38*OPERAC[[#This Row],[cantidad venta]]</f>
        <v/>
      </c>
    </row>
    <row r="5904">
      <c r="A5904" t="n">
        <v>22407</v>
      </c>
      <c r="B5904" s="16" t="n">
        <v>44547</v>
      </c>
      <c r="C5904" t="inlineStr">
        <is>
          <t>VTA</t>
        </is>
      </c>
      <c r="D5904" t="n">
        <v>39</v>
      </c>
      <c r="E5904">
        <f>IF(D748&gt;0,VLOOKUP(OPERAC[[#This Row],[COD CART]],[1]!MatrizCortoLargoCyl[#All],3,0),"")</f>
        <v/>
      </c>
      <c r="F5904" t="inlineStr">
        <is>
          <t>INO/V/7,00/21-01-22</t>
        </is>
      </c>
      <c r="G5904" t="n">
        <v>-400</v>
      </c>
      <c r="H5904" t="n">
        <v>364.176</v>
      </c>
      <c r="I5904">
        <f>-H748/G748</f>
        <v/>
      </c>
      <c r="J5904" s="16" t="n">
        <v>44580</v>
      </c>
      <c r="K5904">
        <f>+OPERAC[[#This Row],[cantidad]]</f>
        <v/>
      </c>
      <c r="L5904">
        <f>-OPERAC[[#This Row],[importe]]</f>
        <v/>
      </c>
    </row>
    <row r="5905">
      <c r="A5905" t="n">
        <v>22407</v>
      </c>
      <c r="B5905" s="16" t="n">
        <v>44547</v>
      </c>
      <c r="C5905" t="inlineStr">
        <is>
          <t>VTA</t>
        </is>
      </c>
      <c r="D5905" t="n">
        <v>32</v>
      </c>
      <c r="E5905">
        <f>IF(D3803&gt;0,VLOOKUP(OPERAC[[#This Row],[COD CART]],[1]!MatrizCortoLargoCyl[#All],3,0),"")</f>
        <v/>
      </c>
      <c r="F5905" t="inlineStr">
        <is>
          <t>ARLO/CYL/9,00/18-02-22</t>
        </is>
      </c>
      <c r="G5905" t="n">
        <v>100</v>
      </c>
      <c r="H5905">
        <f>-866.74+14.88</f>
        <v/>
      </c>
      <c r="I5905">
        <f>-H3803/G3803</f>
        <v/>
      </c>
      <c r="J5905" s="16" t="n">
        <v>44607</v>
      </c>
      <c r="K5905" t="n">
        <v>100</v>
      </c>
      <c r="L5905" t="n">
        <v>875.33</v>
      </c>
    </row>
    <row r="5906">
      <c r="A5906" t="n">
        <v>22407</v>
      </c>
      <c r="B5906" s="16" t="n">
        <v>44552</v>
      </c>
      <c r="C5906" t="inlineStr">
        <is>
          <t>VTA</t>
        </is>
      </c>
      <c r="D5906" t="n">
        <v>32</v>
      </c>
      <c r="E5906">
        <f>IF(D2247&gt;0,VLOOKUP(OPERAC[[#This Row],[COD CART]],[1]!MatrizCortoLargoCyl[#All],3,0),"")</f>
        <v/>
      </c>
      <c r="F5906" t="inlineStr">
        <is>
          <t>HMY/CYL/4,00/21-01-22</t>
        </is>
      </c>
      <c r="G5906" t="n">
        <v>100</v>
      </c>
      <c r="H5906">
        <f>-3.8*OPERAC[[#This Row],[cantidad]]</f>
        <v/>
      </c>
      <c r="I5906">
        <f>-H2247/G2247</f>
        <v/>
      </c>
      <c r="J5906" s="16" t="n">
        <v>44580</v>
      </c>
      <c r="K5906" t="n">
        <v>100</v>
      </c>
      <c r="L5906" t="n">
        <v>393.93</v>
      </c>
    </row>
    <row r="5907">
      <c r="A5907" t="n">
        <v>22407</v>
      </c>
      <c r="B5907" s="16" t="n">
        <v>44552</v>
      </c>
      <c r="C5907" t="inlineStr">
        <is>
          <t>VTA</t>
        </is>
      </c>
      <c r="D5907" t="n">
        <v>32</v>
      </c>
      <c r="E5907">
        <f>IF(D5386&gt;0,VLOOKUP(OPERAC[[#This Row],[COD CART]],[1]!MatrizCortoLargoCyl[#All],3,0),"")</f>
        <v/>
      </c>
      <c r="F5907" t="inlineStr">
        <is>
          <t>GOLD/CYL/19,00/21-01-22</t>
        </is>
      </c>
      <c r="G5907" t="n">
        <v>100</v>
      </c>
      <c r="H5907">
        <f>-18.08*OPERAC[[#This Row],[cantidad]]</f>
        <v/>
      </c>
      <c r="I5907">
        <f>-H5386/G5386</f>
        <v/>
      </c>
      <c r="J5907" s="16" t="n">
        <v>44580</v>
      </c>
      <c r="K5907" t="n">
        <v>100</v>
      </c>
      <c r="L5907" t="n">
        <v>1876.846</v>
      </c>
    </row>
    <row r="5908">
      <c r="A5908" t="n">
        <v>22407</v>
      </c>
      <c r="B5908" s="16" t="n">
        <v>44553</v>
      </c>
      <c r="C5908" t="inlineStr">
        <is>
          <t>CPR</t>
        </is>
      </c>
      <c r="D5908" t="n">
        <v>40</v>
      </c>
      <c r="E5908">
        <f>IF(D2596&gt;0,VLOOKUP(OPERAC[[#This Row],[COD CART]],[1]!MatrizCortoLargoCyl[#All],3,0),"")</f>
        <v/>
      </c>
      <c r="F5908" t="inlineStr">
        <is>
          <t>ON</t>
        </is>
      </c>
      <c r="G5908" t="n">
        <v>7</v>
      </c>
      <c r="H5908" t="n">
        <v>-469.7952559999999</v>
      </c>
      <c r="I5908">
        <f>-H2596/G2596</f>
        <v/>
      </c>
      <c r="J5908" s="16" t="n">
        <v>44606</v>
      </c>
      <c r="K5908">
        <f>+OPERAC[[#This Row],[cantidad]]</f>
        <v/>
      </c>
      <c r="L5908">
        <f>+OPERAC[[#This Row],[cantidad venta]]*58.449</f>
        <v/>
      </c>
    </row>
    <row r="5909">
      <c r="A5909" t="n">
        <v>22407</v>
      </c>
      <c r="B5909" s="16" t="n">
        <v>44557</v>
      </c>
      <c r="C5909" t="inlineStr">
        <is>
          <t>CPR</t>
        </is>
      </c>
      <c r="D5909" t="n">
        <v>40</v>
      </c>
      <c r="E5909">
        <f>IF(D3556&gt;0,VLOOKUP(OPERAC[[#This Row],[COD CART]],[1]!MatrizCortoLargoCyl[#All],3,0),"")</f>
        <v/>
      </c>
      <c r="F5909" t="inlineStr">
        <is>
          <t>TLRY</t>
        </is>
      </c>
      <c r="G5909" t="n">
        <v>100</v>
      </c>
      <c r="H5909" t="n">
        <v>-771.62</v>
      </c>
      <c r="I5909">
        <f>-H3556/G3556</f>
        <v/>
      </c>
      <c r="J5909" s="16" t="n">
        <v>44585</v>
      </c>
      <c r="K5909">
        <f>+OPERAC[[#This Row],[cantidad]]</f>
        <v/>
      </c>
      <c r="L5909">
        <f>+OPERAC[[#This Row],[cantidad venta]]*5.263</f>
        <v/>
      </c>
    </row>
    <row r="5910">
      <c r="A5910" t="n">
        <v>22407</v>
      </c>
      <c r="B5910" s="16" t="n">
        <v>44557</v>
      </c>
      <c r="C5910" t="inlineStr">
        <is>
          <t>VTA</t>
        </is>
      </c>
      <c r="D5910" t="n">
        <v>39</v>
      </c>
      <c r="E5910">
        <f>IF(D683&gt;0,VLOOKUP(OPERAC[[#This Row],[COD CART]],[1]!MatrizCortoLargoCyl[#All],3,0),"")</f>
        <v/>
      </c>
      <c r="F5910" t="inlineStr">
        <is>
          <t>TSLA/V/850,00/07-01-22</t>
        </is>
      </c>
      <c r="G5910" t="n">
        <v>-300</v>
      </c>
      <c r="H5910" t="n">
        <v>434.166</v>
      </c>
      <c r="I5910">
        <f>-H683/G683</f>
        <v/>
      </c>
      <c r="J5910" s="16" t="n">
        <v>44564</v>
      </c>
      <c r="K5910" t="n">
        <v>-300</v>
      </c>
      <c r="L5910" t="n">
        <v>-84.71299999999999</v>
      </c>
    </row>
    <row r="5911">
      <c r="A5911" t="n">
        <v>22407</v>
      </c>
      <c r="B5911" s="16" t="n">
        <v>44558</v>
      </c>
      <c r="C5911" t="inlineStr">
        <is>
          <t>CPR</t>
        </is>
      </c>
      <c r="D5911" t="n">
        <v>40</v>
      </c>
      <c r="E5911">
        <f>IF(D3452&gt;0,VLOOKUP(OPERAC[[#This Row],[COD CART]],[1]!MatrizCortoLargoCyl[#All],3,0),"")</f>
        <v/>
      </c>
      <c r="F5911" t="inlineStr">
        <is>
          <t>UPST</t>
        </is>
      </c>
      <c r="G5911" t="n">
        <v>5</v>
      </c>
      <c r="H5911" t="n">
        <v>-753.001</v>
      </c>
      <c r="I5911">
        <f>-H3452/G3452</f>
        <v/>
      </c>
      <c r="J5911" s="16" t="n">
        <v>44606</v>
      </c>
      <c r="K5911">
        <f>+OPERAC[[#This Row],[cantidad]]</f>
        <v/>
      </c>
      <c r="L5911">
        <f>+OPERAC[[#This Row],[cantidad venta]]*98.994</f>
        <v/>
      </c>
    </row>
    <row r="5912">
      <c r="A5912" t="n">
        <v>22407</v>
      </c>
      <c r="B5912" s="16" t="n">
        <v>44564</v>
      </c>
      <c r="C5912" t="inlineStr">
        <is>
          <t>VTA</t>
        </is>
      </c>
      <c r="D5912" t="n">
        <v>39</v>
      </c>
      <c r="E5912">
        <f>IF(D977&gt;0,VLOOKUP(OPERAC[[#This Row],[COD CART]],[1]!MatrizCortoLargoCyl[#All],3,0),"")</f>
        <v/>
      </c>
      <c r="F5912" t="inlineStr">
        <is>
          <t>TSLA/V/975,00/07-01-22</t>
        </is>
      </c>
      <c r="G5912" t="n">
        <v>-100</v>
      </c>
      <c r="H5912" t="n">
        <v>77.2578</v>
      </c>
      <c r="I5912">
        <f>-H977/G977</f>
        <v/>
      </c>
      <c r="J5912" s="16" t="n">
        <v>44567</v>
      </c>
      <c r="K5912" t="n">
        <v>-100</v>
      </c>
      <c r="L5912" t="n">
        <v>-77.26000000000001</v>
      </c>
    </row>
    <row r="5913">
      <c r="A5913" t="n">
        <v>22407</v>
      </c>
      <c r="B5913" s="16" t="n">
        <v>44567</v>
      </c>
      <c r="C5913" t="inlineStr">
        <is>
          <t>VTA</t>
        </is>
      </c>
      <c r="D5913" t="n">
        <v>39</v>
      </c>
      <c r="E5913">
        <f>IF(D617&gt;0,VLOOKUP(OPERAC[[#This Row],[COD CART]],[1]!MatrizCortoLargoCyl[#All],3,0),"")</f>
        <v/>
      </c>
      <c r="F5913" t="inlineStr">
        <is>
          <t>TSLA/V/880,00/14-01-22</t>
        </is>
      </c>
      <c r="G5913" t="n">
        <v>-100</v>
      </c>
      <c r="H5913" t="n">
        <v>594.9337</v>
      </c>
      <c r="I5913">
        <f>-H617/G617</f>
        <v/>
      </c>
      <c r="J5913" s="16" t="n">
        <v>44571</v>
      </c>
      <c r="K5913" t="n">
        <v>-100</v>
      </c>
      <c r="L5913" t="n">
        <v>-336.3553</v>
      </c>
    </row>
    <row r="5914">
      <c r="A5914" t="n">
        <v>22407</v>
      </c>
      <c r="B5914" s="16" t="n">
        <v>44571</v>
      </c>
      <c r="C5914" t="inlineStr">
        <is>
          <t>VTA</t>
        </is>
      </c>
      <c r="D5914" t="n">
        <v>39</v>
      </c>
      <c r="E5914">
        <f>IF(D626&gt;0,VLOOKUP(OPERAC[[#This Row],[COD CART]],[1]!MatrizCortoLargoCyl[#All],3,0),"")</f>
        <v/>
      </c>
      <c r="F5914" t="inlineStr">
        <is>
          <t>TSLA/V/870,00/21-01-22</t>
        </is>
      </c>
      <c r="G5914" t="n">
        <v>-100</v>
      </c>
      <c r="H5914" t="n">
        <v>575.0937</v>
      </c>
      <c r="I5914">
        <f>-H626/G626</f>
        <v/>
      </c>
      <c r="J5914" s="16" t="n">
        <v>44574</v>
      </c>
      <c r="K5914" t="n">
        <v>-100</v>
      </c>
      <c r="L5914" t="n">
        <v>-166.5813</v>
      </c>
    </row>
    <row r="5915">
      <c r="A5915" t="n">
        <v>22407</v>
      </c>
      <c r="B5915" s="16" t="n">
        <v>44574</v>
      </c>
      <c r="C5915" t="inlineStr">
        <is>
          <t>CPR</t>
        </is>
      </c>
      <c r="D5915" t="n">
        <v>39</v>
      </c>
      <c r="E5915">
        <f>IF(D4141&gt;0,VLOOKUP(OPERAC[[#This Row],[COD CART]],[1]!MatrizCortoLargoCyl[#All],3,0),"")</f>
        <v/>
      </c>
      <c r="F5915" t="inlineStr">
        <is>
          <t>BABA/BULL/120,0-135,0/20-05-22</t>
        </is>
      </c>
      <c r="G5915" t="n">
        <v>100</v>
      </c>
      <c r="H5915" t="n">
        <v>-965.8</v>
      </c>
      <c r="I5915">
        <f>-H4141/G4141</f>
        <v/>
      </c>
      <c r="J5915" s="16" t="n">
        <v>44701</v>
      </c>
      <c r="K5915">
        <f>+OPERAC[[#This Row],[cantidad]]</f>
        <v/>
      </c>
      <c r="L5915" t="n">
        <v>0</v>
      </c>
    </row>
    <row r="5916">
      <c r="A5916" t="n">
        <v>22407</v>
      </c>
      <c r="B5916" s="16" t="n">
        <v>44580</v>
      </c>
      <c r="C5916" t="inlineStr">
        <is>
          <t>VTA</t>
        </is>
      </c>
      <c r="D5916" t="n">
        <v>39</v>
      </c>
      <c r="E5916">
        <f>IF(D416&gt;0,VLOOKUP(OPERAC[[#This Row],[COD CART]],[1]!MatrizCortoLargoCyl[#All],3,0),"")</f>
        <v/>
      </c>
      <c r="F5916" t="inlineStr">
        <is>
          <t>INO/V/7,00/18-02-22</t>
        </is>
      </c>
      <c r="G5916" t="n">
        <v>-400</v>
      </c>
      <c r="H5916" t="n">
        <v>1108.26</v>
      </c>
      <c r="I5916">
        <f>-H416/G416</f>
        <v/>
      </c>
      <c r="J5916" s="16" t="n">
        <v>44600</v>
      </c>
      <c r="K5916" t="n">
        <v>-400</v>
      </c>
      <c r="L5916" t="n">
        <v>-1108</v>
      </c>
    </row>
    <row r="5917">
      <c r="A5917" t="n">
        <v>22407</v>
      </c>
      <c r="B5917" s="16" t="n">
        <v>44581</v>
      </c>
      <c r="C5917" t="inlineStr">
        <is>
          <t>CPR</t>
        </is>
      </c>
      <c r="D5917" t="n">
        <v>32</v>
      </c>
      <c r="E5917">
        <f>IF(D4465&gt;0,VLOOKUP(OPERAC[[#This Row],[COD CART]],[1]!MatrizCortoLargoCyl[#All],3,0),"")</f>
        <v/>
      </c>
      <c r="F5917" t="inlineStr">
        <is>
          <t>HMY/CYL/4,00/18-02-22</t>
        </is>
      </c>
      <c r="G5917" t="n">
        <v>300</v>
      </c>
      <c r="H5917" t="n">
        <v>-1162.403988</v>
      </c>
      <c r="I5917">
        <f>-H4465/G4465</f>
        <v/>
      </c>
      <c r="J5917" s="16" t="n">
        <v>44610</v>
      </c>
      <c r="K5917">
        <f>+OPERAC[[#This Row],[cantidad]]</f>
        <v/>
      </c>
      <c r="L5917">
        <f>+OPERAC[[#This Row],[cantidad venta]]*3.8323</f>
        <v/>
      </c>
    </row>
    <row r="5918">
      <c r="A5918" t="n">
        <v>22407</v>
      </c>
      <c r="B5918" s="16" t="n">
        <v>44582</v>
      </c>
      <c r="C5918" t="inlineStr">
        <is>
          <t>VTA</t>
        </is>
      </c>
      <c r="D5918" t="n">
        <v>40</v>
      </c>
      <c r="E5918">
        <f>IF(D5493&gt;0,VLOOKUP(OPERAC[[#This Row],[COD CART]],[1]!MatrizCortoLargoCyl[#All],3,0),"")</f>
        <v/>
      </c>
      <c r="F5918" t="inlineStr">
        <is>
          <t>NFLX</t>
        </is>
      </c>
      <c r="G5918" t="n">
        <v>5</v>
      </c>
      <c r="H5918" t="n">
        <v>-1953.1855</v>
      </c>
      <c r="I5918">
        <f>-H5493/G5493</f>
        <v/>
      </c>
      <c r="J5918" s="16" t="n">
        <v>44593</v>
      </c>
      <c r="K5918">
        <f>+OPERAC[[#This Row],[cantidad]]</f>
        <v/>
      </c>
      <c r="L5918">
        <f>+OPERAC[[#This Row],[cantidad venta]]*448.602</f>
        <v/>
      </c>
    </row>
    <row r="5919">
      <c r="A5919" t="n">
        <v>22407</v>
      </c>
      <c r="B5919" s="16" t="n">
        <v>44585</v>
      </c>
      <c r="C5919" t="inlineStr">
        <is>
          <t>VTA</t>
        </is>
      </c>
      <c r="D5919" t="n">
        <v>39</v>
      </c>
      <c r="E5919">
        <f>IF(D830&gt;0,VLOOKUP(OPERAC[[#This Row],[COD CART]],[1]!MatrizCortoLargoCyl[#All],3,0),"")</f>
        <v/>
      </c>
      <c r="F5919" t="inlineStr">
        <is>
          <t>TSLA/V/510,00/28-01-22</t>
        </is>
      </c>
      <c r="G5919" t="n">
        <v>-200</v>
      </c>
      <c r="H5919" t="n">
        <v>217.712</v>
      </c>
      <c r="I5919">
        <f>-H830/G830</f>
        <v/>
      </c>
      <c r="J5919" s="16" t="n">
        <v>44587</v>
      </c>
      <c r="K5919" t="n">
        <v>-200</v>
      </c>
      <c r="L5919" t="n">
        <v>-21.776</v>
      </c>
    </row>
    <row r="5920">
      <c r="A5920" t="n">
        <v>22407</v>
      </c>
      <c r="B5920" s="16" t="n">
        <v>44586</v>
      </c>
      <c r="C5920" t="inlineStr">
        <is>
          <t>VTA</t>
        </is>
      </c>
      <c r="D5920" t="n">
        <v>43</v>
      </c>
      <c r="E5920">
        <f>IF(D4994&gt;0,VLOOKUP(OPERAC[[#This Row],[COD CART]],[1]!MatrizCortoLargoCyl[#All],3,0),"")</f>
        <v/>
      </c>
      <c r="F5920" t="inlineStr">
        <is>
          <t>GMBL/CYL-PUT/2,50/20-01-23</t>
        </is>
      </c>
      <c r="G5920" t="n">
        <v>1500</v>
      </c>
      <c r="H5920" t="n">
        <v>-1524.062300000001</v>
      </c>
      <c r="I5920">
        <f>-H4994/G4994</f>
        <v/>
      </c>
    </row>
    <row r="5921">
      <c r="A5921" t="n">
        <v>22407</v>
      </c>
      <c r="B5921" s="16" t="n">
        <v>44587</v>
      </c>
      <c r="C5921" t="inlineStr">
        <is>
          <t>CPR</t>
        </is>
      </c>
      <c r="D5921" t="n">
        <v>40</v>
      </c>
      <c r="E5921">
        <f>IF(D4985&gt;0,VLOOKUP(OPERAC[[#This Row],[COD CART]],[1]!MatrizCortoLargoCyl[#All],3,0),"")</f>
        <v/>
      </c>
      <c r="F5921" t="inlineStr">
        <is>
          <t>MSFT</t>
        </is>
      </c>
      <c r="G5921" t="n">
        <v>5</v>
      </c>
      <c r="H5921" t="n">
        <v>-1517.0563</v>
      </c>
      <c r="I5921">
        <f>-H4985/G4985</f>
        <v/>
      </c>
      <c r="J5921" s="16" t="n">
        <v>44606</v>
      </c>
      <c r="K5921">
        <f>+OPERAC[[#This Row],[cantidad]]</f>
        <v/>
      </c>
      <c r="L5921">
        <f>+OPERAC[[#This Row],[cantidad venta]]*290.091</f>
        <v/>
      </c>
    </row>
    <row r="5922">
      <c r="A5922" t="n">
        <v>22407</v>
      </c>
      <c r="B5922" s="16" t="n">
        <v>44594</v>
      </c>
      <c r="C5922" t="inlineStr">
        <is>
          <t>VTA</t>
        </is>
      </c>
      <c r="D5922" t="n">
        <v>40</v>
      </c>
      <c r="E5922">
        <f>IF(D5527&gt;0,VLOOKUP(OPERAC[[#This Row],[COD CART]],[1]!MatrizCortoLargoCyl[#All],3,0),"")</f>
        <v/>
      </c>
      <c r="F5922" t="inlineStr">
        <is>
          <t>EDU</t>
        </is>
      </c>
      <c r="G5922" t="n">
        <v>1000</v>
      </c>
      <c r="H5922" t="n">
        <v>-2016</v>
      </c>
      <c r="I5922">
        <f>-H5527/G5527</f>
        <v/>
      </c>
      <c r="J5922" s="16" t="n">
        <v>44601</v>
      </c>
      <c r="K5922" t="n">
        <v>1000</v>
      </c>
      <c r="L5922" t="n">
        <v>1640</v>
      </c>
    </row>
    <row r="5923">
      <c r="A5923" t="n">
        <v>22407</v>
      </c>
      <c r="B5923" s="16" t="n">
        <v>44599</v>
      </c>
      <c r="C5923" t="inlineStr">
        <is>
          <t>CPR</t>
        </is>
      </c>
      <c r="D5923" t="n">
        <v>40</v>
      </c>
      <c r="E5923">
        <f>IF(D4519&gt;0,VLOOKUP(OPERAC[[#This Row],[COD CART]],[1]!MatrizCortoLargoCyl[#All],3,0),"")</f>
        <v/>
      </c>
      <c r="F5923" t="inlineStr">
        <is>
          <t>FB</t>
        </is>
      </c>
      <c r="G5923" t="n">
        <v>5</v>
      </c>
      <c r="H5923" t="n">
        <v>-1192.3</v>
      </c>
      <c r="I5923">
        <f>-H4519/G4519</f>
        <v/>
      </c>
      <c r="J5923" s="16" t="n">
        <v>44616</v>
      </c>
      <c r="K5923">
        <f>+OPERAC[[#This Row],[cantidad]]</f>
        <v/>
      </c>
      <c r="L5923">
        <f>200.299*OPERAC[[#This Row],[cantidad venta]]</f>
        <v/>
      </c>
    </row>
    <row r="5924">
      <c r="A5924" t="n">
        <v>22407</v>
      </c>
      <c r="B5924" s="16" t="n">
        <v>44600</v>
      </c>
      <c r="C5924" t="inlineStr">
        <is>
          <t>VTA</t>
        </is>
      </c>
      <c r="D5924" t="n">
        <v>39</v>
      </c>
      <c r="E5924">
        <f>IF(D1154&gt;0,VLOOKUP(OPERAC[[#This Row],[COD CART]],[1]!MatrizCortoLargoCyl[#All],3,0),"")</f>
        <v/>
      </c>
      <c r="F5924" t="inlineStr">
        <is>
          <t>DDD/V/12,00/20-01-23</t>
        </is>
      </c>
      <c r="G5924" t="n">
        <v>-10</v>
      </c>
      <c r="H5924">
        <f>-1.55*OPERAC[[#This Row],[cantidad]]</f>
        <v/>
      </c>
      <c r="I5924">
        <f>-H1154/G1154</f>
        <v/>
      </c>
    </row>
    <row r="5925">
      <c r="A5925" t="n">
        <v>22407</v>
      </c>
      <c r="B5925" s="16" t="n">
        <v>44601</v>
      </c>
      <c r="C5925" t="inlineStr">
        <is>
          <t>VTA</t>
        </is>
      </c>
      <c r="D5925" t="n">
        <v>39</v>
      </c>
      <c r="E5925">
        <f>IF(D1090&gt;0,VLOOKUP(OPERAC[[#This Row],[COD CART]],[1]!MatrizCortoLargoCyl[#All],3,0),"")</f>
        <v/>
      </c>
      <c r="F5925" t="inlineStr">
        <is>
          <t>TLRY/V/8,00/14-04-22</t>
        </is>
      </c>
      <c r="G5925" t="n">
        <v>-13</v>
      </c>
      <c r="H5925">
        <f>-2.1*OPERAC[[#This Row],[cantidad]]</f>
        <v/>
      </c>
      <c r="I5925">
        <f>-H1090/G1090</f>
        <v/>
      </c>
      <c r="J5925" s="16" t="n">
        <v>44645</v>
      </c>
      <c r="K5925" t="n">
        <v>-13</v>
      </c>
      <c r="L5925" t="n">
        <v>-15.55</v>
      </c>
    </row>
    <row r="5926">
      <c r="A5926" t="n">
        <v>22407</v>
      </c>
      <c r="B5926" s="16" t="n">
        <v>44602</v>
      </c>
      <c r="C5926" t="inlineStr">
        <is>
          <t>CPR</t>
        </is>
      </c>
      <c r="D5926" t="n">
        <v>32</v>
      </c>
      <c r="E5926">
        <f>IF(D4500&gt;0,VLOOKUP(OPERAC[[#This Row],[COD CART]],[1]!MatrizCortoLargoCyl[#All],3,0),"")</f>
        <v/>
      </c>
      <c r="F5926" t="inlineStr">
        <is>
          <t>BIOX/CYL/12,50/18-03-22</t>
        </is>
      </c>
      <c r="G5926" t="n">
        <v>100</v>
      </c>
      <c r="H5926" t="n">
        <v>-1176</v>
      </c>
      <c r="I5926">
        <f>-H4500/G4500</f>
        <v/>
      </c>
      <c r="J5926" s="16" t="n">
        <v>44634</v>
      </c>
      <c r="K5926" t="n">
        <v>100</v>
      </c>
      <c r="L5926" t="n">
        <v>1235.48</v>
      </c>
    </row>
    <row r="5927">
      <c r="A5927" t="n">
        <v>22407</v>
      </c>
      <c r="B5927" s="16" t="n">
        <v>44602</v>
      </c>
      <c r="C5927" t="inlineStr">
        <is>
          <t>VTA</t>
        </is>
      </c>
      <c r="D5927" t="n">
        <v>32</v>
      </c>
      <c r="E5927">
        <f>IF(D3839&gt;0,VLOOKUP(OPERAC[[#This Row],[COD CART]],[1]!MatrizCortoLargoCyl[#All],3,0),"")</f>
        <v/>
      </c>
      <c r="F5927" t="inlineStr">
        <is>
          <t>TEVA</t>
        </is>
      </c>
      <c r="G5927" t="n">
        <v>100</v>
      </c>
      <c r="H5927">
        <f>-8.59*OPERAC[[#This Row],[cantidad]]</f>
        <v/>
      </c>
      <c r="I5927">
        <f>-H3839/G3839</f>
        <v/>
      </c>
      <c r="J5927" s="16" t="n">
        <v>44643</v>
      </c>
      <c r="K5927">
        <f>+OPERAC[[#This Row],[cantidad]]</f>
        <v/>
      </c>
      <c r="L5927">
        <f>+OPERAC[[#This Row],[cantidad venta]]*8.051</f>
        <v/>
      </c>
    </row>
    <row r="5928">
      <c r="A5928" t="n">
        <v>22407</v>
      </c>
      <c r="B5928" s="16" t="n">
        <v>44608</v>
      </c>
      <c r="C5928" t="inlineStr">
        <is>
          <t>CPR</t>
        </is>
      </c>
      <c r="D5928" t="n">
        <v>40</v>
      </c>
      <c r="E5928">
        <f>IF(D4703&gt;0,VLOOKUP(OPERAC[[#This Row],[COD CART]],[1]!MatrizCortoLargoCyl[#All],3,0),"")</f>
        <v/>
      </c>
      <c r="F5928" t="inlineStr">
        <is>
          <t>NVDA</t>
        </is>
      </c>
      <c r="G5928" t="n">
        <v>5</v>
      </c>
      <c r="H5928" t="n">
        <v>-1317.57</v>
      </c>
      <c r="I5928">
        <f>-H4703/G4703</f>
        <v/>
      </c>
      <c r="J5928" s="16" t="n">
        <v>44616</v>
      </c>
      <c r="K5928">
        <f>+OPERAC[[#This Row],[cantidad]]</f>
        <v/>
      </c>
      <c r="L5928">
        <f>+OPERAC[[#This Row],[cantidad venta]]*224.117</f>
        <v/>
      </c>
    </row>
    <row r="5929">
      <c r="A5929" t="n">
        <v>22407</v>
      </c>
      <c r="B5929" s="16" t="n">
        <v>44608</v>
      </c>
      <c r="C5929" t="inlineStr">
        <is>
          <t>CPR</t>
        </is>
      </c>
      <c r="D5929" t="n">
        <v>32</v>
      </c>
      <c r="E5929">
        <f>IF(D4858&gt;0,VLOOKUP(OPERAC[[#This Row],[COD CART]],[1]!MatrizCortoLargoCyl[#All],3,0),"")</f>
        <v/>
      </c>
      <c r="F5929" t="inlineStr">
        <is>
          <t>SPWR/CYL/15,00/18-03-22</t>
        </is>
      </c>
      <c r="G5929" t="n">
        <v>100</v>
      </c>
      <c r="H5929" t="n">
        <v>-1441.812</v>
      </c>
      <c r="I5929">
        <f>-H4858/G4858</f>
        <v/>
      </c>
      <c r="J5929" s="16" t="n">
        <v>44617</v>
      </c>
      <c r="K5929" t="n">
        <v>100</v>
      </c>
      <c r="L5929" t="n">
        <v>1428.97</v>
      </c>
    </row>
    <row r="5930">
      <c r="A5930" t="n">
        <v>22407</v>
      </c>
      <c r="B5930" s="16" t="n">
        <v>44608</v>
      </c>
      <c r="C5930" t="inlineStr">
        <is>
          <t>VTA</t>
        </is>
      </c>
      <c r="D5930" t="n">
        <v>32</v>
      </c>
      <c r="E5930">
        <f>IF(D5123&gt;0,VLOOKUP(OPERAC[[#This Row],[COD CART]],[1]!MatrizCortoLargoCyl[#All],3,0),"")</f>
        <v/>
      </c>
      <c r="F5930" t="inlineStr">
        <is>
          <t>DDD/CYL/17,00/01-04-22</t>
        </is>
      </c>
      <c r="G5930" t="n">
        <v>100</v>
      </c>
      <c r="H5930">
        <f>-1629.4234+19.7+16.45</f>
        <v/>
      </c>
      <c r="I5930">
        <f>-H5123/G5123</f>
        <v/>
      </c>
      <c r="J5930" s="16" t="n">
        <v>44649</v>
      </c>
      <c r="K5930" t="n">
        <v>100</v>
      </c>
      <c r="L5930" t="n">
        <v>1661.98</v>
      </c>
    </row>
    <row r="5931">
      <c r="A5931" t="n">
        <v>22407</v>
      </c>
      <c r="B5931" s="16" t="n">
        <v>44609</v>
      </c>
      <c r="C5931" t="inlineStr">
        <is>
          <t>VTA</t>
        </is>
      </c>
      <c r="D5931" t="n">
        <v>32</v>
      </c>
      <c r="E5931">
        <f>IF(D5283&gt;0,VLOOKUP(OPERAC[[#This Row],[COD CART]],[1]!MatrizCortoLargoCyl[#All],3,0),"")</f>
        <v/>
      </c>
      <c r="F5931" t="inlineStr">
        <is>
          <t>F</t>
        </is>
      </c>
      <c r="G5931" t="n">
        <v>100</v>
      </c>
      <c r="H5931" t="n">
        <v>-1715.2776</v>
      </c>
      <c r="I5931">
        <f>-H5283/G5283</f>
        <v/>
      </c>
      <c r="J5931" s="16" t="n">
        <v>44649</v>
      </c>
      <c r="K5931" t="n">
        <v>100</v>
      </c>
      <c r="L5931">
        <f>17.636*OPERAC[[#This Row],[cantidad venta]]</f>
        <v/>
      </c>
    </row>
    <row r="5932">
      <c r="A5932" t="n">
        <v>22407</v>
      </c>
      <c r="B5932" s="16" t="n">
        <v>44616</v>
      </c>
      <c r="C5932" t="inlineStr">
        <is>
          <t>CPR</t>
        </is>
      </c>
      <c r="D5932" t="n">
        <v>32</v>
      </c>
      <c r="E5932">
        <f>IF(D3487&gt;0,VLOOKUP(OPERAC[[#This Row],[COD CART]],[1]!MatrizCortoLargoCyl[#All],3,0),"")</f>
        <v/>
      </c>
      <c r="F5932" t="inlineStr">
        <is>
          <t>TEVA/CYL/8,00/18-03-22</t>
        </is>
      </c>
      <c r="G5932" t="n">
        <v>100</v>
      </c>
      <c r="H5932" t="n">
        <v>-762.2553999999999</v>
      </c>
      <c r="I5932">
        <f>-H3487/G3487</f>
        <v/>
      </c>
      <c r="J5932" s="16" t="n">
        <v>44638</v>
      </c>
      <c r="K5932" t="n">
        <v>100</v>
      </c>
      <c r="L5932">
        <f>7.8242*OPERAC[[#This Row],[cantidad venta]]</f>
        <v/>
      </c>
    </row>
    <row r="5933">
      <c r="A5933" t="n">
        <v>22407</v>
      </c>
      <c r="B5933" s="16" t="n">
        <v>44616</v>
      </c>
      <c r="C5933" t="inlineStr">
        <is>
          <t>VTA</t>
        </is>
      </c>
      <c r="D5933" t="n">
        <v>32</v>
      </c>
      <c r="E5933">
        <f>IF(D5468&gt;0,VLOOKUP(OPERAC[[#This Row],[COD CART]],[1]!MatrizCortoLargoCyl[#All],3,0),"")</f>
        <v/>
      </c>
      <c r="F5933" t="inlineStr">
        <is>
          <t>HMY/CYL/4,00/18-03-22</t>
        </is>
      </c>
      <c r="G5933" t="n">
        <v>500</v>
      </c>
      <c r="H5933" t="n">
        <v>-1918.525</v>
      </c>
      <c r="I5933">
        <f>-H5468/G5468</f>
        <v/>
      </c>
      <c r="J5933" s="16" t="n">
        <v>44622</v>
      </c>
      <c r="K5933" t="n">
        <v>500</v>
      </c>
      <c r="L5933" t="n">
        <v>1969.75</v>
      </c>
    </row>
    <row r="5934">
      <c r="A5934" t="n">
        <v>22407</v>
      </c>
      <c r="B5934" s="16" t="n">
        <v>44616</v>
      </c>
      <c r="C5934" t="inlineStr">
        <is>
          <t>VTA</t>
        </is>
      </c>
      <c r="D5934" t="n">
        <v>32</v>
      </c>
      <c r="E5934">
        <f>IF(D5576&gt;0,VLOOKUP(OPERAC[[#This Row],[COD CART]],[1]!MatrizCortoLargoCyl[#All],3,0),"")</f>
        <v/>
      </c>
      <c r="F5934" t="inlineStr">
        <is>
          <t>PLTR/CYL/12,00/14-04-22</t>
        </is>
      </c>
      <c r="G5934" t="n">
        <v>200</v>
      </c>
      <c r="H5934" t="n">
        <v>-2105.453</v>
      </c>
      <c r="I5934">
        <f>-H5576/G5576</f>
        <v/>
      </c>
      <c r="J5934" s="16" t="n">
        <v>44643</v>
      </c>
      <c r="K5934" t="n">
        <v>200</v>
      </c>
      <c r="L5934" t="n">
        <v>2293.448</v>
      </c>
    </row>
    <row r="5935">
      <c r="A5935" t="n">
        <v>22407</v>
      </c>
      <c r="B5935" s="16" t="n">
        <v>44622</v>
      </c>
      <c r="C5935" t="inlineStr">
        <is>
          <t>CPR</t>
        </is>
      </c>
      <c r="D5935" t="n">
        <v>32</v>
      </c>
      <c r="E5935">
        <f>IF(D4887&gt;0,VLOOKUP(OPERAC[[#This Row],[COD CART]],[1]!MatrizCortoLargoCyl[#All],3,0),"")</f>
        <v/>
      </c>
      <c r="F5935" t="inlineStr">
        <is>
          <t>AMC/CYL/16,00/14-04-22</t>
        </is>
      </c>
      <c r="G5935" t="n">
        <v>100</v>
      </c>
      <c r="H5935" t="n">
        <v>-1460.8686</v>
      </c>
      <c r="I5935">
        <f>-H4887/G4887</f>
        <v/>
      </c>
      <c r="J5935" s="16" t="n">
        <v>44648</v>
      </c>
      <c r="K5935">
        <f>+OPERAC[[#This Row],[cantidad]]</f>
        <v/>
      </c>
      <c r="L5935" t="n">
        <v>1581.776</v>
      </c>
    </row>
    <row r="5936">
      <c r="A5936" t="n">
        <v>22407</v>
      </c>
      <c r="B5936" s="16" t="n">
        <v>44641</v>
      </c>
      <c r="C5936" t="inlineStr">
        <is>
          <t>VTA</t>
        </is>
      </c>
      <c r="D5936" t="n">
        <v>42</v>
      </c>
      <c r="E5936">
        <f>IF(D2382&gt;0,VLOOKUP(OPERAC[[#This Row],[COD CART]],[1]!MatrizCortoLargoCyl[#All],3,0),"")</f>
        <v/>
      </c>
      <c r="F5936" t="inlineStr">
        <is>
          <t>JPM</t>
        </is>
      </c>
      <c r="G5936" t="n">
        <v>3</v>
      </c>
      <c r="H5936" t="n">
        <v>-421.3630200000001</v>
      </c>
      <c r="I5936">
        <f>-H2382/G2382</f>
        <v/>
      </c>
      <c r="J5936" s="16" t="n">
        <v>44664</v>
      </c>
      <c r="K5936">
        <f>+OPERAC[[#This Row],[cantidad]]</f>
        <v/>
      </c>
      <c r="L5936">
        <f>+OPERAC[[#This Row],[cantidad venta]]*125.943</f>
        <v/>
      </c>
    </row>
    <row r="5937">
      <c r="A5937" t="n">
        <v>22407</v>
      </c>
      <c r="B5937" s="16" t="n">
        <v>44641</v>
      </c>
      <c r="C5937" t="inlineStr">
        <is>
          <t>VTA</t>
        </is>
      </c>
      <c r="D5937" t="n">
        <v>42</v>
      </c>
      <c r="E5937">
        <f>IF(D2886&gt;0,VLOOKUP(OPERAC[[#This Row],[COD CART]],[1]!MatrizCortoLargoCyl[#All],3,0),"")</f>
        <v/>
      </c>
      <c r="F5937" t="inlineStr">
        <is>
          <t>SMH</t>
        </is>
      </c>
      <c r="G5937" t="n">
        <v>2</v>
      </c>
      <c r="H5937" t="n">
        <v>-537.9153000000001</v>
      </c>
      <c r="I5937">
        <f>-H2886/G2886</f>
        <v/>
      </c>
      <c r="J5937" s="16" t="n">
        <v>44663</v>
      </c>
      <c r="K5937">
        <f>+OPERAC[[#This Row],[cantidad]]</f>
        <v/>
      </c>
      <c r="L5937">
        <f>+OPERAC[[#This Row],[cantidad venta]]*238.066</f>
        <v/>
      </c>
    </row>
    <row r="5938">
      <c r="A5938" t="n">
        <v>22407</v>
      </c>
      <c r="B5938" s="16" t="n">
        <v>44641</v>
      </c>
      <c r="C5938" t="inlineStr">
        <is>
          <t>VTA</t>
        </is>
      </c>
      <c r="D5938" t="n">
        <v>42</v>
      </c>
      <c r="E5938">
        <f>IF(D3166&gt;0,VLOOKUP(OPERAC[[#This Row],[COD CART]],[1]!MatrizCortoLargoCyl[#All],3,0),"")</f>
        <v/>
      </c>
      <c r="F5938" t="inlineStr">
        <is>
          <t>FB</t>
        </is>
      </c>
      <c r="G5938" t="n">
        <v>3</v>
      </c>
      <c r="H5938" t="n">
        <v>-636.4691399999999</v>
      </c>
      <c r="I5938">
        <f>-H3166/G3166</f>
        <v/>
      </c>
      <c r="J5938" s="16" t="n">
        <v>44671</v>
      </c>
      <c r="K5938">
        <f>+OPERAC[[#This Row],[cantidad]]</f>
        <v/>
      </c>
      <c r="L5938">
        <f>+OPERAC[[#This Row],[cantidad venta]]*213.173</f>
        <v/>
      </c>
    </row>
    <row r="5939">
      <c r="A5939" t="n">
        <v>22407</v>
      </c>
      <c r="B5939" s="16" t="n">
        <v>44643</v>
      </c>
      <c r="C5939" t="inlineStr">
        <is>
          <t>CPR</t>
        </is>
      </c>
      <c r="D5939" t="n">
        <v>32</v>
      </c>
      <c r="E5939">
        <f>IF(D3275&gt;0,VLOOKUP(OPERAC[[#This Row],[COD CART]],[1]!MatrizCortoLargoCyl[#All],3,0),"")</f>
        <v/>
      </c>
      <c r="F5939" t="inlineStr">
        <is>
          <t>CRESY</t>
        </is>
      </c>
      <c r="G5939" t="n">
        <v>100</v>
      </c>
      <c r="H5939" t="n">
        <v>-680.303</v>
      </c>
      <c r="I5939">
        <f>-H3275/G3275</f>
        <v/>
      </c>
      <c r="J5939" s="16" t="n">
        <v>44708</v>
      </c>
      <c r="K5939" t="n">
        <v>100</v>
      </c>
      <c r="L5939" t="n">
        <v>733.71</v>
      </c>
    </row>
    <row r="5940">
      <c r="A5940" t="n">
        <v>22407</v>
      </c>
      <c r="B5940" s="16" t="n">
        <v>44643</v>
      </c>
      <c r="C5940" t="inlineStr">
        <is>
          <t>VTA</t>
        </is>
      </c>
      <c r="D5940" t="n">
        <v>42</v>
      </c>
      <c r="E5940">
        <f>IF(D2460&gt;0,VLOOKUP(OPERAC[[#This Row],[COD CART]],[1]!MatrizCortoLargoCyl[#All],3,0),"")</f>
        <v/>
      </c>
      <c r="F5940" t="inlineStr">
        <is>
          <t>FB</t>
        </is>
      </c>
      <c r="G5940" t="n">
        <v>2</v>
      </c>
      <c r="H5940" t="n">
        <v>-432.24652</v>
      </c>
      <c r="I5940">
        <f>-H2460/G2460</f>
        <v/>
      </c>
      <c r="J5940" s="16" t="n">
        <v>44671</v>
      </c>
      <c r="K5940">
        <f>+OPERAC[[#This Row],[cantidad]]</f>
        <v/>
      </c>
      <c r="L5940">
        <f>+OPERAC[[#This Row],[cantidad venta]]*213.173</f>
        <v/>
      </c>
    </row>
    <row r="5941">
      <c r="A5941" t="n">
        <v>22407</v>
      </c>
      <c r="B5941" s="16" t="n">
        <v>44643</v>
      </c>
      <c r="C5941" t="inlineStr">
        <is>
          <t>VTA</t>
        </is>
      </c>
      <c r="D5941" t="n">
        <v>42</v>
      </c>
      <c r="E5941">
        <f>IF(D2858&gt;0,VLOOKUP(OPERAC[[#This Row],[COD CART]],[1]!MatrizCortoLargoCyl[#All],3,0),"")</f>
        <v/>
      </c>
      <c r="F5941" t="inlineStr">
        <is>
          <t>SMH</t>
        </is>
      </c>
      <c r="G5941" t="n">
        <v>2</v>
      </c>
      <c r="H5941" t="n">
        <v>-534.325796</v>
      </c>
      <c r="I5941">
        <f>-H2858/G2858</f>
        <v/>
      </c>
      <c r="J5941" s="16" t="n">
        <v>44663</v>
      </c>
      <c r="K5941">
        <f>+OPERAC[[#This Row],[cantidad]]</f>
        <v/>
      </c>
      <c r="L5941">
        <f>+OPERAC[[#This Row],[cantidad venta]]*238.066</f>
        <v/>
      </c>
    </row>
    <row r="5942">
      <c r="A5942" t="n">
        <v>22407</v>
      </c>
      <c r="B5942" s="16" t="n">
        <v>44643</v>
      </c>
      <c r="C5942" t="inlineStr">
        <is>
          <t>VTA</t>
        </is>
      </c>
      <c r="D5942" t="n">
        <v>42</v>
      </c>
      <c r="E5942">
        <f>IF(D2979&gt;0,VLOOKUP(OPERAC[[#This Row],[COD CART]],[1]!MatrizCortoLargoCyl[#All],3,0),"")</f>
        <v/>
      </c>
      <c r="F5942" t="inlineStr">
        <is>
          <t>JPM</t>
        </is>
      </c>
      <c r="G5942" t="n">
        <v>4</v>
      </c>
      <c r="H5942" t="n">
        <v>-564.9865600000001</v>
      </c>
      <c r="I5942">
        <f>-H2979/G2979</f>
        <v/>
      </c>
      <c r="J5942" s="16" t="n">
        <v>44664</v>
      </c>
      <c r="K5942">
        <f>+OPERAC[[#This Row],[cantidad]]</f>
        <v/>
      </c>
      <c r="L5942">
        <f>+OPERAC[[#This Row],[cantidad venta]]*125.943</f>
        <v/>
      </c>
    </row>
    <row r="5943">
      <c r="A5943" t="n">
        <v>22407</v>
      </c>
      <c r="B5943" s="16" t="n">
        <v>44643</v>
      </c>
      <c r="C5943" t="inlineStr">
        <is>
          <t>VTA</t>
        </is>
      </c>
      <c r="D5943" t="n">
        <v>42</v>
      </c>
      <c r="E5943">
        <f>IF(D3723&gt;0,VLOOKUP(OPERAC[[#This Row],[COD CART]],[1]!MatrizCortoLargoCyl[#All],3,0),"")</f>
        <v/>
      </c>
      <c r="F5943" t="inlineStr">
        <is>
          <t>ADBE</t>
        </is>
      </c>
      <c r="G5943" t="n">
        <v>2</v>
      </c>
      <c r="H5943" t="n">
        <v>-842.10955</v>
      </c>
      <c r="I5943">
        <f>-H3723/G3723</f>
        <v/>
      </c>
      <c r="J5943" s="16" t="n">
        <v>44687</v>
      </c>
      <c r="K5943">
        <f>+OPERAC[[#This Row],[cantidad]]</f>
        <v/>
      </c>
      <c r="L5943" t="n">
        <v>1250.12</v>
      </c>
    </row>
    <row r="5944">
      <c r="A5944" t="n">
        <v>22407</v>
      </c>
      <c r="B5944" s="16" t="n">
        <v>44645</v>
      </c>
      <c r="C5944" t="inlineStr">
        <is>
          <t>VTA</t>
        </is>
      </c>
      <c r="D5944" t="n">
        <v>39</v>
      </c>
      <c r="E5944">
        <f>IF(D1171&gt;0,VLOOKUP(OPERAC[[#This Row],[COD CART]],[1]!MatrizCortoLargoCyl[#All],3,0),"")</f>
        <v/>
      </c>
      <c r="F5944" t="inlineStr">
        <is>
          <t>TLRY/V/6,00/16-09-22</t>
        </is>
      </c>
      <c r="G5944" t="n">
        <v>-13</v>
      </c>
      <c r="H5944" t="n">
        <v>13.4498</v>
      </c>
      <c r="I5944">
        <f>-H1171/G1171</f>
        <v/>
      </c>
    </row>
    <row r="5945">
      <c r="A5945" t="n">
        <v>22407</v>
      </c>
      <c r="B5945" s="16" t="n">
        <v>44648</v>
      </c>
      <c r="C5945" t="inlineStr">
        <is>
          <t>CPR</t>
        </is>
      </c>
      <c r="D5945" t="n">
        <v>42</v>
      </c>
      <c r="E5945">
        <f>IF(D4396&gt;0,VLOOKUP(OPERAC[[#This Row],[COD CART]],[1]!MatrizCortoLargoCyl[#All],3,0),"")</f>
        <v/>
      </c>
      <c r="F5945" t="inlineStr">
        <is>
          <t>DIS</t>
        </is>
      </c>
      <c r="G5945" t="n">
        <v>8</v>
      </c>
      <c r="H5945" t="n">
        <v>-1100.7328</v>
      </c>
      <c r="I5945">
        <f>-H4396/G4396</f>
        <v/>
      </c>
      <c r="J5945" s="16" t="n">
        <v>44671</v>
      </c>
      <c r="K5945">
        <f>+OPERAC[[#This Row],[cantidad]]</f>
        <v/>
      </c>
      <c r="L5945">
        <f>+OPERAC[[#This Row],[cantidad venta]]*123.621</f>
        <v/>
      </c>
    </row>
    <row r="5946">
      <c r="A5946" t="n">
        <v>22407</v>
      </c>
      <c r="B5946" s="16" t="n">
        <v>44648</v>
      </c>
      <c r="C5946" t="inlineStr">
        <is>
          <t>VTA</t>
        </is>
      </c>
      <c r="D5946" t="n">
        <v>42</v>
      </c>
      <c r="E5946">
        <f>IF(D2473&gt;0,VLOOKUP(OPERAC[[#This Row],[COD CART]],[1]!MatrizCortoLargoCyl[#All],3,0),"")</f>
        <v/>
      </c>
      <c r="F5946" t="inlineStr">
        <is>
          <t>ADBE</t>
        </is>
      </c>
      <c r="G5946" t="n">
        <v>1</v>
      </c>
      <c r="H5946" t="n">
        <v>-441.41245</v>
      </c>
      <c r="I5946">
        <f>-H2473/G2473</f>
        <v/>
      </c>
      <c r="J5946" s="16" t="n">
        <v>44687</v>
      </c>
      <c r="K5946">
        <f>+OPERAC[[#This Row],[cantidad]]</f>
        <v/>
      </c>
      <c r="L5946" t="n">
        <v>386.42</v>
      </c>
    </row>
    <row r="5947">
      <c r="A5947" t="n">
        <v>22407</v>
      </c>
      <c r="B5947" s="16" t="n">
        <v>44649</v>
      </c>
      <c r="C5947" t="inlineStr">
        <is>
          <t>CPR</t>
        </is>
      </c>
      <c r="D5947" t="n">
        <v>32</v>
      </c>
      <c r="E5947">
        <f>IF(D4847&gt;0,VLOOKUP(OPERAC[[#This Row],[COD CART]],[1]!MatrizCortoLargoCyl[#All],3,0),"")</f>
        <v/>
      </c>
      <c r="F5947" t="inlineStr">
        <is>
          <t>DDD</t>
        </is>
      </c>
      <c r="G5947" t="n">
        <v>100</v>
      </c>
      <c r="H5947" t="n">
        <v>-1439.859</v>
      </c>
      <c r="I5947">
        <f>-H4847/G4847</f>
        <v/>
      </c>
    </row>
    <row r="5948">
      <c r="A5948" t="n">
        <v>22407</v>
      </c>
      <c r="B5948" s="16" t="n">
        <v>44650</v>
      </c>
      <c r="C5948" t="inlineStr">
        <is>
          <t>CPR</t>
        </is>
      </c>
      <c r="D5948" t="n">
        <v>32</v>
      </c>
      <c r="E5948">
        <f>IF(D4915&gt;0,VLOOKUP(OPERAC[[#This Row],[COD CART]],[1]!MatrizCortoLargoCyl[#All],3,0),"")</f>
        <v/>
      </c>
      <c r="F5948" t="inlineStr">
        <is>
          <t>UUUU/CYL/8,00/20-05-22</t>
        </is>
      </c>
      <c r="G5948" t="n">
        <v>200</v>
      </c>
      <c r="H5948" t="n">
        <v>-1496.0408</v>
      </c>
      <c r="I5948">
        <f>-H4915/G4915</f>
        <v/>
      </c>
      <c r="J5948" s="16" t="n">
        <v>44665</v>
      </c>
      <c r="K5948" t="n">
        <v>200</v>
      </c>
      <c r="L5948" t="n">
        <v>1552</v>
      </c>
    </row>
    <row r="5949">
      <c r="A5949" t="n">
        <v>22407</v>
      </c>
      <c r="B5949" s="16" t="n">
        <v>44650</v>
      </c>
      <c r="C5949" t="inlineStr">
        <is>
          <t>VTA</t>
        </is>
      </c>
      <c r="D5949" t="n">
        <v>39</v>
      </c>
      <c r="E5949">
        <f>IF(D267&gt;0,VLOOKUP(OPERAC[[#This Row],[COD CART]],[1]!MatrizCortoLargoCyl[#All],3,0),"")</f>
        <v/>
      </c>
      <c r="F5949" t="inlineStr">
        <is>
          <t>TSLA/V/975,00/01-04-22</t>
        </is>
      </c>
      <c r="G5949" t="n">
        <v>-2000</v>
      </c>
      <c r="H5949" t="n">
        <v>1683.32</v>
      </c>
      <c r="I5949">
        <f>-H267/G267</f>
        <v/>
      </c>
      <c r="J5949" s="16" t="n">
        <v>44652</v>
      </c>
      <c r="K5949" t="n">
        <v>-2000</v>
      </c>
      <c r="L5949" t="n">
        <v>0</v>
      </c>
    </row>
    <row r="5950">
      <c r="A5950" t="n">
        <v>22407</v>
      </c>
      <c r="B5950" s="16" t="n">
        <v>44650</v>
      </c>
      <c r="C5950" t="inlineStr">
        <is>
          <t>VTA</t>
        </is>
      </c>
      <c r="D5950" t="n">
        <v>43</v>
      </c>
      <c r="E5950">
        <f>IF(D5429&gt;0,VLOOKUP(OPERAC[[#This Row],[COD CART]],[1]!MatrizCortoLargoCyl[#All],3,0),"")</f>
        <v/>
      </c>
      <c r="F5950" t="inlineStr">
        <is>
          <t>ACB/CYL-PUT/3,00/20-01-23</t>
        </is>
      </c>
      <c r="G5950" t="n">
        <v>1000</v>
      </c>
      <c r="H5950" t="n">
        <v>-1857.778</v>
      </c>
      <c r="I5950">
        <f>-H5429/G5429</f>
        <v/>
      </c>
    </row>
    <row r="5951">
      <c r="A5951" t="n">
        <v>22407</v>
      </c>
      <c r="B5951" s="16" t="n">
        <v>44655</v>
      </c>
      <c r="C5951" t="inlineStr">
        <is>
          <t>CPR</t>
        </is>
      </c>
      <c r="D5951" t="n">
        <v>42</v>
      </c>
      <c r="E5951">
        <f>IF(D2589&gt;0,VLOOKUP(OPERAC[[#This Row],[COD CART]],[1]!MatrizCortoLargoCyl[#All],3,0),"")</f>
        <v/>
      </c>
      <c r="F5951" t="inlineStr">
        <is>
          <t>FB</t>
        </is>
      </c>
      <c r="G5951" t="n">
        <v>2</v>
      </c>
      <c r="H5951" t="n">
        <v>-468.89344</v>
      </c>
      <c r="I5951">
        <f>-H2589/G2589</f>
        <v/>
      </c>
      <c r="J5951" s="16" t="n">
        <v>44671</v>
      </c>
      <c r="K5951">
        <f>+OPERAC[[#This Row],[cantidad]]</f>
        <v/>
      </c>
      <c r="L5951">
        <f>+OPERAC[[#This Row],[cantidad venta]]*213.173</f>
        <v/>
      </c>
    </row>
    <row r="5952">
      <c r="A5952" t="n">
        <v>22407</v>
      </c>
      <c r="B5952" s="16" t="n">
        <v>44655</v>
      </c>
      <c r="C5952" t="inlineStr">
        <is>
          <t>CPR</t>
        </is>
      </c>
      <c r="D5952" t="n">
        <v>31</v>
      </c>
      <c r="E5952">
        <f>IF(D2601&gt;0,VLOOKUP(OPERAC[[#This Row],[COD CART]],[1]!MatrizCortoLargoCyl[#All],3,0),"")</f>
        <v/>
      </c>
      <c r="F5952" t="inlineStr">
        <is>
          <t>BABA</t>
        </is>
      </c>
      <c r="G5952" t="n">
        <v>4</v>
      </c>
      <c r="H5952" t="n">
        <v>-471.3328</v>
      </c>
      <c r="I5952">
        <f>-H2601/G2601</f>
        <v/>
      </c>
    </row>
    <row r="5953">
      <c r="A5953" t="n">
        <v>22407</v>
      </c>
      <c r="B5953" s="16" t="n">
        <v>44655</v>
      </c>
      <c r="C5953" t="inlineStr">
        <is>
          <t>CPR</t>
        </is>
      </c>
      <c r="D5953" t="n">
        <v>42</v>
      </c>
      <c r="E5953">
        <f>IF(D2606&gt;0,VLOOKUP(OPERAC[[#This Row],[COD CART]],[1]!MatrizCortoLargoCyl[#All],3,0),"")</f>
        <v/>
      </c>
      <c r="F5953" t="inlineStr">
        <is>
          <t>ADBE</t>
        </is>
      </c>
      <c r="G5953" t="n">
        <v>1</v>
      </c>
      <c r="H5953" t="n">
        <v>-472.10896</v>
      </c>
      <c r="I5953">
        <f>-H2606/G2606</f>
        <v/>
      </c>
      <c r="J5953" s="16" t="n">
        <v>44687</v>
      </c>
      <c r="K5953">
        <f>+OPERAC[[#This Row],[cantidad]]</f>
        <v/>
      </c>
      <c r="L5953" t="n">
        <v>386.42</v>
      </c>
    </row>
    <row r="5954">
      <c r="A5954" t="n">
        <v>22407</v>
      </c>
      <c r="B5954" s="16" t="n">
        <v>44655</v>
      </c>
      <c r="C5954" t="inlineStr">
        <is>
          <t>CPR</t>
        </is>
      </c>
      <c r="D5954" t="n">
        <v>31</v>
      </c>
      <c r="E5954">
        <f>IF(D2665&gt;0,VLOOKUP(OPERAC[[#This Row],[COD CART]],[1]!MatrizCortoLargoCyl[#All],3,0),"")</f>
        <v/>
      </c>
      <c r="F5954" t="inlineStr">
        <is>
          <t>BBAR</t>
        </is>
      </c>
      <c r="G5954" t="n">
        <v>130</v>
      </c>
      <c r="H5954" t="n">
        <v>-487.8136</v>
      </c>
      <c r="I5954">
        <f>-H2665/G2665</f>
        <v/>
      </c>
    </row>
    <row r="5955">
      <c r="A5955" t="n">
        <v>22407</v>
      </c>
      <c r="B5955" s="16" t="n">
        <v>44655</v>
      </c>
      <c r="C5955" t="inlineStr">
        <is>
          <t>CPR</t>
        </is>
      </c>
      <c r="D5955" t="n">
        <v>31</v>
      </c>
      <c r="E5955">
        <f>IF(D2700&gt;0,VLOOKUP(OPERAC[[#This Row],[COD CART]],[1]!MatrizCortoLargoCyl[#All],3,0),"")</f>
        <v/>
      </c>
      <c r="F5955" t="inlineStr">
        <is>
          <t>CRESY</t>
        </is>
      </c>
      <c r="G5955" t="n">
        <v>60</v>
      </c>
      <c r="H5955" t="n">
        <v>-494.9583039999999</v>
      </c>
      <c r="I5955">
        <f>-H2700/G2700</f>
        <v/>
      </c>
    </row>
    <row r="5956">
      <c r="A5956" t="n">
        <v>22407</v>
      </c>
      <c r="B5956" s="16" t="n">
        <v>44655</v>
      </c>
      <c r="C5956" t="inlineStr">
        <is>
          <t>CPR</t>
        </is>
      </c>
      <c r="D5956" t="n">
        <v>31</v>
      </c>
      <c r="E5956">
        <f>IF(D3370&gt;0,VLOOKUP(OPERAC[[#This Row],[COD CART]],[1]!MatrizCortoLargoCyl[#All],3,0),"")</f>
        <v/>
      </c>
      <c r="F5956" t="inlineStr">
        <is>
          <t>BRK B</t>
        </is>
      </c>
      <c r="G5956" t="n">
        <v>2</v>
      </c>
      <c r="H5956" t="n">
        <v>-702.80992</v>
      </c>
      <c r="I5956">
        <f>-H3370/G3370</f>
        <v/>
      </c>
    </row>
    <row r="5957">
      <c r="A5957" t="n">
        <v>22407</v>
      </c>
      <c r="B5957" s="16" t="n">
        <v>44655</v>
      </c>
      <c r="C5957" t="inlineStr">
        <is>
          <t>VTA</t>
        </is>
      </c>
      <c r="D5957" t="n">
        <v>31</v>
      </c>
      <c r="E5957">
        <f>IF(D2204&gt;0,VLOOKUP(OPERAC[[#This Row],[COD CART]],[1]!MatrizCortoLargoCyl[#All],3,0),"")</f>
        <v/>
      </c>
      <c r="F5957" t="inlineStr">
        <is>
          <t>PAM</t>
        </is>
      </c>
      <c r="G5957" t="n">
        <v>15</v>
      </c>
      <c r="H5957" t="n">
        <v>-370.8352</v>
      </c>
      <c r="I5957">
        <f>-H2204/G2204</f>
        <v/>
      </c>
    </row>
    <row r="5958">
      <c r="A5958" t="n">
        <v>22407</v>
      </c>
      <c r="B5958" s="16" t="n">
        <v>44655</v>
      </c>
      <c r="C5958" t="inlineStr">
        <is>
          <t>VTA</t>
        </is>
      </c>
      <c r="D5958" t="n">
        <v>31</v>
      </c>
      <c r="E5958">
        <f>IF(D2509&gt;0,VLOOKUP(OPERAC[[#This Row],[COD CART]],[1]!MatrizCortoLargoCyl[#All],3,0),"")</f>
        <v/>
      </c>
      <c r="F5958" t="inlineStr">
        <is>
          <t>SPY</t>
        </is>
      </c>
      <c r="G5958" t="n">
        <v>1</v>
      </c>
      <c r="H5958" t="n">
        <v>-458.89408</v>
      </c>
      <c r="I5958">
        <f>-H2509/G2509</f>
        <v/>
      </c>
    </row>
    <row r="5959">
      <c r="A5959" t="n">
        <v>22407</v>
      </c>
      <c r="B5959" s="16" t="n">
        <v>44655</v>
      </c>
      <c r="C5959" t="inlineStr">
        <is>
          <t>VTA</t>
        </is>
      </c>
      <c r="D5959" t="n">
        <v>31</v>
      </c>
      <c r="E5959">
        <f>IF(D3009&gt;0,VLOOKUP(OPERAC[[#This Row],[COD CART]],[1]!MatrizCortoLargoCyl[#All],3,0),"")</f>
        <v/>
      </c>
      <c r="F5959" t="inlineStr">
        <is>
          <t>COST</t>
        </is>
      </c>
      <c r="G5959" t="n">
        <v>1</v>
      </c>
      <c r="H5959" t="n">
        <v>-582.55552</v>
      </c>
      <c r="I5959">
        <f>-H3009/G3009</f>
        <v/>
      </c>
    </row>
    <row r="5960">
      <c r="A5960" t="n">
        <v>22407</v>
      </c>
      <c r="B5960" s="16" t="n">
        <v>44655</v>
      </c>
      <c r="C5960" t="inlineStr">
        <is>
          <t>VTA</t>
        </is>
      </c>
      <c r="D5960" t="n">
        <v>31</v>
      </c>
      <c r="E5960">
        <f>IF(D3109&gt;0,VLOOKUP(OPERAC[[#This Row],[COD CART]],[1]!MatrizCortoLargoCyl[#All],3,0),"")</f>
        <v/>
      </c>
      <c r="F5960" t="inlineStr">
        <is>
          <t>TEO</t>
        </is>
      </c>
      <c r="G5960" t="n">
        <v>100</v>
      </c>
      <c r="H5960" t="n">
        <v>-625.96</v>
      </c>
      <c r="I5960">
        <f>-H3109/G3109</f>
        <v/>
      </c>
    </row>
    <row r="5961">
      <c r="A5961" t="n">
        <v>22407</v>
      </c>
      <c r="B5961" s="16" t="n">
        <v>44662</v>
      </c>
      <c r="C5961" t="inlineStr">
        <is>
          <t>VTA</t>
        </is>
      </c>
      <c r="D5961" t="n">
        <v>42</v>
      </c>
      <c r="E5961">
        <f>IF(D5062&gt;0,VLOOKUP(OPERAC[[#This Row],[COD CART]],[1]!MatrizCortoLargoCyl[#All],3,0),"")</f>
        <v/>
      </c>
      <c r="F5961" t="inlineStr">
        <is>
          <t>HYDR</t>
        </is>
      </c>
      <c r="G5961" t="n">
        <v>85</v>
      </c>
      <c r="H5961" t="n">
        <v>-1578.47924</v>
      </c>
      <c r="I5961">
        <f>-H5062/G5062</f>
        <v/>
      </c>
    </row>
    <row r="5962">
      <c r="A5962" t="n">
        <v>22407</v>
      </c>
      <c r="B5962" s="16" t="n">
        <v>44664</v>
      </c>
      <c r="C5962" t="inlineStr">
        <is>
          <t>CPR</t>
        </is>
      </c>
      <c r="D5962" t="n">
        <v>42</v>
      </c>
      <c r="E5962">
        <f>IF(D2695&gt;0,VLOOKUP(OPERAC[[#This Row],[COD CART]],[1]!MatrizCortoLargoCyl[#All],3,0),"")</f>
        <v/>
      </c>
      <c r="F5962" t="inlineStr">
        <is>
          <t>AMD</t>
        </is>
      </c>
      <c r="G5962" t="n">
        <v>5</v>
      </c>
      <c r="H5962" t="n">
        <v>-493.85327265</v>
      </c>
      <c r="I5962">
        <f>-H2695/G2695</f>
        <v/>
      </c>
    </row>
    <row r="5963">
      <c r="A5963" t="n">
        <v>22407</v>
      </c>
      <c r="B5963" s="16" t="n">
        <v>44664</v>
      </c>
      <c r="C5963" t="inlineStr">
        <is>
          <t>CPR</t>
        </is>
      </c>
      <c r="D5963" t="n">
        <v>42</v>
      </c>
      <c r="E5963">
        <f>IF(D5699&gt;0,VLOOKUP(OPERAC[[#This Row],[COD CART]],[1]!MatrizCortoLargoCyl[#All],3,0),"")</f>
        <v/>
      </c>
      <c r="F5963" t="inlineStr">
        <is>
          <t>PSQ</t>
        </is>
      </c>
      <c r="G5963" t="n">
        <v>200</v>
      </c>
      <c r="H5963" t="n">
        <v>-2486.5144362</v>
      </c>
      <c r="I5963">
        <f>-H5699/G5699</f>
        <v/>
      </c>
      <c r="J5963" s="16" t="n">
        <v>44671</v>
      </c>
      <c r="K5963">
        <f>100+100</f>
        <v/>
      </c>
      <c r="L5963">
        <f>1208.639+1284.84</f>
        <v/>
      </c>
    </row>
    <row r="5964">
      <c r="A5964" t="n">
        <v>22407</v>
      </c>
      <c r="B5964" s="16" t="n">
        <v>44671</v>
      </c>
      <c r="C5964" t="inlineStr">
        <is>
          <t>CPR</t>
        </is>
      </c>
      <c r="D5964" t="n">
        <v>42</v>
      </c>
      <c r="E5964">
        <f>IF(D4173&gt;0,VLOOKUP(OPERAC[[#This Row],[COD CART]],[1]!MatrizCortoLargoCyl[#All],3,0),"")</f>
        <v/>
      </c>
      <c r="F5964" t="inlineStr">
        <is>
          <t>TLT</t>
        </is>
      </c>
      <c r="G5964" t="n">
        <v>8</v>
      </c>
      <c r="H5964" t="n">
        <v>-980.50404</v>
      </c>
      <c r="I5964">
        <f>-H4173/G4173</f>
        <v/>
      </c>
    </row>
    <row r="5965">
      <c r="A5965" t="n">
        <v>22407</v>
      </c>
      <c r="B5965" s="16" t="n">
        <v>44671</v>
      </c>
      <c r="C5965" t="inlineStr">
        <is>
          <t>VTA</t>
        </is>
      </c>
      <c r="D5965" t="n">
        <v>42</v>
      </c>
      <c r="E5965">
        <f>IF(D5360&gt;0,VLOOKUP(OPERAC[[#This Row],[COD CART]],[1]!MatrizCortoLargoCyl[#All],3,0),"")</f>
        <v/>
      </c>
      <c r="F5965" t="inlineStr">
        <is>
          <t>NFLX</t>
        </is>
      </c>
      <c r="G5965" t="n">
        <v>7</v>
      </c>
      <c r="H5965" t="n">
        <v>-1781.53542</v>
      </c>
      <c r="I5965">
        <f>-H5360/G5360</f>
        <v/>
      </c>
      <c r="J5965" s="16" t="n">
        <v>44684</v>
      </c>
      <c r="K5965" t="n">
        <v>7</v>
      </c>
      <c r="L5965" t="n">
        <v>1392.195</v>
      </c>
    </row>
    <row r="5966">
      <c r="A5966" t="n">
        <v>22407</v>
      </c>
      <c r="B5966" s="16" t="n">
        <v>44680</v>
      </c>
      <c r="C5966" t="inlineStr">
        <is>
          <t>CPR</t>
        </is>
      </c>
      <c r="D5966" t="n">
        <v>42</v>
      </c>
      <c r="E5966">
        <f>IF(D4748&gt;0,VLOOKUP(OPERAC[[#This Row],[COD CART]],[1]!MatrizCortoLargoCyl[#All],3,0),"")</f>
        <v/>
      </c>
      <c r="F5966" t="inlineStr">
        <is>
          <t>XLP</t>
        </is>
      </c>
      <c r="G5966" t="n">
        <v>17</v>
      </c>
      <c r="H5966" t="n">
        <v>-1350.3865425</v>
      </c>
      <c r="I5966">
        <f>-H4748/G4748</f>
        <v/>
      </c>
    </row>
    <row r="5967">
      <c r="A5967" t="n">
        <v>22407</v>
      </c>
      <c r="B5967" s="16" t="n">
        <v>44684</v>
      </c>
      <c r="C5967" t="inlineStr">
        <is>
          <t>CPR</t>
        </is>
      </c>
      <c r="D5967" t="n">
        <v>32</v>
      </c>
      <c r="E5967">
        <f>IF(D4486&gt;0,VLOOKUP(OPERAC[[#This Row],[COD CART]],[1]!MatrizCortoLargoCyl[#All],3,0),"")</f>
        <v/>
      </c>
      <c r="F5967" t="inlineStr">
        <is>
          <t>HMY</t>
        </is>
      </c>
      <c r="G5967" t="n">
        <v>300</v>
      </c>
      <c r="H5967" t="n">
        <v>-1173.089</v>
      </c>
      <c r="I5967">
        <f>-H4486/G4486</f>
        <v/>
      </c>
    </row>
    <row r="5968">
      <c r="A5968" t="n">
        <v>22407</v>
      </c>
      <c r="B5968" s="16" t="n">
        <v>44708</v>
      </c>
      <c r="C5968" t="inlineStr">
        <is>
          <t>CPR</t>
        </is>
      </c>
      <c r="D5968" t="n">
        <v>32</v>
      </c>
      <c r="E5968">
        <f>IF(D4348&gt;0,VLOOKUP(OPERAC[[#This Row],[COD CART]],[1]!MatrizCortoLargoCyl[#All],3,0),"")</f>
        <v/>
      </c>
      <c r="F5968" t="inlineStr">
        <is>
          <t>AMC/CYL/11,00/03-06-22</t>
        </is>
      </c>
      <c r="G5968" t="n">
        <v>100</v>
      </c>
      <c r="H5968" t="n">
        <v>-1071.908</v>
      </c>
      <c r="I5968">
        <f>-H4348/G4348</f>
        <v/>
      </c>
      <c r="J5968" s="16" t="n">
        <v>44715</v>
      </c>
      <c r="K5968">
        <f>+OPERAC[[#This Row],[cantidad]]</f>
        <v/>
      </c>
      <c r="L5968">
        <f>+OPERAC[[#This Row],[cantidad venta]]*10.951</f>
        <v/>
      </c>
    </row>
    <row r="5969">
      <c r="A5969" t="n">
        <v>22407</v>
      </c>
      <c r="B5969" s="16" t="n">
        <v>44712</v>
      </c>
      <c r="C5969" t="inlineStr">
        <is>
          <t>CPR</t>
        </is>
      </c>
      <c r="D5969" t="n">
        <v>32</v>
      </c>
      <c r="E5969">
        <f>IF(D3328&gt;0,VLOOKUP(OPERAC[[#This Row],[COD CART]],[1]!MatrizCortoLargoCyl[#All],3,0),"")</f>
        <v/>
      </c>
      <c r="F5969" t="inlineStr">
        <is>
          <t>CRESY/CYL/7,50/17-06-22</t>
        </is>
      </c>
      <c r="G5969" t="n">
        <v>100</v>
      </c>
      <c r="H5969" t="n">
        <v>-693.075</v>
      </c>
      <c r="I5969">
        <f>-H3328/G3328</f>
        <v/>
      </c>
    </row>
    <row r="5970">
      <c r="A5970" t="n">
        <v>22407</v>
      </c>
      <c r="B5970" s="16" t="n">
        <v>44720</v>
      </c>
      <c r="C5970" t="inlineStr">
        <is>
          <t>CPR</t>
        </is>
      </c>
      <c r="D5970" t="n">
        <v>42</v>
      </c>
      <c r="E5970">
        <f>IF(D4335&gt;0,VLOOKUP(OPERAC[[#This Row],[COD CART]],[1]!MatrizCortoLargoCyl[#All],3,0),"")</f>
        <v/>
      </c>
      <c r="F5970" t="inlineStr">
        <is>
          <t>HYDR</t>
        </is>
      </c>
      <c r="G5970" t="n">
        <v>70</v>
      </c>
      <c r="H5970" t="n">
        <v>-1058.925</v>
      </c>
      <c r="I5970">
        <f>-H4335/G4335</f>
        <v/>
      </c>
    </row>
    <row r="5971">
      <c r="A5971" t="n">
        <v>22407</v>
      </c>
      <c r="B5971" s="16" t="n">
        <v>44725</v>
      </c>
      <c r="C5971" t="inlineStr">
        <is>
          <t>VTA</t>
        </is>
      </c>
      <c r="D5971" t="n">
        <v>40</v>
      </c>
      <c r="E5971">
        <f>IF(D2467&gt;0,VLOOKUP(OPERAC[[#This Row],[COD CART]],[1]!MatrizCortoLargoCyl[#All],3,0),"")</f>
        <v/>
      </c>
      <c r="F5971" t="inlineStr">
        <is>
          <t>AMD</t>
        </is>
      </c>
      <c r="G5971" t="n">
        <v>5</v>
      </c>
      <c r="H5971" t="n">
        <v>-438.4705875</v>
      </c>
      <c r="I5971">
        <f>-H2467/G2467</f>
        <v/>
      </c>
    </row>
    <row r="5972">
      <c r="A5972" t="n">
        <v>22421</v>
      </c>
      <c r="B5972" s="16" t="n">
        <v>44439</v>
      </c>
      <c r="C5972" t="inlineStr">
        <is>
          <t>VTA</t>
        </is>
      </c>
      <c r="D5972" t="n">
        <v>39</v>
      </c>
      <c r="E5972">
        <f>IF(D462&gt;0,VLOOKUP(OPERAC[[#This Row],[COD CART]],[1]!MatrizCortoLargoCyl[#All],3,0),"")</f>
        <v/>
      </c>
      <c r="F5972" t="inlineStr">
        <is>
          <t>SKLZ/P/7,50/20-01-23</t>
        </is>
      </c>
      <c r="G5972" t="n">
        <v>-500</v>
      </c>
      <c r="H5972" t="n">
        <v>992</v>
      </c>
      <c r="I5972">
        <f>-H462/G462</f>
        <v/>
      </c>
      <c r="J5972" s="16" t="n">
        <v>44614</v>
      </c>
      <c r="K5972">
        <f>+OPERAC[[#This Row],[cantidad]]</f>
        <v/>
      </c>
      <c r="L5972">
        <f>+OPERAC[[#This Row],[cantidad venta]]*4.488</f>
        <v/>
      </c>
    </row>
    <row r="5973">
      <c r="A5973" t="n">
        <v>22421</v>
      </c>
      <c r="B5973" s="16" t="n">
        <v>44461</v>
      </c>
      <c r="C5973" t="inlineStr">
        <is>
          <t>VTA</t>
        </is>
      </c>
      <c r="D5973" t="n">
        <v>40</v>
      </c>
      <c r="E5973">
        <f>IF(D2826&gt;0,VLOOKUP(OPERAC[[#This Row],[COD CART]],[1]!MatrizCortoLargoCyl[#All],3,0),"")</f>
        <v/>
      </c>
      <c r="F5973" t="inlineStr">
        <is>
          <t>EDU</t>
        </is>
      </c>
      <c r="G5973" t="n">
        <v>500</v>
      </c>
      <c r="H5973">
        <f>-1.0864*OPERAC[[#This Row],[cantidad]]+0.04*OPERAC[[#This Row],[cantidad]]</f>
        <v/>
      </c>
      <c r="I5973">
        <f>-H2826/G2826</f>
        <v/>
      </c>
      <c r="J5973" s="16" t="n">
        <v>44614</v>
      </c>
      <c r="K5973">
        <f>+OPERAC[[#This Row],[cantidad]]</f>
        <v/>
      </c>
      <c r="L5973">
        <f>1.483*OPERAC[[#This Row],[cantidad venta]]</f>
        <v/>
      </c>
    </row>
    <row r="5974">
      <c r="A5974" t="n">
        <v>22421</v>
      </c>
      <c r="B5974" s="16" t="n">
        <v>44489</v>
      </c>
      <c r="C5974" t="inlineStr">
        <is>
          <t>VTA</t>
        </is>
      </c>
      <c r="D5974" t="n">
        <v>43</v>
      </c>
      <c r="E5974">
        <f>IF(D1523&gt;0,VLOOKUP(OPERAC[[#This Row],[COD CART]],[1]!MatrizCortoLargoCyl[#All],3,0),"")</f>
        <v/>
      </c>
      <c r="F5974" t="inlineStr">
        <is>
          <t>SESN/CYL-PUT/1,00/19-01-24</t>
        </is>
      </c>
      <c r="G5974" t="n">
        <v>1000</v>
      </c>
      <c r="H5974">
        <f>-0.1885*OPERAC[[#This Row],[cantidad]]</f>
        <v/>
      </c>
      <c r="I5974">
        <f>-H1523/G1523</f>
        <v/>
      </c>
    </row>
    <row r="5975">
      <c r="A5975" t="n">
        <v>22421</v>
      </c>
      <c r="B5975" s="16" t="n">
        <v>44511</v>
      </c>
      <c r="C5975" t="inlineStr">
        <is>
          <t>VTA</t>
        </is>
      </c>
      <c r="D5975" t="n">
        <v>31</v>
      </c>
      <c r="E5975">
        <f>IF(D1359&gt;0,VLOOKUP(OPERAC[[#This Row],[COD CART]],[1]!MatrizCortoLargoCyl[#All],3,0),"")</f>
        <v/>
      </c>
      <c r="F5975" t="inlineStr">
        <is>
          <t>IPIX</t>
        </is>
      </c>
      <c r="G5975" t="n">
        <v>1000</v>
      </c>
      <c r="H5975" t="n">
        <v>-109.99</v>
      </c>
      <c r="I5975">
        <f>-H1359/G1359</f>
        <v/>
      </c>
    </row>
    <row r="5976">
      <c r="A5976" t="n">
        <v>22421</v>
      </c>
      <c r="B5976" s="16" t="n">
        <v>44538</v>
      </c>
      <c r="C5976" t="inlineStr">
        <is>
          <t>VTA</t>
        </is>
      </c>
      <c r="D5976" t="n">
        <v>43</v>
      </c>
      <c r="E5976">
        <f>IF(D1931&gt;0,VLOOKUP(OPERAC[[#This Row],[COD CART]],[1]!MatrizCortoLargoCyl[#All],3,0),"")</f>
        <v/>
      </c>
      <c r="F5976" t="inlineStr">
        <is>
          <t>XSPA/CYL-PUT/1,50/20-01-23</t>
        </is>
      </c>
      <c r="G5976" t="n">
        <v>500</v>
      </c>
      <c r="H5976">
        <f>-0.59863*OPERAC[[#This Row],[cantidad]]</f>
        <v/>
      </c>
      <c r="I5976">
        <f>-H1931/G1931</f>
        <v/>
      </c>
    </row>
    <row r="5977">
      <c r="A5977" t="n">
        <v>22421</v>
      </c>
      <c r="B5977" s="16" t="n">
        <v>44538</v>
      </c>
      <c r="C5977" t="inlineStr">
        <is>
          <t>VTA</t>
        </is>
      </c>
      <c r="D5977" t="n">
        <v>43</v>
      </c>
      <c r="E5977">
        <f>IF(D3204&gt;0,VLOOKUP(OPERAC[[#This Row],[COD CART]],[1]!MatrizCortoLargoCyl[#All],3,0),"")</f>
        <v/>
      </c>
      <c r="F5977" t="inlineStr">
        <is>
          <t>NNDM/CYL-PUT/2,50/19-01-24</t>
        </is>
      </c>
      <c r="G5977" t="n">
        <v>500</v>
      </c>
      <c r="H5977">
        <f>-1.306*OPERAC[[#This Row],[cantidad]]</f>
        <v/>
      </c>
      <c r="I5977">
        <f>-H3204/G3204</f>
        <v/>
      </c>
    </row>
    <row r="5978">
      <c r="A5978" t="n">
        <v>22421</v>
      </c>
      <c r="B5978" s="16" t="n">
        <v>44539</v>
      </c>
      <c r="C5978" t="inlineStr">
        <is>
          <t>CPR</t>
        </is>
      </c>
      <c r="D5978" t="n">
        <v>40</v>
      </c>
      <c r="E5978">
        <f>IF(D2800&gt;0,VLOOKUP(OPERAC[[#This Row],[COD CART]],[1]!MatrizCortoLargoCyl[#All],3,0),"")</f>
        <v/>
      </c>
      <c r="F5978" t="inlineStr">
        <is>
          <t>ROKU</t>
        </is>
      </c>
      <c r="G5978" t="n">
        <v>2</v>
      </c>
      <c r="H5978" t="n">
        <v>-515.4407199999999</v>
      </c>
      <c r="I5978">
        <f>-H2800/G2800</f>
        <v/>
      </c>
      <c r="J5978" s="16" t="n">
        <v>44606</v>
      </c>
      <c r="K5978">
        <f>+OPERAC[[#This Row],[cantidad]]</f>
        <v/>
      </c>
      <c r="L5978">
        <f>+OPERAC[[#This Row],[cantidad venta]]*160.574</f>
        <v/>
      </c>
    </row>
    <row r="5979">
      <c r="A5979" t="n">
        <v>22421</v>
      </c>
      <c r="B5979" s="16" t="n">
        <v>44557</v>
      </c>
      <c r="C5979" t="inlineStr">
        <is>
          <t>VTA</t>
        </is>
      </c>
      <c r="D5979" t="n">
        <v>39</v>
      </c>
      <c r="E5979">
        <f>IF(D908&gt;0,VLOOKUP(OPERAC[[#This Row],[COD CART]],[1]!MatrizCortoLargoCyl[#All],3,0),"")</f>
        <v/>
      </c>
      <c r="F5979" t="inlineStr">
        <is>
          <t>TSLA/V/850,00/07-01-22</t>
        </is>
      </c>
      <c r="G5979" t="n">
        <v>-100</v>
      </c>
      <c r="H5979" t="n">
        <v>144.722</v>
      </c>
      <c r="I5979">
        <f>-H908/G908</f>
        <v/>
      </c>
      <c r="J5979" s="16" t="n">
        <v>44564</v>
      </c>
      <c r="K5979" t="n">
        <v>-100</v>
      </c>
      <c r="L5979" t="n">
        <v>-28.238</v>
      </c>
    </row>
    <row r="5980">
      <c r="A5980" t="n">
        <v>22421</v>
      </c>
      <c r="B5980" s="16" t="n">
        <v>44558</v>
      </c>
      <c r="C5980" t="inlineStr">
        <is>
          <t>VTA</t>
        </is>
      </c>
      <c r="D5980" t="n">
        <v>40</v>
      </c>
      <c r="E5980">
        <f>IF(D1953&gt;0,VLOOKUP(OPERAC[[#This Row],[COD CART]],[1]!MatrizCortoLargoCyl[#All],3,0),"")</f>
        <v/>
      </c>
      <c r="F5980" t="inlineStr">
        <is>
          <t>UPST</t>
        </is>
      </c>
      <c r="G5980" t="n">
        <v>2</v>
      </c>
      <c r="H5980" t="n">
        <v>-301.2004</v>
      </c>
      <c r="I5980">
        <f>-H1953/G1953</f>
        <v/>
      </c>
      <c r="J5980" s="16" t="n">
        <v>44606</v>
      </c>
      <c r="K5980">
        <f>+OPERAC[[#This Row],[cantidad]]</f>
        <v/>
      </c>
      <c r="L5980">
        <f>+OPERAC[[#This Row],[cantidad venta]]*98.994</f>
        <v/>
      </c>
    </row>
    <row r="5981">
      <c r="A5981" t="n">
        <v>22421</v>
      </c>
      <c r="B5981" s="16" t="n">
        <v>44564</v>
      </c>
      <c r="C5981" t="inlineStr">
        <is>
          <t>VTA</t>
        </is>
      </c>
      <c r="D5981" t="n">
        <v>39</v>
      </c>
      <c r="E5981">
        <f>IF(D978&gt;0,VLOOKUP(OPERAC[[#This Row],[COD CART]],[1]!MatrizCortoLargoCyl[#All],3,0),"")</f>
        <v/>
      </c>
      <c r="F5981" t="inlineStr">
        <is>
          <t>TSLA/V/975,00/07-01-22</t>
        </is>
      </c>
      <c r="G5981" t="n">
        <v>-100</v>
      </c>
      <c r="H5981" t="n">
        <v>77.2578</v>
      </c>
      <c r="I5981">
        <f>-H978/G978</f>
        <v/>
      </c>
      <c r="J5981" s="16" t="n">
        <v>44567</v>
      </c>
      <c r="K5981" t="n">
        <v>-100</v>
      </c>
      <c r="L5981" t="n">
        <v>-77.26000000000001</v>
      </c>
    </row>
    <row r="5982">
      <c r="A5982" t="n">
        <v>22421</v>
      </c>
      <c r="B5982" s="16" t="n">
        <v>44567</v>
      </c>
      <c r="C5982" t="inlineStr">
        <is>
          <t>VTA</t>
        </is>
      </c>
      <c r="D5982" t="n">
        <v>39</v>
      </c>
      <c r="E5982">
        <f>IF(D618&gt;0,VLOOKUP(OPERAC[[#This Row],[COD CART]],[1]!MatrizCortoLargoCyl[#All],3,0),"")</f>
        <v/>
      </c>
      <c r="F5982" t="inlineStr">
        <is>
          <t>TSLA/V/880,00/14-01-22</t>
        </is>
      </c>
      <c r="G5982" t="n">
        <v>-100</v>
      </c>
      <c r="H5982" t="n">
        <v>594.9337</v>
      </c>
      <c r="I5982">
        <f>-H618/G618</f>
        <v/>
      </c>
      <c r="J5982" s="16" t="n">
        <v>44571</v>
      </c>
      <c r="K5982" t="n">
        <v>-100</v>
      </c>
      <c r="L5982" t="n">
        <v>-336.3553</v>
      </c>
    </row>
    <row r="5983">
      <c r="A5983" t="n">
        <v>22421</v>
      </c>
      <c r="B5983" s="16" t="n">
        <v>44571</v>
      </c>
      <c r="C5983" t="inlineStr">
        <is>
          <t>VTA</t>
        </is>
      </c>
      <c r="D5983" t="n">
        <v>39</v>
      </c>
      <c r="E5983">
        <f>IF(D627&gt;0,VLOOKUP(OPERAC[[#This Row],[COD CART]],[1]!MatrizCortoLargoCyl[#All],3,0),"")</f>
        <v/>
      </c>
      <c r="F5983" t="inlineStr">
        <is>
          <t>TSLA/V/870,00/21-01-22</t>
        </is>
      </c>
      <c r="G5983" t="n">
        <v>-100</v>
      </c>
      <c r="H5983" t="n">
        <v>575.0937</v>
      </c>
      <c r="I5983">
        <f>-H627/G627</f>
        <v/>
      </c>
      <c r="J5983" s="16" t="n">
        <v>44574</v>
      </c>
      <c r="K5983" t="n">
        <v>-100</v>
      </c>
      <c r="L5983" t="n">
        <v>-166.5813</v>
      </c>
    </row>
    <row r="5984">
      <c r="A5984" t="n">
        <v>22421</v>
      </c>
      <c r="B5984" s="16" t="n">
        <v>44581</v>
      </c>
      <c r="C5984" t="inlineStr">
        <is>
          <t>CPR</t>
        </is>
      </c>
      <c r="D5984" t="n">
        <v>32</v>
      </c>
      <c r="E5984">
        <f>IF(D3591&gt;0,VLOOKUP(OPERAC[[#This Row],[COD CART]],[1]!MatrizCortoLargoCyl[#All],3,0),"")</f>
        <v/>
      </c>
      <c r="F5984" t="inlineStr">
        <is>
          <t>HMY/CYL/4,00/18-02-22</t>
        </is>
      </c>
      <c r="G5984" t="n">
        <v>200</v>
      </c>
      <c r="H5984" t="n">
        <v>-774.9359920000001</v>
      </c>
      <c r="I5984">
        <f>-H3591/G3591</f>
        <v/>
      </c>
      <c r="J5984" s="16" t="n">
        <v>44610</v>
      </c>
      <c r="K5984">
        <f>+OPERAC[[#This Row],[cantidad]]</f>
        <v/>
      </c>
      <c r="L5984">
        <f>+OPERAC[[#This Row],[cantidad venta]]*3.8323</f>
        <v/>
      </c>
    </row>
    <row r="5985">
      <c r="A5985" t="n">
        <v>22421</v>
      </c>
      <c r="B5985" s="16" t="n">
        <v>44594</v>
      </c>
      <c r="C5985" t="inlineStr">
        <is>
          <t>CPR</t>
        </is>
      </c>
      <c r="D5985" t="n">
        <v>40</v>
      </c>
      <c r="E5985">
        <f>IF(D4237&gt;0,VLOOKUP(OPERAC[[#This Row],[COD CART]],[1]!MatrizCortoLargoCyl[#All],3,0),"")</f>
        <v/>
      </c>
      <c r="F5985" t="inlineStr">
        <is>
          <t>EDU</t>
        </is>
      </c>
      <c r="G5985" t="n">
        <v>500</v>
      </c>
      <c r="H5985" t="n">
        <v>-1008</v>
      </c>
      <c r="I5985">
        <f>-H4237/G4237</f>
        <v/>
      </c>
      <c r="J5985" s="16" t="n">
        <v>44601</v>
      </c>
      <c r="K5985" t="n">
        <v>500</v>
      </c>
      <c r="L5985">
        <f>500*1.64</f>
        <v/>
      </c>
    </row>
    <row r="5986">
      <c r="A5986" t="n">
        <v>22421</v>
      </c>
      <c r="B5986" s="16" t="n">
        <v>44601</v>
      </c>
      <c r="C5986" t="inlineStr">
        <is>
          <t>VTA</t>
        </is>
      </c>
      <c r="D5986" t="n">
        <v>43</v>
      </c>
      <c r="E5986">
        <f>IF(D2813&gt;0,VLOOKUP(OPERAC[[#This Row],[COD CART]],[1]!MatrizCortoLargoCyl[#All],3,0),"")</f>
        <v/>
      </c>
      <c r="F5986" t="inlineStr">
        <is>
          <t>GMBL/CYL-PUT/2,50/20-01-23</t>
        </is>
      </c>
      <c r="G5986" t="n">
        <v>400</v>
      </c>
      <c r="H5986">
        <f>-1.3*OPERAC[[#This Row],[cantidad]]</f>
        <v/>
      </c>
      <c r="I5986">
        <f>-H2813/G2813</f>
        <v/>
      </c>
      <c r="J5986" s="16" t="n">
        <v>44637</v>
      </c>
      <c r="K5986" t="n">
        <v>400</v>
      </c>
      <c r="L5986" t="n">
        <v>-496.258</v>
      </c>
    </row>
    <row r="5987">
      <c r="A5987" t="n">
        <v>22421</v>
      </c>
      <c r="B5987" s="16" t="n">
        <v>44614</v>
      </c>
      <c r="C5987" t="inlineStr">
        <is>
          <t>VTA</t>
        </is>
      </c>
      <c r="D5987" t="n">
        <v>39</v>
      </c>
      <c r="E5987">
        <f>IF(D1186&gt;0,VLOOKUP(OPERAC[[#This Row],[COD CART]],[1]!MatrizCortoLargoCyl[#All],3,0),"")</f>
        <v/>
      </c>
      <c r="F5987" t="inlineStr">
        <is>
          <t>DDD/V/10,00/20-01-23</t>
        </is>
      </c>
      <c r="G5987" t="n">
        <v>-10</v>
      </c>
      <c r="H5987" t="n">
        <v>10.37</v>
      </c>
      <c r="I5987">
        <f>-H1186/G1186</f>
        <v/>
      </c>
    </row>
    <row r="5988">
      <c r="A5988" t="n">
        <v>22421</v>
      </c>
      <c r="B5988" s="16" t="n">
        <v>44616</v>
      </c>
      <c r="C5988" t="inlineStr">
        <is>
          <t>CPR</t>
        </is>
      </c>
      <c r="D5988" t="n">
        <v>32</v>
      </c>
      <c r="E5988">
        <f>IF(D4331&gt;0,VLOOKUP(OPERAC[[#This Row],[COD CART]],[1]!MatrizCortoLargoCyl[#All],3,0),"")</f>
        <v/>
      </c>
      <c r="F5988" t="inlineStr">
        <is>
          <t>PLTR/CYL/12,00/14-04-22</t>
        </is>
      </c>
      <c r="G5988" t="n">
        <v>100</v>
      </c>
      <c r="H5988" t="n">
        <v>-1052.7265</v>
      </c>
      <c r="I5988">
        <f>-H4331/G4331</f>
        <v/>
      </c>
      <c r="J5988" s="16" t="n">
        <v>44643</v>
      </c>
      <c r="K5988" t="n">
        <v>100</v>
      </c>
      <c r="L5988" t="n">
        <v>1146.72</v>
      </c>
    </row>
    <row r="5989">
      <c r="A5989" t="n">
        <v>22421</v>
      </c>
      <c r="B5989" s="16" t="n">
        <v>44634</v>
      </c>
      <c r="C5989" t="inlineStr">
        <is>
          <t>VTA</t>
        </is>
      </c>
      <c r="D5989" t="n">
        <v>42</v>
      </c>
      <c r="E5989">
        <f>IF(D5231&gt;0,VLOOKUP(OPERAC[[#This Row],[COD CART]],[1]!MatrizCortoLargoCyl[#All],3,0),"")</f>
        <v/>
      </c>
      <c r="F5989" t="inlineStr">
        <is>
          <t>INO</t>
        </is>
      </c>
      <c r="G5989" t="n">
        <v>500</v>
      </c>
      <c r="H5989" t="n">
        <v>-1660.408</v>
      </c>
      <c r="I5989">
        <f>-H5231/G5231</f>
        <v/>
      </c>
      <c r="J5989" s="16" t="n">
        <v>44634</v>
      </c>
      <c r="K5989" t="n">
        <v>500</v>
      </c>
      <c r="L5989" t="n">
        <v>1494.4275</v>
      </c>
    </row>
    <row r="5990">
      <c r="A5990" t="n">
        <v>22421</v>
      </c>
      <c r="B5990" s="16" t="n">
        <v>44636</v>
      </c>
      <c r="C5990" t="inlineStr">
        <is>
          <t>VTA</t>
        </is>
      </c>
      <c r="D5990" t="n">
        <v>39</v>
      </c>
      <c r="E5990">
        <f>IF(D277&gt;0,VLOOKUP(OPERAC[[#This Row],[COD CART]],[1]!MatrizCortoLargoCyl[#All],3,0),"")</f>
        <v/>
      </c>
      <c r="F5990" t="inlineStr">
        <is>
          <t>TSLA/V/740,00/18-03-22</t>
        </is>
      </c>
      <c r="G5990" t="n">
        <v>-2000</v>
      </c>
      <c r="H5990" t="n">
        <v>1652.52</v>
      </c>
      <c r="I5990">
        <f>-H277/G277</f>
        <v/>
      </c>
      <c r="J5990" s="16" t="n">
        <v>44638</v>
      </c>
      <c r="K5990" t="n">
        <v>-2000</v>
      </c>
      <c r="L5990" t="n">
        <v>-96.36</v>
      </c>
    </row>
    <row r="5991">
      <c r="A5991" t="n">
        <v>22421</v>
      </c>
      <c r="B5991" s="16" t="n">
        <v>44636</v>
      </c>
      <c r="C5991" t="inlineStr">
        <is>
          <t>VTA</t>
        </is>
      </c>
      <c r="D5991" t="n">
        <v>39</v>
      </c>
      <c r="E5991">
        <f>IF(D554&gt;0,VLOOKUP(OPERAC[[#This Row],[COD CART]],[1]!MatrizCortoLargoCyl[#All],3,0),"")</f>
        <v/>
      </c>
      <c r="F5991" t="inlineStr">
        <is>
          <t>TSLA/V/700,00/18-03-22</t>
        </is>
      </c>
      <c r="G5991" t="n">
        <v>-2000</v>
      </c>
      <c r="H5991" t="n">
        <v>769.77</v>
      </c>
      <c r="I5991">
        <f>-H554/G554</f>
        <v/>
      </c>
      <c r="J5991" s="16" t="n">
        <v>44638</v>
      </c>
      <c r="K5991" t="n">
        <v>-2000</v>
      </c>
      <c r="L5991" t="n">
        <v>0</v>
      </c>
    </row>
    <row r="5992">
      <c r="A5992" t="n">
        <v>22421</v>
      </c>
      <c r="B5992" s="16" t="n">
        <v>44641</v>
      </c>
      <c r="C5992" t="inlineStr">
        <is>
          <t>VTA</t>
        </is>
      </c>
      <c r="D5992" t="n">
        <v>42</v>
      </c>
      <c r="E5992">
        <f>IF(D2383&gt;0,VLOOKUP(OPERAC[[#This Row],[COD CART]],[1]!MatrizCortoLargoCyl[#All],3,0),"")</f>
        <v/>
      </c>
      <c r="F5992" t="inlineStr">
        <is>
          <t>JPM</t>
        </is>
      </c>
      <c r="G5992" t="n">
        <v>3</v>
      </c>
      <c r="H5992" t="n">
        <v>-421.3630200000001</v>
      </c>
      <c r="I5992">
        <f>-H2383/G2383</f>
        <v/>
      </c>
      <c r="J5992" s="16" t="n">
        <v>44664</v>
      </c>
      <c r="K5992">
        <f>+OPERAC[[#This Row],[cantidad]]</f>
        <v/>
      </c>
      <c r="L5992">
        <f>+OPERAC[[#This Row],[cantidad venta]]*125.943</f>
        <v/>
      </c>
    </row>
    <row r="5993">
      <c r="A5993" t="n">
        <v>22421</v>
      </c>
      <c r="B5993" s="16" t="n">
        <v>44641</v>
      </c>
      <c r="C5993" t="inlineStr">
        <is>
          <t>VTA</t>
        </is>
      </c>
      <c r="D5993" t="n">
        <v>42</v>
      </c>
      <c r="E5993">
        <f>IF(D2426&gt;0,VLOOKUP(OPERAC[[#This Row],[COD CART]],[1]!MatrizCortoLargoCyl[#All],3,0),"")</f>
        <v/>
      </c>
      <c r="F5993" t="inlineStr">
        <is>
          <t>FB</t>
        </is>
      </c>
      <c r="G5993" t="n">
        <v>2</v>
      </c>
      <c r="H5993" t="n">
        <v>-424.31276</v>
      </c>
      <c r="I5993">
        <f>-H2426/G2426</f>
        <v/>
      </c>
      <c r="J5993" s="16" t="n">
        <v>44671</v>
      </c>
      <c r="K5993">
        <f>+OPERAC[[#This Row],[cantidad]]</f>
        <v/>
      </c>
      <c r="L5993">
        <f>+OPERAC[[#This Row],[cantidad venta]]*213.173</f>
        <v/>
      </c>
    </row>
    <row r="5994">
      <c r="A5994" t="n">
        <v>22421</v>
      </c>
      <c r="B5994" s="16" t="n">
        <v>44641</v>
      </c>
      <c r="C5994" t="inlineStr">
        <is>
          <t>VTA</t>
        </is>
      </c>
      <c r="D5994" t="n">
        <v>42</v>
      </c>
      <c r="E5994">
        <f>IF(D2887&gt;0,VLOOKUP(OPERAC[[#This Row],[COD CART]],[1]!MatrizCortoLargoCyl[#All],3,0),"")</f>
        <v/>
      </c>
      <c r="F5994" t="inlineStr">
        <is>
          <t>SMH</t>
        </is>
      </c>
      <c r="G5994" t="n">
        <v>2</v>
      </c>
      <c r="H5994" t="n">
        <v>-537.9153000000001</v>
      </c>
      <c r="I5994">
        <f>-H2887/G2887</f>
        <v/>
      </c>
      <c r="J5994" s="16" t="n">
        <v>44658</v>
      </c>
      <c r="K5994" t="n">
        <v>2</v>
      </c>
      <c r="L5994" t="n">
        <v>495.754</v>
      </c>
    </row>
    <row r="5995">
      <c r="A5995" t="n">
        <v>22421</v>
      </c>
      <c r="B5995" s="16" t="n">
        <v>44643</v>
      </c>
      <c r="C5995" t="inlineStr">
        <is>
          <t>CPR</t>
        </is>
      </c>
      <c r="D5995" t="n">
        <v>42</v>
      </c>
      <c r="E5995">
        <f>IF(D3356&gt;0,VLOOKUP(OPERAC[[#This Row],[COD CART]],[1]!MatrizCortoLargoCyl[#All],3,0),"")</f>
        <v/>
      </c>
      <c r="F5995" t="inlineStr">
        <is>
          <t>DIS</t>
        </is>
      </c>
      <c r="G5995" t="n">
        <v>5</v>
      </c>
      <c r="H5995" t="n">
        <v>-698.51075</v>
      </c>
      <c r="I5995">
        <f>-H3356/G3356</f>
        <v/>
      </c>
      <c r="J5995" s="16" t="n">
        <v>44671</v>
      </c>
      <c r="K5995">
        <f>+OPERAC[[#This Row],[cantidad]]</f>
        <v/>
      </c>
      <c r="L5995">
        <f>+OPERAC[[#This Row],[cantidad venta]]*123.621</f>
        <v/>
      </c>
    </row>
    <row r="5996">
      <c r="A5996" t="n">
        <v>22421</v>
      </c>
      <c r="B5996" s="16" t="n">
        <v>44643</v>
      </c>
      <c r="C5996" t="inlineStr">
        <is>
          <t>VTA</t>
        </is>
      </c>
      <c r="D5996" t="n">
        <v>42</v>
      </c>
      <c r="E5996">
        <f>IF(D1624&gt;0,VLOOKUP(OPERAC[[#This Row],[COD CART]],[1]!MatrizCortoLargoCyl[#All],3,0),"")</f>
        <v/>
      </c>
      <c r="F5996" t="inlineStr">
        <is>
          <t>FB</t>
        </is>
      </c>
      <c r="G5996" t="n">
        <v>1</v>
      </c>
      <c r="H5996" t="n">
        <v>-216.12326</v>
      </c>
      <c r="I5996">
        <f>-H1624/G1624</f>
        <v/>
      </c>
      <c r="J5996" s="16" t="n">
        <v>44671</v>
      </c>
      <c r="K5996">
        <f>+OPERAC[[#This Row],[cantidad]]</f>
        <v/>
      </c>
      <c r="L5996">
        <f>+OPERAC[[#This Row],[cantidad venta]]*213.173</f>
        <v/>
      </c>
    </row>
    <row r="5997">
      <c r="A5997" t="n">
        <v>22421</v>
      </c>
      <c r="B5997" s="16" t="n">
        <v>44643</v>
      </c>
      <c r="C5997" t="inlineStr">
        <is>
          <t>VTA</t>
        </is>
      </c>
      <c r="D5997" t="n">
        <v>42</v>
      </c>
      <c r="E5997">
        <f>IF(D1893&gt;0,VLOOKUP(OPERAC[[#This Row],[COD CART]],[1]!MatrizCortoLargoCyl[#All],3,0),"")</f>
        <v/>
      </c>
      <c r="F5997" t="inlineStr">
        <is>
          <t>JPM</t>
        </is>
      </c>
      <c r="G5997" t="n">
        <v>2</v>
      </c>
      <c r="H5997" t="n">
        <v>-282.49328</v>
      </c>
      <c r="I5997">
        <f>-H1893/G1893</f>
        <v/>
      </c>
      <c r="J5997" s="16" t="n">
        <v>44664</v>
      </c>
      <c r="K5997">
        <f>+OPERAC[[#This Row],[cantidad]]</f>
        <v/>
      </c>
      <c r="L5997">
        <f>+OPERAC[[#This Row],[cantidad venta]]*125.943</f>
        <v/>
      </c>
    </row>
    <row r="5998">
      <c r="A5998" t="n">
        <v>22421</v>
      </c>
      <c r="B5998" s="16" t="n">
        <v>44658</v>
      </c>
      <c r="C5998" t="inlineStr">
        <is>
          <t>VTA</t>
        </is>
      </c>
      <c r="D5998" t="n">
        <v>41</v>
      </c>
      <c r="E5998">
        <f>IF(D2510&gt;0,VLOOKUP(OPERAC[[#This Row],[COD CART]],[1]!MatrizCortoLargoCyl[#All],3,0),"")</f>
        <v/>
      </c>
      <c r="F5998" t="inlineStr">
        <is>
          <t>GBTC</t>
        </is>
      </c>
      <c r="G5998" t="n">
        <v>15</v>
      </c>
      <c r="H5998" t="n">
        <v>-458.985</v>
      </c>
      <c r="I5998">
        <f>-H2510/G2510</f>
        <v/>
      </c>
    </row>
    <row r="5999">
      <c r="A5999" t="n">
        <v>22421</v>
      </c>
      <c r="B5999" s="16" t="n">
        <v>44662</v>
      </c>
      <c r="C5999" t="inlineStr">
        <is>
          <t>CPR</t>
        </is>
      </c>
      <c r="D5999" t="n">
        <v>42</v>
      </c>
      <c r="E5999">
        <f>IF(D1852&gt;0,VLOOKUP(OPERAC[[#This Row],[COD CART]],[1]!MatrizCortoLargoCyl[#All],3,0),"")</f>
        <v/>
      </c>
      <c r="F5999" t="inlineStr">
        <is>
          <t>HYDR</t>
        </is>
      </c>
      <c r="G5999" t="n">
        <v>15</v>
      </c>
      <c r="H5999" t="n">
        <v>-278.5551599999999</v>
      </c>
      <c r="I5999">
        <f>-H1852/G1852</f>
        <v/>
      </c>
      <c r="J5999" s="16" t="n">
        <v>44693</v>
      </c>
      <c r="K5999">
        <f>+OPERAC[[#This Row],[cantidad]]</f>
        <v/>
      </c>
      <c r="L5999">
        <f>+OPERAC[[#This Row],[cantidad venta]]*11.986</f>
        <v/>
      </c>
    </row>
    <row r="6000">
      <c r="A6000" t="n">
        <v>22421</v>
      </c>
      <c r="B6000" s="16" t="n">
        <v>44664</v>
      </c>
      <c r="C6000" t="inlineStr">
        <is>
          <t>VTA</t>
        </is>
      </c>
      <c r="D6000" t="n">
        <v>42</v>
      </c>
      <c r="E6000">
        <f>IF(D1727&gt;0,VLOOKUP(OPERAC[[#This Row],[COD CART]],[1]!MatrizCortoLargoCyl[#All],3,0),"")</f>
        <v/>
      </c>
      <c r="F6000" t="inlineStr">
        <is>
          <t>PSQ</t>
        </is>
      </c>
      <c r="G6000" t="n">
        <v>20</v>
      </c>
      <c r="H6000" t="n">
        <v>-248.65144362</v>
      </c>
      <c r="I6000">
        <f>-H1727/G1727</f>
        <v/>
      </c>
      <c r="J6000" s="16" t="n">
        <v>44680</v>
      </c>
      <c r="K6000">
        <f>+OPERAC[[#This Row],[cantidad]]</f>
        <v/>
      </c>
      <c r="L6000">
        <f>12.848*OPERAC[[#This Row],[cantidad venta]]</f>
        <v/>
      </c>
    </row>
    <row r="6001">
      <c r="A6001" t="n">
        <v>22421</v>
      </c>
      <c r="B6001" s="16" t="n">
        <v>44671</v>
      </c>
      <c r="C6001" t="inlineStr">
        <is>
          <t>CPR</t>
        </is>
      </c>
      <c r="D6001" t="n">
        <v>42</v>
      </c>
      <c r="E6001">
        <f>IF(D3517&gt;0,VLOOKUP(OPERAC[[#This Row],[COD CART]],[1]!MatrizCortoLargoCyl[#All],3,0),"")</f>
        <v/>
      </c>
      <c r="F6001" t="inlineStr">
        <is>
          <t>NFLX</t>
        </is>
      </c>
      <c r="G6001" t="n">
        <v>3</v>
      </c>
      <c r="H6001" t="n">
        <v>-763.51518</v>
      </c>
      <c r="I6001">
        <f>-H3517/G3517</f>
        <v/>
      </c>
      <c r="J6001" s="16" t="n">
        <v>44693</v>
      </c>
      <c r="K6001">
        <f>+OPERAC[[#This Row],[cantidad]]</f>
        <v/>
      </c>
      <c r="L6001">
        <f>+OPERAC[[#This Row],[cantidad venta]]*169.089</f>
        <v/>
      </c>
    </row>
    <row r="6002">
      <c r="A6002" t="n">
        <v>22421</v>
      </c>
      <c r="B6002" s="16" t="n">
        <v>44671</v>
      </c>
      <c r="C6002" t="inlineStr">
        <is>
          <t>VTA</t>
        </is>
      </c>
      <c r="D6002" t="n">
        <v>42</v>
      </c>
      <c r="E6002">
        <f>IF(D3067&gt;0,VLOOKUP(OPERAC[[#This Row],[COD CART]],[1]!MatrizCortoLargoCyl[#All],3,0),"")</f>
        <v/>
      </c>
      <c r="F6002" t="inlineStr">
        <is>
          <t>TLT</t>
        </is>
      </c>
      <c r="G6002" t="n">
        <v>5</v>
      </c>
      <c r="H6002" t="n">
        <v>-612.815025</v>
      </c>
      <c r="I6002">
        <f>-H3067/G3067</f>
        <v/>
      </c>
    </row>
    <row r="6003">
      <c r="A6003" t="n">
        <v>22421</v>
      </c>
      <c r="B6003" s="16" t="n">
        <v>44680</v>
      </c>
      <c r="C6003" t="inlineStr">
        <is>
          <t>VTA</t>
        </is>
      </c>
      <c r="D6003" t="n">
        <v>42</v>
      </c>
      <c r="E6003">
        <f>IF(D1689&gt;0,VLOOKUP(OPERAC[[#This Row],[COD CART]],[1]!MatrizCortoLargoCyl[#All],3,0),"")</f>
        <v/>
      </c>
      <c r="F6003" t="inlineStr">
        <is>
          <t>XLP</t>
        </is>
      </c>
      <c r="G6003" t="n">
        <v>3</v>
      </c>
      <c r="H6003" t="n">
        <v>-238.3035075</v>
      </c>
      <c r="I6003">
        <f>-H1689/G1689</f>
        <v/>
      </c>
      <c r="J6003" s="16" t="n">
        <v>44693</v>
      </c>
      <c r="K6003">
        <f>+OPERAC[[#This Row],[cantidad]]</f>
        <v/>
      </c>
      <c r="L6003">
        <f>+OPERAC[[#This Row],[cantidad venta]]*74.848</f>
        <v/>
      </c>
    </row>
    <row r="6004">
      <c r="A6004" t="n">
        <v>22421</v>
      </c>
      <c r="B6004" s="16" t="n">
        <v>44698</v>
      </c>
      <c r="C6004" t="inlineStr">
        <is>
          <t>VTA</t>
        </is>
      </c>
      <c r="D6004" t="n">
        <v>39</v>
      </c>
      <c r="E6004">
        <f>IF(D1739&gt;0,VLOOKUP(OPERAC[[#This Row],[COD CART]],[1]!MatrizCortoLargoCyl[#All],3,0),"")</f>
        <v/>
      </c>
      <c r="F6004" t="inlineStr">
        <is>
          <t>NTLA/C/65,00/15-07-22</t>
        </is>
      </c>
      <c r="G6004" t="n">
        <v>100</v>
      </c>
      <c r="H6004" t="n">
        <v>-252.125</v>
      </c>
      <c r="I6004">
        <f>-H1739/G1739</f>
        <v/>
      </c>
    </row>
    <row r="6005">
      <c r="A6005" t="n">
        <v>22421</v>
      </c>
      <c r="B6005" s="16" t="n">
        <v>44712</v>
      </c>
      <c r="C6005" t="inlineStr">
        <is>
          <t>CPR</t>
        </is>
      </c>
      <c r="D6005" t="n">
        <v>32</v>
      </c>
      <c r="E6005">
        <f>IF(D3327&gt;0,VLOOKUP(OPERAC[[#This Row],[COD CART]],[1]!MatrizCortoLargoCyl[#All],3,0),"")</f>
        <v/>
      </c>
      <c r="F6005" t="inlineStr">
        <is>
          <t>CRESY/CYL/7,50/17-06-22</t>
        </is>
      </c>
      <c r="G6005" t="n">
        <v>100</v>
      </c>
      <c r="H6005" t="n">
        <v>-693.075</v>
      </c>
      <c r="I6005">
        <f>-H3327/G3327</f>
        <v/>
      </c>
    </row>
    <row r="6006">
      <c r="A6006" t="n">
        <v>22431</v>
      </c>
      <c r="B6006" s="16" t="n">
        <v>44292</v>
      </c>
      <c r="C6006" t="inlineStr">
        <is>
          <t>VTA</t>
        </is>
      </c>
      <c r="D6006" t="n">
        <v>41</v>
      </c>
      <c r="E6006">
        <f>IF(D2174&gt;0,VLOOKUP(OPERAC[[#This Row],[COD CART]],[1]!MatrizCortoLargoCyl[#All],3,0),"")</f>
        <v/>
      </c>
      <c r="F6006" t="inlineStr">
        <is>
          <t>GBTC</t>
        </is>
      </c>
      <c r="G6006" t="n">
        <v>7</v>
      </c>
      <c r="H6006" t="n">
        <v>-364.384</v>
      </c>
      <c r="I6006">
        <f>-H2174/G2174</f>
        <v/>
      </c>
    </row>
    <row r="6007">
      <c r="A6007" t="n">
        <v>22431</v>
      </c>
      <c r="B6007" s="16" t="n">
        <v>44461</v>
      </c>
      <c r="C6007" t="inlineStr">
        <is>
          <t>VTA</t>
        </is>
      </c>
      <c r="D6007" t="n">
        <v>40</v>
      </c>
      <c r="E6007">
        <f>IF(D2829&gt;0,VLOOKUP(OPERAC[[#This Row],[COD CART]],[1]!MatrizCortoLargoCyl[#All],3,0),"")</f>
        <v/>
      </c>
      <c r="F6007" t="inlineStr">
        <is>
          <t>EDU</t>
        </is>
      </c>
      <c r="G6007" t="n">
        <v>500</v>
      </c>
      <c r="H6007">
        <f>-1.0864*OPERAC[[#This Row],[cantidad]]+0.04*OPERAC[[#This Row],[cantidad]]</f>
        <v/>
      </c>
      <c r="I6007">
        <f>-H2829/G2829</f>
        <v/>
      </c>
      <c r="J6007" s="16" t="n">
        <v>44630</v>
      </c>
      <c r="K6007" t="n">
        <v>500</v>
      </c>
      <c r="L6007" t="n">
        <v>568.328</v>
      </c>
    </row>
    <row r="6008">
      <c r="A6008" t="n">
        <v>22431</v>
      </c>
      <c r="B6008" s="16" t="n">
        <v>44511</v>
      </c>
      <c r="C6008" t="inlineStr">
        <is>
          <t>VTA</t>
        </is>
      </c>
      <c r="D6008" t="n">
        <v>31</v>
      </c>
      <c r="E6008">
        <f>IF(D1360&gt;0,VLOOKUP(OPERAC[[#This Row],[COD CART]],[1]!MatrizCortoLargoCyl[#All],3,0),"")</f>
        <v/>
      </c>
      <c r="F6008" t="inlineStr">
        <is>
          <t>IPIX</t>
        </is>
      </c>
      <c r="G6008" t="n">
        <v>1000</v>
      </c>
      <c r="H6008" t="n">
        <v>-109.99</v>
      </c>
      <c r="I6008">
        <f>-H1360/G1360</f>
        <v/>
      </c>
    </row>
    <row r="6009">
      <c r="A6009" t="n">
        <v>22431</v>
      </c>
      <c r="B6009" s="16" t="n">
        <v>44538</v>
      </c>
      <c r="C6009" t="inlineStr">
        <is>
          <t>VTA</t>
        </is>
      </c>
      <c r="D6009" t="n">
        <v>43</v>
      </c>
      <c r="E6009">
        <f>IF(D1262&gt;0,VLOOKUP(OPERAC[[#This Row],[COD CART]],[1]!MatrizCortoLargoCyl[#All],3,0),"")</f>
        <v/>
      </c>
      <c r="F6009" t="inlineStr">
        <is>
          <t>HEXO/CYL-PUT/1,00/20-01-23</t>
        </is>
      </c>
      <c r="G6009" t="n">
        <v>100</v>
      </c>
      <c r="H6009" t="n">
        <v>-18.862</v>
      </c>
      <c r="I6009">
        <f>-H1262/G1262</f>
        <v/>
      </c>
      <c r="J6009" s="16" t="n">
        <v>44698</v>
      </c>
      <c r="K6009" t="n">
        <v>100</v>
      </c>
      <c r="L6009" t="n">
        <v>22.04</v>
      </c>
    </row>
    <row r="6010">
      <c r="A6010" t="n">
        <v>22431</v>
      </c>
      <c r="B6010" s="16" t="n">
        <v>44547</v>
      </c>
      <c r="C6010" t="inlineStr">
        <is>
          <t>VTA</t>
        </is>
      </c>
      <c r="D6010" t="n">
        <v>32</v>
      </c>
      <c r="E6010">
        <f>IF(D3804&gt;0,VLOOKUP(OPERAC[[#This Row],[COD CART]],[1]!MatrizCortoLargoCyl[#All],3,0),"")</f>
        <v/>
      </c>
      <c r="F6010" t="inlineStr">
        <is>
          <t>ARLO/CYL/9,00/18-02-22</t>
        </is>
      </c>
      <c r="G6010" t="n">
        <v>100</v>
      </c>
      <c r="H6010">
        <f>-866.74+14.88</f>
        <v/>
      </c>
      <c r="I6010">
        <f>-H3804/G3804</f>
        <v/>
      </c>
      <c r="J6010" s="16" t="n">
        <v>44607</v>
      </c>
      <c r="K6010" t="n">
        <v>100</v>
      </c>
      <c r="L6010" t="n">
        <v>875.33</v>
      </c>
    </row>
    <row r="6011">
      <c r="A6011" t="n">
        <v>22431</v>
      </c>
      <c r="B6011" s="16" t="n">
        <v>44558</v>
      </c>
      <c r="C6011" t="inlineStr">
        <is>
          <t>CPR</t>
        </is>
      </c>
      <c r="D6011" t="n">
        <v>40</v>
      </c>
      <c r="E6011">
        <f>IF(D3453&gt;0,VLOOKUP(OPERAC[[#This Row],[COD CART]],[1]!MatrizCortoLargoCyl[#All],3,0),"")</f>
        <v/>
      </c>
      <c r="F6011" t="inlineStr">
        <is>
          <t>UPST</t>
        </is>
      </c>
      <c r="G6011" t="n">
        <v>5</v>
      </c>
      <c r="H6011" t="n">
        <v>-753.001</v>
      </c>
      <c r="I6011">
        <f>-H3453/G3453</f>
        <v/>
      </c>
      <c r="J6011" s="16" t="n">
        <v>44606</v>
      </c>
      <c r="K6011">
        <f>+OPERAC[[#This Row],[cantidad]]</f>
        <v/>
      </c>
      <c r="L6011">
        <f>+OPERAC[[#This Row],[cantidad venta]]*98.994</f>
        <v/>
      </c>
    </row>
    <row r="6012">
      <c r="A6012" t="n">
        <v>22431</v>
      </c>
      <c r="B6012" s="16" t="n">
        <v>44581</v>
      </c>
      <c r="C6012" t="inlineStr">
        <is>
          <t>CPR</t>
        </is>
      </c>
      <c r="D6012" t="n">
        <v>32</v>
      </c>
      <c r="E6012">
        <f>IF(D3592&gt;0,VLOOKUP(OPERAC[[#This Row],[COD CART]],[1]!MatrizCortoLargoCyl[#All],3,0),"")</f>
        <v/>
      </c>
      <c r="F6012" t="inlineStr">
        <is>
          <t>HMY/CYL/4,00/18-02-22</t>
        </is>
      </c>
      <c r="G6012" t="n">
        <v>200</v>
      </c>
      <c r="H6012" t="n">
        <v>-774.9359920000001</v>
      </c>
      <c r="I6012">
        <f>-H3592/G3592</f>
        <v/>
      </c>
      <c r="J6012" s="16" t="n">
        <v>44610</v>
      </c>
      <c r="K6012">
        <f>+OPERAC[[#This Row],[cantidad]]</f>
        <v/>
      </c>
      <c r="L6012">
        <f>+OPERAC[[#This Row],[cantidad venta]]*3.8323</f>
        <v/>
      </c>
    </row>
    <row r="6013">
      <c r="A6013" t="n">
        <v>22431</v>
      </c>
      <c r="B6013" s="16" t="n">
        <v>44586</v>
      </c>
      <c r="C6013" t="inlineStr">
        <is>
          <t>CPR</t>
        </is>
      </c>
      <c r="D6013" t="n">
        <v>43</v>
      </c>
      <c r="E6013">
        <f>IF(D2747&gt;0,VLOOKUP(OPERAC[[#This Row],[COD CART]],[1]!MatrizCortoLargoCyl[#All],3,0),"")</f>
        <v/>
      </c>
      <c r="F6013" t="inlineStr">
        <is>
          <t>GMBL/CYL-PUT/2,50/20-01-23</t>
        </is>
      </c>
      <c r="G6013" t="n">
        <v>500</v>
      </c>
      <c r="H6013" t="n">
        <v>-508.0223000000001</v>
      </c>
      <c r="I6013">
        <f>-H2747/G2747</f>
        <v/>
      </c>
      <c r="J6013" s="16" t="n">
        <v>44698</v>
      </c>
      <c r="K6013" t="n">
        <v>500</v>
      </c>
      <c r="L6013" t="n">
        <v>-861.9400000000001</v>
      </c>
    </row>
    <row r="6014">
      <c r="A6014" t="n">
        <v>22431</v>
      </c>
      <c r="B6014" s="16" t="n">
        <v>44594</v>
      </c>
      <c r="C6014" t="inlineStr">
        <is>
          <t>CPR</t>
        </is>
      </c>
      <c r="D6014" t="n">
        <v>40</v>
      </c>
      <c r="E6014">
        <f>IF(D4238&gt;0,VLOOKUP(OPERAC[[#This Row],[COD CART]],[1]!MatrizCortoLargoCyl[#All],3,0),"")</f>
        <v/>
      </c>
      <c r="F6014" t="inlineStr">
        <is>
          <t>EDU</t>
        </is>
      </c>
      <c r="G6014" t="n">
        <v>500</v>
      </c>
      <c r="H6014" t="n">
        <v>-1008</v>
      </c>
      <c r="I6014">
        <f>-H4238/G4238</f>
        <v/>
      </c>
      <c r="J6014" s="16" t="n">
        <v>44599</v>
      </c>
      <c r="K6014" t="n">
        <v>500</v>
      </c>
      <c r="L6014" t="n">
        <v>770</v>
      </c>
    </row>
    <row r="6015">
      <c r="A6015" t="n">
        <v>22431</v>
      </c>
      <c r="B6015" s="16" t="n">
        <v>44609</v>
      </c>
      <c r="C6015" t="inlineStr">
        <is>
          <t>VTA</t>
        </is>
      </c>
      <c r="D6015" t="n">
        <v>32</v>
      </c>
      <c r="E6015">
        <f>IF(D3885&gt;0,VLOOKUP(OPERAC[[#This Row],[COD CART]],[1]!MatrizCortoLargoCyl[#All],3,0),"")</f>
        <v/>
      </c>
      <c r="F6015" t="inlineStr">
        <is>
          <t>HIMX/CYL/9,00/18-03-22</t>
        </is>
      </c>
      <c r="G6015" t="n">
        <v>100</v>
      </c>
      <c r="H6015" t="n">
        <v>-869.5839999999999</v>
      </c>
      <c r="I6015">
        <f>-H3885/G3885</f>
        <v/>
      </c>
      <c r="J6015" s="16" t="n">
        <v>44622</v>
      </c>
      <c r="K6015">
        <f>+OPERAC[[#This Row],[cantidad]]</f>
        <v/>
      </c>
      <c r="L6015" t="n">
        <v>883.576</v>
      </c>
    </row>
    <row r="6016">
      <c r="A6016" t="n">
        <v>22431</v>
      </c>
      <c r="B6016" s="16" t="n">
        <v>44616</v>
      </c>
      <c r="C6016" t="inlineStr">
        <is>
          <t>CPR</t>
        </is>
      </c>
      <c r="D6016" t="n">
        <v>32</v>
      </c>
      <c r="E6016">
        <f>IF(D4332&gt;0,VLOOKUP(OPERAC[[#This Row],[COD CART]],[1]!MatrizCortoLargoCyl[#All],3,0),"")</f>
        <v/>
      </c>
      <c r="F6016" t="inlineStr">
        <is>
          <t>PLTR/CYL/12,00/14-04-22</t>
        </is>
      </c>
      <c r="G6016" t="n">
        <v>100</v>
      </c>
      <c r="H6016" t="n">
        <v>-1052.7265</v>
      </c>
      <c r="I6016">
        <f>-H4332/G4332</f>
        <v/>
      </c>
      <c r="J6016" s="16" t="n">
        <v>44643</v>
      </c>
      <c r="K6016" t="n">
        <v>100</v>
      </c>
      <c r="L6016" t="n">
        <v>1146.72</v>
      </c>
    </row>
    <row r="6017">
      <c r="A6017" t="n">
        <v>22431</v>
      </c>
      <c r="B6017" s="16" t="n">
        <v>44628</v>
      </c>
      <c r="C6017" t="inlineStr">
        <is>
          <t>CPR</t>
        </is>
      </c>
      <c r="D6017" t="n">
        <v>32</v>
      </c>
      <c r="E6017">
        <f>IF(D3403&gt;0,VLOOKUP(OPERAC[[#This Row],[COD CART]],[1]!MatrizCortoLargoCyl[#All],3,0),"")</f>
        <v/>
      </c>
      <c r="F6017" t="inlineStr">
        <is>
          <t>COTY/CYL/8,00/14-04-22</t>
        </is>
      </c>
      <c r="G6017" t="n">
        <v>100</v>
      </c>
      <c r="H6017" t="n">
        <v>-718.0550999999999</v>
      </c>
      <c r="I6017">
        <f>-H3403/G3403</f>
        <v/>
      </c>
      <c r="J6017" s="16" t="n">
        <v>44643</v>
      </c>
      <c r="K6017" t="n">
        <v>100</v>
      </c>
      <c r="L6017" t="n">
        <v>779.3200000000001</v>
      </c>
    </row>
    <row r="6018">
      <c r="A6018" t="n">
        <v>22431</v>
      </c>
      <c r="B6018" s="16" t="n">
        <v>44641</v>
      </c>
      <c r="C6018" t="inlineStr">
        <is>
          <t>VTA</t>
        </is>
      </c>
      <c r="D6018" t="n">
        <v>42</v>
      </c>
      <c r="E6018">
        <f>IF(D1884&gt;0,VLOOKUP(OPERAC[[#This Row],[COD CART]],[1]!MatrizCortoLargoCyl[#All],3,0),"")</f>
        <v/>
      </c>
      <c r="F6018" t="inlineStr">
        <is>
          <t>JPM</t>
        </is>
      </c>
      <c r="G6018" t="n">
        <v>2</v>
      </c>
      <c r="H6018" t="n">
        <v>-280.9086800000001</v>
      </c>
      <c r="I6018">
        <f>-H1884/G1884</f>
        <v/>
      </c>
      <c r="J6018" s="16" t="n">
        <v>44664</v>
      </c>
      <c r="K6018">
        <f>+OPERAC[[#This Row],[cantidad]]</f>
        <v/>
      </c>
      <c r="L6018">
        <f>+OPERAC[[#This Row],[cantidad venta]]*125.943</f>
        <v/>
      </c>
    </row>
    <row r="6019">
      <c r="A6019" t="n">
        <v>22431</v>
      </c>
      <c r="B6019" s="16" t="n">
        <v>44641</v>
      </c>
      <c r="C6019" t="inlineStr">
        <is>
          <t>VTA</t>
        </is>
      </c>
      <c r="D6019" t="n">
        <v>42</v>
      </c>
      <c r="E6019">
        <f>IF(D2427&gt;0,VLOOKUP(OPERAC[[#This Row],[COD CART]],[1]!MatrizCortoLargoCyl[#All],3,0),"")</f>
        <v/>
      </c>
      <c r="F6019" t="inlineStr">
        <is>
          <t>FB</t>
        </is>
      </c>
      <c r="G6019" t="n">
        <v>2</v>
      </c>
      <c r="H6019" t="n">
        <v>-424.31276</v>
      </c>
      <c r="I6019">
        <f>-H2427/G2427</f>
        <v/>
      </c>
      <c r="J6019" s="16" t="n">
        <v>44671</v>
      </c>
      <c r="K6019">
        <f>+OPERAC[[#This Row],[cantidad]]</f>
        <v/>
      </c>
      <c r="L6019">
        <f>+OPERAC[[#This Row],[cantidad venta]]*213.173</f>
        <v/>
      </c>
    </row>
    <row r="6020">
      <c r="A6020" t="n">
        <v>22431</v>
      </c>
      <c r="B6020" s="16" t="n">
        <v>44643</v>
      </c>
      <c r="C6020" t="inlineStr">
        <is>
          <t>VTA</t>
        </is>
      </c>
      <c r="D6020" t="n">
        <v>42</v>
      </c>
      <c r="E6020">
        <f>IF(D1410&gt;0,VLOOKUP(OPERAC[[#This Row],[COD CART]],[1]!MatrizCortoLargoCyl[#All],3,0),"")</f>
        <v/>
      </c>
      <c r="F6020" t="inlineStr">
        <is>
          <t>JPM</t>
        </is>
      </c>
      <c r="G6020" t="n">
        <v>1</v>
      </c>
      <c r="H6020" t="n">
        <v>-141.24664</v>
      </c>
      <c r="I6020">
        <f>-H1410/G1410</f>
        <v/>
      </c>
      <c r="J6020" s="16" t="n">
        <v>44664</v>
      </c>
      <c r="K6020">
        <f>+OPERAC[[#This Row],[cantidad]]</f>
        <v/>
      </c>
      <c r="L6020">
        <f>+OPERAC[[#This Row],[cantidad venta]]*125.943</f>
        <v/>
      </c>
    </row>
    <row r="6021">
      <c r="A6021" t="n">
        <v>22431</v>
      </c>
      <c r="B6021" s="16" t="n">
        <v>44643</v>
      </c>
      <c r="C6021" t="inlineStr">
        <is>
          <t>VTA</t>
        </is>
      </c>
      <c r="D6021" t="n">
        <v>31</v>
      </c>
      <c r="E6021">
        <f>IF(D1469&gt;0,VLOOKUP(OPERAC[[#This Row],[COD CART]],[1]!MatrizCortoLargoCyl[#All],3,0),"")</f>
        <v/>
      </c>
      <c r="F6021" t="inlineStr">
        <is>
          <t>LAC</t>
        </is>
      </c>
      <c r="G6021" t="n">
        <v>5</v>
      </c>
      <c r="H6021" t="n">
        <v>-167.565992</v>
      </c>
      <c r="I6021">
        <f>-H1469/G1469</f>
        <v/>
      </c>
      <c r="J6021" s="16" t="n">
        <v>44693</v>
      </c>
      <c r="K6021" t="n">
        <v>5</v>
      </c>
      <c r="L6021" t="n">
        <v>101.09</v>
      </c>
    </row>
    <row r="6022">
      <c r="A6022" t="n">
        <v>22431</v>
      </c>
      <c r="B6022" s="16" t="n">
        <v>44643</v>
      </c>
      <c r="C6022" t="inlineStr">
        <is>
          <t>VTA</t>
        </is>
      </c>
      <c r="D6022" t="n">
        <v>42</v>
      </c>
      <c r="E6022">
        <f>IF(D1625&gt;0,VLOOKUP(OPERAC[[#This Row],[COD CART]],[1]!MatrizCortoLargoCyl[#All],3,0),"")</f>
        <v/>
      </c>
      <c r="F6022" t="inlineStr">
        <is>
          <t>FB</t>
        </is>
      </c>
      <c r="G6022" t="n">
        <v>1</v>
      </c>
      <c r="H6022" t="n">
        <v>-216.12326</v>
      </c>
      <c r="I6022">
        <f>-H1625/G1625</f>
        <v/>
      </c>
      <c r="J6022" s="16" t="n">
        <v>44671</v>
      </c>
      <c r="K6022">
        <f>+OPERAC[[#This Row],[cantidad]]</f>
        <v/>
      </c>
      <c r="L6022">
        <f>+OPERAC[[#This Row],[cantidad venta]]*213.173</f>
        <v/>
      </c>
    </row>
    <row r="6023">
      <c r="A6023" t="n">
        <v>22431</v>
      </c>
      <c r="B6023" s="16" t="n">
        <v>44643</v>
      </c>
      <c r="C6023" t="inlineStr">
        <is>
          <t>VTA</t>
        </is>
      </c>
      <c r="D6023" t="n">
        <v>31</v>
      </c>
      <c r="E6023">
        <f>IF(D2140&gt;0,VLOOKUP(OPERAC[[#This Row],[COD CART]],[1]!MatrizCortoLargoCyl[#All],3,0),"")</f>
        <v/>
      </c>
      <c r="F6023" t="inlineStr">
        <is>
          <t>BRK B</t>
        </is>
      </c>
      <c r="G6023" t="n">
        <v>1</v>
      </c>
      <c r="H6023" t="n">
        <v>-350.6723200000001</v>
      </c>
      <c r="I6023">
        <f>-H2140/G2140</f>
        <v/>
      </c>
      <c r="J6023" s="16" t="n">
        <v>44693</v>
      </c>
      <c r="K6023" t="n">
        <v>1</v>
      </c>
      <c r="L6023" t="n">
        <v>302.846</v>
      </c>
    </row>
    <row r="6024">
      <c r="A6024" t="n">
        <v>22431</v>
      </c>
      <c r="B6024" s="16" t="n">
        <v>44643</v>
      </c>
      <c r="C6024" t="inlineStr">
        <is>
          <t>VTA</t>
        </is>
      </c>
      <c r="D6024" t="n">
        <v>42</v>
      </c>
      <c r="E6024">
        <f>IF(D2859&gt;0,VLOOKUP(OPERAC[[#This Row],[COD CART]],[1]!MatrizCortoLargoCyl[#All],3,0),"")</f>
        <v/>
      </c>
      <c r="F6024" t="inlineStr">
        <is>
          <t>SMH</t>
        </is>
      </c>
      <c r="G6024" t="n">
        <v>2</v>
      </c>
      <c r="H6024" t="n">
        <v>-534.325796</v>
      </c>
      <c r="I6024">
        <f>-H2859/G2859</f>
        <v/>
      </c>
      <c r="J6024" s="16" t="n">
        <v>44663</v>
      </c>
      <c r="K6024">
        <f>+OPERAC[[#This Row],[cantidad]]</f>
        <v/>
      </c>
      <c r="L6024">
        <f>+OPERAC[[#This Row],[cantidad venta]]*238.066</f>
        <v/>
      </c>
    </row>
    <row r="6025">
      <c r="A6025" t="n">
        <v>22431</v>
      </c>
      <c r="B6025" s="16" t="n">
        <v>44645</v>
      </c>
      <c r="C6025" t="inlineStr">
        <is>
          <t>CPR</t>
        </is>
      </c>
      <c r="D6025" t="n">
        <v>42</v>
      </c>
      <c r="E6025">
        <f>IF(D1867&gt;0,VLOOKUP(OPERAC[[#This Row],[COD CART]],[1]!MatrizCortoLargoCyl[#All],3,0),"")</f>
        <v/>
      </c>
      <c r="F6025" t="inlineStr">
        <is>
          <t>PLUG</t>
        </is>
      </c>
      <c r="G6025" t="n">
        <v>10</v>
      </c>
      <c r="H6025" t="n">
        <v>-279.3164</v>
      </c>
      <c r="I6025">
        <f>-H1867/G1867</f>
        <v/>
      </c>
      <c r="J6025" s="16" t="n">
        <v>44652</v>
      </c>
      <c r="K6025">
        <f>+OPERAC[[#This Row],[cantidad]]</f>
        <v/>
      </c>
      <c r="L6025">
        <f>+OPERAC[[#This Row],[cantidad venta]]*27.754</f>
        <v/>
      </c>
    </row>
    <row r="6026">
      <c r="A6026" t="n">
        <v>22431</v>
      </c>
      <c r="B6026" s="16" t="n">
        <v>44652</v>
      </c>
      <c r="C6026" t="inlineStr">
        <is>
          <t>VTA</t>
        </is>
      </c>
      <c r="D6026" t="n">
        <v>42</v>
      </c>
      <c r="E6026">
        <f>IF(D2048&gt;0,VLOOKUP(OPERAC[[#This Row],[COD CART]],[1]!MatrizCortoLargoCyl[#All],3,0),"")</f>
        <v/>
      </c>
      <c r="F6026" t="inlineStr">
        <is>
          <t>GBTC</t>
        </is>
      </c>
      <c r="G6026" t="n">
        <v>10</v>
      </c>
      <c r="H6026" t="n">
        <v>-321.098</v>
      </c>
      <c r="I6026">
        <f>-H2048/G2048</f>
        <v/>
      </c>
      <c r="J6026" s="16" t="n">
        <v>44662</v>
      </c>
      <c r="K6026">
        <f>+OPERAC[[#This Row],[cantidad]]</f>
        <v/>
      </c>
      <c r="L6026">
        <f>27.99*OPERAC[[#This Row],[cantidad venta]]</f>
        <v/>
      </c>
    </row>
    <row r="6027">
      <c r="A6027" t="n">
        <v>22431</v>
      </c>
      <c r="B6027" s="16" t="n">
        <v>44662</v>
      </c>
      <c r="C6027" t="inlineStr">
        <is>
          <t>VTA</t>
        </is>
      </c>
      <c r="D6027" t="n">
        <v>42</v>
      </c>
      <c r="E6027">
        <f>IF(D1508&gt;0,VLOOKUP(OPERAC[[#This Row],[COD CART]],[1]!MatrizCortoLargoCyl[#All],3,0),"")</f>
        <v/>
      </c>
      <c r="F6027" t="inlineStr">
        <is>
          <t>HYDR</t>
        </is>
      </c>
      <c r="G6027" t="n">
        <v>10</v>
      </c>
      <c r="H6027" t="n">
        <v>-185.70344</v>
      </c>
      <c r="I6027">
        <f>-H1508/G1508</f>
        <v/>
      </c>
      <c r="J6027" s="16" t="n">
        <v>44693</v>
      </c>
      <c r="K6027">
        <f>+OPERAC[[#This Row],[cantidad]]</f>
        <v/>
      </c>
      <c r="L6027">
        <f>+OPERAC[[#This Row],[cantidad venta]]*11.986</f>
        <v/>
      </c>
    </row>
    <row r="6028">
      <c r="A6028" t="n">
        <v>22431</v>
      </c>
      <c r="B6028" s="16" t="n">
        <v>44664</v>
      </c>
      <c r="C6028" t="inlineStr">
        <is>
          <t>VTA</t>
        </is>
      </c>
      <c r="D6028" t="n">
        <v>42</v>
      </c>
      <c r="E6028">
        <f>IF(D1545&gt;0,VLOOKUP(OPERAC[[#This Row],[COD CART]],[1]!MatrizCortoLargoCyl[#All],3,0),"")</f>
        <v/>
      </c>
      <c r="F6028" t="inlineStr">
        <is>
          <t>AMD</t>
        </is>
      </c>
      <c r="G6028" t="n">
        <v>2</v>
      </c>
      <c r="H6028" t="n">
        <v>-197.54130906</v>
      </c>
      <c r="I6028">
        <f>-H1545/G1545</f>
        <v/>
      </c>
      <c r="J6028" s="16" t="n">
        <v>44693</v>
      </c>
      <c r="K6028">
        <f>+OPERAC[[#This Row],[cantidad]]</f>
        <v/>
      </c>
      <c r="L6028">
        <f>+OPERAC[[#This Row],[cantidad venta]]*85.26</f>
        <v/>
      </c>
    </row>
    <row r="6029">
      <c r="A6029" t="n">
        <v>22431</v>
      </c>
      <c r="B6029" s="16" t="n">
        <v>44664</v>
      </c>
      <c r="C6029" t="inlineStr">
        <is>
          <t>VTA</t>
        </is>
      </c>
      <c r="D6029" t="n">
        <v>42</v>
      </c>
      <c r="E6029">
        <f>IF(D1728&gt;0,VLOOKUP(OPERAC[[#This Row],[COD CART]],[1]!MatrizCortoLargoCyl[#All],3,0),"")</f>
        <v/>
      </c>
      <c r="F6029" t="inlineStr">
        <is>
          <t>PSQ</t>
        </is>
      </c>
      <c r="G6029" t="n">
        <v>20</v>
      </c>
      <c r="H6029" t="n">
        <v>-248.65144362</v>
      </c>
      <c r="I6029">
        <f>-H1728/G1728</f>
        <v/>
      </c>
      <c r="J6029" s="16" t="n">
        <v>44680</v>
      </c>
      <c r="K6029">
        <f>+OPERAC[[#This Row],[cantidad]]</f>
        <v/>
      </c>
      <c r="L6029">
        <f>12.848*OPERAC[[#This Row],[cantidad venta]]</f>
        <v/>
      </c>
    </row>
    <row r="6030">
      <c r="A6030" t="n">
        <v>22431</v>
      </c>
      <c r="B6030" s="16" t="n">
        <v>44669</v>
      </c>
      <c r="C6030" t="inlineStr">
        <is>
          <t>VTA</t>
        </is>
      </c>
      <c r="D6030" t="n">
        <v>32</v>
      </c>
      <c r="E6030">
        <f>IF(D2542&gt;0,VLOOKUP(OPERAC[[#This Row],[COD CART]],[1]!MatrizCortoLargoCyl[#All],3,0),"")</f>
        <v/>
      </c>
      <c r="F6030" t="inlineStr">
        <is>
          <t>HMY</t>
        </is>
      </c>
      <c r="G6030" t="n">
        <v>100</v>
      </c>
      <c r="H6030">
        <f>-4.64*OPERAC[[#This Row],[cantidad]]</f>
        <v/>
      </c>
      <c r="I6030">
        <f>-H2542/G2542</f>
        <v/>
      </c>
    </row>
    <row r="6031">
      <c r="A6031" t="n">
        <v>22431</v>
      </c>
      <c r="B6031" s="16" t="n">
        <v>44671</v>
      </c>
      <c r="C6031" t="inlineStr">
        <is>
          <t>CPR</t>
        </is>
      </c>
      <c r="D6031" t="n">
        <v>42</v>
      </c>
      <c r="E6031">
        <f>IF(D3518&gt;0,VLOOKUP(OPERAC[[#This Row],[COD CART]],[1]!MatrizCortoLargoCyl[#All],3,0),"")</f>
        <v/>
      </c>
      <c r="F6031" t="inlineStr">
        <is>
          <t>NFLX</t>
        </is>
      </c>
      <c r="G6031" t="n">
        <v>3</v>
      </c>
      <c r="H6031" t="n">
        <v>-763.51518</v>
      </c>
      <c r="I6031">
        <f>-H3518/G3518</f>
        <v/>
      </c>
      <c r="J6031" s="16" t="n">
        <v>44693</v>
      </c>
      <c r="K6031">
        <f>+OPERAC[[#This Row],[cantidad]]</f>
        <v/>
      </c>
      <c r="L6031">
        <f>+OPERAC[[#This Row],[cantidad venta]]*169.089</f>
        <v/>
      </c>
    </row>
    <row r="6032">
      <c r="A6032" t="n">
        <v>22431</v>
      </c>
      <c r="B6032" s="16" t="n">
        <v>44680</v>
      </c>
      <c r="C6032" t="inlineStr">
        <is>
          <t>VTA</t>
        </is>
      </c>
      <c r="D6032" t="n">
        <v>42</v>
      </c>
      <c r="E6032">
        <f>IF(D1690&gt;0,VLOOKUP(OPERAC[[#This Row],[COD CART]],[1]!MatrizCortoLargoCyl[#All],3,0),"")</f>
        <v/>
      </c>
      <c r="F6032" t="inlineStr">
        <is>
          <t>XLP</t>
        </is>
      </c>
      <c r="G6032" t="n">
        <v>3</v>
      </c>
      <c r="H6032" t="n">
        <v>-238.3035075</v>
      </c>
      <c r="I6032">
        <f>-H1690/G1690</f>
        <v/>
      </c>
      <c r="J6032" s="16" t="n">
        <v>44693</v>
      </c>
      <c r="K6032">
        <f>+OPERAC[[#This Row],[cantidad]]</f>
        <v/>
      </c>
      <c r="L6032">
        <f>+OPERAC[[#This Row],[cantidad venta]]*74.848</f>
        <v/>
      </c>
    </row>
    <row r="6033">
      <c r="A6033" t="n">
        <v>22431</v>
      </c>
      <c r="B6033" s="16" t="n">
        <v>44698</v>
      </c>
      <c r="C6033" t="inlineStr">
        <is>
          <t>CPR</t>
        </is>
      </c>
      <c r="D6033" t="n">
        <v>32</v>
      </c>
      <c r="E6033">
        <f>IF(D4293&gt;0,VLOOKUP(OPERAC[[#This Row],[COD CART]],[1]!MatrizCortoLargoCyl[#All],3,0),"")</f>
        <v/>
      </c>
      <c r="F6033" t="inlineStr">
        <is>
          <t>DDD/CYL/13,00/24-06-22</t>
        </is>
      </c>
      <c r="G6033" t="n">
        <v>100</v>
      </c>
      <c r="H6033" t="n">
        <v>-1046.107</v>
      </c>
      <c r="I6033">
        <f>-H4293/G4293</f>
        <v/>
      </c>
    </row>
    <row r="6034">
      <c r="A6034" t="n">
        <v>22431</v>
      </c>
      <c r="B6034" s="16" t="n">
        <v>44698</v>
      </c>
      <c r="C6034" t="inlineStr">
        <is>
          <t>VTA</t>
        </is>
      </c>
      <c r="D6034" t="n">
        <v>39</v>
      </c>
      <c r="E6034">
        <f>IF(D273&gt;0,VLOOKUP(OPERAC[[#This Row],[COD CART]],[1]!MatrizCortoLargoCyl[#All],3,0),"")</f>
        <v/>
      </c>
      <c r="F6034" t="inlineStr">
        <is>
          <t>TSLA/V/650,00/20-05-22</t>
        </is>
      </c>
      <c r="G6034" t="n">
        <v>-800</v>
      </c>
      <c r="H6034" t="n">
        <v>1665.72</v>
      </c>
      <c r="I6034">
        <f>-H273/G273</f>
        <v/>
      </c>
      <c r="J6034" s="16" t="n">
        <v>44701</v>
      </c>
      <c r="K6034" t="n">
        <v>-800</v>
      </c>
      <c r="L6034" t="n">
        <v>-4034</v>
      </c>
    </row>
    <row r="6035">
      <c r="A6035" t="n">
        <v>22431</v>
      </c>
      <c r="B6035" s="16" t="n">
        <v>44698</v>
      </c>
      <c r="C6035" t="inlineStr">
        <is>
          <t>VTA</t>
        </is>
      </c>
      <c r="D6035" t="n">
        <v>39</v>
      </c>
      <c r="E6035">
        <f>IF(D1738&gt;0,VLOOKUP(OPERAC[[#This Row],[COD CART]],[1]!MatrizCortoLargoCyl[#All],3,0),"")</f>
        <v/>
      </c>
      <c r="F6035" t="inlineStr">
        <is>
          <t>NTLA/C/65,00/15-07-22</t>
        </is>
      </c>
      <c r="G6035" t="n">
        <v>100</v>
      </c>
      <c r="H6035" t="n">
        <v>-252.125</v>
      </c>
      <c r="I6035">
        <f>-H1738/G1738</f>
        <v/>
      </c>
    </row>
    <row r="6036">
      <c r="A6036" t="n">
        <v>22431</v>
      </c>
      <c r="B6036" s="16" t="n">
        <v>44698</v>
      </c>
      <c r="C6036" t="inlineStr">
        <is>
          <t>VTA</t>
        </is>
      </c>
      <c r="D6036" t="n">
        <v>32</v>
      </c>
      <c r="E6036">
        <f>IF(D1972&gt;0,VLOOKUP(OPERAC[[#This Row],[COD CART]],[1]!MatrizCortoLargoCyl[#All],3,0),"")</f>
        <v/>
      </c>
      <c r="F6036" t="inlineStr">
        <is>
          <t>ACB/CYL/4,00/24-06-22</t>
        </is>
      </c>
      <c r="G6036" t="n">
        <v>100</v>
      </c>
      <c r="H6036" t="n">
        <v>-304.23</v>
      </c>
      <c r="I6036">
        <f>-H1972/G1972</f>
        <v/>
      </c>
    </row>
    <row r="6037">
      <c r="A6037" t="n">
        <v>22431</v>
      </c>
      <c r="B6037" s="16" t="n">
        <v>44698</v>
      </c>
      <c r="C6037" t="inlineStr">
        <is>
          <t>VTA</t>
        </is>
      </c>
      <c r="D6037" t="n">
        <v>32</v>
      </c>
      <c r="E6037">
        <f>IF(D3129&gt;0,VLOOKUP(OPERAC[[#This Row],[COD CART]],[1]!MatrizCortoLargoCyl[#All],3,0),"")</f>
        <v/>
      </c>
      <c r="F6037" t="inlineStr">
        <is>
          <t>UUUU/CYL/8,00/17-06-22</t>
        </is>
      </c>
      <c r="G6037" t="n">
        <v>100</v>
      </c>
      <c r="H6037" t="n">
        <v>-633.34</v>
      </c>
      <c r="I6037">
        <f>-H3129/G3129</f>
        <v/>
      </c>
    </row>
    <row r="6038">
      <c r="A6038" t="n">
        <v>22431</v>
      </c>
      <c r="B6038" s="16" t="n">
        <v>44701</v>
      </c>
      <c r="C6038" t="inlineStr">
        <is>
          <t>VTA</t>
        </is>
      </c>
      <c r="D6038" t="n">
        <v>39</v>
      </c>
      <c r="E6038">
        <f>IF(D1053&gt;0,VLOOKUP(OPERAC[[#This Row],[COD CART]],[1]!MatrizCortoLargoCyl[#All],3,0),"")</f>
        <v/>
      </c>
      <c r="F6038" t="inlineStr">
        <is>
          <t>TSLA/P/230,00/20-01-23</t>
        </is>
      </c>
      <c r="G6038" t="n">
        <v>-4</v>
      </c>
      <c r="H6038" t="n">
        <v>41.44</v>
      </c>
      <c r="I6038">
        <f>-H1053/G1053</f>
        <v/>
      </c>
    </row>
    <row r="6039">
      <c r="A6039" t="n">
        <v>22433</v>
      </c>
      <c r="B6039" s="16" t="n">
        <v>44441</v>
      </c>
      <c r="C6039" t="inlineStr">
        <is>
          <t>VTA</t>
        </is>
      </c>
      <c r="D6039" t="n">
        <v>39</v>
      </c>
      <c r="E6039">
        <f>IF(D1242&gt;0,VLOOKUP(OPERAC[[#This Row],[COD CART]],[1]!MatrizCortoLargoCyl[#All],3,0),"")</f>
        <v/>
      </c>
      <c r="F6039" t="inlineStr">
        <is>
          <t>DDD/V/15,00/20-01-23</t>
        </is>
      </c>
      <c r="G6039" t="n">
        <v>-2</v>
      </c>
      <c r="H6039" t="n">
        <v>3.37</v>
      </c>
      <c r="I6039">
        <f>-H1242/G1242</f>
        <v/>
      </c>
    </row>
    <row r="6040">
      <c r="A6040" t="n">
        <v>22433</v>
      </c>
      <c r="B6040" s="16" t="n">
        <v>44461</v>
      </c>
      <c r="C6040" t="inlineStr">
        <is>
          <t>VTA</t>
        </is>
      </c>
      <c r="D6040" t="n">
        <v>40</v>
      </c>
      <c r="E6040">
        <f>IF(D2827&gt;0,VLOOKUP(OPERAC[[#This Row],[COD CART]],[1]!MatrizCortoLargoCyl[#All],3,0),"")</f>
        <v/>
      </c>
      <c r="F6040" t="inlineStr">
        <is>
          <t>EDU</t>
        </is>
      </c>
      <c r="G6040" t="n">
        <v>500</v>
      </c>
      <c r="H6040">
        <f>-1.0864*OPERAC[[#This Row],[cantidad]]+0.04*OPERAC[[#This Row],[cantidad]]</f>
        <v/>
      </c>
      <c r="I6040">
        <f>-H2827/G2827</f>
        <v/>
      </c>
      <c r="J6040" s="16" t="n">
        <v>44629</v>
      </c>
      <c r="K6040" t="n">
        <v>500</v>
      </c>
      <c r="L6040">
        <f>+OPERAC[[#This Row],[cantidad venta]]*1.27</f>
        <v/>
      </c>
    </row>
    <row r="6041">
      <c r="A6041" t="n">
        <v>22433</v>
      </c>
      <c r="B6041" s="16" t="n">
        <v>44494</v>
      </c>
      <c r="C6041" t="inlineStr">
        <is>
          <t>VTA</t>
        </is>
      </c>
      <c r="D6041" t="n">
        <v>40</v>
      </c>
      <c r="E6041">
        <f>IF(D3199&gt;0,VLOOKUP(OPERAC[[#This Row],[COD CART]],[1]!MatrizCortoLargoCyl[#All],3,0),"")</f>
        <v/>
      </c>
      <c r="F6041" t="inlineStr">
        <is>
          <t>YPF</t>
        </is>
      </c>
      <c r="G6041" t="n">
        <v>140</v>
      </c>
      <c r="H6041" t="n">
        <v>-651.3808000000001</v>
      </c>
      <c r="I6041">
        <f>-H3199/G3199</f>
        <v/>
      </c>
      <c r="J6041" s="16" t="n">
        <v>44606</v>
      </c>
      <c r="K6041">
        <f>+OPERAC[[#This Row],[cantidad]]</f>
        <v/>
      </c>
      <c r="L6041">
        <f>+OPERAC[[#This Row],[cantidad venta]]*4.161</f>
        <v/>
      </c>
    </row>
    <row r="6042">
      <c r="A6042" t="n">
        <v>22433</v>
      </c>
      <c r="B6042" s="16" t="n">
        <v>44511</v>
      </c>
      <c r="C6042" t="inlineStr">
        <is>
          <t>VTA</t>
        </is>
      </c>
      <c r="D6042" t="n">
        <v>31</v>
      </c>
      <c r="E6042">
        <f>IF(D1361&gt;0,VLOOKUP(OPERAC[[#This Row],[COD CART]],[1]!MatrizCortoLargoCyl[#All],3,0),"")</f>
        <v/>
      </c>
      <c r="F6042" t="inlineStr">
        <is>
          <t>IPIX</t>
        </is>
      </c>
      <c r="G6042" t="n">
        <v>1000</v>
      </c>
      <c r="H6042" t="n">
        <v>-109.99</v>
      </c>
      <c r="I6042">
        <f>-H1361/G1361</f>
        <v/>
      </c>
    </row>
    <row r="6043">
      <c r="A6043" t="n">
        <v>22433</v>
      </c>
      <c r="B6043" s="16" t="n">
        <v>44523</v>
      </c>
      <c r="C6043" t="inlineStr">
        <is>
          <t>VTA</t>
        </is>
      </c>
      <c r="D6043" t="n">
        <v>40</v>
      </c>
      <c r="E6043">
        <f>IF(D2154&gt;0,VLOOKUP(OPERAC[[#This Row],[COD CART]],[1]!MatrizCortoLargoCyl[#All],3,0),"")</f>
        <v/>
      </c>
      <c r="F6043" t="inlineStr">
        <is>
          <t>EDU</t>
        </is>
      </c>
      <c r="G6043" t="n">
        <v>200</v>
      </c>
      <c r="H6043">
        <f>-355.898+0.026*OPERAC[[#This Row],[cantidad]]</f>
        <v/>
      </c>
      <c r="I6043">
        <f>-H2154/G2154</f>
        <v/>
      </c>
      <c r="J6043" s="16" t="n">
        <v>44629</v>
      </c>
      <c r="K6043" t="n">
        <v>200</v>
      </c>
      <c r="L6043">
        <f>+OPERAC[[#This Row],[cantidad venta]]*1.27</f>
        <v/>
      </c>
    </row>
    <row r="6044">
      <c r="A6044" t="n">
        <v>22433</v>
      </c>
      <c r="B6044" s="16" t="n">
        <v>44523</v>
      </c>
      <c r="C6044" t="inlineStr">
        <is>
          <t>VTA</t>
        </is>
      </c>
      <c r="D6044" t="n">
        <v>32</v>
      </c>
      <c r="E6044">
        <f>IF(D2320&gt;0,VLOOKUP(OPERAC[[#This Row],[COD CART]],[1]!MatrizCortoLargoCyl[#All],3,0),"")</f>
        <v/>
      </c>
      <c r="F6044" t="inlineStr">
        <is>
          <t>GMBL/CYL/5,00/18-03-22</t>
        </is>
      </c>
      <c r="G6044" t="n">
        <v>100</v>
      </c>
      <c r="H6044">
        <f>-411.931+9.067</f>
        <v/>
      </c>
      <c r="I6044">
        <f>-H2320/G2320</f>
        <v/>
      </c>
      <c r="J6044" s="16" t="n">
        <v>44629</v>
      </c>
      <c r="K6044" t="n">
        <v>100</v>
      </c>
      <c r="L6044" t="n">
        <v>71.111</v>
      </c>
    </row>
    <row r="6045">
      <c r="A6045" t="n">
        <v>22433</v>
      </c>
      <c r="B6045" s="16" t="n">
        <v>44532</v>
      </c>
      <c r="C6045" t="inlineStr">
        <is>
          <t>VTA</t>
        </is>
      </c>
      <c r="D6045" t="n">
        <v>32</v>
      </c>
      <c r="E6045">
        <f>IF(D3945&gt;0,VLOOKUP(OPERAC[[#This Row],[COD CART]],[1]!MatrizCortoLargoCyl[#All],3,0),"")</f>
        <v/>
      </c>
      <c r="F6045" t="inlineStr">
        <is>
          <t>COTY/CYL/10,00/18-02-22</t>
        </is>
      </c>
      <c r="G6045" t="n">
        <v>100</v>
      </c>
      <c r="H6045">
        <f>-901.599+20.838</f>
        <v/>
      </c>
      <c r="I6045">
        <f>-H3945/G3945</f>
        <v/>
      </c>
      <c r="J6045" s="16" t="n">
        <v>44608</v>
      </c>
      <c r="K6045">
        <f>+OPERAC[[#This Row],[cantidad]]</f>
        <v/>
      </c>
      <c r="L6045" t="n">
        <v>941.701</v>
      </c>
    </row>
    <row r="6046">
      <c r="A6046" t="n">
        <v>22433</v>
      </c>
      <c r="B6046" s="16" t="n">
        <v>44538</v>
      </c>
      <c r="C6046" t="inlineStr">
        <is>
          <t>VTA</t>
        </is>
      </c>
      <c r="D6046" t="n">
        <v>43</v>
      </c>
      <c r="E6046">
        <f>IF(D1277&gt;0,VLOOKUP(OPERAC[[#This Row],[COD CART]],[1]!MatrizCortoLargoCyl[#All],3,0),"")</f>
        <v/>
      </c>
      <c r="F6046" t="inlineStr">
        <is>
          <t>XSPA/CYL-PUT/1,50/20-01-23</t>
        </is>
      </c>
      <c r="G6046" t="n">
        <v>100</v>
      </c>
      <c r="H6046" t="n">
        <v>-59.863</v>
      </c>
      <c r="I6046">
        <f>-H1277/G1277</f>
        <v/>
      </c>
    </row>
    <row r="6047">
      <c r="A6047" t="n">
        <v>22433</v>
      </c>
      <c r="B6047" s="16" t="n">
        <v>44538</v>
      </c>
      <c r="C6047" t="inlineStr">
        <is>
          <t>VTA</t>
        </is>
      </c>
      <c r="D6047" t="n">
        <v>43</v>
      </c>
      <c r="E6047">
        <f>IF(D1313&gt;0,VLOOKUP(OPERAC[[#This Row],[COD CART]],[1]!MatrizCortoLargoCyl[#All],3,0),"")</f>
        <v/>
      </c>
      <c r="F6047" t="inlineStr">
        <is>
          <t>HEXO/CYL-PUT/1,00/20-01-23</t>
        </is>
      </c>
      <c r="G6047" t="n">
        <v>500</v>
      </c>
      <c r="H6047">
        <f>-0.1886*OPERAC[[#This Row],[cantidad]]</f>
        <v/>
      </c>
      <c r="I6047">
        <f>-H1313/G1313</f>
        <v/>
      </c>
      <c r="J6047" s="16" t="n">
        <v>44693</v>
      </c>
      <c r="K6047" t="n">
        <v>500</v>
      </c>
      <c r="L6047" t="n">
        <v>-329.76</v>
      </c>
    </row>
    <row r="6048">
      <c r="A6048" t="n">
        <v>22433</v>
      </c>
      <c r="B6048" s="16" t="n">
        <v>44538</v>
      </c>
      <c r="C6048" t="inlineStr">
        <is>
          <t>VTA</t>
        </is>
      </c>
      <c r="D6048" t="n">
        <v>43</v>
      </c>
      <c r="E6048">
        <f>IF(D1387&gt;0,VLOOKUP(OPERAC[[#This Row],[COD CART]],[1]!MatrizCortoLargoCyl[#All],3,0),"")</f>
        <v/>
      </c>
      <c r="F6048" t="inlineStr">
        <is>
          <t>NNDM/CYL-PUT/2,50/19-01-24</t>
        </is>
      </c>
      <c r="G6048" t="n">
        <v>100</v>
      </c>
      <c r="H6048" t="n">
        <v>-130.595</v>
      </c>
      <c r="I6048">
        <f>-H1387/G1387</f>
        <v/>
      </c>
    </row>
    <row r="6049">
      <c r="A6049" t="n">
        <v>22433</v>
      </c>
      <c r="B6049" s="16" t="n">
        <v>44539</v>
      </c>
      <c r="C6049" t="inlineStr">
        <is>
          <t>CPR</t>
        </is>
      </c>
      <c r="D6049" t="n">
        <v>40</v>
      </c>
      <c r="E6049">
        <f>IF(D2801&gt;0,VLOOKUP(OPERAC[[#This Row],[COD CART]],[1]!MatrizCortoLargoCyl[#All],3,0),"")</f>
        <v/>
      </c>
      <c r="F6049" t="inlineStr">
        <is>
          <t>ROKU</t>
        </is>
      </c>
      <c r="G6049" t="n">
        <v>2</v>
      </c>
      <c r="H6049" t="n">
        <v>-515.4407199999999</v>
      </c>
      <c r="I6049">
        <f>-H2801/G2801</f>
        <v/>
      </c>
      <c r="J6049" s="16" t="n">
        <v>44606</v>
      </c>
      <c r="K6049">
        <f>+OPERAC[[#This Row],[cantidad]]</f>
        <v/>
      </c>
      <c r="L6049">
        <f>+OPERAC[[#This Row],[cantidad venta]]*160.574</f>
        <v/>
      </c>
    </row>
    <row r="6050">
      <c r="A6050" t="n">
        <v>22433</v>
      </c>
      <c r="B6050" s="16" t="n">
        <v>44547</v>
      </c>
      <c r="C6050" t="inlineStr">
        <is>
          <t>VTA</t>
        </is>
      </c>
      <c r="D6050" t="n">
        <v>32</v>
      </c>
      <c r="E6050">
        <f>IF(D3805&gt;0,VLOOKUP(OPERAC[[#This Row],[COD CART]],[1]!MatrizCortoLargoCyl[#All],3,0),"")</f>
        <v/>
      </c>
      <c r="F6050" t="inlineStr">
        <is>
          <t>ARLO/CYL/9,00/18-02-22</t>
        </is>
      </c>
      <c r="G6050" t="n">
        <v>100</v>
      </c>
      <c r="H6050">
        <f>-866.74+14.88</f>
        <v/>
      </c>
      <c r="I6050">
        <f>-H3805/G3805</f>
        <v/>
      </c>
      <c r="J6050" s="16" t="n">
        <v>44607</v>
      </c>
      <c r="K6050" t="n">
        <v>100</v>
      </c>
      <c r="L6050" t="n">
        <v>875.33</v>
      </c>
    </row>
    <row r="6051">
      <c r="A6051" t="n">
        <v>22433</v>
      </c>
      <c r="B6051" s="16" t="n">
        <v>44594</v>
      </c>
      <c r="C6051" t="inlineStr">
        <is>
          <t>CPR</t>
        </is>
      </c>
      <c r="D6051" t="n">
        <v>40</v>
      </c>
      <c r="E6051">
        <f>IF(D4239&gt;0,VLOOKUP(OPERAC[[#This Row],[COD CART]],[1]!MatrizCortoLargoCyl[#All],3,0),"")</f>
        <v/>
      </c>
      <c r="F6051" t="inlineStr">
        <is>
          <t>EDU</t>
        </is>
      </c>
      <c r="G6051" t="n">
        <v>500</v>
      </c>
      <c r="H6051" t="n">
        <v>-1008</v>
      </c>
      <c r="I6051">
        <f>-H4239/G4239</f>
        <v/>
      </c>
      <c r="J6051" s="16" t="n">
        <v>44599</v>
      </c>
      <c r="K6051" t="n">
        <v>500</v>
      </c>
      <c r="L6051" t="n">
        <v>770</v>
      </c>
    </row>
    <row r="6052">
      <c r="A6052" t="n">
        <v>22433</v>
      </c>
      <c r="B6052" s="16" t="n">
        <v>44602</v>
      </c>
      <c r="C6052" t="inlineStr">
        <is>
          <t>VTA</t>
        </is>
      </c>
      <c r="D6052" t="n">
        <v>39</v>
      </c>
      <c r="E6052">
        <f>IF(D931&gt;0,VLOOKUP(OPERAC[[#This Row],[COD CART]],[1]!MatrizCortoLargoCyl[#All],3,0),"")</f>
        <v/>
      </c>
      <c r="F6052" t="inlineStr">
        <is>
          <t>TSLA/C/1005,00/11-02-22</t>
        </is>
      </c>
      <c r="G6052" t="n">
        <v>-200</v>
      </c>
      <c r="H6052">
        <f>-0.5*OPERAC[[#This Row],[cantidad]]</f>
        <v/>
      </c>
      <c r="I6052">
        <f>-H931/G931</f>
        <v/>
      </c>
      <c r="J6052" s="16" t="n">
        <v>44603</v>
      </c>
      <c r="K6052" t="n">
        <v>-200</v>
      </c>
      <c r="L6052" t="n">
        <v>0</v>
      </c>
    </row>
    <row r="6053">
      <c r="A6053" t="n">
        <v>22433</v>
      </c>
      <c r="B6053" s="16" t="n">
        <v>44602</v>
      </c>
      <c r="C6053" t="inlineStr">
        <is>
          <t>VTA</t>
        </is>
      </c>
      <c r="D6053" t="n">
        <v>39</v>
      </c>
      <c r="E6053">
        <f>IF(D932&gt;0,VLOOKUP(OPERAC[[#This Row],[COD CART]],[1]!MatrizCortoLargoCyl[#All],3,0),"")</f>
        <v/>
      </c>
      <c r="F6053" t="inlineStr">
        <is>
          <t>TSLA/V/840,00/11-02-22</t>
        </is>
      </c>
      <c r="G6053" t="n">
        <v>-200</v>
      </c>
      <c r="H6053">
        <f>-0.5*OPERAC[[#This Row],[cantidad]]</f>
        <v/>
      </c>
      <c r="I6053">
        <f>-H932/G932</f>
        <v/>
      </c>
      <c r="J6053" s="16" t="n">
        <v>44603</v>
      </c>
      <c r="K6053" t="n">
        <v>-200</v>
      </c>
      <c r="L6053" t="n">
        <v>0</v>
      </c>
    </row>
    <row r="6054">
      <c r="A6054" t="n">
        <v>22433</v>
      </c>
      <c r="B6054" s="16" t="n">
        <v>44608</v>
      </c>
      <c r="C6054" t="inlineStr">
        <is>
          <t>VTA</t>
        </is>
      </c>
      <c r="D6054" t="n">
        <v>32</v>
      </c>
      <c r="E6054">
        <f>IF(D5124&gt;0,VLOOKUP(OPERAC[[#This Row],[COD CART]],[1]!MatrizCortoLargoCyl[#All],3,0),"")</f>
        <v/>
      </c>
      <c r="F6054" t="inlineStr">
        <is>
          <t>DDD/CYL/17,00/01-04-22</t>
        </is>
      </c>
      <c r="G6054" t="n">
        <v>100</v>
      </c>
      <c r="H6054">
        <f>-1629.4234+19.7+16.45</f>
        <v/>
      </c>
      <c r="I6054">
        <f>-H5124/G5124</f>
        <v/>
      </c>
      <c r="J6054" s="16" t="n">
        <v>44649</v>
      </c>
      <c r="K6054" t="n">
        <v>100</v>
      </c>
      <c r="L6054" t="n">
        <v>1661.98</v>
      </c>
    </row>
    <row r="6055">
      <c r="A6055" t="n">
        <v>22433</v>
      </c>
      <c r="B6055" s="16" t="n">
        <v>44609</v>
      </c>
      <c r="C6055" t="inlineStr">
        <is>
          <t>VTA</t>
        </is>
      </c>
      <c r="D6055" t="n">
        <v>32</v>
      </c>
      <c r="E6055">
        <f>IF(D3886&gt;0,VLOOKUP(OPERAC[[#This Row],[COD CART]],[1]!MatrizCortoLargoCyl[#All],3,0),"")</f>
        <v/>
      </c>
      <c r="F6055" t="inlineStr">
        <is>
          <t>HIMX/CYL/9,00/18-03-22</t>
        </is>
      </c>
      <c r="G6055" t="n">
        <v>100</v>
      </c>
      <c r="H6055" t="n">
        <v>-869.5839999999999</v>
      </c>
      <c r="I6055">
        <f>-H3886/G3886</f>
        <v/>
      </c>
      <c r="J6055" s="16" t="n">
        <v>44622</v>
      </c>
      <c r="K6055">
        <f>+OPERAC[[#This Row],[cantidad]]</f>
        <v/>
      </c>
      <c r="L6055" t="n">
        <v>883.576</v>
      </c>
    </row>
    <row r="6056">
      <c r="A6056" t="n">
        <v>22433</v>
      </c>
      <c r="B6056" s="16" t="n">
        <v>44622</v>
      </c>
      <c r="C6056" t="inlineStr">
        <is>
          <t>CPR</t>
        </is>
      </c>
      <c r="D6056" t="n">
        <v>32</v>
      </c>
      <c r="E6056">
        <f>IF(D4888&gt;0,VLOOKUP(OPERAC[[#This Row],[COD CART]],[1]!MatrizCortoLargoCyl[#All],3,0),"")</f>
        <v/>
      </c>
      <c r="F6056" t="inlineStr">
        <is>
          <t>AMC/CYL/16,00/14-04-22</t>
        </is>
      </c>
      <c r="G6056" t="n">
        <v>100</v>
      </c>
      <c r="H6056" t="n">
        <v>-1460.8686</v>
      </c>
      <c r="I6056">
        <f>-H4888/G4888</f>
        <v/>
      </c>
      <c r="J6056" s="16" t="n">
        <v>44648</v>
      </c>
      <c r="K6056">
        <f>+OPERAC[[#This Row],[cantidad]]</f>
        <v/>
      </c>
      <c r="L6056" t="n">
        <v>1581.776</v>
      </c>
    </row>
    <row r="6057">
      <c r="A6057" t="n">
        <v>22433</v>
      </c>
      <c r="B6057" s="16" t="n">
        <v>44634</v>
      </c>
      <c r="C6057" t="inlineStr">
        <is>
          <t>CPR</t>
        </is>
      </c>
      <c r="D6057" t="n">
        <v>42</v>
      </c>
      <c r="E6057">
        <f>IF(D3234&gt;0,VLOOKUP(OPERAC[[#This Row],[COD CART]],[1]!MatrizCortoLargoCyl[#All],3,0),"")</f>
        <v/>
      </c>
      <c r="F6057" t="inlineStr">
        <is>
          <t>INO</t>
        </is>
      </c>
      <c r="G6057" t="n">
        <v>200</v>
      </c>
      <c r="H6057" t="n">
        <v>-664.1632</v>
      </c>
      <c r="I6057">
        <f>-H3234/G3234</f>
        <v/>
      </c>
      <c r="J6057" s="16" t="n">
        <v>44634</v>
      </c>
      <c r="K6057" t="n">
        <v>200</v>
      </c>
      <c r="L6057" t="n">
        <v>597.771</v>
      </c>
    </row>
    <row r="6058">
      <c r="A6058" t="n">
        <v>22433</v>
      </c>
      <c r="B6058" s="16" t="n">
        <v>44641</v>
      </c>
      <c r="C6058" t="inlineStr">
        <is>
          <t>CPR</t>
        </is>
      </c>
      <c r="D6058" t="n">
        <v>32</v>
      </c>
      <c r="E6058">
        <f>IF(D4112&gt;0,VLOOKUP(OPERAC[[#This Row],[COD CART]],[1]!MatrizCortoLargoCyl[#All],3,0),"")</f>
        <v/>
      </c>
      <c r="F6058" t="inlineStr">
        <is>
          <t>HMY</t>
        </is>
      </c>
      <c r="G6058" t="n">
        <v>200</v>
      </c>
      <c r="H6058" t="n">
        <v>-951.8077999999999</v>
      </c>
      <c r="I6058">
        <f>-H4112/G4112</f>
        <v/>
      </c>
      <c r="J6058" s="16" t="n">
        <v>44669</v>
      </c>
      <c r="K6058">
        <f>+OPERAC[[#This Row],[cantidad]]</f>
        <v/>
      </c>
      <c r="L6058">
        <f>4.925*OPERAC[[#This Row],[cantidad venta]]</f>
        <v/>
      </c>
    </row>
    <row r="6059">
      <c r="A6059" t="n">
        <v>22433</v>
      </c>
      <c r="B6059" s="16" t="n">
        <v>44641</v>
      </c>
      <c r="C6059" t="inlineStr">
        <is>
          <t>VTA</t>
        </is>
      </c>
      <c r="D6059" t="n">
        <v>42</v>
      </c>
      <c r="E6059">
        <f>IF(D2384&gt;0,VLOOKUP(OPERAC[[#This Row],[COD CART]],[1]!MatrizCortoLargoCyl[#All],3,0),"")</f>
        <v/>
      </c>
      <c r="F6059" t="inlineStr">
        <is>
          <t>JPM</t>
        </is>
      </c>
      <c r="G6059" t="n">
        <v>3</v>
      </c>
      <c r="H6059" t="n">
        <v>-421.3630200000001</v>
      </c>
      <c r="I6059">
        <f>-H2384/G2384</f>
        <v/>
      </c>
      <c r="J6059" s="16" t="n">
        <v>44664</v>
      </c>
      <c r="K6059">
        <f>+OPERAC[[#This Row],[cantidad]]</f>
        <v/>
      </c>
      <c r="L6059">
        <f>+OPERAC[[#This Row],[cantidad venta]]*125.943</f>
        <v/>
      </c>
    </row>
    <row r="6060">
      <c r="A6060" t="n">
        <v>22433</v>
      </c>
      <c r="B6060" s="16" t="n">
        <v>44641</v>
      </c>
      <c r="C6060" t="inlineStr">
        <is>
          <t>VTA</t>
        </is>
      </c>
      <c r="D6060" t="n">
        <v>42</v>
      </c>
      <c r="E6060">
        <f>IF(D2428&gt;0,VLOOKUP(OPERAC[[#This Row],[COD CART]],[1]!MatrizCortoLargoCyl[#All],3,0),"")</f>
        <v/>
      </c>
      <c r="F6060" t="inlineStr">
        <is>
          <t>FB</t>
        </is>
      </c>
      <c r="G6060" t="n">
        <v>2</v>
      </c>
      <c r="H6060" t="n">
        <v>-424.31276</v>
      </c>
      <c r="I6060">
        <f>-H2428/G2428</f>
        <v/>
      </c>
      <c r="J6060" s="16" t="n">
        <v>44671</v>
      </c>
      <c r="K6060">
        <f>+OPERAC[[#This Row],[cantidad]]</f>
        <v/>
      </c>
      <c r="L6060">
        <f>+OPERAC[[#This Row],[cantidad venta]]*213.173</f>
        <v/>
      </c>
    </row>
    <row r="6061">
      <c r="A6061" t="n">
        <v>22433</v>
      </c>
      <c r="B6061" s="16" t="n">
        <v>44648</v>
      </c>
      <c r="C6061" t="inlineStr">
        <is>
          <t>VTA</t>
        </is>
      </c>
      <c r="D6061" t="n">
        <v>32</v>
      </c>
      <c r="E6061">
        <f>IF(D5133&gt;0,VLOOKUP(OPERAC[[#This Row],[COD CART]],[1]!MatrizCortoLargoCyl[#All],3,0),"")</f>
        <v/>
      </c>
      <c r="F6061" t="inlineStr">
        <is>
          <t>F/CYL/18,00/16-09-22</t>
        </is>
      </c>
      <c r="G6061" t="n">
        <v>100</v>
      </c>
      <c r="H6061">
        <f>-1616.534+19.88</f>
        <v/>
      </c>
      <c r="I6061">
        <f>-H5133/G5133</f>
        <v/>
      </c>
    </row>
    <row r="6062">
      <c r="A6062" t="n">
        <v>22433</v>
      </c>
      <c r="B6062" s="16" t="n">
        <v>44649</v>
      </c>
      <c r="C6062" t="inlineStr">
        <is>
          <t>CPR</t>
        </is>
      </c>
      <c r="D6062" t="n">
        <v>32</v>
      </c>
      <c r="E6062">
        <f>IF(D3677&gt;0,VLOOKUP(OPERAC[[#This Row],[COD CART]],[1]!MatrizCortoLargoCyl[#All],3,0),"")</f>
        <v/>
      </c>
      <c r="F6062" t="inlineStr">
        <is>
          <t>ARLO/CYL/9,00/15-07-22</t>
        </is>
      </c>
      <c r="G6062" t="n">
        <v>100</v>
      </c>
      <c r="H6062">
        <f>-827.412+5.949</f>
        <v/>
      </c>
      <c r="I6062">
        <f>-H3677/G3677</f>
        <v/>
      </c>
    </row>
    <row r="6063">
      <c r="A6063" t="n">
        <v>22433</v>
      </c>
      <c r="B6063" s="16" t="n">
        <v>44662</v>
      </c>
      <c r="C6063" t="inlineStr">
        <is>
          <t>CPR</t>
        </is>
      </c>
      <c r="D6063" t="n">
        <v>42</v>
      </c>
      <c r="E6063">
        <f>IF(D1853&gt;0,VLOOKUP(OPERAC[[#This Row],[COD CART]],[1]!MatrizCortoLargoCyl[#All],3,0),"")</f>
        <v/>
      </c>
      <c r="F6063" t="inlineStr">
        <is>
          <t>HYDR</t>
        </is>
      </c>
      <c r="G6063" t="n">
        <v>15</v>
      </c>
      <c r="H6063" t="n">
        <v>-278.5551599999999</v>
      </c>
      <c r="I6063">
        <f>-H1853/G1853</f>
        <v/>
      </c>
      <c r="J6063" s="16" t="n">
        <v>44693</v>
      </c>
      <c r="K6063">
        <f>+OPERAC[[#This Row],[cantidad]]</f>
        <v/>
      </c>
      <c r="L6063">
        <f>+OPERAC[[#This Row],[cantidad venta]]*11.986</f>
        <v/>
      </c>
    </row>
    <row r="6064">
      <c r="A6064" t="n">
        <v>22433</v>
      </c>
      <c r="B6064" s="16" t="n">
        <v>44664</v>
      </c>
      <c r="C6064" t="inlineStr">
        <is>
          <t>VTA</t>
        </is>
      </c>
      <c r="D6064" t="n">
        <v>42</v>
      </c>
      <c r="E6064">
        <f>IF(D1729&gt;0,VLOOKUP(OPERAC[[#This Row],[COD CART]],[1]!MatrizCortoLargoCyl[#All],3,0),"")</f>
        <v/>
      </c>
      <c r="F6064" t="inlineStr">
        <is>
          <t>PSQ</t>
        </is>
      </c>
      <c r="G6064" t="n">
        <v>20</v>
      </c>
      <c r="H6064" t="n">
        <v>-248.65144362</v>
      </c>
      <c r="I6064">
        <f>-H1729/G1729</f>
        <v/>
      </c>
      <c r="J6064" s="16" t="n">
        <v>44680</v>
      </c>
      <c r="K6064">
        <f>+OPERAC[[#This Row],[cantidad]]</f>
        <v/>
      </c>
      <c r="L6064">
        <f>12.848*OPERAC[[#This Row],[cantidad venta]]</f>
        <v/>
      </c>
    </row>
    <row r="6065">
      <c r="A6065" t="n">
        <v>22433</v>
      </c>
      <c r="B6065" s="16" t="n">
        <v>44669</v>
      </c>
      <c r="C6065" t="inlineStr">
        <is>
          <t>CPR</t>
        </is>
      </c>
      <c r="D6065" t="n">
        <v>32</v>
      </c>
      <c r="E6065">
        <f>IF(D4755&gt;0,VLOOKUP(OPERAC[[#This Row],[COD CART]],[1]!MatrizCortoLargoCyl[#All],3,0),"")</f>
        <v/>
      </c>
      <c r="F6065" t="inlineStr">
        <is>
          <t>HMY/CYL/5,00/19-08-22</t>
        </is>
      </c>
      <c r="G6065" t="n">
        <v>300</v>
      </c>
      <c r="H6065">
        <f>-4.64*OPERAC[[#This Row],[cantidad]]+26.771</f>
        <v/>
      </c>
      <c r="I6065">
        <f>-H4755/G4755</f>
        <v/>
      </c>
    </row>
    <row r="6066">
      <c r="A6066" t="n">
        <v>22433</v>
      </c>
      <c r="B6066" s="16" t="n">
        <v>44671</v>
      </c>
      <c r="C6066" t="inlineStr">
        <is>
          <t>CPR</t>
        </is>
      </c>
      <c r="D6066" t="n">
        <v>42</v>
      </c>
      <c r="E6066">
        <f>IF(D2775&gt;0,VLOOKUP(OPERAC[[#This Row],[COD CART]],[1]!MatrizCortoLargoCyl[#All],3,0),"")</f>
        <v/>
      </c>
      <c r="F6066" t="inlineStr">
        <is>
          <t>NFLX</t>
        </is>
      </c>
      <c r="G6066" t="n">
        <v>2</v>
      </c>
      <c r="H6066" t="n">
        <v>-509.01012</v>
      </c>
      <c r="I6066">
        <f>-H2775/G2775</f>
        <v/>
      </c>
      <c r="J6066" s="16" t="n">
        <v>44693</v>
      </c>
      <c r="K6066">
        <f>+OPERAC[[#This Row],[cantidad]]</f>
        <v/>
      </c>
      <c r="L6066">
        <f>+OPERAC[[#This Row],[cantidad venta]]*169.089</f>
        <v/>
      </c>
    </row>
    <row r="6067">
      <c r="A6067" t="n">
        <v>22433</v>
      </c>
      <c r="B6067" s="16" t="n">
        <v>44680</v>
      </c>
      <c r="C6067" t="inlineStr">
        <is>
          <t>VTA</t>
        </is>
      </c>
      <c r="D6067" t="n">
        <v>42</v>
      </c>
      <c r="E6067">
        <f>IF(D1691&gt;0,VLOOKUP(OPERAC[[#This Row],[COD CART]],[1]!MatrizCortoLargoCyl[#All],3,0),"")</f>
        <v/>
      </c>
      <c r="F6067" t="inlineStr">
        <is>
          <t>XLP</t>
        </is>
      </c>
      <c r="G6067" t="n">
        <v>3</v>
      </c>
      <c r="H6067" t="n">
        <v>-238.3035075</v>
      </c>
      <c r="I6067">
        <f>-H1691/G1691</f>
        <v/>
      </c>
      <c r="J6067" s="16" t="n">
        <v>44693</v>
      </c>
      <c r="K6067">
        <f>+OPERAC[[#This Row],[cantidad]]</f>
        <v/>
      </c>
      <c r="L6067">
        <f>+OPERAC[[#This Row],[cantidad venta]]*74.848</f>
        <v/>
      </c>
    </row>
    <row r="6068">
      <c r="A6068" t="n">
        <v>22433</v>
      </c>
      <c r="B6068" s="16" t="n">
        <v>44714</v>
      </c>
      <c r="C6068" t="inlineStr">
        <is>
          <t>VTA</t>
        </is>
      </c>
      <c r="D6068" t="n">
        <v>39</v>
      </c>
      <c r="E6068">
        <f>IF(D577&gt;0,VLOOKUP(OPERAC[[#This Row],[COD CART]],[1]!MatrizCortoLargoCyl[#All],3,0),"")</f>
        <v/>
      </c>
      <c r="F6068" t="inlineStr">
        <is>
          <t>TSLA/C/850,00/03-06-22</t>
        </is>
      </c>
      <c r="G6068" t="n">
        <v>-500</v>
      </c>
      <c r="H6068" t="n">
        <v>659.3475</v>
      </c>
      <c r="I6068">
        <f>-H577/G577</f>
        <v/>
      </c>
      <c r="J6068" s="16" t="n">
        <v>44715</v>
      </c>
      <c r="K6068">
        <f>+OPERAC[[#This Row],[cantidad]]</f>
        <v/>
      </c>
      <c r="L6068" t="n">
        <v>0</v>
      </c>
    </row>
    <row r="6069">
      <c r="A6069" t="n">
        <v>22433</v>
      </c>
      <c r="B6069" s="16" t="n">
        <v>44714</v>
      </c>
      <c r="C6069" t="inlineStr">
        <is>
          <t>VTA</t>
        </is>
      </c>
      <c r="D6069" t="n">
        <v>39</v>
      </c>
      <c r="E6069">
        <f>IF(D927&gt;0,VLOOKUP(OPERAC[[#This Row],[COD CART]],[1]!MatrizCortoLargoCyl[#All],3,0),"")</f>
        <v/>
      </c>
      <c r="F6069" t="inlineStr">
        <is>
          <t>TSLA/C/870,00/03-06-22</t>
        </is>
      </c>
      <c r="G6069" t="n">
        <v>-500</v>
      </c>
      <c r="H6069" t="n">
        <v>114.023</v>
      </c>
      <c r="I6069">
        <f>-H927/G927</f>
        <v/>
      </c>
      <c r="J6069" s="16" t="n">
        <v>44715</v>
      </c>
      <c r="K6069">
        <f>+OPERAC[[#This Row],[cantidad]]</f>
        <v/>
      </c>
      <c r="L6069" t="n">
        <v>0</v>
      </c>
    </row>
    <row r="6070">
      <c r="A6070" t="n">
        <v>22433</v>
      </c>
      <c r="B6070" s="16" t="n">
        <v>44714</v>
      </c>
      <c r="C6070" t="inlineStr">
        <is>
          <t>VTA</t>
        </is>
      </c>
      <c r="D6070" t="n">
        <v>39</v>
      </c>
      <c r="E6070">
        <f>IF(D946&gt;0,VLOOKUP(OPERAC[[#This Row],[COD CART]],[1]!MatrizCortoLargoCyl[#All],3,0),"")</f>
        <v/>
      </c>
      <c r="F6070" t="inlineStr">
        <is>
          <t>TSLA/V/660,00/03-06-22</t>
        </is>
      </c>
      <c r="G6070" t="n">
        <v>-500</v>
      </c>
      <c r="H6070" t="n">
        <v>95.184</v>
      </c>
      <c r="I6070">
        <f>-H946/G946</f>
        <v/>
      </c>
      <c r="J6070" s="16" t="n">
        <v>44715</v>
      </c>
      <c r="K6070">
        <f>+OPERAC[[#This Row],[cantidad]]</f>
        <v/>
      </c>
      <c r="L6070" t="n">
        <v>-46.895</v>
      </c>
    </row>
    <row r="6071">
      <c r="A6071" t="n">
        <v>22433</v>
      </c>
      <c r="B6071" s="16" t="n">
        <v>44720</v>
      </c>
      <c r="C6071" t="inlineStr">
        <is>
          <t>CPR</t>
        </is>
      </c>
      <c r="D6071" t="n">
        <v>42</v>
      </c>
      <c r="E6071">
        <f>IF(D4336&gt;0,VLOOKUP(OPERAC[[#This Row],[COD CART]],[1]!MatrizCortoLargoCyl[#All],3,0),"")</f>
        <v/>
      </c>
      <c r="F6071" t="inlineStr">
        <is>
          <t>HYDR</t>
        </is>
      </c>
      <c r="G6071" t="n">
        <v>70</v>
      </c>
      <c r="H6071" t="n">
        <v>-1058.925</v>
      </c>
      <c r="I6071">
        <f>-H4336/G4336</f>
        <v/>
      </c>
    </row>
    <row r="6072">
      <c r="A6072" t="n">
        <v>22439</v>
      </c>
      <c r="B6072" s="16" t="n">
        <v>44446</v>
      </c>
      <c r="C6072" t="inlineStr">
        <is>
          <t>CPR</t>
        </is>
      </c>
      <c r="D6072" t="n">
        <v>32</v>
      </c>
      <c r="E6072">
        <f>IF(D3290&gt;0,VLOOKUP(OPERAC[[#This Row],[COD CART]],[1]!MatrizCortoLargoCyl[#All],3,0),"")</f>
        <v/>
      </c>
      <c r="F6072" t="inlineStr">
        <is>
          <t>INO/CYL/8,00/18-02-22</t>
        </is>
      </c>
      <c r="G6072" t="n">
        <v>100</v>
      </c>
      <c r="H6072">
        <f>-758.932+27.502+30.172+14.579+4.707</f>
        <v/>
      </c>
      <c r="I6072">
        <f>-H3290/G3290</f>
        <v/>
      </c>
      <c r="J6072" s="16" t="n">
        <v>44596</v>
      </c>
      <c r="K6072" t="n">
        <v>100</v>
      </c>
      <c r="L6072">
        <f>3.665*OPERAC[[#This Row],[cantidad venta]]</f>
        <v/>
      </c>
    </row>
    <row r="6073">
      <c r="A6073" t="n">
        <v>22439</v>
      </c>
      <c r="B6073" s="16" t="n">
        <v>44461</v>
      </c>
      <c r="C6073" t="inlineStr">
        <is>
          <t>VTA</t>
        </is>
      </c>
      <c r="D6073" t="n">
        <v>40</v>
      </c>
      <c r="E6073">
        <f>IF(D2828&gt;0,VLOOKUP(OPERAC[[#This Row],[COD CART]],[1]!MatrizCortoLargoCyl[#All],3,0),"")</f>
        <v/>
      </c>
      <c r="F6073" t="inlineStr">
        <is>
          <t>EDU</t>
        </is>
      </c>
      <c r="G6073" t="n">
        <v>500</v>
      </c>
      <c r="H6073">
        <f>-1.0864*OPERAC[[#This Row],[cantidad]]+0.04*OPERAC[[#This Row],[cantidad]]</f>
        <v/>
      </c>
      <c r="I6073">
        <f>-H2828/G2828</f>
        <v/>
      </c>
      <c r="J6073" s="16" t="n">
        <v>44614</v>
      </c>
      <c r="K6073">
        <f>+OPERAC[[#This Row],[cantidad]]</f>
        <v/>
      </c>
      <c r="L6073">
        <f>1.483*OPERAC[[#This Row],[cantidad venta]]</f>
        <v/>
      </c>
    </row>
    <row r="6074">
      <c r="A6074" t="n">
        <v>22439</v>
      </c>
      <c r="B6074" s="16" t="n">
        <v>44494</v>
      </c>
      <c r="C6074" t="inlineStr">
        <is>
          <t>VTA</t>
        </is>
      </c>
      <c r="D6074" t="n">
        <v>40</v>
      </c>
      <c r="E6074">
        <f>IF(D3200&gt;0,VLOOKUP(OPERAC[[#This Row],[COD CART]],[1]!MatrizCortoLargoCyl[#All],3,0),"")</f>
        <v/>
      </c>
      <c r="F6074" t="inlineStr">
        <is>
          <t>YPF</t>
        </is>
      </c>
      <c r="G6074" t="n">
        <v>140</v>
      </c>
      <c r="H6074" t="n">
        <v>-651.3808000000001</v>
      </c>
      <c r="I6074">
        <f>-H3200/G3200</f>
        <v/>
      </c>
      <c r="J6074" s="16" t="n">
        <v>44606</v>
      </c>
      <c r="K6074">
        <f>+OPERAC[[#This Row],[cantidad]]</f>
        <v/>
      </c>
      <c r="L6074">
        <f>+OPERAC[[#This Row],[cantidad venta]]*4.161</f>
        <v/>
      </c>
    </row>
    <row r="6075">
      <c r="A6075" t="n">
        <v>22439</v>
      </c>
      <c r="B6075" s="16" t="n">
        <v>44532</v>
      </c>
      <c r="C6075" t="inlineStr">
        <is>
          <t>VTA</t>
        </is>
      </c>
      <c r="D6075" t="n">
        <v>32</v>
      </c>
      <c r="E6075">
        <f>IF(D3946&gt;0,VLOOKUP(OPERAC[[#This Row],[COD CART]],[1]!MatrizCortoLargoCyl[#All],3,0),"")</f>
        <v/>
      </c>
      <c r="F6075" t="inlineStr">
        <is>
          <t>COTY/CYL/10,00/18-02-22</t>
        </is>
      </c>
      <c r="G6075" t="n">
        <v>100</v>
      </c>
      <c r="H6075">
        <f>-901.599+20.838</f>
        <v/>
      </c>
      <c r="I6075">
        <f>-H3946/G3946</f>
        <v/>
      </c>
      <c r="J6075" s="16" t="n">
        <v>44608</v>
      </c>
      <c r="K6075">
        <f>+OPERAC[[#This Row],[cantidad]]</f>
        <v/>
      </c>
      <c r="L6075" t="n">
        <v>941.701</v>
      </c>
    </row>
    <row r="6076">
      <c r="A6076" t="n">
        <v>22439</v>
      </c>
      <c r="B6076" s="16" t="n">
        <v>44539</v>
      </c>
      <c r="C6076" t="inlineStr">
        <is>
          <t>CPR</t>
        </is>
      </c>
      <c r="D6076" t="n">
        <v>40</v>
      </c>
      <c r="E6076">
        <f>IF(D4662&gt;0,VLOOKUP(OPERAC[[#This Row],[COD CART]],[1]!MatrizCortoLargoCyl[#All],3,0),"")</f>
        <v/>
      </c>
      <c r="F6076" t="inlineStr">
        <is>
          <t>ROKU</t>
        </is>
      </c>
      <c r="G6076" t="n">
        <v>5</v>
      </c>
      <c r="H6076" t="n">
        <v>-1288.6018</v>
      </c>
      <c r="I6076">
        <f>-H4662/G4662</f>
        <v/>
      </c>
      <c r="J6076" s="16" t="n">
        <v>44606</v>
      </c>
      <c r="K6076">
        <f>+OPERAC[[#This Row],[cantidad]]</f>
        <v/>
      </c>
      <c r="L6076">
        <f>+OPERAC[[#This Row],[cantidad venta]]*160.574</f>
        <v/>
      </c>
    </row>
    <row r="6077">
      <c r="A6077" t="n">
        <v>22439</v>
      </c>
      <c r="B6077" s="16" t="n">
        <v>44552</v>
      </c>
      <c r="C6077" t="inlineStr">
        <is>
          <t>VTA</t>
        </is>
      </c>
      <c r="D6077" t="n">
        <v>32</v>
      </c>
      <c r="E6077">
        <f>IF(D2248&gt;0,VLOOKUP(OPERAC[[#This Row],[COD CART]],[1]!MatrizCortoLargoCyl[#All],3,0),"")</f>
        <v/>
      </c>
      <c r="F6077" t="inlineStr">
        <is>
          <t>HMY/CYL/4,00/21-01-22</t>
        </is>
      </c>
      <c r="G6077" t="n">
        <v>100</v>
      </c>
      <c r="H6077">
        <f>-3.8*OPERAC[[#This Row],[cantidad]]</f>
        <v/>
      </c>
      <c r="I6077">
        <f>-H2248/G2248</f>
        <v/>
      </c>
      <c r="J6077" s="16" t="n">
        <v>44580</v>
      </c>
      <c r="K6077" t="n">
        <v>100</v>
      </c>
      <c r="L6077" t="n">
        <v>393.93</v>
      </c>
    </row>
    <row r="6078">
      <c r="A6078" t="n">
        <v>22439</v>
      </c>
      <c r="B6078" s="16" t="n">
        <v>44581</v>
      </c>
      <c r="C6078" t="inlineStr">
        <is>
          <t>CPR</t>
        </is>
      </c>
      <c r="D6078" t="n">
        <v>32</v>
      </c>
      <c r="E6078">
        <f>IF(D3593&gt;0,VLOOKUP(OPERAC[[#This Row],[COD CART]],[1]!MatrizCortoLargoCyl[#All],3,0),"")</f>
        <v/>
      </c>
      <c r="F6078" t="inlineStr">
        <is>
          <t>HMY/CYL/4,00/18-02-22</t>
        </is>
      </c>
      <c r="G6078" t="n">
        <v>200</v>
      </c>
      <c r="H6078" t="n">
        <v>-774.9359920000001</v>
      </c>
      <c r="I6078">
        <f>-H3593/G3593</f>
        <v/>
      </c>
      <c r="J6078" s="16" t="n">
        <v>44610</v>
      </c>
      <c r="K6078">
        <f>+OPERAC[[#This Row],[cantidad]]</f>
        <v/>
      </c>
      <c r="L6078">
        <f>+OPERAC[[#This Row],[cantidad venta]]*3.8323</f>
        <v/>
      </c>
    </row>
    <row r="6079">
      <c r="A6079" t="n">
        <v>22439</v>
      </c>
      <c r="B6079" s="16" t="n">
        <v>44594</v>
      </c>
      <c r="C6079" t="inlineStr">
        <is>
          <t>CPR</t>
        </is>
      </c>
      <c r="D6079" t="n">
        <v>40</v>
      </c>
      <c r="E6079">
        <f>IF(D4240&gt;0,VLOOKUP(OPERAC[[#This Row],[COD CART]],[1]!MatrizCortoLargoCyl[#All],3,0),"")</f>
        <v/>
      </c>
      <c r="F6079" t="inlineStr">
        <is>
          <t>EDU</t>
        </is>
      </c>
      <c r="G6079" t="n">
        <v>500</v>
      </c>
      <c r="H6079" t="n">
        <v>-1008</v>
      </c>
      <c r="I6079">
        <f>-H4240/G4240</f>
        <v/>
      </c>
      <c r="J6079" s="16" t="n">
        <v>44601</v>
      </c>
      <c r="K6079" t="n">
        <v>500</v>
      </c>
      <c r="L6079" t="n">
        <v>820</v>
      </c>
    </row>
    <row r="6080">
      <c r="A6080" t="n">
        <v>22439</v>
      </c>
      <c r="B6080" s="16" t="n">
        <v>44596</v>
      </c>
      <c r="C6080" t="inlineStr">
        <is>
          <t>VTA</t>
        </is>
      </c>
      <c r="D6080" t="n">
        <v>39</v>
      </c>
      <c r="E6080">
        <f>IF(D731&gt;0,VLOOKUP(OPERAC[[#This Row],[COD CART]],[1]!MatrizCortoLargoCyl[#All],3,0),"")</f>
        <v/>
      </c>
      <c r="F6080" t="inlineStr">
        <is>
          <t>MELI/V/850,00/11-02-22</t>
        </is>
      </c>
      <c r="G6080" t="n">
        <v>-100</v>
      </c>
      <c r="H6080" t="n">
        <v>390</v>
      </c>
      <c r="I6080">
        <f>-H731/G731</f>
        <v/>
      </c>
      <c r="J6080" s="16" t="n">
        <v>44603</v>
      </c>
      <c r="K6080" t="n">
        <v>-100</v>
      </c>
      <c r="L6080" t="n">
        <v>0</v>
      </c>
    </row>
    <row r="6081">
      <c r="A6081" t="n">
        <v>22439</v>
      </c>
      <c r="B6081" s="16" t="n">
        <v>44601</v>
      </c>
      <c r="C6081" t="inlineStr">
        <is>
          <t>VTA</t>
        </is>
      </c>
      <c r="D6081" t="n">
        <v>43</v>
      </c>
      <c r="E6081">
        <f>IF(D2280&gt;0,VLOOKUP(OPERAC[[#This Row],[COD CART]],[1]!MatrizCortoLargoCyl[#All],3,0),"")</f>
        <v/>
      </c>
      <c r="F6081" t="inlineStr">
        <is>
          <t>GMBL/CYL-PUT/2,50/20-01-23</t>
        </is>
      </c>
      <c r="G6081" t="n">
        <v>300</v>
      </c>
      <c r="H6081">
        <f>-1.3*OPERAC[[#This Row],[cantidad]]</f>
        <v/>
      </c>
      <c r="I6081">
        <f>-H2280/G2280</f>
        <v/>
      </c>
      <c r="J6081" s="16" t="n">
        <v>44708</v>
      </c>
      <c r="K6081" t="n">
        <v>300</v>
      </c>
      <c r="L6081" t="n">
        <v>-554.96</v>
      </c>
    </row>
    <row r="6082">
      <c r="A6082" t="n">
        <v>22439</v>
      </c>
      <c r="B6082" s="16" t="n">
        <v>44602</v>
      </c>
      <c r="C6082" t="inlineStr">
        <is>
          <t>VTA</t>
        </is>
      </c>
      <c r="D6082" t="n">
        <v>39</v>
      </c>
      <c r="E6082">
        <f>IF(D899&gt;0,VLOOKUP(OPERAC[[#This Row],[COD CART]],[1]!MatrizCortoLargoCyl[#All],3,0),"")</f>
        <v/>
      </c>
      <c r="F6082" t="inlineStr">
        <is>
          <t>TSLA/C/1005,00/11-02-22</t>
        </is>
      </c>
      <c r="G6082" t="n">
        <v>-300</v>
      </c>
      <c r="H6082">
        <f>-0.5*OPERAC[[#This Row],[cantidad]]</f>
        <v/>
      </c>
      <c r="I6082">
        <f>-H899/G899</f>
        <v/>
      </c>
      <c r="J6082" s="16" t="n">
        <v>44603</v>
      </c>
      <c r="K6082" t="n">
        <v>-300</v>
      </c>
      <c r="L6082" t="n">
        <v>0</v>
      </c>
    </row>
    <row r="6083">
      <c r="A6083" t="n">
        <v>22439</v>
      </c>
      <c r="B6083" s="16" t="n">
        <v>44602</v>
      </c>
      <c r="C6083" t="inlineStr">
        <is>
          <t>VTA</t>
        </is>
      </c>
      <c r="D6083" t="n">
        <v>39</v>
      </c>
      <c r="E6083">
        <f>IF(D900&gt;0,VLOOKUP(OPERAC[[#This Row],[COD CART]],[1]!MatrizCortoLargoCyl[#All],3,0),"")</f>
        <v/>
      </c>
      <c r="F6083" t="inlineStr">
        <is>
          <t>TSLA/V/840,00/11-02-22</t>
        </is>
      </c>
      <c r="G6083" t="n">
        <v>-300</v>
      </c>
      <c r="H6083">
        <f>-0.5*OPERAC[[#This Row],[cantidad]]</f>
        <v/>
      </c>
      <c r="I6083">
        <f>-H900/G900</f>
        <v/>
      </c>
      <c r="J6083" s="16" t="n">
        <v>44603</v>
      </c>
      <c r="K6083" t="n">
        <v>-300</v>
      </c>
      <c r="L6083" t="n">
        <v>0</v>
      </c>
    </row>
    <row r="6084">
      <c r="A6084" t="n">
        <v>22439</v>
      </c>
      <c r="B6084" s="16" t="n">
        <v>44607</v>
      </c>
      <c r="C6084" t="inlineStr">
        <is>
          <t>VTA</t>
        </is>
      </c>
      <c r="D6084" t="n">
        <v>32</v>
      </c>
      <c r="E6084">
        <f>IF(D5223&gt;0,VLOOKUP(OPERAC[[#This Row],[COD CART]],[1]!MatrizCortoLargoCyl[#All],3,0),"")</f>
        <v/>
      </c>
      <c r="F6084" t="inlineStr">
        <is>
          <t>F/CYL/17,00/18-03-22</t>
        </is>
      </c>
      <c r="G6084" t="n">
        <v>100</v>
      </c>
      <c r="H6084" t="n">
        <v>-1658.76</v>
      </c>
      <c r="I6084">
        <f>-H5223/G5223</f>
        <v/>
      </c>
      <c r="J6084" s="16" t="n">
        <v>44638</v>
      </c>
      <c r="K6084">
        <f>+OPERAC[[#This Row],[cantidad]]</f>
        <v/>
      </c>
      <c r="L6084">
        <f>+OPERAC[[#This Row],[cantidad venta]]*16.75</f>
        <v/>
      </c>
    </row>
    <row r="6085">
      <c r="A6085" t="n">
        <v>22439</v>
      </c>
      <c r="B6085" s="16" t="n">
        <v>44609</v>
      </c>
      <c r="C6085" t="inlineStr">
        <is>
          <t>VTA</t>
        </is>
      </c>
      <c r="D6085" t="n">
        <v>32</v>
      </c>
      <c r="E6085">
        <f>IF(D3887&gt;0,VLOOKUP(OPERAC[[#This Row],[COD CART]],[1]!MatrizCortoLargoCyl[#All],3,0),"")</f>
        <v/>
      </c>
      <c r="F6085" t="inlineStr">
        <is>
          <t>HIMX/CYL/9,00/18-03-22</t>
        </is>
      </c>
      <c r="G6085" t="n">
        <v>100</v>
      </c>
      <c r="H6085" t="n">
        <v>-869.5839999999999</v>
      </c>
      <c r="I6085">
        <f>-H3887/G3887</f>
        <v/>
      </c>
      <c r="J6085" s="16" t="n">
        <v>44622</v>
      </c>
      <c r="K6085">
        <f>+OPERAC[[#This Row],[cantidad]]</f>
        <v/>
      </c>
      <c r="L6085" t="n">
        <v>883.576</v>
      </c>
    </row>
    <row r="6086">
      <c r="A6086" t="n">
        <v>22439</v>
      </c>
      <c r="B6086" s="16" t="n">
        <v>44616</v>
      </c>
      <c r="C6086" t="inlineStr">
        <is>
          <t>CPR</t>
        </is>
      </c>
      <c r="D6086" t="n">
        <v>32</v>
      </c>
      <c r="E6086">
        <f>IF(D3488&gt;0,VLOOKUP(OPERAC[[#This Row],[COD CART]],[1]!MatrizCortoLargoCyl[#All],3,0),"")</f>
        <v/>
      </c>
      <c r="F6086" t="inlineStr">
        <is>
          <t>TEVA/CYL/8,00/18-03-22</t>
        </is>
      </c>
      <c r="G6086" t="n">
        <v>100</v>
      </c>
      <c r="H6086" t="n">
        <v>-762.2553999999999</v>
      </c>
      <c r="I6086">
        <f>-H3488/G3488</f>
        <v/>
      </c>
      <c r="J6086" s="16" t="n">
        <v>44638</v>
      </c>
      <c r="K6086" t="n">
        <v>100</v>
      </c>
      <c r="L6086">
        <f>7.8242*OPERAC[[#This Row],[cantidad venta]]</f>
        <v/>
      </c>
    </row>
    <row r="6087">
      <c r="A6087" t="n">
        <v>22439</v>
      </c>
      <c r="B6087" s="16" t="n">
        <v>44616</v>
      </c>
      <c r="C6087" t="inlineStr">
        <is>
          <t>CPR</t>
        </is>
      </c>
      <c r="D6087" t="n">
        <v>32</v>
      </c>
      <c r="E6087">
        <f>IF(D3654&gt;0,VLOOKUP(OPERAC[[#This Row],[COD CART]],[1]!MatrizCortoLargoCyl[#All],3,0),"")</f>
        <v/>
      </c>
      <c r="F6087" t="inlineStr">
        <is>
          <t>COTY/CYL/8,50/18-03-22</t>
        </is>
      </c>
      <c r="G6087" t="n">
        <v>100</v>
      </c>
      <c r="H6087" t="n">
        <v>-807.1405999999999</v>
      </c>
      <c r="I6087">
        <f>-H3654/G3654</f>
        <v/>
      </c>
      <c r="J6087" s="16" t="n">
        <v>44636</v>
      </c>
      <c r="K6087" t="n">
        <v>100</v>
      </c>
      <c r="L6087" t="n">
        <v>837.58</v>
      </c>
    </row>
    <row r="6088">
      <c r="A6088" t="n">
        <v>22439</v>
      </c>
      <c r="B6088" s="16" t="n">
        <v>44628</v>
      </c>
      <c r="C6088" t="inlineStr">
        <is>
          <t>CPR</t>
        </is>
      </c>
      <c r="D6088" t="n">
        <v>32</v>
      </c>
      <c r="E6088">
        <f>IF(D3404&gt;0,VLOOKUP(OPERAC[[#This Row],[COD CART]],[1]!MatrizCortoLargoCyl[#All],3,0),"")</f>
        <v/>
      </c>
      <c r="F6088" t="inlineStr">
        <is>
          <t>COTY/CYL/8,00/14-04-22</t>
        </is>
      </c>
      <c r="G6088" t="n">
        <v>100</v>
      </c>
      <c r="H6088" t="n">
        <v>-718.0550999999999</v>
      </c>
      <c r="I6088">
        <f>-H3404/G3404</f>
        <v/>
      </c>
      <c r="J6088" s="16" t="n">
        <v>44643</v>
      </c>
      <c r="K6088" t="n">
        <v>100</v>
      </c>
      <c r="L6088" t="n">
        <v>779.3200000000001</v>
      </c>
    </row>
    <row r="6089">
      <c r="A6089" t="n">
        <v>22439</v>
      </c>
      <c r="B6089" s="16" t="n">
        <v>44641</v>
      </c>
      <c r="C6089" t="inlineStr">
        <is>
          <t>CPR</t>
        </is>
      </c>
      <c r="D6089" t="n">
        <v>31</v>
      </c>
      <c r="E6089">
        <f>IF(D4551&gt;0,VLOOKUP(OPERAC[[#This Row],[COD CART]],[1]!MatrizCortoLargoCyl[#All],3,0),"")</f>
        <v/>
      </c>
      <c r="F6089" t="inlineStr">
        <is>
          <t>TGS</t>
        </is>
      </c>
      <c r="G6089" t="n">
        <v>200</v>
      </c>
      <c r="H6089" t="n">
        <v>-1221.0832</v>
      </c>
      <c r="I6089">
        <f>-H4551/G4551</f>
        <v/>
      </c>
      <c r="J6089" s="16" t="n">
        <v>44693</v>
      </c>
      <c r="K6089" t="n">
        <v>100</v>
      </c>
      <c r="L6089" t="n">
        <v>598.38</v>
      </c>
    </row>
    <row r="6090">
      <c r="A6090" t="n">
        <v>22439</v>
      </c>
      <c r="B6090" s="16" t="n">
        <v>44641</v>
      </c>
      <c r="C6090" t="inlineStr">
        <is>
          <t>CPR</t>
        </is>
      </c>
      <c r="D6090" t="n">
        <v>32</v>
      </c>
      <c r="E6090">
        <f>IF(D4826&gt;0,VLOOKUP(OPERAC[[#This Row],[COD CART]],[1]!MatrizCortoLargoCyl[#All],3,0),"")</f>
        <v/>
      </c>
      <c r="F6090" t="inlineStr">
        <is>
          <t>HMY</t>
        </is>
      </c>
      <c r="G6090" t="n">
        <v>300</v>
      </c>
      <c r="H6090" t="n">
        <v>-1427.7117</v>
      </c>
      <c r="I6090">
        <f>-H4826/G4826</f>
        <v/>
      </c>
      <c r="J6090" s="16" t="n">
        <v>44669</v>
      </c>
      <c r="K6090">
        <f>+OPERAC[[#This Row],[cantidad]]</f>
        <v/>
      </c>
      <c r="L6090">
        <f>4.925*OPERAC[[#This Row],[cantidad venta]]</f>
        <v/>
      </c>
    </row>
    <row r="6091">
      <c r="A6091" t="n">
        <v>22439</v>
      </c>
      <c r="B6091" s="16" t="n">
        <v>44641</v>
      </c>
      <c r="C6091" t="inlineStr">
        <is>
          <t>VTA</t>
        </is>
      </c>
      <c r="D6091" t="n">
        <v>42</v>
      </c>
      <c r="E6091">
        <f>IF(D1825&gt;0,VLOOKUP(OPERAC[[#This Row],[COD CART]],[1]!MatrizCortoLargoCyl[#All],3,0),"")</f>
        <v/>
      </c>
      <c r="F6091" t="inlineStr">
        <is>
          <t>SMH</t>
        </is>
      </c>
      <c r="G6091" t="n">
        <v>1</v>
      </c>
      <c r="H6091" t="n">
        <v>-268.9576500000001</v>
      </c>
      <c r="I6091">
        <f>-H1825/G1825</f>
        <v/>
      </c>
      <c r="J6091" s="16" t="n">
        <v>44663</v>
      </c>
      <c r="K6091">
        <f>+OPERAC[[#This Row],[cantidad]]</f>
        <v/>
      </c>
      <c r="L6091">
        <f>+OPERAC[[#This Row],[cantidad venta]]*238.066</f>
        <v/>
      </c>
    </row>
    <row r="6092">
      <c r="A6092" t="n">
        <v>22439</v>
      </c>
      <c r="B6092" s="16" t="n">
        <v>44641</v>
      </c>
      <c r="C6092" t="inlineStr">
        <is>
          <t>VTA</t>
        </is>
      </c>
      <c r="D6092" t="n">
        <v>42</v>
      </c>
      <c r="E6092">
        <f>IF(D1885&gt;0,VLOOKUP(OPERAC[[#This Row],[COD CART]],[1]!MatrizCortoLargoCyl[#All],3,0),"")</f>
        <v/>
      </c>
      <c r="F6092" t="inlineStr">
        <is>
          <t>JPM</t>
        </is>
      </c>
      <c r="G6092" t="n">
        <v>2</v>
      </c>
      <c r="H6092" t="n">
        <v>-280.9086800000001</v>
      </c>
      <c r="I6092">
        <f>-H1885/G1885</f>
        <v/>
      </c>
      <c r="J6092" s="16" t="n">
        <v>44664</v>
      </c>
      <c r="K6092">
        <f>+OPERAC[[#This Row],[cantidad]]</f>
        <v/>
      </c>
      <c r="L6092">
        <f>+OPERAC[[#This Row],[cantidad venta]]*125.943</f>
        <v/>
      </c>
    </row>
    <row r="6093">
      <c r="A6093" t="n">
        <v>22439</v>
      </c>
      <c r="B6093" s="16" t="n">
        <v>44641</v>
      </c>
      <c r="C6093" t="inlineStr">
        <is>
          <t>VTA</t>
        </is>
      </c>
      <c r="D6093" t="n">
        <v>42</v>
      </c>
      <c r="E6093">
        <f>IF(D2429&gt;0,VLOOKUP(OPERAC[[#This Row],[COD CART]],[1]!MatrizCortoLargoCyl[#All],3,0),"")</f>
        <v/>
      </c>
      <c r="F6093" t="inlineStr">
        <is>
          <t>FB</t>
        </is>
      </c>
      <c r="G6093" t="n">
        <v>2</v>
      </c>
      <c r="H6093" t="n">
        <v>-424.31276</v>
      </c>
      <c r="I6093">
        <f>-H2429/G2429</f>
        <v/>
      </c>
      <c r="J6093" s="16" t="n">
        <v>44671</v>
      </c>
      <c r="K6093">
        <f>+OPERAC[[#This Row],[cantidad]]</f>
        <v/>
      </c>
      <c r="L6093">
        <f>+OPERAC[[#This Row],[cantidad venta]]*213.173</f>
        <v/>
      </c>
    </row>
    <row r="6094">
      <c r="A6094" t="n">
        <v>22439</v>
      </c>
      <c r="B6094" s="16" t="n">
        <v>44643</v>
      </c>
      <c r="C6094" t="inlineStr">
        <is>
          <t>VTA</t>
        </is>
      </c>
      <c r="D6094" t="n">
        <v>42</v>
      </c>
      <c r="E6094">
        <f>IF(D1411&gt;0,VLOOKUP(OPERAC[[#This Row],[COD CART]],[1]!MatrizCortoLargoCyl[#All],3,0),"")</f>
        <v/>
      </c>
      <c r="F6094" t="inlineStr">
        <is>
          <t>JPM</t>
        </is>
      </c>
      <c r="G6094" t="n">
        <v>1</v>
      </c>
      <c r="H6094" t="n">
        <v>-141.24664</v>
      </c>
      <c r="I6094">
        <f>-H1411/G1411</f>
        <v/>
      </c>
      <c r="J6094" s="16" t="n">
        <v>44664</v>
      </c>
      <c r="K6094">
        <f>+OPERAC[[#This Row],[cantidad]]</f>
        <v/>
      </c>
      <c r="L6094">
        <f>+OPERAC[[#This Row],[cantidad venta]]*125.943</f>
        <v/>
      </c>
    </row>
    <row r="6095">
      <c r="A6095" t="n">
        <v>22439</v>
      </c>
      <c r="B6095" s="16" t="n">
        <v>44643</v>
      </c>
      <c r="C6095" t="inlineStr">
        <is>
          <t>VTA</t>
        </is>
      </c>
      <c r="D6095" t="n">
        <v>42</v>
      </c>
      <c r="E6095">
        <f>IF(D1626&gt;0,VLOOKUP(OPERAC[[#This Row],[COD CART]],[1]!MatrizCortoLargoCyl[#All],3,0),"")</f>
        <v/>
      </c>
      <c r="F6095" t="inlineStr">
        <is>
          <t>FB</t>
        </is>
      </c>
      <c r="G6095" t="n">
        <v>1</v>
      </c>
      <c r="H6095" t="n">
        <v>-216.12326</v>
      </c>
      <c r="I6095">
        <f>-H1626/G1626</f>
        <v/>
      </c>
      <c r="J6095" s="16" t="n">
        <v>44671</v>
      </c>
      <c r="K6095">
        <f>+OPERAC[[#This Row],[cantidad]]</f>
        <v/>
      </c>
      <c r="L6095">
        <f>+OPERAC[[#This Row],[cantidad venta]]*213.173</f>
        <v/>
      </c>
    </row>
    <row r="6096">
      <c r="A6096" t="n">
        <v>22439</v>
      </c>
      <c r="B6096" s="16" t="n">
        <v>44643</v>
      </c>
      <c r="C6096" t="inlineStr">
        <is>
          <t>VTA</t>
        </is>
      </c>
      <c r="D6096" t="n">
        <v>42</v>
      </c>
      <c r="E6096">
        <f>IF(D1797&gt;0,VLOOKUP(OPERAC[[#This Row],[COD CART]],[1]!MatrizCortoLargoCyl[#All],3,0),"")</f>
        <v/>
      </c>
      <c r="F6096" t="inlineStr">
        <is>
          <t>SMH</t>
        </is>
      </c>
      <c r="G6096" t="n">
        <v>1</v>
      </c>
      <c r="H6096" t="n">
        <v>-267.162898</v>
      </c>
      <c r="I6096">
        <f>-H1797/G1797</f>
        <v/>
      </c>
      <c r="J6096" s="16" t="n">
        <v>44663</v>
      </c>
      <c r="K6096">
        <f>+OPERAC[[#This Row],[cantidad]]</f>
        <v/>
      </c>
      <c r="L6096">
        <f>+OPERAC[[#This Row],[cantidad venta]]*238.066</f>
        <v/>
      </c>
    </row>
    <row r="6097">
      <c r="A6097" t="n">
        <v>22439</v>
      </c>
      <c r="B6097" s="16" t="n">
        <v>44662</v>
      </c>
      <c r="C6097" t="inlineStr">
        <is>
          <t>CPR</t>
        </is>
      </c>
      <c r="D6097" t="n">
        <v>42</v>
      </c>
      <c r="E6097">
        <f>IF(D1854&gt;0,VLOOKUP(OPERAC[[#This Row],[COD CART]],[1]!MatrizCortoLargoCyl[#All],3,0),"")</f>
        <v/>
      </c>
      <c r="F6097" t="inlineStr">
        <is>
          <t>HYDR</t>
        </is>
      </c>
      <c r="G6097" t="n">
        <v>15</v>
      </c>
      <c r="H6097" t="n">
        <v>-278.5551599999999</v>
      </c>
      <c r="I6097">
        <f>-H1854/G1854</f>
        <v/>
      </c>
      <c r="J6097" s="16" t="n">
        <v>44693</v>
      </c>
      <c r="K6097">
        <f>+OPERAC[[#This Row],[cantidad]]</f>
        <v/>
      </c>
      <c r="L6097">
        <f>+OPERAC[[#This Row],[cantidad venta]]*11.986</f>
        <v/>
      </c>
    </row>
    <row r="6098">
      <c r="A6098" t="n">
        <v>22439</v>
      </c>
      <c r="B6098" s="16" t="n">
        <v>44664</v>
      </c>
      <c r="C6098" t="inlineStr">
        <is>
          <t>VTA</t>
        </is>
      </c>
      <c r="D6098" t="n">
        <v>42</v>
      </c>
      <c r="E6098">
        <f>IF(D1730&gt;0,VLOOKUP(OPERAC[[#This Row],[COD CART]],[1]!MatrizCortoLargoCyl[#All],3,0),"")</f>
        <v/>
      </c>
      <c r="F6098" t="inlineStr">
        <is>
          <t>PSQ</t>
        </is>
      </c>
      <c r="G6098" t="n">
        <v>20</v>
      </c>
      <c r="H6098" t="n">
        <v>-248.65144362</v>
      </c>
      <c r="I6098">
        <f>-H1730/G1730</f>
        <v/>
      </c>
      <c r="J6098" s="16" t="n">
        <v>44680</v>
      </c>
      <c r="K6098">
        <f>+OPERAC[[#This Row],[cantidad]]</f>
        <v/>
      </c>
      <c r="L6098">
        <f>12.848*OPERAC[[#This Row],[cantidad venta]]</f>
        <v/>
      </c>
    </row>
    <row r="6099">
      <c r="A6099" t="n">
        <v>22439</v>
      </c>
      <c r="B6099" s="16" t="n">
        <v>44669</v>
      </c>
      <c r="C6099" t="inlineStr">
        <is>
          <t>VTA</t>
        </is>
      </c>
      <c r="D6099" t="n">
        <v>32</v>
      </c>
      <c r="E6099">
        <f>IF(D5404&gt;0,VLOOKUP(OPERAC[[#This Row],[COD CART]],[1]!MatrizCortoLargoCyl[#All],3,0),"")</f>
        <v/>
      </c>
      <c r="F6099" t="inlineStr">
        <is>
          <t>HMY/CYL/5,00/19-08-22</t>
        </is>
      </c>
      <c r="G6099" t="n">
        <v>400</v>
      </c>
      <c r="H6099">
        <f>-4.64*OPERAC[[#This Row],[cantidad]]+27.762</f>
        <v/>
      </c>
      <c r="I6099">
        <f>-H5404/G5404</f>
        <v/>
      </c>
    </row>
    <row r="6100">
      <c r="A6100" t="n">
        <v>22439</v>
      </c>
      <c r="B6100" s="16" t="n">
        <v>44671</v>
      </c>
      <c r="C6100" t="inlineStr">
        <is>
          <t>CPR</t>
        </is>
      </c>
      <c r="D6100" t="n">
        <v>42</v>
      </c>
      <c r="E6100">
        <f>IF(D3519&gt;0,VLOOKUP(OPERAC[[#This Row],[COD CART]],[1]!MatrizCortoLargoCyl[#All],3,0),"")</f>
        <v/>
      </c>
      <c r="F6100" t="inlineStr">
        <is>
          <t>NFLX</t>
        </is>
      </c>
      <c r="G6100" t="n">
        <v>3</v>
      </c>
      <c r="H6100" t="n">
        <v>-763.51518</v>
      </c>
      <c r="I6100">
        <f>-H3519/G3519</f>
        <v/>
      </c>
      <c r="J6100" s="16" t="n">
        <v>44693</v>
      </c>
      <c r="K6100">
        <f>+OPERAC[[#This Row],[cantidad]]</f>
        <v/>
      </c>
      <c r="L6100">
        <f>+OPERAC[[#This Row],[cantidad venta]]*169.089</f>
        <v/>
      </c>
    </row>
    <row r="6101">
      <c r="A6101" t="n">
        <v>22439</v>
      </c>
      <c r="B6101" s="16" t="n">
        <v>44680</v>
      </c>
      <c r="C6101" t="inlineStr">
        <is>
          <t>VTA</t>
        </is>
      </c>
      <c r="D6101" t="n">
        <v>42</v>
      </c>
      <c r="E6101">
        <f>IF(D1692&gt;0,VLOOKUP(OPERAC[[#This Row],[COD CART]],[1]!MatrizCortoLargoCyl[#All],3,0),"")</f>
        <v/>
      </c>
      <c r="F6101" t="inlineStr">
        <is>
          <t>XLP</t>
        </is>
      </c>
      <c r="G6101" t="n">
        <v>3</v>
      </c>
      <c r="H6101" t="n">
        <v>-238.3035075</v>
      </c>
      <c r="I6101">
        <f>-H1692/G1692</f>
        <v/>
      </c>
      <c r="J6101" s="16" t="n">
        <v>44693</v>
      </c>
      <c r="K6101">
        <f>+OPERAC[[#This Row],[cantidad]]</f>
        <v/>
      </c>
      <c r="L6101">
        <f>+OPERAC[[#This Row],[cantidad venta]]*74.848</f>
        <v/>
      </c>
    </row>
    <row r="6102">
      <c r="A6102" t="n">
        <v>22439</v>
      </c>
      <c r="B6102" s="16" t="n">
        <v>44712</v>
      </c>
      <c r="C6102" t="inlineStr">
        <is>
          <t>CPR</t>
        </is>
      </c>
      <c r="D6102" t="n">
        <v>32</v>
      </c>
      <c r="E6102">
        <f>IF(D3254&gt;0,VLOOKUP(OPERAC[[#This Row],[COD CART]],[1]!MatrizCortoLargoCyl[#All],3,0),"")</f>
        <v/>
      </c>
      <c r="F6102" t="inlineStr">
        <is>
          <t>COTY/CYL/7,00/17-06-22</t>
        </is>
      </c>
      <c r="G6102" t="n">
        <v>100</v>
      </c>
      <c r="H6102" t="n">
        <v>-677.42</v>
      </c>
      <c r="I6102">
        <f>-H3254/G3254</f>
        <v/>
      </c>
    </row>
    <row r="6103">
      <c r="A6103" t="n">
        <v>22439</v>
      </c>
      <c r="B6103" s="16" t="n">
        <v>44712</v>
      </c>
      <c r="C6103" t="inlineStr">
        <is>
          <t>CPR</t>
        </is>
      </c>
      <c r="D6103" t="n">
        <v>32</v>
      </c>
      <c r="E6103">
        <f>IF(D4777&gt;0,VLOOKUP(OPERAC[[#This Row],[COD CART]],[1]!MatrizCortoLargoCyl[#All],3,0),"")</f>
        <v/>
      </c>
      <c r="F6103" t="inlineStr">
        <is>
          <t>CRESY/CYL/7,50/17-06-22</t>
        </is>
      </c>
      <c r="G6103" t="n">
        <v>200</v>
      </c>
      <c r="H6103" t="n">
        <v>-1386.15</v>
      </c>
      <c r="I6103">
        <f>-H4777/G4777</f>
        <v/>
      </c>
    </row>
    <row r="6104">
      <c r="A6104" t="n">
        <v>25070</v>
      </c>
      <c r="B6104" s="16" t="n">
        <v>44461</v>
      </c>
      <c r="C6104" t="inlineStr">
        <is>
          <t>CPR</t>
        </is>
      </c>
      <c r="D6104" t="n">
        <v>40</v>
      </c>
      <c r="E6104">
        <f>IF(D4301&gt;0,VLOOKUP(OPERAC[[#This Row],[COD CART]],[1]!MatrizCortoLargoCyl[#All],3,0),"")</f>
        <v/>
      </c>
      <c r="F6104" t="inlineStr">
        <is>
          <t>EDU</t>
        </is>
      </c>
      <c r="G6104" t="n">
        <v>1000</v>
      </c>
      <c r="H6104">
        <f>-1.0864*OPERAC[[#This Row],[cantidad]]+0.04*OPERAC[[#This Row],[cantidad]]</f>
        <v/>
      </c>
      <c r="I6104">
        <f>-H4301/G4301</f>
        <v/>
      </c>
      <c r="J6104" s="16" t="n">
        <v>44622</v>
      </c>
      <c r="K6104" t="n">
        <v>1000</v>
      </c>
      <c r="L6104" t="n">
        <v>1375.726</v>
      </c>
    </row>
    <row r="6105">
      <c r="A6105" t="n">
        <v>25070</v>
      </c>
      <c r="B6105" s="16" t="n">
        <v>44474</v>
      </c>
      <c r="C6105" t="inlineStr">
        <is>
          <t>VTA</t>
        </is>
      </c>
      <c r="D6105" t="n">
        <v>39</v>
      </c>
      <c r="E6105">
        <f>IF(D949&gt;0,VLOOKUP(OPERAC[[#This Row],[COD CART]],[1]!MatrizCortoLargoCyl[#All],3,0),"")</f>
        <v/>
      </c>
      <c r="F6105" t="inlineStr">
        <is>
          <t>NKE/V/115,00/21-01-22</t>
        </is>
      </c>
      <c r="G6105" t="n">
        <v>-100</v>
      </c>
      <c r="H6105" t="n">
        <v>94.95699999999999</v>
      </c>
      <c r="I6105">
        <f>-H949/G949</f>
        <v/>
      </c>
      <c r="J6105" s="16" t="n">
        <v>44582</v>
      </c>
      <c r="K6105">
        <f>+OPERAC[[#This Row],[cantidad]]</f>
        <v/>
      </c>
      <c r="L6105" t="n">
        <v>0</v>
      </c>
    </row>
    <row r="6106">
      <c r="A6106" t="n">
        <v>25070</v>
      </c>
      <c r="B6106" s="16" t="n">
        <v>44489</v>
      </c>
      <c r="C6106" t="inlineStr">
        <is>
          <t>VTA</t>
        </is>
      </c>
      <c r="D6106" t="n">
        <v>43</v>
      </c>
      <c r="E6106">
        <f>IF(D5451&gt;0,VLOOKUP(OPERAC[[#This Row],[COD CART]],[1]!MatrizCortoLargoCyl[#All],3,0),"")</f>
        <v/>
      </c>
      <c r="F6106" t="inlineStr">
        <is>
          <t>SESN/CYL-PUT/1,00/19-01-24</t>
        </is>
      </c>
      <c r="G6106" t="n">
        <v>10000</v>
      </c>
      <c r="H6106">
        <f>-0.1885*OPERAC[[#This Row],[cantidad]]</f>
        <v/>
      </c>
      <c r="I6106">
        <f>-H5451/G5451</f>
        <v/>
      </c>
      <c r="J6106" s="16" t="n">
        <v>44557</v>
      </c>
      <c r="K6106" t="n">
        <v>2300</v>
      </c>
      <c r="L6106">
        <f>1951.537-1159.2</f>
        <v/>
      </c>
    </row>
    <row r="6107">
      <c r="A6107" t="n">
        <v>25070</v>
      </c>
      <c r="B6107" s="16" t="n">
        <v>44511</v>
      </c>
      <c r="C6107" t="inlineStr">
        <is>
          <t>VTA</t>
        </is>
      </c>
      <c r="D6107" t="n">
        <v>31</v>
      </c>
      <c r="E6107">
        <f>IF(D2913&gt;0,VLOOKUP(OPERAC[[#This Row],[COD CART]],[1]!MatrizCortoLargoCyl[#All],3,0),"")</f>
        <v/>
      </c>
      <c r="F6107" t="inlineStr">
        <is>
          <t>IPIX</t>
        </is>
      </c>
      <c r="G6107" t="n">
        <v>5000</v>
      </c>
      <c r="H6107" t="n">
        <v>-549.95</v>
      </c>
      <c r="I6107">
        <f>-H2913/G2913</f>
        <v/>
      </c>
    </row>
    <row r="6108">
      <c r="A6108" t="n">
        <v>25070</v>
      </c>
      <c r="B6108" s="16" t="n">
        <v>44537</v>
      </c>
      <c r="C6108" t="inlineStr">
        <is>
          <t>VTA</t>
        </is>
      </c>
      <c r="D6108" t="n">
        <v>43</v>
      </c>
      <c r="E6108">
        <f>IF(D3106&gt;0,VLOOKUP(OPERAC[[#This Row],[COD CART]],[1]!MatrizCortoLargoCyl[#All],3,0),"")</f>
        <v/>
      </c>
      <c r="F6108" t="inlineStr">
        <is>
          <t>XSPA/CYL-PUT/1,50/20-01-23</t>
        </is>
      </c>
      <c r="G6108" t="n">
        <v>1200</v>
      </c>
      <c r="H6108">
        <f>-0.52*OPERAC[[#This Row],[cantidad]]</f>
        <v/>
      </c>
      <c r="I6108">
        <f>-H3106/G3106</f>
        <v/>
      </c>
    </row>
    <row r="6109">
      <c r="A6109" t="n">
        <v>25070</v>
      </c>
      <c r="B6109" s="16" t="n">
        <v>44538</v>
      </c>
      <c r="C6109" t="inlineStr">
        <is>
          <t>CPR</t>
        </is>
      </c>
      <c r="D6109" t="n">
        <v>43</v>
      </c>
      <c r="E6109">
        <f>IF(D4682&gt;0,VLOOKUP(OPERAC[[#This Row],[COD CART]],[1]!MatrizCortoLargoCyl[#All],3,0),"")</f>
        <v/>
      </c>
      <c r="F6109" t="inlineStr">
        <is>
          <t>NNDM/CYL-PUT/2,50/19-01-24</t>
        </is>
      </c>
      <c r="G6109" t="n">
        <v>1000</v>
      </c>
      <c r="H6109">
        <f>-1.306*OPERAC[[#This Row],[cantidad]]</f>
        <v/>
      </c>
      <c r="I6109">
        <f>-H4682/G4682</f>
        <v/>
      </c>
    </row>
    <row r="6110">
      <c r="A6110" t="n">
        <v>25070</v>
      </c>
      <c r="B6110" s="16" t="n">
        <v>44538</v>
      </c>
      <c r="C6110" t="inlineStr">
        <is>
          <t>VTA</t>
        </is>
      </c>
      <c r="D6110" t="n">
        <v>43</v>
      </c>
      <c r="E6110">
        <f>IF(D2989&gt;0,VLOOKUP(OPERAC[[#This Row],[COD CART]],[1]!MatrizCortoLargoCyl[#All],3,0),"")</f>
        <v/>
      </c>
      <c r="F6110" t="inlineStr">
        <is>
          <t>HEXO1/CYL-PUT/1,00/20-01-23</t>
        </is>
      </c>
      <c r="G6110" t="n">
        <v>3000</v>
      </c>
      <c r="H6110">
        <f>-0.1886*OPERAC[[#This Row],[cantidad]]</f>
        <v/>
      </c>
      <c r="I6110">
        <f>-H2989/G2989</f>
        <v/>
      </c>
      <c r="J6110" s="16" t="n">
        <v>44609</v>
      </c>
      <c r="K6110" t="n">
        <v>1300</v>
      </c>
      <c r="L6110" t="n">
        <v>-396.89</v>
      </c>
    </row>
    <row r="6111">
      <c r="A6111" t="n">
        <v>25070</v>
      </c>
      <c r="B6111" s="16" t="n">
        <v>44539</v>
      </c>
      <c r="C6111" t="inlineStr">
        <is>
          <t>VTA</t>
        </is>
      </c>
      <c r="D6111" t="n">
        <v>40</v>
      </c>
      <c r="E6111">
        <f>IF(D2802&gt;0,VLOOKUP(OPERAC[[#This Row],[COD CART]],[1]!MatrizCortoLargoCyl[#All],3,0),"")</f>
        <v/>
      </c>
      <c r="F6111" t="inlineStr">
        <is>
          <t>ROKU</t>
        </is>
      </c>
      <c r="G6111" t="n">
        <v>2</v>
      </c>
      <c r="H6111" t="n">
        <v>-515.4407199999999</v>
      </c>
      <c r="I6111">
        <f>-H2802/G2802</f>
        <v/>
      </c>
      <c r="J6111" s="16" t="n">
        <v>44606</v>
      </c>
      <c r="K6111">
        <f>+OPERAC[[#This Row],[cantidad]]</f>
        <v/>
      </c>
      <c r="L6111">
        <f>+OPERAC[[#This Row],[cantidad venta]]*160.574</f>
        <v/>
      </c>
    </row>
    <row r="6112">
      <c r="A6112" t="n">
        <v>25070</v>
      </c>
      <c r="B6112" s="16" t="n">
        <v>44547</v>
      </c>
      <c r="C6112" t="inlineStr">
        <is>
          <t>VTA</t>
        </is>
      </c>
      <c r="D6112" t="n">
        <v>32</v>
      </c>
      <c r="E6112">
        <f>IF(D5266&gt;0,VLOOKUP(OPERAC[[#This Row],[COD CART]],[1]!MatrizCortoLargoCyl[#All],3,0),"")</f>
        <v/>
      </c>
      <c r="F6112" t="inlineStr">
        <is>
          <t>ARLO/CYL/9,00/18-02-22</t>
        </is>
      </c>
      <c r="G6112" t="n">
        <v>200</v>
      </c>
      <c r="H6112">
        <f>-1733.48+29.76</f>
        <v/>
      </c>
      <c r="I6112">
        <f>-H5266/G5266</f>
        <v/>
      </c>
      <c r="J6112" s="16" t="n">
        <v>44607</v>
      </c>
      <c r="K6112" t="n">
        <v>200</v>
      </c>
      <c r="L6112" t="n">
        <v>1751.065</v>
      </c>
    </row>
    <row r="6113">
      <c r="A6113" t="n">
        <v>25070</v>
      </c>
      <c r="B6113" s="16" t="n">
        <v>44552</v>
      </c>
      <c r="C6113" t="inlineStr">
        <is>
          <t>CPR</t>
        </is>
      </c>
      <c r="D6113" t="n">
        <v>32</v>
      </c>
      <c r="E6113">
        <f>IF(D4446&gt;0,VLOOKUP(OPERAC[[#This Row],[COD CART]],[1]!MatrizCortoLargoCyl[#All],3,0),"")</f>
        <v/>
      </c>
      <c r="F6113" t="inlineStr">
        <is>
          <t>HMY/CYL/4,00/21-01-22</t>
        </is>
      </c>
      <c r="G6113" t="n">
        <v>300</v>
      </c>
      <c r="H6113">
        <f>-3.8*OPERAC[[#This Row],[cantidad]]</f>
        <v/>
      </c>
      <c r="I6113">
        <f>-H4446/G4446</f>
        <v/>
      </c>
      <c r="J6113" s="16" t="n">
        <v>44580</v>
      </c>
      <c r="K6113" t="n">
        <v>300</v>
      </c>
      <c r="L6113" t="n">
        <v>1181.78</v>
      </c>
    </row>
    <row r="6114">
      <c r="A6114" t="n">
        <v>25070</v>
      </c>
      <c r="B6114" s="16" t="n">
        <v>44553</v>
      </c>
      <c r="C6114" t="inlineStr">
        <is>
          <t>VTA</t>
        </is>
      </c>
      <c r="D6114" t="n">
        <v>40</v>
      </c>
      <c r="E6114">
        <f>IF(D1820&gt;0,VLOOKUP(OPERAC[[#This Row],[COD CART]],[1]!MatrizCortoLargoCyl[#All],3,0),"")</f>
        <v/>
      </c>
      <c r="F6114" t="inlineStr">
        <is>
          <t>ON</t>
        </is>
      </c>
      <c r="G6114" t="n">
        <v>4</v>
      </c>
      <c r="H6114" t="n">
        <v>-268.4544319999999</v>
      </c>
      <c r="I6114">
        <f>-H1820/G1820</f>
        <v/>
      </c>
      <c r="J6114" s="16" t="n">
        <v>44606</v>
      </c>
      <c r="K6114">
        <f>+OPERAC[[#This Row],[cantidad]]</f>
        <v/>
      </c>
      <c r="L6114">
        <f>+OPERAC[[#This Row],[cantidad venta]]*58.449</f>
        <v/>
      </c>
    </row>
    <row r="6115">
      <c r="A6115" t="n">
        <v>25070</v>
      </c>
      <c r="B6115" s="16" t="n">
        <v>44557</v>
      </c>
      <c r="C6115" t="inlineStr">
        <is>
          <t>CPR</t>
        </is>
      </c>
      <c r="D6115" t="n">
        <v>40</v>
      </c>
      <c r="E6115">
        <f>IF(D3557&gt;0,VLOOKUP(OPERAC[[#This Row],[COD CART]],[1]!MatrizCortoLargoCyl[#All],3,0),"")</f>
        <v/>
      </c>
      <c r="F6115" t="inlineStr">
        <is>
          <t>TLRY</t>
        </is>
      </c>
      <c r="G6115" t="n">
        <v>100</v>
      </c>
      <c r="H6115" t="n">
        <v>-771.62</v>
      </c>
      <c r="I6115">
        <f>-H3557/G3557</f>
        <v/>
      </c>
      <c r="J6115" s="16" t="n">
        <v>44585</v>
      </c>
      <c r="K6115">
        <f>+OPERAC[[#This Row],[cantidad]]</f>
        <v/>
      </c>
      <c r="L6115">
        <f>+OPERAC[[#This Row],[cantidad venta]]*5.263</f>
        <v/>
      </c>
    </row>
    <row r="6116">
      <c r="A6116" t="n">
        <v>25070</v>
      </c>
      <c r="B6116" s="16" t="n">
        <v>44557</v>
      </c>
      <c r="C6116" t="inlineStr">
        <is>
          <t>VTA</t>
        </is>
      </c>
      <c r="D6116" t="n">
        <v>39</v>
      </c>
      <c r="E6116">
        <f>IF(D39&gt;0,VLOOKUP(OPERAC[[#This Row],[COD CART]],[1]!MatrizCortoLargoCyl[#All],3,0),"")</f>
        <v/>
      </c>
      <c r="F6116" t="inlineStr">
        <is>
          <t>TSLA/V/850,00/07-01-22</t>
        </is>
      </c>
      <c r="G6116" t="n">
        <v>-4000</v>
      </c>
      <c r="H6116" t="n">
        <v>5788.88</v>
      </c>
      <c r="I6116">
        <f>-H39/G39</f>
        <v/>
      </c>
      <c r="J6116" s="16" t="n">
        <v>44564</v>
      </c>
      <c r="K6116" t="n">
        <v>-4000</v>
      </c>
      <c r="L6116" t="n">
        <v>-1129.504</v>
      </c>
    </row>
    <row r="6117">
      <c r="A6117" t="n">
        <v>25070</v>
      </c>
      <c r="B6117" s="16" t="n">
        <v>44558</v>
      </c>
      <c r="C6117" t="inlineStr">
        <is>
          <t>CPR</t>
        </is>
      </c>
      <c r="D6117" t="n">
        <v>40</v>
      </c>
      <c r="E6117">
        <f>IF(D3454&gt;0,VLOOKUP(OPERAC[[#This Row],[COD CART]],[1]!MatrizCortoLargoCyl[#All],3,0),"")</f>
        <v/>
      </c>
      <c r="F6117" t="inlineStr">
        <is>
          <t>UPST</t>
        </is>
      </c>
      <c r="G6117" t="n">
        <v>5</v>
      </c>
      <c r="H6117" t="n">
        <v>-753.001</v>
      </c>
      <c r="I6117">
        <f>-H3454/G3454</f>
        <v/>
      </c>
      <c r="J6117" s="16" t="n">
        <v>44606</v>
      </c>
      <c r="K6117">
        <f>+OPERAC[[#This Row],[cantidad]]</f>
        <v/>
      </c>
      <c r="L6117">
        <f>+OPERAC[[#This Row],[cantidad venta]]*98.994</f>
        <v/>
      </c>
    </row>
    <row r="6118">
      <c r="A6118" t="n">
        <v>25070</v>
      </c>
      <c r="B6118" s="16" t="n">
        <v>44564</v>
      </c>
      <c r="C6118" t="inlineStr">
        <is>
          <t>VTA</t>
        </is>
      </c>
      <c r="D6118" t="n">
        <v>39</v>
      </c>
      <c r="E6118">
        <f>IF(D402&gt;0,VLOOKUP(OPERAC[[#This Row],[COD CART]],[1]!MatrizCortoLargoCyl[#All],3,0),"")</f>
        <v/>
      </c>
      <c r="F6118" t="inlineStr">
        <is>
          <t>TSLA/V/975,00/07-01-22</t>
        </is>
      </c>
      <c r="G6118" t="n">
        <v>-1500</v>
      </c>
      <c r="H6118" t="n">
        <v>1158.867</v>
      </c>
      <c r="I6118">
        <f>-H402/G402</f>
        <v/>
      </c>
      <c r="J6118" s="16" t="n">
        <v>44567</v>
      </c>
      <c r="K6118" t="n">
        <v>-1500</v>
      </c>
      <c r="L6118" t="n">
        <v>-1158.87</v>
      </c>
    </row>
    <row r="6119">
      <c r="A6119" t="n">
        <v>25070</v>
      </c>
      <c r="B6119" s="16" t="n">
        <v>44567</v>
      </c>
      <c r="C6119" t="inlineStr">
        <is>
          <t>VTA</t>
        </is>
      </c>
      <c r="D6119" t="n">
        <v>39</v>
      </c>
      <c r="E6119">
        <f>IF(D17&gt;0,VLOOKUP(OPERAC[[#This Row],[COD CART]],[1]!MatrizCortoLargoCyl[#All],3,0),"")</f>
        <v/>
      </c>
      <c r="F6119" t="inlineStr">
        <is>
          <t>TSLA/V/880,00/14-01-22</t>
        </is>
      </c>
      <c r="G6119" t="n">
        <v>-1500</v>
      </c>
      <c r="H6119" t="n">
        <v>8924.005499999999</v>
      </c>
      <c r="I6119">
        <f>-H17/G17</f>
        <v/>
      </c>
      <c r="J6119" s="16" t="n">
        <v>44571</v>
      </c>
      <c r="K6119" t="n">
        <v>-1500</v>
      </c>
      <c r="L6119" t="n">
        <v>-5045.3295</v>
      </c>
    </row>
    <row r="6120">
      <c r="A6120" t="n">
        <v>25070</v>
      </c>
      <c r="B6120" s="16" t="n">
        <v>44571</v>
      </c>
      <c r="C6120" t="inlineStr">
        <is>
          <t>VTA</t>
        </is>
      </c>
      <c r="D6120" t="n">
        <v>39</v>
      </c>
      <c r="E6120">
        <f>IF(D100&gt;0,VLOOKUP(OPERAC[[#This Row],[COD CART]],[1]!MatrizCortoLargoCyl[#All],3,0),"")</f>
        <v/>
      </c>
      <c r="F6120" t="inlineStr">
        <is>
          <t>TSLA/V/870,00/21-01-22</t>
        </is>
      </c>
      <c r="G6120" t="n">
        <v>-600</v>
      </c>
      <c r="H6120" t="n">
        <v>3450.5622</v>
      </c>
      <c r="I6120">
        <f>-H100/G100</f>
        <v/>
      </c>
      <c r="J6120" s="16" t="n">
        <v>44574</v>
      </c>
      <c r="K6120" t="n">
        <v>-600</v>
      </c>
      <c r="L6120" t="n">
        <v>-999.4878</v>
      </c>
    </row>
    <row r="6121">
      <c r="A6121" t="n">
        <v>25070</v>
      </c>
      <c r="B6121" s="16" t="n">
        <v>44574</v>
      </c>
      <c r="C6121" t="inlineStr">
        <is>
          <t>VTA</t>
        </is>
      </c>
      <c r="D6121" t="n">
        <v>39</v>
      </c>
      <c r="E6121">
        <f>IF(D427&gt;0,VLOOKUP(OPERAC[[#This Row],[COD CART]],[1]!MatrizCortoLargoCyl[#All],3,0),"")</f>
        <v/>
      </c>
      <c r="F6121" t="inlineStr">
        <is>
          <t>TSLA/V/900,00/21-01-22</t>
        </is>
      </c>
      <c r="G6121" t="n">
        <v>-400</v>
      </c>
      <c r="H6121" t="n">
        <v>1070.3008</v>
      </c>
      <c r="I6121">
        <f>-H427/G427</f>
        <v/>
      </c>
      <c r="J6121" s="16" t="n">
        <v>44582</v>
      </c>
      <c r="K6121">
        <f>+OPERAC[[#This Row],[cantidad]]</f>
        <v/>
      </c>
      <c r="L6121" t="n">
        <v>0</v>
      </c>
    </row>
    <row r="6122">
      <c r="A6122" t="n">
        <v>25070</v>
      </c>
      <c r="B6122" s="16" t="n">
        <v>44581</v>
      </c>
      <c r="C6122" t="inlineStr">
        <is>
          <t>CPR</t>
        </is>
      </c>
      <c r="D6122" t="n">
        <v>32</v>
      </c>
      <c r="E6122">
        <f>IF(D3594&gt;0,VLOOKUP(OPERAC[[#This Row],[COD CART]],[1]!MatrizCortoLargoCyl[#All],3,0),"")</f>
        <v/>
      </c>
      <c r="F6122" t="inlineStr">
        <is>
          <t>HMY/CYL/4,00/18-02-22</t>
        </is>
      </c>
      <c r="G6122" t="n">
        <v>200</v>
      </c>
      <c r="H6122" t="n">
        <v>-774.9359920000001</v>
      </c>
      <c r="I6122">
        <f>-H3594/G3594</f>
        <v/>
      </c>
      <c r="J6122" s="16" t="n">
        <v>44610</v>
      </c>
      <c r="K6122">
        <f>+OPERAC[[#This Row],[cantidad]]</f>
        <v/>
      </c>
      <c r="L6122">
        <f>+OPERAC[[#This Row],[cantidad venta]]*3.8323</f>
        <v/>
      </c>
    </row>
    <row r="6123">
      <c r="A6123" t="n">
        <v>25070</v>
      </c>
      <c r="B6123" s="16" t="n">
        <v>44582</v>
      </c>
      <c r="C6123" t="inlineStr">
        <is>
          <t>VTA</t>
        </is>
      </c>
      <c r="D6123" t="n">
        <v>40</v>
      </c>
      <c r="E6123">
        <f>IF(D5494&gt;0,VLOOKUP(OPERAC[[#This Row],[COD CART]],[1]!MatrizCortoLargoCyl[#All],3,0),"")</f>
        <v/>
      </c>
      <c r="F6123" t="inlineStr">
        <is>
          <t>NFLX</t>
        </is>
      </c>
      <c r="G6123" t="n">
        <v>5</v>
      </c>
      <c r="H6123" t="n">
        <v>-1953.1855</v>
      </c>
      <c r="I6123">
        <f>-H5494/G5494</f>
        <v/>
      </c>
      <c r="J6123" s="16" t="n">
        <v>44593</v>
      </c>
      <c r="K6123">
        <f>+OPERAC[[#This Row],[cantidad]]</f>
        <v/>
      </c>
      <c r="L6123">
        <f>+OPERAC[[#This Row],[cantidad venta]]*448.602</f>
        <v/>
      </c>
    </row>
    <row r="6124">
      <c r="A6124" t="n">
        <v>25070</v>
      </c>
      <c r="B6124" s="16" t="n">
        <v>44585</v>
      </c>
      <c r="C6124" t="inlineStr">
        <is>
          <t>VTA</t>
        </is>
      </c>
      <c r="D6124" t="n">
        <v>39</v>
      </c>
      <c r="E6124">
        <f>IF(D831&gt;0,VLOOKUP(OPERAC[[#This Row],[COD CART]],[1]!MatrizCortoLargoCyl[#All],3,0),"")</f>
        <v/>
      </c>
      <c r="F6124" t="inlineStr">
        <is>
          <t>TSLA/V/510,00/28-01-22</t>
        </is>
      </c>
      <c r="G6124" t="n">
        <v>-200</v>
      </c>
      <c r="H6124" t="n">
        <v>217.712</v>
      </c>
      <c r="I6124">
        <f>-H831/G831</f>
        <v/>
      </c>
      <c r="J6124" s="16" t="n">
        <v>44587</v>
      </c>
      <c r="K6124" t="n">
        <v>-200</v>
      </c>
      <c r="L6124" t="n">
        <v>-21.776</v>
      </c>
    </row>
    <row r="6125">
      <c r="A6125" t="n">
        <v>25070</v>
      </c>
      <c r="B6125" s="16" t="n">
        <v>44586</v>
      </c>
      <c r="C6125" t="inlineStr">
        <is>
          <t>CPR</t>
        </is>
      </c>
      <c r="D6125" t="n">
        <v>43</v>
      </c>
      <c r="E6125">
        <f>IF(D4258&gt;0,VLOOKUP(OPERAC[[#This Row],[COD CART]],[1]!MatrizCortoLargoCyl[#All],3,0),"")</f>
        <v/>
      </c>
      <c r="F6125" t="inlineStr">
        <is>
          <t>GMBL/CYL-PUT/2,50/20-01-23</t>
        </is>
      </c>
      <c r="G6125" t="n">
        <v>1000</v>
      </c>
      <c r="H6125" t="n">
        <v>-1016.0423</v>
      </c>
      <c r="I6125">
        <f>-H4258/G4258</f>
        <v/>
      </c>
      <c r="J6125" s="16" t="n">
        <v>44636</v>
      </c>
      <c r="K6125" t="n">
        <v>1000</v>
      </c>
      <c r="L6125">
        <f>-1.36*OPERAC[[#This Row],[cantidad venta]]</f>
        <v/>
      </c>
    </row>
    <row r="6126">
      <c r="A6126" t="n">
        <v>25070</v>
      </c>
      <c r="B6126" s="16" t="n">
        <v>44587</v>
      </c>
      <c r="C6126" t="inlineStr">
        <is>
          <t>CPR</t>
        </is>
      </c>
      <c r="D6126" t="n">
        <v>40</v>
      </c>
      <c r="E6126">
        <f>IF(D3975&gt;0,VLOOKUP(OPERAC[[#This Row],[COD CART]],[1]!MatrizCortoLargoCyl[#All],3,0),"")</f>
        <v/>
      </c>
      <c r="F6126" t="inlineStr">
        <is>
          <t>MSFT</t>
        </is>
      </c>
      <c r="G6126" t="n">
        <v>3</v>
      </c>
      <c r="H6126" t="n">
        <v>-910.23378</v>
      </c>
      <c r="I6126">
        <f>-H3975/G3975</f>
        <v/>
      </c>
      <c r="J6126" s="16" t="n">
        <v>44606</v>
      </c>
      <c r="K6126">
        <f>+OPERAC[[#This Row],[cantidad]]</f>
        <v/>
      </c>
      <c r="L6126">
        <f>+OPERAC[[#This Row],[cantidad venta]]*290.091</f>
        <v/>
      </c>
    </row>
    <row r="6127">
      <c r="A6127" t="n">
        <v>25070</v>
      </c>
      <c r="B6127" s="16" t="n">
        <v>44594</v>
      </c>
      <c r="C6127" t="inlineStr">
        <is>
          <t>VTA</t>
        </is>
      </c>
      <c r="D6127" t="n">
        <v>40</v>
      </c>
      <c r="E6127">
        <f>IF(D5528&gt;0,VLOOKUP(OPERAC[[#This Row],[COD CART]],[1]!MatrizCortoLargoCyl[#All],3,0),"")</f>
        <v/>
      </c>
      <c r="F6127" t="inlineStr">
        <is>
          <t>EDU</t>
        </is>
      </c>
      <c r="G6127" t="n">
        <v>1000</v>
      </c>
      <c r="H6127" t="n">
        <v>-2016</v>
      </c>
      <c r="I6127">
        <f>-H5528/G5528</f>
        <v/>
      </c>
      <c r="J6127" s="16" t="n">
        <v>44601</v>
      </c>
      <c r="K6127" t="n">
        <v>1000</v>
      </c>
      <c r="L6127" t="n">
        <v>1640</v>
      </c>
    </row>
    <row r="6128">
      <c r="A6128" t="n">
        <v>25070</v>
      </c>
      <c r="B6128" s="16" t="n">
        <v>44599</v>
      </c>
      <c r="C6128" t="inlineStr">
        <is>
          <t>VTA</t>
        </is>
      </c>
      <c r="D6128" t="n">
        <v>39</v>
      </c>
      <c r="E6128">
        <f>IF(D328&gt;0,VLOOKUP(OPERAC[[#This Row],[COD CART]],[1]!MatrizCortoLargoCyl[#All],3,0),"")</f>
        <v/>
      </c>
      <c r="F6128" t="inlineStr">
        <is>
          <t>MELI/V/850,00/18-02/22</t>
        </is>
      </c>
      <c r="G6128" t="n">
        <v>-200</v>
      </c>
      <c r="H6128" t="n">
        <v>1388</v>
      </c>
      <c r="I6128">
        <f>-H328/G328</f>
        <v/>
      </c>
      <c r="J6128" s="16" t="n">
        <v>44610</v>
      </c>
      <c r="K6128" t="n">
        <v>-200</v>
      </c>
      <c r="L6128" t="n">
        <v>0</v>
      </c>
    </row>
    <row r="6129">
      <c r="A6129" t="n">
        <v>25070</v>
      </c>
      <c r="B6129" s="16" t="n">
        <v>44599</v>
      </c>
      <c r="C6129" t="inlineStr">
        <is>
          <t>VTA</t>
        </is>
      </c>
      <c r="D6129" t="n">
        <v>40</v>
      </c>
      <c r="E6129">
        <f>IF(D1699&gt;0,VLOOKUP(OPERAC[[#This Row],[COD CART]],[1]!MatrizCortoLargoCyl[#All],3,0),"")</f>
        <v/>
      </c>
      <c r="F6129" t="inlineStr">
        <is>
          <t>FB</t>
        </is>
      </c>
      <c r="G6129" t="n">
        <v>1</v>
      </c>
      <c r="H6129" t="n">
        <v>-238.46</v>
      </c>
      <c r="I6129">
        <f>-H1699/G1699</f>
        <v/>
      </c>
      <c r="J6129" s="16" t="n">
        <v>44616</v>
      </c>
      <c r="K6129">
        <f>+OPERAC[[#This Row],[cantidad]]</f>
        <v/>
      </c>
      <c r="L6129">
        <f>200.299*OPERAC[[#This Row],[cantidad venta]]</f>
        <v/>
      </c>
    </row>
    <row r="6130">
      <c r="A6130" t="n">
        <v>25070</v>
      </c>
      <c r="B6130" s="16" t="n">
        <v>44602</v>
      </c>
      <c r="C6130" t="inlineStr">
        <is>
          <t>CPR</t>
        </is>
      </c>
      <c r="D6130" t="n">
        <v>32</v>
      </c>
      <c r="E6130">
        <f>IF(D4501&gt;0,VLOOKUP(OPERAC[[#This Row],[COD CART]],[1]!MatrizCortoLargoCyl[#All],3,0),"")</f>
        <v/>
      </c>
      <c r="F6130" t="inlineStr">
        <is>
          <t>BIOX/CYL/12,50/18-03-22</t>
        </is>
      </c>
      <c r="G6130" t="n">
        <v>100</v>
      </c>
      <c r="H6130" t="n">
        <v>-1176</v>
      </c>
      <c r="I6130">
        <f>-H4501/G4501</f>
        <v/>
      </c>
      <c r="J6130" s="16" t="n">
        <v>44634</v>
      </c>
      <c r="K6130" t="n">
        <v>100</v>
      </c>
      <c r="L6130" t="n">
        <v>1235.48</v>
      </c>
    </row>
    <row r="6131">
      <c r="A6131" t="n">
        <v>25070</v>
      </c>
      <c r="B6131" s="16" t="n">
        <v>44608</v>
      </c>
      <c r="C6131" t="inlineStr">
        <is>
          <t>CPR</t>
        </is>
      </c>
      <c r="D6131" t="n">
        <v>40</v>
      </c>
      <c r="E6131">
        <f>IF(D4705&gt;0,VLOOKUP(OPERAC[[#This Row],[COD CART]],[1]!MatrizCortoLargoCyl[#All],3,0),"")</f>
        <v/>
      </c>
      <c r="F6131" t="inlineStr">
        <is>
          <t>NVDA</t>
        </is>
      </c>
      <c r="G6131" t="n">
        <v>5</v>
      </c>
      <c r="H6131" t="n">
        <v>-1317.57</v>
      </c>
      <c r="I6131">
        <f>-H4705/G4705</f>
        <v/>
      </c>
      <c r="J6131" s="16" t="n">
        <v>44616</v>
      </c>
      <c r="K6131">
        <f>+OPERAC[[#This Row],[cantidad]]</f>
        <v/>
      </c>
      <c r="L6131">
        <f>+OPERAC[[#This Row],[cantidad venta]]*224.117</f>
        <v/>
      </c>
    </row>
    <row r="6132">
      <c r="A6132" t="n">
        <v>25070</v>
      </c>
      <c r="B6132" s="16" t="n">
        <v>44608</v>
      </c>
      <c r="C6132" t="inlineStr">
        <is>
          <t>CPR</t>
        </is>
      </c>
      <c r="D6132" t="n">
        <v>32</v>
      </c>
      <c r="E6132">
        <f>IF(D4859&gt;0,VLOOKUP(OPERAC[[#This Row],[COD CART]],[1]!MatrizCortoLargoCyl[#All],3,0),"")</f>
        <v/>
      </c>
      <c r="F6132" t="inlineStr">
        <is>
          <t>SPWR/CYL/15,00/18-03-22</t>
        </is>
      </c>
      <c r="G6132" t="n">
        <v>100</v>
      </c>
      <c r="H6132" t="n">
        <v>-1441.812</v>
      </c>
      <c r="I6132">
        <f>-H4859/G4859</f>
        <v/>
      </c>
      <c r="J6132" s="16" t="n">
        <v>44628</v>
      </c>
      <c r="K6132">
        <f>+OPERAC[[#This Row],[cantidad]]</f>
        <v/>
      </c>
      <c r="L6132" t="n">
        <v>1504.278</v>
      </c>
    </row>
    <row r="6133">
      <c r="A6133" t="n">
        <v>25070</v>
      </c>
      <c r="B6133" s="16" t="n">
        <v>44609</v>
      </c>
      <c r="C6133" t="inlineStr">
        <is>
          <t>VTA</t>
        </is>
      </c>
      <c r="D6133" t="n">
        <v>39</v>
      </c>
      <c r="E6133">
        <f>IF(D270&gt;0,VLOOKUP(OPERAC[[#This Row],[COD CART]],[1]!MatrizCortoLargoCyl[#All],3,0),"")</f>
        <v/>
      </c>
      <c r="F6133" t="inlineStr">
        <is>
          <t>MELI/V/850,00/25-02-22</t>
        </is>
      </c>
      <c r="G6133" t="n">
        <v>-300</v>
      </c>
      <c r="H6133" t="n">
        <v>1666.56</v>
      </c>
      <c r="I6133">
        <f>-H270/G270</f>
        <v/>
      </c>
      <c r="J6133" s="16" t="n">
        <v>44610</v>
      </c>
      <c r="K6133" t="n">
        <v>-300</v>
      </c>
      <c r="L6133" t="n">
        <v>-7259.697</v>
      </c>
    </row>
    <row r="6134">
      <c r="A6134" t="n">
        <v>25070</v>
      </c>
      <c r="B6134" s="16" t="n">
        <v>44609</v>
      </c>
      <c r="C6134" t="inlineStr">
        <is>
          <t>VTA</t>
        </is>
      </c>
      <c r="D6134" t="n">
        <v>32</v>
      </c>
      <c r="E6134">
        <f>IF(D3888&gt;0,VLOOKUP(OPERAC[[#This Row],[COD CART]],[1]!MatrizCortoLargoCyl[#All],3,0),"")</f>
        <v/>
      </c>
      <c r="F6134" t="inlineStr">
        <is>
          <t>HIMX/CYL/9,00/18-03-22</t>
        </is>
      </c>
      <c r="G6134" t="n">
        <v>100</v>
      </c>
      <c r="H6134" t="n">
        <v>-869.5839999999999</v>
      </c>
      <c r="I6134">
        <f>-H3888/G3888</f>
        <v/>
      </c>
      <c r="J6134" s="16" t="n">
        <v>44622</v>
      </c>
      <c r="K6134">
        <f>+OPERAC[[#This Row],[cantidad]]</f>
        <v/>
      </c>
      <c r="L6134" t="n">
        <v>883.576</v>
      </c>
    </row>
    <row r="6135">
      <c r="A6135" t="n">
        <v>25070</v>
      </c>
      <c r="B6135" s="16" t="n">
        <v>44610</v>
      </c>
      <c r="C6135" t="inlineStr">
        <is>
          <t>VTA</t>
        </is>
      </c>
      <c r="D6135" t="n">
        <v>39</v>
      </c>
      <c r="E6135">
        <f>IF(D1022&gt;0,VLOOKUP(OPERAC[[#This Row],[COD CART]],[1]!MatrizCortoLargoCyl[#All],3,0),"")</f>
        <v/>
      </c>
      <c r="F6135" t="inlineStr">
        <is>
          <t>MELI/V/540,00/16-09-22</t>
        </is>
      </c>
      <c r="G6135" t="n">
        <v>-2</v>
      </c>
      <c r="H6135" t="n">
        <v>55.55</v>
      </c>
      <c r="I6135">
        <f>-H1022/G1022</f>
        <v/>
      </c>
    </row>
    <row r="6136">
      <c r="A6136" t="n">
        <v>25070</v>
      </c>
      <c r="B6136" s="16" t="n">
        <v>44616</v>
      </c>
      <c r="C6136" t="inlineStr">
        <is>
          <t>VTA</t>
        </is>
      </c>
      <c r="D6136" t="n">
        <v>32</v>
      </c>
      <c r="E6136">
        <f>IF(D5577&gt;0,VLOOKUP(OPERAC[[#This Row],[COD CART]],[1]!MatrizCortoLargoCyl[#All],3,0),"")</f>
        <v/>
      </c>
      <c r="F6136" t="inlineStr">
        <is>
          <t>PLTR/CYL/12,00/14-04-22</t>
        </is>
      </c>
      <c r="G6136" t="n">
        <v>200</v>
      </c>
      <c r="H6136" t="n">
        <v>-2105.453</v>
      </c>
      <c r="I6136">
        <f>-H5577/G5577</f>
        <v/>
      </c>
      <c r="J6136" s="16" t="n">
        <v>44643</v>
      </c>
      <c r="K6136" t="n">
        <v>200</v>
      </c>
      <c r="L6136" t="n">
        <v>2293.448</v>
      </c>
    </row>
    <row r="6137">
      <c r="A6137" t="n">
        <v>25070</v>
      </c>
      <c r="B6137" s="16" t="n">
        <v>44622</v>
      </c>
      <c r="C6137" t="inlineStr">
        <is>
          <t>CPR</t>
        </is>
      </c>
      <c r="D6137" t="n">
        <v>32</v>
      </c>
      <c r="E6137">
        <f>IF(D4890&gt;0,VLOOKUP(OPERAC[[#This Row],[COD CART]],[1]!MatrizCortoLargoCyl[#All],3,0),"")</f>
        <v/>
      </c>
      <c r="F6137" t="inlineStr">
        <is>
          <t>AMC/CYL/16,00/14-04-22</t>
        </is>
      </c>
      <c r="G6137" t="n">
        <v>100</v>
      </c>
      <c r="H6137" t="n">
        <v>-1460.8686</v>
      </c>
      <c r="I6137">
        <f>-H4890/G4890</f>
        <v/>
      </c>
      <c r="J6137" s="16" t="n">
        <v>44648</v>
      </c>
      <c r="K6137">
        <f>+OPERAC[[#This Row],[cantidad]]</f>
        <v/>
      </c>
      <c r="L6137" t="n">
        <v>1581.776</v>
      </c>
    </row>
    <row r="6138">
      <c r="A6138" t="n">
        <v>25070</v>
      </c>
      <c r="B6138" s="16" t="n">
        <v>44628</v>
      </c>
      <c r="C6138" t="inlineStr">
        <is>
          <t>CPR</t>
        </is>
      </c>
      <c r="D6138" t="n">
        <v>32</v>
      </c>
      <c r="E6138">
        <f>IF(D3405&gt;0,VLOOKUP(OPERAC[[#This Row],[COD CART]],[1]!MatrizCortoLargoCyl[#All],3,0),"")</f>
        <v/>
      </c>
      <c r="F6138" t="inlineStr">
        <is>
          <t>COTY/CYL/8,00/14-04-22</t>
        </is>
      </c>
      <c r="G6138" t="n">
        <v>100</v>
      </c>
      <c r="H6138" t="n">
        <v>-718.0550999999999</v>
      </c>
      <c r="I6138">
        <f>-H3405/G3405</f>
        <v/>
      </c>
      <c r="J6138" s="16" t="n">
        <v>44643</v>
      </c>
      <c r="K6138" t="n">
        <v>100</v>
      </c>
      <c r="L6138" t="n">
        <v>779.3200000000001</v>
      </c>
    </row>
    <row r="6139">
      <c r="A6139" t="n">
        <v>25070</v>
      </c>
      <c r="B6139" s="16" t="n">
        <v>44628</v>
      </c>
      <c r="C6139" t="inlineStr">
        <is>
          <t>VTA</t>
        </is>
      </c>
      <c r="D6139" t="n">
        <v>40</v>
      </c>
      <c r="E6139">
        <f>IF(D3759&gt;0,VLOOKUP(OPERAC[[#This Row],[COD CART]],[1]!MatrizCortoLargoCyl[#All],3,0),"")</f>
        <v/>
      </c>
      <c r="F6139" t="inlineStr">
        <is>
          <t>CVV</t>
        </is>
      </c>
      <c r="G6139" t="n">
        <v>200</v>
      </c>
      <c r="H6139" t="n">
        <v>-844.8976</v>
      </c>
      <c r="I6139">
        <f>-H3759/G3759</f>
        <v/>
      </c>
      <c r="J6139" s="16" t="n">
        <v>44649</v>
      </c>
      <c r="K6139">
        <f>+OPERAC[[#This Row],[cantidad]]</f>
        <v/>
      </c>
      <c r="L6139">
        <f>+OPERAC[[#This Row],[cantidad venta]]*4.459</f>
        <v/>
      </c>
    </row>
    <row r="6140">
      <c r="A6140" t="n">
        <v>25070</v>
      </c>
      <c r="B6140" s="16" t="n">
        <v>44634</v>
      </c>
      <c r="C6140" t="inlineStr">
        <is>
          <t>CPR</t>
        </is>
      </c>
      <c r="D6140" t="n">
        <v>42</v>
      </c>
      <c r="E6140">
        <f>IF(D3235&gt;0,VLOOKUP(OPERAC[[#This Row],[COD CART]],[1]!MatrizCortoLargoCyl[#All],3,0),"")</f>
        <v/>
      </c>
      <c r="F6140" t="inlineStr">
        <is>
          <t>INO</t>
        </is>
      </c>
      <c r="G6140" t="n">
        <v>200</v>
      </c>
      <c r="H6140" t="n">
        <v>-664.1632</v>
      </c>
      <c r="I6140">
        <f>-H3235/G3235</f>
        <v/>
      </c>
      <c r="J6140" s="16" t="n">
        <v>44634</v>
      </c>
      <c r="K6140" t="n">
        <v>200</v>
      </c>
      <c r="L6140" t="n">
        <v>597.771</v>
      </c>
    </row>
    <row r="6141">
      <c r="A6141" t="n">
        <v>25070</v>
      </c>
      <c r="B6141" s="16" t="n">
        <v>44641</v>
      </c>
      <c r="C6141" t="inlineStr">
        <is>
          <t>VTA</t>
        </is>
      </c>
      <c r="D6141" t="n">
        <v>42</v>
      </c>
      <c r="E6141">
        <f>IF(D1399&gt;0,VLOOKUP(OPERAC[[#This Row],[COD CART]],[1]!MatrizCortoLargoCyl[#All],3,0),"")</f>
        <v/>
      </c>
      <c r="F6141" t="inlineStr">
        <is>
          <t>JPM</t>
        </is>
      </c>
      <c r="G6141" t="n">
        <v>1</v>
      </c>
      <c r="H6141" t="n">
        <v>-140.45</v>
      </c>
      <c r="I6141">
        <f>-H1399/G1399</f>
        <v/>
      </c>
      <c r="J6141" s="16" t="n">
        <v>44664</v>
      </c>
      <c r="K6141">
        <f>+OPERAC[[#This Row],[cantidad]]</f>
        <v/>
      </c>
      <c r="L6141">
        <f>+OPERAC[[#This Row],[cantidad venta]]*125.943</f>
        <v/>
      </c>
    </row>
    <row r="6142">
      <c r="A6142" t="n">
        <v>25070</v>
      </c>
      <c r="B6142" s="16" t="n">
        <v>44641</v>
      </c>
      <c r="C6142" t="inlineStr">
        <is>
          <t>VTA</t>
        </is>
      </c>
      <c r="D6142" t="n">
        <v>42</v>
      </c>
      <c r="E6142">
        <f>IF(D2430&gt;0,VLOOKUP(OPERAC[[#This Row],[COD CART]],[1]!MatrizCortoLargoCyl[#All],3,0),"")</f>
        <v/>
      </c>
      <c r="F6142" t="inlineStr">
        <is>
          <t>FB</t>
        </is>
      </c>
      <c r="G6142" t="n">
        <v>2</v>
      </c>
      <c r="H6142" t="n">
        <v>-424.31276</v>
      </c>
      <c r="I6142">
        <f>-H2430/G2430</f>
        <v/>
      </c>
      <c r="J6142" s="16" t="n">
        <v>44671</v>
      </c>
      <c r="K6142">
        <f>+OPERAC[[#This Row],[cantidad]]</f>
        <v/>
      </c>
      <c r="L6142">
        <f>+OPERAC[[#This Row],[cantidad venta]]*213.173</f>
        <v/>
      </c>
    </row>
    <row r="6143">
      <c r="A6143" t="n">
        <v>25070</v>
      </c>
      <c r="B6143" s="16" t="n">
        <v>44643</v>
      </c>
      <c r="C6143" t="inlineStr">
        <is>
          <t>CPR</t>
        </is>
      </c>
      <c r="D6143" t="n">
        <v>42</v>
      </c>
      <c r="E6143">
        <f>IF(D4345&gt;0,VLOOKUP(OPERAC[[#This Row],[COD CART]],[1]!MatrizCortoLargoCyl[#All],3,0),"")</f>
        <v/>
      </c>
      <c r="F6143" t="inlineStr">
        <is>
          <t>SMH</t>
        </is>
      </c>
      <c r="G6143" t="n">
        <v>4</v>
      </c>
      <c r="H6143" t="n">
        <v>-1068.651592</v>
      </c>
      <c r="I6143">
        <f>-H4345/G4345</f>
        <v/>
      </c>
      <c r="J6143" s="16" t="n">
        <v>44663</v>
      </c>
      <c r="K6143">
        <f>+OPERAC[[#This Row],[cantidad]]</f>
        <v/>
      </c>
      <c r="L6143">
        <f>+OPERAC[[#This Row],[cantidad venta]]*238.066</f>
        <v/>
      </c>
    </row>
    <row r="6144">
      <c r="A6144" t="n">
        <v>25070</v>
      </c>
      <c r="B6144" s="16" t="n">
        <v>44643</v>
      </c>
      <c r="C6144" t="inlineStr">
        <is>
          <t>VTA</t>
        </is>
      </c>
      <c r="D6144" t="n">
        <v>42</v>
      </c>
      <c r="E6144">
        <f>IF(D2370&gt;0,VLOOKUP(OPERAC[[#This Row],[COD CART]],[1]!MatrizCortoLargoCyl[#All],3,0),"")</f>
        <v/>
      </c>
      <c r="F6144" t="inlineStr">
        <is>
          <t>ADBE</t>
        </is>
      </c>
      <c r="G6144" t="n">
        <v>1</v>
      </c>
      <c r="H6144" t="n">
        <v>-421.054775</v>
      </c>
      <c r="I6144">
        <f>-H2370/G2370</f>
        <v/>
      </c>
      <c r="J6144" s="16" t="n">
        <v>44687</v>
      </c>
      <c r="K6144">
        <f>+OPERAC[[#This Row],[cantidad]]</f>
        <v/>
      </c>
      <c r="L6144" t="n">
        <v>386.42</v>
      </c>
    </row>
    <row r="6145">
      <c r="A6145" t="n">
        <v>25070</v>
      </c>
      <c r="B6145" s="16" t="n">
        <v>44643</v>
      </c>
      <c r="C6145" t="inlineStr">
        <is>
          <t>VTA</t>
        </is>
      </c>
      <c r="D6145" t="n">
        <v>42</v>
      </c>
      <c r="E6145">
        <f>IF(D3183&gt;0,VLOOKUP(OPERAC[[#This Row],[COD CART]],[1]!MatrizCortoLargoCyl[#All],3,0),"")</f>
        <v/>
      </c>
      <c r="F6145" t="inlineStr">
        <is>
          <t>FB</t>
        </is>
      </c>
      <c r="G6145" t="n">
        <v>3</v>
      </c>
      <c r="H6145" t="n">
        <v>-648.36978</v>
      </c>
      <c r="I6145">
        <f>-H3183/G3183</f>
        <v/>
      </c>
      <c r="J6145" s="16" t="n">
        <v>44671</v>
      </c>
      <c r="K6145">
        <f>+OPERAC[[#This Row],[cantidad]]</f>
        <v/>
      </c>
      <c r="L6145">
        <f>+OPERAC[[#This Row],[cantidad venta]]*213.173</f>
        <v/>
      </c>
    </row>
    <row r="6146">
      <c r="A6146" t="n">
        <v>25070</v>
      </c>
      <c r="B6146" s="16" t="n">
        <v>44643</v>
      </c>
      <c r="C6146" t="inlineStr">
        <is>
          <t>VTA</t>
        </is>
      </c>
      <c r="D6146" t="n">
        <v>42</v>
      </c>
      <c r="E6146">
        <f>IF(D3766&gt;0,VLOOKUP(OPERAC[[#This Row],[COD CART]],[1]!MatrizCortoLargoCyl[#All],3,0),"")</f>
        <v/>
      </c>
      <c r="F6146" t="inlineStr">
        <is>
          <t>JPM</t>
        </is>
      </c>
      <c r="G6146" t="n">
        <v>6</v>
      </c>
      <c r="H6146" t="n">
        <v>-847.4798400000001</v>
      </c>
      <c r="I6146">
        <f>-H3766/G3766</f>
        <v/>
      </c>
      <c r="J6146" s="16" t="n">
        <v>44664</v>
      </c>
      <c r="K6146">
        <f>+OPERAC[[#This Row],[cantidad]]</f>
        <v/>
      </c>
      <c r="L6146">
        <f>+OPERAC[[#This Row],[cantidad venta]]*125.943</f>
        <v/>
      </c>
    </row>
    <row r="6147">
      <c r="A6147" t="n">
        <v>25070</v>
      </c>
      <c r="B6147" s="16" t="n">
        <v>44648</v>
      </c>
      <c r="C6147" t="inlineStr">
        <is>
          <t>CPR</t>
        </is>
      </c>
      <c r="D6147" t="n">
        <v>42</v>
      </c>
      <c r="E6147">
        <f>IF(D4397&gt;0,VLOOKUP(OPERAC[[#This Row],[COD CART]],[1]!MatrizCortoLargoCyl[#All],3,0),"")</f>
        <v/>
      </c>
      <c r="F6147" t="inlineStr">
        <is>
          <t>DIS</t>
        </is>
      </c>
      <c r="G6147" t="n">
        <v>8</v>
      </c>
      <c r="H6147" t="n">
        <v>-1100.7328</v>
      </c>
      <c r="I6147">
        <f>-H4397/G4397</f>
        <v/>
      </c>
      <c r="J6147" s="16" t="n">
        <v>44671</v>
      </c>
      <c r="K6147">
        <f>+OPERAC[[#This Row],[cantidad]]</f>
        <v/>
      </c>
      <c r="L6147">
        <f>+OPERAC[[#This Row],[cantidad venta]]*123.621</f>
        <v/>
      </c>
    </row>
    <row r="6148">
      <c r="A6148" t="n">
        <v>25070</v>
      </c>
      <c r="B6148" s="16" t="n">
        <v>44648</v>
      </c>
      <c r="C6148" t="inlineStr">
        <is>
          <t>VTA</t>
        </is>
      </c>
      <c r="D6148" t="n">
        <v>39</v>
      </c>
      <c r="E6148">
        <f>IF(D338&gt;0,VLOOKUP(OPERAC[[#This Row],[COD CART]],[1]!MatrizCortoLargoCyl[#All],3,0),"")</f>
        <v/>
      </c>
      <c r="F6148" t="inlineStr">
        <is>
          <t>TSLA/V/870,00/01-04-22</t>
        </is>
      </c>
      <c r="G6148" t="n">
        <v>-2000</v>
      </c>
      <c r="H6148" t="n">
        <v>1343.69</v>
      </c>
      <c r="I6148">
        <f>-H338/G338</f>
        <v/>
      </c>
      <c r="J6148" s="16" t="n">
        <v>44651</v>
      </c>
      <c r="K6148" t="n">
        <v>-2000</v>
      </c>
      <c r="L6148" t="n">
        <v>-226.462</v>
      </c>
    </row>
    <row r="6149">
      <c r="A6149" t="n">
        <v>25070</v>
      </c>
      <c r="B6149" s="16" t="n">
        <v>44648</v>
      </c>
      <c r="C6149" t="inlineStr">
        <is>
          <t>VTA</t>
        </is>
      </c>
      <c r="D6149" t="n">
        <v>39</v>
      </c>
      <c r="E6149">
        <f>IF(D436&gt;0,VLOOKUP(OPERAC[[#This Row],[COD CART]],[1]!MatrizCortoLargoCyl[#All],3,0),"")</f>
        <v/>
      </c>
      <c r="F6149" t="inlineStr">
        <is>
          <t>TSLA/C/1425,00/01-04-22</t>
        </is>
      </c>
      <c r="G6149" t="n">
        <v>-2000</v>
      </c>
      <c r="H6149" t="n">
        <v>1046.09</v>
      </c>
      <c r="I6149">
        <f>-H436/G436</f>
        <v/>
      </c>
      <c r="J6149" s="16" t="n">
        <v>44651</v>
      </c>
      <c r="K6149" t="n">
        <v>-2000</v>
      </c>
      <c r="L6149" t="n">
        <v>-79.748</v>
      </c>
    </row>
    <row r="6150">
      <c r="A6150" t="n">
        <v>25070</v>
      </c>
      <c r="B6150" s="16" t="n">
        <v>44648</v>
      </c>
      <c r="C6150" t="inlineStr">
        <is>
          <t>VTA</t>
        </is>
      </c>
      <c r="D6150" t="n">
        <v>39</v>
      </c>
      <c r="E6150">
        <f>IF(D447&gt;0,VLOOKUP(OPERAC[[#This Row],[COD CART]],[1]!MatrizCortoLargoCyl[#All],3,0),"")</f>
        <v/>
      </c>
      <c r="F6150" t="inlineStr">
        <is>
          <t>UPST/V/80,00/08-04-22</t>
        </is>
      </c>
      <c r="G6150" t="n">
        <v>-1000</v>
      </c>
      <c r="H6150" t="n">
        <v>1037.58</v>
      </c>
      <c r="I6150">
        <f>-H447/G447</f>
        <v/>
      </c>
      <c r="J6150" s="16" t="n">
        <v>44649</v>
      </c>
      <c r="K6150" t="n">
        <v>-1000</v>
      </c>
      <c r="L6150" t="n">
        <v>-359.79</v>
      </c>
    </row>
    <row r="6151">
      <c r="A6151" t="n">
        <v>25070</v>
      </c>
      <c r="B6151" s="16" t="n">
        <v>44648</v>
      </c>
      <c r="C6151" t="inlineStr">
        <is>
          <t>VTA</t>
        </is>
      </c>
      <c r="D6151" t="n">
        <v>42</v>
      </c>
      <c r="E6151">
        <f>IF(D2474&gt;0,VLOOKUP(OPERAC[[#This Row],[COD CART]],[1]!MatrizCortoLargoCyl[#All],3,0),"")</f>
        <v/>
      </c>
      <c r="F6151" t="inlineStr">
        <is>
          <t>ADBE</t>
        </is>
      </c>
      <c r="G6151" t="n">
        <v>1</v>
      </c>
      <c r="H6151" t="n">
        <v>-441.41245</v>
      </c>
      <c r="I6151">
        <f>-H2474/G2474</f>
        <v/>
      </c>
      <c r="J6151" s="16" t="n">
        <v>44687</v>
      </c>
      <c r="K6151">
        <f>+OPERAC[[#This Row],[cantidad]]</f>
        <v/>
      </c>
      <c r="L6151" t="n">
        <v>386.42</v>
      </c>
    </row>
    <row r="6152">
      <c r="A6152" t="n">
        <v>25070</v>
      </c>
      <c r="B6152" s="16" t="n">
        <v>44649</v>
      </c>
      <c r="C6152" t="inlineStr">
        <is>
          <t>VTA</t>
        </is>
      </c>
      <c r="D6152" t="n">
        <v>39</v>
      </c>
      <c r="E6152">
        <f>IF(D425&gt;0,VLOOKUP(OPERAC[[#This Row],[COD CART]],[1]!MatrizCortoLargoCyl[#All],3,0),"")</f>
        <v/>
      </c>
      <c r="F6152" t="inlineStr">
        <is>
          <t>UPST/V/90,00/14-04-22</t>
        </is>
      </c>
      <c r="G6152" t="n">
        <v>-1000</v>
      </c>
      <c r="H6152" t="n">
        <v>1087.18</v>
      </c>
      <c r="I6152">
        <f>-H425/G425</f>
        <v/>
      </c>
      <c r="J6152" s="16" t="n">
        <v>44665</v>
      </c>
      <c r="K6152" t="n">
        <v>-1000</v>
      </c>
      <c r="L6152" t="n">
        <v>-6656.1</v>
      </c>
    </row>
    <row r="6153">
      <c r="A6153" t="n">
        <v>25070</v>
      </c>
      <c r="B6153" s="16" t="n">
        <v>44649</v>
      </c>
      <c r="C6153" t="inlineStr">
        <is>
          <t>VTA</t>
        </is>
      </c>
      <c r="D6153" t="n">
        <v>39</v>
      </c>
      <c r="E6153">
        <f>IF(D472&gt;0,VLOOKUP(OPERAC[[#This Row],[COD CART]],[1]!MatrizCortoLargoCyl[#All],3,0),"")</f>
        <v/>
      </c>
      <c r="F6153" t="inlineStr">
        <is>
          <t>TSLA/C/1450,00/01-04-22</t>
        </is>
      </c>
      <c r="G6153" t="n">
        <v>-2000</v>
      </c>
      <c r="H6153" t="n">
        <v>986.5700000000001</v>
      </c>
      <c r="I6153">
        <f>-H472/G472</f>
        <v/>
      </c>
      <c r="J6153" s="16" t="n">
        <v>44651</v>
      </c>
      <c r="K6153" t="n">
        <v>-2000</v>
      </c>
      <c r="L6153" t="n">
        <v>-87.06999999999999</v>
      </c>
    </row>
    <row r="6154">
      <c r="A6154" t="n">
        <v>25070</v>
      </c>
      <c r="B6154" s="16" t="n">
        <v>44649</v>
      </c>
      <c r="C6154" t="inlineStr">
        <is>
          <t>VTA</t>
        </is>
      </c>
      <c r="D6154" t="n">
        <v>39</v>
      </c>
      <c r="E6154">
        <f>IF(D532&gt;0,VLOOKUP(OPERAC[[#This Row],[COD CART]],[1]!MatrizCortoLargoCyl[#All],3,0),"")</f>
        <v/>
      </c>
      <c r="F6154" t="inlineStr">
        <is>
          <t>TSLA/V/905,00/01-04-22</t>
        </is>
      </c>
      <c r="G6154" t="n">
        <v>-2000</v>
      </c>
      <c r="H6154" t="n">
        <v>839.21</v>
      </c>
      <c r="I6154">
        <f>-H532/G532</f>
        <v/>
      </c>
      <c r="J6154" s="16" t="n">
        <v>44651</v>
      </c>
      <c r="K6154" t="n">
        <v>-2000</v>
      </c>
      <c r="L6154" t="n">
        <v>-356.5</v>
      </c>
    </row>
    <row r="6155">
      <c r="A6155" t="n">
        <v>25070</v>
      </c>
      <c r="B6155" s="16" t="n">
        <v>44649</v>
      </c>
      <c r="C6155" t="inlineStr">
        <is>
          <t>VTA</t>
        </is>
      </c>
      <c r="D6155" t="n">
        <v>42</v>
      </c>
      <c r="E6155">
        <f>IF(D3959&gt;0,VLOOKUP(OPERAC[[#This Row],[COD CART]],[1]!MatrizCortoLargoCyl[#All],3,0),"")</f>
        <v/>
      </c>
      <c r="F6155" t="inlineStr">
        <is>
          <t>CRESY</t>
        </is>
      </c>
      <c r="G6155" t="n">
        <v>110</v>
      </c>
      <c r="H6155" t="n">
        <v>-890.1402399999999</v>
      </c>
      <c r="I6155">
        <f>-H3959/G3959</f>
        <v/>
      </c>
      <c r="J6155" s="16" t="n">
        <v>44657</v>
      </c>
      <c r="K6155">
        <f>+OPERAC[[#This Row],[cantidad]]</f>
        <v/>
      </c>
      <c r="L6155">
        <f>+OPERAC[[#This Row],[cantidad venta]]*7.664</f>
        <v/>
      </c>
    </row>
    <row r="6156">
      <c r="A6156" t="n">
        <v>25070</v>
      </c>
      <c r="B6156" s="16" t="n">
        <v>44650</v>
      </c>
      <c r="C6156" t="inlineStr">
        <is>
          <t>CPR</t>
        </is>
      </c>
      <c r="D6156" t="n">
        <v>42</v>
      </c>
      <c r="E6156">
        <f>IF(D3347&gt;0,VLOOKUP(OPERAC[[#This Row],[COD CART]],[1]!MatrizCortoLargoCyl[#All],3,0),"")</f>
        <v/>
      </c>
      <c r="F6156" t="inlineStr">
        <is>
          <t>FB</t>
        </is>
      </c>
      <c r="G6156" t="n">
        <v>3</v>
      </c>
      <c r="H6156" t="n">
        <v>-697.386</v>
      </c>
      <c r="I6156">
        <f>-H3347/G3347</f>
        <v/>
      </c>
      <c r="J6156" s="16" t="n">
        <v>44671</v>
      </c>
      <c r="K6156">
        <f>+OPERAC[[#This Row],[cantidad]]</f>
        <v/>
      </c>
      <c r="L6156">
        <f>+OPERAC[[#This Row],[cantidad venta]]*213.173</f>
        <v/>
      </c>
    </row>
    <row r="6157">
      <c r="A6157" t="n">
        <v>25070</v>
      </c>
      <c r="B6157" s="16" t="n">
        <v>44650</v>
      </c>
      <c r="C6157" t="inlineStr">
        <is>
          <t>CPR</t>
        </is>
      </c>
      <c r="D6157" t="n">
        <v>42</v>
      </c>
      <c r="E6157">
        <f>IF(D4804&gt;0,VLOOKUP(OPERAC[[#This Row],[COD CART]],[1]!MatrizCortoLargoCyl[#All],3,0),"")</f>
        <v/>
      </c>
      <c r="F6157" t="inlineStr">
        <is>
          <t>ADBE</t>
        </is>
      </c>
      <c r="G6157" t="n">
        <v>3</v>
      </c>
      <c r="H6157" t="n">
        <v>-1398.939</v>
      </c>
      <c r="I6157">
        <f>-H4804/G4804</f>
        <v/>
      </c>
      <c r="J6157" s="16" t="n">
        <v>44687</v>
      </c>
      <c r="K6157">
        <f>+OPERAC[[#This Row],[cantidad]]</f>
        <v/>
      </c>
      <c r="L6157" t="n">
        <v>1250.12</v>
      </c>
    </row>
    <row r="6158">
      <c r="A6158" t="n">
        <v>25070</v>
      </c>
      <c r="B6158" s="16" t="n">
        <v>44650</v>
      </c>
      <c r="C6158" t="inlineStr">
        <is>
          <t>CPR</t>
        </is>
      </c>
      <c r="D6158" t="n">
        <v>32</v>
      </c>
      <c r="E6158">
        <f>IF(D4916&gt;0,VLOOKUP(OPERAC[[#This Row],[COD CART]],[1]!MatrizCortoLargoCyl[#All],3,0),"")</f>
        <v/>
      </c>
      <c r="F6158" t="inlineStr">
        <is>
          <t>UUUU/CYL/8,00/20-05-22</t>
        </is>
      </c>
      <c r="G6158" t="n">
        <v>200</v>
      </c>
      <c r="H6158" t="n">
        <v>-1496.0408</v>
      </c>
      <c r="I6158">
        <f>-H4916/G4916</f>
        <v/>
      </c>
      <c r="J6158" s="16" t="n">
        <v>44665</v>
      </c>
      <c r="K6158" t="n">
        <v>200</v>
      </c>
      <c r="L6158" t="n">
        <v>1552</v>
      </c>
    </row>
    <row r="6159">
      <c r="A6159" t="n">
        <v>25070</v>
      </c>
      <c r="B6159" s="16" t="n">
        <v>44650</v>
      </c>
      <c r="C6159" t="inlineStr">
        <is>
          <t>CPR</t>
        </is>
      </c>
      <c r="D6159" t="n">
        <v>32</v>
      </c>
      <c r="E6159">
        <f>IF(D5974&gt;0,VLOOKUP(OPERAC[[#This Row],[COD CART]],[1]!MatrizCortoLargoCyl[#All],3,0),"")</f>
        <v/>
      </c>
      <c r="F6159" t="inlineStr">
        <is>
          <t>LAC</t>
        </is>
      </c>
      <c r="G6159" t="n">
        <v>100</v>
      </c>
      <c r="H6159" t="n">
        <v>-3189.445</v>
      </c>
      <c r="I6159">
        <f>-H5974/G5974</f>
        <v/>
      </c>
      <c r="J6159" s="16" t="n">
        <v>44722</v>
      </c>
      <c r="K6159" t="n">
        <v>100</v>
      </c>
      <c r="L6159" t="n">
        <v>2199.415</v>
      </c>
    </row>
    <row r="6160">
      <c r="A6160" t="n">
        <v>25070</v>
      </c>
      <c r="B6160" s="16" t="n">
        <v>44664</v>
      </c>
      <c r="C6160" t="inlineStr">
        <is>
          <t>CPR</t>
        </is>
      </c>
      <c r="D6160" t="n">
        <v>42</v>
      </c>
      <c r="E6160">
        <f>IF(D2696&gt;0,VLOOKUP(OPERAC[[#This Row],[COD CART]],[1]!MatrizCortoLargoCyl[#All],3,0),"")</f>
        <v/>
      </c>
      <c r="F6160" t="inlineStr">
        <is>
          <t>AMD</t>
        </is>
      </c>
      <c r="G6160" t="n">
        <v>5</v>
      </c>
      <c r="H6160" t="n">
        <v>-493.85327265</v>
      </c>
      <c r="I6160">
        <f>-H2696/G2696</f>
        <v/>
      </c>
      <c r="J6160" s="16" t="n">
        <v>44697</v>
      </c>
      <c r="K6160" t="n">
        <v>5</v>
      </c>
      <c r="L6160" t="n">
        <v>463.229</v>
      </c>
    </row>
    <row r="6161">
      <c r="A6161" t="n">
        <v>25070</v>
      </c>
      <c r="B6161" s="16" t="n">
        <v>44664</v>
      </c>
      <c r="C6161" t="inlineStr">
        <is>
          <t>CPR</t>
        </is>
      </c>
      <c r="D6161" t="n">
        <v>42</v>
      </c>
      <c r="E6161">
        <f>IF(D4588&gt;0,VLOOKUP(OPERAC[[#This Row],[COD CART]],[1]!MatrizCortoLargoCyl[#All],3,0),"")</f>
        <v/>
      </c>
      <c r="F6161" t="inlineStr">
        <is>
          <t>PSQ</t>
        </is>
      </c>
      <c r="G6161" t="n">
        <v>100</v>
      </c>
      <c r="H6161" t="n">
        <v>-1243.2572181</v>
      </c>
      <c r="I6161">
        <f>-H4588/G4588</f>
        <v/>
      </c>
      <c r="J6161" s="16" t="n">
        <v>44680</v>
      </c>
      <c r="K6161">
        <f>+OPERAC[[#This Row],[cantidad]]</f>
        <v/>
      </c>
      <c r="L6161">
        <f>12.848*OPERAC[[#This Row],[cantidad venta]]</f>
        <v/>
      </c>
    </row>
    <row r="6162">
      <c r="A6162" t="n">
        <v>25070</v>
      </c>
      <c r="B6162" s="16" t="n">
        <v>44665</v>
      </c>
      <c r="C6162" t="inlineStr">
        <is>
          <t>VTA</t>
        </is>
      </c>
      <c r="D6162" t="n">
        <v>39</v>
      </c>
      <c r="E6162">
        <f>IF(D987&gt;0,VLOOKUP(OPERAC[[#This Row],[COD CART]],[1]!MatrizCortoLargoCyl[#All],3,0),"")</f>
        <v/>
      </c>
      <c r="F6162" t="inlineStr">
        <is>
          <t>TSLA/V/750,00/20-05-2022</t>
        </is>
      </c>
      <c r="G6162" t="n">
        <v>-10</v>
      </c>
      <c r="H6162" t="n">
        <v>72.52</v>
      </c>
      <c r="I6162">
        <f>-H987/G987</f>
        <v/>
      </c>
      <c r="J6162" s="16" t="n">
        <v>44692</v>
      </c>
      <c r="K6162" t="n">
        <v>-10</v>
      </c>
      <c r="L6162" t="n">
        <v>-453.825</v>
      </c>
    </row>
    <row r="6163">
      <c r="A6163" t="n">
        <v>25070</v>
      </c>
      <c r="B6163" s="16" t="n">
        <v>44669</v>
      </c>
      <c r="C6163" t="inlineStr">
        <is>
          <t>VTA</t>
        </is>
      </c>
      <c r="D6163" t="n">
        <v>32</v>
      </c>
      <c r="E6163">
        <f>IF(D5634&gt;0,VLOOKUP(OPERAC[[#This Row],[COD CART]],[1]!MatrizCortoLargoCyl[#All],3,0),"")</f>
        <v/>
      </c>
      <c r="F6163" t="inlineStr">
        <is>
          <t>HMY</t>
        </is>
      </c>
      <c r="G6163" t="n">
        <v>500</v>
      </c>
      <c r="H6163">
        <f>-4.64*OPERAC[[#This Row],[cantidad]]</f>
        <v/>
      </c>
      <c r="I6163">
        <f>-H5634/G5634</f>
        <v/>
      </c>
      <c r="J6163" s="16" t="n">
        <v>44722</v>
      </c>
      <c r="K6163" t="n">
        <v>500</v>
      </c>
      <c r="L6163" t="n">
        <v>1662.25</v>
      </c>
    </row>
    <row r="6164">
      <c r="A6164" t="n">
        <v>25070</v>
      </c>
      <c r="B6164" s="16" t="n">
        <v>44671</v>
      </c>
      <c r="C6164" t="inlineStr">
        <is>
          <t>CPR</t>
        </is>
      </c>
      <c r="D6164" t="n">
        <v>42</v>
      </c>
      <c r="E6164">
        <f>IF(D4174&gt;0,VLOOKUP(OPERAC[[#This Row],[COD CART]],[1]!MatrizCortoLargoCyl[#All],3,0),"")</f>
        <v/>
      </c>
      <c r="F6164" t="inlineStr">
        <is>
          <t>TLT</t>
        </is>
      </c>
      <c r="G6164" t="n">
        <v>8</v>
      </c>
      <c r="H6164" t="n">
        <v>-980.50404</v>
      </c>
      <c r="I6164">
        <f>-H4174/G4174</f>
        <v/>
      </c>
      <c r="J6164" s="16" t="n">
        <v>44677</v>
      </c>
      <c r="K6164" t="n">
        <v>8</v>
      </c>
      <c r="L6164" t="n">
        <v>970.264</v>
      </c>
    </row>
    <row r="6165">
      <c r="A6165" t="n">
        <v>25070</v>
      </c>
      <c r="B6165" s="16" t="n">
        <v>44671</v>
      </c>
      <c r="C6165" t="inlineStr">
        <is>
          <t>VTA</t>
        </is>
      </c>
      <c r="D6165" t="n">
        <v>42</v>
      </c>
      <c r="E6165">
        <f>IF(D5544&gt;0,VLOOKUP(OPERAC[[#This Row],[COD CART]],[1]!MatrizCortoLargoCyl[#All],3,0),"")</f>
        <v/>
      </c>
      <c r="F6165" t="inlineStr">
        <is>
          <t>NFLX</t>
        </is>
      </c>
      <c r="G6165" t="n">
        <v>8</v>
      </c>
      <c r="H6165" t="n">
        <v>-2036.04048</v>
      </c>
      <c r="I6165">
        <f>-H5544/G5544</f>
        <v/>
      </c>
      <c r="J6165" s="16" t="n">
        <v>44697</v>
      </c>
      <c r="K6165" t="n">
        <v>8</v>
      </c>
      <c r="L6165" t="n">
        <v>1526.593</v>
      </c>
    </row>
    <row r="6166">
      <c r="A6166" t="n">
        <v>25070</v>
      </c>
      <c r="B6166" s="16" t="n">
        <v>44680</v>
      </c>
      <c r="C6166" t="inlineStr">
        <is>
          <t>CPR</t>
        </is>
      </c>
      <c r="D6166" t="n">
        <v>42</v>
      </c>
      <c r="E6166">
        <f>IF(D4749&gt;0,VLOOKUP(OPERAC[[#This Row],[COD CART]],[1]!MatrizCortoLargoCyl[#All],3,0),"")</f>
        <v/>
      </c>
      <c r="F6166" t="inlineStr">
        <is>
          <t>XLP</t>
        </is>
      </c>
      <c r="G6166" t="n">
        <v>17</v>
      </c>
      <c r="H6166" t="n">
        <v>-1350.3865425</v>
      </c>
      <c r="I6166">
        <f>-H4749/G4749</f>
        <v/>
      </c>
      <c r="J6166" s="16" t="n">
        <v>44697</v>
      </c>
      <c r="K6166" t="n">
        <v>17</v>
      </c>
      <c r="L6166" t="n">
        <v>1299.728</v>
      </c>
    </row>
    <row r="6167">
      <c r="A6167" t="n">
        <v>25070</v>
      </c>
      <c r="B6167" s="16" t="n">
        <v>44687</v>
      </c>
      <c r="C6167" t="inlineStr">
        <is>
          <t>VTA</t>
        </is>
      </c>
      <c r="D6167" t="n">
        <v>43</v>
      </c>
      <c r="E6167">
        <f>IF(D5161&gt;0,VLOOKUP(OPERAC[[#This Row],[COD CART]],[1]!MatrizCortoLargoCyl[#All],3,0),"")</f>
        <v/>
      </c>
      <c r="F6167" t="inlineStr">
        <is>
          <t>SPWR/CYP/16,50-15,50/20-05-22</t>
        </is>
      </c>
      <c r="G6167" t="n">
        <v>100</v>
      </c>
      <c r="H6167" t="n">
        <v>-1607.83</v>
      </c>
      <c r="I6167">
        <f>-H5161/G5161</f>
        <v/>
      </c>
      <c r="J6167" s="16" t="n">
        <v>44701</v>
      </c>
      <c r="K6167" t="n">
        <v>100</v>
      </c>
      <c r="L6167" t="n">
        <v>1637.55</v>
      </c>
    </row>
    <row r="6168">
      <c r="A6168" t="n">
        <v>25070</v>
      </c>
      <c r="B6168" s="16" t="n">
        <v>44692</v>
      </c>
      <c r="C6168" t="inlineStr">
        <is>
          <t>VTA</t>
        </is>
      </c>
      <c r="D6168" t="n">
        <v>39</v>
      </c>
      <c r="E6168">
        <f>IF(D746&gt;0,VLOOKUP(OPERAC[[#This Row],[COD CART]],[1]!MatrizCortoLargoCyl[#All],3,0),"")</f>
        <v/>
      </c>
      <c r="F6168" t="inlineStr">
        <is>
          <t>MELI/V/500,00/20-01-23</t>
        </is>
      </c>
      <c r="G6168" t="n">
        <v>-5</v>
      </c>
      <c r="H6168" t="n">
        <v>371.8125</v>
      </c>
      <c r="I6168">
        <f>-H746/G746</f>
        <v/>
      </c>
    </row>
    <row r="6169">
      <c r="A6169" t="n">
        <v>25070</v>
      </c>
      <c r="B6169" s="16" t="n">
        <v>44693</v>
      </c>
      <c r="C6169" t="inlineStr">
        <is>
          <t>VTA</t>
        </is>
      </c>
      <c r="D6169" t="n">
        <v>39</v>
      </c>
      <c r="E6169">
        <f>IF(D1019&gt;0,VLOOKUP(OPERAC[[#This Row],[COD CART]],[1]!MatrizCortoLargoCyl[#All],3,0),"")</f>
        <v/>
      </c>
      <c r="F6169" t="inlineStr">
        <is>
          <t>ACB/P/3,00/20-01-23</t>
        </is>
      </c>
      <c r="G6169" t="n">
        <v>-50</v>
      </c>
      <c r="H6169" t="n">
        <v>58.115</v>
      </c>
      <c r="I6169">
        <f>-H1019/G1019</f>
        <v/>
      </c>
    </row>
    <row r="6170">
      <c r="A6170" t="n">
        <v>25070</v>
      </c>
      <c r="B6170" s="16" t="n">
        <v>44698</v>
      </c>
      <c r="C6170" t="inlineStr">
        <is>
          <t>CPR</t>
        </is>
      </c>
      <c r="D6170" t="n">
        <v>39</v>
      </c>
      <c r="E6170">
        <f>IF(D2720&gt;0,VLOOKUP(OPERAC[[#This Row],[COD CART]],[1]!MatrizCortoLargoCyl[#All],3,0),"")</f>
        <v/>
      </c>
      <c r="F6170" t="inlineStr">
        <is>
          <t>NTLA/C/65,00/15-07-22</t>
        </is>
      </c>
      <c r="G6170" t="n">
        <v>200</v>
      </c>
      <c r="H6170" t="n">
        <v>-504.25</v>
      </c>
      <c r="I6170">
        <f>-H2720/G2720</f>
        <v/>
      </c>
    </row>
    <row r="6171">
      <c r="A6171" t="n">
        <v>25070</v>
      </c>
      <c r="B6171" s="16" t="n">
        <v>44707</v>
      </c>
      <c r="C6171" t="inlineStr">
        <is>
          <t>VTA</t>
        </is>
      </c>
      <c r="D6171" t="n">
        <v>43</v>
      </c>
      <c r="E6171">
        <f>IF(D5289&gt;0,VLOOKUP(OPERAC[[#This Row],[COD CART]],[1]!MatrizCortoLargoCyl[#All],3,0),"")</f>
        <v/>
      </c>
      <c r="F6171" t="inlineStr">
        <is>
          <t>SPWR/CYP/17,50-15,00/17-06-22</t>
        </is>
      </c>
      <c r="G6171" t="n">
        <v>100</v>
      </c>
      <c r="H6171" t="n">
        <v>-1717.027</v>
      </c>
      <c r="I6171">
        <f>-H5289/G5289</f>
        <v/>
      </c>
    </row>
    <row r="6172">
      <c r="A6172" t="n">
        <v>25070</v>
      </c>
      <c r="B6172" s="16" t="n">
        <v>44712</v>
      </c>
      <c r="C6172" t="inlineStr">
        <is>
          <t>CPR</t>
        </is>
      </c>
      <c r="D6172" t="n">
        <v>32</v>
      </c>
      <c r="E6172">
        <f>IF(D3326&gt;0,VLOOKUP(OPERAC[[#This Row],[COD CART]],[1]!MatrizCortoLargoCyl[#All],3,0),"")</f>
        <v/>
      </c>
      <c r="F6172" t="inlineStr">
        <is>
          <t>CRESY/CYL/7,50/17-06-22</t>
        </is>
      </c>
      <c r="G6172" t="n">
        <v>100</v>
      </c>
      <c r="H6172" t="n">
        <v>-693.075</v>
      </c>
      <c r="I6172">
        <f>-H3326/G3326</f>
        <v/>
      </c>
    </row>
    <row r="6173">
      <c r="A6173" t="n">
        <v>25070</v>
      </c>
      <c r="B6173" s="16" t="n">
        <v>44722</v>
      </c>
      <c r="C6173" t="inlineStr">
        <is>
          <t>CPR</t>
        </is>
      </c>
      <c r="D6173" t="n">
        <v>40</v>
      </c>
      <c r="E6173">
        <f>IF(D4248&gt;0,VLOOKUP(OPERAC[[#This Row],[COD CART]],[1]!MatrizCortoLargoCyl[#All],3,0),"")</f>
        <v/>
      </c>
      <c r="F6173" t="inlineStr">
        <is>
          <t>PFE</t>
        </is>
      </c>
      <c r="G6173" t="n">
        <v>20</v>
      </c>
      <c r="H6173" t="n">
        <v>-1011.08176</v>
      </c>
      <c r="I6173">
        <f>-H4248/G4248</f>
        <v/>
      </c>
    </row>
    <row r="6174">
      <c r="A6174" t="n">
        <v>25070</v>
      </c>
      <c r="B6174" s="16" t="n">
        <v>44722</v>
      </c>
      <c r="C6174" t="inlineStr">
        <is>
          <t>CPR</t>
        </is>
      </c>
      <c r="D6174" t="n">
        <v>40</v>
      </c>
      <c r="E6174">
        <f>IF(D4378&gt;0,VLOOKUP(OPERAC[[#This Row],[COD CART]],[1]!MatrizCortoLargoCyl[#All],3,0),"")</f>
        <v/>
      </c>
      <c r="F6174" t="inlineStr">
        <is>
          <t>BABA</t>
        </is>
      </c>
      <c r="G6174" t="n">
        <v>10</v>
      </c>
      <c r="H6174" t="n">
        <v>-1099.6684</v>
      </c>
      <c r="I6174">
        <f>-H4378/G4378</f>
        <v/>
      </c>
    </row>
    <row r="6175">
      <c r="A6175" t="n">
        <v>25070</v>
      </c>
      <c r="B6175" s="16" t="n">
        <v>44722</v>
      </c>
      <c r="C6175" t="inlineStr">
        <is>
          <t>VTA</t>
        </is>
      </c>
      <c r="D6175" t="n">
        <v>40</v>
      </c>
      <c r="E6175">
        <f>IF(D2325&gt;0,VLOOKUP(OPERAC[[#This Row],[COD CART]],[1]!MatrizCortoLargoCyl[#All],3,0),"")</f>
        <v/>
      </c>
      <c r="F6175" t="inlineStr">
        <is>
          <t>YPF</t>
        </is>
      </c>
      <c r="G6175" t="n">
        <v>100</v>
      </c>
      <c r="H6175" t="n">
        <v>-404.4085</v>
      </c>
      <c r="I6175">
        <f>-H2325/G2325</f>
        <v/>
      </c>
    </row>
    <row r="6176">
      <c r="A6176" t="n">
        <v>25070</v>
      </c>
      <c r="B6176" s="16" t="n">
        <v>44722</v>
      </c>
      <c r="C6176" t="inlineStr">
        <is>
          <t>VTA</t>
        </is>
      </c>
      <c r="D6176" t="n">
        <v>40</v>
      </c>
      <c r="E6176">
        <f>IF(D3022&gt;0,VLOOKUP(OPERAC[[#This Row],[COD CART]],[1]!MatrizCortoLargoCyl[#All],3,0),"")</f>
        <v/>
      </c>
      <c r="F6176" t="inlineStr">
        <is>
          <t>CRESY</t>
        </is>
      </c>
      <c r="G6176" t="n">
        <v>100</v>
      </c>
      <c r="H6176" t="n">
        <v>-599.049</v>
      </c>
      <c r="I6176">
        <f>-H3022/G3022</f>
        <v/>
      </c>
    </row>
    <row r="6177">
      <c r="A6177" t="n">
        <v>25070</v>
      </c>
      <c r="B6177" s="16" t="n">
        <v>44725</v>
      </c>
      <c r="C6177" t="inlineStr">
        <is>
          <t>VTA</t>
        </is>
      </c>
      <c r="D6177" t="n">
        <v>40</v>
      </c>
      <c r="E6177">
        <f>IF(D3912&gt;0,VLOOKUP(OPERAC[[#This Row],[COD CART]],[1]!MatrizCortoLargoCyl[#All],3,0),"")</f>
        <v/>
      </c>
      <c r="F6177" t="inlineStr">
        <is>
          <t>AMD</t>
        </is>
      </c>
      <c r="G6177" t="n">
        <v>10</v>
      </c>
      <c r="H6177" t="n">
        <v>-876.9411749999999</v>
      </c>
      <c r="I6177">
        <f>-H3912/G3912</f>
        <v/>
      </c>
    </row>
    <row r="6178">
      <c r="A6178" t="n">
        <v>26137</v>
      </c>
      <c r="B6178" s="16" t="n">
        <v>44468</v>
      </c>
      <c r="C6178" t="inlineStr">
        <is>
          <t>VTA</t>
        </is>
      </c>
      <c r="D6178" t="n">
        <v>43</v>
      </c>
      <c r="E6178">
        <f>IF(D2967&gt;0,VLOOKUP(OPERAC[[#This Row],[COD CART]],[1]!MatrizCortoLargoCyl[#All],3,0),"")</f>
        <v/>
      </c>
      <c r="F6178" t="inlineStr">
        <is>
          <t>SOLO/CYL-PUT/4,00/16-09-22</t>
        </is>
      </c>
      <c r="G6178" t="n">
        <v>300</v>
      </c>
      <c r="H6178">
        <f>-840.601+0.32*OPERAC[[#This Row],[cantidad]]+0.387*OPERAC[[#This Row],[cantidad]]+0.22*OPERAC[[#This Row],[cantidad]]</f>
        <v/>
      </c>
      <c r="I6178">
        <f>-H2967/G2967</f>
        <v/>
      </c>
    </row>
    <row r="6179">
      <c r="A6179" t="n">
        <v>26137</v>
      </c>
      <c r="B6179" s="16" t="n">
        <v>44532</v>
      </c>
      <c r="C6179" t="inlineStr">
        <is>
          <t>VTA</t>
        </is>
      </c>
      <c r="D6179" t="n">
        <v>32</v>
      </c>
      <c r="E6179">
        <f>IF(D5347&gt;0,VLOOKUP(OPERAC[[#This Row],[COD CART]],[1]!MatrizCortoLargoCyl[#All],3,0),"")</f>
        <v/>
      </c>
      <c r="F6179" t="inlineStr">
        <is>
          <t>COTY/CYL/10,00/18-02-22</t>
        </is>
      </c>
      <c r="G6179" t="n">
        <v>200</v>
      </c>
      <c r="H6179">
        <f>-1803.198+41.676</f>
        <v/>
      </c>
      <c r="I6179">
        <f>-H5347/G5347</f>
        <v/>
      </c>
      <c r="J6179" s="16" t="n">
        <v>44608</v>
      </c>
      <c r="K6179">
        <f>+OPERAC[[#This Row],[cantidad]]</f>
        <v/>
      </c>
      <c r="L6179" t="n">
        <v>1889.088</v>
      </c>
    </row>
    <row r="6180">
      <c r="A6180" t="n">
        <v>26137</v>
      </c>
      <c r="B6180" s="16" t="n">
        <v>44547</v>
      </c>
      <c r="C6180" t="inlineStr">
        <is>
          <t>VTA</t>
        </is>
      </c>
      <c r="D6180" t="n">
        <v>39</v>
      </c>
      <c r="E6180">
        <f>IF(D361&gt;0,VLOOKUP(OPERAC[[#This Row],[COD CART]],[1]!MatrizCortoLargoCyl[#All],3,0),"")</f>
        <v/>
      </c>
      <c r="F6180" t="inlineStr">
        <is>
          <t>TLRY/V/8,00/18-02-22</t>
        </is>
      </c>
      <c r="G6180" t="n">
        <v>-900</v>
      </c>
      <c r="H6180" t="n">
        <v>1245.4119</v>
      </c>
      <c r="I6180">
        <f>-H361/G361</f>
        <v/>
      </c>
      <c r="J6180" s="16" t="n">
        <v>44601</v>
      </c>
      <c r="K6180" t="n">
        <v>-900</v>
      </c>
      <c r="L6180">
        <f>1.38*OPERAC[[#This Row],[cantidad venta]]</f>
        <v/>
      </c>
    </row>
    <row r="6181">
      <c r="A6181" t="n">
        <v>26137</v>
      </c>
      <c r="B6181" s="16" t="n">
        <v>44547</v>
      </c>
      <c r="C6181" t="inlineStr">
        <is>
          <t>VTA</t>
        </is>
      </c>
      <c r="D6181" t="n">
        <v>39</v>
      </c>
      <c r="E6181">
        <f>IF(D749&gt;0,VLOOKUP(OPERAC[[#This Row],[COD CART]],[1]!MatrizCortoLargoCyl[#All],3,0),"")</f>
        <v/>
      </c>
      <c r="F6181" t="inlineStr">
        <is>
          <t>INO/V/7,00/21-01-22</t>
        </is>
      </c>
      <c r="G6181" t="n">
        <v>-400</v>
      </c>
      <c r="H6181" t="n">
        <v>364.176</v>
      </c>
      <c r="I6181">
        <f>-H749/G749</f>
        <v/>
      </c>
      <c r="J6181" s="16" t="n">
        <v>44580</v>
      </c>
      <c r="K6181">
        <f>+OPERAC[[#This Row],[cantidad]]</f>
        <v/>
      </c>
      <c r="L6181">
        <f>-OPERAC[[#This Row],[importe]]</f>
        <v/>
      </c>
    </row>
    <row r="6182">
      <c r="A6182" t="n">
        <v>26137</v>
      </c>
      <c r="B6182" s="16" t="n">
        <v>44547</v>
      </c>
      <c r="C6182" t="inlineStr">
        <is>
          <t>VTA</t>
        </is>
      </c>
      <c r="D6182" t="n">
        <v>32</v>
      </c>
      <c r="E6182">
        <f>IF(D3806&gt;0,VLOOKUP(OPERAC[[#This Row],[COD CART]],[1]!MatrizCortoLargoCyl[#All],3,0),"")</f>
        <v/>
      </c>
      <c r="F6182" t="inlineStr">
        <is>
          <t>ARLO/CYL/9,00/18-02-22</t>
        </is>
      </c>
      <c r="G6182" t="n">
        <v>100</v>
      </c>
      <c r="H6182">
        <f>-866.74+14.88</f>
        <v/>
      </c>
      <c r="I6182">
        <f>-H3806/G3806</f>
        <v/>
      </c>
      <c r="J6182" s="16" t="n">
        <v>44607</v>
      </c>
      <c r="K6182" t="n">
        <v>100</v>
      </c>
      <c r="L6182" t="n">
        <v>875.33</v>
      </c>
    </row>
    <row r="6183">
      <c r="A6183" t="n">
        <v>26137</v>
      </c>
      <c r="B6183" s="16" t="n">
        <v>44550</v>
      </c>
      <c r="C6183" t="inlineStr">
        <is>
          <t>VTA</t>
        </is>
      </c>
      <c r="D6183" t="n">
        <v>40</v>
      </c>
      <c r="E6183">
        <f>IF(D1919&gt;0,VLOOKUP(OPERAC[[#This Row],[COD CART]],[1]!MatrizCortoLargoCyl[#All],3,0),"")</f>
        <v/>
      </c>
      <c r="F6183" t="inlineStr">
        <is>
          <t>SMH</t>
        </is>
      </c>
      <c r="G6183" t="n">
        <v>1</v>
      </c>
      <c r="H6183" t="n">
        <v>-293.97304</v>
      </c>
      <c r="I6183">
        <f>-H1919/G1919</f>
        <v/>
      </c>
      <c r="J6183" s="16" t="n">
        <v>44574</v>
      </c>
      <c r="K6183">
        <f>+OPERAC[[#This Row],[cantidad]]</f>
        <v/>
      </c>
      <c r="L6183">
        <f>+OPERAC[[#This Row],[cantidad venta]]*306.843</f>
        <v/>
      </c>
    </row>
    <row r="6184">
      <c r="A6184" t="n">
        <v>26137</v>
      </c>
      <c r="B6184" s="16" t="n">
        <v>44552</v>
      </c>
      <c r="C6184" t="inlineStr">
        <is>
          <t>CPR</t>
        </is>
      </c>
      <c r="D6184" t="n">
        <v>32</v>
      </c>
      <c r="E6184">
        <f>IF(D3477&gt;0,VLOOKUP(OPERAC[[#This Row],[COD CART]],[1]!MatrizCortoLargoCyl[#All],3,0),"")</f>
        <v/>
      </c>
      <c r="F6184" t="inlineStr">
        <is>
          <t>HMY/CYL/4,00/21-01-22</t>
        </is>
      </c>
      <c r="G6184" t="n">
        <v>200</v>
      </c>
      <c r="H6184">
        <f>-3.8*OPERAC[[#This Row],[cantidad]]</f>
        <v/>
      </c>
      <c r="I6184">
        <f>-H3477/G3477</f>
        <v/>
      </c>
      <c r="J6184" s="16" t="n">
        <v>44580</v>
      </c>
      <c r="K6184" t="n">
        <v>200</v>
      </c>
      <c r="L6184" t="n">
        <v>787.86</v>
      </c>
    </row>
    <row r="6185">
      <c r="A6185" t="n">
        <v>26137</v>
      </c>
      <c r="B6185" s="16" t="n">
        <v>44571</v>
      </c>
      <c r="C6185" t="inlineStr">
        <is>
          <t>VTA</t>
        </is>
      </c>
      <c r="D6185" t="n">
        <v>39</v>
      </c>
      <c r="E6185">
        <f>IF(D671&gt;0,VLOOKUP(OPERAC[[#This Row],[COD CART]],[1]!MatrizCortoLargoCyl[#All],3,0),"")</f>
        <v/>
      </c>
      <c r="F6185" t="inlineStr">
        <is>
          <t>MELI/V/850,00/14-01-22</t>
        </is>
      </c>
      <c r="G6185" t="n">
        <v>-100</v>
      </c>
      <c r="H6185" t="n">
        <v>446.4</v>
      </c>
      <c r="I6185">
        <f>-H671/G671</f>
        <v/>
      </c>
      <c r="J6185" s="16" t="n">
        <v>44575</v>
      </c>
      <c r="K6185" t="n">
        <v>-100</v>
      </c>
      <c r="L6185" t="n">
        <v>0</v>
      </c>
    </row>
    <row r="6186">
      <c r="A6186" t="n">
        <v>26137</v>
      </c>
      <c r="B6186" s="16" t="n">
        <v>44580</v>
      </c>
      <c r="C6186" t="inlineStr">
        <is>
          <t>VTA</t>
        </is>
      </c>
      <c r="D6186" t="n">
        <v>39</v>
      </c>
      <c r="E6186">
        <f>IF(D417&gt;0,VLOOKUP(OPERAC[[#This Row],[COD CART]],[1]!MatrizCortoLargoCyl[#All],3,0),"")</f>
        <v/>
      </c>
      <c r="F6186" t="inlineStr">
        <is>
          <t>INO/V/7,00/18-02-22</t>
        </is>
      </c>
      <c r="G6186" t="n">
        <v>-400</v>
      </c>
      <c r="H6186" t="n">
        <v>1108.26</v>
      </c>
      <c r="I6186">
        <f>-H417/G417</f>
        <v/>
      </c>
      <c r="J6186" s="16" t="n">
        <v>44600</v>
      </c>
      <c r="K6186" t="n">
        <v>-400</v>
      </c>
      <c r="L6186" t="n">
        <v>-1108</v>
      </c>
    </row>
    <row r="6187">
      <c r="A6187" t="n">
        <v>26137</v>
      </c>
      <c r="B6187" s="16" t="n">
        <v>44581</v>
      </c>
      <c r="C6187" t="inlineStr">
        <is>
          <t>CPR</t>
        </is>
      </c>
      <c r="D6187" t="n">
        <v>32</v>
      </c>
      <c r="E6187">
        <f>IF(D3595&gt;0,VLOOKUP(OPERAC[[#This Row],[COD CART]],[1]!MatrizCortoLargoCyl[#All],3,0),"")</f>
        <v/>
      </c>
      <c r="F6187" t="inlineStr">
        <is>
          <t>HMY/CYL/4,00/18-02-22</t>
        </is>
      </c>
      <c r="G6187" t="n">
        <v>200</v>
      </c>
      <c r="H6187" t="n">
        <v>-774.9359920000001</v>
      </c>
      <c r="I6187">
        <f>-H3595/G3595</f>
        <v/>
      </c>
      <c r="J6187" s="16" t="n">
        <v>44610</v>
      </c>
      <c r="K6187">
        <f>+OPERAC[[#This Row],[cantidad]]</f>
        <v/>
      </c>
      <c r="L6187">
        <f>+OPERAC[[#This Row],[cantidad venta]]*3.8323</f>
        <v/>
      </c>
    </row>
    <row r="6188">
      <c r="A6188" t="n">
        <v>26137</v>
      </c>
      <c r="B6188" s="16" t="n">
        <v>44586</v>
      </c>
      <c r="C6188" t="inlineStr">
        <is>
          <t>VTA</t>
        </is>
      </c>
      <c r="D6188" t="n">
        <v>43</v>
      </c>
      <c r="E6188">
        <f>IF(D2332&gt;0,VLOOKUP(OPERAC[[#This Row],[COD CART]],[1]!MatrizCortoLargoCyl[#All],3,0),"")</f>
        <v/>
      </c>
      <c r="F6188" t="inlineStr">
        <is>
          <t>GMBL/CYL-PUT/2,50/20-01-23</t>
        </is>
      </c>
      <c r="G6188" t="n">
        <v>400</v>
      </c>
      <c r="H6188" t="n">
        <v>-406.4183000000002</v>
      </c>
      <c r="I6188">
        <f>-H2332/G2332</f>
        <v/>
      </c>
      <c r="J6188" s="16" t="n">
        <v>44708</v>
      </c>
      <c r="K6188" t="n">
        <v>400</v>
      </c>
      <c r="L6188" t="n">
        <v>-760.11</v>
      </c>
    </row>
    <row r="6189">
      <c r="A6189" t="n">
        <v>26137</v>
      </c>
      <c r="B6189" s="16" t="n">
        <v>44600</v>
      </c>
      <c r="C6189" t="inlineStr">
        <is>
          <t>VTA</t>
        </is>
      </c>
      <c r="D6189" t="n">
        <v>39</v>
      </c>
      <c r="E6189">
        <f>IF(D1155&gt;0,VLOOKUP(OPERAC[[#This Row],[COD CART]],[1]!MatrizCortoLargoCyl[#All],3,0),"")</f>
        <v/>
      </c>
      <c r="F6189" t="inlineStr">
        <is>
          <t>DDD/V/12,00/20-01-23</t>
        </is>
      </c>
      <c r="G6189" t="n">
        <v>-10</v>
      </c>
      <c r="H6189">
        <f>-1.55*OPERAC[[#This Row],[cantidad]]</f>
        <v/>
      </c>
      <c r="I6189">
        <f>-H1155/G1155</f>
        <v/>
      </c>
    </row>
    <row r="6190">
      <c r="A6190" t="n">
        <v>26137</v>
      </c>
      <c r="B6190" s="16" t="n">
        <v>44601</v>
      </c>
      <c r="C6190" t="inlineStr">
        <is>
          <t>VTA</t>
        </is>
      </c>
      <c r="D6190" t="n">
        <v>39</v>
      </c>
      <c r="E6190">
        <f>IF(D314&gt;0,VLOOKUP(OPERAC[[#This Row],[COD CART]],[1]!MatrizCortoLargoCyl[#All],3,0),"")</f>
        <v/>
      </c>
      <c r="F6190" t="inlineStr">
        <is>
          <t>TSLA/V/805/18-02-22</t>
        </is>
      </c>
      <c r="G6190" t="n">
        <v>-500</v>
      </c>
      <c r="H6190" t="n">
        <v>1434</v>
      </c>
      <c r="I6190">
        <f>-H314/G314</f>
        <v/>
      </c>
      <c r="J6190" s="16" t="n">
        <v>44607</v>
      </c>
      <c r="K6190" t="n">
        <v>-500</v>
      </c>
      <c r="L6190" t="n">
        <v>-532.496</v>
      </c>
    </row>
    <row r="6191">
      <c r="A6191" t="n">
        <v>26137</v>
      </c>
      <c r="B6191" s="16" t="n">
        <v>44607</v>
      </c>
      <c r="C6191" t="inlineStr">
        <is>
          <t>VTA</t>
        </is>
      </c>
      <c r="D6191" t="n">
        <v>39</v>
      </c>
      <c r="E6191">
        <f>IF(D735&gt;0,VLOOKUP(OPERAC[[#This Row],[COD CART]],[1]!MatrizCortoLargoCyl[#All],3,0),"")</f>
        <v/>
      </c>
      <c r="F6191" t="inlineStr">
        <is>
          <t>TSLA/V/830,00/18-02-22</t>
        </is>
      </c>
      <c r="G6191" t="n">
        <v>-200</v>
      </c>
      <c r="H6191" t="n">
        <v>385.4955</v>
      </c>
      <c r="I6191">
        <f>-H735/G735</f>
        <v/>
      </c>
      <c r="J6191" s="16" t="n">
        <v>44609</v>
      </c>
      <c r="K6191" t="n">
        <v>-200</v>
      </c>
      <c r="L6191" t="n">
        <v>-384.418</v>
      </c>
    </row>
    <row r="6192">
      <c r="A6192" t="n">
        <v>26137</v>
      </c>
      <c r="B6192" s="16" t="n">
        <v>44609</v>
      </c>
      <c r="C6192" t="inlineStr">
        <is>
          <t>VTA</t>
        </is>
      </c>
      <c r="D6192" t="n">
        <v>32</v>
      </c>
      <c r="E6192">
        <f>IF(D5284&gt;0,VLOOKUP(OPERAC[[#This Row],[COD CART]],[1]!MatrizCortoLargoCyl[#All],3,0),"")</f>
        <v/>
      </c>
      <c r="F6192" t="inlineStr">
        <is>
          <t>F</t>
        </is>
      </c>
      <c r="G6192" t="n">
        <v>100</v>
      </c>
      <c r="H6192" t="n">
        <v>-1715.2776</v>
      </c>
      <c r="I6192">
        <f>-H5284/G5284</f>
        <v/>
      </c>
      <c r="J6192" s="16" t="n">
        <v>44649</v>
      </c>
      <c r="K6192" t="n">
        <v>100</v>
      </c>
      <c r="L6192">
        <f>17.636*OPERAC[[#This Row],[cantidad venta]]</f>
        <v/>
      </c>
    </row>
    <row r="6193">
      <c r="A6193" t="n">
        <v>26137</v>
      </c>
      <c r="B6193" s="16" t="n">
        <v>44616</v>
      </c>
      <c r="C6193" t="inlineStr">
        <is>
          <t>VTA</t>
        </is>
      </c>
      <c r="D6193" t="n">
        <v>32</v>
      </c>
      <c r="E6193">
        <f>IF(D5004&gt;0,VLOOKUP(OPERAC[[#This Row],[COD CART]],[1]!MatrizCortoLargoCyl[#All],3,0),"")</f>
        <v/>
      </c>
      <c r="F6193" t="inlineStr">
        <is>
          <t>HMY/CYL/4,00/18-03-22</t>
        </is>
      </c>
      <c r="G6193" t="n">
        <v>400</v>
      </c>
      <c r="H6193" t="n">
        <v>-1534.82</v>
      </c>
      <c r="I6193">
        <f>-H5004/G5004</f>
        <v/>
      </c>
      <c r="J6193" s="16" t="n">
        <v>44622</v>
      </c>
      <c r="K6193" t="n">
        <v>400</v>
      </c>
      <c r="L6193" t="n">
        <v>1575.8</v>
      </c>
    </row>
    <row r="6194">
      <c r="A6194" t="n">
        <v>26137</v>
      </c>
      <c r="B6194" s="16" t="n">
        <v>44622</v>
      </c>
      <c r="C6194" t="inlineStr">
        <is>
          <t>CPR</t>
        </is>
      </c>
      <c r="D6194" t="n">
        <v>32</v>
      </c>
      <c r="E6194">
        <f>IF(D4813&gt;0,VLOOKUP(OPERAC[[#This Row],[COD CART]],[1]!MatrizCortoLargoCyl[#All],3,0),"")</f>
        <v/>
      </c>
      <c r="F6194" t="inlineStr">
        <is>
          <t>HMY/CYL/5,00/18-03-22</t>
        </is>
      </c>
      <c r="G6194" t="n">
        <v>300</v>
      </c>
      <c r="H6194" t="n">
        <v>-1405.596</v>
      </c>
      <c r="I6194">
        <f>-H4813/G4813</f>
        <v/>
      </c>
      <c r="J6194" s="16" t="n">
        <v>44637</v>
      </c>
      <c r="K6194">
        <f>+OPERAC[[#This Row],[cantidad]]</f>
        <v/>
      </c>
      <c r="L6194">
        <f>4.85553*OPERAC[[#This Row],[cantidad venta]]</f>
        <v/>
      </c>
    </row>
    <row r="6195">
      <c r="A6195" t="n">
        <v>26137</v>
      </c>
      <c r="B6195" s="16" t="n">
        <v>44641</v>
      </c>
      <c r="C6195" t="inlineStr">
        <is>
          <t>VTA</t>
        </is>
      </c>
      <c r="D6195" t="n">
        <v>42</v>
      </c>
      <c r="E6195">
        <f>IF(D2431&gt;0,VLOOKUP(OPERAC[[#This Row],[COD CART]],[1]!MatrizCortoLargoCyl[#All],3,0),"")</f>
        <v/>
      </c>
      <c r="F6195" t="inlineStr">
        <is>
          <t>FB</t>
        </is>
      </c>
      <c r="G6195" t="n">
        <v>2</v>
      </c>
      <c r="H6195" t="n">
        <v>-424.31276</v>
      </c>
      <c r="I6195">
        <f>-H2431/G2431</f>
        <v/>
      </c>
      <c r="J6195" s="16" t="n">
        <v>44671</v>
      </c>
      <c r="K6195">
        <f>+OPERAC[[#This Row],[cantidad]]</f>
        <v/>
      </c>
      <c r="L6195">
        <f>+OPERAC[[#This Row],[cantidad venta]]*213.173</f>
        <v/>
      </c>
    </row>
    <row r="6196">
      <c r="A6196" t="n">
        <v>26137</v>
      </c>
      <c r="B6196" s="16" t="n">
        <v>44643</v>
      </c>
      <c r="C6196" t="inlineStr">
        <is>
          <t>VTA</t>
        </is>
      </c>
      <c r="D6196" t="n">
        <v>32</v>
      </c>
      <c r="E6196">
        <f>IF(D3817&gt;0,VLOOKUP(OPERAC[[#This Row],[COD CART]],[1]!MatrizCortoLargoCyl[#All],3,0),"")</f>
        <v/>
      </c>
      <c r="F6196" t="inlineStr">
        <is>
          <t>COTY/CYL/9,00/14-04-22</t>
        </is>
      </c>
      <c r="G6196" t="n">
        <v>100</v>
      </c>
      <c r="H6196" t="n">
        <v>-855.451</v>
      </c>
      <c r="I6196">
        <f>-H3817/G3817</f>
        <v/>
      </c>
      <c r="J6196" s="16" t="n">
        <v>44649</v>
      </c>
      <c r="K6196" t="n">
        <v>100</v>
      </c>
      <c r="L6196" t="n">
        <v>875.28</v>
      </c>
    </row>
    <row r="6197">
      <c r="A6197" t="n">
        <v>26137</v>
      </c>
      <c r="B6197" s="16" t="n">
        <v>44645</v>
      </c>
      <c r="C6197" t="inlineStr">
        <is>
          <t>CPR</t>
        </is>
      </c>
      <c r="D6197" t="n">
        <v>42</v>
      </c>
      <c r="E6197">
        <f>IF(D1868&gt;0,VLOOKUP(OPERAC[[#This Row],[COD CART]],[1]!MatrizCortoLargoCyl[#All],3,0),"")</f>
        <v/>
      </c>
      <c r="F6197" t="inlineStr">
        <is>
          <t>PLUG</t>
        </is>
      </c>
      <c r="G6197" t="n">
        <v>10</v>
      </c>
      <c r="H6197" t="n">
        <v>-279.3164</v>
      </c>
      <c r="I6197">
        <f>-H1868/G1868</f>
        <v/>
      </c>
      <c r="J6197" s="16" t="n">
        <v>44652</v>
      </c>
      <c r="K6197">
        <f>+OPERAC[[#This Row],[cantidad]]</f>
        <v/>
      </c>
      <c r="L6197">
        <f>+OPERAC[[#This Row],[cantidad venta]]*27.754</f>
        <v/>
      </c>
    </row>
    <row r="6198">
      <c r="A6198" t="n">
        <v>26137</v>
      </c>
      <c r="B6198" s="16" t="n">
        <v>44649</v>
      </c>
      <c r="C6198" t="inlineStr">
        <is>
          <t>VTA</t>
        </is>
      </c>
      <c r="D6198" t="n">
        <v>32</v>
      </c>
      <c r="E6198">
        <f>IF(D3202&gt;0,VLOOKUP(OPERAC[[#This Row],[COD CART]],[1]!MatrizCortoLargoCyl[#All],3,0),"")</f>
        <v/>
      </c>
      <c r="F6198" t="inlineStr">
        <is>
          <t>TLRY/CYL/7,00/15-07-22</t>
        </is>
      </c>
      <c r="G6198" t="n">
        <v>100</v>
      </c>
      <c r="H6198">
        <f>-672.216+9.915+9.915</f>
        <v/>
      </c>
      <c r="I6198">
        <f>-H3202/G3202</f>
        <v/>
      </c>
    </row>
    <row r="6199">
      <c r="A6199" t="n">
        <v>26137</v>
      </c>
      <c r="B6199" s="16" t="n">
        <v>44650</v>
      </c>
      <c r="C6199" t="inlineStr">
        <is>
          <t>CPR</t>
        </is>
      </c>
      <c r="D6199" t="n">
        <v>32</v>
      </c>
      <c r="E6199">
        <f>IF(D3435&gt;0,VLOOKUP(OPERAC[[#This Row],[COD CART]],[1]!MatrizCortoLargoCyl[#All],3,0),"")</f>
        <v/>
      </c>
      <c r="F6199" t="inlineStr">
        <is>
          <t>UUUU/CYL/8,00/20-05-22</t>
        </is>
      </c>
      <c r="G6199" t="n">
        <v>100</v>
      </c>
      <c r="H6199" t="n">
        <v>-748.0204</v>
      </c>
      <c r="I6199">
        <f>-H3435/G3435</f>
        <v/>
      </c>
      <c r="J6199" s="16" t="n">
        <v>44665</v>
      </c>
      <c r="K6199" t="n">
        <v>100</v>
      </c>
      <c r="L6199" t="n">
        <v>776</v>
      </c>
    </row>
    <row r="6200">
      <c r="A6200" t="n">
        <v>26137</v>
      </c>
      <c r="B6200" s="16" t="n">
        <v>44652</v>
      </c>
      <c r="C6200" t="inlineStr">
        <is>
          <t>VTA</t>
        </is>
      </c>
      <c r="D6200" t="n">
        <v>42</v>
      </c>
      <c r="E6200">
        <f>IF(D2049&gt;0,VLOOKUP(OPERAC[[#This Row],[COD CART]],[1]!MatrizCortoLargoCyl[#All],3,0),"")</f>
        <v/>
      </c>
      <c r="F6200" t="inlineStr">
        <is>
          <t>GBTC</t>
        </is>
      </c>
      <c r="G6200" t="n">
        <v>10</v>
      </c>
      <c r="H6200" t="n">
        <v>-321.098</v>
      </c>
      <c r="I6200">
        <f>-H2049/G2049</f>
        <v/>
      </c>
      <c r="J6200" s="16" t="n">
        <v>44662</v>
      </c>
      <c r="K6200">
        <f>+OPERAC[[#This Row],[cantidad]]</f>
        <v/>
      </c>
      <c r="L6200">
        <f>27.99*OPERAC[[#This Row],[cantidad venta]]</f>
        <v/>
      </c>
    </row>
    <row r="6201">
      <c r="A6201" t="n">
        <v>26137</v>
      </c>
      <c r="B6201" s="16" t="n">
        <v>44655</v>
      </c>
      <c r="C6201" t="inlineStr">
        <is>
          <t>CPR</t>
        </is>
      </c>
      <c r="D6201" t="n">
        <v>42</v>
      </c>
      <c r="E6201">
        <f>IF(D2602&gt;0,VLOOKUP(OPERAC[[#This Row],[COD CART]],[1]!MatrizCortoLargoCyl[#All],3,0),"")</f>
        <v/>
      </c>
      <c r="F6201" t="inlineStr">
        <is>
          <t>ADBE</t>
        </is>
      </c>
      <c r="G6201" t="n">
        <v>1</v>
      </c>
      <c r="H6201" t="n">
        <v>-471.6204</v>
      </c>
      <c r="I6201">
        <f>-H2602/G2602</f>
        <v/>
      </c>
      <c r="J6201" s="16" t="n">
        <v>44687</v>
      </c>
      <c r="K6201">
        <f>+OPERAC[[#This Row],[cantidad]]</f>
        <v/>
      </c>
      <c r="L6201" t="n">
        <v>386.42</v>
      </c>
    </row>
    <row r="6202">
      <c r="A6202" t="n">
        <v>26137</v>
      </c>
      <c r="B6202" s="16" t="n">
        <v>44655</v>
      </c>
      <c r="C6202" t="inlineStr">
        <is>
          <t>VTA</t>
        </is>
      </c>
      <c r="D6202" t="n">
        <v>42</v>
      </c>
      <c r="E6202">
        <f>IF(D2079&gt;0,VLOOKUP(OPERAC[[#This Row],[COD CART]],[1]!MatrizCortoLargoCyl[#All],3,0),"")</f>
        <v/>
      </c>
      <c r="F6202" t="inlineStr">
        <is>
          <t>AMD</t>
        </is>
      </c>
      <c r="G6202" t="n">
        <v>3</v>
      </c>
      <c r="H6202" t="n">
        <v>-331.86045</v>
      </c>
      <c r="I6202">
        <f>-H2079/G2079</f>
        <v/>
      </c>
      <c r="J6202" s="16" t="n">
        <v>44693</v>
      </c>
      <c r="K6202">
        <f>+OPERAC[[#This Row],[cantidad]]</f>
        <v/>
      </c>
      <c r="L6202">
        <f>+OPERAC[[#This Row],[cantidad venta]]*85.26</f>
        <v/>
      </c>
    </row>
    <row r="6203">
      <c r="A6203" t="n">
        <v>26137</v>
      </c>
      <c r="B6203" s="16" t="n">
        <v>44655</v>
      </c>
      <c r="C6203" t="inlineStr">
        <is>
          <t>VTA</t>
        </is>
      </c>
      <c r="D6203" t="n">
        <v>42</v>
      </c>
      <c r="E6203">
        <f>IF(D2345&gt;0,VLOOKUP(OPERAC[[#This Row],[COD CART]],[1]!MatrizCortoLargoCyl[#All],3,0),"")</f>
        <v/>
      </c>
      <c r="F6203" t="inlineStr">
        <is>
          <t>JPM</t>
        </is>
      </c>
      <c r="G6203" t="n">
        <v>3</v>
      </c>
      <c r="H6203" t="n">
        <v>-410.0232159999999</v>
      </c>
      <c r="I6203">
        <f>-H2345/G2345</f>
        <v/>
      </c>
      <c r="J6203" s="16" t="n">
        <v>44664</v>
      </c>
      <c r="K6203">
        <f>+OPERAC[[#This Row],[cantidad]]</f>
        <v/>
      </c>
      <c r="L6203">
        <f>+OPERAC[[#This Row],[cantidad venta]]*125.943</f>
        <v/>
      </c>
    </row>
    <row r="6204">
      <c r="A6204" t="n">
        <v>26137</v>
      </c>
      <c r="B6204" s="16" t="n">
        <v>44662</v>
      </c>
      <c r="C6204" t="inlineStr">
        <is>
          <t>CPR</t>
        </is>
      </c>
      <c r="D6204" t="n">
        <v>42</v>
      </c>
      <c r="E6204">
        <f>IF(D1855&gt;0,VLOOKUP(OPERAC[[#This Row],[COD CART]],[1]!MatrizCortoLargoCyl[#All],3,0),"")</f>
        <v/>
      </c>
      <c r="F6204" t="inlineStr">
        <is>
          <t>HYDR</t>
        </is>
      </c>
      <c r="G6204" t="n">
        <v>15</v>
      </c>
      <c r="H6204" t="n">
        <v>-278.5551599999999</v>
      </c>
      <c r="I6204">
        <f>-H1855/G1855</f>
        <v/>
      </c>
      <c r="J6204" s="16" t="n">
        <v>44693</v>
      </c>
      <c r="K6204">
        <f>+OPERAC[[#This Row],[cantidad]]</f>
        <v/>
      </c>
      <c r="L6204">
        <f>+OPERAC[[#This Row],[cantidad venta]]*11.986</f>
        <v/>
      </c>
    </row>
    <row r="6205">
      <c r="A6205" t="n">
        <v>26137</v>
      </c>
      <c r="B6205" s="16" t="n">
        <v>44664</v>
      </c>
      <c r="C6205" t="inlineStr">
        <is>
          <t>VTA</t>
        </is>
      </c>
      <c r="D6205" t="n">
        <v>42</v>
      </c>
      <c r="E6205">
        <f>IF(D1731&gt;0,VLOOKUP(OPERAC[[#This Row],[COD CART]],[1]!MatrizCortoLargoCyl[#All],3,0),"")</f>
        <v/>
      </c>
      <c r="F6205" t="inlineStr">
        <is>
          <t>PSQ</t>
        </is>
      </c>
      <c r="G6205" t="n">
        <v>20</v>
      </c>
      <c r="H6205" t="n">
        <v>-248.65144362</v>
      </c>
      <c r="I6205">
        <f>-H1731/G1731</f>
        <v/>
      </c>
      <c r="J6205" s="16" t="n">
        <v>44680</v>
      </c>
      <c r="K6205">
        <f>+OPERAC[[#This Row],[cantidad]]</f>
        <v/>
      </c>
      <c r="L6205">
        <f>12.848*OPERAC[[#This Row],[cantidad venta]]</f>
        <v/>
      </c>
    </row>
    <row r="6206">
      <c r="A6206" t="n">
        <v>26137</v>
      </c>
      <c r="B6206" s="16" t="n">
        <v>44669</v>
      </c>
      <c r="C6206" t="inlineStr">
        <is>
          <t>CPR</t>
        </is>
      </c>
      <c r="D6206" t="n">
        <v>32</v>
      </c>
      <c r="E6206">
        <f>IF(D3997&gt;0,VLOOKUP(OPERAC[[#This Row],[COD CART]],[1]!MatrizCortoLargoCyl[#All],3,0),"")</f>
        <v/>
      </c>
      <c r="F6206" t="inlineStr">
        <is>
          <t>HMY/CYL/5,00/19-08-22</t>
        </is>
      </c>
      <c r="G6206" t="n">
        <v>200</v>
      </c>
      <c r="H6206">
        <f>-4.64*OPERAC[[#This Row],[cantidad]]+13.881</f>
        <v/>
      </c>
      <c r="I6206">
        <f>-H3997/G3997</f>
        <v/>
      </c>
    </row>
    <row r="6207">
      <c r="A6207" t="n">
        <v>26137</v>
      </c>
      <c r="B6207" s="16" t="n">
        <v>44671</v>
      </c>
      <c r="C6207" t="inlineStr">
        <is>
          <t>CPR</t>
        </is>
      </c>
      <c r="D6207" t="n">
        <v>42</v>
      </c>
      <c r="E6207">
        <f>IF(D2776&gt;0,VLOOKUP(OPERAC[[#This Row],[COD CART]],[1]!MatrizCortoLargoCyl[#All],3,0),"")</f>
        <v/>
      </c>
      <c r="F6207" t="inlineStr">
        <is>
          <t>NFLX</t>
        </is>
      </c>
      <c r="G6207" t="n">
        <v>2</v>
      </c>
      <c r="H6207" t="n">
        <v>-509.01012</v>
      </c>
      <c r="I6207">
        <f>-H2776/G2776</f>
        <v/>
      </c>
      <c r="J6207" s="16" t="n">
        <v>44693</v>
      </c>
      <c r="K6207">
        <f>+OPERAC[[#This Row],[cantidad]]</f>
        <v/>
      </c>
      <c r="L6207">
        <f>+OPERAC[[#This Row],[cantidad venta]]*169.089</f>
        <v/>
      </c>
    </row>
    <row r="6208">
      <c r="A6208" t="n">
        <v>26137</v>
      </c>
      <c r="B6208" s="16" t="n">
        <v>44680</v>
      </c>
      <c r="C6208" t="inlineStr">
        <is>
          <t>VTA</t>
        </is>
      </c>
      <c r="D6208" t="n">
        <v>42</v>
      </c>
      <c r="E6208">
        <f>IF(D1693&gt;0,VLOOKUP(OPERAC[[#This Row],[COD CART]],[1]!MatrizCortoLargoCyl[#All],3,0),"")</f>
        <v/>
      </c>
      <c r="F6208" t="inlineStr">
        <is>
          <t>XLP</t>
        </is>
      </c>
      <c r="G6208" t="n">
        <v>3</v>
      </c>
      <c r="H6208" t="n">
        <v>-238.3035075</v>
      </c>
      <c r="I6208">
        <f>-H1693/G1693</f>
        <v/>
      </c>
      <c r="J6208" s="16" t="n">
        <v>44693</v>
      </c>
      <c r="K6208">
        <f>+OPERAC[[#This Row],[cantidad]]</f>
        <v/>
      </c>
      <c r="L6208">
        <f>+OPERAC[[#This Row],[cantidad venta]]*74.848</f>
        <v/>
      </c>
    </row>
    <row r="6209">
      <c r="A6209" t="n">
        <v>26137</v>
      </c>
      <c r="B6209" s="16" t="n">
        <v>44712</v>
      </c>
      <c r="C6209" t="inlineStr">
        <is>
          <t>CPR</t>
        </is>
      </c>
      <c r="D6209" t="n">
        <v>32</v>
      </c>
      <c r="E6209">
        <f>IF(D3255&gt;0,VLOOKUP(OPERAC[[#This Row],[COD CART]],[1]!MatrizCortoLargoCyl[#All],3,0),"")</f>
        <v/>
      </c>
      <c r="F6209" t="inlineStr">
        <is>
          <t>COTY/CYL/7,00/17-06-22</t>
        </is>
      </c>
      <c r="G6209" t="n">
        <v>100</v>
      </c>
      <c r="H6209" t="n">
        <v>-677.42</v>
      </c>
      <c r="I6209">
        <f>-H3255/G3255</f>
        <v/>
      </c>
    </row>
    <row r="6210">
      <c r="A6210" t="n">
        <v>26137</v>
      </c>
      <c r="B6210" s="16" t="n">
        <v>44712</v>
      </c>
      <c r="C6210" t="inlineStr">
        <is>
          <t>CPR</t>
        </is>
      </c>
      <c r="D6210" t="n">
        <v>32</v>
      </c>
      <c r="E6210">
        <f>IF(D4776&gt;0,VLOOKUP(OPERAC[[#This Row],[COD CART]],[1]!MatrizCortoLargoCyl[#All],3,0),"")</f>
        <v/>
      </c>
      <c r="F6210" t="inlineStr">
        <is>
          <t>CRESY/CYL/7,50/17-06-22</t>
        </is>
      </c>
      <c r="G6210" t="n">
        <v>200</v>
      </c>
      <c r="H6210" t="n">
        <v>-1386.15</v>
      </c>
      <c r="I6210">
        <f>-H4776/G4776</f>
        <v/>
      </c>
    </row>
    <row r="6211">
      <c r="A6211" t="n">
        <v>26137</v>
      </c>
      <c r="B6211" s="16" t="n">
        <v>44714</v>
      </c>
      <c r="C6211" t="inlineStr">
        <is>
          <t>VTA</t>
        </is>
      </c>
      <c r="D6211" t="n">
        <v>39</v>
      </c>
      <c r="E6211">
        <f>IF(D723&gt;0,VLOOKUP(OPERAC[[#This Row],[COD CART]],[1]!MatrizCortoLargoCyl[#All],3,0),"")</f>
        <v/>
      </c>
      <c r="F6211" t="inlineStr">
        <is>
          <t>TSLA/C/850,00/03-06-22</t>
        </is>
      </c>
      <c r="G6211" t="n">
        <v>-300</v>
      </c>
      <c r="H6211" t="n">
        <v>395.6085</v>
      </c>
      <c r="I6211">
        <f>-H723/G723</f>
        <v/>
      </c>
      <c r="J6211" s="16" t="n">
        <v>44715</v>
      </c>
      <c r="K6211">
        <f>+OPERAC[[#This Row],[cantidad]]</f>
        <v/>
      </c>
      <c r="L6211" t="n">
        <v>0</v>
      </c>
    </row>
    <row r="6212">
      <c r="A6212" t="n">
        <v>26137</v>
      </c>
      <c r="B6212" s="16" t="n">
        <v>44714</v>
      </c>
      <c r="C6212" t="inlineStr">
        <is>
          <t>VTA</t>
        </is>
      </c>
      <c r="D6212" t="n">
        <v>39</v>
      </c>
      <c r="E6212">
        <f>IF(D998&gt;0,VLOOKUP(OPERAC[[#This Row],[COD CART]],[1]!MatrizCortoLargoCyl[#All],3,0),"")</f>
        <v/>
      </c>
      <c r="F6212" t="inlineStr">
        <is>
          <t>TSLA/C/870,00/03-06-22</t>
        </is>
      </c>
      <c r="G6212" t="n">
        <v>-300</v>
      </c>
      <c r="H6212" t="n">
        <v>68.41</v>
      </c>
      <c r="I6212">
        <f>-H998/G998</f>
        <v/>
      </c>
      <c r="J6212" s="16" t="n">
        <v>44715</v>
      </c>
      <c r="K6212">
        <f>+OPERAC[[#This Row],[cantidad]]</f>
        <v/>
      </c>
      <c r="L6212" t="n">
        <v>0</v>
      </c>
    </row>
    <row r="6213">
      <c r="A6213" t="n">
        <v>26137</v>
      </c>
      <c r="B6213" s="16" t="n">
        <v>44714</v>
      </c>
      <c r="C6213" t="inlineStr">
        <is>
          <t>VTA</t>
        </is>
      </c>
      <c r="D6213" t="n">
        <v>39</v>
      </c>
      <c r="E6213">
        <f>IF(D1020&gt;0,VLOOKUP(OPERAC[[#This Row],[COD CART]],[1]!MatrizCortoLargoCyl[#All],3,0),"")</f>
        <v/>
      </c>
      <c r="F6213" t="inlineStr">
        <is>
          <t>TSLA/V/660,00/03-06-22</t>
        </is>
      </c>
      <c r="G6213" t="n">
        <v>-300</v>
      </c>
      <c r="H6213" t="n">
        <v>57.11</v>
      </c>
      <c r="I6213">
        <f>-H1020/G1020</f>
        <v/>
      </c>
      <c r="J6213" s="16" t="n">
        <v>44715</v>
      </c>
      <c r="K6213">
        <f>+OPERAC[[#This Row],[cantidad]]</f>
        <v/>
      </c>
      <c r="L6213" t="n">
        <v>-28.137</v>
      </c>
    </row>
    <row r="6214">
      <c r="A6214" t="n">
        <v>26138</v>
      </c>
      <c r="B6214" s="16" t="n">
        <v>44340</v>
      </c>
      <c r="C6214" t="inlineStr">
        <is>
          <t>VTA</t>
        </is>
      </c>
      <c r="D6214" t="n">
        <v>39</v>
      </c>
      <c r="E6214">
        <f>IF(D775&gt;0,VLOOKUP(OPERAC[[#This Row],[COD CART]],[1]!MatrizCortoLargoCyl[#All],3,0),"")</f>
        <v/>
      </c>
      <c r="F6214" t="inlineStr">
        <is>
          <t>SOLO/V/3,50/21-01-22</t>
        </is>
      </c>
      <c r="G6214" t="n">
        <v>-300</v>
      </c>
      <c r="H6214" t="n">
        <v>311.2565</v>
      </c>
      <c r="I6214">
        <f>-H775/G775</f>
        <v/>
      </c>
      <c r="J6214" s="16" t="n">
        <v>44579</v>
      </c>
      <c r="K6214">
        <f>+OPERAC[[#This Row],[cantidad]]</f>
        <v/>
      </c>
      <c r="L6214">
        <f>-OPERAC[[#This Row],[importe]]</f>
        <v/>
      </c>
    </row>
    <row r="6215">
      <c r="A6215" t="n">
        <v>26138</v>
      </c>
      <c r="B6215" s="16" t="n">
        <v>44341</v>
      </c>
      <c r="C6215" t="inlineStr">
        <is>
          <t>VTA</t>
        </is>
      </c>
      <c r="D6215" t="n">
        <v>39</v>
      </c>
      <c r="E6215">
        <f>IF(D1216&gt;0,VLOOKUP(OPERAC[[#This Row],[COD CART]],[1]!MatrizCortoLargoCyl[#All],3,0),"")</f>
        <v/>
      </c>
      <c r="F6215" t="inlineStr">
        <is>
          <t>ACB/V/5,00/20-01-23</t>
        </is>
      </c>
      <c r="G6215" t="n">
        <v>-5</v>
      </c>
      <c r="H6215" t="n">
        <v>7.5</v>
      </c>
      <c r="I6215">
        <f>-H1216/G1216</f>
        <v/>
      </c>
    </row>
    <row r="6216">
      <c r="A6216" t="n">
        <v>26138</v>
      </c>
      <c r="B6216" s="16" t="n">
        <v>44356</v>
      </c>
      <c r="C6216" t="inlineStr">
        <is>
          <t>VTA</t>
        </is>
      </c>
      <c r="D6216" t="n">
        <v>32</v>
      </c>
      <c r="E6216">
        <f>IF(D5462&gt;0,VLOOKUP(OPERAC[[#This Row],[COD CART]],[1]!MatrizCortoLargoCyl[#All],3,0),"")</f>
        <v/>
      </c>
      <c r="F6216" t="inlineStr">
        <is>
          <t>SSYS/CYL/25,00/18-02-22</t>
        </is>
      </c>
      <c r="G6216" t="n">
        <v>100</v>
      </c>
      <c r="H6216">
        <f>-2062.357-20.43+98.93+69.15</f>
        <v/>
      </c>
      <c r="I6216">
        <f>-H5462/G5462</f>
        <v/>
      </c>
      <c r="J6216" s="16" t="n">
        <v>44607</v>
      </c>
      <c r="K6216" t="n">
        <v>100</v>
      </c>
      <c r="L6216" t="n">
        <v>2464.43</v>
      </c>
    </row>
    <row r="6217">
      <c r="A6217" t="n">
        <v>26138</v>
      </c>
      <c r="B6217" s="16" t="n">
        <v>44432</v>
      </c>
      <c r="C6217" t="inlineStr">
        <is>
          <t>VTA</t>
        </is>
      </c>
      <c r="D6217" t="n">
        <v>39</v>
      </c>
      <c r="E6217">
        <f>IF(D1106&gt;0,VLOOKUP(OPERAC[[#This Row],[COD CART]],[1]!MatrizCortoLargoCyl[#All],3,0),"")</f>
        <v/>
      </c>
      <c r="F6217" t="inlineStr">
        <is>
          <t>EDU/V/20,00/20-01-23</t>
        </is>
      </c>
      <c r="G6217" t="n">
        <v>-30</v>
      </c>
      <c r="H6217" t="n">
        <v>24.19</v>
      </c>
      <c r="I6217">
        <f>-H1106/G1106</f>
        <v/>
      </c>
    </row>
    <row r="6218">
      <c r="A6218" t="n">
        <v>26138</v>
      </c>
      <c r="B6218" s="16" t="n">
        <v>44441</v>
      </c>
      <c r="C6218" t="inlineStr">
        <is>
          <t>VTA</t>
        </is>
      </c>
      <c r="D6218" t="n">
        <v>39</v>
      </c>
      <c r="E6218">
        <f>IF(D1225&gt;0,VLOOKUP(OPERAC[[#This Row],[COD CART]],[1]!MatrizCortoLargoCyl[#All],3,0),"")</f>
        <v/>
      </c>
      <c r="F6218" t="inlineStr">
        <is>
          <t>EDIT/V/35,00/20-01-23</t>
        </is>
      </c>
      <c r="G6218" t="n">
        <v>-1</v>
      </c>
      <c r="H6218" t="n">
        <v>6</v>
      </c>
      <c r="I6218">
        <f>-H1225/G1225</f>
        <v/>
      </c>
    </row>
    <row r="6219">
      <c r="A6219" t="n">
        <v>26138</v>
      </c>
      <c r="B6219" s="16" t="n">
        <v>44441</v>
      </c>
      <c r="C6219" t="inlineStr">
        <is>
          <t>VTA</t>
        </is>
      </c>
      <c r="D6219" t="n">
        <v>39</v>
      </c>
      <c r="E6219">
        <f>IF(D1227&gt;0,VLOOKUP(OPERAC[[#This Row],[COD CART]],[1]!MatrizCortoLargoCyl[#All],3,0),"")</f>
        <v/>
      </c>
      <c r="F6219" t="inlineStr">
        <is>
          <t>DDD/V/15,00/20-01-23</t>
        </is>
      </c>
      <c r="G6219" t="n">
        <v>-3</v>
      </c>
      <c r="H6219" t="n">
        <v>5.31</v>
      </c>
      <c r="I6219">
        <f>-H1227/G1227</f>
        <v/>
      </c>
    </row>
    <row r="6220">
      <c r="A6220" t="n">
        <v>26138</v>
      </c>
      <c r="B6220" s="16" t="n">
        <v>44474</v>
      </c>
      <c r="C6220" t="inlineStr">
        <is>
          <t>VTA</t>
        </is>
      </c>
      <c r="D6220" t="n">
        <v>39</v>
      </c>
      <c r="E6220">
        <f>IF(D948&gt;0,VLOOKUP(OPERAC[[#This Row],[COD CART]],[1]!MatrizCortoLargoCyl[#All],3,0),"")</f>
        <v/>
      </c>
      <c r="F6220" t="inlineStr">
        <is>
          <t>NKE/V/115,00/21-01-22</t>
        </is>
      </c>
      <c r="G6220" t="n">
        <v>-100</v>
      </c>
      <c r="H6220" t="n">
        <v>94.95699999999999</v>
      </c>
      <c r="I6220">
        <f>-H948/G948</f>
        <v/>
      </c>
      <c r="J6220" s="16" t="n">
        <v>44582</v>
      </c>
      <c r="K6220">
        <f>+OPERAC[[#This Row],[cantidad]]</f>
        <v/>
      </c>
      <c r="L6220" t="n">
        <v>0</v>
      </c>
    </row>
    <row r="6221">
      <c r="A6221" t="n">
        <v>26138</v>
      </c>
      <c r="B6221" s="16" t="n">
        <v>44489</v>
      </c>
      <c r="C6221" t="inlineStr">
        <is>
          <t>CPR</t>
        </is>
      </c>
      <c r="D6221" t="n">
        <v>43</v>
      </c>
      <c r="E6221">
        <f>IF(D4098&gt;0,VLOOKUP(OPERAC[[#This Row],[COD CART]],[1]!MatrizCortoLargoCyl[#All],3,0),"")</f>
        <v/>
      </c>
      <c r="F6221" t="inlineStr">
        <is>
          <t>SESN/CYL-PUT/1,00/19-01-24</t>
        </is>
      </c>
      <c r="G6221" t="n">
        <v>5000</v>
      </c>
      <c r="H6221">
        <f>-0.1885*OPERAC[[#This Row],[cantidad]]</f>
        <v/>
      </c>
      <c r="I6221">
        <f>-H4098/G4098</f>
        <v/>
      </c>
    </row>
    <row r="6222">
      <c r="A6222" t="n">
        <v>26138</v>
      </c>
      <c r="B6222" s="16" t="n">
        <v>44511</v>
      </c>
      <c r="C6222" t="inlineStr">
        <is>
          <t>VTA</t>
        </is>
      </c>
      <c r="D6222" t="n">
        <v>31</v>
      </c>
      <c r="E6222">
        <f>IF(D2914&gt;0,VLOOKUP(OPERAC[[#This Row],[COD CART]],[1]!MatrizCortoLargoCyl[#All],3,0),"")</f>
        <v/>
      </c>
      <c r="F6222" t="inlineStr">
        <is>
          <t>IPIX</t>
        </is>
      </c>
      <c r="G6222" t="n">
        <v>5000</v>
      </c>
      <c r="H6222" t="n">
        <v>-549.95</v>
      </c>
      <c r="I6222">
        <f>-H2914/G2914</f>
        <v/>
      </c>
    </row>
    <row r="6223">
      <c r="A6223" t="n">
        <v>26138</v>
      </c>
      <c r="B6223" s="16" t="n">
        <v>44531</v>
      </c>
      <c r="C6223" t="inlineStr">
        <is>
          <t>VTA</t>
        </is>
      </c>
      <c r="D6223" t="n">
        <v>39</v>
      </c>
      <c r="E6223">
        <f>IF(D320&gt;0,VLOOKUP(OPERAC[[#This Row],[COD CART]],[1]!MatrizCortoLargoCyl[#All],3,0),"")</f>
        <v/>
      </c>
      <c r="F6223" t="inlineStr">
        <is>
          <t>SOLO/V/3,00/17-06-22</t>
        </is>
      </c>
      <c r="G6223" t="n">
        <v>-1500</v>
      </c>
      <c r="H6223" t="n">
        <v>1409.85</v>
      </c>
      <c r="I6223">
        <f>-H320/G320</f>
        <v/>
      </c>
      <c r="J6223" s="16" t="n">
        <v>44617</v>
      </c>
      <c r="K6223" t="n">
        <v>-1500</v>
      </c>
      <c r="L6223" t="n">
        <v>-1865.76</v>
      </c>
    </row>
    <row r="6224">
      <c r="A6224" t="n">
        <v>26138</v>
      </c>
      <c r="B6224" s="16" t="n">
        <v>44536</v>
      </c>
      <c r="C6224" t="inlineStr">
        <is>
          <t>CPR</t>
        </is>
      </c>
      <c r="D6224" t="n">
        <v>43</v>
      </c>
      <c r="E6224">
        <f>IF(D4281&gt;0,VLOOKUP(OPERAC[[#This Row],[COD CART]],[1]!MatrizCortoLargoCyl[#All],3,0),"")</f>
        <v/>
      </c>
      <c r="F6224" t="inlineStr">
        <is>
          <t>XSPA/CYL-PUT/1,50/20-01-23</t>
        </is>
      </c>
      <c r="G6224" t="n">
        <v>2300</v>
      </c>
      <c r="H6224">
        <f>-0.4462*OPERAC[[#This Row],[cantidad]]</f>
        <v/>
      </c>
      <c r="I6224">
        <f>-H4281/G4281</f>
        <v/>
      </c>
    </row>
    <row r="6225">
      <c r="A6225" t="n">
        <v>26138</v>
      </c>
      <c r="B6225" s="16" t="n">
        <v>44536</v>
      </c>
      <c r="C6225" t="inlineStr">
        <is>
          <t>VTA</t>
        </is>
      </c>
      <c r="D6225" t="n">
        <v>43</v>
      </c>
      <c r="E6225">
        <f>IF(D2860&gt;0,VLOOKUP(OPERAC[[#This Row],[COD CART]],[1]!MatrizCortoLargoCyl[#All],3,0),"")</f>
        <v/>
      </c>
      <c r="F6225" t="inlineStr">
        <is>
          <t>HEXO/CYL-PUT/1,00/20-01-23</t>
        </is>
      </c>
      <c r="G6225" t="n">
        <v>3200</v>
      </c>
      <c r="H6225">
        <f>-0.1671*OPERAC[[#This Row],[cantidad]]</f>
        <v/>
      </c>
      <c r="I6225">
        <f>-H2860/G2860</f>
        <v/>
      </c>
    </row>
    <row r="6226">
      <c r="A6226" t="n">
        <v>26138</v>
      </c>
      <c r="B6226" s="16" t="n">
        <v>44536</v>
      </c>
      <c r="C6226" t="inlineStr">
        <is>
          <t>VTA</t>
        </is>
      </c>
      <c r="D6226" t="n">
        <v>43</v>
      </c>
      <c r="E6226">
        <f>IF(D2918&gt;0,VLOOKUP(OPERAC[[#This Row],[COD CART]],[1]!MatrizCortoLargoCyl[#All],3,0),"")</f>
        <v/>
      </c>
      <c r="F6226" t="inlineStr">
        <is>
          <t>HEXO/CYL-PUT/1,00/20-01-23</t>
        </is>
      </c>
      <c r="G6226" t="n">
        <v>3300</v>
      </c>
      <c r="H6226">
        <f>-0.1671*OPERAC[[#This Row],[cantidad]]</f>
        <v/>
      </c>
      <c r="I6226">
        <f>-H2918/G2918</f>
        <v/>
      </c>
      <c r="J6226" s="16" t="n">
        <v>44615</v>
      </c>
      <c r="K6226" t="n">
        <v>2500</v>
      </c>
      <c r="L6226" t="n">
        <v>819.83</v>
      </c>
    </row>
    <row r="6227">
      <c r="A6227" t="n">
        <v>26138</v>
      </c>
      <c r="B6227" s="16" t="n">
        <v>44536</v>
      </c>
      <c r="C6227" t="inlineStr">
        <is>
          <t>VTA</t>
        </is>
      </c>
      <c r="D6227" t="n">
        <v>43</v>
      </c>
      <c r="E6227">
        <f>IF(D5407&gt;0,VLOOKUP(OPERAC[[#This Row],[COD CART]],[1]!MatrizCortoLargoCyl[#All],3,0),"")</f>
        <v/>
      </c>
      <c r="F6227" t="inlineStr">
        <is>
          <t>NNDM/CYL-PUT/2,50/19-01-24</t>
        </is>
      </c>
      <c r="G6227" t="n">
        <v>1700</v>
      </c>
      <c r="H6227">
        <f>-1.08*OPERAC[[#This Row],[cantidad]]</f>
        <v/>
      </c>
      <c r="I6227">
        <f>-H5407/G5407</f>
        <v/>
      </c>
    </row>
    <row r="6228">
      <c r="A6228" t="n">
        <v>26138</v>
      </c>
      <c r="B6228" s="16" t="n">
        <v>44539</v>
      </c>
      <c r="C6228" t="inlineStr">
        <is>
          <t>CPR</t>
        </is>
      </c>
      <c r="D6228" t="n">
        <v>40</v>
      </c>
      <c r="E6228">
        <f>IF(D6074&gt;0,VLOOKUP(OPERAC[[#This Row],[COD CART]],[1]!MatrizCortoLargoCyl[#All],3,0),"")</f>
        <v/>
      </c>
      <c r="F6228" t="inlineStr">
        <is>
          <t>ROKU</t>
        </is>
      </c>
      <c r="G6228" t="n">
        <v>15</v>
      </c>
      <c r="H6228" t="n">
        <v>-3865.8054</v>
      </c>
      <c r="I6228">
        <f>-H6074/G6074</f>
        <v/>
      </c>
      <c r="J6228" s="16" t="n">
        <v>44606</v>
      </c>
      <c r="K6228">
        <f>+OPERAC[[#This Row],[cantidad]]</f>
        <v/>
      </c>
      <c r="L6228">
        <f>+OPERAC[[#This Row],[cantidad venta]]*160.574</f>
        <v/>
      </c>
    </row>
    <row r="6229">
      <c r="A6229" t="n">
        <v>26138</v>
      </c>
      <c r="B6229" s="16" t="n">
        <v>44547</v>
      </c>
      <c r="C6229" t="inlineStr">
        <is>
          <t>VTA</t>
        </is>
      </c>
      <c r="D6229" t="n">
        <v>32</v>
      </c>
      <c r="E6229">
        <f>IF(D5267&gt;0,VLOOKUP(OPERAC[[#This Row],[COD CART]],[1]!MatrizCortoLargoCyl[#All],3,0),"")</f>
        <v/>
      </c>
      <c r="F6229" t="inlineStr">
        <is>
          <t>ARLO/CYL/9,00/18-02-22</t>
        </is>
      </c>
      <c r="G6229" t="n">
        <v>200</v>
      </c>
      <c r="H6229">
        <f>-1733.48+29.76</f>
        <v/>
      </c>
      <c r="I6229">
        <f>-H5267/G5267</f>
        <v/>
      </c>
      <c r="J6229" s="16" t="n">
        <v>44607</v>
      </c>
      <c r="K6229" t="n">
        <v>200</v>
      </c>
      <c r="L6229" t="n">
        <v>1751.065</v>
      </c>
    </row>
    <row r="6230">
      <c r="A6230" t="n">
        <v>26138</v>
      </c>
      <c r="B6230" s="16" t="n">
        <v>44552</v>
      </c>
      <c r="C6230" t="inlineStr">
        <is>
          <t>VTA</t>
        </is>
      </c>
      <c r="D6230" t="n">
        <v>32</v>
      </c>
      <c r="E6230">
        <f>IF(D2249&gt;0,VLOOKUP(OPERAC[[#This Row],[COD CART]],[1]!MatrizCortoLargoCyl[#All],3,0),"")</f>
        <v/>
      </c>
      <c r="F6230" t="inlineStr">
        <is>
          <t>HMY/CYL/4,00/21-01-22</t>
        </is>
      </c>
      <c r="G6230" t="n">
        <v>100</v>
      </c>
      <c r="H6230">
        <f>-3.8*OPERAC[[#This Row],[cantidad]]</f>
        <v/>
      </c>
      <c r="I6230">
        <f>-H2249/G2249</f>
        <v/>
      </c>
      <c r="J6230" s="16" t="n">
        <v>44580</v>
      </c>
      <c r="K6230" t="n">
        <v>100</v>
      </c>
      <c r="L6230" t="n">
        <v>393.93</v>
      </c>
    </row>
    <row r="6231">
      <c r="A6231" t="n">
        <v>26138</v>
      </c>
      <c r="B6231" s="16" t="n">
        <v>44552</v>
      </c>
      <c r="C6231" t="inlineStr">
        <is>
          <t>VTA</t>
        </is>
      </c>
      <c r="D6231" t="n">
        <v>32</v>
      </c>
      <c r="E6231">
        <f>IF(D5387&gt;0,VLOOKUP(OPERAC[[#This Row],[COD CART]],[1]!MatrizCortoLargoCyl[#All],3,0),"")</f>
        <v/>
      </c>
      <c r="F6231" t="inlineStr">
        <is>
          <t>GOLD/CYL/19,00/21-01-22</t>
        </is>
      </c>
      <c r="G6231" t="n">
        <v>100</v>
      </c>
      <c r="H6231">
        <f>-18.08*OPERAC[[#This Row],[cantidad]]</f>
        <v/>
      </c>
      <c r="I6231">
        <f>-H5387/G5387</f>
        <v/>
      </c>
      <c r="J6231" s="16" t="n">
        <v>44580</v>
      </c>
      <c r="K6231" t="n">
        <v>100</v>
      </c>
      <c r="L6231" t="n">
        <v>1876.846</v>
      </c>
    </row>
    <row r="6232">
      <c r="A6232" t="n">
        <v>26138</v>
      </c>
      <c r="B6232" s="16" t="n">
        <v>44579</v>
      </c>
      <c r="C6232" t="inlineStr">
        <is>
          <t>VTA</t>
        </is>
      </c>
      <c r="D6232" t="n">
        <v>39</v>
      </c>
      <c r="E6232">
        <f>IF(D708&gt;0,VLOOKUP(OPERAC[[#This Row],[COD CART]],[1]!MatrizCortoLargoCyl[#All],3,0),"")</f>
        <v/>
      </c>
      <c r="F6232" t="inlineStr">
        <is>
          <t>SOLO/V/3,50/25-02-22</t>
        </is>
      </c>
      <c r="G6232" t="n">
        <v>-300</v>
      </c>
      <c r="H6232" t="n">
        <v>414.55722</v>
      </c>
      <c r="I6232">
        <f>-H708/G708</f>
        <v/>
      </c>
      <c r="J6232" s="16" t="n">
        <v>44608</v>
      </c>
      <c r="K6232">
        <f>+OPERAC[[#This Row],[cantidad]]</f>
        <v/>
      </c>
      <c r="L6232" t="n">
        <v>-418.5119999999999</v>
      </c>
    </row>
    <row r="6233">
      <c r="A6233" t="n">
        <v>26138</v>
      </c>
      <c r="B6233" s="16" t="n">
        <v>44581</v>
      </c>
      <c r="C6233" t="inlineStr">
        <is>
          <t>CPR</t>
        </is>
      </c>
      <c r="D6233" t="n">
        <v>32</v>
      </c>
      <c r="E6233">
        <f>IF(D3596&gt;0,VLOOKUP(OPERAC[[#This Row],[COD CART]],[1]!MatrizCortoLargoCyl[#All],3,0),"")</f>
        <v/>
      </c>
      <c r="F6233" t="inlineStr">
        <is>
          <t>HMY/CYL/4,00/18-02-22</t>
        </is>
      </c>
      <c r="G6233" t="n">
        <v>200</v>
      </c>
      <c r="H6233" t="n">
        <v>-774.9359920000001</v>
      </c>
      <c r="I6233">
        <f>-H3596/G3596</f>
        <v/>
      </c>
      <c r="J6233" s="16" t="n">
        <v>44610</v>
      </c>
      <c r="K6233">
        <f>+OPERAC[[#This Row],[cantidad]]</f>
        <v/>
      </c>
      <c r="L6233">
        <f>+OPERAC[[#This Row],[cantidad venta]]*3.8323</f>
        <v/>
      </c>
    </row>
    <row r="6234">
      <c r="A6234" t="n">
        <v>26138</v>
      </c>
      <c r="B6234" s="16" t="n">
        <v>44582</v>
      </c>
      <c r="C6234" t="inlineStr">
        <is>
          <t>VTA</t>
        </is>
      </c>
      <c r="D6234" t="n">
        <v>40</v>
      </c>
      <c r="E6234">
        <f>IF(D5041&gt;0,VLOOKUP(OPERAC[[#This Row],[COD CART]],[1]!MatrizCortoLargoCyl[#All],3,0),"")</f>
        <v/>
      </c>
      <c r="F6234" t="inlineStr">
        <is>
          <t>NFLX</t>
        </is>
      </c>
      <c r="G6234" t="n">
        <v>4</v>
      </c>
      <c r="H6234" t="n">
        <v>-1562.5484</v>
      </c>
      <c r="I6234">
        <f>-H5041/G5041</f>
        <v/>
      </c>
      <c r="J6234" s="16" t="n">
        <v>44593</v>
      </c>
      <c r="K6234">
        <f>+OPERAC[[#This Row],[cantidad]]</f>
        <v/>
      </c>
      <c r="L6234">
        <f>+OPERAC[[#This Row],[cantidad venta]]*448.602</f>
        <v/>
      </c>
    </row>
    <row r="6235">
      <c r="A6235" t="n">
        <v>26138</v>
      </c>
      <c r="B6235" s="16" t="n">
        <v>44586</v>
      </c>
      <c r="C6235" t="inlineStr">
        <is>
          <t>VTA</t>
        </is>
      </c>
      <c r="D6235" t="n">
        <v>43</v>
      </c>
      <c r="E6235">
        <f>IF(D5538&gt;0,VLOOKUP(OPERAC[[#This Row],[COD CART]],[1]!MatrizCortoLargoCyl[#All],3,0),"")</f>
        <v/>
      </c>
      <c r="F6235" t="inlineStr">
        <is>
          <t>GMBL/CYL-PUT/2,50/20-01-23</t>
        </is>
      </c>
      <c r="G6235" t="n">
        <v>2000</v>
      </c>
      <c r="H6235" t="n">
        <v>-2032.0823</v>
      </c>
      <c r="I6235">
        <f>-H5538/G5538</f>
        <v/>
      </c>
    </row>
    <row r="6236">
      <c r="A6236" t="n">
        <v>26138</v>
      </c>
      <c r="B6236" s="16" t="n">
        <v>44608</v>
      </c>
      <c r="C6236" t="inlineStr">
        <is>
          <t>CPR</t>
        </is>
      </c>
      <c r="D6236" t="n">
        <v>40</v>
      </c>
      <c r="E6236">
        <f>IF(D4704&gt;0,VLOOKUP(OPERAC[[#This Row],[COD CART]],[1]!MatrizCortoLargoCyl[#All],3,0),"")</f>
        <v/>
      </c>
      <c r="F6236" t="inlineStr">
        <is>
          <t>NVDA</t>
        </is>
      </c>
      <c r="G6236" t="n">
        <v>5</v>
      </c>
      <c r="H6236" t="n">
        <v>-1317.57</v>
      </c>
      <c r="I6236">
        <f>-H4704/G4704</f>
        <v/>
      </c>
      <c r="J6236" s="16" t="n">
        <v>44616</v>
      </c>
      <c r="K6236">
        <f>+OPERAC[[#This Row],[cantidad]]</f>
        <v/>
      </c>
      <c r="L6236">
        <f>+OPERAC[[#This Row],[cantidad venta]]*224.117</f>
        <v/>
      </c>
    </row>
    <row r="6237">
      <c r="A6237" t="n">
        <v>26138</v>
      </c>
      <c r="B6237" s="16" t="n">
        <v>44608</v>
      </c>
      <c r="C6237" t="inlineStr">
        <is>
          <t>CPR</t>
        </is>
      </c>
      <c r="D6237" t="n">
        <v>32</v>
      </c>
      <c r="E6237">
        <f>IF(D4860&gt;0,VLOOKUP(OPERAC[[#This Row],[COD CART]],[1]!MatrizCortoLargoCyl[#All],3,0),"")</f>
        <v/>
      </c>
      <c r="F6237" t="inlineStr">
        <is>
          <t>SPWR/CYL/15,00/18-03-22</t>
        </is>
      </c>
      <c r="G6237" t="n">
        <v>100</v>
      </c>
      <c r="H6237" t="n">
        <v>-1441.812</v>
      </c>
      <c r="I6237">
        <f>-H4860/G4860</f>
        <v/>
      </c>
      <c r="J6237" s="16" t="n">
        <v>44617</v>
      </c>
      <c r="K6237" t="n">
        <v>100</v>
      </c>
      <c r="L6237" t="n">
        <v>1428.97</v>
      </c>
    </row>
    <row r="6238">
      <c r="A6238" t="n">
        <v>26138</v>
      </c>
      <c r="B6238" s="16" t="n">
        <v>44608</v>
      </c>
      <c r="C6238" t="inlineStr">
        <is>
          <t>CPR</t>
        </is>
      </c>
      <c r="D6238" t="n">
        <v>32</v>
      </c>
      <c r="E6238">
        <f>IF(D5981&gt;0,VLOOKUP(OPERAC[[#This Row],[COD CART]],[1]!MatrizCortoLargoCyl[#All],3,0),"")</f>
        <v/>
      </c>
      <c r="F6238" t="inlineStr">
        <is>
          <t>DDD/CYL/17,00/01-04-22</t>
        </is>
      </c>
      <c r="G6238" t="n">
        <v>200</v>
      </c>
      <c r="H6238">
        <f>-3258.8378+19.7+16.45</f>
        <v/>
      </c>
      <c r="I6238">
        <f>-H5981/G5981</f>
        <v/>
      </c>
      <c r="J6238" s="16" t="n">
        <v>44617</v>
      </c>
      <c r="K6238">
        <f>100+100</f>
        <v/>
      </c>
      <c r="L6238">
        <f>1530.88+1661.98</f>
        <v/>
      </c>
    </row>
    <row r="6239">
      <c r="A6239" t="n">
        <v>26138</v>
      </c>
      <c r="B6239" s="16" t="n">
        <v>44608</v>
      </c>
      <c r="C6239" t="inlineStr">
        <is>
          <t>VTA</t>
        </is>
      </c>
      <c r="D6239" t="n">
        <v>39</v>
      </c>
      <c r="E6239">
        <f>IF(D800&gt;0,VLOOKUP(OPERAC[[#This Row],[COD CART]],[1]!MatrizCortoLargoCyl[#All],3,0),"")</f>
        <v/>
      </c>
      <c r="F6239" t="inlineStr">
        <is>
          <t>SOLO/V/3,00/18-03-22</t>
        </is>
      </c>
      <c r="G6239" t="n">
        <v>-300</v>
      </c>
      <c r="H6239" t="n">
        <v>256.512</v>
      </c>
      <c r="I6239">
        <f>-H800/G800</f>
        <v/>
      </c>
      <c r="J6239" s="16" t="n">
        <v>44616</v>
      </c>
      <c r="K6239" t="n">
        <v>-300</v>
      </c>
      <c r="L6239" t="n">
        <v>-348.96</v>
      </c>
    </row>
    <row r="6240">
      <c r="A6240" t="n">
        <v>26138</v>
      </c>
      <c r="B6240" s="16" t="n">
        <v>44616</v>
      </c>
      <c r="C6240" t="inlineStr">
        <is>
          <t>CPR</t>
        </is>
      </c>
      <c r="D6240" t="n">
        <v>32</v>
      </c>
      <c r="E6240">
        <f>IF(D5960&gt;0,VLOOKUP(OPERAC[[#This Row],[COD CART]],[1]!MatrizCortoLargoCyl[#All],3,0),"")</f>
        <v/>
      </c>
      <c r="F6240" t="inlineStr">
        <is>
          <t>PLTR/CYL/12,00/14-04-22</t>
        </is>
      </c>
      <c r="G6240" t="n">
        <v>300</v>
      </c>
      <c r="H6240" t="n">
        <v>-3158.1795</v>
      </c>
      <c r="I6240">
        <f>-H5960/G5960</f>
        <v/>
      </c>
      <c r="J6240" s="16" t="n">
        <v>44643</v>
      </c>
      <c r="K6240" t="n">
        <v>300</v>
      </c>
      <c r="L6240" t="n">
        <v>3440.17</v>
      </c>
    </row>
    <row r="6241">
      <c r="A6241" t="n">
        <v>26138</v>
      </c>
      <c r="B6241" s="16" t="n">
        <v>44628</v>
      </c>
      <c r="C6241" t="inlineStr">
        <is>
          <t>VTA</t>
        </is>
      </c>
      <c r="D6241" t="n">
        <v>40</v>
      </c>
      <c r="E6241">
        <f>IF(D2397&gt;0,VLOOKUP(OPERAC[[#This Row],[COD CART]],[1]!MatrizCortoLargoCyl[#All],3,0),"")</f>
        <v/>
      </c>
      <c r="F6241" t="inlineStr">
        <is>
          <t>CVV</t>
        </is>
      </c>
      <c r="G6241" t="n">
        <v>100</v>
      </c>
      <c r="H6241" t="n">
        <v>-422.4488</v>
      </c>
      <c r="I6241">
        <f>-H2397/G2397</f>
        <v/>
      </c>
      <c r="J6241" s="16" t="n">
        <v>44649</v>
      </c>
      <c r="K6241">
        <f>+OPERAC[[#This Row],[cantidad]]</f>
        <v/>
      </c>
      <c r="L6241">
        <f>+OPERAC[[#This Row],[cantidad venta]]*4.459</f>
        <v/>
      </c>
    </row>
    <row r="6242">
      <c r="A6242" t="n">
        <v>26138</v>
      </c>
      <c r="B6242" s="16" t="n">
        <v>44643</v>
      </c>
      <c r="C6242" t="inlineStr">
        <is>
          <t>CPR</t>
        </is>
      </c>
      <c r="D6242" t="n">
        <v>42</v>
      </c>
      <c r="E6242">
        <f>IF(D3627&gt;0,VLOOKUP(OPERAC[[#This Row],[COD CART]],[1]!MatrizCortoLargoCyl[#All],3,0),"")</f>
        <v/>
      </c>
      <c r="F6242" t="inlineStr">
        <is>
          <t>SMH</t>
        </is>
      </c>
      <c r="G6242" t="n">
        <v>3</v>
      </c>
      <c r="H6242" t="n">
        <v>-801.4886939999999</v>
      </c>
      <c r="I6242">
        <f>-H3627/G3627</f>
        <v/>
      </c>
      <c r="J6242" s="16" t="n">
        <v>44663</v>
      </c>
      <c r="K6242">
        <f>+OPERAC[[#This Row],[cantidad]]</f>
        <v/>
      </c>
      <c r="L6242">
        <f>+OPERAC[[#This Row],[cantidad venta]]*238.066</f>
        <v/>
      </c>
    </row>
    <row r="6243">
      <c r="A6243" t="n">
        <v>26138</v>
      </c>
      <c r="B6243" s="16" t="n">
        <v>44643</v>
      </c>
      <c r="C6243" t="inlineStr">
        <is>
          <t>CPR</t>
        </is>
      </c>
      <c r="D6243" t="n">
        <v>42</v>
      </c>
      <c r="E6243">
        <f>IF(D3708&gt;0,VLOOKUP(OPERAC[[#This Row],[COD CART]],[1]!MatrizCortoLargoCyl[#All],3,0),"")</f>
        <v/>
      </c>
      <c r="F6243" t="inlineStr">
        <is>
          <t>DIS</t>
        </is>
      </c>
      <c r="G6243" t="n">
        <v>6</v>
      </c>
      <c r="H6243" t="n">
        <v>-838.2129</v>
      </c>
      <c r="I6243">
        <f>-H3708/G3708</f>
        <v/>
      </c>
      <c r="J6243" s="16" t="n">
        <v>44671</v>
      </c>
      <c r="K6243">
        <f>+OPERAC[[#This Row],[cantidad]]</f>
        <v/>
      </c>
      <c r="L6243">
        <f>+OPERAC[[#This Row],[cantidad venta]]*123.621</f>
        <v/>
      </c>
    </row>
    <row r="6244">
      <c r="A6244" t="n">
        <v>26138</v>
      </c>
      <c r="B6244" s="16" t="n">
        <v>44643</v>
      </c>
      <c r="C6244" t="inlineStr">
        <is>
          <t>CPR</t>
        </is>
      </c>
      <c r="D6244" t="n">
        <v>42</v>
      </c>
      <c r="E6244">
        <f>IF(D4373&gt;0,VLOOKUP(OPERAC[[#This Row],[COD CART]],[1]!MatrizCortoLargoCyl[#All],3,0),"")</f>
        <v/>
      </c>
      <c r="F6244" t="inlineStr">
        <is>
          <t>FB</t>
        </is>
      </c>
      <c r="G6244" t="n">
        <v>5</v>
      </c>
      <c r="H6244" t="n">
        <v>-1080.6163</v>
      </c>
      <c r="I6244">
        <f>-H4373/G4373</f>
        <v/>
      </c>
      <c r="J6244" s="16" t="n">
        <v>44671</v>
      </c>
      <c r="K6244">
        <f>+OPERAC[[#This Row],[cantidad]]</f>
        <v/>
      </c>
      <c r="L6244">
        <f>+OPERAC[[#This Row],[cantidad venta]]*213.173</f>
        <v/>
      </c>
    </row>
    <row r="6245">
      <c r="A6245" t="n">
        <v>26138</v>
      </c>
      <c r="B6245" s="16" t="n">
        <v>44643</v>
      </c>
      <c r="C6245" t="inlineStr">
        <is>
          <t>VTA</t>
        </is>
      </c>
      <c r="D6245" t="n">
        <v>42</v>
      </c>
      <c r="E6245">
        <f>IF(D3767&gt;0,VLOOKUP(OPERAC[[#This Row],[COD CART]],[1]!MatrizCortoLargoCyl[#All],3,0),"")</f>
        <v/>
      </c>
      <c r="F6245" t="inlineStr">
        <is>
          <t>JPM</t>
        </is>
      </c>
      <c r="G6245" t="n">
        <v>6</v>
      </c>
      <c r="H6245" t="n">
        <v>-847.4798400000001</v>
      </c>
      <c r="I6245">
        <f>-H3767/G3767</f>
        <v/>
      </c>
      <c r="J6245" s="16" t="n">
        <v>44664</v>
      </c>
      <c r="K6245">
        <f>+OPERAC[[#This Row],[cantidad]]</f>
        <v/>
      </c>
      <c r="L6245">
        <f>+OPERAC[[#This Row],[cantidad venta]]*125.943</f>
        <v/>
      </c>
    </row>
    <row r="6246">
      <c r="A6246" t="n">
        <v>26138</v>
      </c>
      <c r="B6246" s="16" t="n">
        <v>44649</v>
      </c>
      <c r="C6246" t="inlineStr">
        <is>
          <t>CPR</t>
        </is>
      </c>
      <c r="D6246" t="n">
        <v>32</v>
      </c>
      <c r="E6246">
        <f>IF(D4848&gt;0,VLOOKUP(OPERAC[[#This Row],[COD CART]],[1]!MatrizCortoLargoCyl[#All],3,0),"")</f>
        <v/>
      </c>
      <c r="F6246" t="inlineStr">
        <is>
          <t>DDD</t>
        </is>
      </c>
      <c r="G6246" t="n">
        <v>100</v>
      </c>
      <c r="H6246" t="n">
        <v>-1439.859</v>
      </c>
      <c r="I6246">
        <f>-H4848/G4848</f>
        <v/>
      </c>
      <c r="J6246" s="16" t="n">
        <v>44722</v>
      </c>
      <c r="K6246" t="n">
        <v>100</v>
      </c>
      <c r="L6246" t="n">
        <v>992.987</v>
      </c>
    </row>
    <row r="6247">
      <c r="A6247" t="n">
        <v>26138</v>
      </c>
      <c r="B6247" s="16" t="n">
        <v>44649</v>
      </c>
      <c r="C6247" t="inlineStr">
        <is>
          <t>VTA</t>
        </is>
      </c>
      <c r="D6247" t="n">
        <v>42</v>
      </c>
      <c r="E6247">
        <f>IF(D2485&gt;0,VLOOKUP(OPERAC[[#This Row],[COD CART]],[1]!MatrizCortoLargoCyl[#All],3,0),"")</f>
        <v/>
      </c>
      <c r="F6247" t="inlineStr">
        <is>
          <t>CRESY</t>
        </is>
      </c>
      <c r="G6247" t="n">
        <v>55</v>
      </c>
      <c r="H6247" t="n">
        <v>-445.07012</v>
      </c>
      <c r="I6247">
        <f>-H2485/G2485</f>
        <v/>
      </c>
      <c r="J6247" s="16" t="n">
        <v>44657</v>
      </c>
      <c r="K6247">
        <f>+OPERAC[[#This Row],[cantidad]]</f>
        <v/>
      </c>
      <c r="L6247">
        <f>+OPERAC[[#This Row],[cantidad venta]]*7.664</f>
        <v/>
      </c>
    </row>
    <row r="6248">
      <c r="A6248" t="n">
        <v>26138</v>
      </c>
      <c r="B6248" s="16" t="n">
        <v>44662</v>
      </c>
      <c r="C6248" t="inlineStr">
        <is>
          <t>CPR</t>
        </is>
      </c>
      <c r="D6248" t="n">
        <v>42</v>
      </c>
      <c r="E6248">
        <f>IF(D4793&gt;0,VLOOKUP(OPERAC[[#This Row],[COD CART]],[1]!MatrizCortoLargoCyl[#All],3,0),"")</f>
        <v/>
      </c>
      <c r="F6248" t="inlineStr">
        <is>
          <t>HYDR</t>
        </is>
      </c>
      <c r="G6248" t="n">
        <v>75</v>
      </c>
      <c r="H6248" t="n">
        <v>-1392.7758</v>
      </c>
      <c r="I6248">
        <f>-H4793/G4793</f>
        <v/>
      </c>
      <c r="J6248" s="16" t="n">
        <v>44693</v>
      </c>
      <c r="K6248">
        <f>+OPERAC[[#This Row],[cantidad]]</f>
        <v/>
      </c>
      <c r="L6248">
        <f>+OPERAC[[#This Row],[cantidad venta]]*11.986</f>
        <v/>
      </c>
    </row>
    <row r="6249">
      <c r="A6249" t="n">
        <v>26138</v>
      </c>
      <c r="B6249" s="16" t="n">
        <v>44664</v>
      </c>
      <c r="C6249" t="inlineStr">
        <is>
          <t>CPR</t>
        </is>
      </c>
      <c r="D6249" t="n">
        <v>42</v>
      </c>
      <c r="E6249">
        <f>IF(D2697&gt;0,VLOOKUP(OPERAC[[#This Row],[COD CART]],[1]!MatrizCortoLargoCyl[#All],3,0),"")</f>
        <v/>
      </c>
      <c r="F6249" t="inlineStr">
        <is>
          <t>AMD</t>
        </is>
      </c>
      <c r="G6249" t="n">
        <v>5</v>
      </c>
      <c r="H6249" t="n">
        <v>-493.85327265</v>
      </c>
      <c r="I6249">
        <f>-H2697/G2697</f>
        <v/>
      </c>
      <c r="J6249" s="16" t="n">
        <v>44693</v>
      </c>
      <c r="K6249">
        <f>+OPERAC[[#This Row],[cantidad]]</f>
        <v/>
      </c>
      <c r="L6249">
        <f>+OPERAC[[#This Row],[cantidad venta]]*85.26</f>
        <v/>
      </c>
    </row>
    <row r="6250">
      <c r="A6250" t="n">
        <v>26138</v>
      </c>
      <c r="B6250" s="16" t="n">
        <v>44664</v>
      </c>
      <c r="C6250" t="inlineStr">
        <is>
          <t>CPR</t>
        </is>
      </c>
      <c r="D6250" t="n">
        <v>42</v>
      </c>
      <c r="E6250">
        <f>IF(D4589&gt;0,VLOOKUP(OPERAC[[#This Row],[COD CART]],[1]!MatrizCortoLargoCyl[#All],3,0),"")</f>
        <v/>
      </c>
      <c r="F6250" t="inlineStr">
        <is>
          <t>PSQ</t>
        </is>
      </c>
      <c r="G6250" t="n">
        <v>100</v>
      </c>
      <c r="H6250" t="n">
        <v>-1243.2572181</v>
      </c>
      <c r="I6250">
        <f>-H4589/G4589</f>
        <v/>
      </c>
      <c r="J6250" s="16" t="n">
        <v>44680</v>
      </c>
      <c r="K6250">
        <f>+OPERAC[[#This Row],[cantidad]]</f>
        <v/>
      </c>
      <c r="L6250">
        <f>12.848*OPERAC[[#This Row],[cantidad venta]]</f>
        <v/>
      </c>
    </row>
    <row r="6251">
      <c r="A6251" t="n">
        <v>26138</v>
      </c>
      <c r="B6251" s="16" t="n">
        <v>44669</v>
      </c>
      <c r="C6251" t="inlineStr">
        <is>
          <t>VTA</t>
        </is>
      </c>
      <c r="D6251" t="n">
        <v>39</v>
      </c>
      <c r="E6251">
        <f>IF(D525&gt;0,VLOOKUP(OPERAC[[#This Row],[COD CART]],[1]!MatrizCortoLargoCyl[#All],3,0),"")</f>
        <v/>
      </c>
      <c r="F6251" t="inlineStr">
        <is>
          <t>UPST/V/80,00/22-04-22</t>
        </is>
      </c>
      <c r="G6251" t="n">
        <v>-200</v>
      </c>
      <c r="H6251" t="n">
        <v>852.6900000000001</v>
      </c>
      <c r="I6251">
        <f>-H525/G525</f>
        <v/>
      </c>
      <c r="J6251" s="16" t="n">
        <v>44673</v>
      </c>
      <c r="K6251" t="n">
        <v>-200</v>
      </c>
      <c r="L6251" t="n">
        <v>-786.63</v>
      </c>
    </row>
    <row r="6252">
      <c r="A6252" t="n">
        <v>26138</v>
      </c>
      <c r="B6252" s="16" t="n">
        <v>44671</v>
      </c>
      <c r="C6252" t="inlineStr">
        <is>
          <t>CPR</t>
        </is>
      </c>
      <c r="D6252" t="n">
        <v>42</v>
      </c>
      <c r="E6252">
        <f>IF(D3420&gt;0,VLOOKUP(OPERAC[[#This Row],[COD CART]],[1]!MatrizCortoLargoCyl[#All],3,0),"")</f>
        <v/>
      </c>
      <c r="F6252" t="inlineStr">
        <is>
          <t>TLT</t>
        </is>
      </c>
      <c r="G6252" t="n">
        <v>6</v>
      </c>
      <c r="H6252" t="n">
        <v>-735.3780300000001</v>
      </c>
      <c r="I6252">
        <f>-H3420/G3420</f>
        <v/>
      </c>
      <c r="J6252" s="16" t="n">
        <v>44722</v>
      </c>
      <c r="K6252" t="n">
        <v>6</v>
      </c>
      <c r="L6252" t="n">
        <v>674.026</v>
      </c>
    </row>
    <row r="6253">
      <c r="A6253" t="n">
        <v>26138</v>
      </c>
      <c r="B6253" s="16" t="n">
        <v>44671</v>
      </c>
      <c r="C6253" t="inlineStr">
        <is>
          <t>CPR</t>
        </is>
      </c>
      <c r="D6253" t="n">
        <v>42</v>
      </c>
      <c r="E6253">
        <f>IF(D4267&gt;0,VLOOKUP(OPERAC[[#This Row],[COD CART]],[1]!MatrizCortoLargoCyl[#All],3,0),"")</f>
        <v/>
      </c>
      <c r="F6253" t="inlineStr">
        <is>
          <t>NFLX</t>
        </is>
      </c>
      <c r="G6253" t="n">
        <v>4</v>
      </c>
      <c r="H6253" t="n">
        <v>-1018.02024</v>
      </c>
      <c r="I6253">
        <f>-H4267/G4267</f>
        <v/>
      </c>
      <c r="J6253" s="16" t="n">
        <v>44693</v>
      </c>
      <c r="K6253">
        <f>+OPERAC[[#This Row],[cantidad]]</f>
        <v/>
      </c>
      <c r="L6253">
        <f>+OPERAC[[#This Row],[cantidad venta]]*169.089</f>
        <v/>
      </c>
    </row>
    <row r="6254">
      <c r="A6254" t="n">
        <v>26138</v>
      </c>
      <c r="B6254" s="16" t="n">
        <v>44672</v>
      </c>
      <c r="C6254" t="inlineStr">
        <is>
          <t>VTA</t>
        </is>
      </c>
      <c r="D6254" t="n">
        <v>39</v>
      </c>
      <c r="E6254">
        <f>IF(D697&gt;0,VLOOKUP(OPERAC[[#This Row],[COD CART]],[1]!MatrizCortoLargoCyl[#All],3,0),"")</f>
        <v/>
      </c>
      <c r="F6254" t="inlineStr">
        <is>
          <t>UPST/V/75,00/22-04-22</t>
        </is>
      </c>
      <c r="G6254" t="n">
        <v>-200</v>
      </c>
      <c r="H6254" t="n">
        <v>416.43</v>
      </c>
      <c r="I6254">
        <f>-H697/G697</f>
        <v/>
      </c>
      <c r="J6254" s="16" t="n">
        <v>44673</v>
      </c>
      <c r="K6254" t="n">
        <v>-200</v>
      </c>
      <c r="L6254" t="n">
        <v>-423.57</v>
      </c>
    </row>
    <row r="6255">
      <c r="A6255" t="n">
        <v>26138</v>
      </c>
      <c r="B6255" s="16" t="n">
        <v>44673</v>
      </c>
      <c r="C6255" t="inlineStr">
        <is>
          <t>VTA</t>
        </is>
      </c>
      <c r="D6255" t="n">
        <v>39</v>
      </c>
      <c r="E6255">
        <f>IF(D700&gt;0,VLOOKUP(OPERAC[[#This Row],[COD CART]],[1]!MatrizCortoLargoCyl[#All],3,0),"")</f>
        <v/>
      </c>
      <c r="F6255" t="inlineStr">
        <is>
          <t>UPST/V/70,00/29-04-22</t>
        </is>
      </c>
      <c r="G6255" t="n">
        <v>-200</v>
      </c>
      <c r="H6255" t="n">
        <v>416.43</v>
      </c>
      <c r="I6255">
        <f>-H700/G700</f>
        <v/>
      </c>
      <c r="J6255" s="16" t="n">
        <v>44676</v>
      </c>
      <c r="K6255" t="n">
        <v>-200</v>
      </c>
      <c r="L6255" t="n">
        <v>-266.244</v>
      </c>
    </row>
    <row r="6256">
      <c r="A6256" t="n">
        <v>26138</v>
      </c>
      <c r="B6256" s="16" t="n">
        <v>44673</v>
      </c>
      <c r="C6256" t="inlineStr">
        <is>
          <t>VTA</t>
        </is>
      </c>
      <c r="D6256" t="n">
        <v>39</v>
      </c>
      <c r="E6256">
        <f>IF(D722&gt;0,VLOOKUP(OPERAC[[#This Row],[COD CART]],[1]!MatrizCortoLargoCyl[#All],3,0),"")</f>
        <v/>
      </c>
      <c r="F6256" t="inlineStr">
        <is>
          <t>UPST/V/68,00/29-04-22</t>
        </is>
      </c>
      <c r="G6256" t="n">
        <v>-200</v>
      </c>
      <c r="H6256" t="n">
        <v>396.6</v>
      </c>
      <c r="I6256">
        <f>-H722/G722</f>
        <v/>
      </c>
      <c r="J6256" s="16" t="n">
        <v>44679</v>
      </c>
      <c r="K6256">
        <f>+OPERAC[[#This Row],[cantidad]]</f>
        <v/>
      </c>
      <c r="L6256" t="n">
        <v>-100.85</v>
      </c>
    </row>
    <row r="6257">
      <c r="A6257" t="n">
        <v>26138</v>
      </c>
      <c r="B6257" s="16" t="n">
        <v>44676</v>
      </c>
      <c r="C6257" t="inlineStr">
        <is>
          <t>VTA</t>
        </is>
      </c>
      <c r="D6257" t="n">
        <v>39</v>
      </c>
      <c r="E6257">
        <f>IF(D822&gt;0,VLOOKUP(OPERAC[[#This Row],[COD CART]],[1]!MatrizCortoLargoCyl[#All],3,0),"")</f>
        <v/>
      </c>
      <c r="F6257" t="inlineStr">
        <is>
          <t>UPST/V/67,00/06-05-22</t>
        </is>
      </c>
      <c r="G6257" t="n">
        <v>-100</v>
      </c>
      <c r="H6257" t="n">
        <v>223.0875</v>
      </c>
      <c r="I6257">
        <f>-H822/G822</f>
        <v/>
      </c>
      <c r="J6257" s="16" t="n">
        <v>44687</v>
      </c>
      <c r="K6257">
        <f>OPERAC[[#This Row],[cantidad]]</f>
        <v/>
      </c>
      <c r="L6257" t="n">
        <v>0</v>
      </c>
    </row>
    <row r="6258">
      <c r="A6258" t="n">
        <v>26138</v>
      </c>
      <c r="B6258" s="16" t="n">
        <v>44680</v>
      </c>
      <c r="C6258" t="inlineStr">
        <is>
          <t>CPR</t>
        </is>
      </c>
      <c r="D6258" t="n">
        <v>42</v>
      </c>
      <c r="E6258">
        <f>IF(D4750&gt;0,VLOOKUP(OPERAC[[#This Row],[COD CART]],[1]!MatrizCortoLargoCyl[#All],3,0),"")</f>
        <v/>
      </c>
      <c r="F6258" t="inlineStr">
        <is>
          <t>XLP</t>
        </is>
      </c>
      <c r="G6258" t="n">
        <v>17</v>
      </c>
      <c r="H6258" t="n">
        <v>-1350.3865425</v>
      </c>
      <c r="I6258">
        <f>-H4750/G4750</f>
        <v/>
      </c>
      <c r="J6258" s="16" t="n">
        <v>44693</v>
      </c>
      <c r="K6258">
        <f>+OPERAC[[#This Row],[cantidad]]</f>
        <v/>
      </c>
      <c r="L6258">
        <f>+OPERAC[[#This Row],[cantidad venta]]*74.848</f>
        <v/>
      </c>
    </row>
    <row r="6259">
      <c r="A6259" t="n">
        <v>26138</v>
      </c>
      <c r="B6259" s="16" t="n">
        <v>44698</v>
      </c>
      <c r="C6259" t="inlineStr">
        <is>
          <t>CPR</t>
        </is>
      </c>
      <c r="D6259" t="n">
        <v>39</v>
      </c>
      <c r="E6259">
        <f>IF(D3460&gt;0,VLOOKUP(OPERAC[[#This Row],[COD CART]],[1]!MatrizCortoLargoCyl[#All],3,0),"")</f>
        <v/>
      </c>
      <c r="F6259" t="inlineStr">
        <is>
          <t>NTLA/C/65,00/15-07-22</t>
        </is>
      </c>
      <c r="G6259" t="n">
        <v>300</v>
      </c>
      <c r="H6259" t="n">
        <v>-756.375</v>
      </c>
      <c r="I6259">
        <f>-H3460/G3460</f>
        <v/>
      </c>
    </row>
    <row r="6260">
      <c r="A6260" t="n">
        <v>26138</v>
      </c>
      <c r="B6260" s="16" t="n">
        <v>44707</v>
      </c>
      <c r="C6260" t="inlineStr">
        <is>
          <t>VTA</t>
        </is>
      </c>
      <c r="D6260" t="n">
        <v>43</v>
      </c>
      <c r="E6260">
        <f>IF(D5288&gt;0,VLOOKUP(OPERAC[[#This Row],[COD CART]],[1]!MatrizCortoLargoCyl[#All],3,0),"")</f>
        <v/>
      </c>
      <c r="F6260" t="inlineStr">
        <is>
          <t>SPWR/CYP/17,50-15,00/17-06-22</t>
        </is>
      </c>
      <c r="G6260" t="n">
        <v>100</v>
      </c>
      <c r="H6260" t="n">
        <v>-1717.027</v>
      </c>
      <c r="I6260">
        <f>-H5288/G5288</f>
        <v/>
      </c>
    </row>
    <row r="6261">
      <c r="A6261" t="n">
        <v>26138</v>
      </c>
      <c r="B6261" s="16" t="n">
        <v>44712</v>
      </c>
      <c r="C6261" t="inlineStr">
        <is>
          <t>CPR</t>
        </is>
      </c>
      <c r="D6261" t="n">
        <v>32</v>
      </c>
      <c r="E6261">
        <f>IF(D3325&gt;0,VLOOKUP(OPERAC[[#This Row],[COD CART]],[1]!MatrizCortoLargoCyl[#All],3,0),"")</f>
        <v/>
      </c>
      <c r="F6261" t="inlineStr">
        <is>
          <t>CRESY/CYL/7,50/17-06-22</t>
        </is>
      </c>
      <c r="G6261" t="n">
        <v>100</v>
      </c>
      <c r="H6261" t="n">
        <v>-693.075</v>
      </c>
      <c r="I6261">
        <f>-H3325/G3325</f>
        <v/>
      </c>
    </row>
    <row r="6262">
      <c r="A6262" t="n">
        <v>26138</v>
      </c>
      <c r="B6262" s="16" t="n">
        <v>44722</v>
      </c>
      <c r="C6262" t="inlineStr">
        <is>
          <t>CPR</t>
        </is>
      </c>
      <c r="D6262" t="n">
        <v>40</v>
      </c>
      <c r="E6262">
        <f>IF(D4803&gt;0,VLOOKUP(OPERAC[[#This Row],[COD CART]],[1]!MatrizCortoLargoCyl[#All],3,0),"")</f>
        <v/>
      </c>
      <c r="F6262" t="inlineStr">
        <is>
          <t>MELI</t>
        </is>
      </c>
      <c r="G6262" t="n">
        <v>2</v>
      </c>
      <c r="H6262" t="n">
        <v>-1397.781</v>
      </c>
      <c r="I6262">
        <f>-H4803/G4803</f>
        <v/>
      </c>
    </row>
    <row r="6263">
      <c r="A6263" t="n">
        <v>26140</v>
      </c>
      <c r="B6263" s="16" t="n">
        <v>44237</v>
      </c>
      <c r="C6263" t="inlineStr">
        <is>
          <t>VTA</t>
        </is>
      </c>
      <c r="D6263" t="n">
        <v>39</v>
      </c>
      <c r="E6263">
        <f>IF(D1250&gt;0,VLOOKUP(OPERAC[[#This Row],[COD CART]],[1]!MatrizCortoLargoCyl[#All],3,0),"")</f>
        <v/>
      </c>
      <c r="F6263" t="inlineStr">
        <is>
          <t>TLRY1/V/10,00/20-01-23</t>
        </is>
      </c>
      <c r="G6263" t="n">
        <v>-2</v>
      </c>
      <c r="H6263" t="n">
        <v>2</v>
      </c>
      <c r="I6263">
        <f>-H1250/G1250</f>
        <v/>
      </c>
    </row>
    <row r="6264">
      <c r="A6264" t="n">
        <v>26140</v>
      </c>
      <c r="B6264" s="16" t="n">
        <v>44424</v>
      </c>
      <c r="C6264" t="inlineStr">
        <is>
          <t>VTA</t>
        </is>
      </c>
      <c r="D6264" t="n">
        <v>39</v>
      </c>
      <c r="E6264">
        <f>IF(D450&gt;0,VLOOKUP(OPERAC[[#This Row],[COD CART]],[1]!MatrizCortoLargoCyl[#All],3,0),"")</f>
        <v/>
      </c>
      <c r="F6264" t="inlineStr">
        <is>
          <t>ACB/V/10,00/20-01-23</t>
        </is>
      </c>
      <c r="G6264" t="n">
        <v>-200</v>
      </c>
      <c r="H6264" t="n">
        <v>1020.94</v>
      </c>
      <c r="I6264">
        <f>-H450/G450</f>
        <v/>
      </c>
      <c r="J6264" s="16" t="n">
        <v>44614</v>
      </c>
      <c r="K6264" t="n">
        <v>-200</v>
      </c>
      <c r="L6264" t="n">
        <v>-1020</v>
      </c>
    </row>
    <row r="6265">
      <c r="A6265" t="n">
        <v>26140</v>
      </c>
      <c r="B6265" s="16" t="n">
        <v>44432</v>
      </c>
      <c r="C6265" t="inlineStr">
        <is>
          <t>VTA</t>
        </is>
      </c>
      <c r="D6265" t="n">
        <v>39</v>
      </c>
      <c r="E6265">
        <f>IF(D1152&gt;0,VLOOKUP(OPERAC[[#This Row],[COD CART]],[1]!MatrizCortoLargoCyl[#All],3,0),"")</f>
        <v/>
      </c>
      <c r="F6265" t="inlineStr">
        <is>
          <t>EDU/V/20,00/20-01-23</t>
        </is>
      </c>
      <c r="G6265" t="n">
        <v>-20</v>
      </c>
      <c r="H6265" t="n">
        <v>16.12</v>
      </c>
      <c r="I6265">
        <f>-H1152/G1152</f>
        <v/>
      </c>
    </row>
    <row r="6266">
      <c r="A6266" t="n">
        <v>26140</v>
      </c>
      <c r="B6266" s="16" t="n">
        <v>44466</v>
      </c>
      <c r="C6266" t="inlineStr">
        <is>
          <t>CPR</t>
        </is>
      </c>
      <c r="D6266" t="n">
        <v>43</v>
      </c>
      <c r="E6266">
        <f>IF(D4278&gt;0,VLOOKUP(OPERAC[[#This Row],[COD CART]],[1]!MatrizCortoLargoCyl[#All],3,0),"")</f>
        <v/>
      </c>
      <c r="F6266" t="inlineStr">
        <is>
          <t>SOLO/CYL-PUT/4,00/16-09-22</t>
        </is>
      </c>
      <c r="G6266" t="n">
        <v>500</v>
      </c>
      <c r="H6266">
        <f>-1487.08635+0.32*OPERAC[[#This Row],[cantidad]]+0.387*OPERAC[[#This Row],[cantidad]]+0.22*OPERAC[[#This Row],[cantidad]]</f>
        <v/>
      </c>
      <c r="I6266">
        <f>-H4278/G4278</f>
        <v/>
      </c>
    </row>
    <row r="6267">
      <c r="A6267" t="n">
        <v>26140</v>
      </c>
      <c r="B6267" s="16" t="n">
        <v>44489</v>
      </c>
      <c r="C6267" t="inlineStr">
        <is>
          <t>VTA</t>
        </is>
      </c>
      <c r="D6267" t="n">
        <v>43</v>
      </c>
      <c r="E6267">
        <f>IF(D5452&gt;0,VLOOKUP(OPERAC[[#This Row],[COD CART]],[1]!MatrizCortoLargoCyl[#All],3,0),"")</f>
        <v/>
      </c>
      <c r="F6267" t="inlineStr">
        <is>
          <t>SESN/CYL-PUT/1,00/19-01-24</t>
        </is>
      </c>
      <c r="G6267" t="n">
        <v>10000</v>
      </c>
      <c r="H6267">
        <f>-0.1885*OPERAC[[#This Row],[cantidad]]</f>
        <v/>
      </c>
      <c r="I6267">
        <f>-H5452/G5452</f>
        <v/>
      </c>
      <c r="J6267" s="16" t="n">
        <v>44585</v>
      </c>
      <c r="K6267">
        <f>5000+5000</f>
        <v/>
      </c>
      <c r="L6267">
        <f>983.611+1608.856</f>
        <v/>
      </c>
    </row>
    <row r="6268">
      <c r="A6268" t="n">
        <v>26140</v>
      </c>
      <c r="B6268" s="16" t="n">
        <v>44490</v>
      </c>
      <c r="C6268" t="inlineStr">
        <is>
          <t>VTA</t>
        </is>
      </c>
      <c r="D6268" t="n">
        <v>40</v>
      </c>
      <c r="E6268">
        <f>IF(D5096&gt;0,VLOOKUP(OPERAC[[#This Row],[COD CART]],[1]!MatrizCortoLargoCyl[#All],3,0),"")</f>
        <v/>
      </c>
      <c r="F6268" t="inlineStr">
        <is>
          <t>MELI</t>
        </is>
      </c>
      <c r="G6268" t="n">
        <v>1</v>
      </c>
      <c r="H6268" t="n">
        <v>-1587.905</v>
      </c>
      <c r="I6268">
        <f>-H5096/G5096</f>
        <v/>
      </c>
      <c r="J6268" s="16" t="n">
        <v>44606</v>
      </c>
      <c r="K6268" t="n">
        <v>1</v>
      </c>
      <c r="L6268" t="n">
        <v>1073.609</v>
      </c>
    </row>
    <row r="6269">
      <c r="A6269" t="n">
        <v>26140</v>
      </c>
      <c r="B6269" s="16" t="n">
        <v>44511</v>
      </c>
      <c r="C6269" t="inlineStr">
        <is>
          <t>VTA</t>
        </is>
      </c>
      <c r="D6269" t="n">
        <v>31</v>
      </c>
      <c r="E6269">
        <f>IF(D2915&gt;0,VLOOKUP(OPERAC[[#This Row],[COD CART]],[1]!MatrizCortoLargoCyl[#All],3,0),"")</f>
        <v/>
      </c>
      <c r="F6269" t="inlineStr">
        <is>
          <t>IPIX</t>
        </is>
      </c>
      <c r="G6269" t="n">
        <v>5000</v>
      </c>
      <c r="H6269" t="n">
        <v>-549.95</v>
      </c>
      <c r="I6269">
        <f>-H2915/G2915</f>
        <v/>
      </c>
    </row>
    <row r="6270">
      <c r="A6270" t="n">
        <v>26140</v>
      </c>
      <c r="B6270" s="16" t="n">
        <v>44516</v>
      </c>
      <c r="C6270" t="inlineStr">
        <is>
          <t>VTA</t>
        </is>
      </c>
      <c r="D6270" t="n">
        <v>40</v>
      </c>
      <c r="E6270">
        <f>IF(D3217&gt;0,VLOOKUP(OPERAC[[#This Row],[COD CART]],[1]!MatrizCortoLargoCyl[#All],3,0),"")</f>
        <v/>
      </c>
      <c r="F6270" t="inlineStr">
        <is>
          <t>ACB</t>
        </is>
      </c>
      <c r="G6270" t="n">
        <v>100</v>
      </c>
      <c r="H6270">
        <f>-680.27+22.293</f>
        <v/>
      </c>
      <c r="I6270">
        <f>-H3217/G3217</f>
        <v/>
      </c>
      <c r="J6270" s="16" t="n">
        <v>44606</v>
      </c>
      <c r="K6270" t="n">
        <v>100</v>
      </c>
      <c r="L6270" t="n">
        <v>437.056</v>
      </c>
    </row>
    <row r="6271">
      <c r="A6271" t="n">
        <v>26140</v>
      </c>
      <c r="B6271" s="16" t="n">
        <v>44539</v>
      </c>
      <c r="C6271" t="inlineStr">
        <is>
          <t>VTA</t>
        </is>
      </c>
      <c r="D6271" t="n">
        <v>40</v>
      </c>
      <c r="E6271">
        <f>IF(D2803&gt;0,VLOOKUP(OPERAC[[#This Row],[COD CART]],[1]!MatrizCortoLargoCyl[#All],3,0),"")</f>
        <v/>
      </c>
      <c r="F6271" t="inlineStr">
        <is>
          <t>ROKU</t>
        </is>
      </c>
      <c r="G6271" t="n">
        <v>2</v>
      </c>
      <c r="H6271" t="n">
        <v>-515.4407199999999</v>
      </c>
      <c r="I6271">
        <f>-H2803/G2803</f>
        <v/>
      </c>
      <c r="J6271" s="16" t="n">
        <v>44606</v>
      </c>
      <c r="K6271">
        <f>+OPERAC[[#This Row],[cantidad]]</f>
        <v/>
      </c>
      <c r="L6271">
        <f>+OPERAC[[#This Row],[cantidad venta]]*160.574</f>
        <v/>
      </c>
    </row>
    <row r="6272">
      <c r="A6272" t="n">
        <v>26140</v>
      </c>
      <c r="B6272" s="16" t="n">
        <v>44547</v>
      </c>
      <c r="C6272" t="inlineStr">
        <is>
          <t>VTA</t>
        </is>
      </c>
      <c r="D6272" t="n">
        <v>39</v>
      </c>
      <c r="E6272">
        <f>IF(D352&gt;0,VLOOKUP(OPERAC[[#This Row],[COD CART]],[1]!MatrizCortoLargoCyl[#All],3,0),"")</f>
        <v/>
      </c>
      <c r="F6272" t="inlineStr">
        <is>
          <t>INO/V/7,00/21-01-22</t>
        </is>
      </c>
      <c r="G6272" t="n">
        <v>-1400</v>
      </c>
      <c r="H6272" t="n">
        <v>1274.616</v>
      </c>
      <c r="I6272">
        <f>-H352/G352</f>
        <v/>
      </c>
      <c r="J6272" s="16" t="n">
        <v>44580</v>
      </c>
      <c r="K6272">
        <f>+OPERAC[[#This Row],[cantidad]]</f>
        <v/>
      </c>
      <c r="L6272">
        <f>-OPERAC[[#This Row],[importe]]</f>
        <v/>
      </c>
    </row>
    <row r="6273">
      <c r="A6273" t="n">
        <v>26140</v>
      </c>
      <c r="B6273" s="16" t="n">
        <v>44547</v>
      </c>
      <c r="C6273" t="inlineStr">
        <is>
          <t>VTA</t>
        </is>
      </c>
      <c r="D6273" t="n">
        <v>32</v>
      </c>
      <c r="E6273">
        <f>IF(D5268&gt;0,VLOOKUP(OPERAC[[#This Row],[COD CART]],[1]!MatrizCortoLargoCyl[#All],3,0),"")</f>
        <v/>
      </c>
      <c r="F6273" t="inlineStr">
        <is>
          <t>ARLO/CYL/9,00/18-02-22</t>
        </is>
      </c>
      <c r="G6273" t="n">
        <v>200</v>
      </c>
      <c r="H6273">
        <f>-1733.48+29.76</f>
        <v/>
      </c>
      <c r="I6273">
        <f>-H5268/G5268</f>
        <v/>
      </c>
      <c r="J6273" s="16" t="n">
        <v>44607</v>
      </c>
      <c r="K6273" t="n">
        <v>200</v>
      </c>
      <c r="L6273" t="n">
        <v>1751.065</v>
      </c>
    </row>
    <row r="6274">
      <c r="A6274" t="n">
        <v>26140</v>
      </c>
      <c r="B6274" s="16" t="n">
        <v>44552</v>
      </c>
      <c r="C6274" t="inlineStr">
        <is>
          <t>CPR</t>
        </is>
      </c>
      <c r="D6274" t="n">
        <v>32</v>
      </c>
      <c r="E6274">
        <f>IF(D3478&gt;0,VLOOKUP(OPERAC[[#This Row],[COD CART]],[1]!MatrizCortoLargoCyl[#All],3,0),"")</f>
        <v/>
      </c>
      <c r="F6274" t="inlineStr">
        <is>
          <t>HMY/CYL/4,00/21-01-22</t>
        </is>
      </c>
      <c r="G6274" t="n">
        <v>200</v>
      </c>
      <c r="H6274">
        <f>-3.8*OPERAC[[#This Row],[cantidad]]</f>
        <v/>
      </c>
      <c r="I6274">
        <f>-H3478/G3478</f>
        <v/>
      </c>
      <c r="J6274" s="16" t="n">
        <v>44580</v>
      </c>
      <c r="K6274" t="n">
        <v>200</v>
      </c>
      <c r="L6274" t="n">
        <v>787.86</v>
      </c>
    </row>
    <row r="6275">
      <c r="A6275" t="n">
        <v>26140</v>
      </c>
      <c r="B6275" s="16" t="n">
        <v>44580</v>
      </c>
      <c r="C6275" t="inlineStr">
        <is>
          <t>VTA</t>
        </is>
      </c>
      <c r="D6275" t="n">
        <v>39</v>
      </c>
      <c r="E6275">
        <f>IF(D83&gt;0,VLOOKUP(OPERAC[[#This Row],[COD CART]],[1]!MatrizCortoLargoCyl[#All],3,0),"")</f>
        <v/>
      </c>
      <c r="F6275" t="inlineStr">
        <is>
          <t>INO/V/7,00/18-02-22</t>
        </is>
      </c>
      <c r="G6275" t="n">
        <v>-1400</v>
      </c>
      <c r="H6275" t="n">
        <v>3878.909999999999</v>
      </c>
      <c r="I6275">
        <f>-H83/G83</f>
        <v/>
      </c>
      <c r="J6275" s="16" t="n">
        <v>44600</v>
      </c>
      <c r="K6275" t="n">
        <v>-1400</v>
      </c>
      <c r="L6275" t="n">
        <v>-3878</v>
      </c>
    </row>
    <row r="6276">
      <c r="A6276" t="n">
        <v>26140</v>
      </c>
      <c r="B6276" s="16" t="n">
        <v>44581</v>
      </c>
      <c r="C6276" t="inlineStr">
        <is>
          <t>CPR</t>
        </is>
      </c>
      <c r="D6276" t="n">
        <v>32</v>
      </c>
      <c r="E6276">
        <f>IF(D3597&gt;0,VLOOKUP(OPERAC[[#This Row],[COD CART]],[1]!MatrizCortoLargoCyl[#All],3,0),"")</f>
        <v/>
      </c>
      <c r="F6276" t="inlineStr">
        <is>
          <t>HMY/CYL/4,00/18-02-22</t>
        </is>
      </c>
      <c r="G6276" t="n">
        <v>200</v>
      </c>
      <c r="H6276" t="n">
        <v>-774.9359920000001</v>
      </c>
      <c r="I6276">
        <f>-H3597/G3597</f>
        <v/>
      </c>
      <c r="J6276" s="16" t="n">
        <v>44610</v>
      </c>
      <c r="K6276">
        <f>+OPERAC[[#This Row],[cantidad]]</f>
        <v/>
      </c>
      <c r="L6276">
        <f>+OPERAC[[#This Row],[cantidad venta]]*3.8323</f>
        <v/>
      </c>
    </row>
    <row r="6277">
      <c r="A6277" t="n">
        <v>26140</v>
      </c>
      <c r="B6277" s="16" t="n">
        <v>44585</v>
      </c>
      <c r="C6277" t="inlineStr">
        <is>
          <t>VTA</t>
        </is>
      </c>
      <c r="D6277" t="n">
        <v>39</v>
      </c>
      <c r="E6277">
        <f>IF(D93&gt;0,VLOOKUP(OPERAC[[#This Row],[COD CART]],[1]!MatrizCortoLargoCyl[#All],3,0),"")</f>
        <v/>
      </c>
      <c r="F6277" t="inlineStr">
        <is>
          <t>MELI/V/700,00/28-01-22</t>
        </is>
      </c>
      <c r="G6277" t="n">
        <v>-1000</v>
      </c>
      <c r="H6277" t="n">
        <v>3683.29</v>
      </c>
      <c r="I6277">
        <f>-H93/G93</f>
        <v/>
      </c>
      <c r="J6277" s="16" t="n">
        <v>44586</v>
      </c>
      <c r="K6277" t="n">
        <v>-1000</v>
      </c>
      <c r="L6277" t="n">
        <v>-572.196</v>
      </c>
    </row>
    <row r="6278">
      <c r="A6278" t="n">
        <v>26140</v>
      </c>
      <c r="B6278" s="16" t="n">
        <v>44586</v>
      </c>
      <c r="C6278" t="inlineStr">
        <is>
          <t>VTA</t>
        </is>
      </c>
      <c r="D6278" t="n">
        <v>43</v>
      </c>
      <c r="E6278">
        <f>IF(D4995&gt;0,VLOOKUP(OPERAC[[#This Row],[COD CART]],[1]!MatrizCortoLargoCyl[#All],3,0),"")</f>
        <v/>
      </c>
      <c r="F6278" t="inlineStr">
        <is>
          <t>GMBL/CYL-PUT/2,50/20-01-23</t>
        </is>
      </c>
      <c r="G6278" t="n">
        <v>1500</v>
      </c>
      <c r="H6278" t="n">
        <v>-1524.062300000001</v>
      </c>
      <c r="I6278">
        <f>-H4995/G4995</f>
        <v/>
      </c>
      <c r="J6278" s="16" t="n">
        <v>44636</v>
      </c>
      <c r="K6278" t="n">
        <v>1500</v>
      </c>
      <c r="L6278">
        <f>-1.36*OPERAC[[#This Row],[cantidad venta]]</f>
        <v/>
      </c>
    </row>
    <row r="6279">
      <c r="A6279" t="n">
        <v>26140</v>
      </c>
      <c r="B6279" s="16" t="n">
        <v>44587</v>
      </c>
      <c r="C6279" t="inlineStr">
        <is>
          <t>CPR</t>
        </is>
      </c>
      <c r="D6279" t="n">
        <v>40</v>
      </c>
      <c r="E6279">
        <f>IF(D3676&gt;0,VLOOKUP(OPERAC[[#This Row],[COD CART]],[1]!MatrizCortoLargoCyl[#All],3,0),"")</f>
        <v/>
      </c>
      <c r="F6279" t="inlineStr">
        <is>
          <t>AAPL</t>
        </is>
      </c>
      <c r="G6279" t="n">
        <v>5</v>
      </c>
      <c r="H6279" t="n">
        <v>-820.2721</v>
      </c>
      <c r="I6279">
        <f>-H3676/G3676</f>
        <v/>
      </c>
      <c r="J6279" s="16" t="n">
        <v>44601</v>
      </c>
      <c r="K6279" t="n">
        <v>5</v>
      </c>
      <c r="L6279">
        <f>175.66*OPERAC[[#This Row],[cantidad venta]]</f>
        <v/>
      </c>
    </row>
    <row r="6280">
      <c r="A6280" t="n">
        <v>26140</v>
      </c>
      <c r="B6280" s="16" t="n">
        <v>44587</v>
      </c>
      <c r="C6280" t="inlineStr">
        <is>
          <t>CPR</t>
        </is>
      </c>
      <c r="D6280" t="n">
        <v>40</v>
      </c>
      <c r="E6280">
        <f>IF(D4546&gt;0,VLOOKUP(OPERAC[[#This Row],[COD CART]],[1]!MatrizCortoLargoCyl[#All],3,0),"")</f>
        <v/>
      </c>
      <c r="F6280" t="inlineStr">
        <is>
          <t>MSFT</t>
        </is>
      </c>
      <c r="G6280" t="n">
        <v>4</v>
      </c>
      <c r="H6280" t="n">
        <v>-1213.64504</v>
      </c>
      <c r="I6280">
        <f>-H4546/G4546</f>
        <v/>
      </c>
      <c r="J6280" s="16" t="n">
        <v>44606</v>
      </c>
      <c r="K6280">
        <f>+OPERAC[[#This Row],[cantidad]]</f>
        <v/>
      </c>
      <c r="L6280">
        <f>+OPERAC[[#This Row],[cantidad venta]]*290.091</f>
        <v/>
      </c>
    </row>
    <row r="6281">
      <c r="A6281" t="n">
        <v>26140</v>
      </c>
      <c r="B6281" s="16" t="n">
        <v>44600</v>
      </c>
      <c r="C6281" t="inlineStr">
        <is>
          <t>VTA</t>
        </is>
      </c>
      <c r="D6281" t="n">
        <v>39</v>
      </c>
      <c r="E6281">
        <f>IF(D1064&gt;0,VLOOKUP(OPERAC[[#This Row],[COD CART]],[1]!MatrizCortoLargoCyl[#All],3,0),"")</f>
        <v/>
      </c>
      <c r="F6281" t="inlineStr">
        <is>
          <t>DDD/V/17,00/20-01-23</t>
        </is>
      </c>
      <c r="G6281" t="n">
        <v>-10</v>
      </c>
      <c r="H6281">
        <f>-3.8*OPERAC[[#This Row],[cantidad]]</f>
        <v/>
      </c>
      <c r="I6281">
        <f>-H1064/G1064</f>
        <v/>
      </c>
    </row>
    <row r="6282">
      <c r="A6282" t="n">
        <v>26140</v>
      </c>
      <c r="B6282" s="16" t="n">
        <v>44608</v>
      </c>
      <c r="C6282" t="inlineStr">
        <is>
          <t>CPR</t>
        </is>
      </c>
      <c r="D6282" t="n">
        <v>40</v>
      </c>
      <c r="E6282">
        <f>IF(D4706&gt;0,VLOOKUP(OPERAC[[#This Row],[COD CART]],[1]!MatrizCortoLargoCyl[#All],3,0),"")</f>
        <v/>
      </c>
      <c r="F6282" t="inlineStr">
        <is>
          <t>NVDA</t>
        </is>
      </c>
      <c r="G6282" t="n">
        <v>5</v>
      </c>
      <c r="H6282" t="n">
        <v>-1317.57</v>
      </c>
      <c r="I6282">
        <f>-H4706/G4706</f>
        <v/>
      </c>
      <c r="J6282" s="16" t="n">
        <v>44616</v>
      </c>
      <c r="K6282">
        <f>+OPERAC[[#This Row],[cantidad]]</f>
        <v/>
      </c>
      <c r="L6282">
        <f>+OPERAC[[#This Row],[cantidad venta]]*224.117</f>
        <v/>
      </c>
    </row>
    <row r="6283">
      <c r="A6283" t="n">
        <v>26140</v>
      </c>
      <c r="B6283" s="16" t="n">
        <v>44608</v>
      </c>
      <c r="C6283" t="inlineStr">
        <is>
          <t>CPR</t>
        </is>
      </c>
      <c r="D6283" t="n">
        <v>32</v>
      </c>
      <c r="E6283">
        <f>IF(D5976&gt;0,VLOOKUP(OPERAC[[#This Row],[COD CART]],[1]!MatrizCortoLargoCyl[#All],3,0),"")</f>
        <v/>
      </c>
      <c r="F6283" t="inlineStr">
        <is>
          <t>DDD/CYL/17,00/01-04-22</t>
        </is>
      </c>
      <c r="G6283" t="n">
        <v>200</v>
      </c>
      <c r="H6283">
        <f>-3258.8378+19.7+30.908</f>
        <v/>
      </c>
      <c r="I6283">
        <f>-H5976/G5976</f>
        <v/>
      </c>
      <c r="J6283" s="16" t="n">
        <v>44649</v>
      </c>
      <c r="K6283" t="n">
        <v>200</v>
      </c>
      <c r="L6283" t="n">
        <v>3323.96</v>
      </c>
    </row>
    <row r="6284">
      <c r="A6284" t="n">
        <v>26140</v>
      </c>
      <c r="B6284" s="16" t="n">
        <v>44616</v>
      </c>
      <c r="C6284" t="inlineStr">
        <is>
          <t>CPR</t>
        </is>
      </c>
      <c r="D6284" t="n">
        <v>32</v>
      </c>
      <c r="E6284">
        <f>IF(D5961&gt;0,VLOOKUP(OPERAC[[#This Row],[COD CART]],[1]!MatrizCortoLargoCyl[#All],3,0),"")</f>
        <v/>
      </c>
      <c r="F6284" t="inlineStr">
        <is>
          <t>PLTR/CYL/12,00/14-04-22</t>
        </is>
      </c>
      <c r="G6284" t="n">
        <v>300</v>
      </c>
      <c r="H6284" t="n">
        <v>-3158.1795</v>
      </c>
      <c r="I6284">
        <f>-H5961/G5961</f>
        <v/>
      </c>
      <c r="J6284" s="16" t="n">
        <v>44643</v>
      </c>
      <c r="K6284" t="n">
        <v>300</v>
      </c>
      <c r="L6284" t="n">
        <v>3440.17</v>
      </c>
    </row>
    <row r="6285">
      <c r="A6285" t="n">
        <v>26140</v>
      </c>
      <c r="B6285" s="16" t="n">
        <v>44634</v>
      </c>
      <c r="C6285" t="inlineStr">
        <is>
          <t>VTA</t>
        </is>
      </c>
      <c r="D6285" t="n">
        <v>39</v>
      </c>
      <c r="E6285">
        <f>IF(D80&gt;0,VLOOKUP(OPERAC[[#This Row],[COD CART]],[1]!MatrizCortoLargoCyl[#All],3,0),"")</f>
        <v/>
      </c>
      <c r="F6285" t="inlineStr">
        <is>
          <t>TSLA/V/655,00/18-03-22</t>
        </is>
      </c>
      <c r="G6285" t="n">
        <v>-2000</v>
      </c>
      <c r="H6285" t="n">
        <v>3962.55</v>
      </c>
      <c r="I6285">
        <f>-H80/G80</f>
        <v/>
      </c>
      <c r="J6285" s="16" t="n">
        <v>44635</v>
      </c>
      <c r="K6285" t="n">
        <v>-2000</v>
      </c>
      <c r="L6285" t="n">
        <v>-1929.18</v>
      </c>
    </row>
    <row r="6286">
      <c r="A6286" t="n">
        <v>26140</v>
      </c>
      <c r="B6286" s="16" t="n">
        <v>44636</v>
      </c>
      <c r="C6286" t="inlineStr">
        <is>
          <t>CPR</t>
        </is>
      </c>
      <c r="D6286" t="n">
        <v>43</v>
      </c>
      <c r="E6286">
        <f>IF(D4571&gt;0,VLOOKUP(OPERAC[[#This Row],[COD CART]],[1]!MatrizCortoLargoCyl[#All],3,0),"")</f>
        <v/>
      </c>
      <c r="F6286" t="inlineStr">
        <is>
          <t>GMBL/CYL-PUT/0,50/19-01-24</t>
        </is>
      </c>
      <c r="G6286" t="n">
        <v>4500</v>
      </c>
      <c r="H6286">
        <f>-3656.46618+1977.233+446.4</f>
        <v/>
      </c>
      <c r="I6286">
        <f>-H4571/G4571</f>
        <v/>
      </c>
    </row>
    <row r="6287">
      <c r="A6287" t="n">
        <v>26140</v>
      </c>
      <c r="B6287" s="16" t="n">
        <v>44643</v>
      </c>
      <c r="C6287" t="inlineStr">
        <is>
          <t>VTA</t>
        </is>
      </c>
      <c r="D6287" t="n">
        <v>42</v>
      </c>
      <c r="E6287">
        <f>IF(D2980&gt;0,VLOOKUP(OPERAC[[#This Row],[COD CART]],[1]!MatrizCortoLargoCyl[#All],3,0),"")</f>
        <v/>
      </c>
      <c r="F6287" t="inlineStr">
        <is>
          <t>JPM</t>
        </is>
      </c>
      <c r="G6287" t="n">
        <v>4</v>
      </c>
      <c r="H6287" t="n">
        <v>-564.9865600000001</v>
      </c>
      <c r="I6287">
        <f>-H2980/G2980</f>
        <v/>
      </c>
      <c r="J6287" s="16" t="n">
        <v>44664</v>
      </c>
      <c r="K6287">
        <f>+OPERAC[[#This Row],[cantidad]]</f>
        <v/>
      </c>
      <c r="L6287">
        <f>+OPERAC[[#This Row],[cantidad venta]]*125.943</f>
        <v/>
      </c>
    </row>
    <row r="6288">
      <c r="A6288" t="n">
        <v>26140</v>
      </c>
      <c r="B6288" s="16" t="n">
        <v>44643</v>
      </c>
      <c r="C6288" t="inlineStr">
        <is>
          <t>VTA</t>
        </is>
      </c>
      <c r="D6288" t="n">
        <v>42</v>
      </c>
      <c r="E6288">
        <f>IF(D3184&gt;0,VLOOKUP(OPERAC[[#This Row],[COD CART]],[1]!MatrizCortoLargoCyl[#All],3,0),"")</f>
        <v/>
      </c>
      <c r="F6288" t="inlineStr">
        <is>
          <t>FB</t>
        </is>
      </c>
      <c r="G6288" t="n">
        <v>3</v>
      </c>
      <c r="H6288" t="n">
        <v>-648.36978</v>
      </c>
      <c r="I6288">
        <f>-H3184/G3184</f>
        <v/>
      </c>
      <c r="J6288" s="16" t="n">
        <v>44671</v>
      </c>
      <c r="K6288">
        <f>+OPERAC[[#This Row],[cantidad]]</f>
        <v/>
      </c>
      <c r="L6288">
        <f>+OPERAC[[#This Row],[cantidad venta]]*213.173</f>
        <v/>
      </c>
    </row>
    <row r="6289">
      <c r="A6289" t="n">
        <v>26140</v>
      </c>
      <c r="B6289" s="16" t="n">
        <v>44644</v>
      </c>
      <c r="C6289" t="inlineStr">
        <is>
          <t>CPR</t>
        </is>
      </c>
      <c r="D6289" t="n">
        <v>32</v>
      </c>
      <c r="E6289">
        <f>IF(D5927&gt;0,VLOOKUP(OPERAC[[#This Row],[COD CART]],[1]!MatrizCortoLargoCyl[#All],3,0),"")</f>
        <v/>
      </c>
      <c r="F6289" t="inlineStr">
        <is>
          <t>LAC</t>
        </is>
      </c>
      <c r="G6289" t="n">
        <v>100</v>
      </c>
      <c r="H6289">
        <f>-3260.9065+183.428</f>
        <v/>
      </c>
      <c r="I6289">
        <f>-H5927/G5927</f>
        <v/>
      </c>
    </row>
    <row r="6290">
      <c r="A6290" t="n">
        <v>26140</v>
      </c>
      <c r="B6290" s="16" t="n">
        <v>44644</v>
      </c>
      <c r="C6290" t="inlineStr">
        <is>
          <t>VTA</t>
        </is>
      </c>
      <c r="D6290" t="n">
        <v>39</v>
      </c>
      <c r="E6290">
        <f>IF(D1018&gt;0,VLOOKUP(OPERAC[[#This Row],[COD CART]],[1]!MatrizCortoLargoCyl[#All],3,0),"")</f>
        <v/>
      </c>
      <c r="F6290" t="inlineStr">
        <is>
          <t>ACB/V/4,00/20-01-23</t>
        </is>
      </c>
      <c r="G6290" t="n">
        <v>-50</v>
      </c>
      <c r="H6290" t="n">
        <v>58.859</v>
      </c>
      <c r="I6290">
        <f>-H1018/G1018</f>
        <v/>
      </c>
    </row>
    <row r="6291">
      <c r="A6291" t="n">
        <v>26140</v>
      </c>
      <c r="B6291" s="16" t="n">
        <v>44644</v>
      </c>
      <c r="C6291" t="inlineStr">
        <is>
          <t>VTA</t>
        </is>
      </c>
      <c r="D6291" t="n">
        <v>39</v>
      </c>
      <c r="E6291">
        <f>IF(D1139&gt;0,VLOOKUP(OPERAC[[#This Row],[COD CART]],[1]!MatrizCortoLargoCyl[#All],3,0),"")</f>
        <v/>
      </c>
      <c r="F6291" t="inlineStr">
        <is>
          <t>TSLA/V/620,00/20-05-22</t>
        </is>
      </c>
      <c r="G6291" t="n">
        <v>-4</v>
      </c>
      <c r="H6291" t="n">
        <v>19.04</v>
      </c>
      <c r="I6291">
        <f>-H1139/G1139</f>
        <v/>
      </c>
      <c r="J6291" s="16" t="n">
        <v>44672</v>
      </c>
      <c r="K6291" t="n">
        <v>-4</v>
      </c>
      <c r="L6291" t="n">
        <v>-3.4289</v>
      </c>
    </row>
    <row r="6292">
      <c r="A6292" t="n">
        <v>26140</v>
      </c>
      <c r="B6292" s="16" t="n">
        <v>44645</v>
      </c>
      <c r="C6292" t="inlineStr">
        <is>
          <t>CPR</t>
        </is>
      </c>
      <c r="D6292" t="n">
        <v>42</v>
      </c>
      <c r="E6292">
        <f>IF(D5824&gt;0,VLOOKUP(OPERAC[[#This Row],[COD CART]],[1]!MatrizCortoLargoCyl[#All],3,0),"")</f>
        <v/>
      </c>
      <c r="F6292" t="inlineStr">
        <is>
          <t>PLUG</t>
        </is>
      </c>
      <c r="G6292" t="n">
        <v>100</v>
      </c>
      <c r="H6292" t="n">
        <v>-2793.164</v>
      </c>
      <c r="I6292">
        <f>-H5824/G5824</f>
        <v/>
      </c>
      <c r="J6292" s="16" t="n">
        <v>44652</v>
      </c>
      <c r="K6292">
        <f>+OPERAC[[#This Row],[cantidad]]</f>
        <v/>
      </c>
      <c r="L6292">
        <f>+OPERAC[[#This Row],[cantidad venta]]*27.754</f>
        <v/>
      </c>
    </row>
    <row r="6293">
      <c r="A6293" t="n">
        <v>26140</v>
      </c>
      <c r="B6293" s="16" t="n">
        <v>44649</v>
      </c>
      <c r="C6293" t="inlineStr">
        <is>
          <t>VTA</t>
        </is>
      </c>
      <c r="D6293" t="n">
        <v>42</v>
      </c>
      <c r="E6293">
        <f>IF(D2513&gt;0,VLOOKUP(OPERAC[[#This Row],[COD CART]],[1]!MatrizCortoLargoCyl[#All],3,0),"")</f>
        <v/>
      </c>
      <c r="F6293" t="inlineStr">
        <is>
          <t>FB</t>
        </is>
      </c>
      <c r="G6293" t="n">
        <v>2</v>
      </c>
      <c r="H6293" t="n">
        <v>-459.8738</v>
      </c>
      <c r="I6293">
        <f>-H2513/G2513</f>
        <v/>
      </c>
      <c r="J6293" s="16" t="n">
        <v>44671</v>
      </c>
      <c r="K6293">
        <f>+OPERAC[[#This Row],[cantidad]]</f>
        <v/>
      </c>
      <c r="L6293">
        <f>+OPERAC[[#This Row],[cantidad venta]]*213.173</f>
        <v/>
      </c>
    </row>
    <row r="6294">
      <c r="A6294" t="n">
        <v>26140</v>
      </c>
      <c r="B6294" s="16" t="n">
        <v>44649</v>
      </c>
      <c r="C6294" t="inlineStr">
        <is>
          <t>VTA</t>
        </is>
      </c>
      <c r="D6294" t="n">
        <v>42</v>
      </c>
      <c r="E6294">
        <f>IF(D2545&gt;0,VLOOKUP(OPERAC[[#This Row],[COD CART]],[1]!MatrizCortoLargoCyl[#All],3,0),"")</f>
        <v/>
      </c>
      <c r="F6294" t="inlineStr">
        <is>
          <t>ADBE</t>
        </is>
      </c>
      <c r="G6294" t="n">
        <v>1</v>
      </c>
      <c r="H6294" t="n">
        <v>-464.10176</v>
      </c>
      <c r="I6294">
        <f>-H2545/G2545</f>
        <v/>
      </c>
      <c r="J6294" s="16" t="n">
        <v>44687</v>
      </c>
      <c r="K6294">
        <f>+OPERAC[[#This Row],[cantidad]]</f>
        <v/>
      </c>
      <c r="L6294" t="n">
        <v>386.42</v>
      </c>
    </row>
    <row r="6295">
      <c r="A6295" t="n">
        <v>26140</v>
      </c>
      <c r="B6295" s="16" t="n">
        <v>44649</v>
      </c>
      <c r="C6295" t="inlineStr">
        <is>
          <t>VTA</t>
        </is>
      </c>
      <c r="D6295" t="n">
        <v>42</v>
      </c>
      <c r="E6295">
        <f>IF(D3762&gt;0,VLOOKUP(OPERAC[[#This Row],[COD CART]],[1]!MatrizCortoLargoCyl[#All],3,0),"")</f>
        <v/>
      </c>
      <c r="F6295" t="inlineStr">
        <is>
          <t>SMH</t>
        </is>
      </c>
      <c r="G6295" t="n">
        <v>3</v>
      </c>
      <c r="H6295" t="n">
        <v>-845.7715999999999</v>
      </c>
      <c r="I6295">
        <f>-H3762/G3762</f>
        <v/>
      </c>
      <c r="J6295" s="16" t="n">
        <v>44663</v>
      </c>
      <c r="K6295">
        <f>+OPERAC[[#This Row],[cantidad]]</f>
        <v/>
      </c>
      <c r="L6295">
        <f>+OPERAC[[#This Row],[cantidad venta]]*238.066</f>
        <v/>
      </c>
    </row>
    <row r="6296">
      <c r="A6296" t="n">
        <v>26140</v>
      </c>
      <c r="B6296" s="16" t="n">
        <v>44649</v>
      </c>
      <c r="C6296" t="inlineStr">
        <is>
          <t>VTA</t>
        </is>
      </c>
      <c r="D6296" t="n">
        <v>32</v>
      </c>
      <c r="E6296">
        <f>IF(D5237&gt;0,VLOOKUP(OPERAC[[#This Row],[COD CART]],[1]!MatrizCortoLargoCyl[#All],3,0),"")</f>
        <v/>
      </c>
      <c r="F6296" t="inlineStr">
        <is>
          <t>EDIT</t>
        </is>
      </c>
      <c r="G6296" t="n">
        <v>100</v>
      </c>
      <c r="H6296" t="n">
        <v>-1661.88</v>
      </c>
      <c r="I6296">
        <f>-H5237/G5237</f>
        <v/>
      </c>
    </row>
    <row r="6297">
      <c r="A6297" t="n">
        <v>26140</v>
      </c>
      <c r="B6297" s="16" t="n">
        <v>44649</v>
      </c>
      <c r="C6297" t="inlineStr">
        <is>
          <t>VTA</t>
        </is>
      </c>
      <c r="D6297" t="n">
        <v>32</v>
      </c>
      <c r="E6297">
        <f>IF(D5415&gt;0,VLOOKUP(OPERAC[[#This Row],[COD CART]],[1]!MatrizCortoLargoCyl[#All],3,0),"")</f>
        <v/>
      </c>
      <c r="F6297" t="inlineStr">
        <is>
          <t>SPWR</t>
        </is>
      </c>
      <c r="G6297" t="n">
        <v>100</v>
      </c>
      <c r="H6297">
        <f>-1865.225+17.847</f>
        <v/>
      </c>
      <c r="I6297">
        <f>-H5415/G5415</f>
        <v/>
      </c>
    </row>
    <row r="6298">
      <c r="A6298" t="n">
        <v>26140</v>
      </c>
      <c r="B6298" s="16" t="n">
        <v>44652</v>
      </c>
      <c r="C6298" t="inlineStr">
        <is>
          <t>CPR</t>
        </is>
      </c>
      <c r="D6298" t="n">
        <v>42</v>
      </c>
      <c r="E6298">
        <f>IF(D5979&gt;0,VLOOKUP(OPERAC[[#This Row],[COD CART]],[1]!MatrizCortoLargoCyl[#All],3,0),"")</f>
        <v/>
      </c>
      <c r="F6298" t="inlineStr">
        <is>
          <t>GBTC</t>
        </is>
      </c>
      <c r="G6298" t="n">
        <v>100</v>
      </c>
      <c r="H6298" t="n">
        <v>-3210.98</v>
      </c>
      <c r="I6298">
        <f>-H5979/G5979</f>
        <v/>
      </c>
      <c r="J6298" s="16" t="n">
        <v>44662</v>
      </c>
      <c r="K6298">
        <f>+OPERAC[[#This Row],[cantidad]]</f>
        <v/>
      </c>
      <c r="L6298">
        <f>27.99*OPERAC[[#This Row],[cantidad venta]]</f>
        <v/>
      </c>
    </row>
    <row r="6299">
      <c r="A6299" t="n">
        <v>26140</v>
      </c>
      <c r="B6299" s="16" t="n">
        <v>44662</v>
      </c>
      <c r="C6299" t="inlineStr">
        <is>
          <t>CPR</t>
        </is>
      </c>
      <c r="D6299" t="n">
        <v>42</v>
      </c>
      <c r="E6299">
        <f>IF(D4045&gt;0,VLOOKUP(OPERAC[[#This Row],[COD CART]],[1]!MatrizCortoLargoCyl[#All],3,0),"")</f>
        <v/>
      </c>
      <c r="F6299" t="inlineStr">
        <is>
          <t>HYDR</t>
        </is>
      </c>
      <c r="G6299" t="n">
        <v>50</v>
      </c>
      <c r="H6299" t="n">
        <v>-928.5172</v>
      </c>
      <c r="I6299">
        <f>-H4045/G4045</f>
        <v/>
      </c>
      <c r="J6299" s="16" t="n">
        <v>44693</v>
      </c>
      <c r="K6299">
        <f>+OPERAC[[#This Row],[cantidad]]</f>
        <v/>
      </c>
      <c r="L6299">
        <f>+OPERAC[[#This Row],[cantidad venta]]*11.986</f>
        <v/>
      </c>
    </row>
    <row r="6300">
      <c r="A6300" t="n">
        <v>26140</v>
      </c>
      <c r="B6300" s="16" t="n">
        <v>44662</v>
      </c>
      <c r="C6300" t="inlineStr">
        <is>
          <t>VTA</t>
        </is>
      </c>
      <c r="D6300" t="n">
        <v>42</v>
      </c>
      <c r="E6300">
        <f>IF(D5403&gt;0,VLOOKUP(OPERAC[[#This Row],[COD CART]],[1]!MatrizCortoLargoCyl[#All],3,0),"")</f>
        <v/>
      </c>
      <c r="F6300" t="inlineStr">
        <is>
          <t>UPST</t>
        </is>
      </c>
      <c r="G6300" t="n">
        <v>20</v>
      </c>
      <c r="H6300" t="n">
        <v>-1828.0072</v>
      </c>
      <c r="I6300">
        <f>-H5403/G5403</f>
        <v/>
      </c>
      <c r="J6300" s="16" t="n">
        <v>44693</v>
      </c>
      <c r="K6300" t="n">
        <v>20</v>
      </c>
      <c r="L6300" t="n">
        <v>640.732</v>
      </c>
    </row>
    <row r="6301">
      <c r="A6301" t="n">
        <v>26140</v>
      </c>
      <c r="B6301" s="16" t="n">
        <v>44664</v>
      </c>
      <c r="C6301" t="inlineStr">
        <is>
          <t>CPR</t>
        </is>
      </c>
      <c r="D6301" t="n">
        <v>42</v>
      </c>
      <c r="E6301">
        <f>IF(D2698&gt;0,VLOOKUP(OPERAC[[#This Row],[COD CART]],[1]!MatrizCortoLargoCyl[#All],3,0),"")</f>
        <v/>
      </c>
      <c r="F6301" t="inlineStr">
        <is>
          <t>AMD</t>
        </is>
      </c>
      <c r="G6301" t="n">
        <v>5</v>
      </c>
      <c r="H6301" t="n">
        <v>-493.85327265</v>
      </c>
      <c r="I6301">
        <f>-H2698/G2698</f>
        <v/>
      </c>
      <c r="J6301" s="16" t="n">
        <v>44693</v>
      </c>
      <c r="K6301">
        <f>+OPERAC[[#This Row],[cantidad]]</f>
        <v/>
      </c>
      <c r="L6301">
        <f>+OPERAC[[#This Row],[cantidad venta]]*85.26</f>
        <v/>
      </c>
    </row>
    <row r="6302">
      <c r="A6302" t="n">
        <v>26140</v>
      </c>
      <c r="B6302" s="16" t="n">
        <v>44664</v>
      </c>
      <c r="C6302" t="inlineStr">
        <is>
          <t>VTA</t>
        </is>
      </c>
      <c r="D6302" t="n">
        <v>42</v>
      </c>
      <c r="E6302">
        <f>IF(D3093&gt;0,VLOOKUP(OPERAC[[#This Row],[COD CART]],[1]!MatrizCortoLargoCyl[#All],3,0),"")</f>
        <v/>
      </c>
      <c r="F6302" t="inlineStr">
        <is>
          <t>PSQ</t>
        </is>
      </c>
      <c r="G6302" t="n">
        <v>50</v>
      </c>
      <c r="H6302" t="n">
        <v>-621.6286090499999</v>
      </c>
      <c r="I6302">
        <f>-H3093/G3093</f>
        <v/>
      </c>
      <c r="J6302" s="16" t="n">
        <v>44680</v>
      </c>
      <c r="K6302">
        <f>+OPERAC[[#This Row],[cantidad]]</f>
        <v/>
      </c>
      <c r="L6302">
        <f>12.848*OPERAC[[#This Row],[cantidad venta]]</f>
        <v/>
      </c>
    </row>
    <row r="6303">
      <c r="A6303" t="n">
        <v>26140</v>
      </c>
      <c r="B6303" s="16" t="n">
        <v>44671</v>
      </c>
      <c r="C6303" t="inlineStr">
        <is>
          <t>CPR</t>
        </is>
      </c>
      <c r="D6303" t="n">
        <v>42</v>
      </c>
      <c r="E6303">
        <f>IF(D4619&gt;0,VLOOKUP(OPERAC[[#This Row],[COD CART]],[1]!MatrizCortoLargoCyl[#All],3,0),"")</f>
        <v/>
      </c>
      <c r="F6303" t="inlineStr">
        <is>
          <t>NFLX</t>
        </is>
      </c>
      <c r="G6303" t="n">
        <v>5</v>
      </c>
      <c r="H6303" t="n">
        <v>-1272.5253</v>
      </c>
      <c r="I6303">
        <f>-H4619/G4619</f>
        <v/>
      </c>
      <c r="J6303" s="16" t="n">
        <v>44693</v>
      </c>
      <c r="K6303">
        <f>+OPERAC[[#This Row],[cantidad]]</f>
        <v/>
      </c>
      <c r="L6303">
        <f>+OPERAC[[#This Row],[cantidad venta]]*169.089</f>
        <v/>
      </c>
    </row>
    <row r="6304">
      <c r="A6304" t="n">
        <v>26140</v>
      </c>
      <c r="B6304" s="16" t="n">
        <v>44680</v>
      </c>
      <c r="C6304" t="inlineStr">
        <is>
          <t>VTA</t>
        </is>
      </c>
      <c r="D6304" t="n">
        <v>42</v>
      </c>
      <c r="E6304">
        <f>IF(D3146&gt;0,VLOOKUP(OPERAC[[#This Row],[COD CART]],[1]!MatrizCortoLargoCyl[#All],3,0),"")</f>
        <v/>
      </c>
      <c r="F6304" t="inlineStr">
        <is>
          <t>XLP</t>
        </is>
      </c>
      <c r="G6304" t="n">
        <v>8</v>
      </c>
      <c r="H6304" t="n">
        <v>-635.4760199999999</v>
      </c>
      <c r="I6304">
        <f>-H3146/G3146</f>
        <v/>
      </c>
      <c r="J6304" s="16" t="n">
        <v>44693</v>
      </c>
      <c r="K6304">
        <f>+OPERAC[[#This Row],[cantidad]]</f>
        <v/>
      </c>
      <c r="L6304">
        <f>+OPERAC[[#This Row],[cantidad venta]]*74.848</f>
        <v/>
      </c>
    </row>
    <row r="6305">
      <c r="A6305" t="n">
        <v>26140</v>
      </c>
      <c r="B6305" s="16" t="n">
        <v>44698</v>
      </c>
      <c r="C6305" t="inlineStr">
        <is>
          <t>VTA</t>
        </is>
      </c>
      <c r="D6305" t="n">
        <v>39</v>
      </c>
      <c r="E6305">
        <f>IF(D1737&gt;0,VLOOKUP(OPERAC[[#This Row],[COD CART]],[1]!MatrizCortoLargoCyl[#All],3,0),"")</f>
        <v/>
      </c>
      <c r="F6305" t="inlineStr">
        <is>
          <t>NTLA/C/65,00/15-07-22</t>
        </is>
      </c>
      <c r="G6305" t="n">
        <v>100</v>
      </c>
      <c r="H6305" t="n">
        <v>-252.125</v>
      </c>
      <c r="I6305">
        <f>-H1737/G1737</f>
        <v/>
      </c>
    </row>
    <row r="6306">
      <c r="A6306" t="n">
        <v>26140</v>
      </c>
      <c r="B6306" s="16" t="n">
        <v>44708</v>
      </c>
      <c r="C6306" t="inlineStr">
        <is>
          <t>CPR</t>
        </is>
      </c>
      <c r="D6306" t="n">
        <v>32</v>
      </c>
      <c r="E6306">
        <f>IF(D4347&gt;0,VLOOKUP(OPERAC[[#This Row],[COD CART]],[1]!MatrizCortoLargoCyl[#All],3,0),"")</f>
        <v/>
      </c>
      <c r="F6306" t="inlineStr">
        <is>
          <t>AMC/CYL/11,00/03-06-22</t>
        </is>
      </c>
      <c r="G6306" t="n">
        <v>100</v>
      </c>
      <c r="H6306" t="n">
        <v>-1071.908</v>
      </c>
      <c r="I6306">
        <f>-H4347/G4347</f>
        <v/>
      </c>
      <c r="J6306" s="16" t="n">
        <v>44715</v>
      </c>
      <c r="K6306">
        <f>+OPERAC[[#This Row],[cantidad]]</f>
        <v/>
      </c>
      <c r="L6306">
        <f>+OPERAC[[#This Row],[cantidad venta]]*10.951</f>
        <v/>
      </c>
    </row>
    <row r="6307">
      <c r="A6307" t="n">
        <v>26140</v>
      </c>
      <c r="B6307" s="16" t="n">
        <v>44712</v>
      </c>
      <c r="C6307" t="inlineStr">
        <is>
          <t>CPR</t>
        </is>
      </c>
      <c r="D6307" t="n">
        <v>32</v>
      </c>
      <c r="E6307">
        <f>IF(D3256&gt;0,VLOOKUP(OPERAC[[#This Row],[COD CART]],[1]!MatrizCortoLargoCyl[#All],3,0),"")</f>
        <v/>
      </c>
      <c r="F6307" t="inlineStr">
        <is>
          <t>COTY/CYL/7,00/17-06-22</t>
        </is>
      </c>
      <c r="G6307" t="n">
        <v>100</v>
      </c>
      <c r="H6307" t="n">
        <v>-677.42</v>
      </c>
      <c r="I6307">
        <f>-H3256/G3256</f>
        <v/>
      </c>
    </row>
    <row r="6308">
      <c r="A6308" t="n">
        <v>26140</v>
      </c>
      <c r="B6308" s="16" t="n">
        <v>44712</v>
      </c>
      <c r="C6308" t="inlineStr">
        <is>
          <t>CPR</t>
        </is>
      </c>
      <c r="D6308" t="n">
        <v>32</v>
      </c>
      <c r="E6308">
        <f>IF(D4775&gt;0,VLOOKUP(OPERAC[[#This Row],[COD CART]],[1]!MatrizCortoLargoCyl[#All],3,0),"")</f>
        <v/>
      </c>
      <c r="F6308" t="inlineStr">
        <is>
          <t>CRESY/CYL/7,50/17-06-22</t>
        </is>
      </c>
      <c r="G6308" t="n">
        <v>200</v>
      </c>
      <c r="H6308" t="n">
        <v>-1386.15</v>
      </c>
      <c r="I6308">
        <f>-H4775/G4775</f>
        <v/>
      </c>
    </row>
    <row r="6309">
      <c r="A6309" t="n">
        <v>26140</v>
      </c>
      <c r="B6309" s="16" t="n">
        <v>44720</v>
      </c>
      <c r="C6309" t="inlineStr">
        <is>
          <t>CPR</t>
        </is>
      </c>
      <c r="D6309" t="n">
        <v>42</v>
      </c>
      <c r="E6309">
        <f>IF(D4337&gt;0,VLOOKUP(OPERAC[[#This Row],[COD CART]],[1]!MatrizCortoLargoCyl[#All],3,0),"")</f>
        <v/>
      </c>
      <c r="F6309" t="inlineStr">
        <is>
          <t>HYDR</t>
        </is>
      </c>
      <c r="G6309" t="n">
        <v>70</v>
      </c>
      <c r="H6309" t="n">
        <v>-1058.925</v>
      </c>
      <c r="I6309">
        <f>-H4337/G4337</f>
        <v/>
      </c>
    </row>
    <row r="6310">
      <c r="A6310" t="n">
        <v>26146</v>
      </c>
      <c r="B6310" s="16" t="n">
        <v>44658</v>
      </c>
      <c r="C6310" t="inlineStr">
        <is>
          <t>CPR</t>
        </is>
      </c>
      <c r="D6310" t="n">
        <v>41</v>
      </c>
      <c r="E6310">
        <f>IF(D3246&gt;0,VLOOKUP(OPERAC[[#This Row],[COD CART]],[1]!MatrizCortoLargoCyl[#All],3,0),"")</f>
        <v/>
      </c>
      <c r="F6310" t="inlineStr">
        <is>
          <t>CRESY</t>
        </is>
      </c>
      <c r="G6310" t="n">
        <v>85</v>
      </c>
      <c r="H6310" t="n">
        <v>-673.356664</v>
      </c>
      <c r="I6310">
        <f>-H3246/G3246</f>
        <v/>
      </c>
    </row>
    <row r="6311">
      <c r="A6311" t="n">
        <v>26146</v>
      </c>
      <c r="B6311" s="16" t="n">
        <v>44658</v>
      </c>
      <c r="C6311" t="inlineStr">
        <is>
          <t>CPR</t>
        </is>
      </c>
      <c r="D6311" t="n">
        <v>32</v>
      </c>
      <c r="E6311">
        <f>IF(D3444&gt;0,VLOOKUP(OPERAC[[#This Row],[COD CART]],[1]!MatrizCortoLargoCyl[#All],3,0),"")</f>
        <v/>
      </c>
      <c r="F6311" t="inlineStr">
        <is>
          <t>COTY/CYL/8,00/24-06-22</t>
        </is>
      </c>
      <c r="G6311" t="n">
        <v>100</v>
      </c>
      <c r="H6311">
        <f>-761.606+9.915</f>
        <v/>
      </c>
      <c r="I6311">
        <f>-H3444/G3444</f>
        <v/>
      </c>
    </row>
    <row r="6312">
      <c r="A6312" t="n">
        <v>26146</v>
      </c>
      <c r="B6312" s="16" t="n">
        <v>44658</v>
      </c>
      <c r="C6312" t="inlineStr">
        <is>
          <t>CPR</t>
        </is>
      </c>
      <c r="D6312" t="n">
        <v>32</v>
      </c>
      <c r="E6312">
        <f>IF(D4815&gt;0,VLOOKUP(OPERAC[[#This Row],[COD CART]],[1]!MatrizCortoLargoCyl[#All],3,0),"")</f>
        <v/>
      </c>
      <c r="F6312" t="inlineStr">
        <is>
          <t>DDD/CYL/15,00/15-07-22</t>
        </is>
      </c>
      <c r="G6312" t="n">
        <v>100</v>
      </c>
      <c r="H6312">
        <f>-1435.718+20.82+7.932</f>
        <v/>
      </c>
      <c r="I6312">
        <f>-H4815/G4815</f>
        <v/>
      </c>
    </row>
    <row r="6313">
      <c r="A6313" t="n">
        <v>26146</v>
      </c>
      <c r="B6313" s="16" t="n">
        <v>44658</v>
      </c>
      <c r="C6313" t="inlineStr">
        <is>
          <t>VTA</t>
        </is>
      </c>
      <c r="D6313" t="n">
        <v>41</v>
      </c>
      <c r="E6313">
        <f>IF(D2810&gt;0,VLOOKUP(OPERAC[[#This Row],[COD CART]],[1]!MatrizCortoLargoCyl[#All],3,0),"")</f>
        <v/>
      </c>
      <c r="F6313" t="inlineStr">
        <is>
          <t>GGAL</t>
        </is>
      </c>
      <c r="G6313" t="n">
        <v>50</v>
      </c>
      <c r="H6313" t="n">
        <v>-518.104</v>
      </c>
      <c r="I6313">
        <f>-H2810/G2810</f>
        <v/>
      </c>
    </row>
    <row r="6314">
      <c r="A6314" t="n">
        <v>26146</v>
      </c>
      <c r="B6314" s="16" t="n">
        <v>44658</v>
      </c>
      <c r="C6314" t="inlineStr">
        <is>
          <t>VTA</t>
        </is>
      </c>
      <c r="D6314" t="n">
        <v>41</v>
      </c>
      <c r="E6314">
        <f>IF(D3211&gt;0,VLOOKUP(OPERAC[[#This Row],[COD CART]],[1]!MatrizCortoLargoCyl[#All],3,0),"")</f>
        <v/>
      </c>
      <c r="F6314" t="inlineStr">
        <is>
          <t>HYDR</t>
        </is>
      </c>
      <c r="G6314" t="n">
        <v>35</v>
      </c>
      <c r="H6314" t="n">
        <v>-657.208</v>
      </c>
      <c r="I6314">
        <f>-H3211/G3211</f>
        <v/>
      </c>
    </row>
    <row r="6315">
      <c r="A6315" t="n">
        <v>26146</v>
      </c>
      <c r="B6315" s="16" t="n">
        <v>44659</v>
      </c>
      <c r="C6315" t="inlineStr">
        <is>
          <t>CPR</t>
        </is>
      </c>
      <c r="D6315" t="n">
        <v>42</v>
      </c>
      <c r="E6315">
        <f>IF(D3258&gt;0,VLOOKUP(OPERAC[[#This Row],[COD CART]],[1]!MatrizCortoLargoCyl[#All],3,0),"")</f>
        <v/>
      </c>
      <c r="F6315" t="inlineStr">
        <is>
          <t>FB</t>
        </is>
      </c>
      <c r="G6315" t="n">
        <v>3</v>
      </c>
      <c r="H6315" t="n">
        <v>-678.255</v>
      </c>
      <c r="I6315">
        <f>-H3258/G3258</f>
        <v/>
      </c>
      <c r="J6315" s="16" t="n">
        <v>44671</v>
      </c>
      <c r="K6315">
        <f>+OPERAC[[#This Row],[cantidad]]</f>
        <v/>
      </c>
      <c r="L6315">
        <f>+OPERAC[[#This Row],[cantidad venta]]*213.173</f>
        <v/>
      </c>
    </row>
    <row r="6316">
      <c r="A6316" t="n">
        <v>26146</v>
      </c>
      <c r="B6316" s="16" t="n">
        <v>44659</v>
      </c>
      <c r="C6316" t="inlineStr">
        <is>
          <t>CPR</t>
        </is>
      </c>
      <c r="D6316" t="n">
        <v>42</v>
      </c>
      <c r="E6316">
        <f>IF(D3459&gt;0,VLOOKUP(OPERAC[[#This Row],[COD CART]],[1]!MatrizCortoLargoCyl[#All],3,0),"")</f>
        <v/>
      </c>
      <c r="F6316" t="inlineStr">
        <is>
          <t>SMH</t>
        </is>
      </c>
      <c r="G6316" t="n">
        <v>3</v>
      </c>
      <c r="H6316" t="n">
        <v>-755.548</v>
      </c>
      <c r="I6316">
        <f>-H3459/G3459</f>
        <v/>
      </c>
      <c r="J6316" s="16" t="n">
        <v>44663</v>
      </c>
      <c r="K6316">
        <f>+OPERAC[[#This Row],[cantidad]]</f>
        <v/>
      </c>
      <c r="L6316">
        <f>+OPERAC[[#This Row],[cantidad venta]]*238.066</f>
        <v/>
      </c>
    </row>
    <row r="6317">
      <c r="A6317" t="n">
        <v>26146</v>
      </c>
      <c r="B6317" s="16" t="n">
        <v>44663</v>
      </c>
      <c r="C6317" t="inlineStr">
        <is>
          <t>CPR</t>
        </is>
      </c>
      <c r="D6317" t="n">
        <v>32</v>
      </c>
      <c r="E6317">
        <f>IF(D4753&gt;0,VLOOKUP(OPERAC[[#This Row],[COD CART]],[1]!MatrizCortoLargoCyl[#All],3,0),"")</f>
        <v/>
      </c>
      <c r="F6317" t="inlineStr">
        <is>
          <t>DDD/CYL/15,00/15-07-22</t>
        </is>
      </c>
      <c r="G6317" t="n">
        <v>100</v>
      </c>
      <c r="H6317">
        <f>-1367.855+7.932</f>
        <v/>
      </c>
      <c r="I6317">
        <f>-H4753/G4753</f>
        <v/>
      </c>
    </row>
    <row r="6318">
      <c r="A6318" t="n">
        <v>26146</v>
      </c>
      <c r="B6318" s="16" t="n">
        <v>44664</v>
      </c>
      <c r="C6318" t="inlineStr">
        <is>
          <t>VTA</t>
        </is>
      </c>
      <c r="D6318" t="n">
        <v>42</v>
      </c>
      <c r="E6318">
        <f>IF(D1732&gt;0,VLOOKUP(OPERAC[[#This Row],[COD CART]],[1]!MatrizCortoLargoCyl[#All],3,0),"")</f>
        <v/>
      </c>
      <c r="F6318" t="inlineStr">
        <is>
          <t>PSQ</t>
        </is>
      </c>
      <c r="G6318" t="n">
        <v>20</v>
      </c>
      <c r="H6318" t="n">
        <v>-248.65144362</v>
      </c>
      <c r="I6318">
        <f>-H1732/G1732</f>
        <v/>
      </c>
      <c r="J6318" s="16" t="n">
        <v>44680</v>
      </c>
      <c r="K6318">
        <f>+OPERAC[[#This Row],[cantidad]]</f>
        <v/>
      </c>
      <c r="L6318">
        <f>12.848*OPERAC[[#This Row],[cantidad venta]]</f>
        <v/>
      </c>
    </row>
    <row r="6319">
      <c r="A6319" t="n">
        <v>26146</v>
      </c>
      <c r="B6319" s="16" t="n">
        <v>44669</v>
      </c>
      <c r="C6319" t="inlineStr">
        <is>
          <t>CPR</t>
        </is>
      </c>
      <c r="D6319" t="n">
        <v>32</v>
      </c>
      <c r="E6319">
        <f>IF(D4042&gt;0,VLOOKUP(OPERAC[[#This Row],[COD CART]],[1]!MatrizCortoLargoCyl[#All],3,0),"")</f>
        <v/>
      </c>
      <c r="F6319" t="inlineStr">
        <is>
          <t>HMY</t>
        </is>
      </c>
      <c r="G6319" t="n">
        <v>200</v>
      </c>
      <c r="H6319">
        <f>-4.64*OPERAC[[#This Row],[cantidad]]</f>
        <v/>
      </c>
      <c r="I6319">
        <f>-H4042/G4042</f>
        <v/>
      </c>
      <c r="J6319" s="16" t="n">
        <v>44722</v>
      </c>
      <c r="K6319" t="n">
        <v>200</v>
      </c>
      <c r="L6319">
        <f>+OPERAC[[#This Row],[cantidad venta]]*3.317</f>
        <v/>
      </c>
    </row>
    <row r="6320">
      <c r="A6320" t="n">
        <v>26146</v>
      </c>
      <c r="B6320" s="16" t="n">
        <v>44670</v>
      </c>
      <c r="C6320" t="inlineStr">
        <is>
          <t>CPR</t>
        </is>
      </c>
      <c r="D6320" t="n">
        <v>32</v>
      </c>
      <c r="E6320">
        <f>IF(D3383&gt;0,VLOOKUP(OPERAC[[#This Row],[COD CART]],[1]!MatrizCortoLargoCyl[#All],3,0),"")</f>
        <v/>
      </c>
      <c r="F6320" t="inlineStr">
        <is>
          <t>PCT/CYL/7,50/20-05-22</t>
        </is>
      </c>
      <c r="G6320" t="n">
        <v>100</v>
      </c>
      <c r="H6320" t="n">
        <v>-710.274</v>
      </c>
      <c r="I6320">
        <f>-H3383/G3383</f>
        <v/>
      </c>
      <c r="J6320" s="16" t="n">
        <v>44698</v>
      </c>
      <c r="K6320">
        <f>+OPERAC[[#This Row],[cantidad]]</f>
        <v/>
      </c>
      <c r="L6320">
        <f>7.3616*OPERAC[[#This Row],[cantidad venta]]</f>
        <v/>
      </c>
    </row>
    <row r="6321">
      <c r="A6321" t="n">
        <v>26146</v>
      </c>
      <c r="B6321" s="16" t="n">
        <v>44671</v>
      </c>
      <c r="C6321" t="inlineStr">
        <is>
          <t>CPR</t>
        </is>
      </c>
      <c r="D6321" t="n">
        <v>42</v>
      </c>
      <c r="E6321">
        <f>IF(D3520&gt;0,VLOOKUP(OPERAC[[#This Row],[COD CART]],[1]!MatrizCortoLargoCyl[#All],3,0),"")</f>
        <v/>
      </c>
      <c r="F6321" t="inlineStr">
        <is>
          <t>NFLX</t>
        </is>
      </c>
      <c r="G6321" t="n">
        <v>3</v>
      </c>
      <c r="H6321" t="n">
        <v>-763.51518</v>
      </c>
      <c r="I6321">
        <f>-H3520/G3520</f>
        <v/>
      </c>
      <c r="J6321" s="16" t="n">
        <v>44693</v>
      </c>
      <c r="K6321">
        <f>+OPERAC[[#This Row],[cantidad]]</f>
        <v/>
      </c>
      <c r="L6321">
        <f>+OPERAC[[#This Row],[cantidad venta]]*169.089</f>
        <v/>
      </c>
    </row>
    <row r="6322">
      <c r="A6322" t="n">
        <v>26146</v>
      </c>
      <c r="B6322" s="16" t="n">
        <v>44677</v>
      </c>
      <c r="C6322" t="inlineStr">
        <is>
          <t>CPR</t>
        </is>
      </c>
      <c r="D6322" t="n">
        <v>32</v>
      </c>
      <c r="E6322">
        <f>IF(D4453&gt;0,VLOOKUP(OPERAC[[#This Row],[COD CART]],[1]!MatrizCortoLargoCyl[#All],3,0),"")</f>
        <v/>
      </c>
      <c r="F6322" t="inlineStr">
        <is>
          <t>HMY</t>
        </is>
      </c>
      <c r="G6322" t="n">
        <v>300</v>
      </c>
      <c r="H6322">
        <f>-3.849*OPERAC[[#This Row],[cantidad]]</f>
        <v/>
      </c>
      <c r="I6322">
        <f>-H4453/G4453</f>
        <v/>
      </c>
      <c r="J6322" s="16" t="n">
        <v>44722</v>
      </c>
      <c r="K6322" t="n">
        <v>300</v>
      </c>
      <c r="L6322">
        <f>+OPERAC[[#This Row],[cantidad venta]]*3.317</f>
        <v/>
      </c>
    </row>
    <row r="6323">
      <c r="A6323" t="n">
        <v>26146</v>
      </c>
      <c r="B6323" s="16" t="n">
        <v>44680</v>
      </c>
      <c r="C6323" t="inlineStr">
        <is>
          <t>VTA</t>
        </is>
      </c>
      <c r="D6323" t="n">
        <v>42</v>
      </c>
      <c r="E6323">
        <f>IF(D1694&gt;0,VLOOKUP(OPERAC[[#This Row],[COD CART]],[1]!MatrizCortoLargoCyl[#All],3,0),"")</f>
        <v/>
      </c>
      <c r="F6323" t="inlineStr">
        <is>
          <t>XLP</t>
        </is>
      </c>
      <c r="G6323" t="n">
        <v>3</v>
      </c>
      <c r="H6323" t="n">
        <v>-238.3035075</v>
      </c>
      <c r="I6323">
        <f>-H1694/G1694</f>
        <v/>
      </c>
      <c r="J6323" s="16" t="n">
        <v>44693</v>
      </c>
      <c r="K6323">
        <f>+OPERAC[[#This Row],[cantidad]]</f>
        <v/>
      </c>
      <c r="L6323">
        <f>+OPERAC[[#This Row],[cantidad venta]]*74.848</f>
        <v/>
      </c>
    </row>
    <row r="6324">
      <c r="A6324" t="n">
        <v>26146</v>
      </c>
      <c r="B6324" s="16" t="n">
        <v>44707</v>
      </c>
      <c r="C6324" t="inlineStr">
        <is>
          <t>VTA</t>
        </is>
      </c>
      <c r="D6324" t="n">
        <v>43</v>
      </c>
      <c r="E6324">
        <f>IF(D5286&gt;0,VLOOKUP(OPERAC[[#This Row],[COD CART]],[1]!MatrizCortoLargoCyl[#All],3,0),"")</f>
        <v/>
      </c>
      <c r="F6324" t="inlineStr">
        <is>
          <t>SPWR/CYP/17,50-15,00/17-06-22</t>
        </is>
      </c>
      <c r="G6324" t="n">
        <v>100</v>
      </c>
      <c r="H6324" t="n">
        <v>-1717.027</v>
      </c>
      <c r="I6324">
        <f>-H5286/G5286</f>
        <v/>
      </c>
    </row>
    <row r="6325">
      <c r="A6325" t="n">
        <v>26146</v>
      </c>
      <c r="B6325" s="16" t="n">
        <v>44722</v>
      </c>
      <c r="C6325" t="inlineStr">
        <is>
          <t>CPR</t>
        </is>
      </c>
      <c r="D6325" t="n">
        <v>41</v>
      </c>
      <c r="E6325">
        <f>IF(D4433&gt;0,VLOOKUP(OPERAC[[#This Row],[COD CART]],[1]!MatrizCortoLargoCyl[#All],3,0),"")</f>
        <v/>
      </c>
      <c r="F6325" t="inlineStr">
        <is>
          <t>CCL</t>
        </is>
      </c>
      <c r="G6325" t="n">
        <v>100</v>
      </c>
      <c r="H6325" t="n">
        <v>-1123.469</v>
      </c>
      <c r="I6325">
        <f>-H4433/G4433</f>
        <v/>
      </c>
    </row>
    <row r="6326">
      <c r="A6326" t="n">
        <v>26146</v>
      </c>
      <c r="B6326" s="16" t="n">
        <v>44722</v>
      </c>
      <c r="C6326" t="inlineStr">
        <is>
          <t>VTA</t>
        </is>
      </c>
      <c r="D6326" t="n">
        <v>41</v>
      </c>
      <c r="E6326">
        <f>IF(D3021&gt;0,VLOOKUP(OPERAC[[#This Row],[COD CART]],[1]!MatrizCortoLargoCyl[#All],3,0),"")</f>
        <v/>
      </c>
      <c r="F6326" t="inlineStr">
        <is>
          <t>CRESY</t>
        </is>
      </c>
      <c r="G6326" t="n">
        <v>100</v>
      </c>
      <c r="H6326" t="n">
        <v>-599.049</v>
      </c>
      <c r="I6326">
        <f>-H3021/G3021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2022-07-13T18:06:24Z</dcterms:created>
  <dcterms:modified xsi:type="dcterms:W3CDTF">2022-08-17T13:16:35Z</dcterms:modified>
  <cp:lastModifiedBy>Jonathan</cp:lastModifiedBy>
</cp:coreProperties>
</file>